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_DesktopReal\160.NXXX_BASE_ECONOMICA_VTA\templates\"/>
    </mc:Choice>
  </mc:AlternateContent>
  <xr:revisionPtr revIDLastSave="0" documentId="13_ncr:1_{DB8FADFE-7217-4DDD-B72A-D273816632E5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_DETALHE" sheetId="15" state="hidden" r:id="rId15"/>
    <sheet name="RESULTADOS" sheetId="20" r:id="rId16"/>
  </sheets>
  <definedNames>
    <definedName name="AJUSTE_MANUAL_VTA">MEMORIA_RESULTADOS!$B$24</definedName>
    <definedName name="AJUSTES_DEVIDOS">RESULTADOS_DETALHE!$B$84</definedName>
    <definedName name="_xlnm.Print_Area" localSheetId="15">RESULTADOS!$B$1:$G$71</definedName>
    <definedName name="_xlnm.Print_Area" localSheetId="14">RESULTADOS_DETALHE!$A$1:$H$50</definedName>
    <definedName name="AUDITORIA_ABERTURA_STATUS">RESULTADOS_DETALHE!$H$11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RESULTADOS_DETALHE!$H$10</definedName>
    <definedName name="AUDITORIA_ULTIMA_REFERENCIA_ABERTURA">MEMORIA_RESULTADOS!$W$48</definedName>
    <definedName name="CONFERENCIA_FORMACAO_VTA">RESULTADOS_DETALHE!$B$87</definedName>
    <definedName name="EXECUCAO_ATUALIZADA_CICLO">RESULTADOS_DETALHE!$B$36</definedName>
    <definedName name="EXECUTADO_APURADO">RESULTADOS_DETALHE!$B$83</definedName>
    <definedName name="JUSTIFICATIVA_RETRO">MEMORIA_RESULTADOS!$D$5</definedName>
    <definedName name="METODO_RETROATIVO">MEMORIA_RESULTADOS!$B$4</definedName>
    <definedName name="OPCOES_APLICAR_MANUAL">RESULTADOS_DETALHE!$J$2:$J$3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APURADO">MEMORIA_RESULTADOS!$T$41</definedName>
    <definedName name="RETROATIVO_POTENCIAL_NEGATIVO">MEMORIA_RESULTADOS!$T$47</definedName>
    <definedName name="RETROATIVO_POTENCIAL_PC">MEMORIA_RESULTADOS!$T$38</definedName>
    <definedName name="RETROATIVO_POTENCIAL_VTA">MEMORIA_RESULTADOS!$T$39</definedName>
    <definedName name="SALDO_REMANESCENTE_ATUAL">RESULTADOS_DETALHE!$B$38</definedName>
    <definedName name="STATUS_RESULTADOS">RESULTADOS_DETALHE!$B$3</definedName>
    <definedName name="TOLERANCIA_DIVERGENCIA">MEMORIA_RESULTADOS!$D$4</definedName>
    <definedName name="VALOR_MANUAL_RETRO">MEMORIA_RESULTADOS!$B$5</definedName>
    <definedName name="VTA_ATUALIZACAO_CHEIA">RESULTADOS_DETALHE!$B$12</definedName>
    <definedName name="VTA_CALCULADO">MEMORIA_RESULTADOS!$B$23</definedName>
    <definedName name="VTA_FINAL">MEMORIA_RESULTADOS!$B$26</definedName>
    <definedName name="VTA_MANUAL_OFICIAL">MEMORIA_RESULTADOS!$B$25</definedName>
    <definedName name="VTA_SEM_POTENCIAL">MEMORIA_RESULTADOS!$T$40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8" l="1"/>
  <c r="M3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A8" i="3"/>
  <c r="B2" i="2"/>
  <c r="B11" i="2" s="1"/>
  <c r="B10" i="2" s="1"/>
  <c r="G39" i="20"/>
  <c r="F39" i="20"/>
  <c r="E39" i="20"/>
  <c r="D39" i="20"/>
  <c r="C39" i="20"/>
  <c r="G38" i="20"/>
  <c r="F38" i="20"/>
  <c r="E38" i="20"/>
  <c r="D38" i="20"/>
  <c r="C38" i="20"/>
  <c r="G37" i="20"/>
  <c r="F37" i="20"/>
  <c r="E37" i="20"/>
  <c r="D37" i="20"/>
  <c r="C37" i="20"/>
  <c r="G36" i="20"/>
  <c r="F36" i="20"/>
  <c r="E36" i="20"/>
  <c r="D36" i="20"/>
  <c r="C36" i="20"/>
  <c r="G35" i="20"/>
  <c r="F35" i="20"/>
  <c r="E35" i="20"/>
  <c r="D35" i="20"/>
  <c r="C35" i="20"/>
  <c r="C31" i="20"/>
  <c r="B20" i="20"/>
  <c r="B19" i="20"/>
  <c r="B18" i="20"/>
  <c r="D17" i="20"/>
  <c r="E10" i="20"/>
  <c r="C10" i="20"/>
  <c r="E6" i="20"/>
  <c r="D6" i="20"/>
  <c r="W82" i="14"/>
  <c r="W95" i="14" s="1"/>
  <c r="W81" i="14"/>
  <c r="W80" i="14"/>
  <c r="V82" i="14"/>
  <c r="V81" i="14"/>
  <c r="V80" i="14"/>
  <c r="U82" i="14"/>
  <c r="U95" i="14" s="1"/>
  <c r="U81" i="14"/>
  <c r="U80" i="14"/>
  <c r="T82" i="14"/>
  <c r="T81" i="14"/>
  <c r="T80" i="14"/>
  <c r="AG6" i="6"/>
  <c r="AF6" i="6" s="1"/>
  <c r="Y6" i="6"/>
  <c r="AG5" i="6"/>
  <c r="AB5" i="6" s="1"/>
  <c r="Y5" i="6"/>
  <c r="AG4" i="6"/>
  <c r="AE4" i="6" s="1"/>
  <c r="Y4" i="6"/>
  <c r="AG3" i="6"/>
  <c r="AC3" i="6" s="1"/>
  <c r="Y3" i="6"/>
  <c r="AG2" i="6"/>
  <c r="AE2" i="6" s="1"/>
  <c r="Y2" i="6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F6" i="15"/>
  <c r="J10" i="15"/>
  <c r="J9" i="15"/>
  <c r="J11" i="15" s="1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H50" i="15"/>
  <c r="H49" i="15"/>
  <c r="H48" i="15"/>
  <c r="H47" i="15"/>
  <c r="H46" i="15"/>
  <c r="H45" i="15"/>
  <c r="H44" i="15"/>
  <c r="H43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B20" i="14"/>
  <c r="C14" i="14"/>
  <c r="C13" i="14"/>
  <c r="C12" i="14"/>
  <c r="C11" i="14"/>
  <c r="C10" i="14"/>
  <c r="D5" i="14"/>
  <c r="B5" i="14"/>
  <c r="D21" i="15" s="1"/>
  <c r="E48" i="20" s="1"/>
  <c r="B4" i="14"/>
  <c r="E77" i="15" s="1"/>
  <c r="B17" i="13"/>
  <c r="B14" i="13"/>
  <c r="B2" i="13"/>
  <c r="C200" i="12"/>
  <c r="A200" i="12"/>
  <c r="C199" i="12"/>
  <c r="A199" i="12"/>
  <c r="C198" i="12"/>
  <c r="A198" i="12"/>
  <c r="C197" i="12"/>
  <c r="A197" i="12"/>
  <c r="C196" i="12"/>
  <c r="A196" i="12"/>
  <c r="C195" i="12"/>
  <c r="A195" i="12"/>
  <c r="C194" i="12"/>
  <c r="A194" i="12"/>
  <c r="S194" i="12" s="1"/>
  <c r="C193" i="12"/>
  <c r="A193" i="12"/>
  <c r="C192" i="12"/>
  <c r="A192" i="12"/>
  <c r="C191" i="12"/>
  <c r="A191" i="12"/>
  <c r="C190" i="12"/>
  <c r="A190" i="12"/>
  <c r="C189" i="12"/>
  <c r="A189" i="12"/>
  <c r="C188" i="12"/>
  <c r="A188" i="12"/>
  <c r="Q188" i="12" s="1"/>
  <c r="C187" i="12"/>
  <c r="A187" i="12"/>
  <c r="C186" i="12"/>
  <c r="A186" i="12"/>
  <c r="C185" i="12"/>
  <c r="A185" i="12"/>
  <c r="C184" i="12"/>
  <c r="A184" i="12"/>
  <c r="C183" i="12"/>
  <c r="A183" i="12"/>
  <c r="C182" i="12"/>
  <c r="A182" i="12"/>
  <c r="R182" i="12" s="1"/>
  <c r="C181" i="12"/>
  <c r="A181" i="12"/>
  <c r="C180" i="12"/>
  <c r="A180" i="12"/>
  <c r="C179" i="12"/>
  <c r="A179" i="12"/>
  <c r="C178" i="12"/>
  <c r="A178" i="12"/>
  <c r="B178" i="12" s="1"/>
  <c r="C177" i="12"/>
  <c r="A177" i="12"/>
  <c r="C176" i="12"/>
  <c r="A176" i="12"/>
  <c r="C175" i="12"/>
  <c r="A175" i="12"/>
  <c r="C174" i="12"/>
  <c r="A174" i="12"/>
  <c r="C173" i="12"/>
  <c r="A173" i="12"/>
  <c r="C172" i="12"/>
  <c r="A172" i="12"/>
  <c r="C171" i="12"/>
  <c r="A171" i="12"/>
  <c r="C170" i="12"/>
  <c r="A170" i="12"/>
  <c r="S170" i="12" s="1"/>
  <c r="C169" i="12"/>
  <c r="A169" i="12"/>
  <c r="C168" i="12"/>
  <c r="A168" i="12"/>
  <c r="C167" i="12"/>
  <c r="A167" i="12"/>
  <c r="W167" i="12" s="1"/>
  <c r="C166" i="12"/>
  <c r="A166" i="12"/>
  <c r="T166" i="12" s="1"/>
  <c r="C165" i="12"/>
  <c r="A165" i="12"/>
  <c r="C164" i="12"/>
  <c r="A164" i="12"/>
  <c r="C163" i="12"/>
  <c r="A163" i="12"/>
  <c r="C162" i="12"/>
  <c r="A162" i="12"/>
  <c r="C161" i="12"/>
  <c r="A161" i="12"/>
  <c r="C160" i="12"/>
  <c r="A160" i="12"/>
  <c r="C159" i="12"/>
  <c r="A159" i="12"/>
  <c r="C158" i="12"/>
  <c r="A158" i="12"/>
  <c r="C157" i="12"/>
  <c r="A157" i="12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C150" i="12"/>
  <c r="A150" i="12"/>
  <c r="C149" i="12"/>
  <c r="A149" i="12"/>
  <c r="C148" i="12"/>
  <c r="A148" i="12"/>
  <c r="C147" i="12"/>
  <c r="A147" i="12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C138" i="12"/>
  <c r="A138" i="12"/>
  <c r="C137" i="12"/>
  <c r="A137" i="12"/>
  <c r="C136" i="12"/>
  <c r="A136" i="12"/>
  <c r="C135" i="12"/>
  <c r="A135" i="12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C126" i="12"/>
  <c r="A126" i="12"/>
  <c r="C125" i="12"/>
  <c r="A125" i="12"/>
  <c r="C124" i="12"/>
  <c r="A124" i="12"/>
  <c r="C123" i="12"/>
  <c r="A123" i="12"/>
  <c r="C122" i="12"/>
  <c r="A122" i="12"/>
  <c r="B122" i="12" s="1"/>
  <c r="C121" i="12"/>
  <c r="A121" i="12"/>
  <c r="C120" i="12"/>
  <c r="A120" i="12"/>
  <c r="C119" i="12"/>
  <c r="A119" i="12"/>
  <c r="C118" i="12"/>
  <c r="A118" i="12"/>
  <c r="C117" i="12"/>
  <c r="A117" i="12"/>
  <c r="C116" i="12"/>
  <c r="A116" i="12"/>
  <c r="R116" i="12" s="1"/>
  <c r="C115" i="12"/>
  <c r="A115" i="12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C101" i="12"/>
  <c r="A101" i="12"/>
  <c r="C100" i="12"/>
  <c r="A100" i="12"/>
  <c r="C99" i="12"/>
  <c r="A99" i="12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C86" i="12"/>
  <c r="A86" i="12"/>
  <c r="Q86" i="12" s="1"/>
  <c r="C85" i="12"/>
  <c r="A85" i="12"/>
  <c r="C84" i="12"/>
  <c r="A84" i="12"/>
  <c r="C83" i="12"/>
  <c r="A83" i="12"/>
  <c r="C82" i="12"/>
  <c r="A82" i="12"/>
  <c r="C81" i="12"/>
  <c r="A81" i="12"/>
  <c r="C80" i="12"/>
  <c r="A80" i="12"/>
  <c r="C79" i="12"/>
  <c r="A79" i="12"/>
  <c r="C78" i="12"/>
  <c r="A78" i="12"/>
  <c r="C77" i="12"/>
  <c r="A77" i="12"/>
  <c r="C76" i="12"/>
  <c r="A76" i="12"/>
  <c r="C75" i="12"/>
  <c r="A75" i="12"/>
  <c r="C74" i="12"/>
  <c r="A74" i="12"/>
  <c r="C73" i="12"/>
  <c r="A73" i="12"/>
  <c r="C72" i="12"/>
  <c r="A72" i="12"/>
  <c r="C71" i="12"/>
  <c r="A71" i="12"/>
  <c r="C70" i="12"/>
  <c r="A70" i="12"/>
  <c r="C69" i="12"/>
  <c r="A69" i="12"/>
  <c r="C68" i="12"/>
  <c r="A68" i="12"/>
  <c r="W68" i="12" s="1"/>
  <c r="C67" i="12"/>
  <c r="A67" i="12"/>
  <c r="C66" i="12"/>
  <c r="A66" i="12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C59" i="12"/>
  <c r="A59" i="12"/>
  <c r="C58" i="12"/>
  <c r="A58" i="12"/>
  <c r="N58" i="12" s="1"/>
  <c r="C57" i="12"/>
  <c r="A57" i="12"/>
  <c r="C56" i="12"/>
  <c r="A56" i="12"/>
  <c r="Q56" i="12" s="1"/>
  <c r="C55" i="12"/>
  <c r="A55" i="12"/>
  <c r="C54" i="12"/>
  <c r="A54" i="12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C30" i="12"/>
  <c r="A30" i="12"/>
  <c r="C29" i="12"/>
  <c r="A29" i="12"/>
  <c r="C28" i="12"/>
  <c r="A28" i="12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K5" i="12"/>
  <c r="C5" i="12"/>
  <c r="A5" i="12"/>
  <c r="K4" i="12"/>
  <c r="C4" i="12"/>
  <c r="A4" i="12"/>
  <c r="K3" i="12"/>
  <c r="C3" i="12"/>
  <c r="A3" i="12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F190" i="12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F200" i="8"/>
  <c r="G200" i="8" s="1"/>
  <c r="C200" i="8"/>
  <c r="L200" i="8" s="1"/>
  <c r="F199" i="8"/>
  <c r="G199" i="8" s="1"/>
  <c r="C199" i="8"/>
  <c r="L199" i="8" s="1"/>
  <c r="F198" i="8"/>
  <c r="C198" i="8"/>
  <c r="L198" i="8" s="1"/>
  <c r="F197" i="8"/>
  <c r="G197" i="8" s="1"/>
  <c r="C197" i="8"/>
  <c r="L197" i="8" s="1"/>
  <c r="F196" i="8"/>
  <c r="G196" i="8" s="1"/>
  <c r="C196" i="8"/>
  <c r="L196" i="8" s="1"/>
  <c r="F195" i="8"/>
  <c r="G195" i="8" s="1"/>
  <c r="C195" i="8"/>
  <c r="I195" i="8" s="1"/>
  <c r="F194" i="8"/>
  <c r="G194" i="8" s="1"/>
  <c r="C194" i="8"/>
  <c r="I194" i="8" s="1"/>
  <c r="F193" i="8"/>
  <c r="G193" i="8" s="1"/>
  <c r="C193" i="8"/>
  <c r="L193" i="8" s="1"/>
  <c r="F192" i="8"/>
  <c r="G192" i="8" s="1"/>
  <c r="C192" i="8"/>
  <c r="L192" i="8" s="1"/>
  <c r="F191" i="8"/>
  <c r="G191" i="8" s="1"/>
  <c r="C191" i="8"/>
  <c r="L191" i="8" s="1"/>
  <c r="F190" i="8"/>
  <c r="G190" i="8" s="1"/>
  <c r="C190" i="8"/>
  <c r="L190" i="8" s="1"/>
  <c r="F189" i="8"/>
  <c r="G189" i="8" s="1"/>
  <c r="C189" i="8"/>
  <c r="L189" i="8" s="1"/>
  <c r="F188" i="8"/>
  <c r="G188" i="8" s="1"/>
  <c r="C188" i="8"/>
  <c r="I188" i="8" s="1"/>
  <c r="F187" i="8"/>
  <c r="G187" i="8" s="1"/>
  <c r="C187" i="8"/>
  <c r="L187" i="8" s="1"/>
  <c r="F186" i="8"/>
  <c r="G186" i="8" s="1"/>
  <c r="C186" i="8"/>
  <c r="I186" i="8" s="1"/>
  <c r="F185" i="8"/>
  <c r="G185" i="8" s="1"/>
  <c r="C185" i="8"/>
  <c r="L185" i="8" s="1"/>
  <c r="F184" i="8"/>
  <c r="G184" i="8" s="1"/>
  <c r="C184" i="8"/>
  <c r="L184" i="8" s="1"/>
  <c r="F183" i="8"/>
  <c r="G183" i="8" s="1"/>
  <c r="C183" i="8"/>
  <c r="L183" i="8" s="1"/>
  <c r="F182" i="8"/>
  <c r="G182" i="8" s="1"/>
  <c r="C182" i="8"/>
  <c r="L182" i="8" s="1"/>
  <c r="F181" i="8"/>
  <c r="G181" i="8" s="1"/>
  <c r="C181" i="8"/>
  <c r="L181" i="8" s="1"/>
  <c r="F180" i="8"/>
  <c r="G180" i="8" s="1"/>
  <c r="C180" i="8"/>
  <c r="L180" i="8" s="1"/>
  <c r="F179" i="8"/>
  <c r="G179" i="8" s="1"/>
  <c r="C179" i="8"/>
  <c r="L179" i="8" s="1"/>
  <c r="F178" i="8"/>
  <c r="G178" i="8" s="1"/>
  <c r="C178" i="8"/>
  <c r="I178" i="8" s="1"/>
  <c r="F177" i="8"/>
  <c r="G177" i="8" s="1"/>
  <c r="C177" i="8"/>
  <c r="L177" i="8" s="1"/>
  <c r="F176" i="8"/>
  <c r="G176" i="8" s="1"/>
  <c r="C176" i="8"/>
  <c r="I176" i="8" s="1"/>
  <c r="F175" i="8"/>
  <c r="G175" i="8" s="1"/>
  <c r="C175" i="8"/>
  <c r="L175" i="8" s="1"/>
  <c r="F174" i="8"/>
  <c r="G174" i="8" s="1"/>
  <c r="C174" i="8"/>
  <c r="L174" i="8" s="1"/>
  <c r="F173" i="8"/>
  <c r="G173" i="8" s="1"/>
  <c r="C173" i="8"/>
  <c r="L173" i="8" s="1"/>
  <c r="F172" i="8"/>
  <c r="G172" i="8" s="1"/>
  <c r="C172" i="8"/>
  <c r="L172" i="8" s="1"/>
  <c r="F171" i="8"/>
  <c r="G171" i="8" s="1"/>
  <c r="C171" i="8"/>
  <c r="L171" i="8" s="1"/>
  <c r="F170" i="8"/>
  <c r="G170" i="8" s="1"/>
  <c r="C170" i="8"/>
  <c r="L170" i="8" s="1"/>
  <c r="F169" i="8"/>
  <c r="G169" i="8" s="1"/>
  <c r="C169" i="8"/>
  <c r="L169" i="8" s="1"/>
  <c r="F168" i="8"/>
  <c r="G168" i="8" s="1"/>
  <c r="C168" i="8"/>
  <c r="I168" i="8" s="1"/>
  <c r="F167" i="8"/>
  <c r="G167" i="8" s="1"/>
  <c r="C167" i="8"/>
  <c r="I167" i="8" s="1"/>
  <c r="F166" i="8"/>
  <c r="G166" i="8" s="1"/>
  <c r="C166" i="8"/>
  <c r="L166" i="8" s="1"/>
  <c r="F165" i="8"/>
  <c r="C165" i="8"/>
  <c r="L165" i="8" s="1"/>
  <c r="F164" i="8"/>
  <c r="G164" i="8" s="1"/>
  <c r="C164" i="8"/>
  <c r="L164" i="8" s="1"/>
  <c r="F163" i="8"/>
  <c r="G163" i="8" s="1"/>
  <c r="C163" i="8"/>
  <c r="L163" i="8" s="1"/>
  <c r="F162" i="8"/>
  <c r="G162" i="8" s="1"/>
  <c r="C162" i="8"/>
  <c r="L162" i="8" s="1"/>
  <c r="F161" i="8"/>
  <c r="G161" i="8" s="1"/>
  <c r="C161" i="8"/>
  <c r="L161" i="8" s="1"/>
  <c r="F160" i="8"/>
  <c r="G160" i="8" s="1"/>
  <c r="C160" i="8"/>
  <c r="L160" i="8" s="1"/>
  <c r="F159" i="8"/>
  <c r="G159" i="8" s="1"/>
  <c r="C159" i="8"/>
  <c r="L159" i="8" s="1"/>
  <c r="F158" i="8"/>
  <c r="G158" i="8" s="1"/>
  <c r="C158" i="8"/>
  <c r="I158" i="8" s="1"/>
  <c r="F157" i="8"/>
  <c r="G157" i="8" s="1"/>
  <c r="C157" i="8"/>
  <c r="L157" i="8" s="1"/>
  <c r="F156" i="8"/>
  <c r="G156" i="8" s="1"/>
  <c r="C156" i="8"/>
  <c r="L156" i="8" s="1"/>
  <c r="F155" i="8"/>
  <c r="C155" i="8"/>
  <c r="L155" i="8" s="1"/>
  <c r="F154" i="8"/>
  <c r="C154" i="8"/>
  <c r="L154" i="8" s="1"/>
  <c r="F153" i="8"/>
  <c r="G153" i="8" s="1"/>
  <c r="C153" i="8"/>
  <c r="I153" i="8" s="1"/>
  <c r="F152" i="8"/>
  <c r="G152" i="8" s="1"/>
  <c r="C152" i="8"/>
  <c r="I152" i="8" s="1"/>
  <c r="F151" i="8"/>
  <c r="G151" i="8" s="1"/>
  <c r="C151" i="8"/>
  <c r="L151" i="8" s="1"/>
  <c r="F150" i="8"/>
  <c r="G150" i="8" s="1"/>
  <c r="C150" i="8"/>
  <c r="I150" i="8" s="1"/>
  <c r="F149" i="8"/>
  <c r="G149" i="8" s="1"/>
  <c r="C149" i="8"/>
  <c r="L149" i="8" s="1"/>
  <c r="F148" i="8"/>
  <c r="G148" i="8" s="1"/>
  <c r="C148" i="8"/>
  <c r="L148" i="8" s="1"/>
  <c r="F147" i="8"/>
  <c r="C147" i="8"/>
  <c r="L147" i="8" s="1"/>
  <c r="F146" i="8"/>
  <c r="G146" i="8" s="1"/>
  <c r="C146" i="8"/>
  <c r="L146" i="8" s="1"/>
  <c r="F145" i="8"/>
  <c r="G145" i="8" s="1"/>
  <c r="C145" i="8"/>
  <c r="L145" i="8" s="1"/>
  <c r="F144" i="8"/>
  <c r="G144" i="8" s="1"/>
  <c r="C144" i="8"/>
  <c r="L144" i="8" s="1"/>
  <c r="F143" i="8"/>
  <c r="G143" i="8" s="1"/>
  <c r="C143" i="8"/>
  <c r="L143" i="8" s="1"/>
  <c r="F142" i="8"/>
  <c r="G142" i="8" s="1"/>
  <c r="C142" i="8"/>
  <c r="L142" i="8" s="1"/>
  <c r="F141" i="8"/>
  <c r="G141" i="8" s="1"/>
  <c r="C141" i="8"/>
  <c r="L141" i="8" s="1"/>
  <c r="F140" i="8"/>
  <c r="G140" i="8" s="1"/>
  <c r="C140" i="8"/>
  <c r="L140" i="8" s="1"/>
  <c r="F139" i="8"/>
  <c r="G139" i="8" s="1"/>
  <c r="C139" i="8"/>
  <c r="L139" i="8" s="1"/>
  <c r="F138" i="8"/>
  <c r="G138" i="8" s="1"/>
  <c r="C138" i="8"/>
  <c r="L138" i="8" s="1"/>
  <c r="F137" i="8"/>
  <c r="G137" i="8" s="1"/>
  <c r="C137" i="8"/>
  <c r="I137" i="8" s="1"/>
  <c r="F136" i="8"/>
  <c r="G136" i="8" s="1"/>
  <c r="C136" i="8"/>
  <c r="L136" i="8" s="1"/>
  <c r="F135" i="8"/>
  <c r="G135" i="8" s="1"/>
  <c r="C135" i="8"/>
  <c r="L135" i="8" s="1"/>
  <c r="F134" i="8"/>
  <c r="G134" i="8" s="1"/>
  <c r="C134" i="8"/>
  <c r="L134" i="8" s="1"/>
  <c r="F133" i="8"/>
  <c r="G133" i="8" s="1"/>
  <c r="C133" i="8"/>
  <c r="L133" i="8" s="1"/>
  <c r="F132" i="8"/>
  <c r="G132" i="8" s="1"/>
  <c r="C132" i="8"/>
  <c r="I132" i="8" s="1"/>
  <c r="F131" i="8"/>
  <c r="G131" i="8" s="1"/>
  <c r="C131" i="8"/>
  <c r="L131" i="8" s="1"/>
  <c r="F130" i="8"/>
  <c r="G130" i="8" s="1"/>
  <c r="C130" i="8"/>
  <c r="L130" i="8" s="1"/>
  <c r="F129" i="8"/>
  <c r="G129" i="8" s="1"/>
  <c r="C129" i="8"/>
  <c r="I129" i="8" s="1"/>
  <c r="F128" i="8"/>
  <c r="G128" i="8" s="1"/>
  <c r="C128" i="8"/>
  <c r="I128" i="8" s="1"/>
  <c r="F127" i="8"/>
  <c r="G127" i="8" s="1"/>
  <c r="C127" i="8"/>
  <c r="L127" i="8" s="1"/>
  <c r="F126" i="8"/>
  <c r="G126" i="8" s="1"/>
  <c r="C126" i="8"/>
  <c r="L126" i="8" s="1"/>
  <c r="F125" i="8"/>
  <c r="G125" i="8" s="1"/>
  <c r="C125" i="8"/>
  <c r="L125" i="8" s="1"/>
  <c r="F124" i="8"/>
  <c r="G124" i="8" s="1"/>
  <c r="C124" i="8"/>
  <c r="L124" i="8" s="1"/>
  <c r="F123" i="8"/>
  <c r="G123" i="8" s="1"/>
  <c r="C123" i="8"/>
  <c r="L123" i="8" s="1"/>
  <c r="F122" i="8"/>
  <c r="G122" i="8" s="1"/>
  <c r="C122" i="8"/>
  <c r="I122" i="8" s="1"/>
  <c r="F121" i="8"/>
  <c r="G121" i="8" s="1"/>
  <c r="C121" i="8"/>
  <c r="L121" i="8" s="1"/>
  <c r="F120" i="8"/>
  <c r="G120" i="8" s="1"/>
  <c r="C120" i="8"/>
  <c r="L120" i="8" s="1"/>
  <c r="F119" i="8"/>
  <c r="G119" i="8" s="1"/>
  <c r="C119" i="8"/>
  <c r="L119" i="8" s="1"/>
  <c r="F118" i="8"/>
  <c r="G118" i="8" s="1"/>
  <c r="C118" i="8"/>
  <c r="L118" i="8" s="1"/>
  <c r="F117" i="8"/>
  <c r="G117" i="8" s="1"/>
  <c r="C117" i="8"/>
  <c r="L117" i="8" s="1"/>
  <c r="F116" i="8"/>
  <c r="G116" i="8" s="1"/>
  <c r="C116" i="8"/>
  <c r="L116" i="8" s="1"/>
  <c r="F115" i="8"/>
  <c r="G115" i="8" s="1"/>
  <c r="C115" i="8"/>
  <c r="L115" i="8" s="1"/>
  <c r="F114" i="8"/>
  <c r="G114" i="8" s="1"/>
  <c r="C114" i="8"/>
  <c r="L114" i="8" s="1"/>
  <c r="F113" i="8"/>
  <c r="G113" i="8" s="1"/>
  <c r="C113" i="8"/>
  <c r="L113" i="8" s="1"/>
  <c r="F112" i="8"/>
  <c r="G112" i="8" s="1"/>
  <c r="C112" i="8"/>
  <c r="L112" i="8" s="1"/>
  <c r="F111" i="8"/>
  <c r="G111" i="8" s="1"/>
  <c r="C111" i="8"/>
  <c r="L111" i="8" s="1"/>
  <c r="F110" i="8"/>
  <c r="G110" i="8" s="1"/>
  <c r="C110" i="8"/>
  <c r="I110" i="8" s="1"/>
  <c r="F109" i="8"/>
  <c r="G109" i="8" s="1"/>
  <c r="C109" i="8"/>
  <c r="I109" i="8" s="1"/>
  <c r="F108" i="8"/>
  <c r="G108" i="8" s="1"/>
  <c r="C108" i="8"/>
  <c r="L108" i="8" s="1"/>
  <c r="F107" i="8"/>
  <c r="C107" i="8"/>
  <c r="L107" i="8" s="1"/>
  <c r="F106" i="8"/>
  <c r="G106" i="8" s="1"/>
  <c r="C106" i="8"/>
  <c r="L106" i="8" s="1"/>
  <c r="F105" i="8"/>
  <c r="G105" i="8" s="1"/>
  <c r="C105" i="8"/>
  <c r="I105" i="8" s="1"/>
  <c r="F104" i="8"/>
  <c r="G104" i="8" s="1"/>
  <c r="C104" i="8"/>
  <c r="L104" i="8" s="1"/>
  <c r="F103" i="8"/>
  <c r="G103" i="8" s="1"/>
  <c r="C103" i="8"/>
  <c r="L103" i="8" s="1"/>
  <c r="F102" i="8"/>
  <c r="G102" i="8" s="1"/>
  <c r="C102" i="8"/>
  <c r="L102" i="8" s="1"/>
  <c r="F101" i="8"/>
  <c r="G101" i="8" s="1"/>
  <c r="C101" i="8"/>
  <c r="I101" i="8" s="1"/>
  <c r="F100" i="8"/>
  <c r="G100" i="8" s="1"/>
  <c r="C100" i="8"/>
  <c r="L100" i="8" s="1"/>
  <c r="F99" i="8"/>
  <c r="G99" i="8" s="1"/>
  <c r="C99" i="8"/>
  <c r="I99" i="8" s="1"/>
  <c r="F98" i="8"/>
  <c r="G98" i="8" s="1"/>
  <c r="C98" i="8"/>
  <c r="L98" i="8" s="1"/>
  <c r="F97" i="8"/>
  <c r="G97" i="8" s="1"/>
  <c r="C97" i="8"/>
  <c r="I97" i="8" s="1"/>
  <c r="F96" i="8"/>
  <c r="G96" i="8" s="1"/>
  <c r="C96" i="8"/>
  <c r="I96" i="8" s="1"/>
  <c r="F95" i="8"/>
  <c r="C95" i="8"/>
  <c r="L95" i="8" s="1"/>
  <c r="F94" i="8"/>
  <c r="G94" i="8" s="1"/>
  <c r="C94" i="8"/>
  <c r="L94" i="8" s="1"/>
  <c r="F93" i="8"/>
  <c r="G93" i="8" s="1"/>
  <c r="C93" i="8"/>
  <c r="I93" i="8" s="1"/>
  <c r="F92" i="8"/>
  <c r="G92" i="8" s="1"/>
  <c r="C92" i="8"/>
  <c r="L92" i="8" s="1"/>
  <c r="F91" i="8"/>
  <c r="G91" i="8" s="1"/>
  <c r="C91" i="8"/>
  <c r="L91" i="8" s="1"/>
  <c r="F90" i="8"/>
  <c r="G90" i="8" s="1"/>
  <c r="C90" i="8"/>
  <c r="L90" i="8" s="1"/>
  <c r="F89" i="8"/>
  <c r="G89" i="8" s="1"/>
  <c r="C89" i="8"/>
  <c r="I89" i="8" s="1"/>
  <c r="F88" i="8"/>
  <c r="C88" i="8"/>
  <c r="L88" i="8" s="1"/>
  <c r="F87" i="8"/>
  <c r="G87" i="8" s="1"/>
  <c r="C87" i="8"/>
  <c r="L87" i="8" s="1"/>
  <c r="F86" i="8"/>
  <c r="G86" i="8" s="1"/>
  <c r="C86" i="8"/>
  <c r="L86" i="8" s="1"/>
  <c r="F85" i="8"/>
  <c r="G85" i="8" s="1"/>
  <c r="C85" i="8"/>
  <c r="L85" i="8" s="1"/>
  <c r="F84" i="8"/>
  <c r="G84" i="8" s="1"/>
  <c r="C84" i="8"/>
  <c r="I84" i="8" s="1"/>
  <c r="F83" i="8"/>
  <c r="G83" i="8" s="1"/>
  <c r="C83" i="8"/>
  <c r="L83" i="8" s="1"/>
  <c r="F82" i="8"/>
  <c r="C82" i="8"/>
  <c r="L82" i="8" s="1"/>
  <c r="F81" i="8"/>
  <c r="G81" i="8" s="1"/>
  <c r="C81" i="8"/>
  <c r="I81" i="8" s="1"/>
  <c r="F80" i="8"/>
  <c r="G80" i="8" s="1"/>
  <c r="C80" i="8"/>
  <c r="L80" i="8" s="1"/>
  <c r="F79" i="8"/>
  <c r="G79" i="8" s="1"/>
  <c r="C79" i="8"/>
  <c r="L79" i="8" s="1"/>
  <c r="F78" i="8"/>
  <c r="G78" i="8" s="1"/>
  <c r="C78" i="8"/>
  <c r="I78" i="8" s="1"/>
  <c r="F77" i="8"/>
  <c r="G77" i="8" s="1"/>
  <c r="C77" i="8"/>
  <c r="L77" i="8" s="1"/>
  <c r="F76" i="8"/>
  <c r="G76" i="8" s="1"/>
  <c r="C76" i="8"/>
  <c r="L76" i="8" s="1"/>
  <c r="F75" i="8"/>
  <c r="G75" i="8" s="1"/>
  <c r="C75" i="8"/>
  <c r="L75" i="8" s="1"/>
  <c r="F74" i="8"/>
  <c r="G74" i="8" s="1"/>
  <c r="C74" i="8"/>
  <c r="L74" i="8" s="1"/>
  <c r="F73" i="8"/>
  <c r="G73" i="8" s="1"/>
  <c r="C73" i="8"/>
  <c r="L73" i="8" s="1"/>
  <c r="F72" i="8"/>
  <c r="G72" i="8" s="1"/>
  <c r="C72" i="8"/>
  <c r="L72" i="8" s="1"/>
  <c r="F71" i="8"/>
  <c r="G71" i="8" s="1"/>
  <c r="C71" i="8"/>
  <c r="L71" i="8" s="1"/>
  <c r="F70" i="8"/>
  <c r="G70" i="8" s="1"/>
  <c r="C70" i="8"/>
  <c r="L70" i="8" s="1"/>
  <c r="F69" i="8"/>
  <c r="G69" i="8" s="1"/>
  <c r="C69" i="8"/>
  <c r="L69" i="8" s="1"/>
  <c r="F68" i="8"/>
  <c r="G68" i="8" s="1"/>
  <c r="C68" i="8"/>
  <c r="L68" i="8" s="1"/>
  <c r="F67" i="8"/>
  <c r="G67" i="8" s="1"/>
  <c r="C67" i="8"/>
  <c r="L67" i="8" s="1"/>
  <c r="F66" i="8"/>
  <c r="G66" i="8" s="1"/>
  <c r="C66" i="8"/>
  <c r="L66" i="8" s="1"/>
  <c r="F65" i="8"/>
  <c r="G65" i="8" s="1"/>
  <c r="C65" i="8"/>
  <c r="L65" i="8" s="1"/>
  <c r="F64" i="8"/>
  <c r="G64" i="8" s="1"/>
  <c r="C64" i="8"/>
  <c r="L64" i="8" s="1"/>
  <c r="F63" i="8"/>
  <c r="G63" i="8" s="1"/>
  <c r="C63" i="8"/>
  <c r="L63" i="8" s="1"/>
  <c r="F62" i="8"/>
  <c r="G62" i="8" s="1"/>
  <c r="C62" i="8"/>
  <c r="I62" i="8" s="1"/>
  <c r="F61" i="8"/>
  <c r="G61" i="8" s="1"/>
  <c r="C61" i="8"/>
  <c r="I61" i="8" s="1"/>
  <c r="F60" i="8"/>
  <c r="G60" i="8" s="1"/>
  <c r="C60" i="8"/>
  <c r="L60" i="8" s="1"/>
  <c r="F59" i="8"/>
  <c r="C59" i="8"/>
  <c r="L59" i="8" s="1"/>
  <c r="F58" i="8"/>
  <c r="G58" i="8" s="1"/>
  <c r="C58" i="8"/>
  <c r="L58" i="8" s="1"/>
  <c r="F57" i="8"/>
  <c r="G57" i="8" s="1"/>
  <c r="C57" i="8"/>
  <c r="L57" i="8" s="1"/>
  <c r="F56" i="8"/>
  <c r="G56" i="8" s="1"/>
  <c r="C56" i="8"/>
  <c r="L56" i="8" s="1"/>
  <c r="F55" i="8"/>
  <c r="G55" i="8" s="1"/>
  <c r="C55" i="8"/>
  <c r="L55" i="8" s="1"/>
  <c r="F54" i="8"/>
  <c r="G54" i="8" s="1"/>
  <c r="C54" i="8"/>
  <c r="L54" i="8" s="1"/>
  <c r="F53" i="8"/>
  <c r="G53" i="8" s="1"/>
  <c r="C53" i="8"/>
  <c r="I53" i="8" s="1"/>
  <c r="F52" i="8"/>
  <c r="G52" i="8" s="1"/>
  <c r="C52" i="8"/>
  <c r="L52" i="8" s="1"/>
  <c r="F51" i="8"/>
  <c r="G51" i="8" s="1"/>
  <c r="C51" i="8"/>
  <c r="L51" i="8" s="1"/>
  <c r="F50" i="8"/>
  <c r="G50" i="8" s="1"/>
  <c r="C50" i="8"/>
  <c r="L50" i="8" s="1"/>
  <c r="F49" i="8"/>
  <c r="G49" i="8" s="1"/>
  <c r="C49" i="8"/>
  <c r="I49" i="8" s="1"/>
  <c r="F48" i="8"/>
  <c r="G48" i="8" s="1"/>
  <c r="C48" i="8"/>
  <c r="L48" i="8" s="1"/>
  <c r="F47" i="8"/>
  <c r="C47" i="8"/>
  <c r="L47" i="8" s="1"/>
  <c r="F46" i="8"/>
  <c r="G46" i="8" s="1"/>
  <c r="C46" i="8"/>
  <c r="L46" i="8" s="1"/>
  <c r="F45" i="8"/>
  <c r="G45" i="8" s="1"/>
  <c r="C45" i="8"/>
  <c r="I45" i="8" s="1"/>
  <c r="F44" i="8"/>
  <c r="G44" i="8" s="1"/>
  <c r="C44" i="8"/>
  <c r="L44" i="8" s="1"/>
  <c r="F43" i="8"/>
  <c r="G43" i="8" s="1"/>
  <c r="C43" i="8"/>
  <c r="L43" i="8" s="1"/>
  <c r="F42" i="8"/>
  <c r="G42" i="8" s="1"/>
  <c r="C42" i="8"/>
  <c r="L42" i="8" s="1"/>
  <c r="F41" i="8"/>
  <c r="G41" i="8" s="1"/>
  <c r="C41" i="8"/>
  <c r="I41" i="8" s="1"/>
  <c r="F40" i="8"/>
  <c r="G40" i="8" s="1"/>
  <c r="C40" i="8"/>
  <c r="L40" i="8" s="1"/>
  <c r="F39" i="8"/>
  <c r="G39" i="8" s="1"/>
  <c r="C39" i="8"/>
  <c r="L39" i="8" s="1"/>
  <c r="F38" i="8"/>
  <c r="C38" i="8"/>
  <c r="L38" i="8" s="1"/>
  <c r="F37" i="8"/>
  <c r="G37" i="8" s="1"/>
  <c r="C37" i="8"/>
  <c r="I37" i="8" s="1"/>
  <c r="F36" i="8"/>
  <c r="G36" i="8" s="1"/>
  <c r="C36" i="8"/>
  <c r="I36" i="8" s="1"/>
  <c r="F35" i="8"/>
  <c r="G35" i="8" s="1"/>
  <c r="C35" i="8"/>
  <c r="L35" i="8" s="1"/>
  <c r="F34" i="8"/>
  <c r="G34" i="8" s="1"/>
  <c r="C34" i="8"/>
  <c r="L34" i="8" s="1"/>
  <c r="F33" i="8"/>
  <c r="G33" i="8" s="1"/>
  <c r="C33" i="8"/>
  <c r="L33" i="8" s="1"/>
  <c r="F32" i="8"/>
  <c r="G32" i="8" s="1"/>
  <c r="C32" i="8"/>
  <c r="L32" i="8" s="1"/>
  <c r="F31" i="8"/>
  <c r="G31" i="8" s="1"/>
  <c r="C31" i="8"/>
  <c r="L31" i="8" s="1"/>
  <c r="F30" i="8"/>
  <c r="G30" i="8" s="1"/>
  <c r="C30" i="8"/>
  <c r="I30" i="8" s="1"/>
  <c r="F29" i="8"/>
  <c r="G29" i="8" s="1"/>
  <c r="C29" i="8"/>
  <c r="L29" i="8" s="1"/>
  <c r="F28" i="8"/>
  <c r="G28" i="8" s="1"/>
  <c r="C28" i="8"/>
  <c r="L28" i="8" s="1"/>
  <c r="F27" i="8"/>
  <c r="G27" i="8" s="1"/>
  <c r="C27" i="8"/>
  <c r="L27" i="8" s="1"/>
  <c r="F26" i="8"/>
  <c r="G26" i="8" s="1"/>
  <c r="C26" i="8"/>
  <c r="L26" i="8" s="1"/>
  <c r="F25" i="8"/>
  <c r="C25" i="8"/>
  <c r="L25" i="8" s="1"/>
  <c r="F24" i="8"/>
  <c r="G24" i="8" s="1"/>
  <c r="C24" i="8"/>
  <c r="L24" i="8" s="1"/>
  <c r="F23" i="8"/>
  <c r="C23" i="8"/>
  <c r="L23" i="8" s="1"/>
  <c r="F22" i="8"/>
  <c r="G22" i="8" s="1"/>
  <c r="C22" i="8"/>
  <c r="L22" i="8" s="1"/>
  <c r="F21" i="8"/>
  <c r="G21" i="8" s="1"/>
  <c r="C21" i="8"/>
  <c r="L21" i="8" s="1"/>
  <c r="F20" i="8"/>
  <c r="G20" i="8" s="1"/>
  <c r="C20" i="8"/>
  <c r="L20" i="8" s="1"/>
  <c r="F19" i="8"/>
  <c r="G19" i="8" s="1"/>
  <c r="C19" i="8"/>
  <c r="L19" i="8" s="1"/>
  <c r="F18" i="8"/>
  <c r="G18" i="8" s="1"/>
  <c r="C18" i="8"/>
  <c r="L18" i="8" s="1"/>
  <c r="F17" i="8"/>
  <c r="G17" i="8" s="1"/>
  <c r="C17" i="8"/>
  <c r="I17" i="8" s="1"/>
  <c r="F16" i="8"/>
  <c r="G16" i="8" s="1"/>
  <c r="C16" i="8"/>
  <c r="L16" i="8" s="1"/>
  <c r="F15" i="8"/>
  <c r="G15" i="8" s="1"/>
  <c r="C15" i="8"/>
  <c r="L15" i="8" s="1"/>
  <c r="F14" i="8"/>
  <c r="G14" i="8" s="1"/>
  <c r="C14" i="8"/>
  <c r="I14" i="8" s="1"/>
  <c r="F13" i="8"/>
  <c r="G13" i="8" s="1"/>
  <c r="C13" i="8"/>
  <c r="I13" i="8" s="1"/>
  <c r="F12" i="8"/>
  <c r="G12" i="8" s="1"/>
  <c r="C12" i="8"/>
  <c r="L12" i="8" s="1"/>
  <c r="F11" i="8"/>
  <c r="C11" i="8"/>
  <c r="L11" i="8" s="1"/>
  <c r="F10" i="8"/>
  <c r="G10" i="8" s="1"/>
  <c r="C10" i="8"/>
  <c r="L10" i="8" s="1"/>
  <c r="F9" i="8"/>
  <c r="G9" i="8" s="1"/>
  <c r="C9" i="8"/>
  <c r="I9" i="8" s="1"/>
  <c r="F8" i="8"/>
  <c r="G8" i="8" s="1"/>
  <c r="C8" i="8"/>
  <c r="L8" i="8" s="1"/>
  <c r="F7" i="8"/>
  <c r="G7" i="8" s="1"/>
  <c r="C7" i="8"/>
  <c r="L7" i="8" s="1"/>
  <c r="F6" i="8"/>
  <c r="G6" i="8" s="1"/>
  <c r="C6" i="8"/>
  <c r="L6" i="8" s="1"/>
  <c r="F5" i="8"/>
  <c r="G5" i="8" s="1"/>
  <c r="C5" i="8"/>
  <c r="I5" i="8" s="1"/>
  <c r="F4" i="8"/>
  <c r="G4" i="8" s="1"/>
  <c r="C4" i="8"/>
  <c r="L4" i="8" s="1"/>
  <c r="F3" i="8"/>
  <c r="G3" i="8" s="1"/>
  <c r="C3" i="8"/>
  <c r="L3" i="8" s="1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AD2" i="6" s="1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4" i="2"/>
  <c r="B4" i="13" s="1"/>
  <c r="B13" i="2"/>
  <c r="B12" i="2"/>
  <c r="B9" i="2"/>
  <c r="I9" i="9"/>
  <c r="W49" i="14"/>
  <c r="B8" i="13"/>
  <c r="J3" i="8" l="1"/>
  <c r="J15" i="8"/>
  <c r="J21" i="8"/>
  <c r="J27" i="8"/>
  <c r="J33" i="8"/>
  <c r="E135" i="12"/>
  <c r="P3" i="12"/>
  <c r="W31" i="12"/>
  <c r="O67" i="12"/>
  <c r="B73" i="12"/>
  <c r="Q79" i="12"/>
  <c r="W109" i="12"/>
  <c r="P115" i="12"/>
  <c r="W127" i="12"/>
  <c r="B139" i="12"/>
  <c r="N151" i="12"/>
  <c r="B157" i="12"/>
  <c r="U163" i="12"/>
  <c r="B169" i="12"/>
  <c r="O175" i="12"/>
  <c r="U199" i="12"/>
  <c r="T57" i="12"/>
  <c r="D190" i="12"/>
  <c r="E190" i="12"/>
  <c r="G190" i="12"/>
  <c r="N45" i="12"/>
  <c r="P69" i="12"/>
  <c r="O81" i="12"/>
  <c r="N87" i="12"/>
  <c r="O99" i="12"/>
  <c r="A169" i="14"/>
  <c r="T123" i="12"/>
  <c r="B135" i="12"/>
  <c r="G135" i="12"/>
  <c r="F135" i="12"/>
  <c r="D135" i="12"/>
  <c r="B147" i="12"/>
  <c r="T159" i="12"/>
  <c r="S165" i="12"/>
  <c r="W171" i="12"/>
  <c r="N195" i="12"/>
  <c r="O4" i="12"/>
  <c r="Q29" i="12"/>
  <c r="R161" i="12"/>
  <c r="U191" i="12"/>
  <c r="N6" i="12"/>
  <c r="W18" i="12"/>
  <c r="N30" i="12"/>
  <c r="S54" i="12"/>
  <c r="U60" i="12"/>
  <c r="V66" i="12"/>
  <c r="W84" i="12"/>
  <c r="Q102" i="12"/>
  <c r="T120" i="12"/>
  <c r="N162" i="12"/>
  <c r="O168" i="12"/>
  <c r="N174" i="12"/>
  <c r="W180" i="12"/>
  <c r="T186" i="12"/>
  <c r="U198" i="12"/>
  <c r="T83" i="12"/>
  <c r="V5" i="12"/>
  <c r="R28" i="12"/>
  <c r="Q124" i="12"/>
  <c r="V184" i="12"/>
  <c r="J39" i="8"/>
  <c r="J51" i="8"/>
  <c r="J57" i="8"/>
  <c r="J63" i="8"/>
  <c r="J69" i="8"/>
  <c r="J75" i="8"/>
  <c r="J87" i="8"/>
  <c r="J111" i="8"/>
  <c r="J117" i="8"/>
  <c r="J74" i="8"/>
  <c r="J80" i="8"/>
  <c r="J86" i="8"/>
  <c r="J92" i="8"/>
  <c r="J98" i="8"/>
  <c r="J104" i="8"/>
  <c r="J116" i="8"/>
  <c r="J134" i="8"/>
  <c r="J140" i="8"/>
  <c r="J146" i="8"/>
  <c r="J164" i="8"/>
  <c r="J170" i="8"/>
  <c r="J182" i="8"/>
  <c r="J200" i="8"/>
  <c r="J123" i="8"/>
  <c r="J135" i="8"/>
  <c r="J141" i="8"/>
  <c r="J147" i="8"/>
  <c r="J159" i="8"/>
  <c r="J165" i="8"/>
  <c r="J171" i="8"/>
  <c r="J177" i="8"/>
  <c r="J183" i="8"/>
  <c r="J189" i="8"/>
  <c r="J10" i="8"/>
  <c r="J22" i="8"/>
  <c r="J34" i="8"/>
  <c r="J46" i="8"/>
  <c r="J58" i="8"/>
  <c r="J70" i="8"/>
  <c r="J82" i="8"/>
  <c r="J94" i="8"/>
  <c r="J106" i="8"/>
  <c r="J118" i="8"/>
  <c r="J130" i="8"/>
  <c r="J142" i="8"/>
  <c r="J154" i="8"/>
  <c r="J166" i="8"/>
  <c r="J190" i="8"/>
  <c r="J11" i="8"/>
  <c r="J23" i="8"/>
  <c r="J29" i="8"/>
  <c r="J35" i="8"/>
  <c r="J47" i="8"/>
  <c r="J59" i="8"/>
  <c r="J65" i="8"/>
  <c r="J71" i="8"/>
  <c r="J77" i="8"/>
  <c r="J83" i="8"/>
  <c r="J95" i="8"/>
  <c r="J107" i="8"/>
  <c r="J113" i="8"/>
  <c r="J119" i="8"/>
  <c r="J125" i="8"/>
  <c r="J131" i="8"/>
  <c r="J143" i="8"/>
  <c r="J149" i="8"/>
  <c r="J155" i="8"/>
  <c r="J161" i="8"/>
  <c r="J173" i="8"/>
  <c r="J179" i="8"/>
  <c r="J185" i="8"/>
  <c r="J191" i="8"/>
  <c r="J197" i="8"/>
  <c r="I58" i="8"/>
  <c r="J88" i="8"/>
  <c r="I190" i="8"/>
  <c r="I46" i="8"/>
  <c r="I34" i="8"/>
  <c r="I166" i="8"/>
  <c r="I22" i="8"/>
  <c r="J6" i="8"/>
  <c r="J12" i="8"/>
  <c r="J18" i="8"/>
  <c r="J24" i="8"/>
  <c r="J42" i="8"/>
  <c r="J48" i="8"/>
  <c r="J54" i="8"/>
  <c r="J60" i="8"/>
  <c r="J66" i="8"/>
  <c r="J72" i="8"/>
  <c r="J90" i="8"/>
  <c r="J102" i="8"/>
  <c r="J108" i="8"/>
  <c r="J114" i="8"/>
  <c r="J120" i="8"/>
  <c r="J126" i="8"/>
  <c r="J138" i="8"/>
  <c r="J144" i="8"/>
  <c r="J156" i="8"/>
  <c r="J162" i="8"/>
  <c r="J174" i="8"/>
  <c r="J180" i="8"/>
  <c r="J192" i="8"/>
  <c r="J198" i="8"/>
  <c r="I154" i="8"/>
  <c r="I10" i="8"/>
  <c r="I142" i="8"/>
  <c r="J7" i="8"/>
  <c r="J19" i="8"/>
  <c r="J25" i="8"/>
  <c r="J31" i="8"/>
  <c r="J43" i="8"/>
  <c r="J55" i="8"/>
  <c r="J67" i="8"/>
  <c r="J73" i="8"/>
  <c r="J79" i="8"/>
  <c r="J85" i="8"/>
  <c r="J91" i="8"/>
  <c r="J103" i="8"/>
  <c r="J115" i="8"/>
  <c r="J121" i="8"/>
  <c r="J127" i="8"/>
  <c r="J133" i="8"/>
  <c r="J139" i="8"/>
  <c r="J145" i="8"/>
  <c r="J151" i="8"/>
  <c r="J157" i="8"/>
  <c r="J163" i="8"/>
  <c r="J169" i="8"/>
  <c r="J175" i="8"/>
  <c r="J181" i="8"/>
  <c r="J187" i="8"/>
  <c r="J193" i="8"/>
  <c r="J199" i="8"/>
  <c r="I130" i="8"/>
  <c r="I118" i="8"/>
  <c r="J2" i="8"/>
  <c r="J8" i="8"/>
  <c r="J20" i="8"/>
  <c r="J26" i="8"/>
  <c r="J32" i="8"/>
  <c r="J38" i="8"/>
  <c r="J44" i="8"/>
  <c r="J50" i="8"/>
  <c r="J56" i="8"/>
  <c r="J68" i="8"/>
  <c r="I106" i="8"/>
  <c r="I94" i="8"/>
  <c r="I82" i="8"/>
  <c r="I70" i="8"/>
  <c r="O196" i="8"/>
  <c r="O184" i="8"/>
  <c r="O172" i="8"/>
  <c r="O160" i="8"/>
  <c r="O148" i="8"/>
  <c r="O136" i="8"/>
  <c r="O124" i="8"/>
  <c r="O112" i="8"/>
  <c r="O100" i="8"/>
  <c r="O88" i="8"/>
  <c r="O76" i="8"/>
  <c r="O64" i="8"/>
  <c r="O52" i="8"/>
  <c r="O40" i="8"/>
  <c r="O28" i="8"/>
  <c r="O16" i="8"/>
  <c r="O4" i="8"/>
  <c r="I191" i="8"/>
  <c r="I179" i="8"/>
  <c r="I155" i="8"/>
  <c r="I143" i="8"/>
  <c r="I131" i="8"/>
  <c r="I119" i="8"/>
  <c r="I107" i="8"/>
  <c r="I95" i="8"/>
  <c r="I83" i="8"/>
  <c r="I71" i="8"/>
  <c r="I59" i="8"/>
  <c r="I47" i="8"/>
  <c r="I35" i="8"/>
  <c r="I23" i="8"/>
  <c r="I11" i="8"/>
  <c r="O195" i="8"/>
  <c r="O183" i="8"/>
  <c r="O171" i="8"/>
  <c r="O159" i="8"/>
  <c r="O147" i="8"/>
  <c r="O135" i="8"/>
  <c r="O123" i="8"/>
  <c r="O111" i="8"/>
  <c r="O99" i="8"/>
  <c r="O87" i="8"/>
  <c r="O75" i="8"/>
  <c r="O63" i="8"/>
  <c r="O51" i="8"/>
  <c r="O39" i="8"/>
  <c r="O27" i="8"/>
  <c r="O15" i="8"/>
  <c r="O3" i="8"/>
  <c r="O194" i="8"/>
  <c r="O182" i="8"/>
  <c r="O170" i="8"/>
  <c r="O158" i="8"/>
  <c r="O146" i="8"/>
  <c r="O134" i="8"/>
  <c r="O122" i="8"/>
  <c r="O110" i="8"/>
  <c r="O98" i="8"/>
  <c r="O86" i="8"/>
  <c r="O74" i="8"/>
  <c r="O62" i="8"/>
  <c r="O50" i="8"/>
  <c r="O38" i="8"/>
  <c r="O26" i="8"/>
  <c r="O14" i="8"/>
  <c r="O2" i="8"/>
  <c r="I189" i="8"/>
  <c r="I177" i="8"/>
  <c r="I165" i="8"/>
  <c r="I141" i="8"/>
  <c r="I117" i="8"/>
  <c r="I69" i="8"/>
  <c r="I57" i="8"/>
  <c r="I33" i="8"/>
  <c r="I21" i="8"/>
  <c r="J196" i="8"/>
  <c r="J184" i="8"/>
  <c r="J172" i="8"/>
  <c r="J160" i="8"/>
  <c r="J148" i="8"/>
  <c r="J136" i="8"/>
  <c r="J124" i="8"/>
  <c r="J112" i="8"/>
  <c r="J100" i="8"/>
  <c r="J76" i="8"/>
  <c r="J64" i="8"/>
  <c r="J52" i="8"/>
  <c r="J40" i="8"/>
  <c r="J28" i="8"/>
  <c r="J16" i="8"/>
  <c r="J4" i="8"/>
  <c r="O193" i="8"/>
  <c r="O181" i="8"/>
  <c r="O169" i="8"/>
  <c r="O157" i="8"/>
  <c r="O145" i="8"/>
  <c r="O133" i="8"/>
  <c r="O121" i="8"/>
  <c r="O109" i="8"/>
  <c r="O97" i="8"/>
  <c r="O85" i="8"/>
  <c r="O73" i="8"/>
  <c r="O61" i="8"/>
  <c r="O49" i="8"/>
  <c r="O37" i="8"/>
  <c r="O25" i="8"/>
  <c r="O13" i="8"/>
  <c r="I200" i="8"/>
  <c r="I164" i="8"/>
  <c r="I140" i="8"/>
  <c r="I116" i="8"/>
  <c r="I104" i="8"/>
  <c r="I92" i="8"/>
  <c r="I80" i="8"/>
  <c r="I68" i="8"/>
  <c r="I56" i="8"/>
  <c r="I44" i="8"/>
  <c r="I32" i="8"/>
  <c r="I20" i="8"/>
  <c r="I8" i="8"/>
  <c r="O192" i="8"/>
  <c r="O180" i="8"/>
  <c r="O168" i="8"/>
  <c r="O156" i="8"/>
  <c r="O144" i="8"/>
  <c r="O132" i="8"/>
  <c r="O120" i="8"/>
  <c r="O108" i="8"/>
  <c r="O96" i="8"/>
  <c r="O84" i="8"/>
  <c r="O72" i="8"/>
  <c r="O60" i="8"/>
  <c r="O48" i="8"/>
  <c r="O36" i="8"/>
  <c r="O24" i="8"/>
  <c r="O12" i="8"/>
  <c r="I199" i="8"/>
  <c r="I187" i="8"/>
  <c r="I175" i="8"/>
  <c r="I163" i="8"/>
  <c r="I151" i="8"/>
  <c r="I139" i="8"/>
  <c r="I127" i="8"/>
  <c r="I115" i="8"/>
  <c r="I103" i="8"/>
  <c r="I91" i="8"/>
  <c r="I79" i="8"/>
  <c r="I67" i="8"/>
  <c r="I55" i="8"/>
  <c r="I43" i="8"/>
  <c r="I31" i="8"/>
  <c r="I19" i="8"/>
  <c r="I7" i="8"/>
  <c r="O191" i="8"/>
  <c r="O179" i="8"/>
  <c r="O167" i="8"/>
  <c r="O155" i="8"/>
  <c r="O143" i="8"/>
  <c r="O131" i="8"/>
  <c r="O119" i="8"/>
  <c r="O107" i="8"/>
  <c r="O95" i="8"/>
  <c r="O83" i="8"/>
  <c r="O71" i="8"/>
  <c r="O59" i="8"/>
  <c r="O47" i="8"/>
  <c r="O35" i="8"/>
  <c r="O23" i="8"/>
  <c r="O11" i="8"/>
  <c r="I198" i="8"/>
  <c r="I174" i="8"/>
  <c r="I162" i="8"/>
  <c r="I138" i="8"/>
  <c r="I126" i="8"/>
  <c r="I114" i="8"/>
  <c r="I102" i="8"/>
  <c r="I90" i="8"/>
  <c r="I66" i="8"/>
  <c r="I54" i="8"/>
  <c r="I42" i="8"/>
  <c r="I18" i="8"/>
  <c r="I6" i="8"/>
  <c r="O190" i="8"/>
  <c r="O178" i="8"/>
  <c r="O166" i="8"/>
  <c r="O154" i="8"/>
  <c r="O142" i="8"/>
  <c r="O130" i="8"/>
  <c r="O118" i="8"/>
  <c r="O106" i="8"/>
  <c r="O94" i="8"/>
  <c r="O82" i="8"/>
  <c r="O70" i="8"/>
  <c r="O58" i="8"/>
  <c r="O46" i="8"/>
  <c r="O34" i="8"/>
  <c r="O22" i="8"/>
  <c r="O10" i="8"/>
  <c r="I197" i="8"/>
  <c r="I185" i="8"/>
  <c r="I173" i="8"/>
  <c r="I161" i="8"/>
  <c r="I149" i="8"/>
  <c r="I125" i="8"/>
  <c r="I113" i="8"/>
  <c r="I77" i="8"/>
  <c r="I65" i="8"/>
  <c r="I29" i="8"/>
  <c r="O189" i="8"/>
  <c r="O177" i="8"/>
  <c r="O165" i="8"/>
  <c r="O153" i="8"/>
  <c r="O141" i="8"/>
  <c r="O129" i="8"/>
  <c r="O117" i="8"/>
  <c r="O105" i="8"/>
  <c r="O93" i="8"/>
  <c r="O81" i="8"/>
  <c r="O69" i="8"/>
  <c r="O57" i="8"/>
  <c r="O45" i="8"/>
  <c r="O33" i="8"/>
  <c r="O21" i="8"/>
  <c r="O9" i="8"/>
  <c r="I196" i="8"/>
  <c r="I184" i="8"/>
  <c r="I172" i="8"/>
  <c r="I160" i="8"/>
  <c r="I148" i="8"/>
  <c r="I136" i="8"/>
  <c r="I124" i="8"/>
  <c r="I112" i="8"/>
  <c r="I100" i="8"/>
  <c r="I88" i="8"/>
  <c r="I76" i="8"/>
  <c r="I64" i="8"/>
  <c r="I52" i="8"/>
  <c r="I40" i="8"/>
  <c r="I28" i="8"/>
  <c r="I16" i="8"/>
  <c r="I4" i="8"/>
  <c r="O200" i="8"/>
  <c r="O188" i="8"/>
  <c r="O176" i="8"/>
  <c r="O164" i="8"/>
  <c r="O152" i="8"/>
  <c r="O140" i="8"/>
  <c r="O128" i="8"/>
  <c r="O116" i="8"/>
  <c r="O104" i="8"/>
  <c r="O92" i="8"/>
  <c r="O80" i="8"/>
  <c r="O68" i="8"/>
  <c r="O56" i="8"/>
  <c r="O44" i="8"/>
  <c r="O32" i="8"/>
  <c r="O20" i="8"/>
  <c r="O8" i="8"/>
  <c r="I183" i="8"/>
  <c r="I171" i="8"/>
  <c r="I159" i="8"/>
  <c r="I147" i="8"/>
  <c r="I135" i="8"/>
  <c r="I123" i="8"/>
  <c r="I111" i="8"/>
  <c r="I87" i="8"/>
  <c r="I75" i="8"/>
  <c r="I63" i="8"/>
  <c r="I51" i="8"/>
  <c r="I39" i="8"/>
  <c r="I27" i="8"/>
  <c r="I15" i="8"/>
  <c r="I3" i="8"/>
  <c r="O199" i="8"/>
  <c r="O187" i="8"/>
  <c r="O175" i="8"/>
  <c r="O163" i="8"/>
  <c r="O151" i="8"/>
  <c r="O139" i="8"/>
  <c r="O127" i="8"/>
  <c r="O115" i="8"/>
  <c r="O103" i="8"/>
  <c r="O91" i="8"/>
  <c r="O79" i="8"/>
  <c r="O67" i="8"/>
  <c r="O55" i="8"/>
  <c r="O43" i="8"/>
  <c r="O31" i="8"/>
  <c r="O19" i="8"/>
  <c r="O7" i="8"/>
  <c r="I182" i="8"/>
  <c r="I170" i="8"/>
  <c r="I146" i="8"/>
  <c r="I134" i="8"/>
  <c r="I98" i="8"/>
  <c r="I86" i="8"/>
  <c r="I74" i="8"/>
  <c r="I50" i="8"/>
  <c r="I38" i="8"/>
  <c r="I26" i="8"/>
  <c r="I2" i="8"/>
  <c r="O198" i="8"/>
  <c r="O186" i="8"/>
  <c r="O174" i="8"/>
  <c r="O162" i="8"/>
  <c r="O150" i="8"/>
  <c r="O138" i="8"/>
  <c r="O126" i="8"/>
  <c r="O114" i="8"/>
  <c r="O102" i="8"/>
  <c r="O90" i="8"/>
  <c r="O78" i="8"/>
  <c r="O66" i="8"/>
  <c r="O54" i="8"/>
  <c r="O42" i="8"/>
  <c r="O30" i="8"/>
  <c r="O18" i="8"/>
  <c r="O6" i="8"/>
  <c r="I193" i="8"/>
  <c r="I181" i="8"/>
  <c r="I169" i="8"/>
  <c r="I157" i="8"/>
  <c r="I145" i="8"/>
  <c r="I133" i="8"/>
  <c r="I121" i="8"/>
  <c r="I85" i="8"/>
  <c r="I73" i="8"/>
  <c r="I25" i="8"/>
  <c r="O197" i="8"/>
  <c r="O185" i="8"/>
  <c r="O173" i="8"/>
  <c r="O161" i="8"/>
  <c r="O149" i="8"/>
  <c r="O137" i="8"/>
  <c r="O125" i="8"/>
  <c r="O113" i="8"/>
  <c r="O101" i="8"/>
  <c r="O89" i="8"/>
  <c r="O77" i="8"/>
  <c r="O65" i="8"/>
  <c r="O53" i="8"/>
  <c r="O41" i="8"/>
  <c r="O29" i="8"/>
  <c r="O17" i="8"/>
  <c r="O5" i="8"/>
  <c r="I192" i="8"/>
  <c r="I180" i="8"/>
  <c r="I156" i="8"/>
  <c r="I144" i="8"/>
  <c r="I120" i="8"/>
  <c r="I108" i="8"/>
  <c r="I72" i="8"/>
  <c r="I60" i="8"/>
  <c r="I48" i="8"/>
  <c r="I24" i="8"/>
  <c r="I12" i="8"/>
  <c r="B26" i="15"/>
  <c r="T20" i="14"/>
  <c r="W66" i="14" s="1"/>
  <c r="W50" i="14" s="1"/>
  <c r="C10" i="15" s="1"/>
  <c r="B27" i="15"/>
  <c r="C27" i="15" s="1"/>
  <c r="F4" i="14"/>
  <c r="D33" i="14" s="1"/>
  <c r="E33" i="14" s="1"/>
  <c r="B28" i="15"/>
  <c r="C28" i="15" s="1"/>
  <c r="B38" i="20"/>
  <c r="B36" i="20"/>
  <c r="B29" i="15"/>
  <c r="C29" i="15" s="1"/>
  <c r="A33" i="15"/>
  <c r="B30" i="15"/>
  <c r="C30" i="15" s="1"/>
  <c r="J8" i="15"/>
  <c r="C3" i="15" s="1"/>
  <c r="B34" i="15"/>
  <c r="H5" i="15"/>
  <c r="D6" i="15" s="1"/>
  <c r="F6" i="20" s="1"/>
  <c r="F9" i="20" s="1"/>
  <c r="F10" i="20" s="1"/>
  <c r="B37" i="15"/>
  <c r="C37" i="15" s="1"/>
  <c r="B35" i="20"/>
  <c r="B37" i="20"/>
  <c r="B39" i="20"/>
  <c r="B5" i="13"/>
  <c r="B6" i="13" s="1"/>
  <c r="C6" i="20"/>
  <c r="D15" i="20"/>
  <c r="B66" i="20"/>
  <c r="C66" i="20"/>
  <c r="D16" i="20"/>
  <c r="D66" i="20"/>
  <c r="B68" i="20"/>
  <c r="C68" i="20"/>
  <c r="C18" i="20"/>
  <c r="B62" i="20"/>
  <c r="D68" i="20"/>
  <c r="B6" i="20"/>
  <c r="B64" i="20"/>
  <c r="B69" i="20"/>
  <c r="D19" i="20"/>
  <c r="C64" i="20"/>
  <c r="C69" i="20"/>
  <c r="D64" i="20"/>
  <c r="D69" i="20"/>
  <c r="B65" i="20"/>
  <c r="B70" i="20"/>
  <c r="C65" i="20"/>
  <c r="C70" i="20"/>
  <c r="D10" i="20"/>
  <c r="D65" i="20"/>
  <c r="D70" i="20"/>
  <c r="D9" i="20"/>
  <c r="D14" i="20"/>
  <c r="D18" i="20"/>
  <c r="B63" i="20"/>
  <c r="B67" i="20"/>
  <c r="B71" i="20"/>
  <c r="C63" i="20"/>
  <c r="C67" i="20"/>
  <c r="C71" i="20"/>
  <c r="C19" i="20"/>
  <c r="D63" i="20"/>
  <c r="D67" i="20"/>
  <c r="D71" i="20"/>
  <c r="U84" i="14"/>
  <c r="U93" i="14" s="1"/>
  <c r="T84" i="14"/>
  <c r="T93" i="14" s="1"/>
  <c r="U90" i="14"/>
  <c r="V84" i="14"/>
  <c r="V87" i="14" s="1"/>
  <c r="W84" i="14"/>
  <c r="W85" i="14" s="1"/>
  <c r="W90" i="14"/>
  <c r="T83" i="14"/>
  <c r="T95" i="14"/>
  <c r="V83" i="14"/>
  <c r="V95" i="14"/>
  <c r="U83" i="14"/>
  <c r="W83" i="14"/>
  <c r="T90" i="14"/>
  <c r="V90" i="14"/>
  <c r="AE3" i="6"/>
  <c r="AB6" i="6"/>
  <c r="AC2" i="6"/>
  <c r="AB2" i="6"/>
  <c r="AF4" i="6"/>
  <c r="AC6" i="6"/>
  <c r="AE6" i="6"/>
  <c r="AC5" i="6"/>
  <c r="T75" i="14"/>
  <c r="T74" i="14" s="1"/>
  <c r="AE5" i="6"/>
  <c r="AF5" i="6"/>
  <c r="AF3" i="6"/>
  <c r="AB4" i="6"/>
  <c r="AC4" i="6"/>
  <c r="D10" i="14"/>
  <c r="E10" i="14" s="1"/>
  <c r="AF2" i="6"/>
  <c r="AB3" i="6"/>
  <c r="T46" i="14"/>
  <c r="T45" i="14"/>
  <c r="T44" i="14"/>
  <c r="T43" i="14"/>
  <c r="T42" i="14"/>
  <c r="A81" i="15"/>
  <c r="D8" i="15"/>
  <c r="C8" i="15"/>
  <c r="A8" i="15"/>
  <c r="A6" i="15"/>
  <c r="A4" i="15"/>
  <c r="B84" i="15"/>
  <c r="C15" i="20" s="1"/>
  <c r="A84" i="15"/>
  <c r="B15" i="20" s="1"/>
  <c r="E76" i="15"/>
  <c r="E75" i="15"/>
  <c r="E74" i="15"/>
  <c r="E73" i="15"/>
  <c r="A71" i="15"/>
  <c r="A70" i="15"/>
  <c r="A69" i="15"/>
  <c r="E23" i="15"/>
  <c r="S16" i="7"/>
  <c r="T16" i="7"/>
  <c r="R16" i="7"/>
  <c r="Q16" i="7"/>
  <c r="P16" i="7"/>
  <c r="O16" i="7"/>
  <c r="N16" i="7"/>
  <c r="T15" i="7"/>
  <c r="S15" i="7"/>
  <c r="R15" i="7"/>
  <c r="Q15" i="7"/>
  <c r="P15" i="7"/>
  <c r="O15" i="7"/>
  <c r="N15" i="7"/>
  <c r="T14" i="7"/>
  <c r="S14" i="7"/>
  <c r="R14" i="7"/>
  <c r="Q14" i="7"/>
  <c r="P14" i="7"/>
  <c r="O14" i="7"/>
  <c r="N14" i="7"/>
  <c r="T13" i="7"/>
  <c r="S13" i="7"/>
  <c r="R13" i="7"/>
  <c r="Q13" i="7"/>
  <c r="P13" i="7"/>
  <c r="O13" i="7"/>
  <c r="N13" i="7"/>
  <c r="T12" i="7"/>
  <c r="S12" i="7"/>
  <c r="R12" i="7"/>
  <c r="Q12" i="7"/>
  <c r="P12" i="7"/>
  <c r="O12" i="7"/>
  <c r="N12" i="7"/>
  <c r="A131" i="1"/>
  <c r="B22" i="1"/>
  <c r="A180" i="1"/>
  <c r="B180" i="1"/>
  <c r="D74" i="15"/>
  <c r="C75" i="15"/>
  <c r="C74" i="15"/>
  <c r="C76" i="15"/>
  <c r="B44" i="1"/>
  <c r="D76" i="15"/>
  <c r="D75" i="15"/>
  <c r="A60" i="1"/>
  <c r="A120" i="1"/>
  <c r="C73" i="15"/>
  <c r="C77" i="15"/>
  <c r="A24" i="1"/>
  <c r="D73" i="15"/>
  <c r="D77" i="15"/>
  <c r="B120" i="1"/>
  <c r="B23" i="1"/>
  <c r="A71" i="1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E168" i="12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694" i="7"/>
  <c r="I4686" i="7"/>
  <c r="B3" i="11"/>
  <c r="O166" i="14"/>
  <c r="J2531" i="7"/>
  <c r="J3663" i="7"/>
  <c r="I1280" i="7"/>
  <c r="B35" i="11"/>
  <c r="L66" i="14"/>
  <c r="Y29" i="10"/>
  <c r="D29" i="12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D198" i="12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F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G5" i="12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D161" i="12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G79" i="12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G62" i="12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26" i="20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5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E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D15" i="12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E16" i="12" s="1"/>
  <c r="Q16" i="10"/>
  <c r="AD16" i="10"/>
  <c r="O16" i="10"/>
  <c r="L16" i="10"/>
  <c r="AE16" i="10"/>
  <c r="H16" i="10"/>
  <c r="S180" i="10"/>
  <c r="Q180" i="10"/>
  <c r="AD180" i="10"/>
  <c r="Y180" i="10"/>
  <c r="G180" i="12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3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G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F68" i="12" s="1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D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G6" i="12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F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E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D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F32" i="12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G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D125" i="9"/>
  <c r="B125" i="9"/>
  <c r="AF19" i="10"/>
  <c r="Y19" i="10"/>
  <c r="G19" i="12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D55" i="9"/>
  <c r="C55" i="9"/>
  <c r="B99" i="9"/>
  <c r="L144" i="9"/>
  <c r="N144" i="9" s="1"/>
  <c r="L159" i="9"/>
  <c r="F159" i="9"/>
  <c r="C19" i="10"/>
  <c r="Y51" i="10"/>
  <c r="F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F105" i="9"/>
  <c r="E105" i="9"/>
  <c r="D105" i="9"/>
  <c r="N105" i="9" s="1"/>
  <c r="C105" i="9"/>
  <c r="B105" i="9"/>
  <c r="K140" i="9"/>
  <c r="F140" i="9"/>
  <c r="R19" i="10"/>
  <c r="AA82" i="10"/>
  <c r="Y82" i="10"/>
  <c r="G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AK125" i="10"/>
  <c r="AD125" i="10"/>
  <c r="R125" i="10"/>
  <c r="Y196" i="10"/>
  <c r="G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D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F100" i="12" s="1"/>
  <c r="H100" i="10"/>
  <c r="G100" i="10"/>
  <c r="B101" i="10"/>
  <c r="AJ110" i="10"/>
  <c r="S110" i="10"/>
  <c r="Q125" i="10"/>
  <c r="Y131" i="10"/>
  <c r="E131" i="12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X119" i="10"/>
  <c r="AK121" i="10"/>
  <c r="G121" i="10"/>
  <c r="Y121" i="10"/>
  <c r="E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G28" i="10"/>
  <c r="F28" i="10"/>
  <c r="AI28" i="10"/>
  <c r="AL73" i="10"/>
  <c r="Y73" i="10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D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G98" i="12" s="1"/>
  <c r="L98" i="10"/>
  <c r="H98" i="10"/>
  <c r="B98" i="10"/>
  <c r="U104" i="10"/>
  <c r="S104" i="10"/>
  <c r="W104" i="10"/>
  <c r="AA104" i="10"/>
  <c r="Y104" i="10"/>
  <c r="F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G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W65" i="10"/>
  <c r="L65" i="10"/>
  <c r="G65" i="10"/>
  <c r="C65" i="10"/>
  <c r="Y75" i="10"/>
  <c r="G75" i="12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L69" i="9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D21" i="12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G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E67" i="12" s="1"/>
  <c r="W67" i="10"/>
  <c r="C67" i="10"/>
  <c r="L89" i="10"/>
  <c r="U89" i="10"/>
  <c r="G89" i="10"/>
  <c r="AL89" i="10"/>
  <c r="AA89" i="10"/>
  <c r="Y89" i="10"/>
  <c r="D89" i="12" s="1"/>
  <c r="B89" i="10"/>
  <c r="W91" i="10"/>
  <c r="Y113" i="10"/>
  <c r="E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V164" i="10"/>
  <c r="K164" i="10"/>
  <c r="Y179" i="10"/>
  <c r="G179" i="12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G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G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D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AB124" i="10"/>
  <c r="V124" i="10"/>
  <c r="S124" i="10"/>
  <c r="AL124" i="10"/>
  <c r="AB188" i="10"/>
  <c r="Y188" i="10"/>
  <c r="F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F9" i="12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G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G31" i="12" s="1"/>
  <c r="AI45" i="10"/>
  <c r="Y45" i="10"/>
  <c r="V45" i="10"/>
  <c r="AA45" i="10"/>
  <c r="F45" i="10"/>
  <c r="O45" i="10"/>
  <c r="M45" i="10"/>
  <c r="K45" i="10"/>
  <c r="AC54" i="10"/>
  <c r="Z54" i="10"/>
  <c r="Y54" i="10"/>
  <c r="E54" i="12" s="1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E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G192" i="12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D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E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G110" i="12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F80" i="12" s="1"/>
  <c r="AL80" i="10"/>
  <c r="AA88" i="10"/>
  <c r="AK88" i="10"/>
  <c r="T88" i="10"/>
  <c r="D88" i="10"/>
  <c r="Y88" i="10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F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E35" i="12" s="1"/>
  <c r="Y42" i="10"/>
  <c r="D42" i="12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G163" i="12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E187" i="12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D177" i="12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4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4" i="7"/>
  <c r="S7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7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3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Q3" i="7"/>
  <c r="N6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L153" i="8"/>
  <c r="J153" i="8" s="1"/>
  <c r="J1302" i="7"/>
  <c r="I1302" i="7"/>
  <c r="C14" i="3"/>
  <c r="I791" i="7"/>
  <c r="J791" i="7"/>
  <c r="C12" i="3"/>
  <c r="R7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4" i="7"/>
  <c r="P3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3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6" i="7"/>
  <c r="S3" i="7"/>
  <c r="P4" i="7"/>
  <c r="N5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4" i="7"/>
  <c r="P5" i="7"/>
  <c r="P6" i="7"/>
  <c r="N7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4" i="7"/>
  <c r="R5" i="7"/>
  <c r="Q6" i="7"/>
  <c r="O7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7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5" i="7"/>
  <c r="R6" i="7"/>
  <c r="I27" i="7"/>
  <c r="I95" i="7"/>
  <c r="I135" i="7"/>
  <c r="J135" i="7"/>
  <c r="I155" i="7"/>
  <c r="J221" i="7"/>
  <c r="S6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5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5" i="7"/>
  <c r="R3" i="7"/>
  <c r="N4" i="7"/>
  <c r="T6" i="7"/>
  <c r="P7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L101" i="8"/>
  <c r="J101" i="8" s="1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G107" i="8"/>
  <c r="X48" i="14"/>
  <c r="F49" i="11"/>
  <c r="O49" i="11"/>
  <c r="I49" i="11"/>
  <c r="C49" i="11"/>
  <c r="AD48" i="10"/>
  <c r="R48" i="10"/>
  <c r="F48" i="10"/>
  <c r="L49" i="11"/>
  <c r="AL48" i="10"/>
  <c r="Y48" i="10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L96" i="8"/>
  <c r="J96" i="8" s="1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L105" i="8"/>
  <c r="J105" i="8" s="1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L128" i="8"/>
  <c r="J128" i="8" s="1"/>
  <c r="E5" i="9"/>
  <c r="X25" i="14"/>
  <c r="O26" i="11"/>
  <c r="C26" i="11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E25" i="12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L14" i="8"/>
  <c r="J14" i="8" s="1"/>
  <c r="L41" i="8"/>
  <c r="J41" i="8" s="1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L17" i="8"/>
  <c r="J17" i="8" s="1"/>
  <c r="L36" i="8"/>
  <c r="J36" i="8" s="1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F13" i="12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X17" i="14"/>
  <c r="L18" i="11"/>
  <c r="I18" i="11"/>
  <c r="AF17" i="10"/>
  <c r="T17" i="10"/>
  <c r="H17" i="10"/>
  <c r="F18" i="11"/>
  <c r="C18" i="11"/>
  <c r="AL17" i="10"/>
  <c r="Y17" i="10"/>
  <c r="F17" i="12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K136" i="11"/>
  <c r="E136" i="11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L137" i="8"/>
  <c r="J137" i="8" s="1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L97" i="8"/>
  <c r="J97" i="8" s="1"/>
  <c r="L132" i="8"/>
  <c r="J132" i="8" s="1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L13" i="8"/>
  <c r="J13" i="8" s="1"/>
  <c r="L78" i="8"/>
  <c r="J78" i="8" s="1"/>
  <c r="G165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G37" i="12" s="1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L81" i="8"/>
  <c r="J81" i="8" s="1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L37" i="8"/>
  <c r="J37" i="8" s="1"/>
  <c r="L45" i="8"/>
  <c r="J45" i="8" s="1"/>
  <c r="L109" i="8"/>
  <c r="J109" i="8" s="1"/>
  <c r="L158" i="8"/>
  <c r="J158" i="8" s="1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G2" i="12" s="1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L61" i="8"/>
  <c r="J61" i="8" s="1"/>
  <c r="L84" i="8"/>
  <c r="J84" i="8" s="1"/>
  <c r="L89" i="8"/>
  <c r="J89" i="8" s="1"/>
  <c r="L122" i="8"/>
  <c r="J122" i="8" s="1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X47" i="14"/>
  <c r="I48" i="11"/>
  <c r="C48" i="1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G47" i="12" s="1"/>
  <c r="S47" i="10"/>
  <c r="R47" i="10"/>
  <c r="I47" i="10"/>
  <c r="E47" i="10"/>
  <c r="X52" i="14"/>
  <c r="C53" i="11"/>
  <c r="L53" i="11"/>
  <c r="O53" i="11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L49" i="8"/>
  <c r="J49" i="8" s="1"/>
  <c r="L152" i="8"/>
  <c r="J152" i="8" s="1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F23" i="12" s="1"/>
  <c r="D47" i="10"/>
  <c r="Q52" i="10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G76" i="12" s="1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L62" i="8"/>
  <c r="J62" i="8" s="1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P22" i="10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X86" i="14"/>
  <c r="O87" i="11"/>
  <c r="L87" i="11"/>
  <c r="AB86" i="10"/>
  <c r="P86" i="10"/>
  <c r="D86" i="10"/>
  <c r="I87" i="11"/>
  <c r="F87" i="11"/>
  <c r="C87" i="11"/>
  <c r="AL86" i="10"/>
  <c r="Y86" i="10"/>
  <c r="G86" i="12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X112" i="14"/>
  <c r="F113" i="11"/>
  <c r="O113" i="11"/>
  <c r="I113" i="11"/>
  <c r="AJ112" i="10"/>
  <c r="X112" i="10"/>
  <c r="L112" i="10"/>
  <c r="C113" i="11"/>
  <c r="L113" i="11"/>
  <c r="AF112" i="10"/>
  <c r="S112" i="10"/>
  <c r="F112" i="10"/>
  <c r="AE112" i="10"/>
  <c r="R112" i="10"/>
  <c r="E112" i="10"/>
  <c r="Y112" i="10"/>
  <c r="G112" i="12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G47" i="8"/>
  <c r="G9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I22" i="10"/>
  <c r="D46" i="10"/>
  <c r="N86" i="10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F95" i="12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G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D78" i="12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L186" i="8"/>
  <c r="J186" i="8" s="1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G14" i="12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X18" i="14"/>
  <c r="C19" i="11"/>
  <c r="I19" i="11"/>
  <c r="AD18" i="10"/>
  <c r="R18" i="10"/>
  <c r="F18" i="10"/>
  <c r="F19" i="11"/>
  <c r="Z18" i="10"/>
  <c r="M18" i="10"/>
  <c r="AL18" i="10"/>
  <c r="Y18" i="10"/>
  <c r="G18" i="12" s="1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O19" i="11"/>
  <c r="AC18" i="10"/>
  <c r="D18" i="10"/>
  <c r="V18" i="10"/>
  <c r="Q18" i="10"/>
  <c r="T22" i="10"/>
  <c r="T46" i="10"/>
  <c r="X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G50" i="12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G87" i="12" s="1"/>
  <c r="G87" i="10"/>
  <c r="F88" i="11"/>
  <c r="U87" i="10"/>
  <c r="E87" i="10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E120" i="12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G141" i="12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F199" i="12" s="1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L113" i="9"/>
  <c r="E113" i="9"/>
  <c r="C113" i="9"/>
  <c r="K125" i="9"/>
  <c r="L125" i="9"/>
  <c r="E125" i="9"/>
  <c r="C125" i="9"/>
  <c r="K137" i="9"/>
  <c r="L137" i="9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G36" i="12" s="1"/>
  <c r="E36" i="10"/>
  <c r="AE36" i="10"/>
  <c r="X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F58" i="10"/>
  <c r="W58" i="10"/>
  <c r="E58" i="10"/>
  <c r="T58" i="10"/>
  <c r="C58" i="10"/>
  <c r="AI58" i="10"/>
  <c r="X67" i="14"/>
  <c r="O68" i="11"/>
  <c r="C68" i="1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F189" i="12" s="1"/>
  <c r="L189" i="10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X10" i="14"/>
  <c r="C11" i="11"/>
  <c r="AH10" i="10"/>
  <c r="V10" i="10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AD10" i="10"/>
  <c r="K10" i="10"/>
  <c r="Y10" i="10"/>
  <c r="H10" i="10"/>
  <c r="W10" i="10"/>
  <c r="F10" i="10"/>
  <c r="AA10" i="10"/>
  <c r="X24" i="14"/>
  <c r="F25" i="11"/>
  <c r="C25" i="11"/>
  <c r="L25" i="11"/>
  <c r="I25" i="11"/>
  <c r="AD24" i="10"/>
  <c r="R24" i="10"/>
  <c r="F24" i="10"/>
  <c r="AH24" i="10"/>
  <c r="U24" i="10"/>
  <c r="H24" i="10"/>
  <c r="AG24" i="10"/>
  <c r="T24" i="10"/>
  <c r="G24" i="10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E24" i="12" s="1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F92" i="12" s="1"/>
  <c r="S92" i="10"/>
  <c r="O92" i="10"/>
  <c r="N92" i="10"/>
  <c r="AH92" i="10"/>
  <c r="L92" i="10"/>
  <c r="AD92" i="10"/>
  <c r="J92" i="10"/>
  <c r="X105" i="14"/>
  <c r="C106" i="11"/>
  <c r="O106" i="11"/>
  <c r="AL105" i="10"/>
  <c r="Z105" i="10"/>
  <c r="N105" i="10"/>
  <c r="B105" i="10"/>
  <c r="I106" i="11"/>
  <c r="F106" i="11"/>
  <c r="AJ105" i="10"/>
  <c r="W105" i="10"/>
  <c r="J105" i="10"/>
  <c r="AI105" i="10"/>
  <c r="V105" i="10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E105" i="12" s="1"/>
  <c r="C105" i="10"/>
  <c r="X136" i="14"/>
  <c r="F137" i="11"/>
  <c r="C137" i="1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G136" i="12" s="1"/>
  <c r="T136" i="10"/>
  <c r="R136" i="10"/>
  <c r="Q136" i="10"/>
  <c r="K136" i="10"/>
  <c r="E136" i="10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I8" i="11"/>
  <c r="F8" i="11"/>
  <c r="AB7" i="10"/>
  <c r="P7" i="10"/>
  <c r="D7" i="10"/>
  <c r="O8" i="11"/>
  <c r="L8" i="11"/>
  <c r="AL7" i="10"/>
  <c r="Y7" i="10"/>
  <c r="F7" i="12" s="1"/>
  <c r="L7" i="10"/>
  <c r="AK7" i="10"/>
  <c r="X7" i="10"/>
  <c r="K7" i="10"/>
  <c r="C8" i="11"/>
  <c r="AI7" i="10"/>
  <c r="V7" i="10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E79" i="10"/>
  <c r="H92" i="10"/>
  <c r="D105" i="10"/>
  <c r="S131" i="10"/>
  <c r="D136" i="10"/>
  <c r="X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I4" i="11"/>
  <c r="O4" i="11"/>
  <c r="AJ3" i="10"/>
  <c r="X3" i="10"/>
  <c r="L3" i="10"/>
  <c r="L4" i="11"/>
  <c r="C4" i="11"/>
  <c r="AG3" i="10"/>
  <c r="T3" i="10"/>
  <c r="G3" i="10"/>
  <c r="AF3" i="10"/>
  <c r="S3" i="10"/>
  <c r="F3" i="10"/>
  <c r="AD3" i="10"/>
  <c r="Q3" i="10"/>
  <c r="D3" i="10"/>
  <c r="R3" i="10"/>
  <c r="AK3" i="10"/>
  <c r="O4" i="10"/>
  <c r="X27" i="14"/>
  <c r="O28" i="11"/>
  <c r="L28" i="11"/>
  <c r="AJ27" i="10"/>
  <c r="X27" i="10"/>
  <c r="L27" i="10"/>
  <c r="I28" i="11"/>
  <c r="F28" i="11"/>
  <c r="AL27" i="10"/>
  <c r="Y27" i="10"/>
  <c r="E27" i="12" s="1"/>
  <c r="K27" i="10"/>
  <c r="AK27" i="10"/>
  <c r="W27" i="10"/>
  <c r="J27" i="10"/>
  <c r="AH27" i="10"/>
  <c r="U27" i="10"/>
  <c r="H27" i="10"/>
  <c r="C28" i="11"/>
  <c r="Q27" i="10"/>
  <c r="AG27" i="10"/>
  <c r="O28" i="10"/>
  <c r="N31" i="10"/>
  <c r="AG31" i="10"/>
  <c r="O33" i="10"/>
  <c r="X38" i="14"/>
  <c r="I39" i="11"/>
  <c r="O39" i="11"/>
  <c r="L39" i="11"/>
  <c r="AL38" i="10"/>
  <c r="Z38" i="10"/>
  <c r="N38" i="10"/>
  <c r="B38" i="10"/>
  <c r="F39" i="11"/>
  <c r="Y38" i="10"/>
  <c r="L38" i="10"/>
  <c r="AK38" i="10"/>
  <c r="X38" i="10"/>
  <c r="K38" i="10"/>
  <c r="AI38" i="10"/>
  <c r="V38" i="10"/>
  <c r="I38" i="10"/>
  <c r="R38" i="10"/>
  <c r="AH38" i="10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X51" i="14"/>
  <c r="F52" i="11"/>
  <c r="L52" i="11"/>
  <c r="O52" i="11"/>
  <c r="C52" i="11"/>
  <c r="AJ51" i="10"/>
  <c r="X51" i="10"/>
  <c r="L51" i="10"/>
  <c r="I52" i="11"/>
  <c r="AF51" i="10"/>
  <c r="S51" i="10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I74" i="11"/>
  <c r="C74" i="1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X83" i="14"/>
  <c r="O84" i="11"/>
  <c r="C84" i="11"/>
  <c r="AH83" i="10"/>
  <c r="V83" i="10"/>
  <c r="J83" i="10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D83" i="12" s="1"/>
  <c r="G83" i="10"/>
  <c r="W83" i="10"/>
  <c r="D83" i="10"/>
  <c r="AA83" i="10"/>
  <c r="E89" i="10"/>
  <c r="Z89" i="10"/>
  <c r="L90" i="10"/>
  <c r="AI90" i="10"/>
  <c r="D94" i="10"/>
  <c r="Y94" i="10"/>
  <c r="Q96" i="10"/>
  <c r="N101" i="10"/>
  <c r="AK101" i="10"/>
  <c r="R106" i="10"/>
  <c r="P113" i="10"/>
  <c r="C114" i="10"/>
  <c r="AE114" i="10"/>
  <c r="W117" i="10"/>
  <c r="C122" i="10"/>
  <c r="AK122" i="10"/>
  <c r="AD143" i="10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F175" i="12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D178" i="12" s="1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Q4" i="10"/>
  <c r="AK4" i="10"/>
  <c r="X28" i="14"/>
  <c r="L29" i="11"/>
  <c r="O29" i="11"/>
  <c r="AH28" i="10"/>
  <c r="V28" i="10"/>
  <c r="J28" i="10"/>
  <c r="M28" i="5" s="1"/>
  <c r="C29" i="11"/>
  <c r="I29" i="11"/>
  <c r="F29" i="11"/>
  <c r="Z28" i="10"/>
  <c r="M28" i="10"/>
  <c r="AL28" i="10"/>
  <c r="Y28" i="10"/>
  <c r="G28" i="12" s="1"/>
  <c r="L28" i="10"/>
  <c r="AJ28" i="10"/>
  <c r="W28" i="10"/>
  <c r="I28" i="10"/>
  <c r="Q28" i="10"/>
  <c r="AG28" i="10"/>
  <c r="S31" i="10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L71" i="11"/>
  <c r="O71" i="11"/>
  <c r="F71" i="11"/>
  <c r="AH70" i="10"/>
  <c r="V70" i="10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I72" i="10"/>
  <c r="F73" i="11"/>
  <c r="Z72" i="10"/>
  <c r="K72" i="10"/>
  <c r="Y72" i="10"/>
  <c r="E72" i="12" s="1"/>
  <c r="J72" i="10"/>
  <c r="AL72" i="10"/>
  <c r="V72" i="10"/>
  <c r="E72" i="10"/>
  <c r="L73" i="11"/>
  <c r="S72" i="10"/>
  <c r="F74" i="1" s="1"/>
  <c r="H89" i="10"/>
  <c r="AB89" i="10"/>
  <c r="F94" i="10"/>
  <c r="AC94" i="10"/>
  <c r="X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O116" i="11"/>
  <c r="C116" i="11"/>
  <c r="F116" i="1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X132" i="14"/>
  <c r="O133" i="11"/>
  <c r="L133" i="11"/>
  <c r="AF132" i="10"/>
  <c r="T132" i="10"/>
  <c r="H132" i="10"/>
  <c r="I133" i="11"/>
  <c r="F133" i="11"/>
  <c r="C133" i="11"/>
  <c r="AE132" i="10"/>
  <c r="R132" i="10"/>
  <c r="E132" i="10"/>
  <c r="AD132" i="10"/>
  <c r="Q132" i="10"/>
  <c r="D132" i="10"/>
  <c r="Y132" i="10"/>
  <c r="E132" i="12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B142" i="10"/>
  <c r="V142" i="10"/>
  <c r="AL142" i="10"/>
  <c r="O142" i="10"/>
  <c r="AK142" i="10"/>
  <c r="X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F147" i="12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Q152" i="10"/>
  <c r="AK152" i="10"/>
  <c r="P152" i="10"/>
  <c r="AG152" i="10"/>
  <c r="O152" i="10"/>
  <c r="AD152" i="10"/>
  <c r="M152" i="10"/>
  <c r="L152" i="10"/>
  <c r="K152" i="10"/>
  <c r="G152" i="10"/>
  <c r="AC152" i="10"/>
  <c r="C152" i="10"/>
  <c r="Y152" i="10"/>
  <c r="F152" i="12" s="1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L107" i="11"/>
  <c r="C107" i="11"/>
  <c r="AJ106" i="10"/>
  <c r="X106" i="10"/>
  <c r="L106" i="10"/>
  <c r="O107" i="11"/>
  <c r="I107" i="11"/>
  <c r="F107" i="11"/>
  <c r="AL106" i="10"/>
  <c r="Y106" i="10"/>
  <c r="D106" i="12" s="1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X117" i="14"/>
  <c r="F118" i="11"/>
  <c r="AL117" i="10"/>
  <c r="Z117" i="10"/>
  <c r="N117" i="10"/>
  <c r="B117" i="10"/>
  <c r="O118" i="11"/>
  <c r="L118" i="11"/>
  <c r="I118" i="11"/>
  <c r="Y117" i="10"/>
  <c r="E117" i="12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X143" i="14"/>
  <c r="O144" i="11"/>
  <c r="I144" i="11"/>
  <c r="AL143" i="10"/>
  <c r="Z143" i="10"/>
  <c r="N143" i="10"/>
  <c r="B143" i="10"/>
  <c r="AK143" i="10"/>
  <c r="X143" i="10"/>
  <c r="K143" i="10"/>
  <c r="F144" i="11"/>
  <c r="C144" i="1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F143" i="12" s="1"/>
  <c r="X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F155" i="12" s="1"/>
  <c r="E155" i="10"/>
  <c r="AB155" i="10"/>
  <c r="X155" i="10"/>
  <c r="V155" i="10"/>
  <c r="R155" i="10"/>
  <c r="H155" i="10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G43" i="12" s="1"/>
  <c r="E44" i="10"/>
  <c r="W44" i="10"/>
  <c r="B45" i="10"/>
  <c r="S45" i="10"/>
  <c r="AL45" i="10"/>
  <c r="G51" i="10"/>
  <c r="AA51" i="10"/>
  <c r="Q55" i="10"/>
  <c r="I59" i="10"/>
  <c r="Z59" i="10"/>
  <c r="J60" i="10"/>
  <c r="AA60" i="10"/>
  <c r="I62" i="10"/>
  <c r="AA62" i="10"/>
  <c r="P66" i="10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K71" i="9"/>
  <c r="K83" i="9"/>
  <c r="K95" i="9"/>
  <c r="F194" i="9"/>
  <c r="J3" i="10"/>
  <c r="AA3" i="10"/>
  <c r="F4" i="10"/>
  <c r="Y4" i="10"/>
  <c r="F4" i="12" s="1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F33" i="12" s="1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D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9" i="10"/>
  <c r="Z69" i="10"/>
  <c r="F70" i="10"/>
  <c r="Y70" i="10"/>
  <c r="G71" i="10"/>
  <c r="Y71" i="10"/>
  <c r="E71" i="12" s="1"/>
  <c r="F72" i="10"/>
  <c r="AC72" i="10"/>
  <c r="N89" i="10"/>
  <c r="X90" i="14"/>
  <c r="I91" i="11"/>
  <c r="AF90" i="10"/>
  <c r="T90" i="10"/>
  <c r="H90" i="10"/>
  <c r="O91" i="11"/>
  <c r="L91" i="11"/>
  <c r="F91" i="11"/>
  <c r="AD90" i="10"/>
  <c r="Q90" i="10"/>
  <c r="D90" i="10"/>
  <c r="Y90" i="10"/>
  <c r="E90" i="12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E101" i="12" s="1"/>
  <c r="H101" i="10"/>
  <c r="X101" i="10"/>
  <c r="L102" i="10"/>
  <c r="AE102" i="10"/>
  <c r="H104" i="10"/>
  <c r="AD104" i="10"/>
  <c r="E106" i="10"/>
  <c r="AD106" i="10"/>
  <c r="M110" i="10"/>
  <c r="AL110" i="10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F111" i="12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J123" i="10"/>
  <c r="W123" i="10"/>
  <c r="H123" i="10"/>
  <c r="AJ123" i="10"/>
  <c r="U123" i="10"/>
  <c r="D123" i="10"/>
  <c r="X123" i="10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F165" i="12" s="1"/>
  <c r="B165" i="10"/>
  <c r="S165" i="10"/>
  <c r="AG165" i="10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P187" i="12"/>
  <c r="O187" i="12"/>
  <c r="N187" i="12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AL9" i="10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D30" i="12" s="1"/>
  <c r="X32" i="14"/>
  <c r="O33" i="11"/>
  <c r="F33" i="11"/>
  <c r="C33" i="1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G40" i="12" s="1"/>
  <c r="Y42" i="14"/>
  <c r="X42" i="14"/>
  <c r="F43" i="11"/>
  <c r="C43" i="11"/>
  <c r="O43" i="11"/>
  <c r="AD42" i="10"/>
  <c r="R42" i="10"/>
  <c r="F42" i="10"/>
  <c r="N42" i="10"/>
  <c r="AA42" i="10"/>
  <c r="X53" i="14"/>
  <c r="O54" i="11"/>
  <c r="C54" i="1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L57" i="11"/>
  <c r="C57" i="11"/>
  <c r="D57" i="11" s="1"/>
  <c r="AL56" i="10"/>
  <c r="Z56" i="10"/>
  <c r="N56" i="10"/>
  <c r="B56" i="10"/>
  <c r="I57" i="11"/>
  <c r="Y56" i="10"/>
  <c r="F56" i="12" s="1"/>
  <c r="L56" i="10"/>
  <c r="P56" i="10"/>
  <c r="AD56" i="10"/>
  <c r="X65" i="14"/>
  <c r="O66" i="11"/>
  <c r="F66" i="11"/>
  <c r="C66" i="11"/>
  <c r="AF65" i="10"/>
  <c r="T65" i="10"/>
  <c r="H65" i="10"/>
  <c r="AK65" i="10"/>
  <c r="X65" i="10"/>
  <c r="K65" i="10"/>
  <c r="L66" i="11"/>
  <c r="O65" i="10"/>
  <c r="AC65" i="10"/>
  <c r="X75" i="14"/>
  <c r="AL75" i="10"/>
  <c r="Z75" i="10"/>
  <c r="N75" i="10"/>
  <c r="B75" i="10"/>
  <c r="O76" i="11"/>
  <c r="AK75" i="10"/>
  <c r="X75" i="10"/>
  <c r="K75" i="10"/>
  <c r="L76" i="11"/>
  <c r="AJ75" i="10"/>
  <c r="V75" i="10"/>
  <c r="H75" i="10"/>
  <c r="Q75" i="10"/>
  <c r="AF75" i="10"/>
  <c r="O80" i="10"/>
  <c r="X84" i="14"/>
  <c r="L85" i="11"/>
  <c r="C85" i="11"/>
  <c r="F85" i="11"/>
  <c r="AF84" i="10"/>
  <c r="T84" i="10"/>
  <c r="H84" i="10"/>
  <c r="AJ84" i="10"/>
  <c r="W84" i="10"/>
  <c r="J84" i="10"/>
  <c r="Y84" i="10"/>
  <c r="G84" i="12" s="1"/>
  <c r="K84" i="10"/>
  <c r="O85" i="11"/>
  <c r="AK84" i="10"/>
  <c r="V84" i="10"/>
  <c r="G84" i="10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T177" i="10"/>
  <c r="F182" i="10"/>
  <c r="V185" i="10"/>
  <c r="T193" i="10"/>
  <c r="Y195" i="10"/>
  <c r="D195" i="12" s="1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O21" i="11"/>
  <c r="AL20" i="10"/>
  <c r="Z20" i="10"/>
  <c r="N20" i="10"/>
  <c r="B20" i="10"/>
  <c r="I21" i="11"/>
  <c r="C21" i="11"/>
  <c r="O20" i="10"/>
  <c r="AB20" i="10"/>
  <c r="M29" i="10"/>
  <c r="X30" i="14"/>
  <c r="C31" i="11"/>
  <c r="AD30" i="10"/>
  <c r="R30" i="10"/>
  <c r="F30" i="10"/>
  <c r="O31" i="11"/>
  <c r="L31" i="11"/>
  <c r="I31" i="11"/>
  <c r="N30" i="10"/>
  <c r="AA30" i="10"/>
  <c r="M39" i="10"/>
  <c r="X40" i="14"/>
  <c r="L41" i="11"/>
  <c r="AH40" i="10"/>
  <c r="V40" i="10"/>
  <c r="J40" i="10"/>
  <c r="F41" i="11"/>
  <c r="N40" i="10"/>
  <c r="AA40" i="10"/>
  <c r="X80" i="14"/>
  <c r="C81" i="11"/>
  <c r="AB80" i="10"/>
  <c r="P80" i="10"/>
  <c r="D80" i="10"/>
  <c r="O81" i="11"/>
  <c r="L81" i="11"/>
  <c r="AE80" i="10"/>
  <c r="R80" i="10"/>
  <c r="E80" i="10"/>
  <c r="AH80" i="10"/>
  <c r="T80" i="10"/>
  <c r="F80" i="10"/>
  <c r="AF80" i="10"/>
  <c r="Q80" i="10"/>
  <c r="B80" i="10"/>
  <c r="U80" i="10"/>
  <c r="AK80" i="10"/>
  <c r="Q93" i="10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F116" i="12" s="1"/>
  <c r="H116" i="10"/>
  <c r="T116" i="10"/>
  <c r="M123" i="10"/>
  <c r="AH123" i="10"/>
  <c r="L125" i="10"/>
  <c r="AE125" i="10"/>
  <c r="X133" i="14"/>
  <c r="I134" i="11"/>
  <c r="O134" i="11"/>
  <c r="AD133" i="10"/>
  <c r="R133" i="10"/>
  <c r="F133" i="10"/>
  <c r="F134" i="11"/>
  <c r="C134" i="1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X19" i="14"/>
  <c r="I20" i="11"/>
  <c r="O20" i="11"/>
  <c r="AB19" i="10"/>
  <c r="P19" i="10"/>
  <c r="D19" i="10"/>
  <c r="L20" i="11"/>
  <c r="N19" i="10"/>
  <c r="AA19" i="10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G93" i="12" s="1"/>
  <c r="K93" i="10"/>
  <c r="AK93" i="10"/>
  <c r="W93" i="10"/>
  <c r="I93" i="10"/>
  <c r="R93" i="10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Z185" i="10"/>
  <c r="U9" i="11"/>
  <c r="O10" i="11"/>
  <c r="AC18" i="11"/>
  <c r="C20" i="11"/>
  <c r="S39" i="11"/>
  <c r="Y47" i="11"/>
  <c r="S156" i="10"/>
  <c r="S161" i="10"/>
  <c r="T165" i="10"/>
  <c r="X170" i="14"/>
  <c r="L171" i="11"/>
  <c r="AJ170" i="10"/>
  <c r="X170" i="10"/>
  <c r="L170" i="10"/>
  <c r="C171" i="1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X193" i="14"/>
  <c r="I194" i="11"/>
  <c r="AL193" i="10"/>
  <c r="Z193" i="10"/>
  <c r="N193" i="10"/>
  <c r="B193" i="10"/>
  <c r="L194" i="11"/>
  <c r="F194" i="11"/>
  <c r="Y193" i="10"/>
  <c r="D193" i="12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L139" i="11"/>
  <c r="F139" i="11"/>
  <c r="I139" i="11"/>
  <c r="AF138" i="10"/>
  <c r="T138" i="10"/>
  <c r="H138" i="10"/>
  <c r="C139" i="11"/>
  <c r="AB138" i="10"/>
  <c r="O138" i="10"/>
  <c r="B138" i="10"/>
  <c r="O139" i="11"/>
  <c r="Z138" i="10"/>
  <c r="M138" i="10"/>
  <c r="AL138" i="10"/>
  <c r="Y138" i="10"/>
  <c r="D138" i="12" s="1"/>
  <c r="L138" i="10"/>
  <c r="R138" i="10"/>
  <c r="AI138" i="10"/>
  <c r="X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D150" i="12" s="1"/>
  <c r="J150" i="10"/>
  <c r="R150" i="10"/>
  <c r="AK150" i="10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D159" i="12" s="1"/>
  <c r="K159" i="10"/>
  <c r="T159" i="10"/>
  <c r="AK159" i="10"/>
  <c r="P167" i="10"/>
  <c r="AK167" i="10"/>
  <c r="X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F176" i="12" s="1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X57" i="14"/>
  <c r="L58" i="11"/>
  <c r="I58" i="11"/>
  <c r="F58" i="11"/>
  <c r="C58" i="11"/>
  <c r="AJ57" i="10"/>
  <c r="X57" i="10"/>
  <c r="L57" i="10"/>
  <c r="N57" i="10"/>
  <c r="AA57" i="10"/>
  <c r="X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U121" i="10"/>
  <c r="AJ121" i="10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X149" i="14"/>
  <c r="F150" i="11"/>
  <c r="I150" i="11"/>
  <c r="AL149" i="10"/>
  <c r="Z149" i="10"/>
  <c r="N149" i="10"/>
  <c r="B149" i="10"/>
  <c r="AF149" i="10"/>
  <c r="S149" i="10"/>
  <c r="F149" i="10"/>
  <c r="C150" i="1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X169" i="14"/>
  <c r="I170" i="11"/>
  <c r="L170" i="11"/>
  <c r="AL169" i="10"/>
  <c r="Z169" i="10"/>
  <c r="N169" i="10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D167" i="12" s="1"/>
  <c r="J167" i="10"/>
  <c r="X167" i="10"/>
  <c r="I167" i="10"/>
  <c r="V167" i="10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D191" i="12" s="1"/>
  <c r="I191" i="10"/>
  <c r="AL191" i="10"/>
  <c r="V191" i="10"/>
  <c r="G191" i="10"/>
  <c r="AK191" i="10"/>
  <c r="U191" i="10"/>
  <c r="E191" i="10"/>
  <c r="X191" i="10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I83" i="11"/>
  <c r="AJ82" i="10"/>
  <c r="X82" i="10"/>
  <c r="L82" i="10"/>
  <c r="AG82" i="10"/>
  <c r="T82" i="10"/>
  <c r="G82" i="10"/>
  <c r="O82" i="10"/>
  <c r="AC82" i="10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X88" i="14"/>
  <c r="I89" i="11"/>
  <c r="AJ88" i="10"/>
  <c r="X88" i="10"/>
  <c r="L88" i="10"/>
  <c r="C89" i="11"/>
  <c r="O89" i="11"/>
  <c r="AB88" i="10"/>
  <c r="O88" i="10"/>
  <c r="B88" i="10"/>
  <c r="P88" i="10"/>
  <c r="AD88" i="10"/>
  <c r="X91" i="14"/>
  <c r="O92" i="11"/>
  <c r="C92" i="11"/>
  <c r="AD91" i="10"/>
  <c r="R91" i="10"/>
  <c r="F91" i="10"/>
  <c r="F92" i="11"/>
  <c r="AF91" i="10"/>
  <c r="S91" i="10"/>
  <c r="E91" i="10"/>
  <c r="O91" i="10"/>
  <c r="AC91" i="10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I104" i="11"/>
  <c r="F104" i="11"/>
  <c r="AD103" i="10"/>
  <c r="R103" i="10"/>
  <c r="F103" i="10"/>
  <c r="AH103" i="10"/>
  <c r="U103" i="10"/>
  <c r="H103" i="10"/>
  <c r="O103" i="10"/>
  <c r="AC103" i="10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E107" i="12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D149" i="12" s="1"/>
  <c r="E150" i="10"/>
  <c r="W150" i="10"/>
  <c r="X153" i="14"/>
  <c r="I154" i="11"/>
  <c r="AD153" i="10"/>
  <c r="R153" i="10"/>
  <c r="F153" i="10"/>
  <c r="C154" i="11"/>
  <c r="AK153" i="10"/>
  <c r="X153" i="10"/>
  <c r="K153" i="10"/>
  <c r="O154" i="11"/>
  <c r="L154" i="11"/>
  <c r="F154" i="11"/>
  <c r="AB153" i="10"/>
  <c r="N153" i="10"/>
  <c r="Z153" i="10"/>
  <c r="L153" i="10"/>
  <c r="Y153" i="10"/>
  <c r="J153" i="10"/>
  <c r="S153" i="10"/>
  <c r="AJ153" i="10"/>
  <c r="G159" i="10"/>
  <c r="X159" i="10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B167" i="10"/>
  <c r="W167" i="10"/>
  <c r="D169" i="10"/>
  <c r="W169" i="10"/>
  <c r="J176" i="10"/>
  <c r="AC176" i="10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X183" i="14"/>
  <c r="C184" i="11"/>
  <c r="AH183" i="10"/>
  <c r="V183" i="10"/>
  <c r="J183" i="10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X109" i="14"/>
  <c r="I110" i="11"/>
  <c r="L110" i="11"/>
  <c r="C110" i="11"/>
  <c r="AD109" i="10"/>
  <c r="R109" i="10"/>
  <c r="F109" i="10"/>
  <c r="F110" i="11"/>
  <c r="N109" i="10"/>
  <c r="AA109" i="10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L155" i="11"/>
  <c r="X154" i="14"/>
  <c r="I155" i="11"/>
  <c r="O155" i="11"/>
  <c r="AB154" i="10"/>
  <c r="P154" i="10"/>
  <c r="D154" i="10"/>
  <c r="AL154" i="10"/>
  <c r="Y154" i="10"/>
  <c r="L154" i="10"/>
  <c r="F155" i="11"/>
  <c r="C155" i="11"/>
  <c r="O154" i="10"/>
  <c r="AD154" i="10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E187" i="10"/>
  <c r="AB187" i="10"/>
  <c r="M187" i="10"/>
  <c r="Q187" i="10"/>
  <c r="AG187" i="10"/>
  <c r="L190" i="10"/>
  <c r="AA190" i="10"/>
  <c r="L196" i="10"/>
  <c r="AB196" i="10"/>
  <c r="X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X77" i="14"/>
  <c r="F78" i="11"/>
  <c r="I78" i="11"/>
  <c r="AH77" i="10"/>
  <c r="V77" i="10"/>
  <c r="J77" i="10"/>
  <c r="C78" i="11"/>
  <c r="N77" i="10"/>
  <c r="AA77" i="10"/>
  <c r="X98" i="14"/>
  <c r="F99" i="11"/>
  <c r="C99" i="11"/>
  <c r="AB98" i="10"/>
  <c r="P98" i="10"/>
  <c r="D98" i="10"/>
  <c r="L99" i="11"/>
  <c r="I99" i="11"/>
  <c r="N98" i="10"/>
  <c r="AA98" i="10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X181" i="14"/>
  <c r="I182" i="11"/>
  <c r="F182" i="11"/>
  <c r="C182" i="11"/>
  <c r="AL181" i="10"/>
  <c r="Z181" i="10"/>
  <c r="N181" i="10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F165" i="11"/>
  <c r="I165" i="11"/>
  <c r="Q164" i="10"/>
  <c r="AF164" i="10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X173" i="14"/>
  <c r="O174" i="11"/>
  <c r="I174" i="11"/>
  <c r="AD173" i="10"/>
  <c r="R173" i="10"/>
  <c r="F173" i="10"/>
  <c r="F174" i="11"/>
  <c r="Z173" i="10"/>
  <c r="M173" i="10"/>
  <c r="C174" i="11"/>
  <c r="AH173" i="10"/>
  <c r="T173" i="10"/>
  <c r="E173" i="10"/>
  <c r="L174" i="11"/>
  <c r="P173" i="10"/>
  <c r="AF173" i="10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W32" i="12"/>
  <c r="V32" i="12"/>
  <c r="T32" i="12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S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X145" i="14"/>
  <c r="I146" i="11"/>
  <c r="C146" i="11"/>
  <c r="AH145" i="10"/>
  <c r="V145" i="10"/>
  <c r="J145" i="10"/>
  <c r="N145" i="10"/>
  <c r="AA145" i="10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W129" i="12"/>
  <c r="U129" i="12"/>
  <c r="Q129" i="12"/>
  <c r="P129" i="12"/>
  <c r="O129" i="12"/>
  <c r="R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L175" i="11"/>
  <c r="F175" i="11"/>
  <c r="AB174" i="10"/>
  <c r="P174" i="10"/>
  <c r="D174" i="10"/>
  <c r="I175" i="11"/>
  <c r="N174" i="10"/>
  <c r="AA174" i="10"/>
  <c r="X184" i="14"/>
  <c r="F185" i="11"/>
  <c r="O185" i="11"/>
  <c r="AF184" i="10"/>
  <c r="T184" i="10"/>
  <c r="H184" i="10"/>
  <c r="I185" i="11"/>
  <c r="N184" i="10"/>
  <c r="AA184" i="10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B23" i="15"/>
  <c r="A23" i="15"/>
  <c r="B5" i="15"/>
  <c r="C84" i="15" s="1"/>
  <c r="D261" i="14"/>
  <c r="C261" i="14"/>
  <c r="D35" i="14"/>
  <c r="D259" i="14"/>
  <c r="D260" i="14"/>
  <c r="C258" i="14"/>
  <c r="C260" i="14"/>
  <c r="F35" i="14"/>
  <c r="H4" i="14"/>
  <c r="D262" i="14"/>
  <c r="D16" i="14"/>
  <c r="L96" i="14"/>
  <c r="N96" i="14"/>
  <c r="M96" i="14"/>
  <c r="Q96" i="14"/>
  <c r="P96" i="14"/>
  <c r="O96" i="14"/>
  <c r="K96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A138" i="14"/>
  <c r="P86" i="12"/>
  <c r="W86" i="12"/>
  <c r="A165" i="14"/>
  <c r="V113" i="12"/>
  <c r="W113" i="12"/>
  <c r="U113" i="12"/>
  <c r="N113" i="12"/>
  <c r="A167" i="14"/>
  <c r="V115" i="12"/>
  <c r="W115" i="12"/>
  <c r="B115" i="12"/>
  <c r="V117" i="12"/>
  <c r="P117" i="12"/>
  <c r="O117" i="12"/>
  <c r="S117" i="12"/>
  <c r="R117" i="12"/>
  <c r="A170" i="14"/>
  <c r="P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W89" i="12"/>
  <c r="U89" i="12"/>
  <c r="Q89" i="12"/>
  <c r="P89" i="12"/>
  <c r="V91" i="12"/>
  <c r="N91" i="12"/>
  <c r="A144" i="14"/>
  <c r="P92" i="12"/>
  <c r="U92" i="12"/>
  <c r="T92" i="12"/>
  <c r="B92" i="12"/>
  <c r="B93" i="11"/>
  <c r="A182" i="14"/>
  <c r="P130" i="12"/>
  <c r="R130" i="12"/>
  <c r="Q130" i="12"/>
  <c r="N130" i="12"/>
  <c r="V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P133" i="12"/>
  <c r="O133" i="12"/>
  <c r="U133" i="12"/>
  <c r="A202" i="14"/>
  <c r="P150" i="12"/>
  <c r="W150" i="12"/>
  <c r="U150" i="12"/>
  <c r="A213" i="14"/>
  <c r="V161" i="12"/>
  <c r="W161" i="12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P173" i="12"/>
  <c r="O173" i="12"/>
  <c r="U173" i="12"/>
  <c r="A242" i="14"/>
  <c r="P190" i="12"/>
  <c r="W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H136" i="11"/>
  <c r="S135" i="12"/>
  <c r="A195" i="14"/>
  <c r="V143" i="12"/>
  <c r="S143" i="12"/>
  <c r="A203" i="14"/>
  <c r="V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D101" i="12" l="1"/>
  <c r="G198" i="12"/>
  <c r="D6" i="12"/>
  <c r="F29" i="12"/>
  <c r="D117" i="12"/>
  <c r="E75" i="12"/>
  <c r="F123" i="12"/>
  <c r="G175" i="12"/>
  <c r="D133" i="12"/>
  <c r="F91" i="12"/>
  <c r="E13" i="12"/>
  <c r="G16" i="12"/>
  <c r="L16" i="5" s="1"/>
  <c r="E89" i="12"/>
  <c r="G132" i="12"/>
  <c r="G54" i="12"/>
  <c r="F117" i="12"/>
  <c r="E175" i="12"/>
  <c r="E133" i="12"/>
  <c r="G7" i="12"/>
  <c r="G178" i="12"/>
  <c r="D54" i="12"/>
  <c r="G165" i="12"/>
  <c r="T165" i="5" s="1"/>
  <c r="G117" i="12"/>
  <c r="F63" i="12"/>
  <c r="K64" i="11" s="1"/>
  <c r="M64" i="11" s="1"/>
  <c r="G13" i="12"/>
  <c r="E192" i="12"/>
  <c r="D120" i="12"/>
  <c r="D87" i="12"/>
  <c r="D63" i="12"/>
  <c r="G81" i="12"/>
  <c r="G27" i="12"/>
  <c r="F115" i="12"/>
  <c r="G67" i="12"/>
  <c r="F71" i="12"/>
  <c r="F186" i="12"/>
  <c r="F173" i="12"/>
  <c r="D111" i="12"/>
  <c r="G121" i="12"/>
  <c r="G85" i="12"/>
  <c r="F67" i="12"/>
  <c r="G189" i="12"/>
  <c r="E155" i="12"/>
  <c r="G35" i="12"/>
  <c r="D173" i="12"/>
  <c r="D165" i="12"/>
  <c r="G147" i="12"/>
  <c r="G111" i="12"/>
  <c r="E33" i="12"/>
  <c r="H34" i="11" s="1"/>
  <c r="J34" i="11" s="1"/>
  <c r="E165" i="12"/>
  <c r="G109" i="12"/>
  <c r="E173" i="12"/>
  <c r="E17" i="12"/>
  <c r="E18" i="12"/>
  <c r="E161" i="12"/>
  <c r="D33" i="12"/>
  <c r="D121" i="12"/>
  <c r="G157" i="12"/>
  <c r="F37" i="12"/>
  <c r="F75" i="12"/>
  <c r="G148" i="12"/>
  <c r="L148" i="5" s="1"/>
  <c r="E191" i="12"/>
  <c r="D17" i="12"/>
  <c r="E96" i="12"/>
  <c r="D18" i="12"/>
  <c r="F87" i="12"/>
  <c r="G21" i="12"/>
  <c r="G199" i="12"/>
  <c r="E37" i="12"/>
  <c r="D60" i="12"/>
  <c r="F18" i="12"/>
  <c r="D90" i="12"/>
  <c r="G149" i="12"/>
  <c r="L149" i="5" s="1"/>
  <c r="F21" i="12"/>
  <c r="E103" i="12"/>
  <c r="D31" i="12"/>
  <c r="D123" i="12"/>
  <c r="D96" i="12"/>
  <c r="F77" i="12"/>
  <c r="F12" i="12"/>
  <c r="G15" i="12"/>
  <c r="E139" i="12"/>
  <c r="E31" i="12"/>
  <c r="E111" i="12"/>
  <c r="G197" i="12"/>
  <c r="N198" i="11" s="1"/>
  <c r="P198" i="11" s="1"/>
  <c r="F81" i="12"/>
  <c r="G181" i="12"/>
  <c r="G91" i="12"/>
  <c r="F105" i="12"/>
  <c r="E60" i="12"/>
  <c r="D47" i="12"/>
  <c r="G195" i="12"/>
  <c r="F28" i="12"/>
  <c r="G133" i="12"/>
  <c r="G65" i="12"/>
  <c r="F65" i="12"/>
  <c r="E65" i="12"/>
  <c r="H65" i="5" s="1"/>
  <c r="G119" i="12"/>
  <c r="T119" i="5" s="1"/>
  <c r="E119" i="12"/>
  <c r="E172" i="12"/>
  <c r="D172" i="12"/>
  <c r="D59" i="12"/>
  <c r="G59" i="12"/>
  <c r="O40" i="5"/>
  <c r="F170" i="12"/>
  <c r="K171" i="11" s="1"/>
  <c r="M171" i="11" s="1"/>
  <c r="D170" i="12"/>
  <c r="E170" i="12"/>
  <c r="E7" i="12"/>
  <c r="D7" i="12"/>
  <c r="E46" i="12"/>
  <c r="G46" i="12"/>
  <c r="D46" i="12"/>
  <c r="E47" i="11" s="1"/>
  <c r="G47" i="11" s="1"/>
  <c r="F46" i="12"/>
  <c r="G187" i="12"/>
  <c r="L187" i="5" s="1"/>
  <c r="E130" i="11"/>
  <c r="G130" i="11" s="1"/>
  <c r="F88" i="12"/>
  <c r="D88" i="12"/>
  <c r="E41" i="12"/>
  <c r="H42" i="11" s="1"/>
  <c r="J42" i="11" s="1"/>
  <c r="G41" i="12"/>
  <c r="G11" i="12"/>
  <c r="N12" i="11" s="1"/>
  <c r="P12" i="11" s="1"/>
  <c r="F11" i="12"/>
  <c r="J11" i="5" s="1"/>
  <c r="D73" i="12"/>
  <c r="H7" i="11"/>
  <c r="J7" i="11" s="1"/>
  <c r="E6" i="12"/>
  <c r="F6" i="12"/>
  <c r="K7" i="11" s="1"/>
  <c r="M7" i="11" s="1"/>
  <c r="D26" i="12"/>
  <c r="E27" i="11" s="1"/>
  <c r="G27" i="11" s="1"/>
  <c r="F26" i="12"/>
  <c r="E26" i="12"/>
  <c r="H27" i="11" s="1"/>
  <c r="J27" i="11" s="1"/>
  <c r="G90" i="12"/>
  <c r="F60" i="12"/>
  <c r="D192" i="12"/>
  <c r="E2" i="12"/>
  <c r="D183" i="12"/>
  <c r="F159" i="12"/>
  <c r="K160" i="11" s="1"/>
  <c r="M160" i="11" s="1"/>
  <c r="D81" i="12"/>
  <c r="E82" i="11" s="1"/>
  <c r="G82" i="11" s="1"/>
  <c r="G51" i="12"/>
  <c r="L51" i="5" s="1"/>
  <c r="E15" i="12"/>
  <c r="D93" i="12"/>
  <c r="G71" i="12"/>
  <c r="E129" i="12"/>
  <c r="H130" i="11" s="1"/>
  <c r="J130" i="11" s="1"/>
  <c r="E85" i="12"/>
  <c r="D61" i="12"/>
  <c r="F31" i="12"/>
  <c r="J31" i="5" s="1"/>
  <c r="F3" i="12"/>
  <c r="K4" i="11" s="1"/>
  <c r="M4" i="11" s="1"/>
  <c r="F93" i="12"/>
  <c r="E128" i="12"/>
  <c r="H128" i="5" s="1"/>
  <c r="G128" i="12"/>
  <c r="D128" i="12"/>
  <c r="E162" i="12"/>
  <c r="F162" i="12"/>
  <c r="G162" i="12"/>
  <c r="G156" i="12"/>
  <c r="F156" i="12"/>
  <c r="D156" i="12"/>
  <c r="F14" i="12"/>
  <c r="E14" i="12"/>
  <c r="H15" i="11" s="1"/>
  <c r="J15" i="11" s="1"/>
  <c r="D14" i="12"/>
  <c r="E15" i="11" s="1"/>
  <c r="G15" i="11" s="1"/>
  <c r="E34" i="12"/>
  <c r="F34" i="12"/>
  <c r="F61" i="12"/>
  <c r="H46" i="11"/>
  <c r="E92" i="11"/>
  <c r="H118" i="11"/>
  <c r="F109" i="12"/>
  <c r="D109" i="12"/>
  <c r="G25" i="12"/>
  <c r="T25" i="5" s="1"/>
  <c r="E194" i="11"/>
  <c r="K133" i="11"/>
  <c r="M133" i="11" s="1"/>
  <c r="D132" i="12"/>
  <c r="F132" i="12"/>
  <c r="D74" i="11"/>
  <c r="F179" i="12"/>
  <c r="K180" i="11" s="1"/>
  <c r="M180" i="11" s="1"/>
  <c r="E179" i="12"/>
  <c r="D179" i="12"/>
  <c r="D166" i="12"/>
  <c r="G166" i="12"/>
  <c r="E166" i="12"/>
  <c r="H166" i="5" s="1"/>
  <c r="F166" i="12"/>
  <c r="K167" i="11" s="1"/>
  <c r="M167" i="11" s="1"/>
  <c r="F160" i="12"/>
  <c r="D160" i="12"/>
  <c r="F160" i="5" s="1"/>
  <c r="E30" i="11"/>
  <c r="G170" i="12"/>
  <c r="D5" i="12"/>
  <c r="E59" i="12"/>
  <c r="F174" i="12"/>
  <c r="E156" i="12"/>
  <c r="F114" i="12"/>
  <c r="F42" i="12"/>
  <c r="G4" i="12"/>
  <c r="N5" i="11" s="1"/>
  <c r="P5" i="11" s="1"/>
  <c r="E177" i="12"/>
  <c r="D153" i="12"/>
  <c r="E154" i="11" s="1"/>
  <c r="G154" i="11" s="1"/>
  <c r="G129" i="12"/>
  <c r="N130" i="11" s="1"/>
  <c r="P130" i="11" s="1"/>
  <c r="F99" i="12"/>
  <c r="D75" i="12"/>
  <c r="F45" i="12"/>
  <c r="D105" i="12"/>
  <c r="F193" i="12"/>
  <c r="F97" i="12"/>
  <c r="K98" i="11" s="1"/>
  <c r="M98" i="11" s="1"/>
  <c r="G73" i="12"/>
  <c r="F55" i="12"/>
  <c r="G3" i="12"/>
  <c r="E57" i="12"/>
  <c r="H58" i="11" s="1"/>
  <c r="J58" i="11" s="1"/>
  <c r="E63" i="12"/>
  <c r="H64" i="11" s="1"/>
  <c r="J64" i="11" s="1"/>
  <c r="E44" i="12"/>
  <c r="H45" i="11" s="1"/>
  <c r="J45" i="11" s="1"/>
  <c r="D44" i="12"/>
  <c r="G44" i="12"/>
  <c r="G48" i="12"/>
  <c r="F48" i="12"/>
  <c r="E140" i="12"/>
  <c r="H141" i="11" s="1"/>
  <c r="J141" i="11" s="1"/>
  <c r="G140" i="12"/>
  <c r="D140" i="12"/>
  <c r="F140" i="5" s="1"/>
  <c r="C26" i="1"/>
  <c r="E194" i="12"/>
  <c r="H194" i="5" s="1"/>
  <c r="F194" i="12"/>
  <c r="J194" i="5" s="1"/>
  <c r="D194" i="12"/>
  <c r="G94" i="12"/>
  <c r="N95" i="11" s="1"/>
  <c r="P95" i="11" s="1"/>
  <c r="F94" i="12"/>
  <c r="E94" i="12"/>
  <c r="D94" i="12"/>
  <c r="E95" i="11" s="1"/>
  <c r="G95" i="11" s="1"/>
  <c r="F85" i="12"/>
  <c r="F158" i="12"/>
  <c r="E158" i="12"/>
  <c r="H159" i="11" s="1"/>
  <c r="J159" i="11" s="1"/>
  <c r="D158" i="12"/>
  <c r="H109" i="11"/>
  <c r="J109" i="11" s="1"/>
  <c r="F108" i="12"/>
  <c r="D108" i="12"/>
  <c r="E3" i="12"/>
  <c r="E74" i="12"/>
  <c r="H75" i="11" s="1"/>
  <c r="J75" i="11" s="1"/>
  <c r="D74" i="12"/>
  <c r="F74" i="12"/>
  <c r="G55" i="12"/>
  <c r="Y176" i="14"/>
  <c r="Y172" i="14"/>
  <c r="Y190" i="14"/>
  <c r="G154" i="12"/>
  <c r="L154" i="5" s="1"/>
  <c r="F154" i="12"/>
  <c r="J154" i="5" s="1"/>
  <c r="E154" i="12"/>
  <c r="D154" i="12"/>
  <c r="Y198" i="14"/>
  <c r="E56" i="12"/>
  <c r="H57" i="11" s="1"/>
  <c r="J57" i="11" s="1"/>
  <c r="D56" i="12"/>
  <c r="G56" i="12"/>
  <c r="H186" i="11"/>
  <c r="E185" i="12"/>
  <c r="G185" i="12"/>
  <c r="Q72" i="5"/>
  <c r="BB72" i="5" s="1"/>
  <c r="E11" i="11"/>
  <c r="E10" i="12"/>
  <c r="D10" i="12"/>
  <c r="G10" i="12"/>
  <c r="F10" i="12"/>
  <c r="G58" i="12"/>
  <c r="T58" i="5" s="1"/>
  <c r="D58" i="12"/>
  <c r="G8" i="12"/>
  <c r="D8" i="12"/>
  <c r="E9" i="11" s="1"/>
  <c r="G9" i="11" s="1"/>
  <c r="E8" i="12"/>
  <c r="D35" i="12"/>
  <c r="F35" i="5" s="1"/>
  <c r="F35" i="12"/>
  <c r="J35" i="5" s="1"/>
  <c r="D103" i="12"/>
  <c r="E104" i="11" s="1"/>
  <c r="G104" i="11" s="1"/>
  <c r="G103" i="12"/>
  <c r="D100" i="12"/>
  <c r="E101" i="11" s="1"/>
  <c r="G101" i="11" s="1"/>
  <c r="E100" i="12"/>
  <c r="E196" i="12"/>
  <c r="H197" i="11" s="1"/>
  <c r="J197" i="11" s="1"/>
  <c r="F196" i="12"/>
  <c r="K197" i="11" s="1"/>
  <c r="M197" i="11" s="1"/>
  <c r="D196" i="12"/>
  <c r="F16" i="12"/>
  <c r="D16" i="12"/>
  <c r="E17" i="11" s="1"/>
  <c r="G17" i="11" s="1"/>
  <c r="D168" i="12"/>
  <c r="F168" i="12"/>
  <c r="K169" i="11" s="1"/>
  <c r="M169" i="11" s="1"/>
  <c r="G168" i="12"/>
  <c r="T168" i="5" s="1"/>
  <c r="E58" i="12"/>
  <c r="F113" i="12"/>
  <c r="G53" i="12"/>
  <c r="N54" i="11" s="1"/>
  <c r="P54" i="11" s="1"/>
  <c r="E11" i="12"/>
  <c r="H12" i="11" s="1"/>
  <c r="J12" i="11" s="1"/>
  <c r="G150" i="12"/>
  <c r="F72" i="12"/>
  <c r="K73" i="11" s="1"/>
  <c r="M73" i="11" s="1"/>
  <c r="G29" i="12"/>
  <c r="E21" i="12"/>
  <c r="F177" i="12"/>
  <c r="K178" i="11" s="1"/>
  <c r="M178" i="11" s="1"/>
  <c r="F153" i="12"/>
  <c r="K154" i="11" s="1"/>
  <c r="M154" i="11" s="1"/>
  <c r="F129" i="12"/>
  <c r="K130" i="11" s="1"/>
  <c r="M130" i="11" s="1"/>
  <c r="G99" i="12"/>
  <c r="E45" i="12"/>
  <c r="E93" i="12"/>
  <c r="F57" i="12"/>
  <c r="K58" i="11" s="1"/>
  <c r="M58" i="11" s="1"/>
  <c r="G193" i="12"/>
  <c r="L193" i="5" s="1"/>
  <c r="F145" i="12"/>
  <c r="F121" i="12"/>
  <c r="D97" i="12"/>
  <c r="E98" i="11" s="1"/>
  <c r="G98" i="11" s="1"/>
  <c r="F73" i="12"/>
  <c r="K74" i="11" s="1"/>
  <c r="M74" i="11" s="1"/>
  <c r="D19" i="12"/>
  <c r="E20" i="11" s="1"/>
  <c r="G20" i="11" s="1"/>
  <c r="D39" i="12"/>
  <c r="F39" i="5" s="1"/>
  <c r="D51" i="12"/>
  <c r="N51" i="5" s="1"/>
  <c r="E50" i="11"/>
  <c r="F49" i="12"/>
  <c r="F78" i="12"/>
  <c r="K79" i="11" s="1"/>
  <c r="M79" i="11" s="1"/>
  <c r="E78" i="12"/>
  <c r="G78" i="12"/>
  <c r="N79" i="11" s="1"/>
  <c r="P79" i="11" s="1"/>
  <c r="F118" i="12"/>
  <c r="J118" i="5" s="1"/>
  <c r="G118" i="12"/>
  <c r="D118" i="12"/>
  <c r="E118" i="12"/>
  <c r="D64" i="12"/>
  <c r="E65" i="11" s="1"/>
  <c r="G65" i="11" s="1"/>
  <c r="F64" i="12"/>
  <c r="E64" i="12"/>
  <c r="G143" i="12"/>
  <c r="D143" i="12"/>
  <c r="E143" i="12"/>
  <c r="H144" i="11" s="1"/>
  <c r="J144" i="11" s="1"/>
  <c r="E146" i="12"/>
  <c r="D146" i="12"/>
  <c r="E147" i="11" s="1"/>
  <c r="G147" i="11" s="1"/>
  <c r="F146" i="12"/>
  <c r="E115" i="11"/>
  <c r="G114" i="12"/>
  <c r="E114" i="12"/>
  <c r="F22" i="12"/>
  <c r="E22" i="12"/>
  <c r="H23" i="11" s="1"/>
  <c r="J23" i="11" s="1"/>
  <c r="G22" i="12"/>
  <c r="D22" i="12"/>
  <c r="Y173" i="14"/>
  <c r="G144" i="12"/>
  <c r="D144" i="12"/>
  <c r="E145" i="11" s="1"/>
  <c r="G145" i="11" s="1"/>
  <c r="H192" i="11"/>
  <c r="J192" i="11" s="1"/>
  <c r="F191" i="12"/>
  <c r="G191" i="12"/>
  <c r="D12" i="12"/>
  <c r="E13" i="11" s="1"/>
  <c r="G13" i="11" s="1"/>
  <c r="G12" i="12"/>
  <c r="D200" i="12"/>
  <c r="G200" i="12"/>
  <c r="E200" i="12"/>
  <c r="H200" i="5" s="1"/>
  <c r="G194" i="12"/>
  <c r="E88" i="12"/>
  <c r="F58" i="12"/>
  <c r="K59" i="11" s="1"/>
  <c r="M59" i="11" s="1"/>
  <c r="F54" i="12"/>
  <c r="D113" i="12"/>
  <c r="E114" i="11" s="1"/>
  <c r="G114" i="11" s="1"/>
  <c r="D53" i="12"/>
  <c r="E108" i="12"/>
  <c r="H108" i="5" s="1"/>
  <c r="F131" i="12"/>
  <c r="K132" i="11" s="1"/>
  <c r="M132" i="11" s="1"/>
  <c r="G151" i="12"/>
  <c r="E153" i="12"/>
  <c r="G153" i="12"/>
  <c r="E69" i="12"/>
  <c r="E55" i="12"/>
  <c r="F44" i="12"/>
  <c r="E39" i="12"/>
  <c r="G33" i="12"/>
  <c r="E193" i="12"/>
  <c r="H194" i="11" s="1"/>
  <c r="J194" i="11" s="1"/>
  <c r="D163" i="12"/>
  <c r="G145" i="12"/>
  <c r="N146" i="11" s="1"/>
  <c r="P146" i="11" s="1"/>
  <c r="G97" i="12"/>
  <c r="L97" i="5" s="1"/>
  <c r="E73" i="12"/>
  <c r="G49" i="12"/>
  <c r="G57" i="12"/>
  <c r="F125" i="12"/>
  <c r="K126" i="11" s="1"/>
  <c r="M126" i="11" s="1"/>
  <c r="G125" i="12"/>
  <c r="K184" i="11"/>
  <c r="H80" i="11"/>
  <c r="J80" i="11" s="1"/>
  <c r="E79" i="12"/>
  <c r="D79" i="12"/>
  <c r="E80" i="11" s="1"/>
  <c r="G80" i="11" s="1"/>
  <c r="D84" i="12"/>
  <c r="E85" i="11" s="1"/>
  <c r="G85" i="11" s="1"/>
  <c r="F84" i="12"/>
  <c r="G64" i="12"/>
  <c r="D174" i="12"/>
  <c r="E125" i="12"/>
  <c r="D119" i="12"/>
  <c r="E120" i="11" s="1"/>
  <c r="G120" i="11" s="1"/>
  <c r="F139" i="12"/>
  <c r="E183" i="12"/>
  <c r="D134" i="12"/>
  <c r="F134" i="12"/>
  <c r="E134" i="12"/>
  <c r="E66" i="12"/>
  <c r="H67" i="11" s="1"/>
  <c r="J67" i="11" s="1"/>
  <c r="F66" i="12"/>
  <c r="K67" i="11" s="1"/>
  <c r="M67" i="11" s="1"/>
  <c r="F122" i="12"/>
  <c r="E122" i="12"/>
  <c r="D122" i="12"/>
  <c r="E126" i="12"/>
  <c r="F126" i="12"/>
  <c r="G126" i="12"/>
  <c r="N127" i="11" s="1"/>
  <c r="P127" i="11" s="1"/>
  <c r="D141" i="12"/>
  <c r="F157" i="12"/>
  <c r="H178" i="11"/>
  <c r="G172" i="12"/>
  <c r="L172" i="5" s="1"/>
  <c r="D65" i="12"/>
  <c r="E66" i="11" s="1"/>
  <c r="G66" i="11" s="1"/>
  <c r="E159" i="12"/>
  <c r="G143" i="14"/>
  <c r="H170" i="11"/>
  <c r="F169" i="12"/>
  <c r="G169" i="12"/>
  <c r="F86" i="12"/>
  <c r="K87" i="11" s="1"/>
  <c r="M87" i="11" s="1"/>
  <c r="E86" i="12"/>
  <c r="D86" i="12"/>
  <c r="G122" i="12"/>
  <c r="F128" i="12"/>
  <c r="K129" i="11" s="1"/>
  <c r="M129" i="11" s="1"/>
  <c r="G130" i="12"/>
  <c r="N131" i="11" s="1"/>
  <c r="P131" i="11" s="1"/>
  <c r="G108" i="12"/>
  <c r="D162" i="12"/>
  <c r="E84" i="12"/>
  <c r="H85" i="11" s="1"/>
  <c r="J85" i="11" s="1"/>
  <c r="D48" i="12"/>
  <c r="E4" i="12"/>
  <c r="G183" i="12"/>
  <c r="G159" i="12"/>
  <c r="D45" i="12"/>
  <c r="E53" i="12"/>
  <c r="D151" i="12"/>
  <c r="F79" i="12"/>
  <c r="K80" i="11" s="1"/>
  <c r="M80" i="11" s="1"/>
  <c r="E61" i="12"/>
  <c r="H61" i="5" s="1"/>
  <c r="F141" i="12"/>
  <c r="K142" i="11" s="1"/>
  <c r="M142" i="11" s="1"/>
  <c r="D184" i="12"/>
  <c r="E184" i="12"/>
  <c r="F184" i="12"/>
  <c r="G20" i="12"/>
  <c r="L20" i="5" s="1"/>
  <c r="D20" i="12"/>
  <c r="E20" i="12"/>
  <c r="H21" i="11" s="1"/>
  <c r="J21" i="11" s="1"/>
  <c r="H182" i="11"/>
  <c r="J182" i="11" s="1"/>
  <c r="F181" i="12"/>
  <c r="D181" i="12"/>
  <c r="G146" i="12"/>
  <c r="E198" i="11"/>
  <c r="G198" i="11" s="1"/>
  <c r="F197" i="12"/>
  <c r="E197" i="12"/>
  <c r="H198" i="11" s="1"/>
  <c r="J198" i="11" s="1"/>
  <c r="E176" i="12"/>
  <c r="G176" i="12"/>
  <c r="D176" i="12"/>
  <c r="Y159" i="14"/>
  <c r="Y170" i="14"/>
  <c r="D182" i="12"/>
  <c r="E183" i="11" s="1"/>
  <c r="G183" i="11" s="1"/>
  <c r="F182" i="12"/>
  <c r="K183" i="11" s="1"/>
  <c r="M183" i="11" s="1"/>
  <c r="E182" i="12"/>
  <c r="H183" i="11" s="1"/>
  <c r="J183" i="11" s="1"/>
  <c r="E43" i="11"/>
  <c r="G42" i="12"/>
  <c r="L42" i="5" s="1"/>
  <c r="E42" i="12"/>
  <c r="D82" i="12"/>
  <c r="F82" i="5" s="1"/>
  <c r="F82" i="12"/>
  <c r="E82" i="12"/>
  <c r="H72" i="11"/>
  <c r="D71" i="12"/>
  <c r="E106" i="12"/>
  <c r="G106" i="12"/>
  <c r="F106" i="12"/>
  <c r="K107" i="11" s="1"/>
  <c r="M107" i="11" s="1"/>
  <c r="Q7" i="5"/>
  <c r="BB7" i="5" s="1"/>
  <c r="D95" i="12"/>
  <c r="G95" i="12"/>
  <c r="L95" i="5" s="1"/>
  <c r="E95" i="12"/>
  <c r="H96" i="11" s="1"/>
  <c r="J96" i="11" s="1"/>
  <c r="F112" i="12"/>
  <c r="D112" i="12"/>
  <c r="E112" i="12"/>
  <c r="H113" i="11" s="1"/>
  <c r="J113" i="11" s="1"/>
  <c r="E23" i="12"/>
  <c r="G23" i="12"/>
  <c r="D23" i="12"/>
  <c r="E24" i="11" s="1"/>
  <c r="G24" i="11" s="1"/>
  <c r="Y17" i="14"/>
  <c r="Y184" i="14"/>
  <c r="F149" i="12"/>
  <c r="E149" i="12"/>
  <c r="H150" i="11" s="1"/>
  <c r="J150" i="11" s="1"/>
  <c r="Y121" i="14"/>
  <c r="Y9" i="14"/>
  <c r="H124" i="11"/>
  <c r="H156" i="11"/>
  <c r="D155" i="12"/>
  <c r="K97" i="11"/>
  <c r="G96" i="12"/>
  <c r="Y31" i="14"/>
  <c r="Y152" i="14"/>
  <c r="F178" i="12"/>
  <c r="E178" i="12"/>
  <c r="D179" i="11"/>
  <c r="H176" i="11"/>
  <c r="J176" i="11" s="1"/>
  <c r="D175" i="12"/>
  <c r="Y83" i="14"/>
  <c r="Y38" i="14"/>
  <c r="F136" i="12"/>
  <c r="K137" i="11" s="1"/>
  <c r="M137" i="11" s="1"/>
  <c r="D136" i="12"/>
  <c r="E137" i="11" s="1"/>
  <c r="G137" i="11" s="1"/>
  <c r="E136" i="12"/>
  <c r="H137" i="11" s="1"/>
  <c r="J137" i="11" s="1"/>
  <c r="F36" i="12"/>
  <c r="K37" i="11" s="1"/>
  <c r="M37" i="11" s="1"/>
  <c r="D36" i="12"/>
  <c r="D199" i="12"/>
  <c r="E199" i="12"/>
  <c r="F120" i="12"/>
  <c r="K121" i="11" s="1"/>
  <c r="M121" i="11" s="1"/>
  <c r="G120" i="12"/>
  <c r="T120" i="5" s="1"/>
  <c r="D80" i="12"/>
  <c r="E80" i="12"/>
  <c r="G80" i="12"/>
  <c r="K165" i="11"/>
  <c r="M165" i="11" s="1"/>
  <c r="G164" i="12"/>
  <c r="D164" i="12"/>
  <c r="E165" i="11" s="1"/>
  <c r="G165" i="11" s="1"/>
  <c r="E164" i="12"/>
  <c r="D98" i="12"/>
  <c r="F98" i="12"/>
  <c r="E98" i="12"/>
  <c r="K20" i="11"/>
  <c r="M20" i="11" s="1"/>
  <c r="E19" i="12"/>
  <c r="F180" i="12"/>
  <c r="K181" i="11" s="1"/>
  <c r="M181" i="11" s="1"/>
  <c r="D180" i="12"/>
  <c r="T198" i="5"/>
  <c r="E198" i="12"/>
  <c r="H199" i="11" s="1"/>
  <c r="J199" i="11" s="1"/>
  <c r="F198" i="12"/>
  <c r="K199" i="11" s="1"/>
  <c r="M199" i="11" s="1"/>
  <c r="F8" i="12"/>
  <c r="E130" i="12"/>
  <c r="G100" i="12"/>
  <c r="F130" i="12"/>
  <c r="K131" i="11" s="1"/>
  <c r="M131" i="11" s="1"/>
  <c r="F192" i="12"/>
  <c r="K193" i="11" s="1"/>
  <c r="M193" i="11" s="1"/>
  <c r="F101" i="12"/>
  <c r="F41" i="12"/>
  <c r="K42" i="11" s="1"/>
  <c r="M42" i="11" s="1"/>
  <c r="D11" i="12"/>
  <c r="E180" i="12"/>
  <c r="F144" i="12"/>
  <c r="G102" i="12"/>
  <c r="D66" i="12"/>
  <c r="E36" i="12"/>
  <c r="G155" i="12"/>
  <c r="F185" i="12"/>
  <c r="D9" i="12"/>
  <c r="E99" i="12"/>
  <c r="H100" i="11" s="1"/>
  <c r="J100" i="11" s="1"/>
  <c r="F195" i="12"/>
  <c r="F171" i="12"/>
  <c r="E147" i="12"/>
  <c r="H148" i="11" s="1"/>
  <c r="J148" i="11" s="1"/>
  <c r="G123" i="12"/>
  <c r="G69" i="12"/>
  <c r="F39" i="12"/>
  <c r="E163" i="12"/>
  <c r="E171" i="12"/>
  <c r="F15" i="12"/>
  <c r="D27" i="12"/>
  <c r="E28" i="11" s="1"/>
  <c r="G28" i="11" s="1"/>
  <c r="D187" i="12"/>
  <c r="E145" i="12"/>
  <c r="H145" i="5" s="1"/>
  <c r="E97" i="12"/>
  <c r="E49" i="12"/>
  <c r="H50" i="11" s="1"/>
  <c r="J50" i="11" s="1"/>
  <c r="F19" i="12"/>
  <c r="G105" i="12"/>
  <c r="E43" i="12"/>
  <c r="H44" i="11" s="1"/>
  <c r="J44" i="11" s="1"/>
  <c r="D43" i="12"/>
  <c r="E44" i="11" s="1"/>
  <c r="G44" i="11" s="1"/>
  <c r="F2" i="12"/>
  <c r="K3" i="11" s="1"/>
  <c r="M3" i="11" s="1"/>
  <c r="D2" i="12"/>
  <c r="E5" i="12"/>
  <c r="F5" i="12"/>
  <c r="K6" i="11" s="1"/>
  <c r="M6" i="11" s="1"/>
  <c r="E174" i="12"/>
  <c r="D102" i="12"/>
  <c r="D125" i="12"/>
  <c r="G113" i="12"/>
  <c r="D152" i="12"/>
  <c r="G152" i="12"/>
  <c r="E152" i="12"/>
  <c r="H153" i="11" s="1"/>
  <c r="J153" i="11" s="1"/>
  <c r="E142" i="12"/>
  <c r="D142" i="12"/>
  <c r="F142" i="12"/>
  <c r="G142" i="12"/>
  <c r="D28" i="12"/>
  <c r="E29" i="11" s="1"/>
  <c r="G29" i="11" s="1"/>
  <c r="E28" i="12"/>
  <c r="F83" i="12"/>
  <c r="J83" i="5" s="1"/>
  <c r="E83" i="12"/>
  <c r="F38" i="12"/>
  <c r="D38" i="12"/>
  <c r="E38" i="12"/>
  <c r="H39" i="11" s="1"/>
  <c r="J39" i="11" s="1"/>
  <c r="F24" i="12"/>
  <c r="K25" i="11" s="1"/>
  <c r="M25" i="11" s="1"/>
  <c r="D24" i="12"/>
  <c r="E76" i="12"/>
  <c r="F76" i="12"/>
  <c r="K77" i="11" s="1"/>
  <c r="M77" i="11" s="1"/>
  <c r="N125" i="11"/>
  <c r="E124" i="12"/>
  <c r="F124" i="12"/>
  <c r="D124" i="12"/>
  <c r="E125" i="11" s="1"/>
  <c r="G125" i="11" s="1"/>
  <c r="H132" i="11"/>
  <c r="G38" i="12"/>
  <c r="N39" i="11" s="1"/>
  <c r="P39" i="11" s="1"/>
  <c r="F107" i="12"/>
  <c r="D107" i="12"/>
  <c r="E108" i="11" s="1"/>
  <c r="G108" i="11" s="1"/>
  <c r="G107" i="12"/>
  <c r="F167" i="12"/>
  <c r="K168" i="11" s="1"/>
  <c r="M168" i="11" s="1"/>
  <c r="G167" i="12"/>
  <c r="E167" i="12"/>
  <c r="E52" i="12"/>
  <c r="F52" i="12"/>
  <c r="D52" i="12"/>
  <c r="E53" i="11" s="1"/>
  <c r="G53" i="11" s="1"/>
  <c r="E110" i="12"/>
  <c r="H111" i="11" s="1"/>
  <c r="J111" i="11" s="1"/>
  <c r="D110" i="12"/>
  <c r="E111" i="11" s="1"/>
  <c r="G111" i="11" s="1"/>
  <c r="F110" i="12"/>
  <c r="E104" i="12"/>
  <c r="H105" i="11" s="1"/>
  <c r="J105" i="11" s="1"/>
  <c r="G104" i="12"/>
  <c r="D104" i="12"/>
  <c r="E105" i="11" s="1"/>
  <c r="G105" i="11" s="1"/>
  <c r="G52" i="12"/>
  <c r="G24" i="12"/>
  <c r="E141" i="12"/>
  <c r="D189" i="12"/>
  <c r="D171" i="12"/>
  <c r="E172" i="11" s="1"/>
  <c r="G172" i="11" s="1"/>
  <c r="D25" i="12"/>
  <c r="E26" i="11" s="1"/>
  <c r="G26" i="11" s="1"/>
  <c r="F25" i="12"/>
  <c r="K26" i="11" s="1"/>
  <c r="M26" i="11" s="1"/>
  <c r="E90" i="11"/>
  <c r="G89" i="12"/>
  <c r="F89" i="12"/>
  <c r="AB11" i="5"/>
  <c r="AQ11" i="5" s="1"/>
  <c r="G66" i="12"/>
  <c r="G83" i="12"/>
  <c r="D126" i="12"/>
  <c r="E127" i="11" s="1"/>
  <c r="G127" i="11" s="1"/>
  <c r="E189" i="12"/>
  <c r="H190" i="11" s="1"/>
  <c r="J190" i="11" s="1"/>
  <c r="E51" i="12"/>
  <c r="H52" i="11" s="1"/>
  <c r="J52" i="11" s="1"/>
  <c r="E157" i="12"/>
  <c r="F40" i="12"/>
  <c r="E40" i="12"/>
  <c r="D40" i="12"/>
  <c r="K22" i="11"/>
  <c r="E32" i="12"/>
  <c r="H33" i="11" s="1"/>
  <c r="J33" i="11" s="1"/>
  <c r="D32" i="12"/>
  <c r="G32" i="12"/>
  <c r="E138" i="11"/>
  <c r="G138" i="11" s="1"/>
  <c r="E137" i="12"/>
  <c r="G138" i="12"/>
  <c r="L138" i="5" s="1"/>
  <c r="F138" i="12"/>
  <c r="E138" i="12"/>
  <c r="E116" i="12"/>
  <c r="G116" i="12"/>
  <c r="L116" i="5" s="1"/>
  <c r="D116" i="12"/>
  <c r="E91" i="11"/>
  <c r="F90" i="12"/>
  <c r="Y94" i="14"/>
  <c r="E127" i="12"/>
  <c r="G127" i="12"/>
  <c r="D127" i="12"/>
  <c r="E116" i="11"/>
  <c r="G116" i="11" s="1"/>
  <c r="E115" i="12"/>
  <c r="D62" i="12"/>
  <c r="E63" i="11" s="1"/>
  <c r="G63" i="11" s="1"/>
  <c r="E62" i="12"/>
  <c r="F62" i="12"/>
  <c r="E149" i="11"/>
  <c r="E148" i="12"/>
  <c r="H149" i="11" s="1"/>
  <c r="J149" i="11" s="1"/>
  <c r="F148" i="12"/>
  <c r="F161" i="12"/>
  <c r="J161" i="5" s="1"/>
  <c r="G161" i="12"/>
  <c r="N162" i="11" s="1"/>
  <c r="P162" i="11" s="1"/>
  <c r="F140" i="12"/>
  <c r="K141" i="11" s="1"/>
  <c r="M141" i="11" s="1"/>
  <c r="F59" i="12"/>
  <c r="E48" i="12"/>
  <c r="H49" i="11" s="1"/>
  <c r="J49" i="11" s="1"/>
  <c r="F137" i="12"/>
  <c r="D4" i="12"/>
  <c r="G177" i="12"/>
  <c r="T177" i="5" s="1"/>
  <c r="D99" i="12"/>
  <c r="E100" i="11" s="1"/>
  <c r="G100" i="11" s="1"/>
  <c r="G45" i="12"/>
  <c r="N46" i="11" s="1"/>
  <c r="P46" i="11" s="1"/>
  <c r="G9" i="12"/>
  <c r="T9" i="5" s="1"/>
  <c r="F69" i="12"/>
  <c r="K70" i="11" s="1"/>
  <c r="M70" i="11" s="1"/>
  <c r="D169" i="12"/>
  <c r="E170" i="11" s="1"/>
  <c r="G170" i="11" s="1"/>
  <c r="F151" i="12"/>
  <c r="K152" i="11" s="1"/>
  <c r="M152" i="11" s="1"/>
  <c r="F127" i="12"/>
  <c r="E188" i="12"/>
  <c r="H189" i="11" s="1"/>
  <c r="J189" i="11" s="1"/>
  <c r="G188" i="12"/>
  <c r="D188" i="12"/>
  <c r="K76" i="11"/>
  <c r="G68" i="12"/>
  <c r="N69" i="11" s="1"/>
  <c r="P69" i="11" s="1"/>
  <c r="E68" i="12"/>
  <c r="H69" i="11" s="1"/>
  <c r="J69" i="11" s="1"/>
  <c r="D68" i="12"/>
  <c r="H16" i="11"/>
  <c r="B42" i="14"/>
  <c r="G30" i="12"/>
  <c r="F30" i="12"/>
  <c r="Y73" i="14"/>
  <c r="Y200" i="14"/>
  <c r="F150" i="12"/>
  <c r="E150" i="12"/>
  <c r="H151" i="11" s="1"/>
  <c r="J151" i="11" s="1"/>
  <c r="Y40" i="14"/>
  <c r="Y30" i="14"/>
  <c r="G186" i="12"/>
  <c r="E186" i="12"/>
  <c r="H112" i="11"/>
  <c r="G70" i="12"/>
  <c r="E70" i="12"/>
  <c r="H70" i="5" s="1"/>
  <c r="F70" i="12"/>
  <c r="D70" i="12"/>
  <c r="D118" i="11"/>
  <c r="Y102" i="14"/>
  <c r="G72" i="12"/>
  <c r="D72" i="12"/>
  <c r="Y63" i="14"/>
  <c r="D92" i="12"/>
  <c r="E93" i="11" s="1"/>
  <c r="G93" i="11" s="1"/>
  <c r="G92" i="12"/>
  <c r="L92" i="5" s="1"/>
  <c r="E92" i="12"/>
  <c r="H93" i="11" s="1"/>
  <c r="J93" i="11" s="1"/>
  <c r="D68" i="11"/>
  <c r="E50" i="12"/>
  <c r="H51" i="11" s="1"/>
  <c r="J51" i="11" s="1"/>
  <c r="F50" i="12"/>
  <c r="K51" i="11" s="1"/>
  <c r="M51" i="11" s="1"/>
  <c r="D50" i="12"/>
  <c r="F47" i="12"/>
  <c r="E47" i="12"/>
  <c r="H48" i="11" s="1"/>
  <c r="J48" i="11" s="1"/>
  <c r="Y74" i="14"/>
  <c r="E18" i="11"/>
  <c r="G17" i="12"/>
  <c r="E77" i="12"/>
  <c r="G77" i="12"/>
  <c r="N78" i="11" s="1"/>
  <c r="P78" i="11" s="1"/>
  <c r="F20" i="12"/>
  <c r="E160" i="12"/>
  <c r="G88" i="12"/>
  <c r="D34" i="12"/>
  <c r="E29" i="12"/>
  <c r="G101" i="12"/>
  <c r="D41" i="12"/>
  <c r="D131" i="12"/>
  <c r="E144" i="12"/>
  <c r="E102" i="12"/>
  <c r="H103" i="11" s="1"/>
  <c r="J103" i="11" s="1"/>
  <c r="E30" i="12"/>
  <c r="H31" i="11" s="1"/>
  <c r="J31" i="11" s="1"/>
  <c r="F119" i="12"/>
  <c r="J119" i="5" s="1"/>
  <c r="D185" i="12"/>
  <c r="G131" i="12"/>
  <c r="D37" i="12"/>
  <c r="F172" i="12"/>
  <c r="J172" i="5" s="1"/>
  <c r="E195" i="12"/>
  <c r="D147" i="12"/>
  <c r="E87" i="12"/>
  <c r="H88" i="11" s="1"/>
  <c r="J88" i="11" s="1"/>
  <c r="F200" i="12"/>
  <c r="G26" i="12"/>
  <c r="G137" i="12"/>
  <c r="T137" i="5" s="1"/>
  <c r="D76" i="12"/>
  <c r="F27" i="12"/>
  <c r="K28" i="11" s="1"/>
  <c r="M28" i="11" s="1"/>
  <c r="F187" i="12"/>
  <c r="F163" i="12"/>
  <c r="K164" i="11" s="1"/>
  <c r="M164" i="11" s="1"/>
  <c r="G139" i="12"/>
  <c r="G115" i="12"/>
  <c r="T115" i="5" s="1"/>
  <c r="E91" i="12"/>
  <c r="D67" i="12"/>
  <c r="F43" i="12"/>
  <c r="K44" i="11" s="1"/>
  <c r="M44" i="11" s="1"/>
  <c r="D13" i="12"/>
  <c r="E14" i="11" s="1"/>
  <c r="G14" i="11" s="1"/>
  <c r="E9" i="12"/>
  <c r="Y139" i="14"/>
  <c r="Y193" i="14"/>
  <c r="Y99" i="14"/>
  <c r="Y21" i="14"/>
  <c r="Y185" i="14"/>
  <c r="Y115" i="14"/>
  <c r="Y87" i="14"/>
  <c r="Y86" i="14"/>
  <c r="Y37" i="14"/>
  <c r="T26" i="14"/>
  <c r="Y179" i="14"/>
  <c r="Y129" i="14"/>
  <c r="Y151" i="14"/>
  <c r="Y85" i="14"/>
  <c r="Y126" i="14"/>
  <c r="Y93" i="14"/>
  <c r="Y182" i="14"/>
  <c r="Y161" i="14"/>
  <c r="Y55" i="14"/>
  <c r="Y158" i="14"/>
  <c r="Y70" i="14"/>
  <c r="Y44" i="14"/>
  <c r="Y27" i="14"/>
  <c r="Y114" i="14"/>
  <c r="Y136" i="14"/>
  <c r="Y105" i="14"/>
  <c r="Y135" i="14"/>
  <c r="Y64" i="14"/>
  <c r="W46" i="14"/>
  <c r="AC173" i="14" s="1"/>
  <c r="Y149" i="14"/>
  <c r="Y68" i="14"/>
  <c r="Y57" i="14"/>
  <c r="Y133" i="14"/>
  <c r="Y134" i="14"/>
  <c r="Y75" i="14"/>
  <c r="Y65" i="14"/>
  <c r="Y125" i="14"/>
  <c r="Y123" i="14"/>
  <c r="Y12" i="14"/>
  <c r="Y155" i="14"/>
  <c r="Y96" i="14"/>
  <c r="Y4" i="14"/>
  <c r="Y199" i="14"/>
  <c r="Y47" i="14"/>
  <c r="Y8" i="14"/>
  <c r="Y25" i="14"/>
  <c r="Y194" i="14"/>
  <c r="Y201" i="14"/>
  <c r="Y196" i="14"/>
  <c r="Y164" i="14"/>
  <c r="Y160" i="14"/>
  <c r="Y140" i="14"/>
  <c r="Y138" i="14"/>
  <c r="Y146" i="14"/>
  <c r="Y116" i="14"/>
  <c r="Y11" i="14"/>
  <c r="Y147" i="14"/>
  <c r="Y89" i="14"/>
  <c r="Y131" i="14"/>
  <c r="Y26" i="14"/>
  <c r="Y58" i="14"/>
  <c r="Y50" i="14"/>
  <c r="Y18" i="14"/>
  <c r="Y2" i="14"/>
  <c r="Y118" i="14"/>
  <c r="Y77" i="14"/>
  <c r="Y109" i="14"/>
  <c r="Y107" i="14"/>
  <c r="Y56" i="14"/>
  <c r="Y188" i="14"/>
  <c r="Y69" i="14"/>
  <c r="Y16" i="14"/>
  <c r="Y141" i="14"/>
  <c r="E189" i="11"/>
  <c r="Y166" i="14"/>
  <c r="Y98" i="14"/>
  <c r="Y119" i="14"/>
  <c r="Y183" i="14"/>
  <c r="Y180" i="14"/>
  <c r="Y167" i="14"/>
  <c r="Y124" i="14"/>
  <c r="Y20" i="14"/>
  <c r="Y156" i="14"/>
  <c r="C53" i="1"/>
  <c r="Y71" i="14"/>
  <c r="Y72" i="14"/>
  <c r="Y41" i="14"/>
  <c r="Y79" i="14"/>
  <c r="Y78" i="14"/>
  <c r="Y95" i="14"/>
  <c r="Y52" i="14"/>
  <c r="Y157" i="14"/>
  <c r="Y197" i="14"/>
  <c r="Y191" i="14"/>
  <c r="Y150" i="14"/>
  <c r="Y165" i="14"/>
  <c r="Y117" i="14"/>
  <c r="Y110" i="14"/>
  <c r="Y59" i="14"/>
  <c r="Y181" i="14"/>
  <c r="Y195" i="14"/>
  <c r="Y19" i="14"/>
  <c r="Y186" i="14"/>
  <c r="Y28" i="14"/>
  <c r="Y122" i="14"/>
  <c r="Y24" i="14"/>
  <c r="Y168" i="14"/>
  <c r="Y100" i="14"/>
  <c r="Y177" i="14"/>
  <c r="Y53" i="14"/>
  <c r="Y113" i="14"/>
  <c r="Y5" i="14"/>
  <c r="Y132" i="14"/>
  <c r="Y81" i="14"/>
  <c r="Y7" i="14"/>
  <c r="Y76" i="14"/>
  <c r="Y23" i="14"/>
  <c r="Y130" i="14"/>
  <c r="Y108" i="14"/>
  <c r="Y145" i="14"/>
  <c r="T32" i="5"/>
  <c r="Y162" i="14"/>
  <c r="Y148" i="14"/>
  <c r="Y153" i="14"/>
  <c r="Y91" i="14"/>
  <c r="Y29" i="14"/>
  <c r="Y80" i="14"/>
  <c r="Y84" i="14"/>
  <c r="Y35" i="14"/>
  <c r="Y43" i="14"/>
  <c r="Y10" i="14"/>
  <c r="Y67" i="14"/>
  <c r="Y49" i="14"/>
  <c r="Y14" i="14"/>
  <c r="Y48" i="14"/>
  <c r="Y171" i="14"/>
  <c r="Y154" i="14"/>
  <c r="Y163" i="14"/>
  <c r="Y32" i="14"/>
  <c r="Y90" i="14"/>
  <c r="Y143" i="14"/>
  <c r="Y189" i="14"/>
  <c r="Y174" i="14"/>
  <c r="Y144" i="14"/>
  <c r="Y88" i="14"/>
  <c r="Y6" i="14"/>
  <c r="Y104" i="14"/>
  <c r="Y33" i="14"/>
  <c r="Y60" i="14"/>
  <c r="Y51" i="14"/>
  <c r="Y3" i="14"/>
  <c r="Y36" i="14"/>
  <c r="Y120" i="14"/>
  <c r="Y137" i="14"/>
  <c r="Y187" i="14"/>
  <c r="Y82" i="14"/>
  <c r="Y169" i="14"/>
  <c r="Y192" i="14"/>
  <c r="Y111" i="14"/>
  <c r="Y106" i="14"/>
  <c r="Y175" i="14"/>
  <c r="Y92" i="14"/>
  <c r="Y112" i="14"/>
  <c r="Y22" i="14"/>
  <c r="F69" i="5"/>
  <c r="G74" i="1"/>
  <c r="D27" i="15"/>
  <c r="N69" i="9"/>
  <c r="F68" i="1"/>
  <c r="E69" i="11"/>
  <c r="G69" i="11" s="1"/>
  <c r="J68" i="5"/>
  <c r="N20" i="11"/>
  <c r="P20" i="11" s="1"/>
  <c r="Q173" i="5"/>
  <c r="BB173" i="5" s="1"/>
  <c r="Q40" i="5"/>
  <c r="BB40" i="5" s="1"/>
  <c r="Q59" i="9"/>
  <c r="L5" i="5"/>
  <c r="AB164" i="5"/>
  <c r="AC164" i="5" s="1"/>
  <c r="Q64" i="5"/>
  <c r="BB64" i="5" s="1"/>
  <c r="H90" i="11"/>
  <c r="J90" i="11" s="1"/>
  <c r="C135" i="14"/>
  <c r="Q163" i="5"/>
  <c r="BB163" i="5" s="1"/>
  <c r="D171" i="11"/>
  <c r="D107" i="11"/>
  <c r="H184" i="11"/>
  <c r="J184" i="11" s="1"/>
  <c r="E119" i="11"/>
  <c r="G119" i="11" s="1"/>
  <c r="Q75" i="5"/>
  <c r="BB75" i="5" s="1"/>
  <c r="H35" i="11"/>
  <c r="J35" i="11" s="1"/>
  <c r="H169" i="11"/>
  <c r="J169" i="11" s="1"/>
  <c r="H116" i="11"/>
  <c r="J116" i="11" s="1"/>
  <c r="U88" i="14"/>
  <c r="U94" i="14"/>
  <c r="U85" i="14"/>
  <c r="U86" i="14"/>
  <c r="U87" i="14"/>
  <c r="T94" i="14"/>
  <c r="U92" i="14"/>
  <c r="U91" i="14"/>
  <c r="U97" i="14" s="1"/>
  <c r="W93" i="14"/>
  <c r="W86" i="14"/>
  <c r="V94" i="14"/>
  <c r="V85" i="14"/>
  <c r="T85" i="14"/>
  <c r="V91" i="14"/>
  <c r="H19" i="15" s="1"/>
  <c r="E56" i="20" s="1"/>
  <c r="T86" i="14"/>
  <c r="V92" i="14"/>
  <c r="T87" i="14"/>
  <c r="T88" i="14"/>
  <c r="T91" i="14"/>
  <c r="T96" i="14" s="1"/>
  <c r="T92" i="14"/>
  <c r="W88" i="14"/>
  <c r="V93" i="14"/>
  <c r="W91" i="14"/>
  <c r="G20" i="15" s="1"/>
  <c r="D57" i="20" s="1"/>
  <c r="W92" i="14"/>
  <c r="W87" i="14"/>
  <c r="V86" i="14"/>
  <c r="V88" i="14"/>
  <c r="V89" i="14" s="1"/>
  <c r="W94" i="14"/>
  <c r="T73" i="14"/>
  <c r="B83" i="15"/>
  <c r="C14" i="20" s="1"/>
  <c r="C83" i="15"/>
  <c r="T72" i="14"/>
  <c r="T70" i="14"/>
  <c r="T71" i="14"/>
  <c r="T39" i="14"/>
  <c r="B10" i="20" s="1"/>
  <c r="T41" i="14"/>
  <c r="B61" i="15"/>
  <c r="B58" i="15"/>
  <c r="B59" i="15"/>
  <c r="B56" i="15"/>
  <c r="B57" i="15"/>
  <c r="C15" i="15"/>
  <c r="D42" i="20" s="1"/>
  <c r="B55" i="15"/>
  <c r="T8" i="7"/>
  <c r="T9" i="7" s="1"/>
  <c r="B15" i="15"/>
  <c r="C42" i="20" s="1"/>
  <c r="S17" i="7"/>
  <c r="S18" i="7" s="1"/>
  <c r="T17" i="7"/>
  <c r="T18" i="7" s="1"/>
  <c r="O17" i="7"/>
  <c r="O18" i="7" s="1"/>
  <c r="P17" i="7"/>
  <c r="P18" i="7" s="1"/>
  <c r="R17" i="7"/>
  <c r="R18" i="7" s="1"/>
  <c r="Q17" i="7"/>
  <c r="Q18" i="7" s="1"/>
  <c r="N17" i="7"/>
  <c r="N18" i="7" s="1"/>
  <c r="Q8" i="7"/>
  <c r="Q9" i="7" s="1"/>
  <c r="P8" i="7"/>
  <c r="P9" i="7" s="1"/>
  <c r="O8" i="7"/>
  <c r="O9" i="7" s="1"/>
  <c r="N8" i="7"/>
  <c r="N9" i="7" s="1"/>
  <c r="Q93" i="5"/>
  <c r="BB93" i="5" s="1"/>
  <c r="Q26" i="5"/>
  <c r="BB26" i="5" s="1"/>
  <c r="O169" i="5"/>
  <c r="P169" i="5" s="1"/>
  <c r="E179" i="1"/>
  <c r="G179" i="1"/>
  <c r="H173" i="5"/>
  <c r="B143" i="14"/>
  <c r="E162" i="11"/>
  <c r="G162" i="11" s="1"/>
  <c r="K188" i="11"/>
  <c r="M188" i="11" s="1"/>
  <c r="AB18" i="5"/>
  <c r="AQ18" i="5" s="1"/>
  <c r="G22" i="15"/>
  <c r="E22" i="15" s="1"/>
  <c r="K33" i="11"/>
  <c r="M33" i="11" s="1"/>
  <c r="D137" i="11"/>
  <c r="D134" i="11"/>
  <c r="Q105" i="5"/>
  <c r="BB105" i="5" s="1"/>
  <c r="Q84" i="5"/>
  <c r="BB84" i="5" s="1"/>
  <c r="D33" i="11"/>
  <c r="E169" i="11"/>
  <c r="G169" i="11" s="1"/>
  <c r="F53" i="1"/>
  <c r="D47" i="11"/>
  <c r="F110" i="14"/>
  <c r="B110" i="14"/>
  <c r="AB121" i="5"/>
  <c r="AQ121" i="5" s="1"/>
  <c r="K134" i="11"/>
  <c r="M134" i="11" s="1"/>
  <c r="Q28" i="5"/>
  <c r="BB28" i="5" s="1"/>
  <c r="AB4" i="5"/>
  <c r="AC4" i="5" s="1"/>
  <c r="H151" i="5"/>
  <c r="H188" i="11"/>
  <c r="J188" i="11" s="1"/>
  <c r="T22" i="14"/>
  <c r="D150" i="11"/>
  <c r="N132" i="11"/>
  <c r="P132" i="11" s="1"/>
  <c r="K35" i="11"/>
  <c r="M35" i="11" s="1"/>
  <c r="C86" i="1"/>
  <c r="L110" i="5"/>
  <c r="Q155" i="9"/>
  <c r="D25" i="11"/>
  <c r="N137" i="9"/>
  <c r="T26" i="5"/>
  <c r="D139" i="11"/>
  <c r="M60" i="5"/>
  <c r="AT60" i="5" s="1"/>
  <c r="D144" i="11"/>
  <c r="Q137" i="9"/>
  <c r="D113" i="11"/>
  <c r="C154" i="1"/>
  <c r="D63" i="11"/>
  <c r="K105" i="11"/>
  <c r="M105" i="11" s="1"/>
  <c r="H19" i="5"/>
  <c r="M83" i="5"/>
  <c r="AT83" i="5" s="1"/>
  <c r="AB87" i="5"/>
  <c r="AQ87" i="5" s="1"/>
  <c r="D197" i="11"/>
  <c r="D104" i="11"/>
  <c r="Q145" i="5"/>
  <c r="O105" i="5"/>
  <c r="AX105" i="5" s="1"/>
  <c r="AB80" i="5"/>
  <c r="AC80" i="5" s="1"/>
  <c r="D154" i="11"/>
  <c r="H134" i="11"/>
  <c r="J134" i="11" s="1"/>
  <c r="H76" i="11"/>
  <c r="J76" i="11" s="1"/>
  <c r="E89" i="11"/>
  <c r="G89" i="11" s="1"/>
  <c r="K111" i="11"/>
  <c r="M111" i="11" s="1"/>
  <c r="O181" i="5"/>
  <c r="AX181" i="5" s="1"/>
  <c r="Q63" i="5"/>
  <c r="BB63" i="5" s="1"/>
  <c r="O193" i="5"/>
  <c r="AX193" i="5" s="1"/>
  <c r="O10" i="5"/>
  <c r="AX10" i="5" s="1"/>
  <c r="D78" i="11"/>
  <c r="Q10" i="5"/>
  <c r="BB10" i="5" s="1"/>
  <c r="Q187" i="5"/>
  <c r="K149" i="11"/>
  <c r="M149" i="11" s="1"/>
  <c r="M183" i="5"/>
  <c r="AT183" i="5" s="1"/>
  <c r="Q128" i="9"/>
  <c r="J6" i="15"/>
  <c r="A3" i="15" s="1"/>
  <c r="D143" i="14"/>
  <c r="AB173" i="5"/>
  <c r="AC173" i="5" s="1"/>
  <c r="D54" i="11"/>
  <c r="D4" i="11"/>
  <c r="D48" i="11"/>
  <c r="Q113" i="9"/>
  <c r="D96" i="11"/>
  <c r="N48" i="9"/>
  <c r="D87" i="11"/>
  <c r="E184" i="1"/>
  <c r="J112" i="11"/>
  <c r="AB152" i="5"/>
  <c r="AP152" i="5" s="1"/>
  <c r="AR152" i="5" s="1"/>
  <c r="Q70" i="5"/>
  <c r="BB70" i="5" s="1"/>
  <c r="Q132" i="5"/>
  <c r="BB132" i="5" s="1"/>
  <c r="N90" i="11"/>
  <c r="P90" i="11" s="1"/>
  <c r="N86" i="11"/>
  <c r="P86" i="11" s="1"/>
  <c r="E30" i="1"/>
  <c r="N40" i="6"/>
  <c r="F152" i="1"/>
  <c r="AB136" i="5"/>
  <c r="AC136" i="5" s="1"/>
  <c r="Q191" i="9"/>
  <c r="N165" i="6"/>
  <c r="AB183" i="5"/>
  <c r="AP183" i="5" s="1"/>
  <c r="AR183" i="5" s="1"/>
  <c r="E74" i="1"/>
  <c r="W45" i="14"/>
  <c r="T27" i="14"/>
  <c r="W43" i="14"/>
  <c r="W44" i="14"/>
  <c r="W41" i="14"/>
  <c r="W42" i="14"/>
  <c r="Q101" i="9"/>
  <c r="B208" i="1"/>
  <c r="D14" i="3"/>
  <c r="D29" i="15"/>
  <c r="D15" i="3"/>
  <c r="D26" i="15"/>
  <c r="D12" i="3"/>
  <c r="G3" i="15"/>
  <c r="D13" i="3"/>
  <c r="N62" i="9"/>
  <c r="Q26" i="9"/>
  <c r="N131" i="6"/>
  <c r="N65" i="6"/>
  <c r="N192" i="6"/>
  <c r="E134" i="11"/>
  <c r="G134" i="11" s="1"/>
  <c r="N28" i="6"/>
  <c r="N137" i="6"/>
  <c r="N54" i="6"/>
  <c r="D12" i="11"/>
  <c r="Q67" i="5"/>
  <c r="BB67" i="5" s="1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BB137" i="5" s="1"/>
  <c r="K104" i="11"/>
  <c r="M104" i="11" s="1"/>
  <c r="N26" i="6"/>
  <c r="N136" i="6"/>
  <c r="M176" i="5"/>
  <c r="F30" i="1"/>
  <c r="D189" i="11"/>
  <c r="N32" i="6"/>
  <c r="N139" i="6"/>
  <c r="N119" i="6"/>
  <c r="N29" i="6"/>
  <c r="N122" i="6"/>
  <c r="N37" i="6"/>
  <c r="L31" i="5"/>
  <c r="N128" i="6"/>
  <c r="N41" i="6"/>
  <c r="N198" i="6"/>
  <c r="G128" i="1"/>
  <c r="Q45" i="5"/>
  <c r="BB45" i="5" s="1"/>
  <c r="H104" i="11"/>
  <c r="J104" i="11" s="1"/>
  <c r="Q111" i="5"/>
  <c r="BB111" i="5" s="1"/>
  <c r="Q29" i="9"/>
  <c r="N32" i="9"/>
  <c r="E35" i="14"/>
  <c r="B85" i="15"/>
  <c r="C16" i="20" s="1"/>
  <c r="Q64" i="9"/>
  <c r="K101" i="11"/>
  <c r="M101" i="11" s="1"/>
  <c r="N35" i="6"/>
  <c r="N140" i="6"/>
  <c r="N43" i="6"/>
  <c r="N163" i="6"/>
  <c r="N69" i="6"/>
  <c r="N173" i="6"/>
  <c r="N144" i="6"/>
  <c r="H4" i="12"/>
  <c r="D92" i="11"/>
  <c r="D196" i="11"/>
  <c r="AB170" i="5"/>
  <c r="AC170" i="5" s="1"/>
  <c r="E152" i="11"/>
  <c r="G152" i="11" s="1"/>
  <c r="N44" i="6"/>
  <c r="N143" i="6"/>
  <c r="N67" i="6"/>
  <c r="N166" i="6"/>
  <c r="N77" i="6"/>
  <c r="N181" i="6"/>
  <c r="N138" i="6"/>
  <c r="H127" i="11"/>
  <c r="J127" i="11" s="1"/>
  <c r="D123" i="11"/>
  <c r="T79" i="5"/>
  <c r="N152" i="11"/>
  <c r="P152" i="11" s="1"/>
  <c r="AB66" i="5"/>
  <c r="AP66" i="5" s="1"/>
  <c r="AR66" i="5" s="1"/>
  <c r="T63" i="5"/>
  <c r="Q190" i="5"/>
  <c r="BB190" i="5" s="1"/>
  <c r="D39" i="11"/>
  <c r="D90" i="11"/>
  <c r="Q167" i="9"/>
  <c r="K68" i="1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E64" i="11"/>
  <c r="G64" i="11" s="1"/>
  <c r="D40" i="11"/>
  <c r="D11" i="11"/>
  <c r="K182" i="11"/>
  <c r="M182" i="11" s="1"/>
  <c r="Q179" i="5"/>
  <c r="R179" i="5" s="1"/>
  <c r="B55" i="14"/>
  <c r="B135" i="14"/>
  <c r="M191" i="5"/>
  <c r="AT191" i="5" s="1"/>
  <c r="F60" i="5"/>
  <c r="D64" i="11"/>
  <c r="N71" i="6"/>
  <c r="N170" i="6"/>
  <c r="N79" i="6"/>
  <c r="N184" i="6"/>
  <c r="N89" i="6"/>
  <c r="N120" i="6"/>
  <c r="Q87" i="9"/>
  <c r="D55" i="14"/>
  <c r="G135" i="14"/>
  <c r="N36" i="11"/>
  <c r="P36" i="11" s="1"/>
  <c r="D122" i="11"/>
  <c r="T60" i="5"/>
  <c r="J53" i="5"/>
  <c r="N74" i="6"/>
  <c r="N179" i="6"/>
  <c r="N88" i="6"/>
  <c r="N187" i="6"/>
  <c r="N113" i="6"/>
  <c r="N84" i="6"/>
  <c r="M13" i="5"/>
  <c r="N13" i="5" s="1"/>
  <c r="N83" i="6"/>
  <c r="N188" i="6"/>
  <c r="N91" i="6"/>
  <c r="N17" i="6"/>
  <c r="N117" i="6"/>
  <c r="N78" i="6"/>
  <c r="N92" i="6"/>
  <c r="N191" i="6"/>
  <c r="N115" i="6"/>
  <c r="N21" i="6"/>
  <c r="N121" i="6"/>
  <c r="N72" i="6"/>
  <c r="H114" i="11"/>
  <c r="J114" i="11" s="1"/>
  <c r="L73" i="5"/>
  <c r="K61" i="11"/>
  <c r="M61" i="11" s="1"/>
  <c r="H68" i="11"/>
  <c r="J68" i="11" s="1"/>
  <c r="H135" i="14"/>
  <c r="H53" i="5"/>
  <c r="E7" i="11"/>
  <c r="G7" i="11" s="1"/>
  <c r="AB133" i="5"/>
  <c r="AP133" i="5" s="1"/>
  <c r="AR133" i="5" s="1"/>
  <c r="G30" i="1"/>
  <c r="Q83" i="5"/>
  <c r="BB83" i="5" s="1"/>
  <c r="N182" i="1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E78" i="11"/>
  <c r="G78" i="11" s="1"/>
  <c r="Q126" i="9"/>
  <c r="E88" i="14"/>
  <c r="K116" i="11"/>
  <c r="M116" i="11" s="1"/>
  <c r="D177" i="11"/>
  <c r="D128" i="1"/>
  <c r="N83" i="11"/>
  <c r="P83" i="11" s="1"/>
  <c r="D187" i="11"/>
  <c r="D130" i="11"/>
  <c r="H122" i="11"/>
  <c r="J122" i="11" s="1"/>
  <c r="C82" i="14"/>
  <c r="D82" i="14"/>
  <c r="D184" i="11"/>
  <c r="K189" i="11"/>
  <c r="M189" i="11" s="1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AT61" i="5" s="1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H86" i="11"/>
  <c r="J86" i="11" s="1"/>
  <c r="E126" i="11"/>
  <c r="G126" i="11" s="1"/>
  <c r="T125" i="5"/>
  <c r="AB148" i="5"/>
  <c r="AQ148" i="5" s="1"/>
  <c r="N184" i="11"/>
  <c r="P184" i="11" s="1"/>
  <c r="Q134" i="5"/>
  <c r="BB134" i="5" s="1"/>
  <c r="AB69" i="5"/>
  <c r="AP69" i="5" s="1"/>
  <c r="AR69" i="5" s="1"/>
  <c r="D8" i="11"/>
  <c r="Q173" i="9"/>
  <c r="E68" i="11"/>
  <c r="G68" i="11" s="1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E86" i="11"/>
  <c r="G86" i="11" s="1"/>
  <c r="C143" i="14"/>
  <c r="Q157" i="5"/>
  <c r="BB157" i="5" s="1"/>
  <c r="Q150" i="5"/>
  <c r="O125" i="5"/>
  <c r="D117" i="11"/>
  <c r="D124" i="11"/>
  <c r="M152" i="5"/>
  <c r="N122" i="11"/>
  <c r="P122" i="11" s="1"/>
  <c r="F72" i="1"/>
  <c r="K13" i="1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P84" i="5" s="1"/>
  <c r="Q75" i="9"/>
  <c r="J184" i="5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H162" i="11"/>
  <c r="J162" i="11" s="1"/>
  <c r="N35" i="11"/>
  <c r="P35" i="11" s="1"/>
  <c r="E193" i="11"/>
  <c r="G193" i="11" s="1"/>
  <c r="N173" i="9"/>
  <c r="K78" i="11"/>
  <c r="M78" i="11" s="1"/>
  <c r="F59" i="5"/>
  <c r="N60" i="11"/>
  <c r="P60" i="11" s="1"/>
  <c r="E184" i="11"/>
  <c r="G184" i="11" s="1"/>
  <c r="E96" i="14"/>
  <c r="F55" i="14"/>
  <c r="H174" i="5"/>
  <c r="G136" i="1"/>
  <c r="L184" i="5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H60" i="11"/>
  <c r="J60" i="11" s="1"/>
  <c r="C37" i="1"/>
  <c r="G55" i="14"/>
  <c r="K175" i="11"/>
  <c r="M175" i="11" s="1"/>
  <c r="F130" i="1"/>
  <c r="Q30" i="5"/>
  <c r="K122" i="11"/>
  <c r="M122" i="11" s="1"/>
  <c r="Q102" i="9"/>
  <c r="K92" i="11"/>
  <c r="M92" i="11" s="1"/>
  <c r="H138" i="12"/>
  <c r="H72" i="12"/>
  <c r="C84" i="1"/>
  <c r="O110" i="5"/>
  <c r="AX110" i="5" s="1"/>
  <c r="D13" i="11"/>
  <c r="D72" i="11"/>
  <c r="C134" i="1"/>
  <c r="F220" i="14"/>
  <c r="E12" i="11"/>
  <c r="G12" i="11" s="1"/>
  <c r="Q153" i="5"/>
  <c r="BB153" i="5" s="1"/>
  <c r="D86" i="11"/>
  <c r="AB149" i="5"/>
  <c r="AP149" i="5" s="1"/>
  <c r="AR149" i="5" s="1"/>
  <c r="H118" i="12"/>
  <c r="G134" i="1"/>
  <c r="D88" i="11"/>
  <c r="H185" i="11"/>
  <c r="J185" i="11" s="1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H119" i="11"/>
  <c r="J119" i="11" s="1"/>
  <c r="E182" i="11"/>
  <c r="G182" i="11" s="1"/>
  <c r="E220" i="14"/>
  <c r="E164" i="1"/>
  <c r="D166" i="11"/>
  <c r="D112" i="11"/>
  <c r="M72" i="5"/>
  <c r="AT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AQ14" i="5" s="1"/>
  <c r="F80" i="5"/>
  <c r="D76" i="11"/>
  <c r="G104" i="1"/>
  <c r="Q15" i="9"/>
  <c r="H88" i="14"/>
  <c r="N92" i="11"/>
  <c r="P92" i="11" s="1"/>
  <c r="H136" i="12"/>
  <c r="H169" i="12"/>
  <c r="H59" i="12"/>
  <c r="O77" i="5"/>
  <c r="AX77" i="5" s="1"/>
  <c r="H26" i="11"/>
  <c r="J26" i="11" s="1"/>
  <c r="Q192" i="5"/>
  <c r="H193" i="11"/>
  <c r="J193" i="11" s="1"/>
  <c r="D36" i="11"/>
  <c r="AB31" i="5"/>
  <c r="AQ31" i="5" s="1"/>
  <c r="N125" i="9"/>
  <c r="M49" i="5"/>
  <c r="AT49" i="5" s="1"/>
  <c r="H39" i="12"/>
  <c r="H92" i="11"/>
  <c r="J92" i="11" s="1"/>
  <c r="H81" i="11"/>
  <c r="J81" i="11" s="1"/>
  <c r="H114" i="12"/>
  <c r="D114" i="11"/>
  <c r="AB33" i="5"/>
  <c r="AQ33" i="5" s="1"/>
  <c r="D38" i="1"/>
  <c r="Q171" i="9"/>
  <c r="K30" i="11"/>
  <c r="M30" i="11" s="1"/>
  <c r="N140" i="11"/>
  <c r="P140" i="11" s="1"/>
  <c r="D61" i="11"/>
  <c r="F143" i="14"/>
  <c r="D140" i="11"/>
  <c r="D161" i="11"/>
  <c r="H140" i="11"/>
  <c r="J140" i="11" s="1"/>
  <c r="H183" i="14"/>
  <c r="E199" i="11"/>
  <c r="G199" i="11" s="1"/>
  <c r="E174" i="1"/>
  <c r="H143" i="14"/>
  <c r="E33" i="11"/>
  <c r="G33" i="11" s="1"/>
  <c r="G182" i="1"/>
  <c r="Q107" i="5"/>
  <c r="BB107" i="5" s="1"/>
  <c r="C152" i="1"/>
  <c r="J139" i="5"/>
  <c r="H21" i="5"/>
  <c r="T192" i="5"/>
  <c r="D184" i="1"/>
  <c r="AB35" i="5"/>
  <c r="AP35" i="5" s="1"/>
  <c r="AR35" i="5" s="1"/>
  <c r="Q95" i="9"/>
  <c r="D153" i="11"/>
  <c r="D74" i="1"/>
  <c r="D45" i="11"/>
  <c r="D176" i="11"/>
  <c r="D82" i="11"/>
  <c r="G116" i="1"/>
  <c r="D175" i="11"/>
  <c r="F183" i="14"/>
  <c r="G164" i="1"/>
  <c r="D141" i="11"/>
  <c r="Q119" i="5"/>
  <c r="BB119" i="5" s="1"/>
  <c r="D182" i="1"/>
  <c r="C161" i="1"/>
  <c r="M167" i="5"/>
  <c r="D179" i="1"/>
  <c r="G130" i="1"/>
  <c r="Q99" i="5"/>
  <c r="O99" i="5"/>
  <c r="AX99" i="5" s="1"/>
  <c r="Q53" i="5"/>
  <c r="BB53" i="5" s="1"/>
  <c r="E181" i="11"/>
  <c r="G181" i="11" s="1"/>
  <c r="D126" i="11"/>
  <c r="AB96" i="5"/>
  <c r="AP96" i="5" s="1"/>
  <c r="AR96" i="5" s="1"/>
  <c r="E154" i="1"/>
  <c r="M115" i="5"/>
  <c r="N115" i="5" s="1"/>
  <c r="F104" i="1"/>
  <c r="E9" i="1"/>
  <c r="N88" i="9"/>
  <c r="H13" i="11"/>
  <c r="J13" i="11" s="1"/>
  <c r="N185" i="9"/>
  <c r="N113" i="9"/>
  <c r="K27" i="11"/>
  <c r="M27" i="11" s="1"/>
  <c r="D53" i="11"/>
  <c r="Q25" i="5"/>
  <c r="R25" i="5" s="1"/>
  <c r="G139" i="1"/>
  <c r="Q181" i="5"/>
  <c r="BB181" i="5" s="1"/>
  <c r="D102" i="1"/>
  <c r="D62" i="1"/>
  <c r="D164" i="1"/>
  <c r="G105" i="1"/>
  <c r="H99" i="11"/>
  <c r="J99" i="11" s="1"/>
  <c r="C38" i="1"/>
  <c r="D129" i="1"/>
  <c r="F88" i="14"/>
  <c r="H66" i="12"/>
  <c r="K14" i="11"/>
  <c r="M14" i="11" s="1"/>
  <c r="H181" i="11"/>
  <c r="J181" i="11" s="1"/>
  <c r="Q96" i="5"/>
  <c r="R96" i="5" s="1"/>
  <c r="T179" i="5"/>
  <c r="H171" i="12"/>
  <c r="H69" i="12"/>
  <c r="H29" i="5"/>
  <c r="H33" i="12"/>
  <c r="Q42" i="5"/>
  <c r="T180" i="5"/>
  <c r="D5" i="11"/>
  <c r="D42" i="11"/>
  <c r="F57" i="5"/>
  <c r="C96" i="14"/>
  <c r="H128" i="12"/>
  <c r="T140" i="5"/>
  <c r="H124" i="12"/>
  <c r="K43" i="11"/>
  <c r="M43" i="11" s="1"/>
  <c r="H164" i="12"/>
  <c r="D99" i="11"/>
  <c r="D125" i="11"/>
  <c r="D159" i="11"/>
  <c r="C104" i="1"/>
  <c r="C6" i="1"/>
  <c r="E32" i="11"/>
  <c r="G32" i="11" s="1"/>
  <c r="E38" i="1"/>
  <c r="N196" i="9"/>
  <c r="O25" i="5"/>
  <c r="G96" i="14"/>
  <c r="N164" i="11"/>
  <c r="P164" i="11" s="1"/>
  <c r="T108" i="5"/>
  <c r="H26" i="12"/>
  <c r="D89" i="11"/>
  <c r="H9" i="12"/>
  <c r="AB45" i="5"/>
  <c r="AQ45" i="5" s="1"/>
  <c r="H32" i="11"/>
  <c r="J32" i="11" s="1"/>
  <c r="D17" i="11"/>
  <c r="F86" i="1"/>
  <c r="D105" i="1"/>
  <c r="AB9" i="5"/>
  <c r="AP9" i="5" s="1"/>
  <c r="AR9" i="5" s="1"/>
  <c r="O72" i="5"/>
  <c r="AX72" i="5" s="1"/>
  <c r="D41" i="11"/>
  <c r="E53" i="1"/>
  <c r="C139" i="1"/>
  <c r="D149" i="11"/>
  <c r="D155" i="11"/>
  <c r="Q109" i="5"/>
  <c r="BB109" i="5" s="1"/>
  <c r="C182" i="1"/>
  <c r="O107" i="5"/>
  <c r="AX107" i="5" s="1"/>
  <c r="D58" i="11"/>
  <c r="D10" i="11"/>
  <c r="Q125" i="5"/>
  <c r="O123" i="5"/>
  <c r="P123" i="5" s="1"/>
  <c r="Q5" i="5"/>
  <c r="BB5" i="5" s="1"/>
  <c r="O143" i="5"/>
  <c r="AX143" i="5" s="1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H101" i="11"/>
  <c r="J101" i="11" s="1"/>
  <c r="T6" i="5"/>
  <c r="K127" i="11"/>
  <c r="M127" i="11" s="1"/>
  <c r="D158" i="11"/>
  <c r="D56" i="11"/>
  <c r="N161" i="9"/>
  <c r="K125" i="11"/>
  <c r="M125" i="11" s="1"/>
  <c r="H125" i="11"/>
  <c r="J125" i="11" s="1"/>
  <c r="Q110" i="9"/>
  <c r="H120" i="11"/>
  <c r="J120" i="11" s="1"/>
  <c r="K114" i="11"/>
  <c r="M114" i="11" s="1"/>
  <c r="E178" i="11"/>
  <c r="G178" i="11" s="1"/>
  <c r="Q131" i="9"/>
  <c r="D132" i="11"/>
  <c r="D81" i="11"/>
  <c r="Q110" i="5"/>
  <c r="BB110" i="5" s="1"/>
  <c r="AB102" i="5"/>
  <c r="AQ102" i="5" s="1"/>
  <c r="Q56" i="5"/>
  <c r="BB56" i="5" s="1"/>
  <c r="D195" i="11"/>
  <c r="N70" i="11"/>
  <c r="P70" i="11" s="1"/>
  <c r="AB159" i="5"/>
  <c r="AC159" i="5" s="1"/>
  <c r="Q106" i="5"/>
  <c r="H89" i="11"/>
  <c r="J89" i="11" s="1"/>
  <c r="D59" i="11"/>
  <c r="H43" i="11"/>
  <c r="J43" i="11" s="1"/>
  <c r="O145" i="5"/>
  <c r="D167" i="11"/>
  <c r="H87" i="11"/>
  <c r="J87" i="11" s="1"/>
  <c r="H186" i="12"/>
  <c r="H115" i="12"/>
  <c r="P63" i="5"/>
  <c r="H111" i="12"/>
  <c r="H14" i="12"/>
  <c r="N192" i="9"/>
  <c r="Q37" i="9"/>
  <c r="Q97" i="5"/>
  <c r="F118" i="5"/>
  <c r="H148" i="12"/>
  <c r="B183" i="14"/>
  <c r="H191" i="12"/>
  <c r="H8" i="12"/>
  <c r="H98" i="12"/>
  <c r="G220" i="14"/>
  <c r="G110" i="14"/>
  <c r="H79" i="12"/>
  <c r="H14" i="11"/>
  <c r="J14" i="11" s="1"/>
  <c r="Q151" i="5"/>
  <c r="BB151" i="5" s="1"/>
  <c r="Q149" i="5"/>
  <c r="BB149" i="5" s="1"/>
  <c r="E188" i="11"/>
  <c r="G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N14" i="9"/>
  <c r="H144" i="12"/>
  <c r="H56" i="12"/>
  <c r="H35" i="12"/>
  <c r="Q192" i="9"/>
  <c r="N183" i="9"/>
  <c r="K46" i="11"/>
  <c r="M46" i="11" s="1"/>
  <c r="M113" i="5"/>
  <c r="E197" i="11"/>
  <c r="G197" i="11" s="1"/>
  <c r="T65" i="5"/>
  <c r="T39" i="5"/>
  <c r="K82" i="11"/>
  <c r="M82" i="11" s="1"/>
  <c r="L98" i="5"/>
  <c r="N197" i="11"/>
  <c r="P197" i="11" s="1"/>
  <c r="N34" i="9"/>
  <c r="Q122" i="9"/>
  <c r="E146" i="11"/>
  <c r="G146" i="11" s="1"/>
  <c r="C183" i="14"/>
  <c r="T13" i="5"/>
  <c r="K99" i="11"/>
  <c r="M99" i="11" s="1"/>
  <c r="Q83" i="9"/>
  <c r="N74" i="9"/>
  <c r="Q190" i="9"/>
  <c r="E46" i="11"/>
  <c r="G46" i="11" s="1"/>
  <c r="H179" i="5"/>
  <c r="H82" i="11"/>
  <c r="J82" i="11" s="1"/>
  <c r="D115" i="11"/>
  <c r="D100" i="11"/>
  <c r="F179" i="5"/>
  <c r="M126" i="5"/>
  <c r="B224" i="14"/>
  <c r="C224" i="14"/>
  <c r="D109" i="11"/>
  <c r="F224" i="14"/>
  <c r="D224" i="14"/>
  <c r="H131" i="11"/>
  <c r="J131" i="11" s="1"/>
  <c r="D146" i="11"/>
  <c r="E224" i="14"/>
  <c r="K90" i="11"/>
  <c r="M90" i="11" s="1"/>
  <c r="AB51" i="5"/>
  <c r="AC51" i="5" s="1"/>
  <c r="Q129" i="5"/>
  <c r="BB129" i="5" s="1"/>
  <c r="Q140" i="9"/>
  <c r="Q158" i="9"/>
  <c r="Q169" i="5"/>
  <c r="BB169" i="5" s="1"/>
  <c r="Q39" i="5"/>
  <c r="BB39" i="5" s="1"/>
  <c r="Q170" i="9"/>
  <c r="N195" i="6"/>
  <c r="N15" i="6"/>
  <c r="G173" i="1"/>
  <c r="Q193" i="9"/>
  <c r="Q164" i="9"/>
  <c r="G30" i="11"/>
  <c r="Q159" i="9"/>
  <c r="N18" i="9"/>
  <c r="Q182" i="9"/>
  <c r="N95" i="9"/>
  <c r="N111" i="9"/>
  <c r="N30" i="11"/>
  <c r="P30" i="11" s="1"/>
  <c r="E134" i="1"/>
  <c r="D79" i="11"/>
  <c r="D26" i="11"/>
  <c r="G55" i="1"/>
  <c r="M170" i="5"/>
  <c r="AT170" i="5" s="1"/>
  <c r="M80" i="5"/>
  <c r="AT80" i="5" s="1"/>
  <c r="AB7" i="5"/>
  <c r="AQ7" i="5" s="1"/>
  <c r="O144" i="5"/>
  <c r="AX144" i="5" s="1"/>
  <c r="E123" i="1"/>
  <c r="N100" i="11"/>
  <c r="P100" i="11" s="1"/>
  <c r="H131" i="12"/>
  <c r="H37" i="12"/>
  <c r="E83" i="14"/>
  <c r="H34" i="12"/>
  <c r="H94" i="12"/>
  <c r="O81" i="5"/>
  <c r="AX81" i="5" s="1"/>
  <c r="D9" i="1"/>
  <c r="Q50" i="5"/>
  <c r="BB50" i="5" s="1"/>
  <c r="E164" i="11"/>
  <c r="G164" i="11" s="1"/>
  <c r="F118" i="1"/>
  <c r="Q135" i="9"/>
  <c r="H195" i="12"/>
  <c r="H31" i="12"/>
  <c r="H23" i="12"/>
  <c r="H102" i="12"/>
  <c r="H110" i="14"/>
  <c r="H10" i="12"/>
  <c r="D116" i="11"/>
  <c r="H91" i="12"/>
  <c r="H146" i="12"/>
  <c r="D110" i="14"/>
  <c r="E176" i="1"/>
  <c r="H182" i="12"/>
  <c r="E175" i="11"/>
  <c r="G175" i="11" s="1"/>
  <c r="H220" i="14"/>
  <c r="H5" i="12"/>
  <c r="D164" i="11"/>
  <c r="C126" i="1"/>
  <c r="Q156" i="5"/>
  <c r="K10" i="11"/>
  <c r="M10" i="11" s="1"/>
  <c r="O55" i="5"/>
  <c r="N193" i="9"/>
  <c r="H139" i="12"/>
  <c r="H184" i="12"/>
  <c r="H99" i="12"/>
  <c r="H152" i="12"/>
  <c r="E42" i="11"/>
  <c r="G42" i="11" s="1"/>
  <c r="H199" i="12"/>
  <c r="F83" i="14"/>
  <c r="H109" i="12"/>
  <c r="H193" i="12"/>
  <c r="H170" i="12"/>
  <c r="C220" i="14"/>
  <c r="H117" i="12"/>
  <c r="H50" i="12"/>
  <c r="E76" i="11"/>
  <c r="G76" i="11" s="1"/>
  <c r="H36" i="11"/>
  <c r="J36" i="11" s="1"/>
  <c r="H147" i="12"/>
  <c r="H3" i="12"/>
  <c r="O119" i="5"/>
  <c r="Q180" i="5"/>
  <c r="R180" i="5" s="1"/>
  <c r="L173" i="5"/>
  <c r="O146" i="5"/>
  <c r="H21" i="12"/>
  <c r="D162" i="11"/>
  <c r="D67" i="11"/>
  <c r="G9" i="1"/>
  <c r="Q55" i="9"/>
  <c r="M36" i="5"/>
  <c r="F38" i="1"/>
  <c r="H179" i="12"/>
  <c r="H155" i="12"/>
  <c r="H154" i="12"/>
  <c r="H83" i="12"/>
  <c r="C83" i="14"/>
  <c r="H181" i="12"/>
  <c r="E74" i="1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K158" i="11"/>
  <c r="M158" i="11" s="1"/>
  <c r="K49" i="11"/>
  <c r="M49" i="11" s="1"/>
  <c r="H10" i="11"/>
  <c r="J10" i="11" s="1"/>
  <c r="M158" i="5"/>
  <c r="AT158" i="5" s="1"/>
  <c r="Q81" i="5"/>
  <c r="Q24" i="5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E10" i="11"/>
  <c r="G10" i="11" s="1"/>
  <c r="T41" i="5"/>
  <c r="H164" i="11"/>
  <c r="J164" i="11" s="1"/>
  <c r="H145" i="12"/>
  <c r="D83" i="14"/>
  <c r="H29" i="12"/>
  <c r="H157" i="5"/>
  <c r="H16" i="12"/>
  <c r="H98" i="11"/>
  <c r="J98" i="11" s="1"/>
  <c r="H61" i="12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N76" i="11"/>
  <c r="P76" i="11" s="1"/>
  <c r="G224" i="14"/>
  <c r="D180" i="11"/>
  <c r="D152" i="11"/>
  <c r="D198" i="11"/>
  <c r="F157" i="5"/>
  <c r="K100" i="11"/>
  <c r="M100" i="11" s="1"/>
  <c r="F194" i="5"/>
  <c r="H123" i="12"/>
  <c r="H166" i="12"/>
  <c r="H74" i="1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O137" i="5"/>
  <c r="AX137" i="5" s="1"/>
  <c r="F184" i="1"/>
  <c r="D111" i="11"/>
  <c r="D116" i="1"/>
  <c r="J80" i="5"/>
  <c r="D183" i="14"/>
  <c r="C110" i="14"/>
  <c r="D101" i="11"/>
  <c r="AB130" i="5"/>
  <c r="AP130" i="5" s="1"/>
  <c r="AR130" i="5" s="1"/>
  <c r="F116" i="1"/>
  <c r="D104" i="1"/>
  <c r="AB79" i="5"/>
  <c r="AP79" i="5" s="1"/>
  <c r="AR79" i="5" s="1"/>
  <c r="E109" i="11"/>
  <c r="G109" i="11" s="1"/>
  <c r="AB172" i="5"/>
  <c r="AP172" i="5" s="1"/>
  <c r="AR172" i="5" s="1"/>
  <c r="N135" i="9"/>
  <c r="D55" i="11"/>
  <c r="Q171" i="5"/>
  <c r="BB171" i="5" s="1"/>
  <c r="B96" i="14"/>
  <c r="K109" i="11"/>
  <c r="M109" i="11" s="1"/>
  <c r="H47" i="11"/>
  <c r="J47" i="11" s="1"/>
  <c r="N191" i="9"/>
  <c r="F21" i="5"/>
  <c r="F190" i="5"/>
  <c r="G184" i="1"/>
  <c r="D52" i="11"/>
  <c r="Q10" i="9"/>
  <c r="Q114" i="9"/>
  <c r="D120" i="11"/>
  <c r="Q118" i="5"/>
  <c r="BB118" i="5" s="1"/>
  <c r="Q186" i="9"/>
  <c r="F166" i="5"/>
  <c r="N22" i="11"/>
  <c r="P22" i="11" s="1"/>
  <c r="Q116" i="9"/>
  <c r="AB44" i="5"/>
  <c r="AC44" i="5" s="1"/>
  <c r="Q27" i="5"/>
  <c r="BB27" i="5" s="1"/>
  <c r="F154" i="1"/>
  <c r="G154" i="1"/>
  <c r="D80" i="11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H141" i="12"/>
  <c r="H177" i="12"/>
  <c r="H70" i="12"/>
  <c r="H200" i="12"/>
  <c r="D131" i="11"/>
  <c r="N83" i="9"/>
  <c r="D84" i="1"/>
  <c r="G84" i="1"/>
  <c r="D23" i="11"/>
  <c r="N128" i="9"/>
  <c r="N93" i="9"/>
  <c r="N71" i="9"/>
  <c r="N39" i="6"/>
  <c r="Q20" i="9"/>
  <c r="D142" i="11"/>
  <c r="Q53" i="9"/>
  <c r="N165" i="9"/>
  <c r="Q93" i="9"/>
  <c r="O128" i="5"/>
  <c r="D35" i="1"/>
  <c r="AB12" i="5"/>
  <c r="AQ12" i="5" s="1"/>
  <c r="Q14" i="5"/>
  <c r="BB14" i="5" s="1"/>
  <c r="H161" i="11"/>
  <c r="J161" i="11" s="1"/>
  <c r="J200" i="5"/>
  <c r="O90" i="5"/>
  <c r="AX90" i="5" s="1"/>
  <c r="D6" i="11"/>
  <c r="M27" i="5"/>
  <c r="N27" i="5" s="1"/>
  <c r="N5" i="9"/>
  <c r="H105" i="12"/>
  <c r="H25" i="12"/>
  <c r="H119" i="12"/>
  <c r="H74" i="12"/>
  <c r="H112" i="12"/>
  <c r="H190" i="12"/>
  <c r="H64" i="12"/>
  <c r="N81" i="9"/>
  <c r="E132" i="11"/>
  <c r="G132" i="11" s="1"/>
  <c r="K161" i="11"/>
  <c r="M161" i="11" s="1"/>
  <c r="L200" i="5"/>
  <c r="C29" i="1"/>
  <c r="Q99" i="9"/>
  <c r="G29" i="1"/>
  <c r="Q78" i="9"/>
  <c r="Q77" i="9"/>
  <c r="F42" i="1"/>
  <c r="F109" i="5"/>
  <c r="L109" i="5"/>
  <c r="H110" i="11"/>
  <c r="J110" i="11" s="1"/>
  <c r="AB178" i="5"/>
  <c r="AQ178" i="5" s="1"/>
  <c r="H147" i="11"/>
  <c r="J147" i="11" s="1"/>
  <c r="Q139" i="5"/>
  <c r="BB139" i="5" s="1"/>
  <c r="K83" i="11"/>
  <c r="M83" i="11" s="1"/>
  <c r="D29" i="1"/>
  <c r="E21" i="11"/>
  <c r="G21" i="11" s="1"/>
  <c r="D37" i="11"/>
  <c r="AC98" i="5"/>
  <c r="AP98" i="5"/>
  <c r="AR98" i="5" s="1"/>
  <c r="D69" i="11"/>
  <c r="H165" i="11"/>
  <c r="J165" i="11" s="1"/>
  <c r="Q194" i="5"/>
  <c r="BB194" i="5" s="1"/>
  <c r="K17" i="11"/>
  <c r="M17" i="11" s="1"/>
  <c r="H17" i="11"/>
  <c r="J17" i="11" s="1"/>
  <c r="L146" i="5"/>
  <c r="K63" i="11"/>
  <c r="M63" i="11" s="1"/>
  <c r="AB187" i="5"/>
  <c r="AP187" i="5" s="1"/>
  <c r="AR187" i="5" s="1"/>
  <c r="D16" i="11"/>
  <c r="Q123" i="9"/>
  <c r="N158" i="9"/>
  <c r="M53" i="5"/>
  <c r="AT53" i="5" s="1"/>
  <c r="Q85" i="9"/>
  <c r="N85" i="9"/>
  <c r="E55" i="11"/>
  <c r="G55" i="11" s="1"/>
  <c r="T54" i="5"/>
  <c r="K55" i="11"/>
  <c r="M55" i="11" s="1"/>
  <c r="D128" i="11"/>
  <c r="J146" i="5"/>
  <c r="L62" i="5"/>
  <c r="H55" i="11"/>
  <c r="J55" i="11" s="1"/>
  <c r="E16" i="11"/>
  <c r="G16" i="11" s="1"/>
  <c r="L164" i="5"/>
  <c r="Q77" i="5"/>
  <c r="D21" i="11"/>
  <c r="Q90" i="5"/>
  <c r="Q86" i="9"/>
  <c r="K16" i="11"/>
  <c r="M16" i="11" s="1"/>
  <c r="D83" i="11"/>
  <c r="AP138" i="5"/>
  <c r="AR138" i="5" s="1"/>
  <c r="D23" i="1"/>
  <c r="H63" i="11"/>
  <c r="J63" i="11" s="1"/>
  <c r="K52" i="11"/>
  <c r="M52" i="11" s="1"/>
  <c r="N16" i="11"/>
  <c r="P16" i="11" s="1"/>
  <c r="D186" i="11"/>
  <c r="AB104" i="5"/>
  <c r="AC104" i="5" s="1"/>
  <c r="D20" i="11"/>
  <c r="D62" i="11"/>
  <c r="F23" i="1"/>
  <c r="D163" i="11"/>
  <c r="D199" i="11"/>
  <c r="O39" i="5"/>
  <c r="AX39" i="5" s="1"/>
  <c r="Q116" i="5"/>
  <c r="Q182" i="5"/>
  <c r="BB182" i="5" s="1"/>
  <c r="Q69" i="5"/>
  <c r="BB69" i="5" s="1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AQ62" i="5" s="1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G18" i="11"/>
  <c r="AB196" i="5"/>
  <c r="AC196" i="5" s="1"/>
  <c r="D75" i="11"/>
  <c r="D191" i="11"/>
  <c r="D148" i="11"/>
  <c r="H115" i="11"/>
  <c r="J115" i="11" s="1"/>
  <c r="C41" i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G149" i="11"/>
  <c r="K138" i="11"/>
  <c r="M138" i="11" s="1"/>
  <c r="H142" i="11"/>
  <c r="J142" i="11" s="1"/>
  <c r="H84" i="11"/>
  <c r="J84" i="11" s="1"/>
  <c r="T35" i="14"/>
  <c r="T37" i="14" s="1"/>
  <c r="AP82" i="5"/>
  <c r="AR82" i="5" s="1"/>
  <c r="N142" i="11"/>
  <c r="P142" i="11" s="1"/>
  <c r="E49" i="11"/>
  <c r="G49" i="11" s="1"/>
  <c r="N56" i="9"/>
  <c r="Q18" i="9"/>
  <c r="Q47" i="5"/>
  <c r="BB47" i="5" s="1"/>
  <c r="N159" i="6"/>
  <c r="AB191" i="5"/>
  <c r="AC191" i="5" s="1"/>
  <c r="M65" i="5"/>
  <c r="AT65" i="5" s="1"/>
  <c r="N176" i="9"/>
  <c r="AB198" i="5"/>
  <c r="AQ198" i="5" s="1"/>
  <c r="K75" i="1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E75" i="11"/>
  <c r="G75" i="11" s="1"/>
  <c r="H197" i="12"/>
  <c r="H11" i="12"/>
  <c r="H78" i="12"/>
  <c r="H46" i="12"/>
  <c r="H32" i="12"/>
  <c r="O74" i="5"/>
  <c r="AX74" i="5" s="1"/>
  <c r="F105" i="1"/>
  <c r="K95" i="11"/>
  <c r="M95" i="11" s="1"/>
  <c r="K71" i="11"/>
  <c r="M71" i="11" s="1"/>
  <c r="Q147" i="5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N115" i="11"/>
  <c r="P115" i="11" s="1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N123" i="6"/>
  <c r="C11" i="1"/>
  <c r="G11" i="1"/>
  <c r="AB160" i="5"/>
  <c r="AC160" i="5" s="1"/>
  <c r="Q57" i="9"/>
  <c r="AB26" i="5"/>
  <c r="AC26" i="5" s="1"/>
  <c r="N112" i="9"/>
  <c r="D193" i="11"/>
  <c r="J186" i="11"/>
  <c r="O15" i="5"/>
  <c r="P15" i="5" s="1"/>
  <c r="Q145" i="9"/>
  <c r="M8" i="5"/>
  <c r="AT8" i="5" s="1"/>
  <c r="H138" i="11"/>
  <c r="J138" i="11" s="1"/>
  <c r="E71" i="11"/>
  <c r="G71" i="11" s="1"/>
  <c r="N169" i="11"/>
  <c r="P169" i="11" s="1"/>
  <c r="D178" i="11"/>
  <c r="Q76" i="9"/>
  <c r="Q151" i="9"/>
  <c r="N25" i="9"/>
  <c r="F41" i="1"/>
  <c r="AB29" i="5"/>
  <c r="AQ29" i="5" s="1"/>
  <c r="M12" i="5"/>
  <c r="AT12" i="5" s="1"/>
  <c r="G35" i="1"/>
  <c r="L123" i="5"/>
  <c r="E51" i="11"/>
  <c r="G51" i="11" s="1"/>
  <c r="H11" i="11"/>
  <c r="J11" i="11" s="1"/>
  <c r="T70" i="5"/>
  <c r="AB135" i="5"/>
  <c r="AP135" i="5" s="1"/>
  <c r="AR135" i="5" s="1"/>
  <c r="AB76" i="5"/>
  <c r="AC76" i="5" s="1"/>
  <c r="N157" i="9"/>
  <c r="Q143" i="5"/>
  <c r="BB143" i="5" s="1"/>
  <c r="N183" i="6"/>
  <c r="C123" i="1"/>
  <c r="D145" i="11"/>
  <c r="D31" i="11"/>
  <c r="N156" i="9"/>
  <c r="Q123" i="5"/>
  <c r="BB123" i="5" s="1"/>
  <c r="N200" i="6"/>
  <c r="AB174" i="5"/>
  <c r="AQ174" i="5" s="1"/>
  <c r="Q102" i="5"/>
  <c r="R102" i="5" s="1"/>
  <c r="Q147" i="9"/>
  <c r="Q165" i="9"/>
  <c r="Q44" i="5"/>
  <c r="BB44" i="5" s="1"/>
  <c r="M172" i="5"/>
  <c r="M147" i="5"/>
  <c r="AT147" i="5" s="1"/>
  <c r="M105" i="5"/>
  <c r="AT105" i="5" s="1"/>
  <c r="Q27" i="9"/>
  <c r="AB88" i="5"/>
  <c r="AP88" i="5" s="1"/>
  <c r="AR88" i="5" s="1"/>
  <c r="C174" i="1"/>
  <c r="D102" i="11"/>
  <c r="K115" i="11"/>
  <c r="M115" i="11" s="1"/>
  <c r="H106" i="11"/>
  <c r="J106" i="11" s="1"/>
  <c r="N68" i="9"/>
  <c r="N28" i="9"/>
  <c r="Q45" i="9"/>
  <c r="J124" i="11"/>
  <c r="Q22" i="5"/>
  <c r="D95" i="11"/>
  <c r="AB175" i="5"/>
  <c r="AP175" i="5" s="1"/>
  <c r="AR175" i="5" s="1"/>
  <c r="Q58" i="9"/>
  <c r="M136" i="11"/>
  <c r="G92" i="11"/>
  <c r="T72" i="5"/>
  <c r="D133" i="11"/>
  <c r="O127" i="5"/>
  <c r="AX127" i="5" s="1"/>
  <c r="M43" i="5"/>
  <c r="AT43" i="5" s="1"/>
  <c r="M22" i="11"/>
  <c r="M97" i="11"/>
  <c r="Q60" i="9"/>
  <c r="N140" i="9"/>
  <c r="O41" i="5"/>
  <c r="AX41" i="5" s="1"/>
  <c r="M88" i="5"/>
  <c r="N27" i="6"/>
  <c r="N108" i="9"/>
  <c r="M73" i="5"/>
  <c r="AT73" i="5" s="1"/>
  <c r="D174" i="1"/>
  <c r="E142" i="11"/>
  <c r="G142" i="11" s="1"/>
  <c r="D157" i="11"/>
  <c r="M92" i="5"/>
  <c r="E87" i="11"/>
  <c r="G87" i="11" s="1"/>
  <c r="N84" i="11"/>
  <c r="P84" i="11" s="1"/>
  <c r="T96" i="5"/>
  <c r="H28" i="11"/>
  <c r="J28" i="11" s="1"/>
  <c r="M188" i="5"/>
  <c r="AT188" i="5" s="1"/>
  <c r="O120" i="5"/>
  <c r="AX120" i="5" s="1"/>
  <c r="T86" i="5"/>
  <c r="H166" i="11"/>
  <c r="J166" i="11" s="1"/>
  <c r="T48" i="5"/>
  <c r="Q68" i="9"/>
  <c r="Q150" i="9"/>
  <c r="AB32" i="5"/>
  <c r="AQ32" i="5" s="1"/>
  <c r="E152" i="1"/>
  <c r="F148" i="5"/>
  <c r="D119" i="11"/>
  <c r="Q115" i="9"/>
  <c r="AB93" i="5"/>
  <c r="AP93" i="5" s="1"/>
  <c r="AR93" i="5" s="1"/>
  <c r="O96" i="5"/>
  <c r="N70" i="9"/>
  <c r="Q139" i="9"/>
  <c r="M25" i="5"/>
  <c r="AT25" i="5" s="1"/>
  <c r="O180" i="5"/>
  <c r="G23" i="1"/>
  <c r="F179" i="1"/>
  <c r="C179" i="1"/>
  <c r="D134" i="1"/>
  <c r="G31" i="1"/>
  <c r="E31" i="1"/>
  <c r="C31" i="1"/>
  <c r="N175" i="11"/>
  <c r="P175" i="11" s="1"/>
  <c r="T174" i="5"/>
  <c r="N47" i="11"/>
  <c r="P47" i="11" s="1"/>
  <c r="K47" i="11"/>
  <c r="M47" i="11" s="1"/>
  <c r="M150" i="5"/>
  <c r="D183" i="11"/>
  <c r="Q101" i="5"/>
  <c r="BB101" i="5" s="1"/>
  <c r="Q106" i="9"/>
  <c r="AB177" i="5"/>
  <c r="AQ177" i="5" s="1"/>
  <c r="O199" i="5"/>
  <c r="AX199" i="5" s="1"/>
  <c r="N82" i="9"/>
  <c r="AB47" i="5"/>
  <c r="AQ47" i="5" s="1"/>
  <c r="D121" i="11"/>
  <c r="L49" i="5"/>
  <c r="AB101" i="5"/>
  <c r="AQ101" i="5" s="1"/>
  <c r="Q122" i="5"/>
  <c r="BB122" i="5" s="1"/>
  <c r="D147" i="11"/>
  <c r="J30" i="5"/>
  <c r="D19" i="11"/>
  <c r="M122" i="5"/>
  <c r="AT122" i="5" s="1"/>
  <c r="Q109" i="9"/>
  <c r="Q166" i="9"/>
  <c r="L118" i="5"/>
  <c r="M128" i="5"/>
  <c r="AT128" i="5" s="1"/>
  <c r="Q5" i="9"/>
  <c r="AB38" i="5"/>
  <c r="AQ38" i="5" s="1"/>
  <c r="C102" i="1"/>
  <c r="M95" i="5"/>
  <c r="Q112" i="5"/>
  <c r="Q49" i="9"/>
  <c r="C42" i="1"/>
  <c r="E42" i="1"/>
  <c r="G42" i="1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M112" i="5"/>
  <c r="N79" i="9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B30" i="14"/>
  <c r="AB161" i="14"/>
  <c r="J72" i="11"/>
  <c r="D22" i="11"/>
  <c r="M26" i="5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77" i="14"/>
  <c r="D93" i="11"/>
  <c r="T50" i="5"/>
  <c r="D28" i="11"/>
  <c r="K11" i="11"/>
  <c r="M11" i="11" s="1"/>
  <c r="AC113" i="14"/>
  <c r="AB63" i="5"/>
  <c r="AP63" i="5" s="1"/>
  <c r="AR63" i="5" s="1"/>
  <c r="Q136" i="5"/>
  <c r="R136" i="5" s="1"/>
  <c r="AB131" i="5"/>
  <c r="AQ131" i="5" s="1"/>
  <c r="N118" i="9"/>
  <c r="AB22" i="5"/>
  <c r="AC22" i="5" s="1"/>
  <c r="Q25" i="9"/>
  <c r="AB192" i="5"/>
  <c r="AP192" i="5" s="1"/>
  <c r="AR192" i="5" s="1"/>
  <c r="Q14" i="9"/>
  <c r="AB166" i="5"/>
  <c r="AQ166" i="5" s="1"/>
  <c r="D55" i="1"/>
  <c r="C55" i="1"/>
  <c r="F55" i="1"/>
  <c r="AC181" i="14"/>
  <c r="D129" i="11"/>
  <c r="L10" i="5"/>
  <c r="AB85" i="14"/>
  <c r="J132" i="11"/>
  <c r="O50" i="5"/>
  <c r="N130" i="9"/>
  <c r="N50" i="9"/>
  <c r="Q189" i="9"/>
  <c r="AB124" i="5"/>
  <c r="AP124" i="5" s="1"/>
  <c r="AR124" i="5" s="1"/>
  <c r="AB179" i="5"/>
  <c r="AQ179" i="5" s="1"/>
  <c r="Q184" i="5"/>
  <c r="BB184" i="5" s="1"/>
  <c r="O172" i="5"/>
  <c r="D169" i="11"/>
  <c r="D43" i="11"/>
  <c r="N199" i="11"/>
  <c r="P199" i="11" s="1"/>
  <c r="K198" i="11"/>
  <c r="M198" i="11" s="1"/>
  <c r="M182" i="5"/>
  <c r="AT182" i="5" s="1"/>
  <c r="Q178" i="5"/>
  <c r="H41" i="5"/>
  <c r="O67" i="5"/>
  <c r="AX67" i="5" s="1"/>
  <c r="Q142" i="9"/>
  <c r="Q118" i="9"/>
  <c r="Q79" i="9"/>
  <c r="Q175" i="9"/>
  <c r="N187" i="9"/>
  <c r="Q90" i="9"/>
  <c r="Q136" i="9"/>
  <c r="Q88" i="5"/>
  <c r="BB88" i="5" s="1"/>
  <c r="O88" i="5"/>
  <c r="AB56" i="5"/>
  <c r="AQ56" i="5" s="1"/>
  <c r="AB53" i="5"/>
  <c r="AQ53" i="5" s="1"/>
  <c r="Q120" i="9"/>
  <c r="AB37" i="5"/>
  <c r="AQ37" i="5" s="1"/>
  <c r="L174" i="5"/>
  <c r="G176" i="1"/>
  <c r="E139" i="1"/>
  <c r="F139" i="1"/>
  <c r="J136" i="11"/>
  <c r="K106" i="11"/>
  <c r="M106" i="11" s="1"/>
  <c r="M143" i="5"/>
  <c r="O131" i="5"/>
  <c r="AX131" i="5" s="1"/>
  <c r="M87" i="5"/>
  <c r="AT87" i="5" s="1"/>
  <c r="N6" i="9"/>
  <c r="AB108" i="5"/>
  <c r="AQ108" i="5" s="1"/>
  <c r="AB57" i="5"/>
  <c r="AQ57" i="5" s="1"/>
  <c r="Q68" i="5"/>
  <c r="BB68" i="5" s="1"/>
  <c r="D181" i="11"/>
  <c r="D73" i="11"/>
  <c r="K34" i="11"/>
  <c r="M34" i="11" s="1"/>
  <c r="E79" i="11"/>
  <c r="G79" i="11" s="1"/>
  <c r="H79" i="11"/>
  <c r="J79" i="11" s="1"/>
  <c r="T147" i="5"/>
  <c r="Q87" i="5"/>
  <c r="BB87" i="5" s="1"/>
  <c r="M18" i="5"/>
  <c r="J156" i="11"/>
  <c r="N34" i="11"/>
  <c r="P34" i="11" s="1"/>
  <c r="E148" i="11"/>
  <c r="G148" i="11" s="1"/>
  <c r="H140" i="5"/>
  <c r="AB146" i="5"/>
  <c r="AP146" i="5" s="1"/>
  <c r="AR146" i="5" s="1"/>
  <c r="AD155" i="14"/>
  <c r="AD96" i="14"/>
  <c r="O114" i="5"/>
  <c r="G50" i="11"/>
  <c r="Q112" i="9"/>
  <c r="Q127" i="9"/>
  <c r="M47" i="5"/>
  <c r="N148" i="9"/>
  <c r="AB25" i="5"/>
  <c r="AP25" i="5" s="1"/>
  <c r="AR25" i="5" s="1"/>
  <c r="Q31" i="5"/>
  <c r="R31" i="5" s="1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AD143" i="14"/>
  <c r="AB189" i="5"/>
  <c r="AQ189" i="5" s="1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AQ42" i="5" s="1"/>
  <c r="N129" i="9"/>
  <c r="AB118" i="5"/>
  <c r="AQ118" i="5" s="1"/>
  <c r="AB200" i="5"/>
  <c r="AQ200" i="5" s="1"/>
  <c r="M200" i="5"/>
  <c r="AT200" i="5" s="1"/>
  <c r="AD19" i="14"/>
  <c r="D84" i="11"/>
  <c r="D127" i="11"/>
  <c r="M184" i="11"/>
  <c r="N58" i="9"/>
  <c r="Q3" i="9"/>
  <c r="N106" i="9"/>
  <c r="C184" i="1"/>
  <c r="Q124" i="5"/>
  <c r="N122" i="9"/>
  <c r="Q140" i="5"/>
  <c r="BB140" i="5" s="1"/>
  <c r="F37" i="1"/>
  <c r="D37" i="1"/>
  <c r="G37" i="1"/>
  <c r="AB54" i="5"/>
  <c r="AQ54" i="5" s="1"/>
  <c r="N3" i="9"/>
  <c r="E135" i="14"/>
  <c r="F135" i="14"/>
  <c r="AB109" i="5"/>
  <c r="AQ109" i="5" s="1"/>
  <c r="F136" i="1"/>
  <c r="E136" i="1"/>
  <c r="D136" i="1"/>
  <c r="Q148" i="9"/>
  <c r="Q146" i="5"/>
  <c r="BB146" i="5" s="1"/>
  <c r="N82" i="11"/>
  <c r="P82" i="11" s="1"/>
  <c r="T81" i="5"/>
  <c r="M102" i="5"/>
  <c r="AT102" i="5" s="1"/>
  <c r="N114" i="11"/>
  <c r="P114" i="11" s="1"/>
  <c r="T113" i="5"/>
  <c r="AC21" i="5"/>
  <c r="AP21" i="5"/>
  <c r="AR21" i="5" s="1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Q198" i="9"/>
  <c r="Q41" i="9"/>
  <c r="F192" i="1"/>
  <c r="G192" i="1"/>
  <c r="E192" i="1"/>
  <c r="D192" i="1"/>
  <c r="C192" i="1"/>
  <c r="N195" i="11"/>
  <c r="P195" i="11" s="1"/>
  <c r="T194" i="5"/>
  <c r="L194" i="5"/>
  <c r="O69" i="5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E186" i="11"/>
  <c r="G186" i="11" s="1"/>
  <c r="D182" i="11"/>
  <c r="E166" i="11"/>
  <c r="G166" i="11" s="1"/>
  <c r="K148" i="11"/>
  <c r="M148" i="11" s="1"/>
  <c r="J164" i="5"/>
  <c r="AD166" i="14"/>
  <c r="AD20" i="14"/>
  <c r="AB117" i="14"/>
  <c r="AB92" i="5"/>
  <c r="AP92" i="5" s="1"/>
  <c r="AR92" i="5" s="1"/>
  <c r="AB58" i="5"/>
  <c r="AQ58" i="5" s="1"/>
  <c r="N169" i="9"/>
  <c r="H171" i="5"/>
  <c r="K166" i="11"/>
  <c r="M166" i="11" s="1"/>
  <c r="E97" i="11"/>
  <c r="G97" i="11" s="1"/>
  <c r="H108" i="11"/>
  <c r="J108" i="11" s="1"/>
  <c r="E34" i="11"/>
  <c r="G34" i="11" s="1"/>
  <c r="Q159" i="5"/>
  <c r="BB159" i="5" s="1"/>
  <c r="Q177" i="5"/>
  <c r="BB177" i="5" s="1"/>
  <c r="L133" i="5"/>
  <c r="AD156" i="14"/>
  <c r="O186" i="5"/>
  <c r="AX186" i="5" s="1"/>
  <c r="O188" i="5"/>
  <c r="AX188" i="5" s="1"/>
  <c r="O175" i="5"/>
  <c r="AX175" i="5" s="1"/>
  <c r="G115" i="11"/>
  <c r="N199" i="9"/>
  <c r="AB49" i="5"/>
  <c r="AC49" i="5" s="1"/>
  <c r="Q124" i="9"/>
  <c r="Q141" i="5"/>
  <c r="BB141" i="5" s="1"/>
  <c r="C128" i="1"/>
  <c r="F128" i="1"/>
  <c r="E128" i="1"/>
  <c r="Q61" i="5"/>
  <c r="O61" i="5"/>
  <c r="K86" i="11"/>
  <c r="M86" i="11" s="1"/>
  <c r="J85" i="5"/>
  <c r="O102" i="5"/>
  <c r="F91" i="1"/>
  <c r="C91" i="1"/>
  <c r="G91" i="1"/>
  <c r="Q11" i="5"/>
  <c r="BB11" i="5" s="1"/>
  <c r="P125" i="11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AR59" i="5" s="1"/>
  <c r="T169" i="5"/>
  <c r="H143" i="11"/>
  <c r="J143" i="11" s="1"/>
  <c r="M76" i="11"/>
  <c r="AB173" i="14"/>
  <c r="E150" i="11"/>
  <c r="G150" i="11" s="1"/>
  <c r="E118" i="11"/>
  <c r="G118" i="11" s="1"/>
  <c r="E56" i="11"/>
  <c r="G56" i="11" s="1"/>
  <c r="H96" i="5"/>
  <c r="K143" i="11"/>
  <c r="M143" i="11" s="1"/>
  <c r="K50" i="11"/>
  <c r="M50" i="11" s="1"/>
  <c r="Q165" i="5"/>
  <c r="N10" i="11"/>
  <c r="P10" i="11" s="1"/>
  <c r="M110" i="5"/>
  <c r="Q104" i="5"/>
  <c r="AB60" i="5"/>
  <c r="AQ60" i="5" s="1"/>
  <c r="K150" i="11"/>
  <c r="M150" i="11" s="1"/>
  <c r="J55" i="5"/>
  <c r="N28" i="11"/>
  <c r="P28" i="11" s="1"/>
  <c r="D91" i="11"/>
  <c r="J178" i="11"/>
  <c r="AC169" i="14"/>
  <c r="AD124" i="14"/>
  <c r="AB125" i="5"/>
  <c r="AQ125" i="5" s="1"/>
  <c r="AB106" i="5"/>
  <c r="AC106" i="5" s="1"/>
  <c r="M101" i="5"/>
  <c r="AB6" i="14"/>
  <c r="AB158" i="5"/>
  <c r="AP158" i="5" s="1"/>
  <c r="AR158" i="5" s="1"/>
  <c r="AB115" i="5"/>
  <c r="AP115" i="5" s="1"/>
  <c r="AR115" i="5" s="1"/>
  <c r="AB143" i="5"/>
  <c r="AQ143" i="5" s="1"/>
  <c r="Q71" i="5"/>
  <c r="BB71" i="5" s="1"/>
  <c r="M132" i="5"/>
  <c r="AT132" i="5" s="1"/>
  <c r="Q92" i="5"/>
  <c r="BB92" i="5" s="1"/>
  <c r="AB127" i="5"/>
  <c r="AQ127" i="5" s="1"/>
  <c r="Q7" i="9"/>
  <c r="AC23" i="14"/>
  <c r="AB103" i="5"/>
  <c r="AQ103" i="5" s="1"/>
  <c r="M103" i="5"/>
  <c r="G110" i="1"/>
  <c r="D110" i="1"/>
  <c r="F110" i="1"/>
  <c r="E110" i="1"/>
  <c r="C110" i="1"/>
  <c r="D181" i="1"/>
  <c r="G181" i="1"/>
  <c r="C181" i="1"/>
  <c r="E181" i="1"/>
  <c r="AB154" i="5"/>
  <c r="AQ154" i="5" s="1"/>
  <c r="M154" i="5"/>
  <c r="Q98" i="5"/>
  <c r="BB98" i="5" s="1"/>
  <c r="M130" i="5"/>
  <c r="N130" i="5" s="1"/>
  <c r="AB120" i="14"/>
  <c r="D143" i="11"/>
  <c r="AB126" i="5"/>
  <c r="AQ126" i="5" s="1"/>
  <c r="AD169" i="14"/>
  <c r="M177" i="5"/>
  <c r="O165" i="5"/>
  <c r="AX165" i="5" s="1"/>
  <c r="AC53" i="14"/>
  <c r="AC11" i="14"/>
  <c r="AB28" i="5"/>
  <c r="AC28" i="5" s="1"/>
  <c r="O117" i="5"/>
  <c r="P117" i="5" s="1"/>
  <c r="M136" i="5"/>
  <c r="AT136" i="5" s="1"/>
  <c r="H131" i="5"/>
  <c r="N40" i="9"/>
  <c r="AB15" i="5"/>
  <c r="AC15" i="5" s="1"/>
  <c r="Q86" i="5"/>
  <c r="N41" i="9"/>
  <c r="AQ138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AD180" i="14"/>
  <c r="D106" i="11"/>
  <c r="O185" i="5"/>
  <c r="O106" i="5"/>
  <c r="AX106" i="5" s="1"/>
  <c r="AB69" i="14"/>
  <c r="O132" i="5"/>
  <c r="AX132" i="5" s="1"/>
  <c r="N160" i="9"/>
  <c r="O46" i="5"/>
  <c r="AC76" i="14"/>
  <c r="Q80" i="9"/>
  <c r="Q187" i="9"/>
  <c r="G120" i="1"/>
  <c r="F120" i="1"/>
  <c r="C120" i="1"/>
  <c r="E120" i="1"/>
  <c r="D120" i="1"/>
  <c r="E127" i="1"/>
  <c r="C127" i="1"/>
  <c r="M100" i="5"/>
  <c r="AT100" i="5" s="1"/>
  <c r="AB100" i="5"/>
  <c r="AQ100" i="5" s="1"/>
  <c r="E5" i="1"/>
  <c r="G5" i="1"/>
  <c r="D5" i="1"/>
  <c r="F9" i="1"/>
  <c r="C9" i="1"/>
  <c r="N8" i="9"/>
  <c r="G175" i="1"/>
  <c r="D175" i="1"/>
  <c r="F175" i="1"/>
  <c r="E175" i="1"/>
  <c r="C175" i="1"/>
  <c r="AB19" i="5"/>
  <c r="AQ19" i="5" s="1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G91" i="11"/>
  <c r="AB28" i="14"/>
  <c r="AB199" i="5"/>
  <c r="AC199" i="5" s="1"/>
  <c r="Q120" i="5"/>
  <c r="BB120" i="5" s="1"/>
  <c r="Q43" i="9"/>
  <c r="Q160" i="5"/>
  <c r="BB160" i="5" s="1"/>
  <c r="O160" i="5"/>
  <c r="L80" i="5"/>
  <c r="AB73" i="5"/>
  <c r="AQ73" i="5" s="1"/>
  <c r="E104" i="1"/>
  <c r="D88" i="14"/>
  <c r="B88" i="14"/>
  <c r="M91" i="5"/>
  <c r="O162" i="5"/>
  <c r="D165" i="11"/>
  <c r="M89" i="5"/>
  <c r="N89" i="5" s="1"/>
  <c r="Q18" i="5"/>
  <c r="BB18" i="5" s="1"/>
  <c r="Q78" i="5"/>
  <c r="BB78" i="5" s="1"/>
  <c r="O97" i="5"/>
  <c r="M37" i="5"/>
  <c r="Q50" i="9"/>
  <c r="AB64" i="5"/>
  <c r="AQ64" i="5" s="1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D201" i="11"/>
  <c r="O58" i="5"/>
  <c r="AC78" i="14"/>
  <c r="M54" i="5"/>
  <c r="AT54" i="5" s="1"/>
  <c r="Q196" i="9"/>
  <c r="Q76" i="5"/>
  <c r="Q91" i="9"/>
  <c r="M2" i="5"/>
  <c r="N44" i="9"/>
  <c r="Q54" i="9"/>
  <c r="O17" i="5"/>
  <c r="AX17" i="5" s="1"/>
  <c r="O64" i="5"/>
  <c r="AB48" i="5"/>
  <c r="AP48" i="5" s="1"/>
  <c r="AR48" i="5" s="1"/>
  <c r="O124" i="5"/>
  <c r="F8" i="1"/>
  <c r="C8" i="1"/>
  <c r="G161" i="1"/>
  <c r="E161" i="1"/>
  <c r="AB30" i="5"/>
  <c r="E121" i="11"/>
  <c r="G121" i="11" s="1"/>
  <c r="H121" i="11"/>
  <c r="J121" i="11" s="1"/>
  <c r="E139" i="11"/>
  <c r="G139" i="11" s="1"/>
  <c r="N44" i="11"/>
  <c r="P44" i="11" s="1"/>
  <c r="O161" i="5"/>
  <c r="Q155" i="5"/>
  <c r="BB155" i="5" s="1"/>
  <c r="N145" i="9"/>
  <c r="N30" i="9"/>
  <c r="O48" i="5"/>
  <c r="AX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F43" i="5"/>
  <c r="T142" i="5"/>
  <c r="N143" i="11"/>
  <c r="P143" i="11" s="1"/>
  <c r="E187" i="11"/>
  <c r="G187" i="11" s="1"/>
  <c r="F186" i="5"/>
  <c r="T38" i="5"/>
  <c r="T105" i="5"/>
  <c r="N106" i="11"/>
  <c r="P106" i="11" s="1"/>
  <c r="H150" i="5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E157" i="1"/>
  <c r="F157" i="1"/>
  <c r="D157" i="1"/>
  <c r="C157" i="1"/>
  <c r="G157" i="1"/>
  <c r="J143" i="5"/>
  <c r="E144" i="11"/>
  <c r="G144" i="11" s="1"/>
  <c r="L143" i="5"/>
  <c r="N134" i="11"/>
  <c r="P134" i="11" s="1"/>
  <c r="T133" i="5"/>
  <c r="F35" i="1"/>
  <c r="G180" i="1"/>
  <c r="C180" i="1"/>
  <c r="D180" i="1"/>
  <c r="E180" i="1"/>
  <c r="F180" i="1"/>
  <c r="M62" i="5"/>
  <c r="O62" i="5"/>
  <c r="O59" i="5"/>
  <c r="M59" i="5"/>
  <c r="Q43" i="5"/>
  <c r="O43" i="5"/>
  <c r="N195" i="9"/>
  <c r="M114" i="5"/>
  <c r="G81" i="1"/>
  <c r="F81" i="1"/>
  <c r="E81" i="1"/>
  <c r="C81" i="1"/>
  <c r="D81" i="1"/>
  <c r="M79" i="5"/>
  <c r="O79" i="5"/>
  <c r="Q199" i="9"/>
  <c r="F10" i="5"/>
  <c r="O135" i="5"/>
  <c r="E6" i="11"/>
  <c r="G6" i="11" s="1"/>
  <c r="F5" i="5"/>
  <c r="N184" i="9"/>
  <c r="Q40" i="9"/>
  <c r="G143" i="1"/>
  <c r="E143" i="1"/>
  <c r="D143" i="1"/>
  <c r="F143" i="1"/>
  <c r="C143" i="1"/>
  <c r="K96" i="11"/>
  <c r="M96" i="11" s="1"/>
  <c r="E96" i="11"/>
  <c r="G96" i="11" s="1"/>
  <c r="Q13" i="9"/>
  <c r="N13" i="9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111" i="14"/>
  <c r="D111" i="14"/>
  <c r="G111" i="14"/>
  <c r="F111" i="14"/>
  <c r="E111" i="14"/>
  <c r="B111" i="14"/>
  <c r="C111" i="14"/>
  <c r="AB168" i="5"/>
  <c r="M168" i="5"/>
  <c r="L93" i="5"/>
  <c r="K94" i="11"/>
  <c r="M94" i="11" s="1"/>
  <c r="E94" i="11"/>
  <c r="G94" i="11" s="1"/>
  <c r="AB116" i="5"/>
  <c r="M116" i="5"/>
  <c r="M75" i="5"/>
  <c r="O75" i="5"/>
  <c r="L66" i="5"/>
  <c r="R72" i="5"/>
  <c r="H61" i="11"/>
  <c r="J61" i="11" s="1"/>
  <c r="H60" i="5"/>
  <c r="L28" i="5"/>
  <c r="K29" i="11"/>
  <c r="M29" i="11" s="1"/>
  <c r="H28" i="5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E202" i="1"/>
  <c r="D202" i="1"/>
  <c r="G202" i="1"/>
  <c r="F202" i="1"/>
  <c r="C202" i="1"/>
  <c r="Q130" i="5"/>
  <c r="O130" i="5"/>
  <c r="H123" i="5"/>
  <c r="E123" i="11"/>
  <c r="G123" i="11" s="1"/>
  <c r="K123" i="11"/>
  <c r="M123" i="11" s="1"/>
  <c r="H123" i="11"/>
  <c r="J123" i="11" s="1"/>
  <c r="L122" i="5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G186" i="14"/>
  <c r="H186" i="14"/>
  <c r="B186" i="14"/>
  <c r="F186" i="14"/>
  <c r="E186" i="14"/>
  <c r="D186" i="14"/>
  <c r="C186" i="14"/>
  <c r="O196" i="5"/>
  <c r="M196" i="5"/>
  <c r="H191" i="5"/>
  <c r="G118" i="1"/>
  <c r="O34" i="5"/>
  <c r="Q34" i="5"/>
  <c r="G144" i="1"/>
  <c r="D144" i="1"/>
  <c r="C144" i="1"/>
  <c r="F144" i="1"/>
  <c r="E144" i="1"/>
  <c r="F80" i="14"/>
  <c r="E80" i="14"/>
  <c r="D80" i="14"/>
  <c r="G80" i="14"/>
  <c r="C80" i="14"/>
  <c r="B80" i="14"/>
  <c r="H80" i="14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O118" i="5"/>
  <c r="M118" i="5"/>
  <c r="B77" i="14"/>
  <c r="D77" i="14"/>
  <c r="H77" i="14"/>
  <c r="G77" i="14"/>
  <c r="F77" i="14"/>
  <c r="E77" i="14"/>
  <c r="C77" i="14"/>
  <c r="L167" i="5"/>
  <c r="M68" i="5"/>
  <c r="O68" i="5"/>
  <c r="Q170" i="5"/>
  <c r="O170" i="5"/>
  <c r="H117" i="5"/>
  <c r="E107" i="11"/>
  <c r="G107" i="11" s="1"/>
  <c r="H107" i="11"/>
  <c r="J107" i="11" s="1"/>
  <c r="H147" i="5"/>
  <c r="AB89" i="5"/>
  <c r="K93" i="11"/>
  <c r="M93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N151" i="9"/>
  <c r="Q84" i="9"/>
  <c r="F213" i="14"/>
  <c r="D213" i="14"/>
  <c r="H213" i="14"/>
  <c r="E213" i="14"/>
  <c r="C213" i="14"/>
  <c r="G213" i="14"/>
  <c r="B213" i="14"/>
  <c r="E122" i="11"/>
  <c r="G122" i="11" s="1"/>
  <c r="E78" i="14"/>
  <c r="C78" i="14"/>
  <c r="G78" i="14"/>
  <c r="F78" i="14"/>
  <c r="H78" i="14"/>
  <c r="D78" i="14"/>
  <c r="B78" i="14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K192" i="11"/>
  <c r="M192" i="11" s="1"/>
  <c r="E192" i="11"/>
  <c r="G192" i="11" s="1"/>
  <c r="O167" i="5"/>
  <c r="Q167" i="5"/>
  <c r="D152" i="1"/>
  <c r="B73" i="14"/>
  <c r="D73" i="14"/>
  <c r="C73" i="14"/>
  <c r="G73" i="14"/>
  <c r="F73" i="14"/>
  <c r="E73" i="14"/>
  <c r="H73" i="14"/>
  <c r="E102" i="11"/>
  <c r="G102" i="11" s="1"/>
  <c r="O35" i="5"/>
  <c r="Q35" i="5"/>
  <c r="O71" i="5"/>
  <c r="M71" i="5"/>
  <c r="Q142" i="5"/>
  <c r="F114" i="5"/>
  <c r="N13" i="11"/>
  <c r="P13" i="11" s="1"/>
  <c r="T12" i="5"/>
  <c r="L12" i="5"/>
  <c r="Q135" i="5"/>
  <c r="E17" i="1"/>
  <c r="D17" i="1"/>
  <c r="G17" i="1"/>
  <c r="C17" i="1"/>
  <c r="F17" i="1"/>
  <c r="Q12" i="9"/>
  <c r="N12" i="9"/>
  <c r="F114" i="1"/>
  <c r="C114" i="1"/>
  <c r="E114" i="1"/>
  <c r="G114" i="1"/>
  <c r="D114" i="1"/>
  <c r="F78" i="1"/>
  <c r="E78" i="1"/>
  <c r="D78" i="1"/>
  <c r="C78" i="1"/>
  <c r="G78" i="1"/>
  <c r="L8" i="5"/>
  <c r="K9" i="11"/>
  <c r="M9" i="11" s="1"/>
  <c r="H9" i="11"/>
  <c r="J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H59" i="14"/>
  <c r="G59" i="14"/>
  <c r="B59" i="14"/>
  <c r="F59" i="14"/>
  <c r="E59" i="14"/>
  <c r="D59" i="14"/>
  <c r="C59" i="14"/>
  <c r="E135" i="11"/>
  <c r="G135" i="11" s="1"/>
  <c r="B97" i="14"/>
  <c r="F97" i="14"/>
  <c r="E97" i="14"/>
  <c r="C97" i="14"/>
  <c r="H97" i="14"/>
  <c r="G97" i="14"/>
  <c r="D97" i="14"/>
  <c r="G194" i="14"/>
  <c r="C194" i="14"/>
  <c r="B194" i="14"/>
  <c r="F194" i="14"/>
  <c r="E194" i="14"/>
  <c r="D194" i="14"/>
  <c r="H194" i="14"/>
  <c r="E133" i="1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E174" i="11"/>
  <c r="G174" i="11" s="1"/>
  <c r="F173" i="5"/>
  <c r="D86" i="1"/>
  <c r="J56" i="5"/>
  <c r="E57" i="11"/>
  <c r="G57" i="11" s="1"/>
  <c r="L56" i="5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B60" i="14"/>
  <c r="C60" i="14"/>
  <c r="H60" i="14"/>
  <c r="G60" i="14"/>
  <c r="F60" i="14"/>
  <c r="E60" i="14"/>
  <c r="D60" i="14"/>
  <c r="N33" i="11"/>
  <c r="P33" i="11" s="1"/>
  <c r="J162" i="5"/>
  <c r="H162" i="5"/>
  <c r="F162" i="5"/>
  <c r="L162" i="5"/>
  <c r="D153" i="1"/>
  <c r="G153" i="1"/>
  <c r="F153" i="1"/>
  <c r="E153" i="1"/>
  <c r="C153" i="1"/>
  <c r="J18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G124" i="1"/>
  <c r="F115" i="5"/>
  <c r="H110" i="5"/>
  <c r="M55" i="5"/>
  <c r="AB55" i="5"/>
  <c r="D8" i="1"/>
  <c r="AB132" i="5"/>
  <c r="AB83" i="5"/>
  <c r="Q60" i="5"/>
  <c r="O60" i="5"/>
  <c r="Q51" i="5"/>
  <c r="O51" i="5"/>
  <c r="O3" i="5"/>
  <c r="Q3" i="5"/>
  <c r="D124" i="1"/>
  <c r="M94" i="5"/>
  <c r="AB94" i="5"/>
  <c r="BB94" i="5"/>
  <c r="N33" i="9"/>
  <c r="G28" i="1"/>
  <c r="E28" i="1"/>
  <c r="D28" i="1"/>
  <c r="F28" i="1"/>
  <c r="C28" i="1"/>
  <c r="AB24" i="5"/>
  <c r="M24" i="5"/>
  <c r="AB67" i="5"/>
  <c r="M67" i="5"/>
  <c r="H6" i="11"/>
  <c r="J6" i="11" s="1"/>
  <c r="H5" i="5"/>
  <c r="Q11" i="9"/>
  <c r="N94" i="9"/>
  <c r="N26" i="9"/>
  <c r="H15" i="5"/>
  <c r="L14" i="5"/>
  <c r="K15" i="11"/>
  <c r="M15" i="11" s="1"/>
  <c r="Q24" i="9"/>
  <c r="Q2" i="9"/>
  <c r="G63" i="1"/>
  <c r="F63" i="1"/>
  <c r="D63" i="1"/>
  <c r="C63" i="1"/>
  <c r="E63" i="1"/>
  <c r="L23" i="5"/>
  <c r="K24" i="11"/>
  <c r="M24" i="11" s="1"/>
  <c r="H24" i="11"/>
  <c r="J24" i="11" s="1"/>
  <c r="D25" i="1"/>
  <c r="F25" i="1"/>
  <c r="C25" i="1"/>
  <c r="G25" i="1"/>
  <c r="E25" i="1"/>
  <c r="N72" i="9"/>
  <c r="G4" i="1"/>
  <c r="F4" i="1"/>
  <c r="E4" i="1"/>
  <c r="D4" i="1"/>
  <c r="C4" i="1"/>
  <c r="N163" i="9"/>
  <c r="Q163" i="9"/>
  <c r="E16" i="3"/>
  <c r="D16" i="3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E177" i="11"/>
  <c r="G177" i="11" s="1"/>
  <c r="N121" i="11"/>
  <c r="P121" i="11" s="1"/>
  <c r="G170" i="14"/>
  <c r="C170" i="14"/>
  <c r="H170" i="14"/>
  <c r="F170" i="14"/>
  <c r="D170" i="14"/>
  <c r="B170" i="14"/>
  <c r="E170" i="14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L13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H139" i="11"/>
  <c r="J139" i="11" s="1"/>
  <c r="F124" i="14"/>
  <c r="G124" i="14"/>
  <c r="C124" i="14"/>
  <c r="B124" i="14"/>
  <c r="H124" i="14"/>
  <c r="E124" i="14"/>
  <c r="D124" i="14"/>
  <c r="J170" i="11"/>
  <c r="H95" i="11"/>
  <c r="J95" i="11" s="1"/>
  <c r="F249" i="14"/>
  <c r="D249" i="14"/>
  <c r="C249" i="14"/>
  <c r="G249" i="14"/>
  <c r="E249" i="14"/>
  <c r="H249" i="14"/>
  <c r="B249" i="14"/>
  <c r="D181" i="14"/>
  <c r="H181" i="14"/>
  <c r="E181" i="14"/>
  <c r="C181" i="14"/>
  <c r="G181" i="14"/>
  <c r="F181" i="14"/>
  <c r="B181" i="14"/>
  <c r="L90" i="5"/>
  <c r="B65" i="14"/>
  <c r="F65" i="14"/>
  <c r="H65" i="14"/>
  <c r="G65" i="14"/>
  <c r="E65" i="14"/>
  <c r="D65" i="14"/>
  <c r="C65" i="14"/>
  <c r="E166" i="1"/>
  <c r="C166" i="1"/>
  <c r="G166" i="1"/>
  <c r="F166" i="1"/>
  <c r="D166" i="1"/>
  <c r="H181" i="5"/>
  <c r="C111" i="1"/>
  <c r="F111" i="1"/>
  <c r="G111" i="1"/>
  <c r="E111" i="1"/>
  <c r="D111" i="1"/>
  <c r="J180" i="5"/>
  <c r="AP163" i="5"/>
  <c r="AR163" i="5" s="1"/>
  <c r="AC163" i="5"/>
  <c r="AQ163" i="5"/>
  <c r="F126" i="5"/>
  <c r="E93" i="1"/>
  <c r="AC85" i="14"/>
  <c r="O149" i="5"/>
  <c r="M149" i="5"/>
  <c r="E106" i="11"/>
  <c r="G106" i="11" s="1"/>
  <c r="Q198" i="5"/>
  <c r="Q176" i="5"/>
  <c r="O176" i="5"/>
  <c r="AB195" i="5"/>
  <c r="G95" i="1"/>
  <c r="C95" i="1"/>
  <c r="E95" i="1"/>
  <c r="F95" i="1"/>
  <c r="D95" i="1"/>
  <c r="M84" i="5"/>
  <c r="AB84" i="5"/>
  <c r="F58" i="1"/>
  <c r="E58" i="1"/>
  <c r="D58" i="1"/>
  <c r="G58" i="1"/>
  <c r="C58" i="1"/>
  <c r="AC32" i="14"/>
  <c r="O11" i="5"/>
  <c r="M11" i="5"/>
  <c r="L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Q186" i="5"/>
  <c r="E113" i="1"/>
  <c r="G113" i="1"/>
  <c r="C113" i="1"/>
  <c r="F113" i="1"/>
  <c r="D113" i="1"/>
  <c r="N56" i="11"/>
  <c r="P56" i="11" s="1"/>
  <c r="L55" i="5"/>
  <c r="T55" i="5"/>
  <c r="H5" i="11"/>
  <c r="J5" i="11" s="1"/>
  <c r="M5" i="5"/>
  <c r="AB5" i="5"/>
  <c r="AC70" i="14"/>
  <c r="F46" i="1"/>
  <c r="E46" i="1"/>
  <c r="D46" i="1"/>
  <c r="G46" i="1"/>
  <c r="C46" i="1"/>
  <c r="Q194" i="9"/>
  <c r="N194" i="9"/>
  <c r="K89" i="11"/>
  <c r="M89" i="11" s="1"/>
  <c r="J88" i="5"/>
  <c r="F85" i="1"/>
  <c r="G83" i="1"/>
  <c r="E83" i="1"/>
  <c r="D83" i="1"/>
  <c r="F83" i="1"/>
  <c r="C83" i="1"/>
  <c r="F62" i="5"/>
  <c r="D61" i="1"/>
  <c r="F61" i="1"/>
  <c r="E61" i="1"/>
  <c r="C61" i="1"/>
  <c r="G61" i="1"/>
  <c r="AD41" i="14"/>
  <c r="AT63" i="5"/>
  <c r="N200" i="9"/>
  <c r="N119" i="9"/>
  <c r="Q98" i="9"/>
  <c r="M131" i="5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E88" i="11"/>
  <c r="G88" i="11" s="1"/>
  <c r="L87" i="5"/>
  <c r="K88" i="11"/>
  <c r="M88" i="11" s="1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H172" i="5"/>
  <c r="F172" i="5"/>
  <c r="AB171" i="5"/>
  <c r="M171" i="5"/>
  <c r="L176" i="5"/>
  <c r="Q138" i="5"/>
  <c r="O138" i="5"/>
  <c r="O133" i="5"/>
  <c r="Q133" i="5"/>
  <c r="E158" i="1"/>
  <c r="G158" i="1"/>
  <c r="F158" i="1"/>
  <c r="D158" i="1"/>
  <c r="C158" i="1"/>
  <c r="L188" i="5"/>
  <c r="F188" i="5"/>
  <c r="J102" i="5"/>
  <c r="AB70" i="5"/>
  <c r="M70" i="5"/>
  <c r="Q33" i="5"/>
  <c r="O33" i="5"/>
  <c r="AB16" i="5"/>
  <c r="M16" i="5"/>
  <c r="D192" i="11"/>
  <c r="E130" i="14"/>
  <c r="H130" i="14"/>
  <c r="G130" i="14"/>
  <c r="F130" i="14"/>
  <c r="D130" i="14"/>
  <c r="C130" i="14"/>
  <c r="B130" i="14"/>
  <c r="E142" i="1"/>
  <c r="D142" i="1"/>
  <c r="G142" i="1"/>
  <c r="C142" i="1"/>
  <c r="F142" i="1"/>
  <c r="J129" i="5"/>
  <c r="F129" i="5"/>
  <c r="L168" i="5"/>
  <c r="H169" i="5"/>
  <c r="E160" i="11"/>
  <c r="G160" i="11" s="1"/>
  <c r="L150" i="5"/>
  <c r="E151" i="11"/>
  <c r="G151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C44" i="20" s="1"/>
  <c r="B19" i="15"/>
  <c r="C46" i="20" s="1"/>
  <c r="B18" i="15"/>
  <c r="C45" i="20" s="1"/>
  <c r="B20" i="15"/>
  <c r="C47" i="20" s="1"/>
  <c r="B16" i="15"/>
  <c r="C43" i="20" s="1"/>
  <c r="O194" i="5"/>
  <c r="M194" i="5"/>
  <c r="E142" i="14"/>
  <c r="H142" i="14"/>
  <c r="C142" i="14"/>
  <c r="B142" i="14"/>
  <c r="D142" i="14"/>
  <c r="G142" i="14"/>
  <c r="F142" i="14"/>
  <c r="O153" i="5"/>
  <c r="O20" i="5"/>
  <c r="M20" i="5"/>
  <c r="G41" i="1"/>
  <c r="H185" i="5"/>
  <c r="E137" i="1"/>
  <c r="G137" i="1"/>
  <c r="C137" i="1"/>
  <c r="F137" i="1"/>
  <c r="D137" i="1"/>
  <c r="E54" i="11"/>
  <c r="G54" i="11" s="1"/>
  <c r="F53" i="5"/>
  <c r="Q199" i="5"/>
  <c r="L199" i="5"/>
  <c r="K200" i="11"/>
  <c r="M200" i="11" s="1"/>
  <c r="E200" i="1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F240" i="14"/>
  <c r="D240" i="14"/>
  <c r="G240" i="14"/>
  <c r="C240" i="14"/>
  <c r="B240" i="14"/>
  <c r="E240" i="14"/>
  <c r="H240" i="14"/>
  <c r="E146" i="1"/>
  <c r="O139" i="5"/>
  <c r="M139" i="5"/>
  <c r="M180" i="5"/>
  <c r="AB180" i="5"/>
  <c r="E169" i="1"/>
  <c r="F169" i="1"/>
  <c r="C169" i="1"/>
  <c r="G169" i="1"/>
  <c r="D169" i="1"/>
  <c r="D87" i="1"/>
  <c r="D71" i="11"/>
  <c r="C195" i="1"/>
  <c r="F195" i="1"/>
  <c r="D195" i="1"/>
  <c r="G195" i="1"/>
  <c r="E195" i="1"/>
  <c r="N120" i="11"/>
  <c r="P120" i="11" s="1"/>
  <c r="L1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E143" i="1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H133" i="11"/>
  <c r="J133" i="11" s="1"/>
  <c r="E159" i="11"/>
  <c r="G159" i="11" s="1"/>
  <c r="O190" i="5"/>
  <c r="M190" i="5"/>
  <c r="F185" i="1"/>
  <c r="E185" i="1"/>
  <c r="G185" i="1"/>
  <c r="D185" i="1"/>
  <c r="C185" i="1"/>
  <c r="O150" i="5"/>
  <c r="M9" i="5"/>
  <c r="O9" i="5"/>
  <c r="L84" i="5"/>
  <c r="L44" i="5"/>
  <c r="E45" i="11"/>
  <c r="G45" i="11" s="1"/>
  <c r="J44" i="5"/>
  <c r="O155" i="5"/>
  <c r="E145" i="1"/>
  <c r="F145" i="1"/>
  <c r="C145" i="1"/>
  <c r="D145" i="1"/>
  <c r="G145" i="1"/>
  <c r="E73" i="1"/>
  <c r="G73" i="1"/>
  <c r="F73" i="1"/>
  <c r="D73" i="1"/>
  <c r="C73" i="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H94" i="11"/>
  <c r="J94" i="11" s="1"/>
  <c r="G128" i="14"/>
  <c r="C128" i="14"/>
  <c r="B128" i="14"/>
  <c r="H128" i="14"/>
  <c r="F128" i="14"/>
  <c r="D128" i="14"/>
  <c r="E128" i="14"/>
  <c r="G182" i="14"/>
  <c r="E182" i="14"/>
  <c r="D182" i="14"/>
  <c r="C182" i="14"/>
  <c r="B182" i="14"/>
  <c r="F182" i="14"/>
  <c r="H182" i="14"/>
  <c r="G90" i="11"/>
  <c r="H154" i="5"/>
  <c r="B137" i="14"/>
  <c r="H137" i="14"/>
  <c r="D137" i="14"/>
  <c r="E137" i="14"/>
  <c r="C137" i="14"/>
  <c r="G137" i="14"/>
  <c r="F137" i="14"/>
  <c r="D66" i="11"/>
  <c r="H107" i="14"/>
  <c r="G107" i="14"/>
  <c r="E107" i="14"/>
  <c r="D107" i="14"/>
  <c r="F107" i="14"/>
  <c r="C107" i="14"/>
  <c r="B107" i="14"/>
  <c r="F164" i="14"/>
  <c r="E164" i="14"/>
  <c r="D164" i="14"/>
  <c r="H164" i="14"/>
  <c r="G164" i="14"/>
  <c r="C164" i="14"/>
  <c r="B164" i="14"/>
  <c r="H167" i="11"/>
  <c r="J167" i="11" s="1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K139" i="11"/>
  <c r="M139" i="11" s="1"/>
  <c r="B22" i="14"/>
  <c r="H87" i="14"/>
  <c r="B87" i="14"/>
  <c r="G87" i="14"/>
  <c r="F87" i="14"/>
  <c r="E87" i="14"/>
  <c r="D87" i="14"/>
  <c r="C87" i="14"/>
  <c r="L132" i="5"/>
  <c r="E39" i="11"/>
  <c r="G39" i="11" s="1"/>
  <c r="W57" i="14"/>
  <c r="AC127" i="14"/>
  <c r="AB33" i="14"/>
  <c r="AB111" i="14"/>
  <c r="AB46" i="14"/>
  <c r="AD15" i="14"/>
  <c r="AB2" i="14"/>
  <c r="K159" i="11"/>
  <c r="M159" i="11" s="1"/>
  <c r="Q168" i="5"/>
  <c r="O168" i="5"/>
  <c r="E150" i="1"/>
  <c r="M109" i="5"/>
  <c r="O109" i="5"/>
  <c r="AB153" i="14"/>
  <c r="E194" i="1"/>
  <c r="C194" i="1"/>
  <c r="F194" i="1"/>
  <c r="G194" i="1"/>
  <c r="D194" i="1"/>
  <c r="AT195" i="5"/>
  <c r="M193" i="5"/>
  <c r="AB193" i="5"/>
  <c r="F193" i="5"/>
  <c r="C172" i="1"/>
  <c r="D172" i="1"/>
  <c r="F172" i="1"/>
  <c r="E172" i="1"/>
  <c r="G172" i="1"/>
  <c r="M93" i="5"/>
  <c r="O93" i="5"/>
  <c r="K146" i="11"/>
  <c r="M146" i="11" s="1"/>
  <c r="J145" i="5"/>
  <c r="E117" i="11"/>
  <c r="G117" i="11" s="1"/>
  <c r="E101" i="1"/>
  <c r="D101" i="1"/>
  <c r="G101" i="1"/>
  <c r="C101" i="1"/>
  <c r="F101" i="1"/>
  <c r="AX40" i="5"/>
  <c r="G86" i="1"/>
  <c r="O56" i="5"/>
  <c r="M56" i="5"/>
  <c r="E55" i="1"/>
  <c r="F34" i="1"/>
  <c r="E34" i="1"/>
  <c r="G34" i="1"/>
  <c r="C34" i="1"/>
  <c r="D34" i="1"/>
  <c r="L156" i="5"/>
  <c r="K157" i="11"/>
  <c r="M157" i="11" s="1"/>
  <c r="E157" i="11"/>
  <c r="G157" i="11" s="1"/>
  <c r="H157" i="11"/>
  <c r="J157" i="11" s="1"/>
  <c r="D127" i="1"/>
  <c r="Q185" i="5"/>
  <c r="O111" i="5"/>
  <c r="M111" i="5"/>
  <c r="Q114" i="5"/>
  <c r="F115" i="1"/>
  <c r="D115" i="1"/>
  <c r="C115" i="1"/>
  <c r="G115" i="1"/>
  <c r="E115" i="1"/>
  <c r="BB113" i="5"/>
  <c r="G108" i="1"/>
  <c r="F108" i="1"/>
  <c r="E108" i="1"/>
  <c r="D108" i="1"/>
  <c r="C108" i="1"/>
  <c r="F36" i="1"/>
  <c r="AB155" i="5"/>
  <c r="H155" i="5"/>
  <c r="E131" i="11"/>
  <c r="G131" i="11" s="1"/>
  <c r="K118" i="11"/>
  <c r="M118" i="11" s="1"/>
  <c r="D117" i="1"/>
  <c r="E117" i="1"/>
  <c r="G117" i="1"/>
  <c r="F117" i="1"/>
  <c r="C117" i="1"/>
  <c r="M104" i="5"/>
  <c r="O104" i="5"/>
  <c r="AD70" i="14"/>
  <c r="O44" i="5"/>
  <c r="M44" i="5"/>
  <c r="AT28" i="5"/>
  <c r="O4" i="5"/>
  <c r="Q4" i="5"/>
  <c r="O101" i="5"/>
  <c r="G40" i="1"/>
  <c r="F40" i="1"/>
  <c r="E40" i="1"/>
  <c r="C40" i="1"/>
  <c r="D40" i="1"/>
  <c r="H33" i="5"/>
  <c r="E35" i="1"/>
  <c r="E18" i="1"/>
  <c r="D18" i="1"/>
  <c r="C18" i="1"/>
  <c r="F18" i="1"/>
  <c r="G18" i="1"/>
  <c r="N179" i="9"/>
  <c r="AB10" i="5"/>
  <c r="M10" i="5"/>
  <c r="M135" i="5"/>
  <c r="L67" i="5"/>
  <c r="AB36" i="5"/>
  <c r="O36" i="5"/>
  <c r="Q36" i="5"/>
  <c r="M199" i="5"/>
  <c r="J141" i="5"/>
  <c r="M120" i="5"/>
  <c r="G89" i="1"/>
  <c r="C89" i="1"/>
  <c r="F89" i="1"/>
  <c r="E89" i="1"/>
  <c r="D89" i="1"/>
  <c r="M50" i="5"/>
  <c r="AC50" i="14"/>
  <c r="Q169" i="9"/>
  <c r="AB61" i="5"/>
  <c r="N103" i="9"/>
  <c r="K48" i="11"/>
  <c r="M48" i="11" s="1"/>
  <c r="E48" i="11"/>
  <c r="G48" i="11" s="1"/>
  <c r="L47" i="5"/>
  <c r="G15" i="1"/>
  <c r="F15" i="1"/>
  <c r="D15" i="1"/>
  <c r="E15" i="1"/>
  <c r="C15" i="1"/>
  <c r="Q72" i="9"/>
  <c r="AB2" i="5"/>
  <c r="C19" i="1"/>
  <c r="E19" i="1"/>
  <c r="G19" i="1"/>
  <c r="F19" i="1"/>
  <c r="D19" i="1"/>
  <c r="G230" i="14"/>
  <c r="H230" i="14"/>
  <c r="F230" i="14"/>
  <c r="E230" i="14"/>
  <c r="D230" i="14"/>
  <c r="C230" i="14"/>
  <c r="B230" i="14"/>
  <c r="AB34" i="5"/>
  <c r="M34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E102" i="1"/>
  <c r="K110" i="11"/>
  <c r="M110" i="11" s="1"/>
  <c r="J109" i="5"/>
  <c r="M198" i="5"/>
  <c r="O198" i="5"/>
  <c r="J192" i="5"/>
  <c r="C135" i="1"/>
  <c r="D135" i="1"/>
  <c r="G135" i="1"/>
  <c r="F135" i="1"/>
  <c r="E135" i="1"/>
  <c r="F200" i="5"/>
  <c r="M90" i="5"/>
  <c r="AB90" i="5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Q164" i="5"/>
  <c r="M77" i="5"/>
  <c r="AB77" i="5"/>
  <c r="K194" i="1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D118" i="1"/>
  <c r="G8" i="1"/>
  <c r="Q89" i="5"/>
  <c r="Q31" i="9"/>
  <c r="N31" i="9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B89" i="14"/>
  <c r="H89" i="14"/>
  <c r="C89" i="14"/>
  <c r="F89" i="14"/>
  <c r="E89" i="14"/>
  <c r="G89" i="14"/>
  <c r="D89" i="14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G11" i="11"/>
  <c r="F162" i="1"/>
  <c r="E162" i="1"/>
  <c r="G162" i="1"/>
  <c r="D162" i="1"/>
  <c r="C162" i="1"/>
  <c r="O108" i="5"/>
  <c r="M108" i="5"/>
  <c r="Q200" i="5"/>
  <c r="O200" i="5"/>
  <c r="AB119" i="5"/>
  <c r="M119" i="5"/>
  <c r="D165" i="1"/>
  <c r="E165" i="1"/>
  <c r="C165" i="1"/>
  <c r="F165" i="1"/>
  <c r="G165" i="1"/>
  <c r="E105" i="1"/>
  <c r="F93" i="1"/>
  <c r="H82" i="5"/>
  <c r="E84" i="1"/>
  <c r="D140" i="1"/>
  <c r="G140" i="1"/>
  <c r="F140" i="1"/>
  <c r="E140" i="1"/>
  <c r="C140" i="1"/>
  <c r="M32" i="5"/>
  <c r="O32" i="5"/>
  <c r="G92" i="1"/>
  <c r="AB41" i="5"/>
  <c r="M41" i="5"/>
  <c r="O147" i="5"/>
  <c r="C75" i="1"/>
  <c r="F75" i="1"/>
  <c r="G75" i="1"/>
  <c r="E75" i="1"/>
  <c r="D75" i="1"/>
  <c r="H59" i="11"/>
  <c r="J59" i="11" s="1"/>
  <c r="E59" i="11"/>
  <c r="G59" i="11" s="1"/>
  <c r="H37" i="11"/>
  <c r="J37" i="11" s="1"/>
  <c r="E37" i="11"/>
  <c r="G37" i="11" s="1"/>
  <c r="L36" i="5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B105" i="14"/>
  <c r="H105" i="14"/>
  <c r="G105" i="14"/>
  <c r="F105" i="14"/>
  <c r="E105" i="14"/>
  <c r="D105" i="14"/>
  <c r="C105" i="14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B144" i="5"/>
  <c r="M144" i="5"/>
  <c r="O183" i="5"/>
  <c r="Q183" i="5"/>
  <c r="M107" i="5"/>
  <c r="AB107" i="5"/>
  <c r="F197" i="5"/>
  <c r="O19" i="5"/>
  <c r="M19" i="5"/>
  <c r="E67" i="1"/>
  <c r="F125" i="1"/>
  <c r="E125" i="1"/>
  <c r="D125" i="1"/>
  <c r="C125" i="1"/>
  <c r="G125" i="1"/>
  <c r="C112" i="1"/>
  <c r="E112" i="1"/>
  <c r="D112" i="1"/>
  <c r="F112" i="1"/>
  <c r="G112" i="1"/>
  <c r="E179" i="11"/>
  <c r="G179" i="11" s="1"/>
  <c r="H179" i="11"/>
  <c r="J179" i="11" s="1"/>
  <c r="L178" i="5"/>
  <c r="K179" i="1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70" i="11"/>
  <c r="G70" i="11" s="1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7" i="11"/>
  <c r="K108" i="11"/>
  <c r="M108" i="11" s="1"/>
  <c r="B85" i="14"/>
  <c r="D85" i="14"/>
  <c r="E85" i="14"/>
  <c r="C85" i="14"/>
  <c r="H85" i="14"/>
  <c r="G85" i="14"/>
  <c r="F85" i="14"/>
  <c r="K60" i="11"/>
  <c r="M60" i="11" s="1"/>
  <c r="J59" i="5"/>
  <c r="H95" i="14"/>
  <c r="E95" i="14"/>
  <c r="D95" i="14"/>
  <c r="G95" i="14"/>
  <c r="F95" i="14"/>
  <c r="C95" i="14"/>
  <c r="B95" i="14"/>
  <c r="M181" i="5"/>
  <c r="AB181" i="5"/>
  <c r="O148" i="5"/>
  <c r="Q148" i="5"/>
  <c r="M98" i="5"/>
  <c r="O98" i="5"/>
  <c r="M157" i="5"/>
  <c r="AB157" i="5"/>
  <c r="F155" i="1"/>
  <c r="J153" i="5"/>
  <c r="AB150" i="5"/>
  <c r="O85" i="5"/>
  <c r="Q85" i="5"/>
  <c r="M197" i="5"/>
  <c r="AB197" i="5"/>
  <c r="M169" i="5"/>
  <c r="AB169" i="5"/>
  <c r="D157" i="14"/>
  <c r="C157" i="14"/>
  <c r="B157" i="14"/>
  <c r="E157" i="14"/>
  <c r="G157" i="14"/>
  <c r="F157" i="14"/>
  <c r="H157" i="14"/>
  <c r="L198" i="5"/>
  <c r="E140" i="11"/>
  <c r="G140" i="11" s="1"/>
  <c r="F139" i="5"/>
  <c r="H177" i="5"/>
  <c r="O116" i="5"/>
  <c r="AB99" i="5"/>
  <c r="M99" i="5"/>
  <c r="F99" i="5"/>
  <c r="G82" i="1"/>
  <c r="E82" i="1"/>
  <c r="C82" i="1"/>
  <c r="F82" i="1"/>
  <c r="D82" i="1"/>
  <c r="J21" i="5"/>
  <c r="L32" i="5"/>
  <c r="H32" i="5"/>
  <c r="AB165" i="5"/>
  <c r="O156" i="5"/>
  <c r="AB123" i="5"/>
  <c r="M123" i="5"/>
  <c r="Q152" i="5"/>
  <c r="O152" i="5"/>
  <c r="F94" i="5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O122" i="5"/>
  <c r="AB117" i="5"/>
  <c r="M106" i="5"/>
  <c r="AB147" i="5"/>
  <c r="Q115" i="5"/>
  <c r="O115" i="5"/>
  <c r="O73" i="5"/>
  <c r="Q73" i="5"/>
  <c r="L38" i="5"/>
  <c r="F27" i="5"/>
  <c r="F5" i="1"/>
  <c r="E91" i="1"/>
  <c r="Q200" i="9"/>
  <c r="N11" i="9"/>
  <c r="F138" i="1"/>
  <c r="G138" i="1"/>
  <c r="D138" i="1"/>
  <c r="E138" i="1"/>
  <c r="C138" i="1"/>
  <c r="O136" i="5"/>
  <c r="Q58" i="5"/>
  <c r="H87" i="5"/>
  <c r="Q160" i="9"/>
  <c r="O78" i="5"/>
  <c r="J61" i="5"/>
  <c r="E62" i="11"/>
  <c r="G62" i="11" s="1"/>
  <c r="L61" i="5"/>
  <c r="Q38" i="9"/>
  <c r="N197" i="9"/>
  <c r="N138" i="9"/>
  <c r="Q2" i="5"/>
  <c r="Q13" i="5"/>
  <c r="O13" i="5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H45" i="5"/>
  <c r="E45" i="1"/>
  <c r="D45" i="1"/>
  <c r="C45" i="1"/>
  <c r="G45" i="1"/>
  <c r="F45" i="1"/>
  <c r="E65" i="1"/>
  <c r="D65" i="1"/>
  <c r="G65" i="1"/>
  <c r="F65" i="1"/>
  <c r="C65" i="1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G70" i="1"/>
  <c r="F70" i="1"/>
  <c r="D70" i="1"/>
  <c r="E70" i="1"/>
  <c r="C70" i="1"/>
  <c r="D161" i="1"/>
  <c r="AB134" i="5"/>
  <c r="M134" i="5"/>
  <c r="J5" i="5"/>
  <c r="F7" i="1"/>
  <c r="J72" i="5"/>
  <c r="E96" i="1"/>
  <c r="D96" i="1"/>
  <c r="C96" i="1"/>
  <c r="G96" i="1"/>
  <c r="F96" i="1"/>
  <c r="J136" i="5"/>
  <c r="N39" i="9"/>
  <c r="Q133" i="9"/>
  <c r="N133" i="9"/>
  <c r="E97" i="1"/>
  <c r="G97" i="1"/>
  <c r="D97" i="1"/>
  <c r="F97" i="1"/>
  <c r="C97" i="1"/>
  <c r="N2" i="9"/>
  <c r="M46" i="5"/>
  <c r="AB46" i="5"/>
  <c r="E23" i="11"/>
  <c r="G23" i="11" s="1"/>
  <c r="K23" i="11"/>
  <c r="M23" i="11" s="1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N135" i="11"/>
  <c r="P135" i="11" s="1"/>
  <c r="T134" i="5"/>
  <c r="J75" i="5"/>
  <c r="M21" i="5"/>
  <c r="O21" i="5"/>
  <c r="N191" i="11"/>
  <c r="P191" i="11" s="1"/>
  <c r="L190" i="5"/>
  <c r="T190" i="5"/>
  <c r="AB188" i="5"/>
  <c r="F47" i="1"/>
  <c r="E47" i="1"/>
  <c r="D47" i="1"/>
  <c r="G47" i="1"/>
  <c r="C47" i="1"/>
  <c r="C43" i="1"/>
  <c r="G43" i="1"/>
  <c r="F43" i="1"/>
  <c r="E43" i="1"/>
  <c r="D43" i="1"/>
  <c r="K21" i="11"/>
  <c r="M21" i="11" s="1"/>
  <c r="L7" i="5"/>
  <c r="K8" i="11"/>
  <c r="M8" i="11" s="1"/>
  <c r="N35" i="9"/>
  <c r="K128" i="11"/>
  <c r="M128" i="11" s="1"/>
  <c r="E128" i="11"/>
  <c r="G128" i="11" s="1"/>
  <c r="J78" i="5"/>
  <c r="H77" i="11"/>
  <c r="J77" i="11" s="1"/>
  <c r="E77" i="11"/>
  <c r="G77" i="11" s="1"/>
  <c r="Q9" i="9"/>
  <c r="F168" i="14"/>
  <c r="C168" i="14"/>
  <c r="B168" i="14"/>
  <c r="H168" i="14"/>
  <c r="G168" i="14"/>
  <c r="E168" i="14"/>
  <c r="D168" i="14"/>
  <c r="M174" i="5"/>
  <c r="O174" i="5"/>
  <c r="F137" i="5"/>
  <c r="D139" i="1"/>
  <c r="F130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K196" i="11"/>
  <c r="M196" i="11" s="1"/>
  <c r="E196" i="11"/>
  <c r="G196" i="11" s="1"/>
  <c r="E112" i="11"/>
  <c r="G112" i="11" s="1"/>
  <c r="K112" i="11"/>
  <c r="M112" i="11" s="1"/>
  <c r="L111" i="5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H119" i="14"/>
  <c r="F119" i="14"/>
  <c r="G119" i="14"/>
  <c r="E119" i="14"/>
  <c r="D119" i="14"/>
  <c r="B119" i="14"/>
  <c r="C119" i="14"/>
  <c r="B109" i="14"/>
  <c r="G109" i="14"/>
  <c r="D109" i="14"/>
  <c r="C109" i="14"/>
  <c r="H109" i="14"/>
  <c r="E109" i="14"/>
  <c r="F109" i="14"/>
  <c r="T4" i="5"/>
  <c r="E70" i="14"/>
  <c r="D70" i="14"/>
  <c r="C70" i="14"/>
  <c r="H70" i="14"/>
  <c r="G70" i="14"/>
  <c r="F70" i="14"/>
  <c r="B70" i="14"/>
  <c r="E170" i="1"/>
  <c r="C170" i="1"/>
  <c r="D170" i="1"/>
  <c r="G170" i="1"/>
  <c r="F170" i="1"/>
  <c r="AB151" i="5"/>
  <c r="M151" i="5"/>
  <c r="H144" i="5"/>
  <c r="D155" i="1"/>
  <c r="L170" i="5"/>
  <c r="M30" i="5"/>
  <c r="O30" i="5"/>
  <c r="H83" i="11"/>
  <c r="J83" i="11" s="1"/>
  <c r="K186" i="11"/>
  <c r="M186" i="11" s="1"/>
  <c r="M186" i="5"/>
  <c r="AB186" i="5"/>
  <c r="G6" i="1"/>
  <c r="E156" i="11"/>
  <c r="G156" i="11" s="1"/>
  <c r="K156" i="11"/>
  <c r="M156" i="11" s="1"/>
  <c r="H143" i="5"/>
  <c r="Q117" i="5"/>
  <c r="J96" i="5"/>
  <c r="H71" i="5"/>
  <c r="M45" i="5"/>
  <c r="O45" i="5"/>
  <c r="M38" i="5"/>
  <c r="O38" i="5"/>
  <c r="G107" i="1"/>
  <c r="C107" i="1"/>
  <c r="E107" i="1"/>
  <c r="F107" i="1"/>
  <c r="D107" i="1"/>
  <c r="F92" i="5"/>
  <c r="O16" i="5"/>
  <c r="Q16" i="5"/>
  <c r="N45" i="9"/>
  <c r="F26" i="5"/>
  <c r="D60" i="1"/>
  <c r="C60" i="1"/>
  <c r="F60" i="1"/>
  <c r="G60" i="1"/>
  <c r="E60" i="1"/>
  <c r="N149" i="9"/>
  <c r="Q197" i="9"/>
  <c r="N76" i="9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L195" i="5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H177" i="1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H134" i="5"/>
  <c r="K103" i="11"/>
  <c r="M103" i="11" s="1"/>
  <c r="G198" i="14"/>
  <c r="E198" i="14"/>
  <c r="D198" i="14"/>
  <c r="H198" i="14"/>
  <c r="C198" i="14"/>
  <c r="F198" i="14"/>
  <c r="B198" i="14"/>
  <c r="L106" i="5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J19" i="5"/>
  <c r="K39" i="11"/>
  <c r="M39" i="11" s="1"/>
  <c r="F210" i="14"/>
  <c r="B210" i="14"/>
  <c r="G210" i="14"/>
  <c r="E210" i="14"/>
  <c r="C210" i="14"/>
  <c r="H210" i="14"/>
  <c r="D210" i="14"/>
  <c r="G199" i="14"/>
  <c r="F199" i="14"/>
  <c r="E199" i="14"/>
  <c r="H199" i="14"/>
  <c r="C199" i="14"/>
  <c r="B199" i="14"/>
  <c r="D199" i="14"/>
  <c r="D173" i="1"/>
  <c r="O163" i="5"/>
  <c r="M163" i="5"/>
  <c r="G152" i="1"/>
  <c r="F121" i="5"/>
  <c r="AB167" i="5"/>
  <c r="F161" i="1"/>
  <c r="F128" i="5"/>
  <c r="L128" i="5"/>
  <c r="O29" i="5"/>
  <c r="M29" i="5"/>
  <c r="M146" i="5"/>
  <c r="AB40" i="5"/>
  <c r="M40" i="5"/>
  <c r="E201" i="11"/>
  <c r="G201" i="11" s="1"/>
  <c r="B244" i="14"/>
  <c r="F244" i="14"/>
  <c r="H244" i="14"/>
  <c r="G244" i="14"/>
  <c r="C244" i="14"/>
  <c r="E244" i="14"/>
  <c r="D244" i="14"/>
  <c r="Q161" i="5"/>
  <c r="H187" i="11"/>
  <c r="J187" i="11" s="1"/>
  <c r="H111" i="5"/>
  <c r="C160" i="1"/>
  <c r="G160" i="1"/>
  <c r="F160" i="1"/>
  <c r="D160" i="1"/>
  <c r="E160" i="1"/>
  <c r="E8" i="1"/>
  <c r="H6" i="5"/>
  <c r="Q188" i="5"/>
  <c r="M155" i="5"/>
  <c r="G33" i="1"/>
  <c r="F33" i="1"/>
  <c r="C33" i="1"/>
  <c r="E33" i="1"/>
  <c r="D33" i="1"/>
  <c r="K153" i="11"/>
  <c r="M153" i="11" s="1"/>
  <c r="E153" i="11"/>
  <c r="G153" i="11" s="1"/>
  <c r="L152" i="5"/>
  <c r="O142" i="5"/>
  <c r="M142" i="5"/>
  <c r="E106" i="1"/>
  <c r="G85" i="1"/>
  <c r="L81" i="5"/>
  <c r="Q62" i="5"/>
  <c r="E124" i="1"/>
  <c r="K66" i="11"/>
  <c r="M66" i="11" s="1"/>
  <c r="J65" i="5"/>
  <c r="F16" i="5"/>
  <c r="N155" i="9"/>
  <c r="O24" i="5"/>
  <c r="N55" i="9"/>
  <c r="F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K177" i="1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H200" i="11"/>
  <c r="J200" i="11" s="1"/>
  <c r="H128" i="11"/>
  <c r="J128" i="11" s="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H196" i="11"/>
  <c r="J196" i="11" s="1"/>
  <c r="H99" i="14"/>
  <c r="G99" i="14"/>
  <c r="F99" i="14"/>
  <c r="E99" i="14"/>
  <c r="D99" i="14"/>
  <c r="C99" i="14"/>
  <c r="B99" i="14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F66" i="5"/>
  <c r="H115" i="14"/>
  <c r="B115" i="14"/>
  <c r="E115" i="14"/>
  <c r="D115" i="14"/>
  <c r="C115" i="14"/>
  <c r="G115" i="14"/>
  <c r="F115" i="14"/>
  <c r="K135" i="11"/>
  <c r="M135" i="11" s="1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AD200" i="14"/>
  <c r="O140" i="5"/>
  <c r="M140" i="5"/>
  <c r="F199" i="1"/>
  <c r="G199" i="1"/>
  <c r="E199" i="1"/>
  <c r="D199" i="1"/>
  <c r="C199" i="1"/>
  <c r="J163" i="5"/>
  <c r="AB153" i="5"/>
  <c r="M153" i="5"/>
  <c r="F90" i="1"/>
  <c r="E90" i="1"/>
  <c r="D90" i="1"/>
  <c r="C90" i="1"/>
  <c r="G90" i="1"/>
  <c r="Q197" i="5"/>
  <c r="O197" i="5"/>
  <c r="C171" i="1"/>
  <c r="G171" i="1"/>
  <c r="F171" i="1"/>
  <c r="E171" i="1"/>
  <c r="D171" i="1"/>
  <c r="Q126" i="5"/>
  <c r="O126" i="5"/>
  <c r="O177" i="5"/>
  <c r="AB177" i="14"/>
  <c r="AC170" i="14"/>
  <c r="D77" i="1"/>
  <c r="G77" i="1"/>
  <c r="F77" i="1"/>
  <c r="E77" i="1"/>
  <c r="C77" i="1"/>
  <c r="D67" i="1"/>
  <c r="AD42" i="14"/>
  <c r="L182" i="5"/>
  <c r="L165" i="5"/>
  <c r="F163" i="1"/>
  <c r="D163" i="1"/>
  <c r="C163" i="1"/>
  <c r="E163" i="1"/>
  <c r="G163" i="1"/>
  <c r="E124" i="11"/>
  <c r="G124" i="11" s="1"/>
  <c r="M185" i="5"/>
  <c r="AB185" i="5"/>
  <c r="D92" i="1"/>
  <c r="F90" i="5"/>
  <c r="O6" i="5"/>
  <c r="Q6" i="5"/>
  <c r="L158" i="5"/>
  <c r="E37" i="1"/>
  <c r="G119" i="1"/>
  <c r="C119" i="1"/>
  <c r="F119" i="1"/>
  <c r="E119" i="1"/>
  <c r="D119" i="1"/>
  <c r="AC71" i="5"/>
  <c r="AQ71" i="5"/>
  <c r="AP71" i="5"/>
  <c r="AR71" i="5" s="1"/>
  <c r="L142" i="5"/>
  <c r="J132" i="5"/>
  <c r="AB72" i="5"/>
  <c r="M175" i="5"/>
  <c r="AC83" i="14"/>
  <c r="AB81" i="5"/>
  <c r="M81" i="5"/>
  <c r="H69" i="5"/>
  <c r="AB122" i="5"/>
  <c r="AD114" i="14"/>
  <c r="AX94" i="5"/>
  <c r="N64" i="9"/>
  <c r="L105" i="5"/>
  <c r="O92" i="5"/>
  <c r="H79" i="5"/>
  <c r="Q79" i="5"/>
  <c r="N131" i="9"/>
  <c r="D12" i="1"/>
  <c r="C12" i="1"/>
  <c r="E12" i="1"/>
  <c r="G12" i="1"/>
  <c r="F12" i="1"/>
  <c r="E190" i="11"/>
  <c r="G190" i="11" s="1"/>
  <c r="K190" i="11"/>
  <c r="M190" i="11" s="1"/>
  <c r="AT189" i="5"/>
  <c r="N142" i="9"/>
  <c r="N16" i="9"/>
  <c r="G52" i="1"/>
  <c r="C52" i="1"/>
  <c r="F52" i="1"/>
  <c r="D52" i="1"/>
  <c r="E52" i="1"/>
  <c r="G56" i="1"/>
  <c r="C56" i="1"/>
  <c r="F56" i="1"/>
  <c r="E56" i="1"/>
  <c r="D56" i="1"/>
  <c r="Q92" i="9"/>
  <c r="N38" i="9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M15" i="5"/>
  <c r="N121" i="9"/>
  <c r="L120" i="5"/>
  <c r="AB120" i="5"/>
  <c r="O87" i="5"/>
  <c r="AB50" i="5"/>
  <c r="Q15" i="5"/>
  <c r="D80" i="1"/>
  <c r="C80" i="1"/>
  <c r="E80" i="1"/>
  <c r="G80" i="1"/>
  <c r="F80" i="1"/>
  <c r="Q54" i="5"/>
  <c r="N21" i="9"/>
  <c r="N7" i="9"/>
  <c r="AB95" i="5"/>
  <c r="H22" i="5"/>
  <c r="M76" i="5"/>
  <c r="J46" i="11"/>
  <c r="Q156" i="9"/>
  <c r="Q23" i="9"/>
  <c r="H3" i="11"/>
  <c r="J3" i="11" s="1"/>
  <c r="E3" i="11"/>
  <c r="G3" i="11" s="1"/>
  <c r="L2" i="5"/>
  <c r="G39" i="1"/>
  <c r="F39" i="1"/>
  <c r="D39" i="1"/>
  <c r="C39" i="1"/>
  <c r="E39" i="1"/>
  <c r="O8" i="5"/>
  <c r="F13" i="5"/>
  <c r="M64" i="5"/>
  <c r="D50" i="1"/>
  <c r="C50" i="1"/>
  <c r="G50" i="1"/>
  <c r="F50" i="1"/>
  <c r="E50" i="1"/>
  <c r="E54" i="1"/>
  <c r="F54" i="1"/>
  <c r="C54" i="1"/>
  <c r="G54" i="1"/>
  <c r="D54" i="1"/>
  <c r="K53" i="11"/>
  <c r="M53" i="11" s="1"/>
  <c r="H53" i="11"/>
  <c r="J53" i="11" s="1"/>
  <c r="L52" i="5"/>
  <c r="M97" i="5"/>
  <c r="Q44" i="9"/>
  <c r="N80" i="9"/>
  <c r="Q74" i="5"/>
  <c r="AQ98" i="5"/>
  <c r="J25" i="5"/>
  <c r="E66" i="1"/>
  <c r="D66" i="1"/>
  <c r="G66" i="1"/>
  <c r="C66" i="1"/>
  <c r="F66" i="1"/>
  <c r="O18" i="5"/>
  <c r="H19" i="11"/>
  <c r="J19" i="11" s="1"/>
  <c r="E19" i="11"/>
  <c r="G19" i="11" s="1"/>
  <c r="K19" i="11"/>
  <c r="M19" i="11" s="1"/>
  <c r="N181" i="9"/>
  <c r="AB78" i="5"/>
  <c r="O112" i="5"/>
  <c r="M22" i="5"/>
  <c r="O76" i="5"/>
  <c r="N174" i="9"/>
  <c r="N96" i="9"/>
  <c r="O2" i="5"/>
  <c r="M74" i="5"/>
  <c r="Q47" i="9"/>
  <c r="I3" i="7"/>
  <c r="J3" i="7"/>
  <c r="Q121" i="9"/>
  <c r="Q16" i="9"/>
  <c r="O54" i="5"/>
  <c r="Q95" i="5"/>
  <c r="K113" i="11"/>
  <c r="M113" i="11" s="1"/>
  <c r="E113" i="11"/>
  <c r="G113" i="11" s="1"/>
  <c r="Q52" i="5"/>
  <c r="O52" i="5"/>
  <c r="O47" i="5"/>
  <c r="F97" i="5"/>
  <c r="C99" i="1"/>
  <c r="G99" i="1"/>
  <c r="F99" i="1"/>
  <c r="E99" i="1"/>
  <c r="D99" i="1"/>
  <c r="L124" i="5"/>
  <c r="T124" i="5"/>
  <c r="Q37" i="5"/>
  <c r="Q67" i="9"/>
  <c r="L64" i="5"/>
  <c r="K65" i="11"/>
  <c r="M65" i="11" s="1"/>
  <c r="H65" i="11"/>
  <c r="J65" i="11" s="1"/>
  <c r="L258" i="14"/>
  <c r="AQ82" i="5"/>
  <c r="AQ21" i="5"/>
  <c r="AQ59" i="5"/>
  <c r="F10" i="14"/>
  <c r="B15" i="14"/>
  <c r="B41" i="14" s="1"/>
  <c r="N100" i="9"/>
  <c r="H95" i="5"/>
  <c r="AB112" i="5"/>
  <c r="J86" i="5"/>
  <c r="D24" i="1"/>
  <c r="C24" i="1"/>
  <c r="F24" i="1"/>
  <c r="E24" i="1"/>
  <c r="G24" i="1"/>
  <c r="N175" i="9"/>
  <c r="Q23" i="5"/>
  <c r="N198" i="9"/>
  <c r="O37" i="5"/>
  <c r="K38" i="11"/>
  <c r="M38" i="11" s="1"/>
  <c r="H38" i="11"/>
  <c r="J38" i="11" s="1"/>
  <c r="L37" i="5"/>
  <c r="E38" i="11"/>
  <c r="G38" i="11" s="1"/>
  <c r="AB13" i="5"/>
  <c r="G27" i="1"/>
  <c r="F27" i="1"/>
  <c r="D27" i="1"/>
  <c r="E27" i="1"/>
  <c r="C27" i="1"/>
  <c r="N136" i="9"/>
  <c r="D188" i="11"/>
  <c r="O182" i="5"/>
  <c r="F127" i="1"/>
  <c r="G127" i="1"/>
  <c r="F187" i="1"/>
  <c r="D187" i="1"/>
  <c r="C187" i="1"/>
  <c r="E187" i="1"/>
  <c r="G187" i="1"/>
  <c r="AC111" i="5"/>
  <c r="AQ111" i="5"/>
  <c r="AP111" i="5"/>
  <c r="AR111" i="5" s="1"/>
  <c r="AB113" i="5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G7" i="1"/>
  <c r="J69" i="5"/>
  <c r="AB110" i="5"/>
  <c r="H72" i="5"/>
  <c r="E73" i="11"/>
  <c r="G73" i="11" s="1"/>
  <c r="Q175" i="5"/>
  <c r="L175" i="5"/>
  <c r="K176" i="11"/>
  <c r="M176" i="11" s="1"/>
  <c r="E176" i="11"/>
  <c r="G176" i="11" s="1"/>
  <c r="H175" i="5"/>
  <c r="J73" i="5"/>
  <c r="G62" i="1"/>
  <c r="Q59" i="5"/>
  <c r="Q38" i="5"/>
  <c r="O31" i="5"/>
  <c r="M31" i="5"/>
  <c r="AB105" i="5"/>
  <c r="C94" i="1"/>
  <c r="E94" i="1"/>
  <c r="D94" i="1"/>
  <c r="F94" i="1"/>
  <c r="G94" i="1"/>
  <c r="N143" i="9"/>
  <c r="Q131" i="5"/>
  <c r="M58" i="5"/>
  <c r="M127" i="5"/>
  <c r="AT141" i="5"/>
  <c r="O141" i="5"/>
  <c r="E122" i="1"/>
  <c r="G122" i="1"/>
  <c r="D122" i="1"/>
  <c r="C122" i="1"/>
  <c r="F122" i="1"/>
  <c r="H50" i="5"/>
  <c r="G16" i="1"/>
  <c r="C16" i="1"/>
  <c r="E16" i="1"/>
  <c r="D16" i="1"/>
  <c r="F16" i="1"/>
  <c r="N109" i="9"/>
  <c r="Q21" i="9"/>
  <c r="O95" i="5"/>
  <c r="D48" i="1"/>
  <c r="C48" i="1"/>
  <c r="G48" i="1"/>
  <c r="E48" i="1"/>
  <c r="F48" i="1"/>
  <c r="Q104" i="9"/>
  <c r="AB74" i="5"/>
  <c r="N136" i="11"/>
  <c r="P136" i="11" s="1"/>
  <c r="T135" i="5"/>
  <c r="AB17" i="5"/>
  <c r="Q17" i="5"/>
  <c r="H18" i="11"/>
  <c r="J18" i="11" s="1"/>
  <c r="L17" i="5"/>
  <c r="K18" i="11"/>
  <c r="M18" i="11" s="1"/>
  <c r="M48" i="5"/>
  <c r="H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J5" i="7"/>
  <c r="I5" i="7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I3" i="9"/>
  <c r="I4" i="9" s="1"/>
  <c r="BB8" i="5"/>
  <c r="F17" i="5"/>
  <c r="K40" i="11"/>
  <c r="M40" i="11" s="1"/>
  <c r="J39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Q56" i="9"/>
  <c r="N27" i="9"/>
  <c r="L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T21" i="14"/>
  <c r="L68" i="5" l="1"/>
  <c r="T149" i="5"/>
  <c r="H62" i="11"/>
  <c r="J62" i="11" s="1"/>
  <c r="L11" i="5"/>
  <c r="N150" i="11"/>
  <c r="P150" i="11" s="1"/>
  <c r="H14" i="5"/>
  <c r="N59" i="11"/>
  <c r="P59" i="11" s="1"/>
  <c r="T11" i="5"/>
  <c r="P61" i="5"/>
  <c r="T187" i="5"/>
  <c r="R192" i="5"/>
  <c r="J196" i="5"/>
  <c r="L58" i="5"/>
  <c r="R145" i="5"/>
  <c r="H71" i="11"/>
  <c r="J71" i="11" s="1"/>
  <c r="H68" i="5"/>
  <c r="J24" i="5"/>
  <c r="F46" i="5"/>
  <c r="AP11" i="5"/>
  <c r="AR11" i="5" s="1"/>
  <c r="N126" i="5"/>
  <c r="K162" i="11"/>
  <c r="M162" i="11" s="1"/>
  <c r="E36" i="11"/>
  <c r="G36" i="11" s="1"/>
  <c r="AP164" i="5"/>
  <c r="AR164" i="5" s="1"/>
  <c r="K32" i="11"/>
  <c r="M32" i="11" s="1"/>
  <c r="H189" i="5"/>
  <c r="AC11" i="5"/>
  <c r="R24" i="5"/>
  <c r="N188" i="11"/>
  <c r="P188" i="11" s="1"/>
  <c r="L4" i="5"/>
  <c r="H63" i="5"/>
  <c r="L115" i="5"/>
  <c r="H84" i="5"/>
  <c r="R86" i="5"/>
  <c r="P69" i="5"/>
  <c r="K84" i="11"/>
  <c r="M84" i="11" s="1"/>
  <c r="J151" i="5"/>
  <c r="AC75" i="14"/>
  <c r="AB61" i="14"/>
  <c r="AC28" i="14"/>
  <c r="AC43" i="14"/>
  <c r="AC178" i="14"/>
  <c r="AB179" i="14"/>
  <c r="AD110" i="14"/>
  <c r="AC93" i="14"/>
  <c r="AB94" i="14"/>
  <c r="AC72" i="14"/>
  <c r="AD29" i="14"/>
  <c r="AD28" i="14"/>
  <c r="AD182" i="14"/>
  <c r="AD84" i="14"/>
  <c r="AD151" i="14"/>
  <c r="AB47" i="14"/>
  <c r="AB59" i="14"/>
  <c r="AC138" i="14"/>
  <c r="AC189" i="14"/>
  <c r="AD62" i="14"/>
  <c r="AB105" i="14"/>
  <c r="AB11" i="14"/>
  <c r="AD116" i="14"/>
  <c r="AD196" i="14"/>
  <c r="AB103" i="14"/>
  <c r="AC114" i="14"/>
  <c r="AD51" i="14"/>
  <c r="AD100" i="14"/>
  <c r="AD57" i="14"/>
  <c r="AB104" i="14"/>
  <c r="AB122" i="14"/>
  <c r="AB72" i="14"/>
  <c r="AB34" i="14"/>
  <c r="AC98" i="14"/>
  <c r="AD74" i="14"/>
  <c r="AB89" i="14"/>
  <c r="AC150" i="14"/>
  <c r="AD78" i="14"/>
  <c r="AC33" i="14"/>
  <c r="AC136" i="14"/>
  <c r="AB25" i="14"/>
  <c r="AB75" i="14"/>
  <c r="AB170" i="14"/>
  <c r="AB107" i="14"/>
  <c r="AC52" i="14"/>
  <c r="AD134" i="14"/>
  <c r="AD117" i="14"/>
  <c r="AC140" i="14"/>
  <c r="AC82" i="14"/>
  <c r="AC130" i="14"/>
  <c r="AC26" i="14"/>
  <c r="AC122" i="14"/>
  <c r="AD178" i="14"/>
  <c r="T23" i="14"/>
  <c r="N167" i="11"/>
  <c r="P167" i="11" s="1"/>
  <c r="L166" i="5"/>
  <c r="AD59" i="14"/>
  <c r="AB143" i="14"/>
  <c r="AD54" i="14"/>
  <c r="AB22" i="14"/>
  <c r="AB35" i="14"/>
  <c r="AC151" i="14"/>
  <c r="AD165" i="14"/>
  <c r="AD64" i="14"/>
  <c r="AD89" i="14"/>
  <c r="AD168" i="14"/>
  <c r="AC197" i="14"/>
  <c r="AC131" i="14"/>
  <c r="AC4" i="14"/>
  <c r="AB101" i="14"/>
  <c r="AB83" i="14"/>
  <c r="AC65" i="14"/>
  <c r="AD44" i="14"/>
  <c r="AC69" i="14"/>
  <c r="AC187" i="14"/>
  <c r="AC47" i="14"/>
  <c r="AD49" i="14"/>
  <c r="AC84" i="14"/>
  <c r="AC14" i="14"/>
  <c r="AB93" i="14"/>
  <c r="AB172" i="14"/>
  <c r="AB189" i="14"/>
  <c r="AB181" i="14"/>
  <c r="AD35" i="14"/>
  <c r="AB125" i="14"/>
  <c r="AB141" i="14"/>
  <c r="AB62" i="14"/>
  <c r="AC155" i="14"/>
  <c r="AB86" i="14"/>
  <c r="AD52" i="14"/>
  <c r="T166" i="5"/>
  <c r="AC79" i="14"/>
  <c r="AC105" i="14"/>
  <c r="AD187" i="14"/>
  <c r="AB58" i="14"/>
  <c r="AC186" i="14"/>
  <c r="AB166" i="14"/>
  <c r="AD107" i="14"/>
  <c r="AB140" i="14"/>
  <c r="AB134" i="14"/>
  <c r="AB26" i="14"/>
  <c r="AC188" i="14"/>
  <c r="AC148" i="14"/>
  <c r="AB132" i="14"/>
  <c r="AC17" i="14"/>
  <c r="AB64" i="14"/>
  <c r="AB5" i="14"/>
  <c r="AC94" i="14"/>
  <c r="AC7" i="14"/>
  <c r="AB106" i="14"/>
  <c r="AC24" i="14"/>
  <c r="AC137" i="14"/>
  <c r="AC110" i="14"/>
  <c r="AD160" i="14"/>
  <c r="AC51" i="14"/>
  <c r="AD191" i="14"/>
  <c r="AD82" i="14"/>
  <c r="AC121" i="14"/>
  <c r="W67" i="14"/>
  <c r="W48" i="14" s="1"/>
  <c r="AD80" i="14"/>
  <c r="AB190" i="14"/>
  <c r="AD33" i="14"/>
  <c r="AD32" i="14"/>
  <c r="AB91" i="14"/>
  <c r="AC56" i="14"/>
  <c r="AC145" i="14"/>
  <c r="AD10" i="14"/>
  <c r="AB17" i="14"/>
  <c r="AB139" i="14"/>
  <c r="AB21" i="14"/>
  <c r="AC3" i="14"/>
  <c r="AC192" i="14"/>
  <c r="AD125" i="14"/>
  <c r="AD163" i="14"/>
  <c r="AC139" i="14"/>
  <c r="AB42" i="14"/>
  <c r="AD189" i="14"/>
  <c r="AB187" i="14"/>
  <c r="AB116" i="14"/>
  <c r="AB158" i="14"/>
  <c r="AC199" i="14"/>
  <c r="AB124" i="14"/>
  <c r="AD185" i="14"/>
  <c r="AD136" i="14"/>
  <c r="AB12" i="14"/>
  <c r="AB79" i="14"/>
  <c r="AD26" i="14"/>
  <c r="AB16" i="14"/>
  <c r="AC41" i="14"/>
  <c r="AD58" i="14"/>
  <c r="AC190" i="14"/>
  <c r="AB163" i="14"/>
  <c r="AD17" i="14"/>
  <c r="AC36" i="14"/>
  <c r="AD115" i="14"/>
  <c r="AD8" i="14"/>
  <c r="AD86" i="14"/>
  <c r="AB87" i="14"/>
  <c r="AD159" i="14"/>
  <c r="AD5" i="14"/>
  <c r="AB178" i="14"/>
  <c r="AD137" i="14"/>
  <c r="AC167" i="14"/>
  <c r="AD198" i="14"/>
  <c r="AD16" i="14"/>
  <c r="AC22" i="14"/>
  <c r="AC116" i="14"/>
  <c r="AD170" i="14"/>
  <c r="AD60" i="14"/>
  <c r="AC156" i="14"/>
  <c r="AC104" i="14"/>
  <c r="AC19" i="14"/>
  <c r="AB162" i="14"/>
  <c r="AB113" i="14"/>
  <c r="AC164" i="14"/>
  <c r="AB184" i="14"/>
  <c r="AB108" i="14"/>
  <c r="AB182" i="14"/>
  <c r="AD122" i="14"/>
  <c r="AC119" i="14"/>
  <c r="AD123" i="14"/>
  <c r="AC58" i="14"/>
  <c r="AC168" i="14"/>
  <c r="AD68" i="14"/>
  <c r="AD186" i="14"/>
  <c r="AC171" i="14"/>
  <c r="AD188" i="14"/>
  <c r="AD36" i="14"/>
  <c r="AB10" i="14"/>
  <c r="AD131" i="14"/>
  <c r="AD37" i="14"/>
  <c r="AC16" i="14"/>
  <c r="AD179" i="14"/>
  <c r="AC39" i="14"/>
  <c r="AB147" i="14"/>
  <c r="AD92" i="14"/>
  <c r="AB50" i="14"/>
  <c r="AB8" i="14"/>
  <c r="AB67" i="14"/>
  <c r="AC147" i="14"/>
  <c r="AB74" i="14"/>
  <c r="AB54" i="14"/>
  <c r="AD141" i="14"/>
  <c r="AD190" i="14"/>
  <c r="AD150" i="14"/>
  <c r="AD199" i="14"/>
  <c r="AD97" i="14"/>
  <c r="AD154" i="14"/>
  <c r="AD24" i="14"/>
  <c r="AB76" i="14"/>
  <c r="AB160" i="14"/>
  <c r="AC20" i="14"/>
  <c r="AD102" i="14"/>
  <c r="AD3" i="14"/>
  <c r="AB188" i="14"/>
  <c r="AC191" i="14"/>
  <c r="AD99" i="14"/>
  <c r="AB156" i="14"/>
  <c r="AD94" i="14"/>
  <c r="AB196" i="14"/>
  <c r="AB138" i="14"/>
  <c r="AC111" i="14"/>
  <c r="AD197" i="14"/>
  <c r="AC112" i="14"/>
  <c r="AC163" i="14"/>
  <c r="AD75" i="14"/>
  <c r="AC179" i="14"/>
  <c r="AC66" i="14"/>
  <c r="AB168" i="14"/>
  <c r="AC49" i="14"/>
  <c r="AD67" i="14"/>
  <c r="AC141" i="14"/>
  <c r="AC107" i="14"/>
  <c r="AB142" i="14"/>
  <c r="AD79" i="14"/>
  <c r="AB37" i="14"/>
  <c r="AC135" i="14"/>
  <c r="AC37" i="14"/>
  <c r="AD61" i="14"/>
  <c r="AC25" i="14"/>
  <c r="AB171" i="14"/>
  <c r="AD138" i="14"/>
  <c r="AC86" i="14"/>
  <c r="AC63" i="14"/>
  <c r="AB135" i="14"/>
  <c r="AC165" i="14"/>
  <c r="AC174" i="14"/>
  <c r="AB100" i="14"/>
  <c r="AD66" i="14"/>
  <c r="AD144" i="14"/>
  <c r="AC99" i="14"/>
  <c r="AD11" i="14"/>
  <c r="AD118" i="14"/>
  <c r="AC30" i="14"/>
  <c r="AB7" i="14"/>
  <c r="AD111" i="14"/>
  <c r="AC29" i="14"/>
  <c r="AB77" i="14"/>
  <c r="AC55" i="14"/>
  <c r="AB49" i="14"/>
  <c r="AB159" i="14"/>
  <c r="AB133" i="14"/>
  <c r="AD18" i="14"/>
  <c r="AD201" i="14"/>
  <c r="AD152" i="14"/>
  <c r="AC109" i="14"/>
  <c r="AD43" i="14"/>
  <c r="AD140" i="14"/>
  <c r="AC103" i="14"/>
  <c r="AC9" i="14"/>
  <c r="AC90" i="14"/>
  <c r="AB36" i="14"/>
  <c r="AB145" i="14"/>
  <c r="AD91" i="14"/>
  <c r="AB80" i="14"/>
  <c r="AB149" i="14"/>
  <c r="AC198" i="14"/>
  <c r="AC184" i="14"/>
  <c r="AC118" i="14"/>
  <c r="AD106" i="14"/>
  <c r="AB131" i="14"/>
  <c r="AB146" i="14"/>
  <c r="AD90" i="14"/>
  <c r="AC143" i="14"/>
  <c r="AB167" i="14"/>
  <c r="AD40" i="14"/>
  <c r="AC154" i="14"/>
  <c r="AC125" i="14"/>
  <c r="AC89" i="14"/>
  <c r="AB164" i="14"/>
  <c r="AB195" i="14"/>
  <c r="AC6" i="14"/>
  <c r="AD192" i="14"/>
  <c r="AC158" i="14"/>
  <c r="AB23" i="14"/>
  <c r="AD88" i="14"/>
  <c r="AD161" i="14"/>
  <c r="AB129" i="14"/>
  <c r="AB130" i="14"/>
  <c r="AC157" i="14"/>
  <c r="AC106" i="14"/>
  <c r="AC120" i="14"/>
  <c r="AD127" i="14"/>
  <c r="AB15" i="14"/>
  <c r="AB41" i="14"/>
  <c r="AC172" i="14"/>
  <c r="AC108" i="14"/>
  <c r="AD103" i="14"/>
  <c r="AC176" i="14"/>
  <c r="AC115" i="14"/>
  <c r="AC201" i="14"/>
  <c r="AC97" i="14"/>
  <c r="AC10" i="14"/>
  <c r="AC5" i="14"/>
  <c r="AD47" i="14"/>
  <c r="AB14" i="14"/>
  <c r="AC74" i="14"/>
  <c r="AC144" i="14"/>
  <c r="AB183" i="14"/>
  <c r="AB121" i="14"/>
  <c r="AD39" i="14"/>
  <c r="AC42" i="14"/>
  <c r="AB180" i="14"/>
  <c r="AC57" i="14"/>
  <c r="AB65" i="14"/>
  <c r="AB97" i="14"/>
  <c r="AB128" i="14"/>
  <c r="AD174" i="14"/>
  <c r="AC80" i="14"/>
  <c r="AD109" i="14"/>
  <c r="AD72" i="14"/>
  <c r="AC100" i="14"/>
  <c r="AC67" i="14"/>
  <c r="AC160" i="14"/>
  <c r="AD171" i="14"/>
  <c r="AB56" i="14"/>
  <c r="AB155" i="14"/>
  <c r="AC96" i="14"/>
  <c r="AD149" i="14"/>
  <c r="AD101" i="14"/>
  <c r="AD119" i="14"/>
  <c r="AD113" i="14"/>
  <c r="AD181" i="14"/>
  <c r="AB193" i="14"/>
  <c r="AC195" i="14"/>
  <c r="AD45" i="14"/>
  <c r="AB191" i="14"/>
  <c r="AB185" i="14"/>
  <c r="AC152" i="14"/>
  <c r="AD112" i="14"/>
  <c r="AC200" i="14"/>
  <c r="AC126" i="14"/>
  <c r="AD6" i="14"/>
  <c r="AD183" i="14"/>
  <c r="AB71" i="14"/>
  <c r="AD87" i="14"/>
  <c r="AC38" i="14"/>
  <c r="AD13" i="14"/>
  <c r="AB98" i="14"/>
  <c r="AC159" i="14"/>
  <c r="AD104" i="14"/>
  <c r="AB51" i="14"/>
  <c r="AB201" i="14"/>
  <c r="AD23" i="14"/>
  <c r="AC92" i="14"/>
  <c r="AC34" i="14"/>
  <c r="AC46" i="14"/>
  <c r="AB18" i="14"/>
  <c r="AC2" i="14"/>
  <c r="AC180" i="14"/>
  <c r="AB29" i="14"/>
  <c r="AC35" i="14"/>
  <c r="AC128" i="14"/>
  <c r="AB53" i="14"/>
  <c r="AC15" i="14"/>
  <c r="AD27" i="14"/>
  <c r="AD93" i="14"/>
  <c r="AC71" i="14"/>
  <c r="AC183" i="14"/>
  <c r="AD30" i="14"/>
  <c r="AD85" i="14"/>
  <c r="AD176" i="14"/>
  <c r="AD121" i="14"/>
  <c r="AB102" i="14"/>
  <c r="AB92" i="14"/>
  <c r="AC117" i="14"/>
  <c r="AB136" i="14"/>
  <c r="AC91" i="14"/>
  <c r="AC102" i="14"/>
  <c r="AB154" i="14"/>
  <c r="AB39" i="14"/>
  <c r="AC68" i="14"/>
  <c r="AC81" i="14"/>
  <c r="AB157" i="14"/>
  <c r="AB40" i="14"/>
  <c r="AD71" i="14"/>
  <c r="AB99" i="14"/>
  <c r="AB4" i="14"/>
  <c r="AB95" i="14"/>
  <c r="AC101" i="14"/>
  <c r="AB81" i="14"/>
  <c r="AB137" i="14"/>
  <c r="AB109" i="14"/>
  <c r="AB197" i="14"/>
  <c r="AC123" i="14"/>
  <c r="AC12" i="14"/>
  <c r="AB38" i="14"/>
  <c r="AC194" i="14"/>
  <c r="AB112" i="14"/>
  <c r="AC60" i="14"/>
  <c r="AB123" i="14"/>
  <c r="AC61" i="14"/>
  <c r="AB52" i="14"/>
  <c r="AB78" i="14"/>
  <c r="AD148" i="14"/>
  <c r="AC133" i="14"/>
  <c r="AB152" i="14"/>
  <c r="AB88" i="14"/>
  <c r="AD21" i="14"/>
  <c r="AB55" i="14"/>
  <c r="AD83" i="14"/>
  <c r="AD48" i="14"/>
  <c r="AD162" i="14"/>
  <c r="AB68" i="14"/>
  <c r="AD7" i="14"/>
  <c r="AB174" i="14"/>
  <c r="AC124" i="14"/>
  <c r="AB20" i="14"/>
  <c r="AB57" i="14"/>
  <c r="AB3" i="14"/>
  <c r="AD146" i="14"/>
  <c r="AC146" i="14"/>
  <c r="AC162" i="14"/>
  <c r="AB60" i="14"/>
  <c r="AD139" i="14"/>
  <c r="AC142" i="14"/>
  <c r="AB127" i="14"/>
  <c r="AB198" i="14"/>
  <c r="AB44" i="14"/>
  <c r="AB119" i="14"/>
  <c r="AD56" i="14"/>
  <c r="AB43" i="14"/>
  <c r="AC196" i="14"/>
  <c r="AB19" i="14"/>
  <c r="AD81" i="14"/>
  <c r="AB176" i="14"/>
  <c r="AD55" i="14"/>
  <c r="AB73" i="14"/>
  <c r="AB151" i="14"/>
  <c r="AD9" i="14"/>
  <c r="AC40" i="14"/>
  <c r="AB115" i="14"/>
  <c r="AD38" i="14"/>
  <c r="AD22" i="14"/>
  <c r="AD73" i="14"/>
  <c r="AD105" i="14"/>
  <c r="AD167" i="14"/>
  <c r="AB27" i="14"/>
  <c r="AD2" i="14"/>
  <c r="AC54" i="14"/>
  <c r="AC62" i="14"/>
  <c r="AC161" i="14"/>
  <c r="AB13" i="14"/>
  <c r="AD76" i="14"/>
  <c r="AD50" i="14"/>
  <c r="AD129" i="14"/>
  <c r="AC134" i="14"/>
  <c r="AD147" i="14"/>
  <c r="AD77" i="14"/>
  <c r="AC182" i="14"/>
  <c r="AD126" i="14"/>
  <c r="AB194" i="14"/>
  <c r="AD173" i="14"/>
  <c r="AC175" i="14"/>
  <c r="AD193" i="14"/>
  <c r="AB32" i="14"/>
  <c r="AD130" i="14"/>
  <c r="AB84" i="14"/>
  <c r="AC44" i="14"/>
  <c r="AC59" i="14"/>
  <c r="AD157" i="14"/>
  <c r="AC132" i="14"/>
  <c r="AD194" i="14"/>
  <c r="AD133" i="14"/>
  <c r="AB144" i="14"/>
  <c r="AB192" i="14"/>
  <c r="AD175" i="14"/>
  <c r="AD153" i="14"/>
  <c r="AC21" i="14"/>
  <c r="AD164" i="14"/>
  <c r="AB9" i="14"/>
  <c r="AB150" i="14"/>
  <c r="AD12" i="14"/>
  <c r="AC153" i="14"/>
  <c r="AC73" i="14"/>
  <c r="AD53" i="14"/>
  <c r="AB175" i="14"/>
  <c r="AB114" i="14"/>
  <c r="AD132" i="14"/>
  <c r="AD34" i="14"/>
  <c r="AD69" i="14"/>
  <c r="AC129" i="14"/>
  <c r="AB186" i="14"/>
  <c r="AD120" i="14"/>
  <c r="AC64" i="14"/>
  <c r="AC87" i="14"/>
  <c r="AD4" i="14"/>
  <c r="AC48" i="14"/>
  <c r="AC8" i="14"/>
  <c r="AD46" i="14"/>
  <c r="AB199" i="14"/>
  <c r="AD108" i="14"/>
  <c r="AD142" i="14"/>
  <c r="AB200" i="14"/>
  <c r="AC88" i="14"/>
  <c r="AC193" i="14"/>
  <c r="AD65" i="14"/>
  <c r="AC149" i="14"/>
  <c r="AC77" i="14"/>
  <c r="AB31" i="14"/>
  <c r="AB66" i="14"/>
  <c r="AB96" i="14"/>
  <c r="AC13" i="14"/>
  <c r="AB48" i="14"/>
  <c r="AD63" i="14"/>
  <c r="AB45" i="14"/>
  <c r="AD195" i="14"/>
  <c r="AB24" i="14"/>
  <c r="AD31" i="14"/>
  <c r="AC166" i="14"/>
  <c r="AD145" i="14"/>
  <c r="AD98" i="14"/>
  <c r="AC177" i="14"/>
  <c r="AB165" i="14"/>
  <c r="AD135" i="14"/>
  <c r="AD158" i="14"/>
  <c r="AB70" i="14"/>
  <c r="AB90" i="14"/>
  <c r="AD14" i="14"/>
  <c r="AC27" i="14"/>
  <c r="AB169" i="14"/>
  <c r="AC95" i="14"/>
  <c r="AC185" i="14"/>
  <c r="W47" i="14"/>
  <c r="C11" i="15" s="1"/>
  <c r="AB82" i="14"/>
  <c r="AC45" i="14"/>
  <c r="AC18" i="14"/>
  <c r="AB110" i="14"/>
  <c r="AB126" i="14"/>
  <c r="AB63" i="14"/>
  <c r="AD25" i="14"/>
  <c r="AC31" i="14"/>
  <c r="AD184" i="14"/>
  <c r="AB148" i="14"/>
  <c r="AB118" i="14"/>
  <c r="AD128" i="14"/>
  <c r="T25" i="14"/>
  <c r="K69" i="11"/>
  <c r="M69" i="11" s="1"/>
  <c r="T19" i="5"/>
  <c r="L19" i="5"/>
  <c r="R173" i="5"/>
  <c r="F68" i="5"/>
  <c r="F19" i="5"/>
  <c r="R40" i="5"/>
  <c r="T68" i="5"/>
  <c r="T5" i="5"/>
  <c r="N6" i="11"/>
  <c r="P6" i="11" s="1"/>
  <c r="J125" i="5"/>
  <c r="H168" i="5"/>
  <c r="H89" i="5"/>
  <c r="R75" i="5"/>
  <c r="R163" i="5"/>
  <c r="H34" i="5"/>
  <c r="R125" i="5"/>
  <c r="H115" i="5"/>
  <c r="H183" i="5"/>
  <c r="E18" i="15"/>
  <c r="F18" i="15"/>
  <c r="C55" i="20" s="1"/>
  <c r="G18" i="15"/>
  <c r="D55" i="20" s="1"/>
  <c r="H18" i="15"/>
  <c r="E55" i="20" s="1"/>
  <c r="U96" i="14"/>
  <c r="U89" i="14"/>
  <c r="W97" i="14"/>
  <c r="H20" i="15"/>
  <c r="E57" i="20" s="1"/>
  <c r="T89" i="14"/>
  <c r="V97" i="14"/>
  <c r="W96" i="14"/>
  <c r="E20" i="15"/>
  <c r="V96" i="14"/>
  <c r="E19" i="15"/>
  <c r="T97" i="14"/>
  <c r="F19" i="15"/>
  <c r="C56" i="20" s="1"/>
  <c r="E17" i="15"/>
  <c r="G19" i="15"/>
  <c r="D56" i="20" s="1"/>
  <c r="F17" i="15"/>
  <c r="C54" i="20" s="1"/>
  <c r="T99" i="14"/>
  <c r="G17" i="15"/>
  <c r="D54" i="20" s="1"/>
  <c r="T100" i="14"/>
  <c r="G15" i="15" s="1"/>
  <c r="D53" i="20" s="1"/>
  <c r="H17" i="15"/>
  <c r="E54" i="20" s="1"/>
  <c r="W89" i="14"/>
  <c r="T101" i="14"/>
  <c r="F20" i="15"/>
  <c r="C57" i="20" s="1"/>
  <c r="I262" i="14"/>
  <c r="BG26" i="5" s="1"/>
  <c r="AD6" i="6"/>
  <c r="D14" i="14"/>
  <c r="E14" i="14" s="1"/>
  <c r="I261" i="14"/>
  <c r="BC72" i="5" s="1"/>
  <c r="AD5" i="6"/>
  <c r="D13" i="14"/>
  <c r="F20" i="14"/>
  <c r="I260" i="14"/>
  <c r="L260" i="14" s="1"/>
  <c r="AD4" i="6"/>
  <c r="D12" i="14"/>
  <c r="E12" i="14" s="1"/>
  <c r="I259" i="14"/>
  <c r="AU160" i="5" s="1"/>
  <c r="AD3" i="6"/>
  <c r="D11" i="14"/>
  <c r="S19" i="7"/>
  <c r="T47" i="14"/>
  <c r="M19" i="7" s="1"/>
  <c r="T40" i="14"/>
  <c r="S8" i="7"/>
  <c r="S9" i="7" s="1"/>
  <c r="R8" i="7"/>
  <c r="R9" i="7" s="1"/>
  <c r="H174" i="11"/>
  <c r="J174" i="11" s="1"/>
  <c r="AX169" i="5"/>
  <c r="F161" i="5"/>
  <c r="J187" i="5"/>
  <c r="R187" i="5"/>
  <c r="AP18" i="5"/>
  <c r="AR18" i="5" s="1"/>
  <c r="AC18" i="5"/>
  <c r="J32" i="5"/>
  <c r="H195" i="11"/>
  <c r="J195" i="11" s="1"/>
  <c r="J168" i="5"/>
  <c r="F168" i="5"/>
  <c r="AP4" i="5"/>
  <c r="AR4" i="5" s="1"/>
  <c r="AQ4" i="5"/>
  <c r="J133" i="5"/>
  <c r="AP121" i="5"/>
  <c r="AR121" i="5" s="1"/>
  <c r="H188" i="5"/>
  <c r="H20" i="11"/>
  <c r="J20" i="11" s="1"/>
  <c r="N27" i="11"/>
  <c r="P27" i="11" s="1"/>
  <c r="N160" i="5"/>
  <c r="E161" i="11"/>
  <c r="G161" i="11" s="1"/>
  <c r="AC121" i="5"/>
  <c r="AP87" i="5"/>
  <c r="AR87" i="5" s="1"/>
  <c r="K119" i="11"/>
  <c r="M119" i="11" s="1"/>
  <c r="T131" i="5"/>
  <c r="L131" i="5"/>
  <c r="F103" i="5"/>
  <c r="L26" i="5"/>
  <c r="H152" i="11"/>
  <c r="J152" i="11" s="1"/>
  <c r="BB187" i="5"/>
  <c r="J34" i="5"/>
  <c r="T110" i="5"/>
  <c r="N111" i="11"/>
  <c r="P111" i="11" s="1"/>
  <c r="H20" i="5"/>
  <c r="H51" i="5"/>
  <c r="P151" i="5"/>
  <c r="H187" i="5"/>
  <c r="AC87" i="5"/>
  <c r="N83" i="5"/>
  <c r="F110" i="5"/>
  <c r="J104" i="5"/>
  <c r="R104" i="5"/>
  <c r="H75" i="5"/>
  <c r="BB145" i="5"/>
  <c r="N103" i="5"/>
  <c r="J148" i="5"/>
  <c r="H133" i="5"/>
  <c r="AQ80" i="5"/>
  <c r="AP80" i="5"/>
  <c r="AR80" i="5" s="1"/>
  <c r="F88" i="5"/>
  <c r="AP173" i="5"/>
  <c r="AR173" i="5" s="1"/>
  <c r="T148" i="5"/>
  <c r="J110" i="5"/>
  <c r="N149" i="11"/>
  <c r="P149" i="11" s="1"/>
  <c r="H129" i="5"/>
  <c r="AQ173" i="5"/>
  <c r="P181" i="5"/>
  <c r="H148" i="5"/>
  <c r="K12" i="11"/>
  <c r="M12" i="11" s="1"/>
  <c r="L85" i="5"/>
  <c r="AQ152" i="5"/>
  <c r="AC152" i="5"/>
  <c r="L89" i="5"/>
  <c r="T89" i="5"/>
  <c r="R132" i="5"/>
  <c r="T85" i="5"/>
  <c r="J29" i="5"/>
  <c r="AP26" i="5"/>
  <c r="AR26" i="5" s="1"/>
  <c r="H139" i="5"/>
  <c r="AP136" i="5"/>
  <c r="AR136" i="5" s="1"/>
  <c r="AC31" i="5"/>
  <c r="AQ136" i="5"/>
  <c r="AP31" i="5"/>
  <c r="AR31" i="5" s="1"/>
  <c r="R83" i="5"/>
  <c r="AQ149" i="5"/>
  <c r="L54" i="5"/>
  <c r="T20" i="5"/>
  <c r="F124" i="5"/>
  <c r="T73" i="5"/>
  <c r="T130" i="5"/>
  <c r="L125" i="5"/>
  <c r="F77" i="5"/>
  <c r="R39" i="5"/>
  <c r="L13" i="5"/>
  <c r="H196" i="5"/>
  <c r="R29" i="5"/>
  <c r="L59" i="5"/>
  <c r="AT13" i="5"/>
  <c r="J50" i="5"/>
  <c r="BB25" i="5"/>
  <c r="H86" i="5"/>
  <c r="L163" i="5"/>
  <c r="N185" i="11"/>
  <c r="P185" i="11" s="1"/>
  <c r="R109" i="5"/>
  <c r="T184" i="5"/>
  <c r="H13" i="5"/>
  <c r="N49" i="5"/>
  <c r="H121" i="5"/>
  <c r="J60" i="5"/>
  <c r="AP76" i="5"/>
  <c r="AR76" i="5" s="1"/>
  <c r="H130" i="5"/>
  <c r="BB179" i="5"/>
  <c r="AC45" i="5"/>
  <c r="AP45" i="5"/>
  <c r="AR45" i="5" s="1"/>
  <c r="L121" i="5"/>
  <c r="T151" i="5"/>
  <c r="AC33" i="5"/>
  <c r="F79" i="5"/>
  <c r="H184" i="5"/>
  <c r="AP33" i="5"/>
  <c r="AR33" i="5" s="1"/>
  <c r="BB125" i="5"/>
  <c r="AT126" i="5"/>
  <c r="H54" i="11"/>
  <c r="J54" i="11" s="1"/>
  <c r="E81" i="11"/>
  <c r="G81" i="11" s="1"/>
  <c r="H146" i="11"/>
  <c r="J146" i="11" s="1"/>
  <c r="F174" i="5"/>
  <c r="H54" i="5"/>
  <c r="H57" i="5"/>
  <c r="P41" i="5"/>
  <c r="J124" i="5"/>
  <c r="J113" i="5"/>
  <c r="J100" i="5"/>
  <c r="T139" i="5"/>
  <c r="AX55" i="5"/>
  <c r="F25" i="5"/>
  <c r="BB81" i="5"/>
  <c r="J54" i="5"/>
  <c r="H97" i="5"/>
  <c r="AQ26" i="5"/>
  <c r="N43" i="11"/>
  <c r="P43" i="11" s="1"/>
  <c r="J121" i="5"/>
  <c r="L83" i="5"/>
  <c r="L48" i="5"/>
  <c r="H30" i="11"/>
  <c r="J30" i="11" s="1"/>
  <c r="F54" i="5"/>
  <c r="N25" i="5"/>
  <c r="L6" i="5"/>
  <c r="H74" i="5"/>
  <c r="F133" i="5"/>
  <c r="F65" i="5"/>
  <c r="R26" i="5"/>
  <c r="H81" i="5"/>
  <c r="AT115" i="5"/>
  <c r="AP131" i="5"/>
  <c r="AR131" i="5" s="1"/>
  <c r="H104" i="5"/>
  <c r="AQ96" i="5"/>
  <c r="L140" i="5"/>
  <c r="F85" i="5"/>
  <c r="BB192" i="5"/>
  <c r="N141" i="11"/>
  <c r="P141" i="11" s="1"/>
  <c r="L29" i="5"/>
  <c r="J13" i="5"/>
  <c r="H161" i="5"/>
  <c r="J57" i="5"/>
  <c r="BB96" i="5"/>
  <c r="N55" i="11"/>
  <c r="P55" i="11" s="1"/>
  <c r="L130" i="5"/>
  <c r="J160" i="5"/>
  <c r="F113" i="5"/>
  <c r="H192" i="5"/>
  <c r="E40" i="11"/>
  <c r="G40" i="11" s="1"/>
  <c r="J103" i="5"/>
  <c r="K185" i="11"/>
  <c r="M185" i="11" s="1"/>
  <c r="AQ183" i="5"/>
  <c r="H124" i="5"/>
  <c r="AC183" i="5"/>
  <c r="R150" i="5"/>
  <c r="H113" i="5"/>
  <c r="AQ129" i="5"/>
  <c r="H105" i="5"/>
  <c r="R45" i="5"/>
  <c r="L151" i="5"/>
  <c r="L177" i="5"/>
  <c r="L60" i="5"/>
  <c r="L86" i="5"/>
  <c r="H180" i="11"/>
  <c r="J180" i="11" s="1"/>
  <c r="N80" i="11"/>
  <c r="P80" i="11" s="1"/>
  <c r="H25" i="5"/>
  <c r="L79" i="5"/>
  <c r="T121" i="5"/>
  <c r="F182" i="5"/>
  <c r="F45" i="5"/>
  <c r="F86" i="5"/>
  <c r="L65" i="5"/>
  <c r="H103" i="5"/>
  <c r="R190" i="5"/>
  <c r="N66" i="11"/>
  <c r="P66" i="11" s="1"/>
  <c r="J140" i="5"/>
  <c r="N74" i="11"/>
  <c r="P74" i="11" s="1"/>
  <c r="J6" i="5"/>
  <c r="E22" i="11"/>
  <c r="G22" i="11" s="1"/>
  <c r="L91" i="5"/>
  <c r="H66" i="11"/>
  <c r="J66" i="11" s="1"/>
  <c r="T59" i="5"/>
  <c r="P74" i="5"/>
  <c r="J130" i="5"/>
  <c r="R118" i="5"/>
  <c r="J131" i="5"/>
  <c r="R20" i="5"/>
  <c r="N63" i="11"/>
  <c r="P63" i="11" s="1"/>
  <c r="L53" i="5"/>
  <c r="AC14" i="5"/>
  <c r="E141" i="11"/>
  <c r="G141" i="11" s="1"/>
  <c r="H59" i="5"/>
  <c r="L21" i="5"/>
  <c r="F164" i="5"/>
  <c r="P105" i="5"/>
  <c r="N165" i="11"/>
  <c r="P165" i="11" s="1"/>
  <c r="F180" i="5"/>
  <c r="R113" i="5"/>
  <c r="F151" i="5"/>
  <c r="H160" i="5"/>
  <c r="F146" i="5"/>
  <c r="T183" i="5"/>
  <c r="AP189" i="5"/>
  <c r="AR189" i="5" s="1"/>
  <c r="L77" i="5"/>
  <c r="R157" i="5"/>
  <c r="J16" i="5"/>
  <c r="R81" i="5"/>
  <c r="AC130" i="5"/>
  <c r="N40" i="11"/>
  <c r="P40" i="11" s="1"/>
  <c r="L181" i="5"/>
  <c r="BB30" i="5"/>
  <c r="L179" i="5"/>
  <c r="AP22" i="5"/>
  <c r="AR22" i="5" s="1"/>
  <c r="N201" i="11"/>
  <c r="P201" i="11" s="1"/>
  <c r="T173" i="5"/>
  <c r="L39" i="5"/>
  <c r="N180" i="11"/>
  <c r="P180" i="11" s="1"/>
  <c r="AQ22" i="5"/>
  <c r="K174" i="11"/>
  <c r="M174" i="11" s="1"/>
  <c r="N174" i="11"/>
  <c r="P174" i="11" s="1"/>
  <c r="J89" i="5"/>
  <c r="F11" i="5"/>
  <c r="H182" i="5"/>
  <c r="F78" i="5"/>
  <c r="AQ130" i="5"/>
  <c r="R153" i="5"/>
  <c r="T78" i="5"/>
  <c r="AX123" i="5"/>
  <c r="N87" i="11"/>
  <c r="P87" i="11" s="1"/>
  <c r="T53" i="5"/>
  <c r="L183" i="5"/>
  <c r="H158" i="11"/>
  <c r="J158" i="11" s="1"/>
  <c r="L63" i="5"/>
  <c r="F41" i="5"/>
  <c r="AQ133" i="5"/>
  <c r="J181" i="5"/>
  <c r="K147" i="11"/>
  <c r="M147" i="11" s="1"/>
  <c r="L78" i="5"/>
  <c r="AC63" i="5"/>
  <c r="AQ106" i="5"/>
  <c r="R137" i="5"/>
  <c r="N80" i="5"/>
  <c r="L69" i="5"/>
  <c r="N60" i="5"/>
  <c r="F104" i="5"/>
  <c r="AQ69" i="5"/>
  <c r="T200" i="5"/>
  <c r="E83" i="11"/>
  <c r="G83" i="11" s="1"/>
  <c r="J188" i="5"/>
  <c r="E180" i="11"/>
  <c r="G180" i="11" s="1"/>
  <c r="K36" i="11"/>
  <c r="M36" i="11" s="1"/>
  <c r="N64" i="11"/>
  <c r="P64" i="11" s="1"/>
  <c r="H78" i="5"/>
  <c r="J197" i="5"/>
  <c r="L96" i="5"/>
  <c r="P90" i="5"/>
  <c r="H99" i="5"/>
  <c r="F125" i="5"/>
  <c r="F6" i="5"/>
  <c r="J99" i="5"/>
  <c r="T62" i="5"/>
  <c r="J77" i="5"/>
  <c r="L45" i="5"/>
  <c r="AP14" i="5"/>
  <c r="AR14" i="5" s="1"/>
  <c r="J81" i="5"/>
  <c r="J41" i="5"/>
  <c r="N82" i="5"/>
  <c r="F192" i="5"/>
  <c r="J63" i="5"/>
  <c r="J91" i="5"/>
  <c r="J67" i="5"/>
  <c r="J126" i="5"/>
  <c r="BB156" i="5"/>
  <c r="N126" i="11"/>
  <c r="P126" i="11" s="1"/>
  <c r="AC43" i="5"/>
  <c r="L141" i="5"/>
  <c r="J120" i="5"/>
  <c r="H16" i="5"/>
  <c r="L99" i="5"/>
  <c r="AT143" i="5"/>
  <c r="AC189" i="5"/>
  <c r="T21" i="5"/>
  <c r="R97" i="5"/>
  <c r="J94" i="5"/>
  <c r="P99" i="5"/>
  <c r="N50" i="11"/>
  <c r="P50" i="11" s="1"/>
  <c r="P39" i="5"/>
  <c r="AT95" i="5"/>
  <c r="J74" i="5"/>
  <c r="N133" i="5"/>
  <c r="AQ172" i="5"/>
  <c r="AP141" i="5"/>
  <c r="AR141" i="5" s="1"/>
  <c r="F163" i="5"/>
  <c r="H49" i="5"/>
  <c r="AP104" i="5"/>
  <c r="AR104" i="5" s="1"/>
  <c r="J26" i="5"/>
  <c r="N61" i="11"/>
  <c r="P61" i="11" s="1"/>
  <c r="T34" i="5"/>
  <c r="L196" i="5"/>
  <c r="J165" i="5"/>
  <c r="F74" i="5"/>
  <c r="AQ88" i="5"/>
  <c r="K140" i="11"/>
  <c r="M140" i="11" s="1"/>
  <c r="AQ104" i="5"/>
  <c r="T69" i="5"/>
  <c r="AC148" i="5"/>
  <c r="L192" i="5"/>
  <c r="L34" i="5"/>
  <c r="K120" i="11"/>
  <c r="M120" i="11" s="1"/>
  <c r="H39" i="5"/>
  <c r="AQ93" i="5"/>
  <c r="AC25" i="5"/>
  <c r="BB22" i="5"/>
  <c r="H26" i="5"/>
  <c r="AC66" i="5"/>
  <c r="F177" i="5"/>
  <c r="AP148" i="5"/>
  <c r="AR148" i="5" s="1"/>
  <c r="L41" i="5"/>
  <c r="J12" i="5"/>
  <c r="R196" i="5"/>
  <c r="H40" i="11"/>
  <c r="J40" i="11" s="1"/>
  <c r="P143" i="5"/>
  <c r="AQ76" i="5"/>
  <c r="AQ25" i="5"/>
  <c r="J82" i="5"/>
  <c r="N183" i="5"/>
  <c r="N181" i="11"/>
  <c r="P181" i="11" s="1"/>
  <c r="AC149" i="5"/>
  <c r="T45" i="5"/>
  <c r="AQ66" i="5"/>
  <c r="H31" i="5"/>
  <c r="J177" i="5"/>
  <c r="AP159" i="5"/>
  <c r="AR159" i="5" s="1"/>
  <c r="N42" i="11"/>
  <c r="P42" i="11" s="1"/>
  <c r="F9" i="5"/>
  <c r="N99" i="11"/>
  <c r="P99" i="11" s="1"/>
  <c r="R67" i="5"/>
  <c r="BB97" i="5"/>
  <c r="H119" i="5"/>
  <c r="N7" i="11"/>
  <c r="P7" i="11" s="1"/>
  <c r="K31" i="11"/>
  <c r="M31" i="11" s="1"/>
  <c r="H12" i="5"/>
  <c r="AQ159" i="5"/>
  <c r="H67" i="5"/>
  <c r="P81" i="5"/>
  <c r="H91" i="5"/>
  <c r="J174" i="5"/>
  <c r="AC133" i="5"/>
  <c r="H198" i="5"/>
  <c r="T31" i="5"/>
  <c r="N17" i="11"/>
  <c r="P17" i="11" s="1"/>
  <c r="AC96" i="5"/>
  <c r="R19" i="5"/>
  <c r="F198" i="5"/>
  <c r="T77" i="5"/>
  <c r="AC48" i="5"/>
  <c r="AQ20" i="5"/>
  <c r="R100" i="5"/>
  <c r="N49" i="11"/>
  <c r="P49" i="11" s="1"/>
  <c r="H100" i="5"/>
  <c r="P65" i="5"/>
  <c r="E61" i="11"/>
  <c r="G61" i="11" s="1"/>
  <c r="BB42" i="5"/>
  <c r="AP51" i="5"/>
  <c r="AR51" i="5" s="1"/>
  <c r="F187" i="5"/>
  <c r="AQ51" i="5"/>
  <c r="H126" i="5"/>
  <c r="F181" i="5"/>
  <c r="E52" i="11"/>
  <c r="G52" i="11" s="1"/>
  <c r="N109" i="11"/>
  <c r="P109" i="11" s="1"/>
  <c r="AQ65" i="5"/>
  <c r="T83" i="5"/>
  <c r="P124" i="5"/>
  <c r="R124" i="5"/>
  <c r="AQ194" i="5"/>
  <c r="H88" i="5"/>
  <c r="P77" i="5"/>
  <c r="AQ170" i="5"/>
  <c r="AP170" i="5"/>
  <c r="AR170" i="5" s="1"/>
  <c r="K54" i="11"/>
  <c r="M54" i="11" s="1"/>
  <c r="H180" i="5"/>
  <c r="J49" i="5"/>
  <c r="AC37" i="5"/>
  <c r="P110" i="5"/>
  <c r="R5" i="5"/>
  <c r="H175" i="11"/>
  <c r="J175" i="11" s="1"/>
  <c r="T109" i="5"/>
  <c r="R10" i="5"/>
  <c r="AC131" i="5"/>
  <c r="T145" i="5"/>
  <c r="BB116" i="5"/>
  <c r="L15" i="5"/>
  <c r="L108" i="5"/>
  <c r="T42" i="5"/>
  <c r="D42" i="14"/>
  <c r="F42" i="14" s="1"/>
  <c r="H42" i="14" s="1"/>
  <c r="P67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C69" i="5"/>
  <c r="R169" i="5"/>
  <c r="R53" i="5"/>
  <c r="H158" i="5"/>
  <c r="AX114" i="5"/>
  <c r="AT4" i="5"/>
  <c r="L129" i="5"/>
  <c r="AQ35" i="5"/>
  <c r="J79" i="5"/>
  <c r="J142" i="5"/>
  <c r="AP37" i="5"/>
  <c r="AR37" i="5" s="1"/>
  <c r="R174" i="5"/>
  <c r="J98" i="5"/>
  <c r="L145" i="5"/>
  <c r="F183" i="5"/>
  <c r="T164" i="5"/>
  <c r="N32" i="11"/>
  <c r="P32" i="11" s="1"/>
  <c r="H164" i="5"/>
  <c r="T129" i="5"/>
  <c r="AT176" i="5"/>
  <c r="F63" i="5"/>
  <c r="L180" i="5"/>
  <c r="AP43" i="5"/>
  <c r="AR43" i="5" s="1"/>
  <c r="J173" i="5"/>
  <c r="N63" i="5"/>
  <c r="T99" i="5"/>
  <c r="E58" i="11"/>
  <c r="G58" i="11" s="1"/>
  <c r="R63" i="5"/>
  <c r="N193" i="11"/>
  <c r="P193" i="11" s="1"/>
  <c r="F119" i="5"/>
  <c r="L126" i="5"/>
  <c r="J115" i="5"/>
  <c r="N21" i="11"/>
  <c r="P21" i="11" s="1"/>
  <c r="J45" i="5"/>
  <c r="AX125" i="5"/>
  <c r="AQ124" i="5"/>
  <c r="BB147" i="5"/>
  <c r="F48" i="5"/>
  <c r="L139" i="5"/>
  <c r="AT47" i="5"/>
  <c r="R119" i="5"/>
  <c r="AT167" i="5"/>
  <c r="F73" i="5"/>
  <c r="H73" i="5"/>
  <c r="T35" i="5"/>
  <c r="P125" i="5"/>
  <c r="T75" i="5"/>
  <c r="BB150" i="5"/>
  <c r="H35" i="5"/>
  <c r="P185" i="5"/>
  <c r="L35" i="5"/>
  <c r="AX185" i="5"/>
  <c r="BB106" i="5"/>
  <c r="N167" i="5"/>
  <c r="P113" i="5"/>
  <c r="P100" i="5"/>
  <c r="AT101" i="5"/>
  <c r="F33" i="5"/>
  <c r="T126" i="5"/>
  <c r="H118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R68" i="5"/>
  <c r="F83" i="5"/>
  <c r="E195" i="11"/>
  <c r="G195" i="11" s="1"/>
  <c r="F106" i="5"/>
  <c r="E110" i="11"/>
  <c r="G110" i="11" s="1"/>
  <c r="E158" i="11"/>
  <c r="G158" i="11" s="1"/>
  <c r="F100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AP194" i="5"/>
  <c r="AR194" i="5" s="1"/>
  <c r="R77" i="5"/>
  <c r="N113" i="5"/>
  <c r="H163" i="5"/>
  <c r="H85" i="5"/>
  <c r="R110" i="5"/>
  <c r="T123" i="5"/>
  <c r="J58" i="5"/>
  <c r="AX145" i="5"/>
  <c r="AT152" i="5"/>
  <c r="N124" i="11"/>
  <c r="P124" i="11" s="1"/>
  <c r="H137" i="5"/>
  <c r="AQ9" i="5"/>
  <c r="J8" i="5"/>
  <c r="L82" i="5"/>
  <c r="P145" i="5"/>
  <c r="AC178" i="5"/>
  <c r="R99" i="5"/>
  <c r="AC102" i="5"/>
  <c r="F50" i="5"/>
  <c r="L25" i="5"/>
  <c r="N26" i="11"/>
  <c r="P26" i="11" s="1"/>
  <c r="T82" i="5"/>
  <c r="AX25" i="5"/>
  <c r="AP101" i="5"/>
  <c r="AR101" i="5" s="1"/>
  <c r="AP178" i="5"/>
  <c r="AR178" i="5" s="1"/>
  <c r="BB99" i="5"/>
  <c r="N12" i="5"/>
  <c r="H11" i="5"/>
  <c r="AP102" i="5"/>
  <c r="AR102" i="5" s="1"/>
  <c r="R42" i="5"/>
  <c r="F12" i="5"/>
  <c r="H149" i="5"/>
  <c r="AC101" i="5"/>
  <c r="AP191" i="5"/>
  <c r="AR191" i="5" s="1"/>
  <c r="AQ91" i="5"/>
  <c r="P25" i="5"/>
  <c r="R8" i="5"/>
  <c r="AC91" i="5"/>
  <c r="AX171" i="5"/>
  <c r="T197" i="5"/>
  <c r="J108" i="5"/>
  <c r="AC9" i="5"/>
  <c r="AQ160" i="5"/>
  <c r="AT26" i="5"/>
  <c r="L75" i="5"/>
  <c r="N141" i="5"/>
  <c r="AQ190" i="5"/>
  <c r="N26" i="5"/>
  <c r="R151" i="5"/>
  <c r="L161" i="5"/>
  <c r="T161" i="5"/>
  <c r="AT113" i="5"/>
  <c r="AC190" i="5"/>
  <c r="J157" i="5"/>
  <c r="H42" i="5"/>
  <c r="R139" i="5"/>
  <c r="AC12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H9" i="5"/>
  <c r="N178" i="11"/>
  <c r="P178" i="11" s="1"/>
  <c r="AX119" i="5"/>
  <c r="J198" i="5"/>
  <c r="AC23" i="5"/>
  <c r="N51" i="11"/>
  <c r="P51" i="11" s="1"/>
  <c r="AP23" i="5"/>
  <c r="AR23" i="5" s="1"/>
  <c r="J105" i="5"/>
  <c r="L50" i="5"/>
  <c r="H165" i="5"/>
  <c r="AQ63" i="5"/>
  <c r="AC143" i="5"/>
  <c r="AP143" i="5"/>
  <c r="AR143" i="5" s="1"/>
  <c r="J149" i="5"/>
  <c r="H122" i="5"/>
  <c r="P26" i="5"/>
  <c r="BB180" i="5"/>
  <c r="N92" i="5"/>
  <c r="AP12" i="5"/>
  <c r="AR12" i="5" s="1"/>
  <c r="AT92" i="5"/>
  <c r="BB77" i="5"/>
  <c r="H141" i="5"/>
  <c r="AQ15" i="5"/>
  <c r="AP97" i="5"/>
  <c r="AR97" i="5" s="1"/>
  <c r="F108" i="5"/>
  <c r="AP15" i="5"/>
  <c r="AR15" i="5" s="1"/>
  <c r="F93" i="5"/>
  <c r="N124" i="5"/>
  <c r="AT89" i="5"/>
  <c r="N143" i="5"/>
  <c r="F143" i="5"/>
  <c r="R140" i="5"/>
  <c r="AT36" i="5"/>
  <c r="BB136" i="5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P142" i="5"/>
  <c r="AR142" i="5" s="1"/>
  <c r="H46" i="5"/>
  <c r="AC142" i="5"/>
  <c r="AC129" i="5"/>
  <c r="AQ141" i="5"/>
  <c r="H197" i="5"/>
  <c r="BB24" i="5"/>
  <c r="AC79" i="5"/>
  <c r="AQ79" i="5"/>
  <c r="AQ114" i="5"/>
  <c r="AT37" i="5"/>
  <c r="P107" i="5"/>
  <c r="P146" i="5"/>
  <c r="AQ48" i="5"/>
  <c r="R88" i="5"/>
  <c r="R94" i="5"/>
  <c r="J51" i="5"/>
  <c r="K201" i="11"/>
  <c r="M201" i="11" s="1"/>
  <c r="H114" i="5"/>
  <c r="AX146" i="5"/>
  <c r="AQ44" i="5"/>
  <c r="AP44" i="5"/>
  <c r="AR44" i="5" s="1"/>
  <c r="F15" i="5"/>
  <c r="R141" i="5"/>
  <c r="N182" i="5"/>
  <c r="N200" i="5"/>
  <c r="R27" i="5"/>
  <c r="R177" i="5"/>
  <c r="F169" i="5"/>
  <c r="R129" i="5"/>
  <c r="J93" i="5"/>
  <c r="J62" i="5"/>
  <c r="R57" i="5"/>
  <c r="H146" i="5"/>
  <c r="P171" i="5"/>
  <c r="N95" i="5"/>
  <c r="F95" i="5"/>
  <c r="F8" i="5"/>
  <c r="P55" i="5"/>
  <c r="R108" i="5"/>
  <c r="AC172" i="5"/>
  <c r="P175" i="5"/>
  <c r="P22" i="5"/>
  <c r="R28" i="5"/>
  <c r="N138" i="5"/>
  <c r="J28" i="5"/>
  <c r="R93" i="5"/>
  <c r="P97" i="5"/>
  <c r="K81" i="11"/>
  <c r="M81" i="11" s="1"/>
  <c r="R41" i="5"/>
  <c r="L27" i="5"/>
  <c r="BB178" i="5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R82" i="5"/>
  <c r="R182" i="5"/>
  <c r="AX5" i="5"/>
  <c r="R78" i="5"/>
  <c r="F55" i="5"/>
  <c r="AQ28" i="5"/>
  <c r="J47" i="5"/>
  <c r="AP28" i="5"/>
  <c r="AR28" i="5" s="1"/>
  <c r="BB86" i="5"/>
  <c r="J23" i="5"/>
  <c r="F56" i="5"/>
  <c r="P50" i="5"/>
  <c r="R14" i="5"/>
  <c r="J106" i="5"/>
  <c r="R147" i="5"/>
  <c r="R184" i="5"/>
  <c r="R164" i="5"/>
  <c r="J122" i="5"/>
  <c r="F51" i="5"/>
  <c r="AT78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L114" i="5"/>
  <c r="BB90" i="5"/>
  <c r="AP196" i="5"/>
  <c r="AR196" i="5" s="1"/>
  <c r="N100" i="5"/>
  <c r="R122" i="5"/>
  <c r="AQ49" i="5"/>
  <c r="AQ196" i="5"/>
  <c r="H27" i="5"/>
  <c r="AQ175" i="5"/>
  <c r="L46" i="5"/>
  <c r="J95" i="5"/>
  <c r="AQ92" i="5"/>
  <c r="T46" i="5"/>
  <c r="AP20" i="5"/>
  <c r="AR20" i="5" s="1"/>
  <c r="R149" i="5"/>
  <c r="H201" i="11"/>
  <c r="J201" i="11" s="1"/>
  <c r="H109" i="5"/>
  <c r="J33" i="5"/>
  <c r="AC62" i="5"/>
  <c r="AP62" i="5"/>
  <c r="AR62" i="5" s="1"/>
  <c r="AX53" i="5"/>
  <c r="N177" i="5"/>
  <c r="AX128" i="5"/>
  <c r="AX27" i="5"/>
  <c r="P102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T141" i="5"/>
  <c r="L72" i="5"/>
  <c r="F28" i="5"/>
  <c r="BB104" i="5"/>
  <c r="AX46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C177" i="5"/>
  <c r="N121" i="5"/>
  <c r="AC86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R146" i="5"/>
  <c r="N191" i="5"/>
  <c r="AC92" i="5"/>
  <c r="AQ191" i="5"/>
  <c r="AQ135" i="5"/>
  <c r="R165" i="5"/>
  <c r="BB165" i="5"/>
  <c r="H56" i="5"/>
  <c r="P94" i="5"/>
  <c r="R166" i="5"/>
  <c r="R50" i="5"/>
  <c r="AT52" i="5"/>
  <c r="AX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R105" i="5"/>
  <c r="AT177" i="5"/>
  <c r="F147" i="5"/>
  <c r="AX15" i="5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X58" i="5"/>
  <c r="AX117" i="5"/>
  <c r="H107" i="5"/>
  <c r="H47" i="5"/>
  <c r="F171" i="5"/>
  <c r="F159" i="5"/>
  <c r="N122" i="5"/>
  <c r="P106" i="5"/>
  <c r="BB76" i="5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AP160" i="5"/>
  <c r="AR160" i="5" s="1"/>
  <c r="R7" i="5"/>
  <c r="F14" i="5"/>
  <c r="AP125" i="5"/>
  <c r="AR125" i="5" s="1"/>
  <c r="AC88" i="5"/>
  <c r="J114" i="5"/>
  <c r="AC115" i="5"/>
  <c r="AC125" i="5"/>
  <c r="N96" i="5"/>
  <c r="BB112" i="5"/>
  <c r="N148" i="11"/>
  <c r="P148" i="11" s="1"/>
  <c r="AQ115" i="5"/>
  <c r="AC114" i="5"/>
  <c r="AC198" i="5"/>
  <c r="AP198" i="5"/>
  <c r="AR198" i="5" s="1"/>
  <c r="F149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L43" i="5"/>
  <c r="F70" i="5"/>
  <c r="N158" i="5"/>
  <c r="H120" i="5"/>
  <c r="H52" i="5"/>
  <c r="AT88" i="5"/>
  <c r="N87" i="5"/>
  <c r="F116" i="5"/>
  <c r="AQ146" i="5"/>
  <c r="N88" i="5"/>
  <c r="AC64" i="5"/>
  <c r="AT172" i="5"/>
  <c r="AP29" i="5"/>
  <c r="AR29" i="5" s="1"/>
  <c r="AC29" i="5"/>
  <c r="F44" i="5"/>
  <c r="P48" i="5"/>
  <c r="AP199" i="5"/>
  <c r="AR199" i="5" s="1"/>
  <c r="F87" i="5"/>
  <c r="AC175" i="5"/>
  <c r="F185" i="5"/>
  <c r="BB102" i="5"/>
  <c r="AX64" i="5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C192" i="5"/>
  <c r="J159" i="5"/>
  <c r="N78" i="5"/>
  <c r="F153" i="5"/>
  <c r="F101" i="5"/>
  <c r="AX7" i="5"/>
  <c r="P186" i="5"/>
  <c r="F156" i="5"/>
  <c r="AX96" i="5"/>
  <c r="F52" i="5"/>
  <c r="AC162" i="5"/>
  <c r="AP162" i="5"/>
  <c r="AR162" i="5" s="1"/>
  <c r="J22" i="5"/>
  <c r="N148" i="5"/>
  <c r="AT148" i="5"/>
  <c r="F2" i="5"/>
  <c r="J87" i="5"/>
  <c r="AT2" i="5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AQ199" i="5"/>
  <c r="AX161" i="5"/>
  <c r="J66" i="5"/>
  <c r="AX180" i="5"/>
  <c r="F22" i="5"/>
  <c r="F47" i="5"/>
  <c r="H37" i="5"/>
  <c r="R128" i="5"/>
  <c r="R159" i="5"/>
  <c r="J185" i="5"/>
  <c r="F176" i="5"/>
  <c r="BB124" i="5"/>
  <c r="AX134" i="5"/>
  <c r="N54" i="5"/>
  <c r="J128" i="5"/>
  <c r="AC200" i="5"/>
  <c r="AP200" i="5"/>
  <c r="AR200" i="5" s="1"/>
  <c r="AX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BB31" i="5"/>
  <c r="AP179" i="5"/>
  <c r="AR179" i="5" s="1"/>
  <c r="AC179" i="5"/>
  <c r="H152" i="5"/>
  <c r="J2" i="5"/>
  <c r="D45" i="14"/>
  <c r="AT91" i="5"/>
  <c r="N91" i="5"/>
  <c r="J152" i="5"/>
  <c r="P17" i="5"/>
  <c r="R64" i="5"/>
  <c r="H138" i="5"/>
  <c r="AX70" i="5"/>
  <c r="AX151" i="5"/>
  <c r="T97" i="5"/>
  <c r="N98" i="11"/>
  <c r="P98" i="11" s="1"/>
  <c r="AX154" i="5"/>
  <c r="AX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P127" i="5"/>
  <c r="J195" i="5"/>
  <c r="J7" i="5"/>
  <c r="R178" i="5"/>
  <c r="AP19" i="5"/>
  <c r="AR19" i="5" s="1"/>
  <c r="AC19" i="5"/>
  <c r="AC100" i="5"/>
  <c r="AP100" i="5"/>
  <c r="AR100" i="5" s="1"/>
  <c r="AT130" i="5"/>
  <c r="AX69" i="5"/>
  <c r="R134" i="5"/>
  <c r="F199" i="5"/>
  <c r="BB65" i="5"/>
  <c r="AP85" i="5"/>
  <c r="AR85" i="5" s="1"/>
  <c r="AC85" i="5"/>
  <c r="AQ85" i="5"/>
  <c r="AT103" i="5"/>
  <c r="AX102" i="5"/>
  <c r="BB41" i="5"/>
  <c r="AX65" i="5"/>
  <c r="AX160" i="5"/>
  <c r="AT154" i="5"/>
  <c r="AP103" i="5"/>
  <c r="AR103" i="5" s="1"/>
  <c r="AC103" i="5"/>
  <c r="AX97" i="5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J191" i="5"/>
  <c r="AX162" i="5"/>
  <c r="BB61" i="5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P141" i="5"/>
  <c r="AT97" i="5"/>
  <c r="N97" i="5"/>
  <c r="N156" i="11"/>
  <c r="P156" i="11" s="1"/>
  <c r="T155" i="5"/>
  <c r="BB59" i="5"/>
  <c r="R59" i="5"/>
  <c r="AX18" i="5"/>
  <c r="P18" i="5"/>
  <c r="F64" i="5"/>
  <c r="N23" i="11"/>
  <c r="P23" i="11" s="1"/>
  <c r="T22" i="5"/>
  <c r="AP110" i="5"/>
  <c r="AR110" i="5" s="1"/>
  <c r="AQ110" i="5"/>
  <c r="AC110" i="5"/>
  <c r="AX37" i="5"/>
  <c r="P37" i="5"/>
  <c r="R23" i="5"/>
  <c r="BB23" i="5"/>
  <c r="AC112" i="5"/>
  <c r="AP112" i="5"/>
  <c r="AR112" i="5" s="1"/>
  <c r="AQ112" i="5"/>
  <c r="P52" i="5"/>
  <c r="AX52" i="5"/>
  <c r="BB74" i="5"/>
  <c r="R74" i="5"/>
  <c r="N103" i="11"/>
  <c r="P103" i="11" s="1"/>
  <c r="T102" i="5"/>
  <c r="AQ40" i="5"/>
  <c r="AC40" i="5"/>
  <c r="AP40" i="5"/>
  <c r="AR40" i="5" s="1"/>
  <c r="AT163" i="5"/>
  <c r="N163" i="5"/>
  <c r="J175" i="5"/>
  <c r="AC27" i="5"/>
  <c r="AP27" i="5"/>
  <c r="AR27" i="5" s="1"/>
  <c r="AQ27" i="5"/>
  <c r="P198" i="9"/>
  <c r="AX54" i="5"/>
  <c r="P54" i="5"/>
  <c r="AT74" i="5"/>
  <c r="N74" i="5"/>
  <c r="P181" i="9"/>
  <c r="AT76" i="5"/>
  <c r="N76" i="5"/>
  <c r="AP50" i="5"/>
  <c r="AR50" i="5" s="1"/>
  <c r="AC50" i="5"/>
  <c r="AQ50" i="5"/>
  <c r="P16" i="9"/>
  <c r="N190" i="11"/>
  <c r="P190" i="11" s="1"/>
  <c r="T189" i="5"/>
  <c r="AT81" i="5"/>
  <c r="N81" i="5"/>
  <c r="R123" i="5"/>
  <c r="K124" i="11"/>
  <c r="M124" i="11" s="1"/>
  <c r="AX197" i="5"/>
  <c r="P197" i="5"/>
  <c r="N137" i="5"/>
  <c r="AT137" i="5"/>
  <c r="AX24" i="5"/>
  <c r="P24" i="5"/>
  <c r="N153" i="11"/>
  <c r="P153" i="11" s="1"/>
  <c r="T152" i="5"/>
  <c r="N29" i="5"/>
  <c r="AT29" i="5"/>
  <c r="AP167" i="5"/>
  <c r="AR167" i="5" s="1"/>
  <c r="AC167" i="5"/>
  <c r="AQ167" i="5"/>
  <c r="P37" i="9"/>
  <c r="R16" i="5"/>
  <c r="BB16" i="5"/>
  <c r="T144" i="5"/>
  <c r="L144" i="5"/>
  <c r="N145" i="11"/>
  <c r="P145" i="11" s="1"/>
  <c r="AT178" i="5"/>
  <c r="N178" i="5"/>
  <c r="AT174" i="5"/>
  <c r="N174" i="5"/>
  <c r="AX21" i="5"/>
  <c r="P21" i="5"/>
  <c r="AQ145" i="5"/>
  <c r="AP145" i="5"/>
  <c r="AR145" i="5" s="1"/>
  <c r="AC145" i="5"/>
  <c r="AT134" i="5"/>
  <c r="N134" i="5"/>
  <c r="E261" i="14"/>
  <c r="BB2" i="5"/>
  <c r="R2" i="5"/>
  <c r="P197" i="9"/>
  <c r="P136" i="5"/>
  <c r="AX136" i="5"/>
  <c r="AC99" i="5"/>
  <c r="AQ99" i="5"/>
  <c r="AP99" i="5"/>
  <c r="AR99" i="5" s="1"/>
  <c r="AT169" i="5"/>
  <c r="N169" i="5"/>
  <c r="E41" i="11"/>
  <c r="G41" i="11" s="1"/>
  <c r="F40" i="5"/>
  <c r="P108" i="5"/>
  <c r="AX108" i="5"/>
  <c r="AX198" i="5"/>
  <c r="P198" i="5"/>
  <c r="AT199" i="5"/>
  <c r="N199" i="5"/>
  <c r="N44" i="5"/>
  <c r="AT44" i="5"/>
  <c r="J155" i="5"/>
  <c r="AX168" i="5"/>
  <c r="P168" i="5"/>
  <c r="H102" i="11"/>
  <c r="J102" i="11" s="1"/>
  <c r="H101" i="5"/>
  <c r="T84" i="5"/>
  <c r="N85" i="11"/>
  <c r="P85" i="11" s="1"/>
  <c r="AT139" i="5"/>
  <c r="N139" i="5"/>
  <c r="BB199" i="5"/>
  <c r="R199" i="5"/>
  <c r="D19" i="15"/>
  <c r="E46" i="20" s="1"/>
  <c r="H156" i="5"/>
  <c r="AT16" i="5"/>
  <c r="N16" i="5"/>
  <c r="L102" i="5"/>
  <c r="E173" i="11"/>
  <c r="G173" i="11" s="1"/>
  <c r="N172" i="5"/>
  <c r="K5" i="11"/>
  <c r="M5" i="11" s="1"/>
  <c r="J4" i="5"/>
  <c r="N84" i="5"/>
  <c r="AT84" i="5"/>
  <c r="B29" i="14"/>
  <c r="B12" i="15"/>
  <c r="AT67" i="5"/>
  <c r="N67" i="5"/>
  <c r="J90" i="5"/>
  <c r="K91" i="11"/>
  <c r="M91" i="11" s="1"/>
  <c r="N161" i="5"/>
  <c r="AT161" i="5"/>
  <c r="AT187" i="5"/>
  <c r="N187" i="5"/>
  <c r="AT196" i="5"/>
  <c r="N196" i="5"/>
  <c r="P130" i="5"/>
  <c r="AX130" i="5"/>
  <c r="R92" i="5"/>
  <c r="AC116" i="5"/>
  <c r="AQ116" i="5"/>
  <c r="AP116" i="5"/>
  <c r="AR116" i="5" s="1"/>
  <c r="BB38" i="5"/>
  <c r="R38" i="5"/>
  <c r="N3" i="5"/>
  <c r="AT3" i="5"/>
  <c r="AC113" i="5"/>
  <c r="AQ113" i="5"/>
  <c r="AP113" i="5"/>
  <c r="AR113" i="5" s="1"/>
  <c r="P177" i="5"/>
  <c r="AX177" i="5"/>
  <c r="H4" i="11"/>
  <c r="J4" i="11" s="1"/>
  <c r="H3" i="5"/>
  <c r="BB17" i="5"/>
  <c r="R17" i="5"/>
  <c r="N113" i="11"/>
  <c r="P113" i="11" s="1"/>
  <c r="T112" i="5"/>
  <c r="F37" i="5"/>
  <c r="BB54" i="5"/>
  <c r="R54" i="5"/>
  <c r="P87" i="5"/>
  <c r="AX87" i="5"/>
  <c r="P64" i="9"/>
  <c r="AC81" i="5"/>
  <c r="AQ81" i="5"/>
  <c r="AP81" i="5"/>
  <c r="AR81" i="5" s="1"/>
  <c r="R197" i="5"/>
  <c r="BB197" i="5"/>
  <c r="AT153" i="5"/>
  <c r="N153" i="5"/>
  <c r="R161" i="5"/>
  <c r="BB161" i="5"/>
  <c r="AX29" i="5"/>
  <c r="P29" i="5"/>
  <c r="AX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N21" i="5"/>
  <c r="AT21" i="5"/>
  <c r="R195" i="5"/>
  <c r="BB195" i="5"/>
  <c r="N145" i="5"/>
  <c r="AT145" i="5"/>
  <c r="AP134" i="5"/>
  <c r="AR134" i="5" s="1"/>
  <c r="AC134" i="5"/>
  <c r="AQ134" i="5"/>
  <c r="AT106" i="5"/>
  <c r="N106" i="5"/>
  <c r="AT123" i="5"/>
  <c r="N123" i="5"/>
  <c r="P116" i="5"/>
  <c r="AX116" i="5"/>
  <c r="AT198" i="5"/>
  <c r="N198" i="5"/>
  <c r="N48" i="11"/>
  <c r="P48" i="11" s="1"/>
  <c r="T47" i="5"/>
  <c r="P179" i="9"/>
  <c r="P101" i="5"/>
  <c r="AX101" i="5"/>
  <c r="P44" i="5"/>
  <c r="AX44" i="5"/>
  <c r="L155" i="5"/>
  <c r="K72" i="11"/>
  <c r="M72" i="11" s="1"/>
  <c r="J71" i="5"/>
  <c r="BB114" i="5"/>
  <c r="R114" i="5"/>
  <c r="T156" i="5"/>
  <c r="N157" i="11"/>
  <c r="P157" i="11" s="1"/>
  <c r="R168" i="5"/>
  <c r="BB168" i="5"/>
  <c r="AT190" i="5"/>
  <c r="N190" i="5"/>
  <c r="P139" i="5"/>
  <c r="AX139" i="5"/>
  <c r="J127" i="5"/>
  <c r="AX153" i="5"/>
  <c r="P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P176" i="5"/>
  <c r="C204" i="1"/>
  <c r="AP67" i="5"/>
  <c r="AR67" i="5" s="1"/>
  <c r="AQ67" i="5"/>
  <c r="AC67" i="5"/>
  <c r="P51" i="5"/>
  <c r="AX51" i="5"/>
  <c r="BB66" i="5"/>
  <c r="R66" i="5"/>
  <c r="AT165" i="5"/>
  <c r="N165" i="5"/>
  <c r="P187" i="5"/>
  <c r="AX187" i="5"/>
  <c r="N112" i="5"/>
  <c r="BB142" i="5"/>
  <c r="R142" i="5"/>
  <c r="F150" i="5"/>
  <c r="AP89" i="5"/>
  <c r="AR89" i="5" s="1"/>
  <c r="AC89" i="5"/>
  <c r="AQ89" i="5"/>
  <c r="R76" i="5"/>
  <c r="BB34" i="5"/>
  <c r="R34" i="5"/>
  <c r="AX196" i="5"/>
  <c r="P196" i="5"/>
  <c r="BB130" i="5"/>
  <c r="R130" i="5"/>
  <c r="N136" i="5"/>
  <c r="P135" i="5"/>
  <c r="AX135" i="5"/>
  <c r="BB175" i="5"/>
  <c r="R175" i="5"/>
  <c r="AX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P121" i="5"/>
  <c r="AX121" i="5"/>
  <c r="P195" i="5"/>
  <c r="AX195" i="5"/>
  <c r="AT184" i="5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R36" i="5"/>
  <c r="AQ155" i="5"/>
  <c r="AP155" i="5"/>
  <c r="AR155" i="5" s="1"/>
  <c r="AC155" i="5"/>
  <c r="N72" i="11"/>
  <c r="P72" i="11" s="1"/>
  <c r="T71" i="5"/>
  <c r="AT111" i="5"/>
  <c r="N111" i="5"/>
  <c r="K85" i="11"/>
  <c r="M85" i="11" s="1"/>
  <c r="J84" i="5"/>
  <c r="P190" i="5"/>
  <c r="AX190" i="5"/>
  <c r="F127" i="5"/>
  <c r="AT194" i="5"/>
  <c r="N194" i="5"/>
  <c r="AX138" i="5"/>
  <c r="P138" i="5"/>
  <c r="AP182" i="5"/>
  <c r="AR182" i="5" s="1"/>
  <c r="AC182" i="5"/>
  <c r="AQ182" i="5"/>
  <c r="AT11" i="5"/>
  <c r="N11" i="5"/>
  <c r="R176" i="5"/>
  <c r="BB176" i="5"/>
  <c r="N154" i="5"/>
  <c r="E155" i="11"/>
  <c r="G155" i="11" s="1"/>
  <c r="D204" i="1"/>
  <c r="BB51" i="5"/>
  <c r="R51" i="5"/>
  <c r="H170" i="5"/>
  <c r="H171" i="11"/>
  <c r="J171" i="11" s="1"/>
  <c r="AX66" i="5"/>
  <c r="P66" i="5"/>
  <c r="K57" i="11"/>
  <c r="M57" i="11" s="1"/>
  <c r="R56" i="5"/>
  <c r="AT164" i="5"/>
  <c r="N164" i="5"/>
  <c r="F76" i="5"/>
  <c r="N105" i="5"/>
  <c r="N71" i="5"/>
  <c r="AT71" i="5"/>
  <c r="P58" i="5"/>
  <c r="N93" i="11"/>
  <c r="P93" i="11" s="1"/>
  <c r="T92" i="5"/>
  <c r="P34" i="5"/>
  <c r="AX34" i="5"/>
  <c r="N52" i="5"/>
  <c r="N144" i="11"/>
  <c r="P144" i="11" s="1"/>
  <c r="T143" i="5"/>
  <c r="AT23" i="5"/>
  <c r="N23" i="5"/>
  <c r="P46" i="9"/>
  <c r="BB131" i="5"/>
  <c r="R131" i="5"/>
  <c r="N31" i="5"/>
  <c r="AT31" i="5"/>
  <c r="P158" i="5"/>
  <c r="AX158" i="5"/>
  <c r="AQ13" i="5"/>
  <c r="AP13" i="5"/>
  <c r="AR13" i="5" s="1"/>
  <c r="AC13" i="5"/>
  <c r="H2" i="5"/>
  <c r="E260" i="14"/>
  <c r="P2" i="5"/>
  <c r="AX2" i="5"/>
  <c r="T18" i="5"/>
  <c r="N19" i="11"/>
  <c r="P19" i="11" s="1"/>
  <c r="N64" i="5"/>
  <c r="AT64" i="5"/>
  <c r="R6" i="5"/>
  <c r="BB6" i="5"/>
  <c r="AX126" i="5"/>
  <c r="P126" i="5"/>
  <c r="AT155" i="5"/>
  <c r="N155" i="5"/>
  <c r="P132" i="9"/>
  <c r="N151" i="5"/>
  <c r="AT151" i="5"/>
  <c r="R121" i="5"/>
  <c r="BB121" i="5"/>
  <c r="AX57" i="5"/>
  <c r="P57" i="5"/>
  <c r="P184" i="5"/>
  <c r="AX184" i="5"/>
  <c r="T61" i="5"/>
  <c r="N62" i="11"/>
  <c r="P62" i="11" s="1"/>
  <c r="AX122" i="5"/>
  <c r="P122" i="5"/>
  <c r="AX156" i="5"/>
  <c r="P156" i="5"/>
  <c r="AQ197" i="5"/>
  <c r="AP197" i="5"/>
  <c r="AR197" i="5" s="1"/>
  <c r="AC197" i="5"/>
  <c r="AQ107" i="5"/>
  <c r="AP107" i="5"/>
  <c r="AR107" i="5" s="1"/>
  <c r="AC107" i="5"/>
  <c r="P147" i="5"/>
  <c r="AX147" i="5"/>
  <c r="AT34" i="5"/>
  <c r="N34" i="5"/>
  <c r="P36" i="5"/>
  <c r="AX36" i="5"/>
  <c r="P104" i="5"/>
  <c r="AX104" i="5"/>
  <c r="E72" i="11"/>
  <c r="G72" i="11" s="1"/>
  <c r="F71" i="5"/>
  <c r="P111" i="5"/>
  <c r="AX111" i="5"/>
  <c r="AX93" i="5"/>
  <c r="P93" i="5"/>
  <c r="H193" i="5"/>
  <c r="AX109" i="5"/>
  <c r="P109" i="5"/>
  <c r="N154" i="11"/>
  <c r="P154" i="11" s="1"/>
  <c r="L153" i="5"/>
  <c r="T153" i="5"/>
  <c r="AX9" i="5"/>
  <c r="P9" i="5"/>
  <c r="H127" i="5"/>
  <c r="P194" i="5"/>
  <c r="AX194" i="5"/>
  <c r="BB138" i="5"/>
  <c r="R138" i="5"/>
  <c r="AT86" i="5"/>
  <c r="N86" i="5"/>
  <c r="N88" i="11"/>
  <c r="P88" i="11" s="1"/>
  <c r="T87" i="5"/>
  <c r="AP5" i="5"/>
  <c r="AR5" i="5" s="1"/>
  <c r="AQ5" i="5"/>
  <c r="AC5" i="5"/>
  <c r="AX11" i="5"/>
  <c r="P11" i="5"/>
  <c r="R198" i="5"/>
  <c r="BB198" i="5"/>
  <c r="E204" i="1"/>
  <c r="P60" i="5"/>
  <c r="AX60" i="5"/>
  <c r="AX89" i="5"/>
  <c r="P89" i="5"/>
  <c r="F84" i="5"/>
  <c r="AX164" i="5"/>
  <c r="P164" i="5"/>
  <c r="AX71" i="5"/>
  <c r="P71" i="5"/>
  <c r="R167" i="5"/>
  <c r="BB167" i="5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N114" i="5"/>
  <c r="P62" i="5"/>
  <c r="AX62" i="5"/>
  <c r="AX23" i="5"/>
  <c r="P23" i="5"/>
  <c r="AX14" i="5"/>
  <c r="P14" i="5"/>
  <c r="AC8" i="5"/>
  <c r="AQ8" i="5"/>
  <c r="AP8" i="5"/>
  <c r="AR8" i="5" s="1"/>
  <c r="N48" i="5"/>
  <c r="AT48" i="5"/>
  <c r="AX95" i="5"/>
  <c r="P95" i="5"/>
  <c r="P143" i="9"/>
  <c r="AX31" i="5"/>
  <c r="P31" i="5"/>
  <c r="N176" i="11"/>
  <c r="P176" i="11" s="1"/>
  <c r="T175" i="5"/>
  <c r="BB158" i="5"/>
  <c r="R158" i="5"/>
  <c r="N37" i="5"/>
  <c r="P76" i="5"/>
  <c r="AX76" i="5"/>
  <c r="L22" i="5"/>
  <c r="BB79" i="5"/>
  <c r="R79" i="5"/>
  <c r="AT175" i="5"/>
  <c r="N175" i="5"/>
  <c r="P6" i="5"/>
  <c r="AX6" i="5"/>
  <c r="R126" i="5"/>
  <c r="BB126" i="5"/>
  <c r="R188" i="5"/>
  <c r="BB188" i="5"/>
  <c r="P76" i="9"/>
  <c r="AP151" i="5"/>
  <c r="AR151" i="5" s="1"/>
  <c r="AC151" i="5"/>
  <c r="AQ151" i="5"/>
  <c r="N77" i="11"/>
  <c r="P77" i="11" s="1"/>
  <c r="T76" i="5"/>
  <c r="L76" i="5"/>
  <c r="P35" i="9"/>
  <c r="AT57" i="5"/>
  <c r="N57" i="5"/>
  <c r="H41" i="11"/>
  <c r="J41" i="11" s="1"/>
  <c r="H40" i="5"/>
  <c r="AX42" i="5"/>
  <c r="P42" i="5"/>
  <c r="N197" i="5"/>
  <c r="AT197" i="5"/>
  <c r="AX98" i="5"/>
  <c r="P98" i="5"/>
  <c r="N179" i="11"/>
  <c r="P179" i="11" s="1"/>
  <c r="T178" i="5"/>
  <c r="AT107" i="5"/>
  <c r="N107" i="5"/>
  <c r="N41" i="5"/>
  <c r="AT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T104" i="5"/>
  <c r="R185" i="5"/>
  <c r="BB185" i="5"/>
  <c r="K117" i="11"/>
  <c r="M117" i="11" s="1"/>
  <c r="J116" i="5"/>
  <c r="N93" i="5"/>
  <c r="AT93" i="5"/>
  <c r="J193" i="5"/>
  <c r="N109" i="5"/>
  <c r="AT109" i="5"/>
  <c r="AT9" i="5"/>
  <c r="N9" i="5"/>
  <c r="L127" i="5"/>
  <c r="D17" i="15"/>
  <c r="E44" i="20" s="1"/>
  <c r="N151" i="11"/>
  <c r="P151" i="11" s="1"/>
  <c r="T150" i="5"/>
  <c r="N5" i="5"/>
  <c r="AT5" i="5"/>
  <c r="BB186" i="5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R60" i="5"/>
  <c r="J178" i="5"/>
  <c r="R116" i="5"/>
  <c r="P193" i="5"/>
  <c r="AX173" i="5"/>
  <c r="P173" i="5"/>
  <c r="BB35" i="5"/>
  <c r="R35" i="5"/>
  <c r="AX167" i="5"/>
  <c r="P167" i="5"/>
  <c r="H168" i="11"/>
  <c r="J168" i="11" s="1"/>
  <c r="H167" i="5"/>
  <c r="N168" i="11"/>
  <c r="P168" i="11" s="1"/>
  <c r="T167" i="5"/>
  <c r="AT118" i="5"/>
  <c r="N118" i="5"/>
  <c r="N123" i="11"/>
  <c r="P123" i="11" s="1"/>
  <c r="T122" i="5"/>
  <c r="N168" i="5"/>
  <c r="AT168" i="5"/>
  <c r="F189" i="5"/>
  <c r="P79" i="5"/>
  <c r="AX79" i="5"/>
  <c r="AT62" i="5"/>
  <c r="N62" i="5"/>
  <c r="K144" i="11"/>
  <c r="M144" i="11" s="1"/>
  <c r="R143" i="5"/>
  <c r="F134" i="5"/>
  <c r="R112" i="5"/>
  <c r="AT14" i="5"/>
  <c r="N14" i="5"/>
  <c r="AT42" i="5"/>
  <c r="N42" i="5"/>
  <c r="K62" i="11"/>
  <c r="M62" i="11" s="1"/>
  <c r="R61" i="5"/>
  <c r="R85" i="5"/>
  <c r="BB85" i="5"/>
  <c r="N98" i="5"/>
  <c r="AT98" i="5"/>
  <c r="BB183" i="5"/>
  <c r="R183" i="5"/>
  <c r="AC41" i="5"/>
  <c r="AP41" i="5"/>
  <c r="AR41" i="5" s="1"/>
  <c r="AQ41" i="5"/>
  <c r="BB89" i="5"/>
  <c r="R89" i="5"/>
  <c r="E258" i="14"/>
  <c r="AP2" i="5"/>
  <c r="AR2" i="5" s="1"/>
  <c r="AQ2" i="5"/>
  <c r="AC2" i="5"/>
  <c r="N120" i="5"/>
  <c r="AT120" i="5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P33" i="5"/>
  <c r="H176" i="5"/>
  <c r="AT129" i="5"/>
  <c r="N129" i="5"/>
  <c r="P189" i="5"/>
  <c r="AX189" i="5"/>
  <c r="P200" i="9"/>
  <c r="G204" i="1"/>
  <c r="AT94" i="5"/>
  <c r="N94" i="5"/>
  <c r="H178" i="5"/>
  <c r="N163" i="11"/>
  <c r="P163" i="11" s="1"/>
  <c r="T162" i="5"/>
  <c r="N173" i="5"/>
  <c r="AT173" i="5"/>
  <c r="AX35" i="5"/>
  <c r="P35" i="5"/>
  <c r="P64" i="5"/>
  <c r="P151" i="9"/>
  <c r="P118" i="5"/>
  <c r="AX118" i="5"/>
  <c r="F191" i="5"/>
  <c r="R90" i="5"/>
  <c r="AX103" i="5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N79" i="5"/>
  <c r="P195" i="9"/>
  <c r="AX91" i="5"/>
  <c r="P91" i="5"/>
  <c r="R191" i="5"/>
  <c r="BB191" i="5"/>
  <c r="P136" i="9"/>
  <c r="AX152" i="5"/>
  <c r="P152" i="5"/>
  <c r="H117" i="11"/>
  <c r="J117" i="11" s="1"/>
  <c r="H116" i="5"/>
  <c r="AT193" i="5"/>
  <c r="N193" i="5"/>
  <c r="H155" i="11"/>
  <c r="J155" i="11" s="1"/>
  <c r="P154" i="5"/>
  <c r="AX155" i="5"/>
  <c r="P155" i="5"/>
  <c r="H199" i="5"/>
  <c r="B22" i="15"/>
  <c r="C49" i="20" s="1"/>
  <c r="D16" i="15"/>
  <c r="E43" i="20" s="1"/>
  <c r="R33" i="5"/>
  <c r="BB33" i="5"/>
  <c r="P129" i="5"/>
  <c r="AX129" i="5"/>
  <c r="P120" i="9"/>
  <c r="BB189" i="5"/>
  <c r="R189" i="5"/>
  <c r="H36" i="5"/>
  <c r="P194" i="9"/>
  <c r="N125" i="5"/>
  <c r="AT125" i="5"/>
  <c r="N149" i="5"/>
  <c r="AT149" i="5"/>
  <c r="B6" i="15"/>
  <c r="F16" i="3"/>
  <c r="N24" i="5"/>
  <c r="AT24" i="5"/>
  <c r="AQ83" i="5"/>
  <c r="AC83" i="5"/>
  <c r="AP83" i="5"/>
  <c r="AR83" i="5" s="1"/>
  <c r="F178" i="5"/>
  <c r="L71" i="5"/>
  <c r="AT159" i="5"/>
  <c r="N159" i="5"/>
  <c r="E163" i="11"/>
  <c r="G163" i="11" s="1"/>
  <c r="N162" i="5"/>
  <c r="AT117" i="5"/>
  <c r="N117" i="5"/>
  <c r="J138" i="5"/>
  <c r="N179" i="5"/>
  <c r="AT179" i="5"/>
  <c r="BB103" i="5"/>
  <c r="R103" i="5"/>
  <c r="P184" i="9"/>
  <c r="J134" i="5"/>
  <c r="BB91" i="5"/>
  <c r="R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P45" i="5"/>
  <c r="H8" i="11"/>
  <c r="J8" i="11" s="1"/>
  <c r="P7" i="5"/>
  <c r="AC188" i="5"/>
  <c r="AP188" i="5"/>
  <c r="AR188" i="5" s="1"/>
  <c r="AQ188" i="5"/>
  <c r="P11" i="9"/>
  <c r="R73" i="5"/>
  <c r="BB73" i="5"/>
  <c r="R152" i="5"/>
  <c r="BB152" i="5"/>
  <c r="BB148" i="5"/>
  <c r="R148" i="5"/>
  <c r="P19" i="5"/>
  <c r="AX19" i="5"/>
  <c r="N144" i="5"/>
  <c r="AT144" i="5"/>
  <c r="N119" i="5"/>
  <c r="AT119" i="5"/>
  <c r="AQ77" i="5"/>
  <c r="AP77" i="5"/>
  <c r="AR77" i="5" s="1"/>
  <c r="AC77" i="5"/>
  <c r="J170" i="5"/>
  <c r="N41" i="11"/>
  <c r="P41" i="11" s="1"/>
  <c r="T40" i="5"/>
  <c r="L40" i="5"/>
  <c r="R4" i="5"/>
  <c r="BB4" i="5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P150" i="5"/>
  <c r="H90" i="5"/>
  <c r="H91" i="11"/>
  <c r="J91" i="11" s="1"/>
  <c r="J199" i="5"/>
  <c r="AT20" i="5"/>
  <c r="N20" i="5"/>
  <c r="D20" i="15"/>
  <c r="E47" i="20" s="1"/>
  <c r="N160" i="11"/>
  <c r="P160" i="11" s="1"/>
  <c r="L159" i="5"/>
  <c r="T159" i="5"/>
  <c r="AT70" i="5"/>
  <c r="N70" i="5"/>
  <c r="J176" i="5"/>
  <c r="AX86" i="5"/>
  <c r="P86" i="5"/>
  <c r="J36" i="5"/>
  <c r="AQ156" i="5"/>
  <c r="AC156" i="5"/>
  <c r="AP156" i="5"/>
  <c r="AR156" i="5" s="1"/>
  <c r="J156" i="5"/>
  <c r="P149" i="5"/>
  <c r="AX149" i="5"/>
  <c r="P72" i="9"/>
  <c r="N24" i="11"/>
  <c r="P24" i="11" s="1"/>
  <c r="T23" i="5"/>
  <c r="AP24" i="5"/>
  <c r="AR24" i="5" s="1"/>
  <c r="AQ24" i="5"/>
  <c r="AC24" i="5"/>
  <c r="P159" i="5"/>
  <c r="AX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P179" i="5"/>
  <c r="N72" i="5"/>
  <c r="R111" i="5"/>
  <c r="P170" i="5"/>
  <c r="AX170" i="5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T38" i="5"/>
  <c r="N38" i="5"/>
  <c r="E8" i="11"/>
  <c r="G8" i="11" s="1"/>
  <c r="N7" i="5"/>
  <c r="AX191" i="5"/>
  <c r="P191" i="5"/>
  <c r="P138" i="9"/>
  <c r="BB115" i="5"/>
  <c r="R115" i="5"/>
  <c r="N4" i="11"/>
  <c r="P4" i="11" s="1"/>
  <c r="T3" i="5"/>
  <c r="L3" i="5"/>
  <c r="P183" i="5"/>
  <c r="AX183" i="5"/>
  <c r="B10" i="15"/>
  <c r="W52" i="14"/>
  <c r="H13" i="15" s="1"/>
  <c r="C29" i="20" s="1"/>
  <c r="H10" i="15"/>
  <c r="AX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T45" i="5"/>
  <c r="N45" i="5"/>
  <c r="AQ186" i="5"/>
  <c r="AP186" i="5"/>
  <c r="AR186" i="5" s="1"/>
  <c r="AC186" i="5"/>
  <c r="AX30" i="5"/>
  <c r="P30" i="5"/>
  <c r="F7" i="5"/>
  <c r="AQ46" i="5"/>
  <c r="AP46" i="5"/>
  <c r="AR46" i="5" s="1"/>
  <c r="AC46" i="5"/>
  <c r="AX73" i="5"/>
  <c r="P73" i="5"/>
  <c r="R107" i="5"/>
  <c r="AQ157" i="5"/>
  <c r="AP157" i="5"/>
  <c r="AR157" i="5" s="1"/>
  <c r="AC157" i="5"/>
  <c r="AX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T77" i="5"/>
  <c r="P103" i="9"/>
  <c r="AX4" i="5"/>
  <c r="P4" i="5"/>
  <c r="AX20" i="5"/>
  <c r="P20" i="5"/>
  <c r="AP70" i="5"/>
  <c r="AR70" i="5" s="1"/>
  <c r="AC70" i="5"/>
  <c r="AQ70" i="5"/>
  <c r="R84" i="5"/>
  <c r="AT171" i="5"/>
  <c r="N171" i="5"/>
  <c r="P43" i="9"/>
  <c r="F36" i="5"/>
  <c r="N4" i="5"/>
  <c r="N156" i="5"/>
  <c r="AT156" i="5"/>
  <c r="AC195" i="5"/>
  <c r="AQ195" i="5"/>
  <c r="AP195" i="5"/>
  <c r="AR195" i="5" s="1"/>
  <c r="N91" i="11"/>
  <c r="P91" i="11" s="1"/>
  <c r="T90" i="5"/>
  <c r="BB3" i="5"/>
  <c r="R3" i="5"/>
  <c r="K163" i="11"/>
  <c r="M163" i="11" s="1"/>
  <c r="R162" i="5"/>
  <c r="BB135" i="5"/>
  <c r="R135" i="5"/>
  <c r="BB170" i="5"/>
  <c r="R170" i="5"/>
  <c r="N36" i="5"/>
  <c r="L191" i="5"/>
  <c r="AX43" i="5"/>
  <c r="P43" i="5"/>
  <c r="R46" i="5"/>
  <c r="BB46" i="5"/>
  <c r="BB117" i="5"/>
  <c r="R117" i="5"/>
  <c r="AP165" i="5"/>
  <c r="AR165" i="5" s="1"/>
  <c r="AC165" i="5"/>
  <c r="AQ165" i="5"/>
  <c r="P100" i="9"/>
  <c r="R37" i="5"/>
  <c r="BB37" i="5"/>
  <c r="P85" i="5"/>
  <c r="AX85" i="5"/>
  <c r="N19" i="5"/>
  <c r="AT19" i="5"/>
  <c r="H153" i="5"/>
  <c r="H154" i="11"/>
  <c r="J154" i="11" s="1"/>
  <c r="P107" i="9"/>
  <c r="K41" i="11"/>
  <c r="M41" i="11" s="1"/>
  <c r="J40" i="5"/>
  <c r="BB48" i="5"/>
  <c r="R48" i="5"/>
  <c r="BB12" i="5"/>
  <c r="R12" i="5"/>
  <c r="N38" i="11"/>
  <c r="P38" i="11" s="1"/>
  <c r="T37" i="5"/>
  <c r="BB95" i="5"/>
  <c r="R95" i="5"/>
  <c r="H18" i="5"/>
  <c r="P174" i="9"/>
  <c r="AX92" i="5"/>
  <c r="P92" i="5"/>
  <c r="AP122" i="5"/>
  <c r="AR122" i="5" s="1"/>
  <c r="AQ122" i="5"/>
  <c r="AC122" i="5"/>
  <c r="P12" i="5"/>
  <c r="AX12" i="5"/>
  <c r="J18" i="5"/>
  <c r="AT22" i="5"/>
  <c r="N22" i="5"/>
  <c r="AC95" i="5"/>
  <c r="AQ95" i="5"/>
  <c r="AP95" i="5"/>
  <c r="AR95" i="5" s="1"/>
  <c r="N189" i="5"/>
  <c r="H195" i="5"/>
  <c r="J112" i="5"/>
  <c r="N17" i="5"/>
  <c r="AT17" i="5"/>
  <c r="H17" i="5"/>
  <c r="P109" i="9"/>
  <c r="AT127" i="5"/>
  <c r="N127" i="5"/>
  <c r="P72" i="5"/>
  <c r="H73" i="11"/>
  <c r="J73" i="11" s="1"/>
  <c r="N65" i="11"/>
  <c r="P65" i="11" s="1"/>
  <c r="T64" i="5"/>
  <c r="AX47" i="5"/>
  <c r="P47" i="5"/>
  <c r="L18" i="5"/>
  <c r="AX112" i="5"/>
  <c r="P112" i="5"/>
  <c r="H64" i="5"/>
  <c r="P7" i="9"/>
  <c r="AT15" i="5"/>
  <c r="N15" i="5"/>
  <c r="P154" i="9"/>
  <c r="E103" i="11"/>
  <c r="G103" i="11" s="1"/>
  <c r="N102" i="5"/>
  <c r="F195" i="5"/>
  <c r="AT140" i="5"/>
  <c r="N140" i="5"/>
  <c r="AT166" i="5"/>
  <c r="N166" i="5"/>
  <c r="J111" i="5"/>
  <c r="AT40" i="5"/>
  <c r="N40" i="5"/>
  <c r="P47" i="9"/>
  <c r="L112" i="5"/>
  <c r="P149" i="9"/>
  <c r="N186" i="5"/>
  <c r="AT186" i="5"/>
  <c r="N30" i="5"/>
  <c r="AT30" i="5"/>
  <c r="H7" i="5"/>
  <c r="AX192" i="5"/>
  <c r="P192" i="5"/>
  <c r="N8" i="11"/>
  <c r="P8" i="11" s="1"/>
  <c r="T7" i="5"/>
  <c r="AT46" i="5"/>
  <c r="N46" i="5"/>
  <c r="AX13" i="5"/>
  <c r="P13" i="5"/>
  <c r="J76" i="5"/>
  <c r="AX78" i="5"/>
  <c r="P78" i="5"/>
  <c r="J3" i="5"/>
  <c r="N157" i="5"/>
  <c r="AT157" i="5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P200" i="5"/>
  <c r="P60" i="9"/>
  <c r="AT135" i="5"/>
  <c r="N135" i="5"/>
  <c r="F58" i="5"/>
  <c r="AQ6" i="5"/>
  <c r="AP6" i="5"/>
  <c r="AR6" i="5" s="1"/>
  <c r="AC6" i="5"/>
  <c r="R133" i="5"/>
  <c r="BB133" i="5"/>
  <c r="AC171" i="5"/>
  <c r="AQ171" i="5"/>
  <c r="AP171" i="5"/>
  <c r="AR171" i="5" s="1"/>
  <c r="R49" i="5"/>
  <c r="BB49" i="5"/>
  <c r="H76" i="5"/>
  <c r="P26" i="9"/>
  <c r="P3" i="5"/>
  <c r="AX3" i="5"/>
  <c r="R106" i="5"/>
  <c r="AT39" i="5"/>
  <c r="N39" i="5"/>
  <c r="N9" i="11"/>
  <c r="P9" i="11" s="1"/>
  <c r="T8" i="5"/>
  <c r="N61" i="5"/>
  <c r="P167" i="9"/>
  <c r="AX68" i="5"/>
  <c r="P68" i="5"/>
  <c r="H66" i="5"/>
  <c r="F123" i="5"/>
  <c r="P75" i="5"/>
  <c r="AX75" i="5"/>
  <c r="E25" i="11"/>
  <c r="G25" i="11" s="1"/>
  <c r="F24" i="5"/>
  <c r="BB43" i="5"/>
  <c r="R43" i="5"/>
  <c r="N2" i="5"/>
  <c r="P90" i="9"/>
  <c r="P96" i="9"/>
  <c r="P45" i="9"/>
  <c r="N186" i="11"/>
  <c r="P186" i="11" s="1"/>
  <c r="T185" i="5"/>
  <c r="L185" i="5"/>
  <c r="N192" i="5"/>
  <c r="AT192" i="5"/>
  <c r="B273" i="14"/>
  <c r="P2" i="9"/>
  <c r="P133" i="9"/>
  <c r="R13" i="5"/>
  <c r="BB13" i="5"/>
  <c r="AT181" i="5"/>
  <c r="N181" i="5"/>
  <c r="AX32" i="5"/>
  <c r="P32" i="5"/>
  <c r="R200" i="5"/>
  <c r="BB200" i="5"/>
  <c r="R155" i="5"/>
  <c r="AQ90" i="5"/>
  <c r="AC90" i="5"/>
  <c r="AP90" i="5"/>
  <c r="AR90" i="5" s="1"/>
  <c r="AT10" i="5"/>
  <c r="N10" i="5"/>
  <c r="F155" i="5"/>
  <c r="N56" i="5"/>
  <c r="AT56" i="5"/>
  <c r="T132" i="5"/>
  <c r="N133" i="11"/>
  <c r="P133" i="11" s="1"/>
  <c r="N45" i="11"/>
  <c r="P45" i="11" s="1"/>
  <c r="T44" i="5"/>
  <c r="AQ180" i="5"/>
  <c r="AP180" i="5"/>
  <c r="AR180" i="5" s="1"/>
  <c r="AC180" i="5"/>
  <c r="AT6" i="5"/>
  <c r="N6" i="5"/>
  <c r="P133" i="5"/>
  <c r="AX133" i="5"/>
  <c r="N173" i="11"/>
  <c r="P173" i="11" s="1"/>
  <c r="T172" i="5"/>
  <c r="P54" i="9"/>
  <c r="P24" i="9"/>
  <c r="P49" i="5"/>
  <c r="AX49" i="5"/>
  <c r="AT131" i="5"/>
  <c r="N131" i="5"/>
  <c r="N137" i="11"/>
  <c r="P137" i="11" s="1"/>
  <c r="T136" i="5"/>
  <c r="P163" i="9"/>
  <c r="AP55" i="5"/>
  <c r="AR55" i="5" s="1"/>
  <c r="AQ55" i="5"/>
  <c r="AC55" i="5"/>
  <c r="AX80" i="5"/>
  <c r="P80" i="5"/>
  <c r="H186" i="5"/>
  <c r="AC39" i="5"/>
  <c r="AQ39" i="5"/>
  <c r="AP39" i="5"/>
  <c r="AR39" i="5" s="1"/>
  <c r="J107" i="5"/>
  <c r="R18" i="5"/>
  <c r="J117" i="5"/>
  <c r="N68" i="5"/>
  <c r="AT68" i="5"/>
  <c r="AT75" i="5"/>
  <c r="N75" i="5"/>
  <c r="N96" i="11"/>
  <c r="P96" i="11" s="1"/>
  <c r="T95" i="5"/>
  <c r="H24" i="5"/>
  <c r="H25" i="11"/>
  <c r="J25" i="11" s="1"/>
  <c r="AT59" i="5"/>
  <c r="N59" i="5"/>
  <c r="P38" i="5"/>
  <c r="AX38" i="5"/>
  <c r="K151" i="11"/>
  <c r="M151" i="11" s="1"/>
  <c r="J150" i="5"/>
  <c r="AX115" i="5"/>
  <c r="P115" i="5"/>
  <c r="AP74" i="5"/>
  <c r="AR74" i="5" s="1"/>
  <c r="AQ74" i="5"/>
  <c r="AC74" i="5"/>
  <c r="P134" i="5"/>
  <c r="H135" i="11"/>
  <c r="J135" i="11" s="1"/>
  <c r="P27" i="9"/>
  <c r="AT58" i="5"/>
  <c r="N58" i="5"/>
  <c r="P21" i="9"/>
  <c r="AC185" i="5"/>
  <c r="AP185" i="5"/>
  <c r="AR185" i="5" s="1"/>
  <c r="AQ185" i="5"/>
  <c r="AX140" i="5"/>
  <c r="P140" i="5"/>
  <c r="P166" i="5"/>
  <c r="AX166" i="5"/>
  <c r="P55" i="9"/>
  <c r="BB62" i="5"/>
  <c r="R62" i="5"/>
  <c r="AT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B52" i="5"/>
  <c r="R52" i="5"/>
  <c r="AQ78" i="5"/>
  <c r="AC78" i="5"/>
  <c r="AP78" i="5"/>
  <c r="AR78" i="5" s="1"/>
  <c r="P80" i="9"/>
  <c r="BB15" i="5"/>
  <c r="R15" i="5"/>
  <c r="P104" i="9"/>
  <c r="N185" i="5"/>
  <c r="AT185" i="5"/>
  <c r="AQ137" i="5"/>
  <c r="AP137" i="5"/>
  <c r="AR137" i="5" s="1"/>
  <c r="AC137" i="5"/>
  <c r="E67" i="11"/>
  <c r="G67" i="11" s="1"/>
  <c r="N66" i="5"/>
  <c r="P142" i="5"/>
  <c r="AX142" i="5"/>
  <c r="K187" i="11"/>
  <c r="M187" i="11" s="1"/>
  <c r="J186" i="5"/>
  <c r="AT146" i="5"/>
  <c r="N146" i="5"/>
  <c r="P163" i="5"/>
  <c r="AX163" i="5"/>
  <c r="P9" i="9"/>
  <c r="P178" i="5"/>
  <c r="AX178" i="5"/>
  <c r="AX174" i="5"/>
  <c r="P174" i="5"/>
  <c r="BB58" i="5"/>
  <c r="R58" i="5"/>
  <c r="AC147" i="5"/>
  <c r="AQ147" i="5"/>
  <c r="AP147" i="5"/>
  <c r="AR147" i="5" s="1"/>
  <c r="AT99" i="5"/>
  <c r="N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T32" i="5"/>
  <c r="N108" i="5"/>
  <c r="AT108" i="5"/>
  <c r="AC176" i="5"/>
  <c r="AQ176" i="5"/>
  <c r="AP176" i="5"/>
  <c r="AR176" i="5" s="1"/>
  <c r="AT90" i="5"/>
  <c r="N90" i="5"/>
  <c r="AQ61" i="5"/>
  <c r="AP61" i="5"/>
  <c r="AR61" i="5" s="1"/>
  <c r="AC61" i="5"/>
  <c r="AT50" i="5"/>
  <c r="N50" i="5"/>
  <c r="AP10" i="5"/>
  <c r="AR10" i="5" s="1"/>
  <c r="AQ10" i="5"/>
  <c r="AC10" i="5"/>
  <c r="AX56" i="5"/>
  <c r="P56" i="5"/>
  <c r="N180" i="5"/>
  <c r="AT180" i="5"/>
  <c r="E171" i="11"/>
  <c r="G171" i="11" s="1"/>
  <c r="F170" i="5"/>
  <c r="N170" i="5"/>
  <c r="N200" i="11"/>
  <c r="P200" i="11" s="1"/>
  <c r="T199" i="5"/>
  <c r="D18" i="15"/>
  <c r="E45" i="20" s="1"/>
  <c r="L186" i="5"/>
  <c r="F102" i="5"/>
  <c r="K173" i="11"/>
  <c r="M173" i="11" s="1"/>
  <c r="R172" i="5"/>
  <c r="BB127" i="5"/>
  <c r="R127" i="5"/>
  <c r="AQ84" i="5"/>
  <c r="AC84" i="5"/>
  <c r="AP84" i="5"/>
  <c r="AR84" i="5" s="1"/>
  <c r="P94" i="9"/>
  <c r="AQ132" i="5"/>
  <c r="AP132" i="5"/>
  <c r="AR132" i="5" s="1"/>
  <c r="AC132" i="5"/>
  <c r="AT55" i="5"/>
  <c r="N55" i="5"/>
  <c r="R80" i="5"/>
  <c r="BB80" i="5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N116" i="5"/>
  <c r="P13" i="9"/>
  <c r="N25" i="11"/>
  <c r="P25" i="11" s="1"/>
  <c r="T24" i="5"/>
  <c r="L24" i="5"/>
  <c r="AX59" i="5"/>
  <c r="P59" i="5"/>
  <c r="P139" i="9"/>
  <c r="W53" i="14" l="1"/>
  <c r="W54" i="14"/>
  <c r="H11" i="15"/>
  <c r="B11" i="15"/>
  <c r="W51" i="14"/>
  <c r="B13" i="15" s="1"/>
  <c r="C30" i="20" s="1"/>
  <c r="AY49" i="5"/>
  <c r="AY56" i="5"/>
  <c r="BD58" i="5"/>
  <c r="AU14" i="5"/>
  <c r="AU104" i="5"/>
  <c r="AU129" i="5"/>
  <c r="AV120" i="5"/>
  <c r="AU166" i="5"/>
  <c r="AV98" i="5"/>
  <c r="AU108" i="5"/>
  <c r="AU99" i="5"/>
  <c r="AV50" i="5"/>
  <c r="AV127" i="5"/>
  <c r="AV22" i="5"/>
  <c r="AV77" i="5"/>
  <c r="AU171" i="5"/>
  <c r="AZ163" i="5"/>
  <c r="F57" i="20"/>
  <c r="B57" i="20"/>
  <c r="AY142" i="5"/>
  <c r="B54" i="20"/>
  <c r="F54" i="20"/>
  <c r="B56" i="20"/>
  <c r="F56" i="20"/>
  <c r="F55" i="20"/>
  <c r="B55" i="20"/>
  <c r="BC15" i="5"/>
  <c r="AZ80" i="5"/>
  <c r="AZ68" i="5"/>
  <c r="BC12" i="5"/>
  <c r="AZ12" i="5"/>
  <c r="AU98" i="5"/>
  <c r="AU50" i="5"/>
  <c r="AV32" i="5"/>
  <c r="AV68" i="5"/>
  <c r="AU153" i="5"/>
  <c r="AV187" i="5"/>
  <c r="AU30" i="5"/>
  <c r="AV139" i="5"/>
  <c r="AU8" i="5"/>
  <c r="AU180" i="5"/>
  <c r="AU32" i="5"/>
  <c r="AV99" i="5"/>
  <c r="AV186" i="5"/>
  <c r="AU149" i="5"/>
  <c r="AV94" i="5"/>
  <c r="AV81" i="5"/>
  <c r="AU116" i="5"/>
  <c r="AV180" i="5"/>
  <c r="AU68" i="5"/>
  <c r="AU159" i="5"/>
  <c r="AU59" i="5"/>
  <c r="AU46" i="5"/>
  <c r="BH136" i="5"/>
  <c r="AV197" i="5"/>
  <c r="AU86" i="5"/>
  <c r="AU38" i="5"/>
  <c r="AU181" i="5"/>
  <c r="AV135" i="5"/>
  <c r="AV179" i="5"/>
  <c r="AU155" i="5"/>
  <c r="AV10" i="5"/>
  <c r="AV20" i="5"/>
  <c r="AU168" i="5"/>
  <c r="AU41" i="5"/>
  <c r="AV48" i="5"/>
  <c r="BH83" i="5"/>
  <c r="F15" i="15"/>
  <c r="C53" i="20" s="1"/>
  <c r="AY178" i="5"/>
  <c r="BG184" i="5"/>
  <c r="AY4" i="5"/>
  <c r="BG170" i="5"/>
  <c r="AZ85" i="5"/>
  <c r="BG28" i="5"/>
  <c r="AY38" i="5"/>
  <c r="BG72" i="5"/>
  <c r="AZ133" i="5"/>
  <c r="AZ118" i="5"/>
  <c r="BH32" i="5"/>
  <c r="AY47" i="5"/>
  <c r="AZ166" i="5"/>
  <c r="AZ135" i="5"/>
  <c r="AY166" i="5"/>
  <c r="BG111" i="5"/>
  <c r="BG52" i="5"/>
  <c r="BG152" i="5"/>
  <c r="BG119" i="5"/>
  <c r="BH158" i="5"/>
  <c r="BG156" i="5"/>
  <c r="BG180" i="5"/>
  <c r="BH167" i="5"/>
  <c r="BH59" i="5"/>
  <c r="BG12" i="5"/>
  <c r="BH5" i="5"/>
  <c r="BG104" i="5"/>
  <c r="BG97" i="5"/>
  <c r="BG138" i="5"/>
  <c r="BH192" i="5"/>
  <c r="BG38" i="5"/>
  <c r="BH19" i="5"/>
  <c r="BG83" i="5"/>
  <c r="BG76" i="5"/>
  <c r="BG31" i="5"/>
  <c r="BG78" i="5"/>
  <c r="BH6" i="5"/>
  <c r="BH73" i="5"/>
  <c r="BG65" i="5"/>
  <c r="BH161" i="5"/>
  <c r="BH104" i="5"/>
  <c r="BH15" i="5"/>
  <c r="BH18" i="5"/>
  <c r="BG173" i="5"/>
  <c r="BG157" i="5"/>
  <c r="BH178" i="5"/>
  <c r="BG163" i="5"/>
  <c r="BG112" i="5"/>
  <c r="BH7" i="5"/>
  <c r="BH17" i="5"/>
  <c r="BG61" i="5"/>
  <c r="BG110" i="5"/>
  <c r="AY163" i="5"/>
  <c r="AZ140" i="5"/>
  <c r="AU140" i="5"/>
  <c r="AU17" i="5"/>
  <c r="AU19" i="5"/>
  <c r="AZ159" i="5"/>
  <c r="AV119" i="5"/>
  <c r="AU94" i="5"/>
  <c r="AZ122" i="5"/>
  <c r="BG59" i="5"/>
  <c r="BG114" i="5"/>
  <c r="BH185" i="5"/>
  <c r="BH138" i="5"/>
  <c r="BG55" i="5"/>
  <c r="BG172" i="5"/>
  <c r="BG125" i="5"/>
  <c r="BH28" i="5"/>
  <c r="BH172" i="5"/>
  <c r="BH41" i="5"/>
  <c r="BH43" i="5"/>
  <c r="BH155" i="5"/>
  <c r="AV60" i="5"/>
  <c r="BH82" i="5"/>
  <c r="AV192" i="5"/>
  <c r="AY200" i="5"/>
  <c r="AU157" i="5"/>
  <c r="AZ47" i="5"/>
  <c r="AV171" i="5"/>
  <c r="AU77" i="5"/>
  <c r="AU119" i="5"/>
  <c r="AU179" i="5"/>
  <c r="AV125" i="5"/>
  <c r="AU118" i="5"/>
  <c r="AU107" i="5"/>
  <c r="BG46" i="5"/>
  <c r="BH46" i="5"/>
  <c r="BH148" i="5"/>
  <c r="BH8" i="5"/>
  <c r="BH173" i="5"/>
  <c r="BG164" i="5"/>
  <c r="BG161" i="5"/>
  <c r="BG167" i="5"/>
  <c r="BH151" i="5"/>
  <c r="BG200" i="5"/>
  <c r="BH62" i="5"/>
  <c r="BH33" i="5"/>
  <c r="AZ127" i="5"/>
  <c r="AU40" i="5"/>
  <c r="AV62" i="5"/>
  <c r="AV118" i="5"/>
  <c r="AY111" i="5"/>
  <c r="AU23" i="5"/>
  <c r="AZ29" i="5"/>
  <c r="BH117" i="5"/>
  <c r="BH79" i="5"/>
  <c r="BH53" i="5"/>
  <c r="BG117" i="5"/>
  <c r="BG67" i="5"/>
  <c r="BG183" i="5"/>
  <c r="BH124" i="5"/>
  <c r="BH122" i="5"/>
  <c r="BH70" i="5"/>
  <c r="BG90" i="5"/>
  <c r="BH135" i="5"/>
  <c r="BG42" i="5"/>
  <c r="BH45" i="5"/>
  <c r="BG182" i="5"/>
  <c r="BG193" i="5"/>
  <c r="BH190" i="5"/>
  <c r="BH112" i="5"/>
  <c r="BG145" i="5"/>
  <c r="BG15" i="5"/>
  <c r="BH98" i="5"/>
  <c r="AV146" i="5"/>
  <c r="AU6" i="5"/>
  <c r="AY75" i="5"/>
  <c r="AZ192" i="5"/>
  <c r="AU42" i="5"/>
  <c r="AU62" i="5"/>
  <c r="AV107" i="5"/>
  <c r="BH63" i="5"/>
  <c r="BH71" i="5"/>
  <c r="BH16" i="5"/>
  <c r="BG100" i="5"/>
  <c r="BG124" i="5"/>
  <c r="BH38" i="5"/>
  <c r="BH94" i="5"/>
  <c r="BH58" i="5"/>
  <c r="BG5" i="5"/>
  <c r="L262" i="14"/>
  <c r="BH74" i="5"/>
  <c r="BG142" i="5"/>
  <c r="BH85" i="5"/>
  <c r="AU39" i="5"/>
  <c r="AU185" i="5"/>
  <c r="AV142" i="5"/>
  <c r="AZ75" i="5"/>
  <c r="AU75" i="5"/>
  <c r="AV131" i="5"/>
  <c r="AV6" i="5"/>
  <c r="AZ32" i="5"/>
  <c r="AY78" i="5"/>
  <c r="AY192" i="5"/>
  <c r="AV40" i="5"/>
  <c r="AU173" i="5"/>
  <c r="BG150" i="5"/>
  <c r="BG181" i="5"/>
  <c r="BH141" i="5"/>
  <c r="BH118" i="5"/>
  <c r="BG128" i="5"/>
  <c r="BG13" i="5"/>
  <c r="BG143" i="5"/>
  <c r="BH11" i="5"/>
  <c r="BH200" i="5"/>
  <c r="BG122" i="5"/>
  <c r="BG160" i="5"/>
  <c r="BG37" i="5"/>
  <c r="AZ169" i="5"/>
  <c r="AY115" i="5"/>
  <c r="AY59" i="5"/>
  <c r="AU146" i="5"/>
  <c r="AU131" i="5"/>
  <c r="AU56" i="5"/>
  <c r="AY32" i="5"/>
  <c r="AV39" i="5"/>
  <c r="AZ174" i="5"/>
  <c r="AU58" i="5"/>
  <c r="AY80" i="5"/>
  <c r="AZ49" i="5"/>
  <c r="AU10" i="5"/>
  <c r="AY3" i="5"/>
  <c r="AZ78" i="5"/>
  <c r="AV15" i="5"/>
  <c r="AV117" i="5"/>
  <c r="AV24" i="5"/>
  <c r="AV173" i="5"/>
  <c r="BG11" i="5"/>
  <c r="BH84" i="5"/>
  <c r="BG50" i="5"/>
  <c r="BH188" i="5"/>
  <c r="BG154" i="5"/>
  <c r="BG165" i="5"/>
  <c r="BG51" i="5"/>
  <c r="BG18" i="5"/>
  <c r="BH180" i="5"/>
  <c r="BH36" i="5"/>
  <c r="BH179" i="5"/>
  <c r="AU90" i="5"/>
  <c r="AV185" i="5"/>
  <c r="AU142" i="5"/>
  <c r="AZ200" i="5"/>
  <c r="AZ178" i="5"/>
  <c r="AZ142" i="5"/>
  <c r="AZ38" i="5"/>
  <c r="AZ3" i="5"/>
  <c r="AU156" i="5"/>
  <c r="AU45" i="5"/>
  <c r="AV70" i="5"/>
  <c r="AU117" i="5"/>
  <c r="AU24" i="5"/>
  <c r="AU93" i="5"/>
  <c r="AU175" i="5"/>
  <c r="AZ101" i="5"/>
  <c r="AU196" i="5"/>
  <c r="BG177" i="5"/>
  <c r="BG33" i="5"/>
  <c r="BH153" i="5"/>
  <c r="BH22" i="5"/>
  <c r="BG77" i="5"/>
  <c r="BG29" i="5"/>
  <c r="BH14" i="5"/>
  <c r="BH23" i="5"/>
  <c r="BH183" i="5"/>
  <c r="AV108" i="5"/>
  <c r="AV58" i="5"/>
  <c r="AV75" i="5"/>
  <c r="AV181" i="5"/>
  <c r="AV144" i="5"/>
  <c r="AV175" i="5"/>
  <c r="AV86" i="5"/>
  <c r="AV198" i="5"/>
  <c r="AU145" i="5"/>
  <c r="AU178" i="5"/>
  <c r="BG199" i="5"/>
  <c r="BH157" i="5"/>
  <c r="BG105" i="5"/>
  <c r="BG194" i="5"/>
  <c r="BG196" i="5"/>
  <c r="BH131" i="5"/>
  <c r="BG60" i="5"/>
  <c r="BH156" i="5"/>
  <c r="BG56" i="5"/>
  <c r="BH175" i="5"/>
  <c r="BH102" i="5"/>
  <c r="BH96" i="5"/>
  <c r="BH2" i="5"/>
  <c r="BG54" i="5"/>
  <c r="BH91" i="5"/>
  <c r="BG75" i="5"/>
  <c r="BH126" i="5"/>
  <c r="BG82" i="5"/>
  <c r="BH119" i="5"/>
  <c r="BH77" i="5"/>
  <c r="BG66" i="5"/>
  <c r="BG187" i="5"/>
  <c r="BG144" i="5"/>
  <c r="BH194" i="5"/>
  <c r="BH67" i="5"/>
  <c r="BH42" i="5"/>
  <c r="BG84" i="5"/>
  <c r="BH150" i="5"/>
  <c r="BG169" i="5"/>
  <c r="BH181" i="5"/>
  <c r="BH72" i="5"/>
  <c r="BH186" i="5"/>
  <c r="BH129" i="5"/>
  <c r="BH75" i="5"/>
  <c r="BH66" i="5"/>
  <c r="BG96" i="5"/>
  <c r="BH110" i="5"/>
  <c r="BG92" i="5"/>
  <c r="BG189" i="5"/>
  <c r="BG99" i="5"/>
  <c r="BH147" i="5"/>
  <c r="BG45" i="5"/>
  <c r="BH99" i="5"/>
  <c r="BH78" i="5"/>
  <c r="BG32" i="5"/>
  <c r="BG192" i="5"/>
  <c r="BH134" i="5"/>
  <c r="BG133" i="5"/>
  <c r="BH182" i="5"/>
  <c r="BG6" i="5"/>
  <c r="BH60" i="5"/>
  <c r="BH159" i="5"/>
  <c r="BG185" i="5"/>
  <c r="BH123" i="5"/>
  <c r="BH160" i="5"/>
  <c r="BG129" i="5"/>
  <c r="BH196" i="5"/>
  <c r="BG89" i="5"/>
  <c r="BG113" i="5"/>
  <c r="BG48" i="5"/>
  <c r="AU9" i="5"/>
  <c r="AU31" i="5"/>
  <c r="AU97" i="5"/>
  <c r="AV47" i="5"/>
  <c r="BH97" i="5"/>
  <c r="BG17" i="5"/>
  <c r="BG147" i="5"/>
  <c r="BH133" i="5"/>
  <c r="BH130" i="5"/>
  <c r="BH107" i="5"/>
  <c r="BG8" i="5"/>
  <c r="BG63" i="5"/>
  <c r="J262" i="14"/>
  <c r="BH108" i="5"/>
  <c r="BH197" i="5"/>
  <c r="BG149" i="5"/>
  <c r="BH10" i="5"/>
  <c r="BH165" i="5"/>
  <c r="BG131" i="5"/>
  <c r="BH39" i="5"/>
  <c r="BG36" i="5"/>
  <c r="BG123" i="5"/>
  <c r="BG27" i="5"/>
  <c r="BG20" i="5"/>
  <c r="BG102" i="5"/>
  <c r="BG120" i="5"/>
  <c r="BH132" i="5"/>
  <c r="BH40" i="5"/>
  <c r="BH149" i="5"/>
  <c r="BH145" i="5"/>
  <c r="BG109" i="5"/>
  <c r="BH168" i="5"/>
  <c r="BG16" i="5"/>
  <c r="BH31" i="5"/>
  <c r="BG171" i="5"/>
  <c r="BG24" i="5"/>
  <c r="AU151" i="5"/>
  <c r="AU123" i="5"/>
  <c r="BH105" i="5"/>
  <c r="BH146" i="5"/>
  <c r="BG94" i="5"/>
  <c r="BG135" i="5"/>
  <c r="BG85" i="5"/>
  <c r="K262" i="14"/>
  <c r="BH48" i="5"/>
  <c r="BH34" i="5"/>
  <c r="BH191" i="5"/>
  <c r="BH142" i="5"/>
  <c r="BH76" i="5"/>
  <c r="BH3" i="5"/>
  <c r="BH164" i="5"/>
  <c r="BG35" i="5"/>
  <c r="BH198" i="5"/>
  <c r="BG126" i="5"/>
  <c r="BH144" i="5"/>
  <c r="BG73" i="5"/>
  <c r="BG168" i="5"/>
  <c r="BG14" i="5"/>
  <c r="BH143" i="5"/>
  <c r="BG178" i="5"/>
  <c r="BH125" i="5"/>
  <c r="BH12" i="5"/>
  <c r="BH174" i="5"/>
  <c r="BG139" i="5"/>
  <c r="BH170" i="5"/>
  <c r="BH27" i="5"/>
  <c r="BH163" i="5"/>
  <c r="BH106" i="5"/>
  <c r="BG10" i="5"/>
  <c r="BH21" i="5"/>
  <c r="BH54" i="5"/>
  <c r="BG146" i="5"/>
  <c r="BG49" i="5"/>
  <c r="AU11" i="5"/>
  <c r="AV184" i="5"/>
  <c r="AU165" i="5"/>
  <c r="BG115" i="5"/>
  <c r="BH9" i="5"/>
  <c r="BG25" i="5"/>
  <c r="BH114" i="5"/>
  <c r="BG198" i="5"/>
  <c r="BG148" i="5"/>
  <c r="BH56" i="5"/>
  <c r="BH13" i="5"/>
  <c r="BH189" i="5"/>
  <c r="BH137" i="5"/>
  <c r="BG95" i="5"/>
  <c r="BG22" i="5"/>
  <c r="BH86" i="5"/>
  <c r="BG23" i="5"/>
  <c r="BG98" i="5"/>
  <c r="BH100" i="5"/>
  <c r="BG175" i="5"/>
  <c r="BH35" i="5"/>
  <c r="BH166" i="5"/>
  <c r="BH152" i="5"/>
  <c r="BG44" i="5"/>
  <c r="BG134" i="5"/>
  <c r="BH162" i="5"/>
  <c r="BG43" i="5"/>
  <c r="BH44" i="5"/>
  <c r="BH52" i="5"/>
  <c r="BG74" i="5"/>
  <c r="BH68" i="5"/>
  <c r="BG39" i="5"/>
  <c r="BG91" i="5"/>
  <c r="BG62" i="5"/>
  <c r="BH30" i="5"/>
  <c r="BH93" i="5"/>
  <c r="BG80" i="5"/>
  <c r="BH29" i="5"/>
  <c r="AV116" i="5"/>
  <c r="AU55" i="5"/>
  <c r="AV59" i="5"/>
  <c r="AU135" i="5"/>
  <c r="AU186" i="5"/>
  <c r="AV166" i="5"/>
  <c r="AU22" i="5"/>
  <c r="AU193" i="5"/>
  <c r="AV42" i="5"/>
  <c r="AV5" i="5"/>
  <c r="AU109" i="5"/>
  <c r="AZ71" i="5"/>
  <c r="AY147" i="5"/>
  <c r="AU190" i="5"/>
  <c r="AV169" i="5"/>
  <c r="BH103" i="5"/>
  <c r="BG69" i="5"/>
  <c r="BG195" i="5"/>
  <c r="BG141" i="5"/>
  <c r="BH139" i="5"/>
  <c r="BH176" i="5"/>
  <c r="BG2" i="5"/>
  <c r="BG130" i="5"/>
  <c r="BG158" i="5"/>
  <c r="BG86" i="5"/>
  <c r="BG9" i="5"/>
  <c r="BH4" i="5"/>
  <c r="BG166" i="5"/>
  <c r="BG174" i="5"/>
  <c r="BG107" i="5"/>
  <c r="BG108" i="5"/>
  <c r="BG21" i="5"/>
  <c r="BG71" i="5"/>
  <c r="BG57" i="5"/>
  <c r="BG87" i="5"/>
  <c r="BH111" i="5"/>
  <c r="BG64" i="5"/>
  <c r="BG53" i="5"/>
  <c r="BG159" i="5"/>
  <c r="BG101" i="5"/>
  <c r="BH26" i="5"/>
  <c r="BG136" i="5"/>
  <c r="BG179" i="5"/>
  <c r="BG58" i="5"/>
  <c r="BH177" i="5"/>
  <c r="BG188" i="5"/>
  <c r="BG155" i="5"/>
  <c r="BG162" i="5"/>
  <c r="BG47" i="5"/>
  <c r="BH116" i="5"/>
  <c r="BG40" i="5"/>
  <c r="BG81" i="5"/>
  <c r="BG70" i="5"/>
  <c r="BH50" i="5"/>
  <c r="BH95" i="5"/>
  <c r="BH113" i="5"/>
  <c r="BH87" i="5"/>
  <c r="BH109" i="5"/>
  <c r="BG151" i="5"/>
  <c r="BG4" i="5"/>
  <c r="BH49" i="5"/>
  <c r="BH101" i="5"/>
  <c r="BH81" i="5"/>
  <c r="BH115" i="5"/>
  <c r="BH195" i="5"/>
  <c r="BH69" i="5"/>
  <c r="BG127" i="5"/>
  <c r="BG41" i="5"/>
  <c r="BH61" i="5"/>
  <c r="BG197" i="5"/>
  <c r="BH24" i="5"/>
  <c r="BH55" i="5"/>
  <c r="BH154" i="5"/>
  <c r="BH92" i="5"/>
  <c r="BH90" i="5"/>
  <c r="BG137" i="5"/>
  <c r="BG34" i="5"/>
  <c r="BG153" i="5"/>
  <c r="BH64" i="5"/>
  <c r="AV55" i="5"/>
  <c r="AV90" i="5"/>
  <c r="AV56" i="5"/>
  <c r="AU192" i="5"/>
  <c r="AV157" i="5"/>
  <c r="AV46" i="5"/>
  <c r="AV140" i="5"/>
  <c r="AV17" i="5"/>
  <c r="AV19" i="5"/>
  <c r="AV38" i="5"/>
  <c r="AV79" i="5"/>
  <c r="AU120" i="5"/>
  <c r="AU5" i="5"/>
  <c r="AV93" i="5"/>
  <c r="AU57" i="5"/>
  <c r="AU71" i="5"/>
  <c r="AY135" i="5"/>
  <c r="AV106" i="5"/>
  <c r="AV84" i="5"/>
  <c r="AU199" i="5"/>
  <c r="BH169" i="5"/>
  <c r="BH88" i="5"/>
  <c r="BH80" i="5"/>
  <c r="BG132" i="5"/>
  <c r="BG118" i="5"/>
  <c r="BH128" i="5"/>
  <c r="BG191" i="5"/>
  <c r="BG121" i="5"/>
  <c r="BG93" i="5"/>
  <c r="BH120" i="5"/>
  <c r="BH20" i="5"/>
  <c r="BG30" i="5"/>
  <c r="BH25" i="5"/>
  <c r="BG103" i="5"/>
  <c r="BH89" i="5"/>
  <c r="BH51" i="5"/>
  <c r="BG3" i="5"/>
  <c r="BG106" i="5"/>
  <c r="BH184" i="5"/>
  <c r="BH171" i="5"/>
  <c r="BG88" i="5"/>
  <c r="BH121" i="5"/>
  <c r="BH140" i="5"/>
  <c r="BG79" i="5"/>
  <c r="BH199" i="5"/>
  <c r="BG186" i="5"/>
  <c r="BG140" i="5"/>
  <c r="BG116" i="5"/>
  <c r="BH187" i="5"/>
  <c r="BH47" i="5"/>
  <c r="BG68" i="5"/>
  <c r="BG176" i="5"/>
  <c r="BH37" i="5"/>
  <c r="BH65" i="5"/>
  <c r="AY173" i="5"/>
  <c r="BD154" i="5"/>
  <c r="AZ149" i="5"/>
  <c r="AZ190" i="5"/>
  <c r="AZ171" i="5"/>
  <c r="AY156" i="5"/>
  <c r="AZ58" i="5"/>
  <c r="AZ93" i="5"/>
  <c r="AZ147" i="5"/>
  <c r="AZ16" i="5"/>
  <c r="AY117" i="5"/>
  <c r="AY155" i="5"/>
  <c r="AY152" i="5"/>
  <c r="AY121" i="5"/>
  <c r="AZ92" i="5"/>
  <c r="BH127" i="5"/>
  <c r="BH193" i="5"/>
  <c r="BG19" i="5"/>
  <c r="BG7" i="5"/>
  <c r="BG190" i="5"/>
  <c r="BH57" i="5"/>
  <c r="H15" i="15"/>
  <c r="AZ144" i="5"/>
  <c r="T102" i="14"/>
  <c r="E21" i="15" s="1"/>
  <c r="B58" i="20" s="1"/>
  <c r="AU127" i="5"/>
  <c r="AV156" i="5"/>
  <c r="AV45" i="5"/>
  <c r="AU70" i="5"/>
  <c r="AU144" i="5"/>
  <c r="AU125" i="5"/>
  <c r="AV14" i="5"/>
  <c r="AV168" i="5"/>
  <c r="AU48" i="5"/>
  <c r="AU114" i="5"/>
  <c r="AU34" i="5"/>
  <c r="AU64" i="5"/>
  <c r="AU111" i="5"/>
  <c r="AV190" i="5"/>
  <c r="AV123" i="5"/>
  <c r="AV21" i="5"/>
  <c r="AU139" i="5"/>
  <c r="AV137" i="5"/>
  <c r="AU162" i="5"/>
  <c r="AU91" i="5"/>
  <c r="AV151" i="5"/>
  <c r="AV64" i="5"/>
  <c r="AV164" i="5"/>
  <c r="AV194" i="5"/>
  <c r="AV111" i="5"/>
  <c r="AV199" i="5"/>
  <c r="AU137" i="5"/>
  <c r="AV57" i="5"/>
  <c r="AV114" i="5"/>
  <c r="AV34" i="5"/>
  <c r="AV31" i="5"/>
  <c r="AU164" i="5"/>
  <c r="AU194" i="5"/>
  <c r="AU106" i="5"/>
  <c r="AU21" i="5"/>
  <c r="AU67" i="5"/>
  <c r="AV122" i="5"/>
  <c r="AU73" i="5"/>
  <c r="AV67" i="5"/>
  <c r="AU16" i="5"/>
  <c r="AV174" i="5"/>
  <c r="AV76" i="5"/>
  <c r="AU133" i="5"/>
  <c r="AV11" i="5"/>
  <c r="AV153" i="5"/>
  <c r="AV3" i="5"/>
  <c r="AV196" i="5"/>
  <c r="AV16" i="5"/>
  <c r="AU174" i="5"/>
  <c r="AU76" i="5"/>
  <c r="AV163" i="5"/>
  <c r="BC89" i="5"/>
  <c r="AV9" i="5"/>
  <c r="BC185" i="5"/>
  <c r="AU197" i="5"/>
  <c r="AV155" i="5"/>
  <c r="AV71" i="5"/>
  <c r="AU198" i="5"/>
  <c r="AV145" i="5"/>
  <c r="AU3" i="5"/>
  <c r="AU84" i="5"/>
  <c r="AV128" i="5"/>
  <c r="AU78" i="5"/>
  <c r="BC27" i="5"/>
  <c r="AV143" i="5"/>
  <c r="AV30" i="5"/>
  <c r="AU15" i="5"/>
  <c r="AU20" i="5"/>
  <c r="AV159" i="5"/>
  <c r="AV149" i="5"/>
  <c r="AV193" i="5"/>
  <c r="AU79" i="5"/>
  <c r="AV129" i="5"/>
  <c r="AV109" i="5"/>
  <c r="AV104" i="5"/>
  <c r="AV41" i="5"/>
  <c r="AV23" i="5"/>
  <c r="AU184" i="5"/>
  <c r="AV165" i="5"/>
  <c r="AU187" i="5"/>
  <c r="AU44" i="5"/>
  <c r="AU169" i="5"/>
  <c r="AY195" i="5"/>
  <c r="AZ65" i="5"/>
  <c r="AY22" i="5"/>
  <c r="AY41" i="5"/>
  <c r="AZ55" i="5"/>
  <c r="AZ59" i="5"/>
  <c r="AY174" i="5"/>
  <c r="AZ112" i="5"/>
  <c r="AZ115" i="5"/>
  <c r="AY112" i="5"/>
  <c r="AY8" i="5"/>
  <c r="AY45" i="5"/>
  <c r="AZ155" i="5"/>
  <c r="E15" i="15"/>
  <c r="E16" i="15"/>
  <c r="AY137" i="5"/>
  <c r="AZ39" i="5"/>
  <c r="AZ137" i="5"/>
  <c r="AZ143" i="5"/>
  <c r="AY31" i="5"/>
  <c r="AY14" i="5"/>
  <c r="AZ79" i="5"/>
  <c r="AY150" i="5"/>
  <c r="AY103" i="5"/>
  <c r="AY42" i="5"/>
  <c r="AZ31" i="5"/>
  <c r="AZ14" i="5"/>
  <c r="AZ154" i="5"/>
  <c r="AZ50" i="5"/>
  <c r="AY67" i="5"/>
  <c r="AY143" i="5"/>
  <c r="AY43" i="5"/>
  <c r="AZ170" i="5"/>
  <c r="AY140" i="5"/>
  <c r="AZ13" i="5"/>
  <c r="AY85" i="5"/>
  <c r="AY30" i="5"/>
  <c r="AY170" i="5"/>
  <c r="AY149" i="5"/>
  <c r="AZ56" i="5"/>
  <c r="AY133" i="5"/>
  <c r="AY92" i="5"/>
  <c r="AZ43" i="5"/>
  <c r="AZ30" i="5"/>
  <c r="AY19" i="5"/>
  <c r="AZ152" i="5"/>
  <c r="AY176" i="5"/>
  <c r="AZ69" i="5"/>
  <c r="AY65" i="5"/>
  <c r="AY69" i="5"/>
  <c r="AZ20" i="5"/>
  <c r="AY73" i="5"/>
  <c r="AZ179" i="5"/>
  <c r="AZ45" i="5"/>
  <c r="AY62" i="5"/>
  <c r="AY60" i="5"/>
  <c r="AY130" i="5"/>
  <c r="AY141" i="5"/>
  <c r="AY162" i="5"/>
  <c r="AY188" i="5"/>
  <c r="AZ132" i="5"/>
  <c r="AZ99" i="5"/>
  <c r="AY68" i="5"/>
  <c r="AY12" i="5"/>
  <c r="AY191" i="5"/>
  <c r="AZ187" i="5"/>
  <c r="AZ141" i="5"/>
  <c r="AY82" i="5"/>
  <c r="AZ48" i="5"/>
  <c r="AY13" i="5"/>
  <c r="AZ4" i="5"/>
  <c r="AZ191" i="5"/>
  <c r="AZ86" i="5"/>
  <c r="AZ173" i="5"/>
  <c r="AZ98" i="5"/>
  <c r="AZ196" i="5"/>
  <c r="AZ153" i="5"/>
  <c r="AZ197" i="5"/>
  <c r="AZ82" i="5"/>
  <c r="AY53" i="5"/>
  <c r="AZ145" i="5"/>
  <c r="AY113" i="5"/>
  <c r="AY189" i="5"/>
  <c r="AY71" i="5"/>
  <c r="AY36" i="5"/>
  <c r="AZ182" i="5"/>
  <c r="AZ176" i="5"/>
  <c r="AZ15" i="5"/>
  <c r="AZ41" i="5"/>
  <c r="AY39" i="5"/>
  <c r="AZ123" i="5"/>
  <c r="AY123" i="5"/>
  <c r="AY154" i="5"/>
  <c r="AZ7" i="5"/>
  <c r="AZ125" i="5"/>
  <c r="AY110" i="5"/>
  <c r="AZ10" i="5"/>
  <c r="AZ84" i="5"/>
  <c r="AZ131" i="5"/>
  <c r="AZ167" i="5"/>
  <c r="AZ89" i="5"/>
  <c r="AY9" i="5"/>
  <c r="AZ64" i="5"/>
  <c r="AY165" i="5"/>
  <c r="AZ27" i="5"/>
  <c r="AY169" i="5"/>
  <c r="AY161" i="5"/>
  <c r="AZ66" i="5"/>
  <c r="AY190" i="5"/>
  <c r="AY198" i="5"/>
  <c r="AZ52" i="5"/>
  <c r="AY88" i="5"/>
  <c r="AY90" i="5"/>
  <c r="AV63" i="5"/>
  <c r="BC133" i="5"/>
  <c r="BC199" i="5"/>
  <c r="BD2" i="5"/>
  <c r="BD127" i="5"/>
  <c r="BD13" i="5"/>
  <c r="BC130" i="5"/>
  <c r="BC126" i="5"/>
  <c r="BD167" i="5"/>
  <c r="BD158" i="5"/>
  <c r="BC167" i="5"/>
  <c r="BC156" i="5"/>
  <c r="BC10" i="5"/>
  <c r="BC13" i="5"/>
  <c r="BD170" i="5"/>
  <c r="BC124" i="5"/>
  <c r="BC50" i="5"/>
  <c r="BD179" i="5"/>
  <c r="BD95" i="5"/>
  <c r="BC135" i="5"/>
  <c r="BD115" i="5"/>
  <c r="BD61" i="5"/>
  <c r="BC31" i="5"/>
  <c r="BD174" i="5"/>
  <c r="BC123" i="5"/>
  <c r="BC58" i="5"/>
  <c r="BD200" i="5"/>
  <c r="BC61" i="5"/>
  <c r="BD31" i="5"/>
  <c r="BD129" i="5"/>
  <c r="BD52" i="5"/>
  <c r="BC52" i="5"/>
  <c r="BD80" i="5"/>
  <c r="BC200" i="5"/>
  <c r="BD117" i="5"/>
  <c r="BC148" i="5"/>
  <c r="BC39" i="5"/>
  <c r="BC105" i="5"/>
  <c r="BC80" i="5"/>
  <c r="BC62" i="5"/>
  <c r="BD46" i="5"/>
  <c r="BC91" i="5"/>
  <c r="BC197" i="5"/>
  <c r="BD182" i="5"/>
  <c r="BC127" i="5"/>
  <c r="BD15" i="5"/>
  <c r="BD62" i="5"/>
  <c r="BC49" i="5"/>
  <c r="BD12" i="5"/>
  <c r="BC152" i="5"/>
  <c r="BC195" i="5"/>
  <c r="BC38" i="5"/>
  <c r="BC83" i="5"/>
  <c r="BC21" i="5"/>
  <c r="BC134" i="5"/>
  <c r="BC174" i="5"/>
  <c r="BC98" i="5"/>
  <c r="BC35" i="5"/>
  <c r="BD168" i="5"/>
  <c r="BC82" i="5"/>
  <c r="BC60" i="5"/>
  <c r="BD186" i="5"/>
  <c r="BD51" i="5"/>
  <c r="BC36" i="5"/>
  <c r="BD23" i="5"/>
  <c r="BC102" i="5"/>
  <c r="BC136" i="5"/>
  <c r="BC160" i="5"/>
  <c r="BC180" i="5"/>
  <c r="BD50" i="5"/>
  <c r="BC129" i="5"/>
  <c r="BD3" i="5"/>
  <c r="BD189" i="5"/>
  <c r="BC191" i="5"/>
  <c r="BD138" i="5"/>
  <c r="BC51" i="5"/>
  <c r="BC161" i="5"/>
  <c r="BC23" i="5"/>
  <c r="BD102" i="5"/>
  <c r="BC71" i="5"/>
  <c r="BC14" i="5"/>
  <c r="BD27" i="5"/>
  <c r="BC32" i="5"/>
  <c r="BC37" i="5"/>
  <c r="BC73" i="5"/>
  <c r="BC189" i="5"/>
  <c r="BC79" i="5"/>
  <c r="BC65" i="5"/>
  <c r="BD178" i="5"/>
  <c r="BC147" i="5"/>
  <c r="BC53" i="5"/>
  <c r="BC163" i="5"/>
  <c r="BC113" i="5"/>
  <c r="BD35" i="5"/>
  <c r="BC188" i="5"/>
  <c r="BD65" i="5"/>
  <c r="BD153" i="5"/>
  <c r="BD105" i="5"/>
  <c r="BC175" i="5"/>
  <c r="BD165" i="5"/>
  <c r="BC166" i="5"/>
  <c r="BD34" i="5"/>
  <c r="BC54" i="5"/>
  <c r="BC16" i="5"/>
  <c r="BC92" i="5"/>
  <c r="BD33" i="5"/>
  <c r="BD175" i="5"/>
  <c r="BD197" i="5"/>
  <c r="BD112" i="5"/>
  <c r="BD90" i="5"/>
  <c r="BC128" i="5"/>
  <c r="BD71" i="5"/>
  <c r="BC107" i="5"/>
  <c r="BC100" i="5"/>
  <c r="BC78" i="5"/>
  <c r="BC172" i="5"/>
  <c r="BD144" i="5"/>
  <c r="BC40" i="5"/>
  <c r="BD109" i="5"/>
  <c r="BD28" i="5"/>
  <c r="BC144" i="5"/>
  <c r="BC190" i="5"/>
  <c r="BC81" i="5"/>
  <c r="AY107" i="5"/>
  <c r="AY181" i="5"/>
  <c r="AY84" i="5"/>
  <c r="AV66" i="5"/>
  <c r="AZ26" i="5"/>
  <c r="AU61" i="5"/>
  <c r="BD11" i="5"/>
  <c r="J261" i="14"/>
  <c r="AY50" i="5"/>
  <c r="BD5" i="5"/>
  <c r="BD22" i="5"/>
  <c r="AV80" i="5"/>
  <c r="BD166" i="5"/>
  <c r="AY193" i="5"/>
  <c r="BD93" i="5"/>
  <c r="AY40" i="5"/>
  <c r="AY148" i="5"/>
  <c r="AZ183" i="5"/>
  <c r="AZ35" i="5"/>
  <c r="AZ189" i="5"/>
  <c r="AZ42" i="5"/>
  <c r="AY89" i="5"/>
  <c r="AY93" i="5"/>
  <c r="AZ57" i="5"/>
  <c r="AY126" i="5"/>
  <c r="AY66" i="5"/>
  <c r="AY196" i="5"/>
  <c r="AY187" i="5"/>
  <c r="AZ130" i="5"/>
  <c r="AY197" i="5"/>
  <c r="AY160" i="5"/>
  <c r="AY124" i="5"/>
  <c r="AZ88" i="5"/>
  <c r="AZ117" i="5"/>
  <c r="AZ114" i="5"/>
  <c r="AY77" i="5"/>
  <c r="AY25" i="5"/>
  <c r="AZ113" i="5"/>
  <c r="AZ22" i="5"/>
  <c r="AZ148" i="5"/>
  <c r="AY183" i="5"/>
  <c r="AY86" i="5"/>
  <c r="AZ103" i="5"/>
  <c r="AZ60" i="5"/>
  <c r="AZ9" i="5"/>
  <c r="AZ111" i="5"/>
  <c r="AZ156" i="5"/>
  <c r="AY57" i="5"/>
  <c r="AZ126" i="5"/>
  <c r="AZ121" i="5"/>
  <c r="AY153" i="5"/>
  <c r="AY101" i="5"/>
  <c r="AY16" i="5"/>
  <c r="AZ160" i="5"/>
  <c r="AZ124" i="5"/>
  <c r="AY199" i="5"/>
  <c r="AY48" i="5"/>
  <c r="AY186" i="5"/>
  <c r="AY72" i="5"/>
  <c r="AY119" i="5"/>
  <c r="AY175" i="5"/>
  <c r="AY58" i="5"/>
  <c r="AZ186" i="5"/>
  <c r="AY185" i="5"/>
  <c r="AY10" i="5"/>
  <c r="AY122" i="5"/>
  <c r="AZ158" i="5"/>
  <c r="AZ139" i="5"/>
  <c r="AY29" i="5"/>
  <c r="AZ198" i="5"/>
  <c r="AZ136" i="5"/>
  <c r="AY21" i="5"/>
  <c r="AZ24" i="5"/>
  <c r="AY18" i="5"/>
  <c r="AZ162" i="5"/>
  <c r="AY102" i="5"/>
  <c r="AY97" i="5"/>
  <c r="AY27" i="5"/>
  <c r="AY106" i="5"/>
  <c r="AY83" i="5"/>
  <c r="AZ199" i="5"/>
  <c r="AY28" i="5"/>
  <c r="AY63" i="5"/>
  <c r="AY114" i="5"/>
  <c r="AZ165" i="5"/>
  <c r="AZ67" i="5"/>
  <c r="AZ81" i="5"/>
  <c r="AY98" i="5"/>
  <c r="AZ76" i="5"/>
  <c r="AY23" i="5"/>
  <c r="AZ104" i="5"/>
  <c r="AY139" i="5"/>
  <c r="AZ168" i="5"/>
  <c r="AZ108" i="5"/>
  <c r="AY136" i="5"/>
  <c r="AY24" i="5"/>
  <c r="AY54" i="5"/>
  <c r="AZ18" i="5"/>
  <c r="AZ102" i="5"/>
  <c r="AY151" i="5"/>
  <c r="AZ96" i="5"/>
  <c r="AY131" i="5"/>
  <c r="AY15" i="5"/>
  <c r="AY100" i="5"/>
  <c r="AY5" i="5"/>
  <c r="AZ146" i="5"/>
  <c r="AZ83" i="5"/>
  <c r="AY171" i="5"/>
  <c r="AY17" i="5"/>
  <c r="AZ193" i="5"/>
  <c r="AZ105" i="5"/>
  <c r="AY127" i="5"/>
  <c r="AY105" i="5"/>
  <c r="AY20" i="5"/>
  <c r="AZ73" i="5"/>
  <c r="AZ8" i="5"/>
  <c r="AY159" i="5"/>
  <c r="AZ150" i="5"/>
  <c r="AZ19" i="5"/>
  <c r="AZ129" i="5"/>
  <c r="AY118" i="5"/>
  <c r="AY33" i="5"/>
  <c r="AY79" i="5"/>
  <c r="AY76" i="5"/>
  <c r="AY95" i="5"/>
  <c r="AZ164" i="5"/>
  <c r="AZ109" i="5"/>
  <c r="AY158" i="5"/>
  <c r="AY51" i="5"/>
  <c r="AZ87" i="5"/>
  <c r="AY168" i="5"/>
  <c r="AY108" i="5"/>
  <c r="AZ21" i="5"/>
  <c r="AZ54" i="5"/>
  <c r="AY61" i="5"/>
  <c r="AZ151" i="5"/>
  <c r="AY180" i="5"/>
  <c r="AY96" i="5"/>
  <c r="AY157" i="5"/>
  <c r="AZ46" i="5"/>
  <c r="AY128" i="5"/>
  <c r="AZ5" i="5"/>
  <c r="AZ25" i="5"/>
  <c r="AY132" i="5"/>
  <c r="AZ90" i="5"/>
  <c r="AZ100" i="5"/>
  <c r="AZ77" i="5"/>
  <c r="K260" i="14"/>
  <c r="M260" i="14" s="1"/>
  <c r="O260" i="14" s="1"/>
  <c r="AY125" i="5"/>
  <c r="AY81" i="5"/>
  <c r="AZ181" i="5"/>
  <c r="AY74" i="5"/>
  <c r="AY129" i="5"/>
  <c r="AY6" i="5"/>
  <c r="AZ95" i="5"/>
  <c r="AZ23" i="5"/>
  <c r="AY164" i="5"/>
  <c r="AY11" i="5"/>
  <c r="AY194" i="5"/>
  <c r="AY109" i="5"/>
  <c r="AY104" i="5"/>
  <c r="AZ184" i="5"/>
  <c r="AZ34" i="5"/>
  <c r="AY138" i="5"/>
  <c r="AZ51" i="5"/>
  <c r="AZ44" i="5"/>
  <c r="AZ116" i="5"/>
  <c r="AY87" i="5"/>
  <c r="AY177" i="5"/>
  <c r="AZ37" i="5"/>
  <c r="AZ61" i="5"/>
  <c r="AZ97" i="5"/>
  <c r="AZ70" i="5"/>
  <c r="AZ134" i="5"/>
  <c r="AZ180" i="5"/>
  <c r="AZ157" i="5"/>
  <c r="AZ128" i="5"/>
  <c r="AZ28" i="5"/>
  <c r="AZ188" i="5"/>
  <c r="AZ120" i="5"/>
  <c r="AY46" i="5"/>
  <c r="J260" i="14"/>
  <c r="AZ175" i="5"/>
  <c r="AZ107" i="5"/>
  <c r="AZ74" i="5"/>
  <c r="AY94" i="5"/>
  <c r="AY179" i="5"/>
  <c r="AZ91" i="5"/>
  <c r="AZ33" i="5"/>
  <c r="AY167" i="5"/>
  <c r="AZ6" i="5"/>
  <c r="AZ62" i="5"/>
  <c r="AZ11" i="5"/>
  <c r="AZ194" i="5"/>
  <c r="AZ36" i="5"/>
  <c r="AY184" i="5"/>
  <c r="AZ2" i="5"/>
  <c r="AZ138" i="5"/>
  <c r="AY44" i="5"/>
  <c r="AZ177" i="5"/>
  <c r="AY37" i="5"/>
  <c r="AY70" i="5"/>
  <c r="AY172" i="5"/>
  <c r="AY134" i="5"/>
  <c r="AY144" i="5"/>
  <c r="AY26" i="5"/>
  <c r="AZ185" i="5"/>
  <c r="AY145" i="5"/>
  <c r="AZ106" i="5"/>
  <c r="AY64" i="5"/>
  <c r="AZ72" i="5"/>
  <c r="AY55" i="5"/>
  <c r="AY91" i="5"/>
  <c r="AY35" i="5"/>
  <c r="AY2" i="5"/>
  <c r="AY34" i="5"/>
  <c r="AZ195" i="5"/>
  <c r="AY182" i="5"/>
  <c r="AY116" i="5"/>
  <c r="AY52" i="5"/>
  <c r="AZ172" i="5"/>
  <c r="AZ161" i="5"/>
  <c r="AY7" i="5"/>
  <c r="AZ53" i="5"/>
  <c r="AZ119" i="5"/>
  <c r="AY120" i="5"/>
  <c r="AZ63" i="5"/>
  <c r="AZ110" i="5"/>
  <c r="AY146" i="5"/>
  <c r="AZ17" i="5"/>
  <c r="AZ40" i="5"/>
  <c r="AY99" i="5"/>
  <c r="AZ94" i="5"/>
  <c r="AU130" i="5"/>
  <c r="AV110" i="5"/>
  <c r="AU170" i="5"/>
  <c r="AV36" i="5"/>
  <c r="AU101" i="5"/>
  <c r="AU2" i="5"/>
  <c r="AU83" i="5"/>
  <c r="AU158" i="5"/>
  <c r="AV126" i="5"/>
  <c r="AU96" i="5"/>
  <c r="AV103" i="5"/>
  <c r="AU54" i="5"/>
  <c r="AV92" i="5"/>
  <c r="AV133" i="5"/>
  <c r="AV170" i="5"/>
  <c r="AU115" i="5"/>
  <c r="AV12" i="5"/>
  <c r="AV7" i="5"/>
  <c r="AU72" i="5"/>
  <c r="AU18" i="5"/>
  <c r="AV200" i="5"/>
  <c r="AU43" i="5"/>
  <c r="AU25" i="5"/>
  <c r="AU154" i="5"/>
  <c r="AV89" i="5"/>
  <c r="AV53" i="5"/>
  <c r="AV25" i="5"/>
  <c r="AV183" i="5"/>
  <c r="AV2" i="5"/>
  <c r="AU53" i="5"/>
  <c r="L259" i="14"/>
  <c r="AV95" i="5"/>
  <c r="AU82" i="5"/>
  <c r="AV26" i="5"/>
  <c r="J259" i="14"/>
  <c r="AV102" i="5"/>
  <c r="BC108" i="5"/>
  <c r="BC177" i="5"/>
  <c r="BC151" i="5"/>
  <c r="BC149" i="5"/>
  <c r="BC106" i="5"/>
  <c r="BD14" i="5"/>
  <c r="BD140" i="5"/>
  <c r="BD146" i="5"/>
  <c r="BD72" i="5"/>
  <c r="BC194" i="5"/>
  <c r="BC122" i="5"/>
  <c r="BD63" i="5"/>
  <c r="BC173" i="5"/>
  <c r="BD192" i="5"/>
  <c r="BD132" i="5"/>
  <c r="BD47" i="5"/>
  <c r="BD7" i="5"/>
  <c r="L261" i="14"/>
  <c r="BD187" i="5"/>
  <c r="BC43" i="5"/>
  <c r="BC95" i="5"/>
  <c r="BC3" i="5"/>
  <c r="BC103" i="5"/>
  <c r="BD191" i="5"/>
  <c r="BD188" i="5"/>
  <c r="BD36" i="5"/>
  <c r="BD66" i="5"/>
  <c r="BD114" i="5"/>
  <c r="BC41" i="5"/>
  <c r="BD124" i="5"/>
  <c r="BD76" i="5"/>
  <c r="BC11" i="5"/>
  <c r="BC141" i="5"/>
  <c r="BD180" i="5"/>
  <c r="AU200" i="5"/>
  <c r="AU121" i="5"/>
  <c r="AU89" i="5"/>
  <c r="BD39" i="5"/>
  <c r="AV138" i="5"/>
  <c r="AU167" i="5"/>
  <c r="AV96" i="5"/>
  <c r="BD116" i="5"/>
  <c r="AV160" i="5"/>
  <c r="BD55" i="5"/>
  <c r="BC94" i="5"/>
  <c r="AV43" i="5"/>
  <c r="AU177" i="5"/>
  <c r="BC57" i="5"/>
  <c r="BC87" i="5"/>
  <c r="BD98" i="5"/>
  <c r="BD163" i="5"/>
  <c r="BD9" i="5"/>
  <c r="BC165" i="5"/>
  <c r="BC132" i="5"/>
  <c r="BC171" i="5"/>
  <c r="BD173" i="5"/>
  <c r="BD69" i="5"/>
  <c r="BD40" i="5"/>
  <c r="AV49" i="5"/>
  <c r="AU51" i="5"/>
  <c r="AV158" i="5"/>
  <c r="BC64" i="5"/>
  <c r="BC7" i="5"/>
  <c r="BD103" i="5"/>
  <c r="BD79" i="5"/>
  <c r="BD130" i="5"/>
  <c r="BC66" i="5"/>
  <c r="BC114" i="5"/>
  <c r="AV134" i="5"/>
  <c r="AU29" i="5"/>
  <c r="BC74" i="5"/>
  <c r="BC59" i="5"/>
  <c r="BD41" i="5"/>
  <c r="AU69" i="5"/>
  <c r="BC18" i="5"/>
  <c r="AU147" i="5"/>
  <c r="AU105" i="5"/>
  <c r="AV112" i="5"/>
  <c r="AV78" i="5"/>
  <c r="BD86" i="5"/>
  <c r="AU132" i="5"/>
  <c r="BC88" i="5"/>
  <c r="AU87" i="5"/>
  <c r="BC196" i="5"/>
  <c r="AU85" i="5"/>
  <c r="BD150" i="5"/>
  <c r="BD147" i="5"/>
  <c r="AV4" i="5"/>
  <c r="BC90" i="5"/>
  <c r="AU176" i="5"/>
  <c r="AU152" i="5"/>
  <c r="AU148" i="5"/>
  <c r="BD151" i="5"/>
  <c r="BD123" i="5"/>
  <c r="BD29" i="5"/>
  <c r="BD42" i="5"/>
  <c r="AV188" i="5"/>
  <c r="AV85" i="5"/>
  <c r="BD160" i="5"/>
  <c r="AV83" i="5"/>
  <c r="AU191" i="5"/>
  <c r="BD107" i="5"/>
  <c r="BC109" i="5"/>
  <c r="BD84" i="5"/>
  <c r="AV182" i="5"/>
  <c r="AU33" i="5"/>
  <c r="AU12" i="5"/>
  <c r="BD56" i="5"/>
  <c r="BC45" i="5"/>
  <c r="AV82" i="5"/>
  <c r="BC56" i="5"/>
  <c r="BC28" i="5"/>
  <c r="BD113" i="5"/>
  <c r="BD43" i="5"/>
  <c r="BD49" i="5"/>
  <c r="BD183" i="5"/>
  <c r="BD126" i="5"/>
  <c r="BD121" i="5"/>
  <c r="BD131" i="5"/>
  <c r="BD176" i="5"/>
  <c r="BD142" i="5"/>
  <c r="BC17" i="5"/>
  <c r="AU134" i="5"/>
  <c r="AV178" i="5"/>
  <c r="AV29" i="5"/>
  <c r="AV69" i="5"/>
  <c r="AV148" i="5"/>
  <c r="AV88" i="5"/>
  <c r="AU136" i="5"/>
  <c r="AU80" i="5"/>
  <c r="AU27" i="5"/>
  <c r="BC164" i="5"/>
  <c r="AV113" i="5"/>
  <c r="BC181" i="5"/>
  <c r="BC159" i="5"/>
  <c r="BD118" i="5"/>
  <c r="BD196" i="5"/>
  <c r="AU4" i="5"/>
  <c r="AV33" i="5"/>
  <c r="BD194" i="5"/>
  <c r="BD120" i="5"/>
  <c r="BD164" i="5"/>
  <c r="AU124" i="5"/>
  <c r="BD83" i="5"/>
  <c r="AU95" i="5"/>
  <c r="BD78" i="5"/>
  <c r="AV54" i="5"/>
  <c r="AU63" i="5"/>
  <c r="BD10" i="5"/>
  <c r="BD122" i="5"/>
  <c r="BC84" i="5"/>
  <c r="BD190" i="5"/>
  <c r="BD68" i="5"/>
  <c r="BD44" i="5"/>
  <c r="BC154" i="5"/>
  <c r="BC47" i="5"/>
  <c r="AV28" i="5"/>
  <c r="BD45" i="5"/>
  <c r="AU189" i="5"/>
  <c r="BD25" i="5"/>
  <c r="BD67" i="5"/>
  <c r="BC157" i="5"/>
  <c r="BD64" i="5"/>
  <c r="BC117" i="5"/>
  <c r="BC170" i="5"/>
  <c r="BD148" i="5"/>
  <c r="BC33" i="5"/>
  <c r="BC183" i="5"/>
  <c r="BD185" i="5"/>
  <c r="BD198" i="5"/>
  <c r="BC121" i="5"/>
  <c r="BD6" i="5"/>
  <c r="BC131" i="5"/>
  <c r="BC176" i="5"/>
  <c r="BC142" i="5"/>
  <c r="BD161" i="5"/>
  <c r="BD17" i="5"/>
  <c r="BD74" i="5"/>
  <c r="BD59" i="5"/>
  <c r="AV130" i="5"/>
  <c r="AV91" i="5"/>
  <c r="AU88" i="5"/>
  <c r="AV177" i="5"/>
  <c r="AU188" i="5"/>
  <c r="BC155" i="5"/>
  <c r="BC86" i="5"/>
  <c r="AV37" i="5"/>
  <c r="BD136" i="5"/>
  <c r="AU66" i="5"/>
  <c r="BC110" i="5"/>
  <c r="AV101" i="5"/>
  <c r="AU102" i="5"/>
  <c r="BC112" i="5"/>
  <c r="BD110" i="5"/>
  <c r="AU52" i="5"/>
  <c r="BD172" i="5"/>
  <c r="BD159" i="5"/>
  <c r="BC5" i="5"/>
  <c r="BC20" i="5"/>
  <c r="AU138" i="5"/>
  <c r="BC19" i="5"/>
  <c r="AV87" i="5"/>
  <c r="AV72" i="5"/>
  <c r="BC22" i="5"/>
  <c r="BD143" i="5"/>
  <c r="AV136" i="5"/>
  <c r="AV162" i="5"/>
  <c r="BC153" i="5"/>
  <c r="BD30" i="5"/>
  <c r="BD96" i="5"/>
  <c r="BD108" i="5"/>
  <c r="BD81" i="5"/>
  <c r="AU28" i="5"/>
  <c r="AU195" i="5"/>
  <c r="AU13" i="5"/>
  <c r="AV189" i="5"/>
  <c r="BD26" i="5"/>
  <c r="BC137" i="5"/>
  <c r="BD57" i="5"/>
  <c r="BC145" i="5"/>
  <c r="BC162" i="5"/>
  <c r="BC104" i="5"/>
  <c r="BC9" i="5"/>
  <c r="BC184" i="5"/>
  <c r="AV152" i="5"/>
  <c r="BD162" i="5"/>
  <c r="BD149" i="5"/>
  <c r="AU92" i="5"/>
  <c r="AU47" i="5"/>
  <c r="AV147" i="5"/>
  <c r="BC99" i="5"/>
  <c r="BD92" i="5"/>
  <c r="AV124" i="5"/>
  <c r="AV100" i="5"/>
  <c r="BD20" i="5"/>
  <c r="AU143" i="5"/>
  <c r="BD32" i="5"/>
  <c r="AU182" i="5"/>
  <c r="AU37" i="5"/>
  <c r="BC139" i="5"/>
  <c r="BC118" i="5"/>
  <c r="AU60" i="5"/>
  <c r="BC97" i="5"/>
  <c r="BD119" i="5"/>
  <c r="AV51" i="5"/>
  <c r="AU183" i="5"/>
  <c r="AV13" i="5"/>
  <c r="BD100" i="5"/>
  <c r="BC29" i="5"/>
  <c r="BD152" i="5"/>
  <c r="BC198" i="5"/>
  <c r="BC6" i="5"/>
  <c r="BD38" i="5"/>
  <c r="AU103" i="5"/>
  <c r="BC55" i="5"/>
  <c r="AV150" i="5"/>
  <c r="AV52" i="5"/>
  <c r="BC146" i="5"/>
  <c r="BC24" i="5"/>
  <c r="BC140" i="5"/>
  <c r="BC44" i="5"/>
  <c r="AU128" i="5"/>
  <c r="BC120" i="5"/>
  <c r="BD169" i="5"/>
  <c r="BD21" i="5"/>
  <c r="AU150" i="5"/>
  <c r="BD193" i="5"/>
  <c r="BD184" i="5"/>
  <c r="BD18" i="5"/>
  <c r="BC70" i="5"/>
  <c r="AV121" i="5"/>
  <c r="BC42" i="5"/>
  <c r="BD141" i="5"/>
  <c r="AU110" i="5"/>
  <c r="BD53" i="5"/>
  <c r="BD101" i="5"/>
  <c r="BC75" i="5"/>
  <c r="AU35" i="5"/>
  <c r="BD75" i="5"/>
  <c r="BC96" i="5"/>
  <c r="AU126" i="5"/>
  <c r="AV115" i="5"/>
  <c r="BD181" i="5"/>
  <c r="AV8" i="5"/>
  <c r="BC179" i="5"/>
  <c r="AV141" i="5"/>
  <c r="AU141" i="5"/>
  <c r="BC26" i="5"/>
  <c r="BD137" i="5"/>
  <c r="BC8" i="5"/>
  <c r="BD48" i="5"/>
  <c r="BC46" i="5"/>
  <c r="BD135" i="5"/>
  <c r="BD4" i="5"/>
  <c r="BD85" i="5"/>
  <c r="BD60" i="5"/>
  <c r="BC186" i="5"/>
  <c r="BC138" i="5"/>
  <c r="BC34" i="5"/>
  <c r="BC168" i="5"/>
  <c r="AV161" i="5"/>
  <c r="BD16" i="5"/>
  <c r="AU81" i="5"/>
  <c r="AV74" i="5"/>
  <c r="AU163" i="5"/>
  <c r="AV154" i="5"/>
  <c r="AU172" i="5"/>
  <c r="BD24" i="5"/>
  <c r="BD77" i="5"/>
  <c r="BD99" i="5"/>
  <c r="BD106" i="5"/>
  <c r="AV167" i="5"/>
  <c r="AV27" i="5"/>
  <c r="BD171" i="5"/>
  <c r="AV73" i="5"/>
  <c r="BD82" i="5"/>
  <c r="AU26" i="5"/>
  <c r="BC101" i="5"/>
  <c r="AU36" i="5"/>
  <c r="AV105" i="5"/>
  <c r="BC76" i="5"/>
  <c r="BC178" i="5"/>
  <c r="BD177" i="5"/>
  <c r="AU65" i="5"/>
  <c r="BD97" i="5"/>
  <c r="AV65" i="5"/>
  <c r="BC182" i="5"/>
  <c r="BD155" i="5"/>
  <c r="AV61" i="5"/>
  <c r="AU122" i="5"/>
  <c r="BD139" i="5"/>
  <c r="BC125" i="5"/>
  <c r="BC192" i="5"/>
  <c r="AV191" i="5"/>
  <c r="BC63" i="5"/>
  <c r="AU7" i="5"/>
  <c r="BD125" i="5"/>
  <c r="K259" i="14"/>
  <c r="K261" i="14"/>
  <c r="BD157" i="5"/>
  <c r="BC93" i="5"/>
  <c r="BD133" i="5"/>
  <c r="BC48" i="5"/>
  <c r="BD37" i="5"/>
  <c r="BC115" i="5"/>
  <c r="BC4" i="5"/>
  <c r="BD73" i="5"/>
  <c r="BD91" i="5"/>
  <c r="BD89" i="5"/>
  <c r="BC85" i="5"/>
  <c r="BC158" i="5"/>
  <c r="BD195" i="5"/>
  <c r="BD54" i="5"/>
  <c r="AU161" i="5"/>
  <c r="BD199" i="5"/>
  <c r="AV44" i="5"/>
  <c r="BC2" i="5"/>
  <c r="AU74" i="5"/>
  <c r="AV97" i="5"/>
  <c r="AV18" i="5"/>
  <c r="AV172" i="5"/>
  <c r="BD104" i="5"/>
  <c r="BC169" i="5"/>
  <c r="BC77" i="5"/>
  <c r="AU113" i="5"/>
  <c r="AU100" i="5"/>
  <c r="AV176" i="5"/>
  <c r="BC68" i="5"/>
  <c r="BD87" i="5"/>
  <c r="BC150" i="5"/>
  <c r="BD128" i="5"/>
  <c r="AU112" i="5"/>
  <c r="BC69" i="5"/>
  <c r="BD88" i="5"/>
  <c r="BC143" i="5"/>
  <c r="BC193" i="5"/>
  <c r="AV35" i="5"/>
  <c r="BD19" i="5"/>
  <c r="BC116" i="5"/>
  <c r="BD156" i="5"/>
  <c r="AV195" i="5"/>
  <c r="BD70" i="5"/>
  <c r="AV132" i="5"/>
  <c r="BC111" i="5"/>
  <c r="BC119" i="5"/>
  <c r="BC67" i="5"/>
  <c r="BC25" i="5"/>
  <c r="AU49" i="5"/>
  <c r="BD111" i="5"/>
  <c r="BD134" i="5"/>
  <c r="BD94" i="5"/>
  <c r="BC30" i="5"/>
  <c r="BC187" i="5"/>
  <c r="BD8" i="5"/>
  <c r="BD145" i="5"/>
  <c r="C86" i="15"/>
  <c r="F12" i="14"/>
  <c r="E13" i="14"/>
  <c r="F13" i="14"/>
  <c r="E11" i="14"/>
  <c r="F11" i="14"/>
  <c r="C16" i="15"/>
  <c r="D43" i="20" s="1"/>
  <c r="C19" i="15"/>
  <c r="D46" i="20" s="1"/>
  <c r="F14" i="14"/>
  <c r="D15" i="14"/>
  <c r="F41" i="14" s="1"/>
  <c r="C20" i="15"/>
  <c r="D47" i="20" s="1"/>
  <c r="C17" i="15"/>
  <c r="D44" i="20" s="1"/>
  <c r="C18" i="15"/>
  <c r="D45" i="20" s="1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C28" i="20" s="1"/>
  <c r="K258" i="14"/>
  <c r="G261" i="14"/>
  <c r="F261" i="14"/>
  <c r="B66" i="15" l="1"/>
  <c r="E53" i="20"/>
  <c r="F53" i="20"/>
  <c r="B53" i="20"/>
  <c r="B52" i="20"/>
  <c r="M262" i="14"/>
  <c r="O262" i="14" s="1"/>
  <c r="M261" i="14"/>
  <c r="O261" i="14" s="1"/>
  <c r="M259" i="14"/>
  <c r="O259" i="14" s="1"/>
  <c r="L263" i="14"/>
  <c r="E15" i="14"/>
  <c r="F16" i="14" s="1"/>
  <c r="C35" i="15"/>
  <c r="B36" i="15"/>
  <c r="B63" i="15" s="1"/>
  <c r="B16" i="13"/>
  <c r="B23" i="13" s="1"/>
  <c r="B19" i="13"/>
  <c r="K263" i="14"/>
  <c r="M258" i="14"/>
  <c r="C36" i="15" l="1"/>
  <c r="B16" i="14"/>
  <c r="B21" i="14" s="1"/>
  <c r="B23" i="14" s="1"/>
  <c r="F15" i="14"/>
  <c r="H14" i="15"/>
  <c r="C25" i="20" s="1"/>
  <c r="J41" i="14"/>
  <c r="B38" i="15"/>
  <c r="E9" i="20" s="1"/>
  <c r="A39" i="15"/>
  <c r="E35" i="15" s="1"/>
  <c r="M263" i="14"/>
  <c r="A265" i="14" s="1"/>
  <c r="O258" i="14"/>
  <c r="E4" i="15" l="1"/>
  <c r="B64" i="15"/>
  <c r="H41" i="14"/>
  <c r="D22" i="15"/>
  <c r="H33" i="15"/>
  <c r="C27" i="20" s="1"/>
  <c r="B26" i="14"/>
  <c r="B9" i="20" s="1"/>
  <c r="E26" i="14"/>
  <c r="J4" i="14" s="1"/>
  <c r="C38" i="15"/>
  <c r="G5" i="15"/>
  <c r="C9" i="20" l="1"/>
  <c r="E49" i="20"/>
  <c r="B65" i="15"/>
  <c r="B60" i="15"/>
  <c r="B62" i="15"/>
  <c r="E8" i="15"/>
  <c r="H8" i="15"/>
  <c r="C24" i="20" s="1"/>
  <c r="E6" i="15"/>
  <c r="C22" i="15"/>
  <c r="D49" i="20" s="1"/>
  <c r="D5" i="15"/>
  <c r="H4" i="15"/>
  <c r="B28" i="14"/>
  <c r="C5" i="15"/>
  <c r="B86" i="15"/>
  <c r="C17" i="20" s="1"/>
  <c r="B207" i="1"/>
  <c r="J5" i="15" l="1"/>
  <c r="G2" i="15" s="1"/>
  <c r="B87" i="15"/>
  <c r="C20" i="20" s="1"/>
  <c r="C4" i="15"/>
  <c r="B3" i="15"/>
  <c r="G6" i="20" s="1"/>
  <c r="B67" i="15" l="1"/>
  <c r="C87" i="15"/>
  <c r="D20" i="20" s="1"/>
  <c r="B7" i="15"/>
  <c r="G10" i="20" s="1"/>
  <c r="A7" i="15"/>
  <c r="G9" i="20" s="1"/>
  <c r="G1" i="15"/>
  <c r="A86" i="15"/>
  <c r="B17" i="20" s="1"/>
  <c r="C85" i="15"/>
  <c r="A85" i="15"/>
  <c r="B16" i="20" s="1"/>
  <c r="A83" i="15"/>
  <c r="B14" i="20" s="1"/>
  <c r="A80" i="15"/>
  <c r="E25" i="15"/>
  <c r="D25" i="15"/>
  <c r="C25" i="15"/>
  <c r="B25" i="15"/>
  <c r="A24" i="15"/>
  <c r="D15" i="15"/>
  <c r="E42" i="20" s="1"/>
  <c r="A15" i="15"/>
  <c r="B41" i="20" s="1"/>
</calcChain>
</file>

<file path=xl/sharedStrings.xml><?xml version="1.0" encoding="utf-8"?>
<sst xmlns="http://schemas.openxmlformats.org/spreadsheetml/2006/main" count="40904" uniqueCount="744">
  <si>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</si>
  <si>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</si>
  <si>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</si>
  <si>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</si>
  <si>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</si>
  <si>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</si>
  <si>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</si>
  <si>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</si>
  <si>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</si>
  <si>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</si>
  <si>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</si>
  <si>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</si>
  <si>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</si>
  <si>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</si>
  <si>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</si>
  <si>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</si>
  <si>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</si>
  <si>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</si>
  <si>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</si>
  <si>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</si>
  <si>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</si>
  <si>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</si>
  <si>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</si>
  <si>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</si>
  <si>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</si>
  <si>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</si>
  <si>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</si>
  <si>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</si>
  <si>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</si>
  <si>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</si>
  <si>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</si>
  <si>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</si>
  <si>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</si>
  <si>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</si>
  <si>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</si>
  <si>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</si>
  <si>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</si>
  <si>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</si>
  <si>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</si>
  <si>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</si>
  <si>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</si>
  <si>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</si>
  <si>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</si>
  <si>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</si>
  <si>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</si>
  <si>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</si>
  <si>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</si>
  <si>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</si>
  <si>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</si>
  <si>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</si>
  <si>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</si>
  <si>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</si>
  <si>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</si>
  <si>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</si>
  <si>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</si>
  <si>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</si>
  <si>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</si>
  <si>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</si>
  <si>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</si>
  <si>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</si>
  <si>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</si>
  <si>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</si>
  <si>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</si>
  <si>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</si>
  <si>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</si>
  <si>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</si>
  <si>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</si>
  <si>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</si>
  <si>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</si>
  <si>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</si>
  <si>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</si>
  <si>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</si>
  <si>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</si>
  <si>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</si>
  <si>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</si>
  <si>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</si>
  <si>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</si>
  <si>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</si>
  <si>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</si>
  <si>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</si>
  <si>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</si>
  <si>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</si>
  <si>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</si>
  <si>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</si>
  <si>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</si>
  <si>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</si>
  <si>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</si>
  <si>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</si>
  <si>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</si>
  <si>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</si>
  <si>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</si>
  <si>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</si>
  <si>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</si>
  <si>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</si>
  <si>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</si>
  <si>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</si>
  <si>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</si>
  <si>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</si>
  <si>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</si>
  <si>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</si>
  <si>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</si>
  <si>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</si>
  <si>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</si>
  <si>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</si>
  <si>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</si>
  <si>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</si>
  <si>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</si>
  <si>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</si>
  <si>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</si>
  <si>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</si>
  <si>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</si>
  <si>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</si>
  <si>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</si>
  <si>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</si>
  <si>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</si>
  <si>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</si>
  <si>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</si>
  <si>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</si>
  <si>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</si>
  <si>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</si>
  <si>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</si>
  <si>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</si>
  <si>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</si>
  <si>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</si>
  <si>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</si>
  <si>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</si>
  <si>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</si>
  <si>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</si>
  <si>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</si>
  <si>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</si>
  <si>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</si>
  <si>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</si>
  <si>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</si>
  <si>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</si>
  <si>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</si>
  <si>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</si>
  <si>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</si>
  <si>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</si>
  <si>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</si>
  <si>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</si>
  <si>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</si>
  <si>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</si>
  <si>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</si>
  <si>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</si>
  <si>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</si>
  <si>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</si>
  <si>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</si>
  <si>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</si>
  <si>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</si>
  <si>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</si>
  <si>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</si>
  <si>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</si>
  <si>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</si>
  <si>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</si>
  <si>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</si>
  <si>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</si>
  <si>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</si>
  <si>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</si>
  <si>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</si>
  <si>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</si>
  <si>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</si>
  <si>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</si>
  <si>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</si>
  <si>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</si>
  <si>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</si>
  <si>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</si>
  <si>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</si>
  <si>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</si>
  <si>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</si>
  <si>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</si>
  <si>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</si>
  <si>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</si>
  <si>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</si>
  <si>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</si>
  <si>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</si>
  <si>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</si>
  <si>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</si>
  <si>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</si>
  <si>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</si>
  <si>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</si>
  <si>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</si>
  <si>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</si>
  <si>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</si>
  <si>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</si>
  <si>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</si>
  <si>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</si>
  <si>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</si>
  <si>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</si>
  <si>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</si>
  <si>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</si>
  <si>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</si>
  <si>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</si>
  <si>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</si>
  <si>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</si>
  <si>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</si>
  <si>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</si>
  <si>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</si>
  <si>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</si>
  <si>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</si>
  <si>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</si>
  <si>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</si>
  <si>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</si>
  <si>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</si>
  <si>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</si>
  <si>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</si>
  <si>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</si>
  <si>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</si>
  <si>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</si>
  <si>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</si>
  <si>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</si>
  <si>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</si>
  <si>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</si>
  <si>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</si>
  <si>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</si>
  <si>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</si>
  <si>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</si>
  <si>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</si>
  <si>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</si>
  <si>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</si>
  <si>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</si>
  <si>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</si>
  <si>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</si>
  <si>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</si>
  <si>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</si>
  <si>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</si>
  <si>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</si>
  <si>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</si>
  <si>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</si>
  <si>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</si>
  <si>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</si>
  <si>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</si>
  <si>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</si>
  <si>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</si>
  <si>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</si>
  <si>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</si>
  <si>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</si>
  <si>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</si>
  <si>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</si>
  <si>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</si>
  <si>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</si>
  <si>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</si>
  <si>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</si>
  <si>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</si>
  <si>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</si>
  <si>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</si>
  <si>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</si>
  <si>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</si>
  <si>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</si>
  <si>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</si>
  <si>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</si>
  <si>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</si>
  <si>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</si>
  <si>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</si>
  <si>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</si>
  <si>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</si>
  <si>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</si>
  <si>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</si>
  <si>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</si>
  <si>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</si>
  <si>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</si>
  <si>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</si>
  <si>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</si>
  <si>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</si>
  <si>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</si>
  <si>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</si>
  <si>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</si>
  <si>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</si>
  <si>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</si>
  <si>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</si>
  <si>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</si>
  <si>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</si>
  <si>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</si>
  <si>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</si>
  <si>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</si>
  <si>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</si>
  <si>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</si>
  <si>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</si>
  <si>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</si>
  <si>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</si>
  <si>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</si>
  <si>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</si>
  <si>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</si>
  <si>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</si>
  <si>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</si>
  <si>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</si>
  <si>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</si>
  <si>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</si>
  <si>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</si>
  <si>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</si>
  <si>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</si>
  <si>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</si>
  <si>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</si>
  <si>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</si>
  <si>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</si>
  <si>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</si>
  <si>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</si>
  <si>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</si>
  <si>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</si>
  <si>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</si>
  <si>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</si>
  <si>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</si>
  <si>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</si>
  <si>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</si>
  <si>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</si>
  <si>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</si>
  <si>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</si>
  <si>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</si>
  <si>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</si>
  <si>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</si>
  <si>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</si>
  <si>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</si>
  <si>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</si>
  <si>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</si>
  <si>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</si>
  <si>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</si>
  <si>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</si>
  <si>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</si>
  <si>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</si>
  <si>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</si>
  <si>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</si>
  <si>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</si>
  <si>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</si>
  <si>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</si>
  <si>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</si>
  <si>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</si>
  <si>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</si>
  <si>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</si>
  <si>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</si>
  <si>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</si>
  <si>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</si>
  <si>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</si>
  <si>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</si>
  <si>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</si>
  <si>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</si>
  <si>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</si>
  <si>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</si>
  <si>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</si>
  <si>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</si>
  <si>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</si>
  <si>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</si>
  <si>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</si>
  <si>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</si>
  <si>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</si>
  <si>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</si>
  <si>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</si>
  <si>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</si>
  <si>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</si>
  <si>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</si>
  <si>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</si>
  <si>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</si>
  <si>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</si>
  <si>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</si>
  <si>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</si>
  <si>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</si>
  <si>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</si>
  <si>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</si>
  <si>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</si>
  <si>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</si>
  <si>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</si>
  <si>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</si>
  <si>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</si>
  <si>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</si>
  <si>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</si>
  <si>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</si>
  <si>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</si>
  <si>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</si>
  <si>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</si>
  <si>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</si>
  <si>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</si>
  <si>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</si>
  <si>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</si>
  <si>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</si>
  <si>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</si>
  <si>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</si>
  <si>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</si>
  <si>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</si>
  <si>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</si>
  <si>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</si>
  <si>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</si>
  <si>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</si>
  <si>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</si>
  <si>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</si>
  <si>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</si>
  <si>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</si>
  <si>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</si>
  <si>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</si>
  <si>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</si>
  <si>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</si>
  <si>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</si>
  <si>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</si>
  <si>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</si>
  <si>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</si>
  <si>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</si>
  <si>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</si>
  <si>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</si>
  <si>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</si>
  <si>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</si>
  <si>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</si>
  <si>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</si>
  <si>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</si>
  <si>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</si>
  <si>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</si>
  <si>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</si>
  <si>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</si>
  <si>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</si>
  <si>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</si>
  <si>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</si>
  <si>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</si>
  <si>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</si>
  <si>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</si>
  <si>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</si>
  <si>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</si>
  <si>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</si>
  <si>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</si>
  <si>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</si>
  <si>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</si>
  <si>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</si>
  <si>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</si>
  <si>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</si>
  <si>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</si>
  <si>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</si>
  <si>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</si>
  <si>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</si>
  <si>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</si>
  <si>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</si>
  <si>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</si>
  <si>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</si>
  <si>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</si>
  <si>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COMPARATIVO — NAO E VTA OFICIAL</t>
  </si>
  <si>
    <t>Ajuste manual não rateado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</si>
  <si>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</si>
  <si>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</si>
  <si>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</si>
  <si>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</si>
  <si>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</si>
  <si>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</si>
  <si>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</si>
  <si>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</si>
  <si>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</si>
  <si>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</si>
  <si>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</si>
  <si>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</si>
  <si>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</si>
  <si>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</si>
  <si>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</si>
  <si>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</si>
  <si>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4. Total com efeito financeiro</t>
  </si>
  <si>
    <t>5. Total sem efeito financeiro</t>
  </si>
  <si>
    <t>6. Retroativo reconhecido</t>
  </si>
  <si>
    <t>Saldo = remanescente atualizado na abertura do ciclo − executado atualizado até a data.</t>
  </si>
  <si>
    <t>5. AJUSTES MANUAIS</t>
  </si>
  <si>
    <t>USAR SOMENTE QUANDO NECESSÁRIO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</si>
  <si>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</si>
  <si>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</si>
  <si>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</si>
  <si>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</si>
  <si>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</si>
  <si>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</si>
  <si>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</si>
  <si>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</si>
  <si>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</si>
  <si>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</si>
  <si>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</si>
  <si>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Remanescente atualizado (base) do item</t>
  </si>
  <si>
    <t>Execucao Consumida Atualizada</t>
  </si>
  <si>
    <t>Parcela</t>
  </si>
  <si>
    <t>De onde vem</t>
  </si>
  <si>
    <t>Retroativo potencial de PCs em analise (ate o corte)</t>
  </si>
  <si>
    <t>ITEM
(NOVO ITEM: cadastrar em itens_Remanesc PRIMEIRO - N001, N002...; QTD_BASE_ORIGINAL fica 0 automaticamente; informar o VU_ORIGINAL. Depois, a data e a quantidade aqui.)</t>
  </si>
  <si>
    <t>TODOS OS PCs CADASTRADOS POR CICLO</t>
  </si>
  <si>
    <t>QTD. DE PCs</t>
  </si>
  <si>
    <t>VALOR ORIGINAL TOTAL</t>
  </si>
  <si>
    <t>VALOR DOS PCs COM FATOR DO CICLO</t>
  </si>
  <si>
    <t>RETROATIVO RECONHECIDO</t>
  </si>
  <si>
    <t>RETROATIVO POTENCIAL</t>
  </si>
  <si>
    <t>QTD. COM ALERTA</t>
  </si>
  <si>
    <t>PCs CONSIDERADOS NA APURAÇÃO ATÉ A DATA DE CORTE</t>
  </si>
  <si>
    <t>PCs pagos/reconhecidos</t>
  </si>
  <si>
    <t>Retroativo reconhecido</t>
  </si>
  <si>
    <t>Retroativo potencial</t>
  </si>
  <si>
    <t>Fora da data de corte</t>
  </si>
  <si>
    <t>COMO OS PCs SÃO TRATADOS</t>
  </si>
  <si>
    <t>PC pago e dentro da data de corte: integra a execução considerada.</t>
  </si>
  <si>
    <t>C0: não recebe reajuste e não gera retroativo.</t>
  </si>
  <si>
    <t>C1 em diante: pode receber reajuste conforme os efeitos financeiros.</t>
  </si>
  <si>
    <t>PC pago + efeito financeiro: retroativo reconhecido.</t>
  </si>
  <si>
    <t>PC não pago + efeito financeiro: retroativo potencial.</t>
  </si>
  <si>
    <t>PC posterior à data de corte: não participa desta apuração.</t>
  </si>
  <si>
    <t>1. COMO O VTA FOI CALCULADO</t>
  </si>
  <si>
    <t>Diferença</t>
  </si>
  <si>
    <t>O QUE ESTE VALOR REPRESENTA</t>
  </si>
  <si>
    <t>1. Total cadastrado de Pedidos de Compra</t>
  </si>
  <si>
    <t>Todos os PCs informados, sem aplicar a data de corte.</t>
  </si>
  <si>
    <t>2. Total até a data de corte</t>
  </si>
  <si>
    <t>Total dos PCs com data igual ou anterior à data de corte.</t>
  </si>
  <si>
    <t>3. Total distribuído nos ciclos</t>
  </si>
  <si>
    <t>PCs localizados nos ciclos contratuais e dentro da data de corte.</t>
  </si>
  <si>
    <t>PCs alcançados pelos efeitos financeiros do respectivo ciclo.</t>
  </si>
  <si>
    <t>PCs anteriores ao início dos efeitos financeiros do ciclo.</t>
  </si>
  <si>
    <t>Execução registrada para o ciclo em andamento.</t>
  </si>
  <si>
    <t>Saldo atualizado que ainda falta executar.</t>
  </si>
  <si>
    <t>R$ 0,00 indica que as duas formas de cálculo chegaram ao mesmo valor.</t>
  </si>
  <si>
    <t>Situação final apresentada por esta aba.</t>
  </si>
  <si>
    <t>Valor informado</t>
  </si>
  <si>
    <t>Valor estimado</t>
  </si>
  <si>
    <t>Resultado</t>
  </si>
  <si>
    <t>9. VALOR TOTAL ATUALIZADO DO CONTRATO</t>
  </si>
  <si>
    <t>Diferença entre as formas de cálculo (deve ser R$ 0,00)</t>
  </si>
  <si>
    <t>[AUDITORIA INTERNA] Posicao fisica atual - nao e VTA</t>
  </si>
  <si>
    <t>CICLO_EM_EXECUCAO (fiscal) + itens_PC (C0/encerrados)</t>
  </si>
  <si>
    <t>[AUDITORIA INTERNA] Ultima posicao de abertura - nao e VTA</t>
  </si>
  <si>
    <t>itens_PC!O+Q (valor considerado) + posicao_contratual (G/K/O/S/W) x historico_VU</t>
  </si>
  <si>
    <t>[AUDITORIA INTERNA] Contrato original integralmente reajustado - comparativo</t>
  </si>
  <si>
    <t>comparativo_VTA!B208</t>
  </si>
  <si>
    <t>[AUDITORIA INTERNA] Reconciliacao (posicao atual - ultima abertura)</t>
  </si>
  <si>
    <t>Diferenca entre FORMA 1 e FORMA 2 (0 = reconciliado)</t>
  </si>
  <si>
    <t>MEMORIA!W50 − MEMORIA!W48</t>
  </si>
  <si>
    <t>Valor original reconhecido</t>
  </si>
  <si>
    <t>Valor atualizado reconhecido</t>
  </si>
  <si>
    <t>Outras situações / fora dos ciclos</t>
  </si>
  <si>
    <t>PC não pago e com data do PC até o corte: permanece em análise pela área gestora.</t>
  </si>
  <si>
    <t>PC não pago + sem efeito financeiro: permanece em análise; só há retroativo potencial quando houver efeito financeiro.</t>
  </si>
  <si>
    <t>Valor original = PC reconhecido antes do reajuste; valor em análise = registro vigente dos PCs ainda em análise.</t>
  </si>
  <si>
    <t>6. TOTAIS E INDICADORES DE CONFERÊNCIA</t>
  </si>
  <si>
    <t>VTA-PC antes da parcela potencial</t>
  </si>
  <si>
    <t>VALOR EM ANÁLISE - NÃO PAGOS (ÁREA GEST.)</t>
  </si>
  <si>
    <t>Valor em análise — não pagos (regra vigente)</t>
  </si>
  <si>
    <t>RETROATIVO RECONHECIDO A PAGAR</t>
  </si>
  <si>
    <t>Diferença reconhecida dos PCs pagos e alcançados pelos efeitos financeiros. É o retroativo a pagar.</t>
  </si>
  <si>
    <t>7. Retroativo potencial — POTENCIAL</t>
  </si>
  <si>
    <t>8. Retroativo considerado no VTA</t>
  </si>
  <si>
    <t>Soma da medida 6 com a medida 7: o retroativo total que o Valor Total Atualizado já considera.</t>
  </si>
  <si>
    <t>9. Execução do ciclo atual</t>
  </si>
  <si>
    <t>10. Saldo remanescente atual</t>
  </si>
  <si>
    <t>11. VTA oficial</t>
  </si>
  <si>
    <t>Valor Total Atualizado apurado pelo método selecionado. No método de Pedidos de Compra ele já inclui a medida 7.</t>
  </si>
  <si>
    <t>12. Diferença entre as formas de cálculo</t>
  </si>
  <si>
    <t>13. Resultado da apuração</t>
  </si>
  <si>
    <t>Retroativo potencial INCORPORADO ao VTA (soma das parcelas POSITIVAS, PC a PC, de todos os ciclos ate a data de corte)</t>
  </si>
  <si>
    <t>Retroativo potencial APURADO liquido (informativo; pode ser negativo e nunca e o valor somado ao VTA)</t>
  </si>
  <si>
    <t>Potencial POSITIVO C0 (itens_PC!J &gt; 0, ate a data de corte)</t>
  </si>
  <si>
    <t>Potencial POSITIVO C1 (itens_PC!J &gt; 0, ate a data de corte)</t>
  </si>
  <si>
    <t>Potencial POSITIVO C2 (itens_PC!J &gt; 0, ate a data de corte)</t>
  </si>
  <si>
    <t>Potencial POSITIVO C3 (itens_PC!J &gt; 0, ate a data de corte)</t>
  </si>
  <si>
    <t>Potencial POSITIVO C4 (itens_PC!J &gt; 0, ate a data de corte)</t>
  </si>
  <si>
    <t>Parcela potencial NEGATIVA apurada (permanece visivel; nao reduz o VTA nem compensa parcela positiva)</t>
  </si>
  <si>
    <t>Soma de TODAS as parcelas potenciais positivas dos PCs em análise até a data de corte — inclusive as do ciclo vigente. O VTA a incorpora por critério prudencial. Não é retroativo reconhecido nem valor a pagar.</t>
  </si>
  <si>
    <t>AJUSTE_CICLO</t>
  </si>
  <si>
    <t>AJUSTE_VALOR_CALCULADO</t>
  </si>
  <si>
    <t>AJUSTE_TIPO</t>
  </si>
  <si>
    <t>AJUSTE_VALOR_INFORMADO</t>
  </si>
  <si>
    <t>AJUSTE_VALOR_PAGO_CONSIDERADO</t>
  </si>
  <si>
    <t>AJUSTE_GLOSA</t>
  </si>
  <si>
    <t>AJUSTE_FATOR_NOVO</t>
  </si>
  <si>
    <t>AJUSTE_VALOR_PAGO_ATUALIZADO</t>
  </si>
  <si>
    <t>AJUSTE_RETROATIVO</t>
  </si>
  <si>
    <t>AJUSTE_STATUS</t>
  </si>
  <si>
    <t>AJUSTE_TIPO vazio = comportamento normal. Escolha 'Valor pago' para informar o valor bruto reconhecido apos a glosa, ou 'Glosa' para informar o total glosado no ciclo.</t>
  </si>
  <si>
    <t>Valor pago = valor bruto da execucao economicamente reconhecida, ANTES do reajuste que esta sendo apurado neste ciclo mas JA com os reajustes anteriores ja formalizados. Nao e valor liquido: IR, ISS, INSS e demais retencoes tributarias nao sao glosa.</t>
  </si>
  <si>
    <t>Compare sempre com AJUSTE_VALOR_CALCULADO: ele ja esta na mesma base monetaria do que se pagava no ciclo (QTD x VU_ORIGINAL x fator vigente anterior). AJUSTE_FATOR_NOVO e so o reajuste novo do ciclo - o acumulado nunca e reaplicado sobre um valor que ja o contem.</t>
  </si>
  <si>
    <t>A glosa e financeira: nao altera quantidade consumida nem devolve saldo ao remanescente. Uma glosa que alcance dois ciclos deve ser segregada entre eles.</t>
  </si>
  <si>
    <t>AJUSTES DA EXECUCAO - VALOR PAGO / GLOSA (metodo Itens)</t>
  </si>
  <si>
    <t>Valor calculado da execucao (ciclos ajustados)</t>
  </si>
  <si>
    <t>Glosa total</t>
  </si>
  <si>
    <t>Valor pago considerado</t>
  </si>
  <si>
    <t>Valor pago atualizado</t>
  </si>
  <si>
    <t>Retroativo do valor pago</t>
  </si>
  <si>
    <t>Status dos ajustes</t>
  </si>
  <si>
    <t>SEM EFEITO FINANCEIRO — apoio informativo (não compõe VTA, retroativo nem total)</t>
  </si>
  <si>
    <t>Ciclo computado nesta apuração? (1/0)</t>
  </si>
  <si>
    <t>Início do ciclo (parametros!C)</t>
  </si>
  <si>
    <t>Início dos efeitos financeiros (parametros!H)</t>
  </si>
  <si>
    <t>Limite: 1º dia do mês do início dos efeitos</t>
  </si>
  <si>
    <t>Há período anterior aos efeitos? (1/0; vazio = indeterminado)</t>
  </si>
  <si>
    <t>Qtd. de PCs / competências com execução sem efeito</t>
  </si>
  <si>
    <t>PCs com fator numérico (qtd) / fator do ciclo (financeiro!D)</t>
  </si>
  <si>
    <t>Valor original da execução sem efeito</t>
  </si>
  <si>
    <t>Valor que teriam com o reajuste</t>
  </si>
  <si>
    <t>Diferença sem efeito financeiro (informativa)</t>
  </si>
  <si>
    <t>Consumo informado no ciclo (qtd; método Itens)</t>
  </si>
  <si>
    <t>Estado: A valores | B sem execução | C não mensurável | D sem período</t>
  </si>
  <si>
    <t>Primeira competência sem efeito (Financeiro)</t>
  </si>
  <si>
    <t>Última competência sem efeito (Financeiro)</t>
  </si>
  <si>
    <t>Período sem efeito (texto)</t>
  </si>
  <si>
    <t>Início dos efeitos (texto)</t>
  </si>
  <si>
    <t>Linha 1 do quadro (texto)</t>
  </si>
  <si>
    <t>Linha 2 do quadro (texto)</t>
  </si>
  <si>
    <t>Quadro visível? (1/0)</t>
  </si>
  <si>
    <t>Cabeçalho de valores visível? (1/0)</t>
  </si>
  <si>
    <t>Há ciclo não mensurável? (1/0)</t>
  </si>
  <si>
    <t>Somente ciclos sem período anterior? (1/0)</t>
  </si>
  <si>
    <t>TEXTOS DO QUADRO (constantes; as fórmulas acima são ASCII)</t>
  </si>
  <si>
    <t>T_TITULO</t>
  </si>
  <si>
    <t>EXECUÇÃO SEM EFEITO FINANCEIRO</t>
  </si>
  <si>
    <t>T_HDR_ORIGINAL</t>
  </si>
  <si>
    <t>Valor original</t>
  </si>
  <si>
    <t>T_HDR_PAGO</t>
  </si>
  <si>
    <t>Valor pago</t>
  </si>
  <si>
    <t>T_HDR_TERIAM</t>
  </si>
  <si>
    <t>T_HDR_DIFERENCA</t>
  </si>
  <si>
    <t>Diferença sem efeito financeiro</t>
  </si>
  <si>
    <t>T_NOTA</t>
  </si>
  <si>
    <t>A diferença é apenas informativa. Não constitui retroativo reconhecido ou potencial e não representa valor a pagar.</t>
  </si>
  <si>
    <t>T_CASO_C</t>
  </si>
  <si>
    <t>Execução sem efeito financeiro identificada, mas o impacto monetário não pode ser mensurado com segurança com os dados disponíveis.</t>
  </si>
  <si>
    <t>T_CASO_D</t>
  </si>
  <si>
    <t>Não foi identificada execução anterior ao início dos efeitos financeiros.</t>
  </si>
  <si>
    <t>T_EFEITOS_A_PARTIR</t>
  </si>
  <si>
    <t xml:space="preserve"> — efeitos a partir de </t>
  </si>
  <si>
    <t>T_EFEITOS_DESDE</t>
  </si>
  <si>
    <t xml:space="preserve"> — efeitos desde o início do ciclo</t>
  </si>
  <si>
    <t>T_PCS</t>
  </si>
  <si>
    <t xml:space="preserve"> PC(s) · </t>
  </si>
  <si>
    <t>T_COMPETENCIAS</t>
  </si>
  <si>
    <t xml:space="preserve"> competência(s) · </t>
  </si>
  <si>
    <t>T_SEM_EXECUCAO</t>
  </si>
  <si>
    <t xml:space="preserve">Sem execução · </t>
  </si>
  <si>
    <t>T_PERIODO_SEM_EFEITO</t>
  </si>
  <si>
    <t xml:space="preserve">Sem efeito: </t>
  </si>
  <si>
    <t>T_NAO_MENSURAVEL</t>
  </si>
  <si>
    <t>Não mensurável</t>
  </si>
  <si>
    <t>RESULTADOS — DETALHE TÉCNICO DA APURAÇÃO</t>
  </si>
  <si>
    <t>Memória auditável, conferências e AJUSTES MANUAIS. A síntese executiva está na aba RESULTADOS.</t>
  </si>
  <si>
    <t>RESULTADOS EXECUTIVA — textos constantes (as fórmulas da aba são ASCII)</t>
  </si>
  <si>
    <t>TRACO</t>
  </si>
  <si>
    <t>—</t>
  </si>
  <si>
    <t>MET_FIN</t>
  </si>
  <si>
    <t>Financeiro (Mensalidade)</t>
  </si>
  <si>
    <t>MET_PC</t>
  </si>
  <si>
    <t>Pedidos de Compra</t>
  </si>
  <si>
    <t>MET_ITENS</t>
  </si>
  <si>
    <t>Itens Consumidos</t>
  </si>
  <si>
    <t>MET_NAO</t>
  </si>
  <si>
    <t>Método não selecionado</t>
  </si>
  <si>
    <t>VTA_SUB</t>
  </si>
  <si>
    <t>Valor Total Atualizado do contrato pelo método selecionado.</t>
  </si>
  <si>
    <t>VTA_SUB_POT</t>
  </si>
  <si>
    <t>Inclui a parcela de retroativo POTENCIAL (card âmbar).</t>
  </si>
  <si>
    <t>RETRO_SUB</t>
  </si>
  <si>
    <t>Diferença reconhecida a pagar à contratada.</t>
  </si>
  <si>
    <t>POT_SUB</t>
  </si>
  <si>
    <t>Incorporado ao VTA por prudência. Sujeito à confirmação da área gestora; não é valor a pagar.</t>
  </si>
  <si>
    <t>POT_NA</t>
  </si>
  <si>
    <t>Não se aplica ao método selecionado.</t>
  </si>
  <si>
    <t>SALDO_SUB</t>
  </si>
  <si>
    <t>IND_SUB</t>
  </si>
  <si>
    <t>Variação histórica integral até o ciclo vigente.</t>
  </si>
  <si>
    <t>IND_SUB_NA</t>
  </si>
  <si>
    <t>Aguardando percentuais completos dos ciclos.</t>
  </si>
  <si>
    <t>COMPUTADO</t>
  </si>
  <si>
    <t>Computado nesta apuração</t>
  </si>
  <si>
    <t>Não computado nesta apuração</t>
  </si>
  <si>
    <t>SEM_AJUSTES</t>
  </si>
  <si>
    <t>SEM AJUSTES</t>
  </si>
  <si>
    <t>SEM_QUADRO3</t>
  </si>
  <si>
    <t>Não há ciclo reajustado computado nesta apuração.</t>
  </si>
  <si>
    <t>HDR_PERIODO_SEM</t>
  </si>
  <si>
    <t>Período sem efeito e início dos efeitos</t>
  </si>
  <si>
    <t>DET_TITULO</t>
  </si>
  <si>
    <t>DETALHES DO MÉTODO — PEDIDOS DE COMPRA</t>
  </si>
  <si>
    <t>DET_MEDIDA</t>
  </si>
  <si>
    <t>DET_VALOR</t>
  </si>
  <si>
    <t>DET_REPRESENTA</t>
  </si>
  <si>
    <t>O que este valor representa</t>
  </si>
  <si>
    <t>ORIG_EXEC_PC</t>
  </si>
  <si>
    <t>Execução reconhecida em PCs, já atualizada: contém o retroativo reconhecido incorporado.</t>
  </si>
  <si>
    <t>ORIG_EXEC_FIN</t>
  </si>
  <si>
    <t>Valores efetivamente pagos, conforme a aba financeiro.</t>
  </si>
  <si>
    <t>ORIG_EXEC_ITENS</t>
  </si>
  <si>
    <t>Consumo informado, atualizado pelo fator de cada ciclo.</t>
  </si>
  <si>
    <t>ORIG_POT_PC</t>
  </si>
  <si>
    <t>Parcela POTENCIAL dos PCs em análise, incorporada por prudência. Não é retroativo reconhecido nem valor a pagar.</t>
  </si>
  <si>
    <t>ORIG_AJ_FIN</t>
  </si>
  <si>
    <t>Reajuste já reconhecido e ainda não contido no valor pago.</t>
  </si>
  <si>
    <t>ORIG_AJ_ITENS</t>
  </si>
  <si>
    <t>Não aplicável: o reajuste já está dentro da execução atualizada.</t>
  </si>
  <si>
    <t>ORIG_REM_PC</t>
  </si>
  <si>
    <t>Saldo remanescente final atualizado usado no VTA (os saldos históricos não se somam).</t>
  </si>
  <si>
    <t>ORIG_REM</t>
  </si>
  <si>
    <t>Saldo que ainda falta executar, já atualizado.</t>
  </si>
  <si>
    <t>ORIG_VTA</t>
  </si>
  <si>
    <t>Resultado final do método de apuração selecionado.</t>
  </si>
  <si>
    <t>LBL_VTA_SEM_POT</t>
  </si>
  <si>
    <t>VTA sem a parcela potencial (referência)</t>
  </si>
  <si>
    <t>ORIG_VTA_SEM_POT</t>
  </si>
  <si>
    <t>Referência: VTA antes de incorporar a parcela potencial. Não substitui o VTA oficial.</t>
  </si>
  <si>
    <t>LBL_POT_NEG</t>
  </si>
  <si>
    <t>Parcela potencial negativa apurada</t>
  </si>
  <si>
    <t>ORIG_POT_NEG</t>
  </si>
  <si>
    <t>Permanece visível por prudência: não reduz o VTA e não compensa a parcela positiva.</t>
  </si>
  <si>
    <t>ORIG_POT_NEG_ZERO</t>
  </si>
  <si>
    <t>Não há parcela potencial negativa apurada.</t>
  </si>
  <si>
    <t>LBL_CONFERENCIA</t>
  </si>
  <si>
    <t>Conferência da formação (deve ser R$ 0,00)</t>
  </si>
  <si>
    <t>ORIG_AGUARDANDO</t>
  </si>
  <si>
    <t>Aguardando base para conferir.</t>
  </si>
  <si>
    <t>ORIG_NA</t>
  </si>
  <si>
    <t>RESULTADO DA APURAÇÃO</t>
  </si>
  <si>
    <t>MÉTODO</t>
  </si>
  <si>
    <t>CICLO VIGENTE</t>
  </si>
  <si>
    <t>DATA DE CORTE</t>
  </si>
  <si>
    <t>ÍNDICE</t>
  </si>
  <si>
    <t>ÍNDICE ACUMULADO</t>
  </si>
  <si>
    <t>STATUS DA APURAÇÃO</t>
  </si>
  <si>
    <t>VTA OFICIAL</t>
  </si>
  <si>
    <t>SALDO REMANESCENTE</t>
  </si>
  <si>
    <t>SITUAÇÃO DA APURAÇÃO</t>
  </si>
  <si>
    <t>COMPOSIÇÃO DO VTA</t>
  </si>
  <si>
    <t>VERIFICAÇÕES</t>
  </si>
  <si>
    <t>Verificação</t>
  </si>
  <si>
    <t>O que é verificado</t>
  </si>
  <si>
    <t>Composição do VTA</t>
  </si>
  <si>
    <t>VTA oficial calculado e reconhecido pelo método selecionado.</t>
  </si>
  <si>
    <t>Retroativo por ciclo</t>
  </si>
  <si>
    <t>Retroativo apurado em todos os ciclos computados nesta apuração.</t>
  </si>
  <si>
    <t>Remanescente por ciclo</t>
  </si>
  <si>
    <t>Remanescente conferido entre as bases disponíveis.</t>
  </si>
  <si>
    <t>Execução e saldo do ciclo vigente na data de referência.</t>
  </si>
  <si>
    <t>Data de referência do ciclo em execução</t>
  </si>
  <si>
    <t>Data da posição usada para medir a execução e o saldo do ciclo atual.</t>
  </si>
  <si>
    <t>Situação atual × referência anterior</t>
  </si>
  <si>
    <t>Reconciliação entre a posição atual e a última abertura de ciclo (não é VTA).</t>
  </si>
  <si>
    <t>Diferença entre posição atual e última abertura</t>
  </si>
  <si>
    <t>R$ 0,00 indica que as duas decomposições chegaram ao mesmo valor.</t>
  </si>
  <si>
    <t>Ajustes manuais da apuração</t>
  </si>
  <si>
    <t>1. EVOLUÇÃO POR CICLO</t>
  </si>
  <si>
    <t>Início do ciclo</t>
  </si>
  <si>
    <t>Fim do ciclo</t>
  </si>
  <si>
    <t>Variação do ciclo</t>
  </si>
  <si>
    <t>Início do efeito financeiro</t>
  </si>
  <si>
    <t>3. EXECUÇÃO SEM EFEITO FINANCEIRO</t>
  </si>
  <si>
    <t>Esta aba apenas apresenta valores. Todos os números são espelhos das fontes canônicas (RESULTADOS_DETALHE, MEMORIA_RESULTADOS, parametros e CONTROLE); nenhum valor é recalculado aqui. A execução sem efeito financeiro é exclusivamente informativa: não é retroativo, não é valor a pagar e não integra o VTA.</t>
  </si>
  <si>
    <t>SUMPRODUCT(posicao_contratual!B x C) x RESULTADOS_DETALHE!H5 (fator historico integral)</t>
  </si>
  <si>
    <t>HIST_INC_1</t>
  </si>
  <si>
    <t xml:space="preserve">HISTÓRICO INCOMPLETO — informe o percentual de </t>
  </si>
  <si>
    <t>HIST_INC_N</t>
  </si>
  <si>
    <t xml:space="preserve">HISTÓRICO INCOMPLETO — informe os percentuais de </t>
  </si>
  <si>
    <t>Este quadro mostra apenas os ciclos computados nesta apuração.</t>
  </si>
  <si>
    <t>Entradas manuais: somente as colunas amarelas AJUSTE_TIPO (Z) e AJUSTE_VALOR_INFORMADO (AA); as demais colunas são automáticas. Preencha somente quando o valor pago considerado na execucao do ciclo diferir do valor calculado pelos itens consumidos.</t>
  </si>
  <si>
    <t>AJUSTE OPCIONAL — preencher somente quando necessário (valor pago / glosa)</t>
  </si>
  <si>
    <t>Na aba técnica RESULTADOS_DETALHE (bloco 5), oculta por padrão: use Reexibir no Excel para acessá-la.</t>
  </si>
  <si>
    <t>Síntese executiva da apuração do reajuste. A memória técnica, as conferências e os ajustes manuais estão na aba RESULTADOS_DETALHE (oculta por padrão; use Reexibir no Excel).</t>
  </si>
  <si>
    <t>ÚLTIMO REAJUSTE JÁ INCORPORADO AO VU</t>
  </si>
  <si>
    <t>INDICE_BASE_ECONOMICA_VU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</si>
</sst>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&quot;R$&quot;\ #,##0.00;\-&quot;R$&quot;\ #,##0.00;&quot;R$&quot;\ 0.00;&quot;-&quot;"/>
    <numFmt numFmtId="184" formatCode="#.##000"/>
    <numFmt numFmtId="185" formatCode="&quot;R$&quot;\ #,##0.00;\-&quot;R$&quot;\ #,##0.00;&quot;R$&quot;\ 0.00;@"/>
    <numFmt numFmtId="186" formatCode="0.00%;\-0.00%;0.00%;@"/>
  </numFmts>
  <fonts count="107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sz val="10"/>
      <color rgb="FF1F3864"/>
      <name val="Calibri"/>
      <family val="2"/>
    </font>
    <font>
      <sz val="9"/>
      <color rgb="FF1F3864"/>
      <name val="Calibri"/>
      <family val="2"/>
    </font>
    <font>
      <i/>
      <sz val="9"/>
      <color rgb="FF595959"/>
      <name val="Calibri"/>
      <family val="2"/>
    </font>
    <font>
      <b/>
      <sz val="12"/>
      <color rgb="FFFFFFFF"/>
      <name val="Calibri"/>
      <family val="2"/>
    </font>
    <font>
      <sz val="9"/>
      <color rgb="FF7F6000"/>
      <name val="Calibri"/>
      <family val="2"/>
    </font>
    <font>
      <b/>
      <sz val="11"/>
      <color rgb="FF7F6000"/>
      <name val="Calibri"/>
      <family val="2"/>
    </font>
    <font>
      <b/>
      <sz val="9"/>
      <color rgb="FF1F3864"/>
      <name val="Calibri"/>
      <family val="2"/>
    </font>
    <font>
      <b/>
      <sz val="9"/>
      <color rgb="FF7F6000"/>
      <name val="Calibri"/>
      <family val="2"/>
    </font>
    <font>
      <b/>
      <sz val="11"/>
      <color rgb="FF1F3864"/>
      <name val="Calibri"/>
      <family val="2"/>
    </font>
    <font>
      <b/>
      <sz val="10"/>
      <color rgb="FF7F6000"/>
      <name val="Calibri"/>
      <family val="2"/>
    </font>
    <font>
      <sz val="9.5"/>
      <color rgb="FFD9E1F2"/>
      <name val="Calibri"/>
      <family val="2"/>
    </font>
    <font>
      <b/>
      <sz val="8.5"/>
      <color rgb="FF595959"/>
      <name val="Calibri"/>
      <family val="2"/>
    </font>
    <font>
      <b/>
      <sz val="9"/>
      <color rgb="FF9B2C3F"/>
      <name val="Calibri"/>
      <family val="2"/>
    </font>
    <font>
      <b/>
      <sz val="15"/>
      <color rgb="FF9B2C3F"/>
      <name val="Calibri"/>
      <family val="2"/>
    </font>
    <font>
      <sz val="9"/>
      <color rgb="FF9B2C3F"/>
      <name val="Calibri"/>
      <family val="2"/>
    </font>
    <font>
      <b/>
      <sz val="15"/>
      <color rgb="FF7F6000"/>
      <name val="Calibri"/>
      <family val="2"/>
    </font>
    <font>
      <b/>
      <sz val="9"/>
      <color rgb="FF375623"/>
      <name val="Calibri"/>
      <family val="2"/>
    </font>
    <font>
      <b/>
      <sz val="15"/>
      <color rgb="FF375623"/>
      <name val="Calibri"/>
      <family val="2"/>
    </font>
    <font>
      <sz val="9"/>
      <color rgb="FF375623"/>
      <name val="Calibri"/>
      <family val="2"/>
    </font>
    <font>
      <b/>
      <sz val="9"/>
      <color rgb="FF404040"/>
      <name val="Calibri"/>
      <family val="2"/>
    </font>
    <font>
      <b/>
      <sz val="15"/>
      <color rgb="FF404040"/>
      <name val="Calibri"/>
      <family val="2"/>
    </font>
    <font>
      <sz val="9"/>
      <color rgb="FF404040"/>
      <name val="Calibri"/>
      <family val="2"/>
    </font>
    <font>
      <b/>
      <sz val="9"/>
      <color rgb="FF262626"/>
      <name val="Calibri"/>
      <family val="2"/>
    </font>
    <font>
      <sz val="9"/>
      <color rgb="FF262626"/>
      <name val="Calibri"/>
      <family val="2"/>
    </font>
    <font>
      <b/>
      <sz val="11"/>
      <color rgb="FF262626"/>
      <name val="Calibri"/>
      <family val="2"/>
    </font>
    <font>
      <b/>
      <sz val="9.5"/>
      <color rgb="FF1F3864"/>
      <name val="Calibri"/>
      <family val="2"/>
    </font>
    <font>
      <sz val="10"/>
      <color rgb="FF262626"/>
      <name val="Calibri"/>
      <family val="2"/>
    </font>
    <font>
      <b/>
      <sz val="10"/>
      <color rgb="FF262626"/>
      <name val="Calibri"/>
      <family val="2"/>
    </font>
    <font>
      <i/>
      <sz val="8.5"/>
      <color rgb="FF595959"/>
      <name val="Calibri"/>
      <family val="2"/>
    </font>
    <font>
      <b/>
      <sz val="10"/>
      <color rgb="FF9C0006"/>
      <name val="Calibri"/>
      <family val="2"/>
    </font>
    <font>
      <b/>
      <sz val="10"/>
      <color rgb="FF3F3151"/>
      <name val="Calibri"/>
      <family val="2"/>
    </font>
    <font>
      <sz val="10"/>
      <color rgb="FF000000"/>
      <name val="Calibri"/>
      <family val="2"/>
    </font>
    <font>
      <b/>
      <sz val="11"/>
      <color rgb="FF3F3151"/>
      <name val="Calibri"/>
      <family val="2"/>
    </font>
    <font>
      <sz val="10"/>
      <color rgb="FF404040"/>
      <name val="Calibri"/>
      <family val="2"/>
    </font>
  </fonts>
  <fills count="73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4472C4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7FC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BE5E8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7F5FA"/>
        <bgColor indexed="64"/>
      </patternFill>
    </fill>
  </fills>
  <borders count="99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rgb="FFD9D9D9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BFBFBF"/>
      </left>
      <right style="thin">
        <color rgb="FFBFBFBF"/>
      </right>
      <top style="medium">
        <color rgb="FF9DC3E6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9DC3E6"/>
      </top>
      <bottom/>
      <diagonal/>
    </border>
    <border>
      <left style="medium">
        <color rgb="FFFFFFFF"/>
      </left>
      <right/>
      <top/>
      <bottom/>
      <diagonal/>
    </border>
    <border>
      <left style="medium">
        <color rgb="FF1F4E7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/>
      <top style="thin">
        <color rgb="FFB0C4D8"/>
      </top>
      <bottom/>
      <diagonal/>
    </border>
    <border>
      <left/>
      <right/>
      <top/>
      <bottom style="thin">
        <color rgb="FFB0C4D8"/>
      </bottom>
      <diagonal/>
    </border>
    <border>
      <left/>
      <right/>
      <top/>
      <bottom style="thin">
        <color rgb="FFBFBFBF"/>
      </bottom>
      <diagonal/>
    </border>
    <border>
      <left/>
      <right/>
      <top style="thick">
        <color rgb="FF2E75B6"/>
      </top>
      <bottom/>
      <diagonal/>
    </border>
    <border>
      <left/>
      <right/>
      <top style="thick">
        <color rgb="FFE6A1AD"/>
      </top>
      <bottom/>
      <diagonal/>
    </border>
    <border>
      <left/>
      <right/>
      <top style="thick">
        <color rgb="FFFFC000"/>
      </top>
      <bottom/>
      <diagonal/>
    </border>
    <border>
      <left/>
      <right/>
      <top style="thick">
        <color rgb="FF70AD47"/>
      </top>
      <bottom/>
      <diagonal/>
    </border>
    <border>
      <left/>
      <right/>
      <top style="thick">
        <color rgb="FFA6A6A6"/>
      </top>
      <bottom/>
      <diagonal/>
    </border>
    <border>
      <left/>
      <right/>
      <top style="thick">
        <color rgb="FFBFBFBF"/>
      </top>
      <bottom/>
      <diagonal/>
    </border>
    <border>
      <left/>
      <right/>
      <top/>
      <bottom style="thin">
        <color rgb="FF9DB3D3"/>
      </bottom>
      <diagonal/>
    </border>
    <border>
      <left/>
      <right/>
      <top style="thin">
        <color rgb="FF9DB3D3"/>
      </top>
      <bottom style="thin">
        <color rgb="FFD9D9D9"/>
      </bottom>
      <diagonal/>
    </border>
    <border>
      <left/>
      <right/>
      <top style="thin">
        <color rgb="FF9DB3D3"/>
      </top>
      <bottom/>
      <diagonal/>
    </border>
    <border>
      <left/>
      <right/>
      <top style="thin">
        <color rgb="FFD9D9D9"/>
      </top>
      <bottom/>
      <diagonal/>
    </border>
    <border>
      <left/>
      <right/>
      <top style="medium">
        <color rgb="FF2E75B6"/>
      </top>
      <bottom style="thin">
        <color rgb="FFD9D9D9"/>
      </bottom>
      <diagonal/>
    </border>
    <border>
      <left/>
      <right/>
      <top style="medium">
        <color rgb="FF1F4E78"/>
      </top>
      <bottom style="thin">
        <color rgb="FFD9D9D9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D9D9D9"/>
      </left>
      <right/>
      <top style="thin">
        <color rgb="FFBFBFBF"/>
      </top>
      <bottom style="thin">
        <color rgb="FFD9D9D9"/>
      </bottom>
      <diagonal/>
    </border>
    <border>
      <left style="thin">
        <color rgb="FFD9D9D9"/>
      </left>
      <right style="thin">
        <color rgb="FFBFBFBF"/>
      </right>
      <top style="thin">
        <color rgb="FFD9D9D9"/>
      </top>
      <bottom/>
      <diagonal/>
    </border>
  </borders>
  <cellStyleXfs count="1">
    <xf numFmtId="0" fontId="0" fillId="0" borderId="38"/>
  </cellStyleXfs>
  <cellXfs count="611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5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2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3" borderId="3" xfId="0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3" borderId="11" xfId="0" applyNumberFormat="1" applyFont="1" applyFill="1" applyBorder="1" applyAlignment="1">
      <alignment vertical="center"/>
    </xf>
    <xf numFmtId="2" fontId="25" fillId="34" borderId="12" xfId="0" applyNumberFormat="1" applyFont="1" applyFill="1" applyBorder="1" applyAlignment="1">
      <alignment vertical="center"/>
    </xf>
    <xf numFmtId="166" fontId="25" fillId="34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28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/>
    </xf>
    <xf numFmtId="10" fontId="22" fillId="28" borderId="18" xfId="0" applyNumberFormat="1" applyFont="1" applyFill="1" applyBorder="1" applyAlignment="1">
      <alignment horizontal="center" vertical="center"/>
    </xf>
    <xf numFmtId="167" fontId="22" fillId="28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6" borderId="18" xfId="0" applyFont="1" applyFill="1" applyBorder="1" applyAlignment="1">
      <alignment horizontal="center" vertical="center"/>
    </xf>
    <xf numFmtId="0" fontId="23" fillId="26" borderId="18" xfId="0" applyFont="1" applyFill="1" applyBorder="1" applyAlignment="1">
      <alignment horizontal="center" vertical="center"/>
    </xf>
    <xf numFmtId="14" fontId="23" fillId="26" borderId="18" xfId="0" applyNumberFormat="1" applyFont="1" applyFill="1" applyBorder="1" applyAlignment="1">
      <alignment horizontal="center" vertical="center"/>
    </xf>
    <xf numFmtId="167" fontId="24" fillId="26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28" borderId="18" xfId="0" applyNumberFormat="1" applyFont="1" applyFill="1" applyBorder="1"/>
    <xf numFmtId="164" fontId="22" fillId="28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28" borderId="18" xfId="0" applyNumberFormat="1" applyFont="1" applyFill="1" applyBorder="1"/>
    <xf numFmtId="0" fontId="22" fillId="28" borderId="18" xfId="0" applyFont="1" applyFill="1" applyBorder="1"/>
    <xf numFmtId="0" fontId="10" fillId="28" borderId="18" xfId="0" applyFont="1" applyFill="1" applyBorder="1" applyAlignment="1">
      <alignment horizontal="center"/>
    </xf>
    <xf numFmtId="0" fontId="21" fillId="28" borderId="18" xfId="0" applyFont="1" applyFill="1" applyBorder="1" applyAlignment="1">
      <alignment horizontal="center"/>
    </xf>
    <xf numFmtId="10" fontId="21" fillId="28" borderId="18" xfId="0" applyNumberFormat="1" applyFont="1" applyFill="1" applyBorder="1"/>
    <xf numFmtId="167" fontId="21" fillId="28" borderId="18" xfId="0" applyNumberFormat="1" applyFont="1" applyFill="1" applyBorder="1"/>
    <xf numFmtId="164" fontId="22" fillId="2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28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24" borderId="7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28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29" borderId="18" xfId="0" applyNumberFormat="1" applyFont="1" applyFill="1" applyBorder="1"/>
    <xf numFmtId="164" fontId="19" fillId="27" borderId="18" xfId="0" applyNumberFormat="1" applyFont="1" applyFill="1" applyBorder="1"/>
    <xf numFmtId="0" fontId="19" fillId="0" borderId="18" xfId="0" applyFont="1" applyBorder="1"/>
    <xf numFmtId="10" fontId="22" fillId="28" borderId="18" xfId="0" applyNumberFormat="1" applyFont="1" applyFill="1" applyBorder="1"/>
    <xf numFmtId="0" fontId="28" fillId="32" borderId="11" xfId="0" applyFont="1" applyFill="1" applyBorder="1" applyAlignment="1">
      <alignment vertical="center" wrapText="1"/>
    </xf>
    <xf numFmtId="168" fontId="28" fillId="33" borderId="11" xfId="0" applyNumberFormat="1" applyFont="1" applyFill="1" applyBorder="1" applyAlignment="1">
      <alignment vertical="center"/>
    </xf>
    <xf numFmtId="0" fontId="28" fillId="34" borderId="11" xfId="0" applyFont="1" applyFill="1" applyBorder="1" applyAlignment="1">
      <alignment vertical="center" wrapText="1"/>
    </xf>
    <xf numFmtId="0" fontId="13" fillId="30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2" borderId="12" xfId="0" applyFont="1" applyFill="1" applyBorder="1" applyAlignment="1">
      <alignment vertical="center"/>
    </xf>
    <xf numFmtId="166" fontId="28" fillId="32" borderId="12" xfId="0" applyNumberFormat="1" applyFont="1" applyFill="1" applyBorder="1" applyAlignment="1">
      <alignment vertical="center"/>
    </xf>
    <xf numFmtId="0" fontId="28" fillId="32" borderId="12" xfId="0" applyFont="1" applyFill="1" applyBorder="1" applyAlignment="1">
      <alignment vertical="center" wrapText="1"/>
    </xf>
    <xf numFmtId="166" fontId="28" fillId="34" borderId="11" xfId="0" applyNumberFormat="1" applyFont="1" applyFill="1" applyBorder="1" applyAlignment="1">
      <alignment vertical="center" wrapText="1"/>
    </xf>
    <xf numFmtId="166" fontId="30" fillId="34" borderId="11" xfId="0" applyNumberFormat="1" applyFont="1" applyFill="1" applyBorder="1" applyAlignment="1">
      <alignment vertical="center"/>
    </xf>
    <xf numFmtId="166" fontId="28" fillId="34" borderId="11" xfId="0" applyNumberFormat="1" applyFont="1" applyFill="1" applyBorder="1" applyAlignment="1">
      <alignment vertical="center"/>
    </xf>
    <xf numFmtId="2" fontId="30" fillId="34" borderId="12" xfId="0" applyNumberFormat="1" applyFont="1" applyFill="1" applyBorder="1" applyAlignment="1">
      <alignment vertical="center"/>
    </xf>
    <xf numFmtId="166" fontId="30" fillId="34" borderId="12" xfId="0" applyNumberFormat="1" applyFont="1" applyFill="1" applyBorder="1" applyAlignment="1">
      <alignment vertical="center"/>
    </xf>
    <xf numFmtId="0" fontId="30" fillId="34" borderId="12" xfId="0" applyFont="1" applyFill="1" applyBorder="1" applyAlignment="1">
      <alignment vertical="center" wrapText="1"/>
    </xf>
    <xf numFmtId="0" fontId="28" fillId="34" borderId="12" xfId="0" applyFont="1" applyFill="1" applyBorder="1" applyAlignment="1">
      <alignment vertical="center" wrapText="1"/>
    </xf>
    <xf numFmtId="166" fontId="28" fillId="32" borderId="12" xfId="0" applyNumberFormat="1" applyFont="1" applyFill="1" applyBorder="1" applyAlignment="1">
      <alignment vertical="center" wrapText="1"/>
    </xf>
    <xf numFmtId="0" fontId="30" fillId="34" borderId="12" xfId="0" applyFont="1" applyFill="1" applyBorder="1" applyAlignment="1">
      <alignment vertical="center"/>
    </xf>
    <xf numFmtId="169" fontId="30" fillId="34" borderId="12" xfId="0" applyNumberFormat="1" applyFont="1" applyFill="1" applyBorder="1" applyAlignment="1">
      <alignment vertical="center"/>
    </xf>
    <xf numFmtId="169" fontId="28" fillId="32" borderId="12" xfId="0" applyNumberFormat="1" applyFont="1" applyFill="1" applyBorder="1" applyAlignment="1">
      <alignment vertical="center" wrapText="1"/>
    </xf>
    <xf numFmtId="0" fontId="13" fillId="30" borderId="13" xfId="0" applyFont="1" applyFill="1" applyBorder="1" applyAlignment="1">
      <alignment horizontal="center" vertical="center" wrapText="1"/>
    </xf>
    <xf numFmtId="0" fontId="30" fillId="37" borderId="13" xfId="0" applyFont="1" applyFill="1" applyBorder="1" applyAlignment="1">
      <alignment vertical="center"/>
    </xf>
    <xf numFmtId="2" fontId="30" fillId="37" borderId="13" xfId="0" applyNumberFormat="1" applyFont="1" applyFill="1" applyBorder="1" applyAlignment="1">
      <alignment vertical="center"/>
    </xf>
    <xf numFmtId="170" fontId="30" fillId="37" borderId="13" xfId="0" applyNumberFormat="1" applyFont="1" applyFill="1" applyBorder="1" applyAlignment="1">
      <alignment vertical="center"/>
    </xf>
    <xf numFmtId="10" fontId="30" fillId="37" borderId="13" xfId="0" applyNumberFormat="1" applyFont="1" applyFill="1" applyBorder="1" applyAlignment="1">
      <alignment vertical="center"/>
    </xf>
    <xf numFmtId="166" fontId="30" fillId="37" borderId="13" xfId="0" applyNumberFormat="1" applyFont="1" applyFill="1" applyBorder="1" applyAlignment="1">
      <alignment vertical="center"/>
    </xf>
    <xf numFmtId="0" fontId="30" fillId="37" borderId="13" xfId="0" applyFont="1" applyFill="1" applyBorder="1" applyAlignment="1">
      <alignment vertical="center" wrapText="1"/>
    </xf>
    <xf numFmtId="165" fontId="22" fillId="28" borderId="18" xfId="0" applyNumberFormat="1" applyFont="1" applyFill="1" applyBorder="1"/>
    <xf numFmtId="10" fontId="24" fillId="26" borderId="18" xfId="0" applyNumberFormat="1" applyFont="1" applyFill="1" applyBorder="1"/>
    <xf numFmtId="4" fontId="19" fillId="28" borderId="18" xfId="0" applyNumberFormat="1" applyFont="1" applyFill="1" applyBorder="1"/>
    <xf numFmtId="0" fontId="19" fillId="28" borderId="18" xfId="0" applyFont="1" applyFill="1" applyBorder="1"/>
    <xf numFmtId="4" fontId="21" fillId="28" borderId="18" xfId="0" applyNumberFormat="1" applyFont="1" applyFill="1" applyBorder="1"/>
    <xf numFmtId="0" fontId="22" fillId="28" borderId="18" xfId="0" applyFont="1" applyFill="1" applyBorder="1" applyAlignment="1">
      <alignment vertical="center"/>
    </xf>
    <xf numFmtId="165" fontId="22" fillId="28" borderId="18" xfId="0" applyNumberFormat="1" applyFont="1" applyFill="1" applyBorder="1" applyAlignment="1">
      <alignment vertical="center"/>
    </xf>
    <xf numFmtId="10" fontId="22" fillId="28" borderId="18" xfId="0" applyNumberFormat="1" applyFont="1" applyFill="1" applyBorder="1" applyAlignment="1">
      <alignment vertical="center"/>
    </xf>
    <xf numFmtId="0" fontId="31" fillId="28" borderId="18" xfId="0" applyFont="1" applyFill="1" applyBorder="1" applyAlignment="1">
      <alignment vertical="center"/>
    </xf>
    <xf numFmtId="165" fontId="31" fillId="28" borderId="18" xfId="0" applyNumberFormat="1" applyFont="1" applyFill="1" applyBorder="1" applyAlignment="1">
      <alignment vertical="center"/>
    </xf>
    <xf numFmtId="10" fontId="31" fillId="28" borderId="18" xfId="0" applyNumberFormat="1" applyFont="1" applyFill="1" applyBorder="1" applyAlignment="1">
      <alignment vertical="center"/>
    </xf>
    <xf numFmtId="165" fontId="31" fillId="28" borderId="18" xfId="0" applyNumberFormat="1" applyFont="1" applyFill="1" applyBorder="1"/>
    <xf numFmtId="0" fontId="31" fillId="28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0" borderId="18" xfId="0" applyFont="1" applyFill="1" applyBorder="1" applyAlignment="1">
      <alignment horizontal="center" vertical="center" wrapText="1"/>
    </xf>
    <xf numFmtId="4" fontId="19" fillId="41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28" borderId="22" xfId="0" applyNumberFormat="1" applyFont="1" applyFill="1" applyBorder="1"/>
    <xf numFmtId="0" fontId="32" fillId="40" borderId="21" xfId="0" applyFont="1" applyFill="1" applyBorder="1" applyAlignment="1">
      <alignment horizontal="center" vertical="center" wrapText="1"/>
    </xf>
    <xf numFmtId="4" fontId="19" fillId="41" borderId="21" xfId="0" applyNumberFormat="1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32" fillId="40" borderId="22" xfId="0" applyFont="1" applyFill="1" applyBorder="1" applyAlignment="1">
      <alignment horizontal="center" vertical="center" wrapText="1"/>
    </xf>
    <xf numFmtId="4" fontId="19" fillId="41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171" fontId="22" fillId="28" borderId="18" xfId="0" applyNumberFormat="1" applyFont="1" applyFill="1" applyBorder="1" applyAlignment="1">
      <alignment vertical="center"/>
    </xf>
    <xf numFmtId="171" fontId="31" fillId="28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6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38" borderId="11" xfId="0" applyFont="1" applyFill="1" applyBorder="1" applyAlignment="1">
      <alignment vertical="center"/>
    </xf>
    <xf numFmtId="0" fontId="36" fillId="46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39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7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48" borderId="18" xfId="0" applyFont="1" applyFill="1" applyBorder="1" applyAlignment="1">
      <alignment vertical="center"/>
    </xf>
    <xf numFmtId="165" fontId="22" fillId="48" borderId="18" xfId="0" applyNumberFormat="1" applyFont="1" applyFill="1" applyBorder="1" applyAlignment="1">
      <alignment vertical="center"/>
    </xf>
    <xf numFmtId="10" fontId="22" fillId="48" borderId="18" xfId="0" applyNumberFormat="1" applyFont="1" applyFill="1" applyBorder="1" applyAlignment="1">
      <alignment vertical="center"/>
    </xf>
    <xf numFmtId="167" fontId="22" fillId="48" borderId="18" xfId="0" applyNumberFormat="1" applyFont="1" applyFill="1" applyBorder="1" applyAlignment="1">
      <alignment vertical="center"/>
    </xf>
    <xf numFmtId="174" fontId="19" fillId="28" borderId="18" xfId="0" applyNumberFormat="1" applyFont="1" applyFill="1" applyBorder="1"/>
    <xf numFmtId="0" fontId="0" fillId="43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28" borderId="18" xfId="0" applyNumberFormat="1" applyFont="1" applyFill="1" applyBorder="1"/>
    <xf numFmtId="0" fontId="44" fillId="0" borderId="0" xfId="0" applyFont="1" applyBorder="1"/>
    <xf numFmtId="0" fontId="45" fillId="0" borderId="0" xfId="0" applyFont="1" applyBorder="1"/>
    <xf numFmtId="0" fontId="33" fillId="44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3" borderId="5" xfId="0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4" borderId="9" xfId="0" applyFont="1" applyFill="1" applyBorder="1" applyAlignment="1">
      <alignment horizontal="center" vertical="center" wrapText="1"/>
    </xf>
    <xf numFmtId="0" fontId="34" fillId="54" borderId="30" xfId="0" applyFont="1" applyFill="1" applyBorder="1" applyAlignment="1">
      <alignment horizontal="center" vertical="center" wrapText="1"/>
    </xf>
    <xf numFmtId="164" fontId="40" fillId="48" borderId="18" xfId="0" applyNumberFormat="1" applyFont="1" applyFill="1" applyBorder="1" applyAlignment="1">
      <alignment horizontal="center" vertical="center" wrapText="1"/>
    </xf>
    <xf numFmtId="0" fontId="33" fillId="44" borderId="24" xfId="0" applyFont="1" applyFill="1" applyBorder="1"/>
    <xf numFmtId="0" fontId="0" fillId="45" borderId="25" xfId="0" applyFill="1" applyBorder="1" applyAlignment="1">
      <alignment horizontal="left"/>
    </xf>
    <xf numFmtId="39" fontId="15" fillId="48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4" borderId="26" xfId="0" applyFont="1" applyFill="1" applyBorder="1"/>
    <xf numFmtId="0" fontId="0" fillId="45" borderId="27" xfId="0" applyFill="1" applyBorder="1" applyAlignment="1">
      <alignment horizontal="left"/>
    </xf>
    <xf numFmtId="14" fontId="0" fillId="45" borderId="27" xfId="0" applyNumberFormat="1" applyFill="1" applyBorder="1" applyAlignment="1">
      <alignment horizontal="left"/>
    </xf>
    <xf numFmtId="169" fontId="0" fillId="45" borderId="27" xfId="0" applyNumberFormat="1" applyFill="1" applyBorder="1" applyAlignment="1">
      <alignment horizontal="left"/>
    </xf>
    <xf numFmtId="0" fontId="33" fillId="44" borderId="28" xfId="0" applyFont="1" applyFill="1" applyBorder="1"/>
    <xf numFmtId="0" fontId="0" fillId="45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28" borderId="37" xfId="0" applyFont="1" applyFill="1" applyBorder="1" applyAlignment="1">
      <alignment vertical="center"/>
    </xf>
    <xf numFmtId="0" fontId="14" fillId="0" borderId="38" xfId="0" applyFont="1"/>
    <xf numFmtId="14" fontId="14" fillId="0" borderId="38" xfId="0" applyNumberFormat="1" applyFont="1"/>
    <xf numFmtId="175" fontId="14" fillId="0" borderId="38" xfId="0" applyNumberFormat="1" applyFont="1"/>
    <xf numFmtId="0" fontId="50" fillId="39" borderId="42" xfId="0" applyFont="1" applyFill="1" applyBorder="1" applyAlignment="1" applyProtection="1">
      <alignment vertical="center" wrapText="1"/>
      <protection locked="0"/>
    </xf>
    <xf numFmtId="14" fontId="50" fillId="39" borderId="42" xfId="0" applyNumberFormat="1" applyFont="1" applyFill="1" applyBorder="1" applyAlignment="1" applyProtection="1">
      <alignment vertical="center"/>
      <protection locked="0"/>
    </xf>
    <xf numFmtId="0" fontId="50" fillId="39" borderId="42" xfId="0" applyFont="1" applyFill="1" applyBorder="1" applyAlignment="1" applyProtection="1">
      <alignment vertical="center"/>
      <protection locked="0"/>
    </xf>
    <xf numFmtId="174" fontId="50" fillId="39" borderId="42" xfId="0" applyNumberFormat="1" applyFont="1" applyFill="1" applyBorder="1" applyAlignment="1" applyProtection="1">
      <alignment horizontal="right" vertical="center"/>
      <protection locked="0"/>
    </xf>
    <xf numFmtId="174" fontId="50" fillId="39" borderId="43" xfId="0" applyNumberFormat="1" applyFont="1" applyFill="1" applyBorder="1" applyAlignment="1" applyProtection="1">
      <alignment horizontal="right" vertical="center"/>
      <protection locked="0"/>
    </xf>
    <xf numFmtId="0" fontId="50" fillId="39" borderId="43" xfId="0" applyFont="1" applyFill="1" applyBorder="1" applyAlignment="1" applyProtection="1">
      <alignment vertical="center" wrapText="1"/>
      <protection locked="0"/>
    </xf>
    <xf numFmtId="14" fontId="50" fillId="39" borderId="43" xfId="0" applyNumberFormat="1" applyFont="1" applyFill="1" applyBorder="1" applyAlignment="1" applyProtection="1">
      <alignment vertical="center"/>
      <protection locked="0"/>
    </xf>
    <xf numFmtId="0" fontId="50" fillId="39" borderId="43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59" borderId="38" xfId="0" applyNumberFormat="1" applyFont="1" applyFill="1" applyAlignment="1">
      <alignment horizontal="left" vertical="center" indent="1"/>
    </xf>
    <xf numFmtId="176" fontId="65" fillId="59" borderId="38" xfId="0" applyNumberFormat="1" applyFont="1" applyFill="1" applyAlignment="1">
      <alignment horizontal="center" vertical="center"/>
    </xf>
    <xf numFmtId="180" fontId="58" fillId="59" borderId="38" xfId="0" applyNumberFormat="1" applyFont="1" applyFill="1" applyAlignment="1">
      <alignment horizontal="left" vertical="center" indent="1"/>
    </xf>
    <xf numFmtId="181" fontId="58" fillId="59" borderId="38" xfId="0" applyNumberFormat="1" applyFont="1" applyFill="1" applyAlignment="1">
      <alignment horizontal="left" vertical="center" indent="1"/>
    </xf>
    <xf numFmtId="176" fontId="60" fillId="49" borderId="38" xfId="0" applyNumberFormat="1" applyFont="1" applyFill="1" applyAlignment="1">
      <alignment horizontal="left" vertical="center"/>
    </xf>
    <xf numFmtId="176" fontId="63" fillId="58" borderId="49" xfId="0" applyNumberFormat="1" applyFont="1" applyFill="1" applyBorder="1" applyAlignment="1">
      <alignment horizontal="left" vertical="center"/>
    </xf>
    <xf numFmtId="176" fontId="63" fillId="58" borderId="52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8" xfId="0" applyFont="1" applyAlignment="1">
      <alignment horizontal="left" vertical="center"/>
    </xf>
    <xf numFmtId="0" fontId="36" fillId="0" borderId="38" xfId="0" applyFont="1" applyAlignment="1">
      <alignment vertical="center"/>
    </xf>
    <xf numFmtId="176" fontId="64" fillId="0" borderId="38" xfId="0" applyNumberFormat="1" applyFont="1" applyAlignment="1">
      <alignment horizontal="center" vertical="center"/>
    </xf>
    <xf numFmtId="0" fontId="61" fillId="49" borderId="38" xfId="0" applyFont="1" applyFill="1" applyAlignment="1">
      <alignment horizontal="right" vertical="center" wrapText="1"/>
    </xf>
    <xf numFmtId="0" fontId="52" fillId="50" borderId="41" xfId="0" applyFont="1" applyFill="1" applyBorder="1" applyAlignment="1">
      <alignment horizontal="left" vertical="center" wrapText="1" indent="1"/>
    </xf>
    <xf numFmtId="178" fontId="49" fillId="50" borderId="41" xfId="0" applyNumberFormat="1" applyFont="1" applyFill="1" applyBorder="1" applyAlignment="1">
      <alignment horizontal="right" vertical="center" wrapText="1"/>
    </xf>
    <xf numFmtId="0" fontId="40" fillId="51" borderId="41" xfId="0" applyFont="1" applyFill="1" applyBorder="1" applyAlignment="1">
      <alignment horizontal="left" vertical="center" indent="1"/>
    </xf>
    <xf numFmtId="178" fontId="40" fillId="51" borderId="41" xfId="0" applyNumberFormat="1" applyFont="1" applyFill="1" applyBorder="1" applyAlignment="1">
      <alignment horizontal="right" vertical="center"/>
    </xf>
    <xf numFmtId="0" fontId="40" fillId="51" borderId="39" xfId="0" applyFont="1" applyFill="1" applyBorder="1" applyAlignment="1">
      <alignment horizontal="left" vertical="center" indent="1"/>
    </xf>
    <xf numFmtId="178" fontId="40" fillId="51" borderId="39" xfId="0" applyNumberFormat="1" applyFont="1" applyFill="1" applyBorder="1" applyAlignment="1">
      <alignment horizontal="right" vertical="center"/>
    </xf>
    <xf numFmtId="0" fontId="54" fillId="52" borderId="34" xfId="0" applyFont="1" applyFill="1" applyBorder="1" applyAlignment="1">
      <alignment horizontal="left" vertical="center" indent="1"/>
    </xf>
    <xf numFmtId="178" fontId="54" fillId="52" borderId="34" xfId="0" applyNumberFormat="1" applyFont="1" applyFill="1" applyBorder="1" applyAlignment="1">
      <alignment horizontal="right" vertical="center"/>
    </xf>
    <xf numFmtId="0" fontId="40" fillId="0" borderId="38" xfId="0" applyFont="1" applyAlignment="1">
      <alignment vertical="center"/>
    </xf>
    <xf numFmtId="0" fontId="36" fillId="49" borderId="38" xfId="0" applyFont="1" applyFill="1" applyAlignment="1">
      <alignment horizontal="left" vertical="center" indent="1"/>
    </xf>
    <xf numFmtId="0" fontId="36" fillId="49" borderId="38" xfId="0" applyFont="1" applyFill="1" applyAlignment="1">
      <alignment vertical="center"/>
    </xf>
    <xf numFmtId="0" fontId="58" fillId="44" borderId="53" xfId="0" applyFont="1" applyFill="1" applyBorder="1" applyAlignment="1">
      <alignment horizontal="center" vertical="center"/>
    </xf>
    <xf numFmtId="0" fontId="59" fillId="56" borderId="34" xfId="0" applyFont="1" applyFill="1" applyBorder="1" applyAlignment="1">
      <alignment horizontal="left" vertical="center" wrapText="1" indent="1"/>
    </xf>
    <xf numFmtId="0" fontId="59" fillId="56" borderId="34" xfId="0" applyFont="1" applyFill="1" applyBorder="1" applyAlignment="1">
      <alignment horizontal="right" vertical="center" wrapText="1" indent="1"/>
    </xf>
    <xf numFmtId="0" fontId="59" fillId="56" borderId="51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1" borderId="34" xfId="0" applyFont="1" applyFill="1" applyBorder="1" applyAlignment="1">
      <alignment horizontal="left" vertical="center" indent="1"/>
    </xf>
    <xf numFmtId="178" fontId="40" fillId="51" borderId="34" xfId="0" applyNumberFormat="1" applyFont="1" applyFill="1" applyBorder="1" applyAlignment="1">
      <alignment horizontal="right" vertical="center"/>
    </xf>
    <xf numFmtId="49" fontId="40" fillId="51" borderId="39" xfId="0" applyNumberFormat="1" applyFont="1" applyFill="1" applyBorder="1" applyAlignment="1">
      <alignment horizontal="right" vertical="center"/>
    </xf>
    <xf numFmtId="177" fontId="40" fillId="51" borderId="39" xfId="0" applyNumberFormat="1" applyFont="1" applyFill="1" applyBorder="1" applyAlignment="1">
      <alignment horizontal="right" vertical="center"/>
    </xf>
    <xf numFmtId="0" fontId="43" fillId="44" borderId="53" xfId="0" applyFont="1" applyFill="1" applyBorder="1" applyAlignment="1">
      <alignment horizontal="left" vertical="center" indent="1"/>
    </xf>
    <xf numFmtId="0" fontId="43" fillId="44" borderId="53" xfId="0" applyFont="1" applyFill="1" applyBorder="1" applyAlignment="1">
      <alignment vertical="center"/>
    </xf>
    <xf numFmtId="0" fontId="53" fillId="57" borderId="43" xfId="0" applyFont="1" applyFill="1" applyBorder="1" applyAlignment="1">
      <alignment horizontal="left" vertical="center" wrapText="1" indent="1"/>
    </xf>
    <xf numFmtId="0" fontId="50" fillId="51" borderId="42" xfId="0" applyFont="1" applyFill="1" applyBorder="1" applyAlignment="1">
      <alignment horizontal="left" vertical="center" indent="1"/>
    </xf>
    <xf numFmtId="0" fontId="50" fillId="51" borderId="42" xfId="0" applyFont="1" applyFill="1" applyBorder="1" applyAlignment="1">
      <alignment vertical="center"/>
    </xf>
    <xf numFmtId="0" fontId="53" fillId="51" borderId="42" xfId="0" applyFont="1" applyFill="1" applyBorder="1" applyAlignment="1">
      <alignment horizontal="center" vertical="center"/>
    </xf>
    <xf numFmtId="0" fontId="50" fillId="51" borderId="43" xfId="0" applyFont="1" applyFill="1" applyBorder="1" applyAlignment="1">
      <alignment horizontal="left" vertical="center" indent="1"/>
    </xf>
    <xf numFmtId="0" fontId="50" fillId="51" borderId="43" xfId="0" applyFont="1" applyFill="1" applyBorder="1" applyAlignment="1">
      <alignment vertical="center"/>
    </xf>
    <xf numFmtId="0" fontId="53" fillId="51" borderId="43" xfId="0" applyFont="1" applyFill="1" applyBorder="1" applyAlignment="1">
      <alignment horizontal="center" vertical="center"/>
    </xf>
    <xf numFmtId="0" fontId="50" fillId="59" borderId="38" xfId="0" applyFont="1" applyFill="1" applyAlignment="1">
      <alignment horizontal="left" vertical="center"/>
    </xf>
    <xf numFmtId="0" fontId="61" fillId="49" borderId="44" xfId="0" applyFont="1" applyFill="1" applyBorder="1" applyAlignment="1">
      <alignment horizontal="left" vertical="center" indent="1"/>
    </xf>
    <xf numFmtId="0" fontId="40" fillId="49" borderId="45" xfId="0" applyFont="1" applyFill="1" applyBorder="1" applyAlignment="1">
      <alignment horizontal="left" vertical="center"/>
    </xf>
    <xf numFmtId="0" fontId="40" fillId="58" borderId="45" xfId="0" applyFont="1" applyFill="1" applyBorder="1" applyAlignment="1">
      <alignment horizontal="left" vertical="center"/>
    </xf>
    <xf numFmtId="0" fontId="62" fillId="49" borderId="49" xfId="0" applyFont="1" applyFill="1" applyBorder="1" applyAlignment="1">
      <alignment horizontal="right" vertical="center"/>
    </xf>
    <xf numFmtId="0" fontId="55" fillId="49" borderId="49" xfId="0" applyFont="1" applyFill="1" applyBorder="1" applyAlignment="1">
      <alignment horizontal="left" vertical="center" indent="1"/>
    </xf>
    <xf numFmtId="0" fontId="40" fillId="58" borderId="38" xfId="0" applyFont="1" applyFill="1" applyAlignment="1">
      <alignment horizontal="left" vertical="center"/>
    </xf>
    <xf numFmtId="0" fontId="40" fillId="58" borderId="52" xfId="0" applyFont="1" applyFill="1" applyBorder="1" applyAlignment="1">
      <alignment horizontal="left" vertical="center"/>
    </xf>
    <xf numFmtId="0" fontId="58" fillId="0" borderId="38" xfId="0" applyFont="1" applyAlignment="1">
      <alignment horizontal="left" vertical="center" indent="1"/>
    </xf>
    <xf numFmtId="178" fontId="57" fillId="58" borderId="38" xfId="0" applyNumberFormat="1" applyFont="1" applyFill="1" applyAlignment="1">
      <alignment horizontal="right" vertical="center" indent="1" shrinkToFit="1"/>
    </xf>
    <xf numFmtId="0" fontId="66" fillId="51" borderId="39" xfId="0" applyFont="1" applyFill="1" applyBorder="1" applyAlignment="1">
      <alignment horizontal="left" vertical="center" wrapText="1" indent="1"/>
    </xf>
    <xf numFmtId="178" fontId="67" fillId="51" borderId="39" xfId="0" applyNumberFormat="1" applyFont="1" applyFill="1" applyBorder="1" applyAlignment="1">
      <alignment horizontal="right" vertical="center" wrapText="1"/>
    </xf>
    <xf numFmtId="0" fontId="66" fillId="51" borderId="34" xfId="0" applyFont="1" applyFill="1" applyBorder="1" applyAlignment="1">
      <alignment horizontal="left" vertical="center" wrapText="1"/>
    </xf>
    <xf numFmtId="178" fontId="67" fillId="51" borderId="34" xfId="0" applyNumberFormat="1" applyFont="1" applyFill="1" applyBorder="1" applyAlignment="1">
      <alignment horizontal="right" vertical="center" wrapText="1"/>
    </xf>
    <xf numFmtId="0" fontId="68" fillId="50" borderId="41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68" fillId="51" borderId="34" xfId="0" applyFont="1" applyFill="1" applyBorder="1" applyAlignment="1">
      <alignment vertical="center" wrapText="1"/>
    </xf>
    <xf numFmtId="0" fontId="33" fillId="60" borderId="55" xfId="0" applyFont="1" applyFill="1" applyBorder="1"/>
    <xf numFmtId="0" fontId="33" fillId="60" borderId="56" xfId="0" applyFont="1" applyFill="1" applyBorder="1"/>
    <xf numFmtId="164" fontId="33" fillId="60" borderId="56" xfId="0" applyNumberFormat="1" applyFont="1" applyFill="1" applyBorder="1"/>
    <xf numFmtId="0" fontId="33" fillId="60" borderId="57" xfId="0" applyFont="1" applyFill="1" applyBorder="1"/>
    <xf numFmtId="14" fontId="69" fillId="55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7" borderId="3" xfId="0" applyFont="1" applyFill="1" applyBorder="1" applyAlignment="1">
      <alignment horizontal="center" vertical="center"/>
    </xf>
    <xf numFmtId="0" fontId="69" fillId="2" borderId="61" xfId="0" applyFont="1" applyFill="1" applyBorder="1" applyProtection="1">
      <protection locked="0"/>
    </xf>
    <xf numFmtId="0" fontId="69" fillId="2" borderId="63" xfId="0" applyFont="1" applyFill="1" applyBorder="1" applyProtection="1">
      <protection locked="0"/>
    </xf>
    <xf numFmtId="0" fontId="6" fillId="17" borderId="64" xfId="0" applyFont="1" applyFill="1" applyBorder="1" applyAlignment="1">
      <alignment horizontal="center" vertical="center"/>
    </xf>
    <xf numFmtId="0" fontId="6" fillId="47" borderId="65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49" borderId="45" xfId="0" applyFont="1" applyFill="1" applyBorder="1" applyAlignment="1">
      <alignment horizontal="center" vertical="center"/>
    </xf>
    <xf numFmtId="0" fontId="66" fillId="58" borderId="44" xfId="0" applyFont="1" applyFill="1" applyBorder="1" applyAlignment="1">
      <alignment horizontal="left" vertical="center" indent="1"/>
    </xf>
    <xf numFmtId="0" fontId="53" fillId="58" borderId="45" xfId="0" applyFont="1" applyFill="1" applyBorder="1" applyAlignment="1">
      <alignment horizontal="center" vertical="center"/>
    </xf>
    <xf numFmtId="0" fontId="53" fillId="58" borderId="46" xfId="0" applyFont="1" applyFill="1" applyBorder="1" applyAlignment="1">
      <alignment horizontal="center" vertical="center"/>
    </xf>
    <xf numFmtId="0" fontId="70" fillId="49" borderId="38" xfId="0" applyFont="1" applyFill="1" applyAlignment="1">
      <alignment horizontal="left" vertical="center"/>
    </xf>
    <xf numFmtId="0" fontId="68" fillId="58" borderId="38" xfId="0" applyFont="1" applyFill="1" applyAlignment="1">
      <alignment horizontal="left" vertical="center" indent="1"/>
    </xf>
    <xf numFmtId="0" fontId="68" fillId="58" borderId="49" xfId="0" applyFont="1" applyFill="1" applyBorder="1" applyAlignment="1">
      <alignment horizontal="left" vertical="center" indent="1"/>
    </xf>
    <xf numFmtId="0" fontId="50" fillId="44" borderId="39" xfId="0" applyFont="1" applyFill="1" applyBorder="1" applyAlignment="1">
      <alignment horizontal="left" vertical="center" indent="1"/>
    </xf>
    <xf numFmtId="178" fontId="50" fillId="44" borderId="39" xfId="0" applyNumberFormat="1" applyFont="1" applyFill="1" applyBorder="1" applyAlignment="1">
      <alignment horizontal="right" vertical="center"/>
    </xf>
    <xf numFmtId="176" fontId="71" fillId="0" borderId="38" xfId="0" applyNumberFormat="1" applyFont="1" applyAlignment="1">
      <alignment vertical="top"/>
    </xf>
    <xf numFmtId="0" fontId="71" fillId="44" borderId="53" xfId="0" applyFont="1" applyFill="1" applyBorder="1" applyAlignment="1">
      <alignment horizontal="left" vertical="center"/>
    </xf>
    <xf numFmtId="0" fontId="72" fillId="62" borderId="20" xfId="0" applyFont="1" applyFill="1" applyBorder="1" applyAlignment="1" applyProtection="1">
      <alignment horizontal="center" vertical="center"/>
      <protection locked="0"/>
    </xf>
    <xf numFmtId="178" fontId="41" fillId="49" borderId="38" xfId="0" applyNumberFormat="1" applyFont="1" applyFill="1" applyAlignment="1">
      <alignment horizontal="right" vertical="center" indent="1"/>
    </xf>
    <xf numFmtId="172" fontId="22" fillId="28" borderId="18" xfId="0" applyNumberFormat="1" applyFont="1" applyFill="1" applyBorder="1" applyAlignment="1">
      <alignment vertical="center"/>
    </xf>
    <xf numFmtId="172" fontId="31" fillId="28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1" fontId="3" fillId="2" borderId="1" xfId="0" applyNumberFormat="1" applyFont="1" applyFill="1" applyBorder="1" applyProtection="1">
      <protection locked="0"/>
    </xf>
    <xf numFmtId="0" fontId="73" fillId="51" borderId="3" xfId="0" applyFont="1" applyFill="1" applyBorder="1" applyAlignment="1">
      <alignment horizontal="left" indent="1"/>
    </xf>
    <xf numFmtId="0" fontId="8" fillId="52" borderId="3" xfId="0" applyFont="1" applyFill="1" applyBorder="1" applyAlignment="1">
      <alignment vertical="center" wrapText="1"/>
    </xf>
    <xf numFmtId="0" fontId="73" fillId="51" borderId="3" xfId="0" applyFont="1" applyFill="1" applyBorder="1" applyAlignment="1">
      <alignment horizontal="center"/>
    </xf>
    <xf numFmtId="0" fontId="50" fillId="51" borderId="3" xfId="0" applyFont="1" applyFill="1" applyBorder="1" applyAlignment="1">
      <alignment horizontal="center" wrapText="1"/>
    </xf>
    <xf numFmtId="0" fontId="8" fillId="52" borderId="3" xfId="0" applyFont="1" applyFill="1" applyBorder="1" applyAlignment="1">
      <alignment vertical="center"/>
    </xf>
    <xf numFmtId="0" fontId="8" fillId="52" borderId="3" xfId="0" applyFont="1" applyFill="1" applyBorder="1" applyAlignment="1">
      <alignment horizontal="right" vertical="center"/>
    </xf>
    <xf numFmtId="0" fontId="73" fillId="51" borderId="3" xfId="0" applyFont="1" applyFill="1" applyBorder="1" applyAlignment="1">
      <alignment horizontal="left"/>
    </xf>
    <xf numFmtId="0" fontId="74" fillId="51" borderId="3" xfId="0" applyFont="1" applyFill="1" applyBorder="1" applyAlignment="1">
      <alignment horizontal="left" wrapText="1"/>
    </xf>
    <xf numFmtId="0" fontId="59" fillId="49" borderId="3" xfId="0" applyFont="1" applyFill="1" applyBorder="1" applyAlignment="1">
      <alignment horizontal="left" wrapText="1"/>
    </xf>
    <xf numFmtId="0" fontId="36" fillId="49" borderId="3" xfId="0" applyFont="1" applyFill="1" applyBorder="1"/>
    <xf numFmtId="0" fontId="50" fillId="44" borderId="3" xfId="0" applyFont="1" applyFill="1" applyBorder="1" applyAlignment="1">
      <alignment horizontal="left" wrapText="1"/>
    </xf>
    <xf numFmtId="0" fontId="50" fillId="44" borderId="3" xfId="0" applyFont="1" applyFill="1" applyBorder="1"/>
    <xf numFmtId="178" fontId="73" fillId="51" borderId="3" xfId="0" applyNumberFormat="1" applyFont="1" applyFill="1" applyBorder="1" applyAlignment="1">
      <alignment horizontal="right"/>
    </xf>
    <xf numFmtId="178" fontId="8" fillId="51" borderId="3" xfId="0" applyNumberFormat="1" applyFont="1" applyFill="1" applyBorder="1" applyAlignment="1">
      <alignment horizontal="right"/>
    </xf>
    <xf numFmtId="178" fontId="36" fillId="49" borderId="3" xfId="0" applyNumberFormat="1" applyFont="1" applyFill="1" applyBorder="1" applyAlignment="1">
      <alignment horizontal="right"/>
    </xf>
    <xf numFmtId="178" fontId="50" fillId="44" borderId="3" xfId="0" applyNumberFormat="1" applyFont="1" applyFill="1" applyBorder="1" applyAlignment="1">
      <alignment horizontal="right"/>
    </xf>
    <xf numFmtId="0" fontId="79" fillId="52" borderId="3" xfId="0" applyFont="1" applyFill="1" applyBorder="1" applyAlignment="1">
      <alignment horizontal="center" vertical="center" wrapText="1"/>
    </xf>
    <xf numFmtId="0" fontId="22" fillId="28" borderId="22" xfId="0" applyFont="1" applyFill="1" applyBorder="1" applyAlignment="1">
      <alignment horizontal="center" vertical="center" wrapText="1"/>
    </xf>
    <xf numFmtId="164" fontId="40" fillId="48" borderId="69" xfId="0" applyNumberFormat="1" applyFont="1" applyFill="1" applyBorder="1" applyAlignment="1">
      <alignment horizontal="center" vertical="center" wrapText="1"/>
    </xf>
    <xf numFmtId="164" fontId="40" fillId="48" borderId="9" xfId="0" applyNumberFormat="1" applyFont="1" applyFill="1" applyBorder="1" applyAlignment="1">
      <alignment horizontal="center" vertical="center" wrapText="1"/>
    </xf>
    <xf numFmtId="0" fontId="20" fillId="9" borderId="3" xfId="0" applyFont="1" applyFill="1" applyBorder="1" applyAlignment="1">
      <alignment horizontal="center" vertical="center" wrapText="1"/>
    </xf>
    <xf numFmtId="3" fontId="20" fillId="9" borderId="3" xfId="0" applyNumberFormat="1" applyFont="1" applyFill="1" applyBorder="1" applyAlignment="1">
      <alignment horizontal="center" vertical="center" wrapText="1"/>
    </xf>
    <xf numFmtId="178" fontId="20" fillId="9" borderId="3" xfId="0" applyNumberFormat="1" applyFont="1" applyFill="1" applyBorder="1" applyAlignment="1">
      <alignment horizontal="right" vertical="center" wrapText="1"/>
    </xf>
    <xf numFmtId="0" fontId="14" fillId="0" borderId="3" xfId="0" applyFont="1" applyBorder="1" applyAlignment="1">
      <alignment horizontal="center"/>
    </xf>
    <xf numFmtId="178" fontId="14" fillId="0" borderId="3" xfId="0" applyNumberFormat="1" applyFont="1" applyBorder="1" applyAlignment="1">
      <alignment horizontal="right"/>
    </xf>
    <xf numFmtId="0" fontId="79" fillId="52" borderId="3" xfId="0" applyFont="1" applyFill="1" applyBorder="1" applyAlignment="1">
      <alignment horizontal="left" vertical="center" wrapText="1"/>
    </xf>
    <xf numFmtId="0" fontId="79" fillId="52" borderId="3" xfId="0" applyFont="1" applyFill="1" applyBorder="1" applyAlignment="1">
      <alignment horizontal="right" vertical="center" wrapText="1"/>
    </xf>
    <xf numFmtId="0" fontId="40" fillId="0" borderId="38" xfId="0" applyFont="1"/>
    <xf numFmtId="0" fontId="73" fillId="51" borderId="72" xfId="0" applyFont="1" applyFill="1" applyBorder="1" applyAlignment="1">
      <alignment horizontal="center"/>
    </xf>
    <xf numFmtId="178" fontId="73" fillId="51" borderId="72" xfId="0" applyNumberFormat="1" applyFont="1" applyFill="1" applyBorder="1" applyAlignment="1">
      <alignment horizontal="right"/>
    </xf>
    <xf numFmtId="0" fontId="50" fillId="51" borderId="72" xfId="0" applyFont="1" applyFill="1" applyBorder="1" applyAlignment="1">
      <alignment horizontal="center" wrapText="1"/>
    </xf>
    <xf numFmtId="0" fontId="73" fillId="0" borderId="38" xfId="0" applyFont="1" applyAlignment="1">
      <alignment horizontal="left" vertical="center"/>
    </xf>
    <xf numFmtId="0" fontId="75" fillId="0" borderId="38" xfId="0" applyFont="1"/>
    <xf numFmtId="178" fontId="0" fillId="0" borderId="0" xfId="0" applyNumberFormat="1" applyBorder="1"/>
    <xf numFmtId="0" fontId="80" fillId="64" borderId="3" xfId="0" applyFont="1" applyFill="1" applyBorder="1" applyAlignment="1">
      <alignment horizontal="center" vertical="center" wrapText="1"/>
    </xf>
    <xf numFmtId="0" fontId="16" fillId="63" borderId="72" xfId="0" applyFont="1" applyFill="1" applyBorder="1" applyAlignment="1">
      <alignment horizontal="center"/>
    </xf>
    <xf numFmtId="178" fontId="16" fillId="63" borderId="72" xfId="0" applyNumberFormat="1" applyFont="1" applyFill="1" applyBorder="1" applyAlignment="1">
      <alignment horizontal="right"/>
    </xf>
    <xf numFmtId="0" fontId="80" fillId="0" borderId="38" xfId="0" applyFont="1" applyAlignment="1">
      <alignment horizontal="left" vertical="center"/>
    </xf>
    <xf numFmtId="178" fontId="80" fillId="0" borderId="38" xfId="0" applyNumberFormat="1" applyFont="1" applyAlignment="1">
      <alignment horizontal="right" vertical="center"/>
    </xf>
    <xf numFmtId="0" fontId="79" fillId="0" borderId="38" xfId="0" applyFont="1" applyAlignment="1">
      <alignment horizontal="left" vertical="center"/>
    </xf>
    <xf numFmtId="178" fontId="79" fillId="0" borderId="38" xfId="0" applyNumberFormat="1" applyFont="1" applyAlignment="1">
      <alignment horizontal="right" vertical="center"/>
    </xf>
    <xf numFmtId="0" fontId="8" fillId="51" borderId="3" xfId="0" applyFont="1" applyFill="1" applyBorder="1" applyAlignment="1">
      <alignment horizontal="right"/>
    </xf>
    <xf numFmtId="183" fontId="0" fillId="0" borderId="0" xfId="0" applyNumberFormat="1" applyBorder="1"/>
    <xf numFmtId="0" fontId="10" fillId="63" borderId="72" xfId="0" applyFont="1" applyFill="1" applyBorder="1" applyAlignment="1">
      <alignment horizontal="center" vertical="center" wrapText="1"/>
    </xf>
    <xf numFmtId="3" fontId="10" fillId="63" borderId="72" xfId="0" applyNumberFormat="1" applyFont="1" applyFill="1" applyBorder="1" applyAlignment="1">
      <alignment horizontal="center" vertical="center" wrapText="1"/>
    </xf>
    <xf numFmtId="178" fontId="10" fillId="63" borderId="72" xfId="0" applyNumberFormat="1" applyFont="1" applyFill="1" applyBorder="1" applyAlignment="1">
      <alignment horizontal="right" vertical="center" wrapText="1"/>
    </xf>
    <xf numFmtId="0" fontId="8" fillId="52" borderId="77" xfId="0" applyFont="1" applyFill="1" applyBorder="1" applyAlignment="1">
      <alignment horizontal="center"/>
    </xf>
    <xf numFmtId="3" fontId="8" fillId="52" borderId="77" xfId="0" applyNumberFormat="1" applyFont="1" applyFill="1" applyBorder="1" applyAlignment="1">
      <alignment horizontal="center"/>
    </xf>
    <xf numFmtId="178" fontId="8" fillId="52" borderId="77" xfId="0" applyNumberFormat="1" applyFont="1" applyFill="1" applyBorder="1" applyAlignment="1">
      <alignment horizontal="right"/>
    </xf>
    <xf numFmtId="3" fontId="8" fillId="52" borderId="77" xfId="0" applyNumberFormat="1" applyFont="1" applyFill="1" applyBorder="1"/>
    <xf numFmtId="0" fontId="16" fillId="63" borderId="72" xfId="0" applyFont="1" applyFill="1" applyBorder="1" applyAlignment="1">
      <alignment horizontal="center" vertical="center" wrapText="1"/>
    </xf>
    <xf numFmtId="0" fontId="8" fillId="52" borderId="78" xfId="0" applyFont="1" applyFill="1" applyBorder="1" applyAlignment="1">
      <alignment horizontal="center"/>
    </xf>
    <xf numFmtId="178" fontId="8" fillId="52" borderId="78" xfId="0" applyNumberFormat="1" applyFont="1" applyFill="1" applyBorder="1" applyAlignment="1">
      <alignment horizontal="right"/>
    </xf>
    <xf numFmtId="178" fontId="82" fillId="64" borderId="77" xfId="0" applyNumberFormat="1" applyFont="1" applyFill="1" applyBorder="1" applyAlignment="1">
      <alignment horizontal="right"/>
    </xf>
    <xf numFmtId="178" fontId="82" fillId="64" borderId="78" xfId="0" applyNumberFormat="1" applyFont="1" applyFill="1" applyBorder="1" applyAlignment="1">
      <alignment horizontal="right"/>
    </xf>
    <xf numFmtId="0" fontId="33" fillId="0" borderId="0" xfId="0" applyFont="1" applyBorder="1"/>
    <xf numFmtId="184" fontId="0" fillId="0" borderId="0" xfId="0" applyNumberFormat="1" applyBorder="1"/>
    <xf numFmtId="49" fontId="0" fillId="0" borderId="0" xfId="0" applyNumberFormat="1" applyBorder="1"/>
    <xf numFmtId="185" fontId="22" fillId="51" borderId="39" xfId="0" applyNumberFormat="1" applyFont="1" applyFill="1" applyBorder="1" applyAlignment="1">
      <alignment horizontal="right" vertical="center"/>
    </xf>
    <xf numFmtId="0" fontId="36" fillId="49" borderId="79" xfId="0" applyFont="1" applyFill="1" applyBorder="1" applyAlignment="1">
      <alignment horizontal="left" vertical="center" wrapText="1" indent="1"/>
    </xf>
    <xf numFmtId="178" fontId="40" fillId="51" borderId="50" xfId="0" applyNumberFormat="1" applyFont="1" applyFill="1" applyBorder="1" applyAlignment="1">
      <alignment horizontal="right" vertical="center"/>
    </xf>
    <xf numFmtId="185" fontId="22" fillId="51" borderId="36" xfId="0" applyNumberFormat="1" applyFont="1" applyFill="1" applyBorder="1" applyAlignment="1">
      <alignment horizontal="right" vertical="center"/>
    </xf>
    <xf numFmtId="0" fontId="68" fillId="51" borderId="80" xfId="0" applyFont="1" applyFill="1" applyBorder="1" applyAlignment="1">
      <alignment horizontal="left" vertical="center" wrapText="1" indent="1"/>
    </xf>
    <xf numFmtId="0" fontId="14" fillId="0" borderId="0" xfId="0" applyFont="1" applyBorder="1" applyAlignment="1">
      <alignment vertical="center"/>
    </xf>
    <xf numFmtId="0" fontId="14" fillId="65" borderId="0" xfId="0" applyFont="1" applyFill="1" applyBorder="1" applyAlignment="1">
      <alignment vertical="center"/>
    </xf>
    <xf numFmtId="49" fontId="62" fillId="65" borderId="0" xfId="0" applyNumberFormat="1" applyFont="1" applyFill="1" applyBorder="1" applyAlignment="1">
      <alignment horizontal="left" vertical="center" indent="1"/>
    </xf>
    <xf numFmtId="49" fontId="83" fillId="65" borderId="0" xfId="0" applyNumberFormat="1" applyFont="1" applyFill="1" applyBorder="1" applyAlignment="1">
      <alignment horizontal="left" vertical="center" indent="1"/>
    </xf>
    <xf numFmtId="49" fontId="84" fillId="0" borderId="0" xfId="0" applyNumberFormat="1" applyFont="1" applyBorder="1" applyAlignment="1">
      <alignment horizontal="left"/>
    </xf>
    <xf numFmtId="0" fontId="81" fillId="0" borderId="83" xfId="0" applyFont="1" applyBorder="1" applyAlignment="1">
      <alignment horizontal="left" vertical="center"/>
    </xf>
    <xf numFmtId="171" fontId="81" fillId="0" borderId="83" xfId="0" applyNumberFormat="1" applyFont="1" applyBorder="1" applyAlignment="1">
      <alignment horizontal="left" vertical="center"/>
    </xf>
    <xf numFmtId="186" fontId="81" fillId="0" borderId="83" xfId="0" applyNumberFormat="1" applyFont="1" applyBorder="1" applyAlignment="1">
      <alignment horizontal="left" vertical="center"/>
    </xf>
    <xf numFmtId="49" fontId="84" fillId="0" borderId="0" xfId="0" applyNumberFormat="1" applyFont="1" applyBorder="1" applyAlignment="1">
      <alignment horizontal="left" indent="1"/>
    </xf>
    <xf numFmtId="0" fontId="81" fillId="0" borderId="83" xfId="0" applyFont="1" applyBorder="1" applyAlignment="1">
      <alignment horizontal="left" vertical="center" indent="1"/>
    </xf>
    <xf numFmtId="49" fontId="84" fillId="0" borderId="0" xfId="0" applyNumberFormat="1" applyFont="1" applyBorder="1" applyAlignment="1">
      <alignment horizontal="center"/>
    </xf>
    <xf numFmtId="0" fontId="81" fillId="0" borderId="83" xfId="0" applyFont="1" applyBorder="1" applyAlignment="1">
      <alignment horizontal="center" vertical="center"/>
    </xf>
    <xf numFmtId="49" fontId="66" fillId="66" borderId="84" xfId="0" applyNumberFormat="1" applyFont="1" applyFill="1" applyBorder="1" applyAlignment="1">
      <alignment horizontal="left" vertical="center" indent="1"/>
    </xf>
    <xf numFmtId="0" fontId="60" fillId="66" borderId="0" xfId="0" applyFont="1" applyFill="1" applyBorder="1" applyAlignment="1">
      <alignment horizontal="left" vertical="top" wrapText="1" indent="1"/>
    </xf>
    <xf numFmtId="49" fontId="85" fillId="67" borderId="85" xfId="0" applyNumberFormat="1" applyFont="1" applyFill="1" applyBorder="1" applyAlignment="1">
      <alignment horizontal="left" vertical="center" indent="1"/>
    </xf>
    <xf numFmtId="49" fontId="87" fillId="67" borderId="0" xfId="0" applyNumberFormat="1" applyFont="1" applyFill="1" applyBorder="1" applyAlignment="1">
      <alignment horizontal="left" vertical="top" wrapText="1" indent="1"/>
    </xf>
    <xf numFmtId="49" fontId="80" fillId="39" borderId="86" xfId="0" applyNumberFormat="1" applyFont="1" applyFill="1" applyBorder="1" applyAlignment="1">
      <alignment horizontal="left" vertical="center" indent="1"/>
    </xf>
    <xf numFmtId="0" fontId="77" fillId="39" borderId="0" xfId="0" applyFont="1" applyFill="1" applyBorder="1" applyAlignment="1">
      <alignment horizontal="left" vertical="top" wrapText="1" indent="1"/>
    </xf>
    <xf numFmtId="49" fontId="89" fillId="43" borderId="87" xfId="0" applyNumberFormat="1" applyFont="1" applyFill="1" applyBorder="1" applyAlignment="1">
      <alignment horizontal="left" vertical="center" indent="1"/>
    </xf>
    <xf numFmtId="49" fontId="91" fillId="43" borderId="0" xfId="0" applyNumberFormat="1" applyFont="1" applyFill="1" applyBorder="1" applyAlignment="1">
      <alignment horizontal="left" vertical="top" wrapText="1" indent="1"/>
    </xf>
    <xf numFmtId="49" fontId="92" fillId="48" borderId="88" xfId="0" applyNumberFormat="1" applyFont="1" applyFill="1" applyBorder="1" applyAlignment="1">
      <alignment horizontal="left" vertical="center" indent="1"/>
    </xf>
    <xf numFmtId="0" fontId="94" fillId="48" borderId="0" xfId="0" applyFont="1" applyFill="1" applyBorder="1" applyAlignment="1">
      <alignment horizontal="left" vertical="top" wrapText="1" indent="1"/>
    </xf>
    <xf numFmtId="49" fontId="95" fillId="68" borderId="89" xfId="0" applyNumberFormat="1" applyFont="1" applyFill="1" applyBorder="1" applyAlignment="1">
      <alignment horizontal="left" vertical="center" indent="1"/>
    </xf>
    <xf numFmtId="0" fontId="96" fillId="68" borderId="0" xfId="0" applyFont="1" applyFill="1" applyBorder="1" applyAlignment="1">
      <alignment horizontal="left" vertical="top" wrapText="1" indent="1"/>
    </xf>
    <xf numFmtId="185" fontId="57" fillId="66" borderId="0" xfId="0" applyNumberFormat="1" applyFont="1" applyFill="1" applyBorder="1" applyAlignment="1">
      <alignment horizontal="right" vertical="center" indent="1"/>
    </xf>
    <xf numFmtId="185" fontId="86" fillId="67" borderId="0" xfId="0" applyNumberFormat="1" applyFont="1" applyFill="1" applyBorder="1" applyAlignment="1">
      <alignment horizontal="right" vertical="center" indent="1"/>
    </xf>
    <xf numFmtId="185" fontId="88" fillId="39" borderId="0" xfId="0" applyNumberFormat="1" applyFont="1" applyFill="1" applyBorder="1" applyAlignment="1">
      <alignment horizontal="right" vertical="center" indent="1"/>
    </xf>
    <xf numFmtId="185" fontId="90" fillId="43" borderId="0" xfId="0" applyNumberFormat="1" applyFont="1" applyFill="1" applyBorder="1" applyAlignment="1">
      <alignment horizontal="right" vertical="center" indent="1"/>
    </xf>
    <xf numFmtId="186" fontId="93" fillId="48" borderId="0" xfId="0" applyNumberFormat="1" applyFont="1" applyFill="1" applyBorder="1" applyAlignment="1">
      <alignment horizontal="right" vertical="center" indent="1"/>
    </xf>
    <xf numFmtId="0" fontId="97" fillId="68" borderId="0" xfId="0" applyFont="1" applyFill="1" applyBorder="1" applyAlignment="1">
      <alignment horizontal="left" vertical="center" wrapText="1" indent="1"/>
    </xf>
    <xf numFmtId="49" fontId="36" fillId="49" borderId="0" xfId="0" applyNumberFormat="1" applyFont="1" applyFill="1" applyBorder="1" applyAlignment="1">
      <alignment horizontal="left" vertical="center" indent="1"/>
    </xf>
    <xf numFmtId="0" fontId="36" fillId="49" borderId="0" xfId="0" applyFont="1" applyFill="1" applyBorder="1" applyAlignment="1">
      <alignment horizontal="left" vertical="center" indent="1"/>
    </xf>
    <xf numFmtId="0" fontId="99" fillId="0" borderId="92" xfId="0" applyFont="1" applyBorder="1" applyAlignment="1">
      <alignment horizontal="left" vertical="center" wrapText="1" indent="1"/>
    </xf>
    <xf numFmtId="0" fontId="99" fillId="0" borderId="93" xfId="0" applyFont="1" applyBorder="1" applyAlignment="1">
      <alignment horizontal="left" vertical="center" wrapText="1" indent="1"/>
    </xf>
    <xf numFmtId="49" fontId="99" fillId="0" borderId="93" xfId="0" applyNumberFormat="1" applyFont="1" applyBorder="1" applyAlignment="1">
      <alignment horizontal="left" vertical="center" wrapText="1" indent="1"/>
    </xf>
    <xf numFmtId="49" fontId="99" fillId="0" borderId="8" xfId="0" applyNumberFormat="1" applyFont="1" applyBorder="1" applyAlignment="1">
      <alignment horizontal="left" vertical="center" wrapText="1" indent="1"/>
    </xf>
    <xf numFmtId="185" fontId="99" fillId="0" borderId="92" xfId="0" applyNumberFormat="1" applyFont="1" applyBorder="1" applyAlignment="1">
      <alignment horizontal="right" vertical="center"/>
    </xf>
    <xf numFmtId="185" fontId="99" fillId="0" borderId="93" xfId="0" applyNumberFormat="1" applyFont="1" applyBorder="1" applyAlignment="1">
      <alignment horizontal="right" vertical="center"/>
    </xf>
    <xf numFmtId="185" fontId="99" fillId="0" borderId="8" xfId="0" applyNumberFormat="1" applyFont="1" applyBorder="1" applyAlignment="1">
      <alignment horizontal="right" vertical="center"/>
    </xf>
    <xf numFmtId="0" fontId="8" fillId="66" borderId="94" xfId="0" applyFont="1" applyFill="1" applyBorder="1" applyAlignment="1">
      <alignment horizontal="left" vertical="center" wrapText="1" indent="1"/>
    </xf>
    <xf numFmtId="185" fontId="8" fillId="66" borderId="94" xfId="0" applyNumberFormat="1" applyFont="1" applyFill="1" applyBorder="1" applyAlignment="1">
      <alignment horizontal="right" vertical="center"/>
    </xf>
    <xf numFmtId="49" fontId="99" fillId="0" borderId="92" xfId="0" applyNumberFormat="1" applyFont="1" applyBorder="1" applyAlignment="1">
      <alignment horizontal="left" vertical="center" wrapText="1" indent="1"/>
    </xf>
    <xf numFmtId="0" fontId="95" fillId="0" borderId="92" xfId="0" applyFont="1" applyBorder="1" applyAlignment="1">
      <alignment horizontal="center" vertical="center" wrapText="1"/>
    </xf>
    <xf numFmtId="0" fontId="95" fillId="0" borderId="93" xfId="0" applyFont="1" applyBorder="1" applyAlignment="1">
      <alignment horizontal="center" vertical="center" wrapText="1"/>
    </xf>
    <xf numFmtId="0" fontId="95" fillId="0" borderId="8" xfId="0" applyFont="1" applyBorder="1" applyAlignment="1">
      <alignment horizontal="center" vertical="center" wrapText="1"/>
    </xf>
    <xf numFmtId="171" fontId="96" fillId="0" borderId="93" xfId="0" applyNumberFormat="1" applyFont="1" applyBorder="1" applyAlignment="1">
      <alignment horizontal="center" vertical="center" wrapText="1"/>
    </xf>
    <xf numFmtId="185" fontId="96" fillId="0" borderId="93" xfId="0" applyNumberFormat="1" applyFont="1" applyBorder="1" applyAlignment="1">
      <alignment horizontal="center" vertical="center" wrapText="1"/>
    </xf>
    <xf numFmtId="0" fontId="100" fillId="0" borderId="92" xfId="0" applyFont="1" applyBorder="1" applyAlignment="1">
      <alignment horizontal="left" vertical="center" indent="1"/>
    </xf>
    <xf numFmtId="0" fontId="100" fillId="0" borderId="93" xfId="0" applyFont="1" applyBorder="1" applyAlignment="1">
      <alignment horizontal="left" vertical="center" indent="1"/>
    </xf>
    <xf numFmtId="0" fontId="100" fillId="0" borderId="8" xfId="0" applyFont="1" applyBorder="1" applyAlignment="1">
      <alignment horizontal="left" vertical="center" indent="1"/>
    </xf>
    <xf numFmtId="171" fontId="99" fillId="0" borderId="92" xfId="0" applyNumberFormat="1" applyFont="1" applyBorder="1" applyAlignment="1">
      <alignment horizontal="center" vertical="center" wrapText="1"/>
    </xf>
    <xf numFmtId="186" fontId="99" fillId="0" borderId="92" xfId="0" applyNumberFormat="1" applyFont="1" applyBorder="1" applyAlignment="1">
      <alignment horizontal="center" vertical="center" wrapText="1"/>
    </xf>
    <xf numFmtId="171" fontId="99" fillId="0" borderId="93" xfId="0" applyNumberFormat="1" applyFont="1" applyBorder="1" applyAlignment="1">
      <alignment horizontal="center" vertical="center" wrapText="1"/>
    </xf>
    <xf numFmtId="186" fontId="99" fillId="0" borderId="93" xfId="0" applyNumberFormat="1" applyFont="1" applyBorder="1" applyAlignment="1">
      <alignment horizontal="center" vertical="center" wrapText="1"/>
    </xf>
    <xf numFmtId="171" fontId="99" fillId="0" borderId="8" xfId="0" applyNumberFormat="1" applyFont="1" applyBorder="1" applyAlignment="1">
      <alignment horizontal="center" vertical="center" wrapText="1"/>
    </xf>
    <xf numFmtId="186" fontId="99" fillId="0" borderId="8" xfId="0" applyNumberFormat="1" applyFont="1" applyBorder="1" applyAlignment="1">
      <alignment horizontal="center" vertical="center" wrapText="1"/>
    </xf>
    <xf numFmtId="0" fontId="96" fillId="0" borderId="92" xfId="0" applyFont="1" applyBorder="1" applyAlignment="1">
      <alignment horizontal="left" vertical="center" wrapText="1" indent="1"/>
    </xf>
    <xf numFmtId="0" fontId="96" fillId="0" borderId="93" xfId="0" applyFont="1" applyBorder="1" applyAlignment="1">
      <alignment horizontal="left" vertical="center" wrapText="1" indent="1"/>
    </xf>
    <xf numFmtId="0" fontId="96" fillId="0" borderId="8" xfId="0" applyFont="1" applyBorder="1" applyAlignment="1">
      <alignment horizontal="left" vertical="center" wrapText="1" indent="1"/>
    </xf>
    <xf numFmtId="49" fontId="100" fillId="0" borderId="92" xfId="0" applyNumberFormat="1" applyFont="1" applyBorder="1" applyAlignment="1">
      <alignment horizontal="left" vertical="center" indent="1"/>
    </xf>
    <xf numFmtId="49" fontId="100" fillId="0" borderId="93" xfId="0" applyNumberFormat="1" applyFont="1" applyBorder="1" applyAlignment="1">
      <alignment horizontal="left" vertical="center" indent="1"/>
    </xf>
    <xf numFmtId="49" fontId="5" fillId="0" borderId="93" xfId="0" applyNumberFormat="1" applyFont="1" applyBorder="1" applyAlignment="1">
      <alignment horizontal="left" vertical="center" indent="1"/>
    </xf>
    <xf numFmtId="49" fontId="8" fillId="69" borderId="95" xfId="0" applyNumberFormat="1" applyFont="1" applyFill="1" applyBorder="1" applyAlignment="1">
      <alignment horizontal="left" vertical="center" indent="1"/>
    </xf>
    <xf numFmtId="185" fontId="8" fillId="69" borderId="95" xfId="0" applyNumberFormat="1" applyFont="1" applyFill="1" applyBorder="1" applyAlignment="1">
      <alignment horizontal="right" vertical="center"/>
    </xf>
    <xf numFmtId="0" fontId="14" fillId="0" borderId="0" xfId="0" applyFont="1" applyBorder="1" applyAlignment="1">
      <alignment horizontal="left" vertical="center" wrapText="1" indent="1"/>
    </xf>
    <xf numFmtId="0" fontId="98" fillId="0" borderId="0" xfId="0" applyFont="1" applyBorder="1" applyAlignment="1">
      <alignment horizontal="left" vertical="center" wrapText="1"/>
    </xf>
    <xf numFmtId="0" fontId="98" fillId="0" borderId="0" xfId="0" applyFont="1" applyBorder="1" applyAlignment="1">
      <alignment horizontal="left" vertical="center" wrapText="1" indent="1"/>
    </xf>
    <xf numFmtId="0" fontId="100" fillId="0" borderId="0" xfId="0" applyFont="1" applyBorder="1" applyAlignment="1">
      <alignment horizontal="left" vertical="center" indent="1"/>
    </xf>
    <xf numFmtId="0" fontId="98" fillId="0" borderId="0" xfId="0" applyFont="1" applyBorder="1" applyAlignment="1">
      <alignment horizontal="right" vertical="center" wrapText="1"/>
    </xf>
    <xf numFmtId="185" fontId="99" fillId="0" borderId="0" xfId="0" applyNumberFormat="1" applyFont="1" applyBorder="1" applyAlignment="1">
      <alignment horizontal="right" vertical="center"/>
    </xf>
    <xf numFmtId="0" fontId="36" fillId="0" borderId="0" xfId="0" applyFont="1" applyBorder="1" applyAlignment="1">
      <alignment horizontal="left" vertical="center" indent="1"/>
    </xf>
    <xf numFmtId="185" fontId="14" fillId="0" borderId="0" xfId="0" applyNumberFormat="1" applyFont="1" applyBorder="1" applyAlignment="1">
      <alignment horizontal="right" vertical="center"/>
    </xf>
    <xf numFmtId="49" fontId="98" fillId="69" borderId="38" xfId="0" applyNumberFormat="1" applyFont="1" applyFill="1" applyAlignment="1">
      <alignment horizontal="left" vertical="center" wrapText="1" indent="1"/>
    </xf>
    <xf numFmtId="49" fontId="98" fillId="69" borderId="38" xfId="0" applyNumberFormat="1" applyFont="1" applyFill="1" applyAlignment="1">
      <alignment horizontal="left" vertical="center" wrapText="1"/>
    </xf>
    <xf numFmtId="49" fontId="5" fillId="0" borderId="38" xfId="0" applyNumberFormat="1" applyFont="1" applyAlignment="1">
      <alignment horizontal="left" vertical="center" wrapText="1" indent="1"/>
    </xf>
    <xf numFmtId="185" fontId="5" fillId="0" borderId="38" xfId="0" applyNumberFormat="1" applyFont="1" applyAlignment="1">
      <alignment horizontal="right" vertical="center"/>
    </xf>
    <xf numFmtId="49" fontId="98" fillId="69" borderId="38" xfId="0" applyNumberFormat="1" applyFont="1" applyFill="1" applyAlignment="1">
      <alignment horizontal="center" vertical="center" wrapText="1"/>
    </xf>
    <xf numFmtId="0" fontId="98" fillId="69" borderId="38" xfId="0" applyFont="1" applyFill="1" applyAlignment="1">
      <alignment horizontal="right" vertical="center" wrapText="1"/>
    </xf>
    <xf numFmtId="0" fontId="75" fillId="0" borderId="38" xfId="0" applyFont="1" applyAlignment="1">
      <alignment horizontal="left" vertical="center"/>
    </xf>
    <xf numFmtId="0" fontId="22" fillId="44" borderId="3" xfId="0" applyFont="1" applyFill="1" applyBorder="1" applyAlignment="1">
      <alignment horizontal="center" vertical="center"/>
    </xf>
    <xf numFmtId="0" fontId="104" fillId="39" borderId="3" xfId="0" applyFont="1" applyFill="1" applyBorder="1"/>
    <xf numFmtId="0" fontId="22" fillId="44" borderId="3" xfId="0" applyFont="1" applyFill="1" applyBorder="1" applyAlignment="1">
      <alignment horizontal="left" vertical="center" wrapText="1"/>
    </xf>
    <xf numFmtId="0" fontId="103" fillId="70" borderId="3" xfId="0" applyFont="1" applyFill="1" applyBorder="1" applyAlignment="1">
      <alignment horizontal="center" vertical="center"/>
    </xf>
    <xf numFmtId="0" fontId="103" fillId="71" borderId="3" xfId="0" applyFont="1" applyFill="1" applyBorder="1" applyAlignment="1">
      <alignment horizontal="center" vertical="center"/>
    </xf>
    <xf numFmtId="4" fontId="22" fillId="44" borderId="3" xfId="0" applyNumberFormat="1" applyFont="1" applyFill="1" applyBorder="1"/>
    <xf numFmtId="4" fontId="104" fillId="39" borderId="3" xfId="0" applyNumberFormat="1" applyFont="1" applyFill="1" applyBorder="1"/>
    <xf numFmtId="169" fontId="22" fillId="44" borderId="3" xfId="0" applyNumberFormat="1" applyFont="1" applyFill="1" applyBorder="1"/>
    <xf numFmtId="0" fontId="9" fillId="61" borderId="96" xfId="0" applyFont="1" applyFill="1" applyBorder="1" applyAlignment="1">
      <alignment horizontal="center" vertical="center" wrapText="1"/>
    </xf>
    <xf numFmtId="0" fontId="22" fillId="28" borderId="22" xfId="0" applyFont="1" applyFill="1" applyBorder="1" applyAlignment="1">
      <alignment wrapText="1"/>
    </xf>
    <xf numFmtId="0" fontId="104" fillId="39" borderId="97" xfId="0" applyFont="1" applyFill="1" applyBorder="1" applyAlignment="1">
      <alignment vertical="center"/>
    </xf>
    <xf numFmtId="0" fontId="104" fillId="39" borderId="22" xfId="0" applyFont="1" applyFill="1" applyBorder="1" applyAlignment="1">
      <alignment vertical="center"/>
    </xf>
    <xf numFmtId="0" fontId="9" fillId="61" borderId="98" xfId="0" applyFont="1" applyFill="1" applyBorder="1" applyAlignment="1">
      <alignment horizontal="center" vertical="center" wrapText="1"/>
    </xf>
    <xf numFmtId="0" fontId="22" fillId="48" borderId="37" xfId="0" applyFont="1" applyFill="1" applyBorder="1" applyAlignment="1">
      <alignment wrapText="1"/>
    </xf>
    <xf numFmtId="0" fontId="7" fillId="0" borderId="37" xfId="0" applyFont="1" applyBorder="1"/>
    <xf numFmtId="0" fontId="0" fillId="0" borderId="8" xfId="0" applyBorder="1"/>
    <xf numFmtId="0" fontId="0" fillId="0" borderId="9" xfId="0" applyBorder="1"/>
    <xf numFmtId="0" fontId="102" fillId="0" borderId="22" xfId="0" applyFont="1" applyBorder="1" applyAlignment="1">
      <alignment horizontal="left" vertical="center" wrapText="1" indent="1"/>
    </xf>
    <xf numFmtId="0" fontId="102" fillId="0" borderId="8" xfId="0" applyFont="1" applyBorder="1" applyAlignment="1">
      <alignment horizontal="left" vertical="center" wrapText="1" indent="1"/>
    </xf>
    <xf numFmtId="0" fontId="102" fillId="0" borderId="9" xfId="0" applyFont="1" applyBorder="1" applyAlignment="1">
      <alignment horizontal="left" vertical="center" wrapText="1" indent="1"/>
    </xf>
    <xf numFmtId="0" fontId="106" fillId="72" borderId="3" xfId="0" applyFont="1" applyFill="1" applyBorder="1" applyAlignment="1">
      <alignment horizontal="left" vertical="center" wrapText="1" indent="1"/>
    </xf>
    <xf numFmtId="0" fontId="105" fillId="70" borderId="3" xfId="0" applyFont="1" applyFill="1" applyBorder="1" applyAlignment="1">
      <alignment horizontal="left" vertical="center" wrapText="1" indent="1"/>
    </xf>
    <xf numFmtId="0" fontId="74" fillId="63" borderId="22" xfId="0" applyFont="1" applyFill="1" applyBorder="1" applyAlignment="1">
      <alignment horizontal="left" vertical="center" wrapText="1"/>
    </xf>
    <xf numFmtId="0" fontId="74" fillId="63" borderId="8" xfId="0" applyFont="1" applyFill="1" applyBorder="1" applyAlignment="1">
      <alignment horizontal="left" vertical="center" wrapText="1"/>
    </xf>
    <xf numFmtId="0" fontId="74" fillId="63" borderId="9" xfId="0" applyFont="1" applyFill="1" applyBorder="1" applyAlignment="1">
      <alignment horizontal="left" vertical="center" wrapText="1"/>
    </xf>
    <xf numFmtId="0" fontId="36" fillId="49" borderId="32" xfId="0" applyFont="1" applyFill="1" applyBorder="1" applyAlignment="1">
      <alignment horizontal="left" vertical="center"/>
    </xf>
    <xf numFmtId="0" fontId="36" fillId="49" borderId="38" xfId="0" applyFont="1" applyFill="1" applyAlignment="1">
      <alignment horizontal="left" vertical="center"/>
    </xf>
    <xf numFmtId="0" fontId="36" fillId="49" borderId="70" xfId="0" applyFont="1" applyFill="1" applyBorder="1" applyAlignment="1">
      <alignment horizontal="left" vertical="center"/>
    </xf>
    <xf numFmtId="0" fontId="36" fillId="49" borderId="75" xfId="0" applyFont="1" applyFill="1" applyBorder="1" applyAlignment="1">
      <alignment horizontal="left" vertical="center"/>
    </xf>
    <xf numFmtId="0" fontId="36" fillId="49" borderId="76" xfId="0" applyFont="1" applyFill="1" applyBorder="1" applyAlignment="1">
      <alignment horizontal="left" vertical="center"/>
    </xf>
    <xf numFmtId="0" fontId="36" fillId="49" borderId="71" xfId="0" applyFont="1" applyFill="1" applyBorder="1" applyAlignment="1">
      <alignment horizontal="left" vertical="center" wrapText="1"/>
    </xf>
    <xf numFmtId="0" fontId="36" fillId="49" borderId="73" xfId="0" applyFont="1" applyFill="1" applyBorder="1" applyAlignment="1">
      <alignment horizontal="left" vertical="center" wrapText="1"/>
    </xf>
    <xf numFmtId="0" fontId="36" fillId="49" borderId="74" xfId="0" applyFont="1" applyFill="1" applyBorder="1" applyAlignment="1">
      <alignment horizontal="left" vertical="center" wrapText="1"/>
    </xf>
    <xf numFmtId="0" fontId="79" fillId="52" borderId="77" xfId="0" applyFont="1" applyFill="1" applyBorder="1" applyAlignment="1">
      <alignment horizontal="left" vertical="center" wrapText="1"/>
    </xf>
    <xf numFmtId="183" fontId="81" fillId="52" borderId="77" xfId="0" applyNumberFormat="1" applyFont="1" applyFill="1" applyBorder="1" applyAlignment="1">
      <alignment horizontal="right" vertical="center" wrapText="1"/>
    </xf>
    <xf numFmtId="0" fontId="36" fillId="49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3" borderId="38" xfId="0" applyFont="1" applyFill="1" applyAlignment="1">
      <alignment horizontal="center" vertical="center" wrapText="1"/>
    </xf>
    <xf numFmtId="0" fontId="0" fillId="0" borderId="38" xfId="0" applyAlignment="1">
      <alignment wrapText="1"/>
    </xf>
    <xf numFmtId="0" fontId="0" fillId="0" borderId="6" xfId="0" applyBorder="1"/>
    <xf numFmtId="0" fontId="34" fillId="61" borderId="58" xfId="0" applyFont="1" applyFill="1" applyBorder="1" applyAlignment="1">
      <alignment horizontal="center" vertical="center"/>
    </xf>
    <xf numFmtId="0" fontId="34" fillId="61" borderId="59" xfId="0" applyFont="1" applyFill="1" applyBorder="1"/>
    <xf numFmtId="0" fontId="34" fillId="61" borderId="60" xfId="0" applyFont="1" applyFill="1" applyBorder="1"/>
    <xf numFmtId="0" fontId="69" fillId="0" borderId="66" xfId="0" applyFont="1" applyBorder="1"/>
    <xf numFmtId="0" fontId="0" fillId="0" borderId="68" xfId="0" applyBorder="1"/>
    <xf numFmtId="0" fontId="69" fillId="0" borderId="32" xfId="0" applyFont="1" applyBorder="1"/>
    <xf numFmtId="0" fontId="0" fillId="0" borderId="27" xfId="0" applyBorder="1"/>
    <xf numFmtId="0" fontId="69" fillId="0" borderId="62" xfId="0" applyFont="1" applyBorder="1"/>
    <xf numFmtId="0" fontId="0" fillId="0" borderId="67" xfId="0" applyBorder="1"/>
    <xf numFmtId="0" fontId="69" fillId="0" borderId="33" xfId="0" applyFont="1" applyBorder="1"/>
    <xf numFmtId="0" fontId="13" fillId="36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3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6" borderId="38" xfId="0" applyFont="1" applyFill="1" applyAlignment="1">
      <alignment horizontal="left" vertical="center"/>
    </xf>
    <xf numFmtId="0" fontId="29" fillId="35" borderId="38" xfId="0" applyFont="1" applyFill="1" applyAlignment="1">
      <alignment vertical="center" wrapText="1"/>
    </xf>
    <xf numFmtId="0" fontId="28" fillId="34" borderId="11" xfId="0" applyFont="1" applyFill="1" applyBorder="1" applyAlignment="1">
      <alignment vertical="center" wrapText="1"/>
    </xf>
    <xf numFmtId="0" fontId="13" fillId="30" borderId="38" xfId="0" applyFont="1" applyFill="1" applyAlignment="1">
      <alignment horizontal="left" vertical="center"/>
    </xf>
    <xf numFmtId="0" fontId="26" fillId="34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4" fillId="46" borderId="38" xfId="0" applyFont="1" applyFill="1" applyAlignment="1">
      <alignment vertical="center" wrapText="1"/>
    </xf>
    <xf numFmtId="0" fontId="27" fillId="31" borderId="38" xfId="0" applyFont="1" applyFill="1" applyAlignment="1">
      <alignment vertical="center" wrapText="1"/>
    </xf>
    <xf numFmtId="0" fontId="76" fillId="49" borderId="0" xfId="0" applyFont="1" applyFill="1" applyBorder="1" applyAlignment="1">
      <alignment horizontal="left" vertical="center"/>
    </xf>
    <xf numFmtId="0" fontId="73" fillId="63" borderId="0" xfId="0" applyFont="1" applyFill="1" applyBorder="1" applyAlignment="1">
      <alignment horizontal="left" wrapText="1"/>
    </xf>
    <xf numFmtId="0" fontId="73" fillId="63" borderId="38" xfId="0" applyFont="1" applyFill="1" applyAlignment="1">
      <alignment horizontal="left" wrapText="1"/>
    </xf>
    <xf numFmtId="0" fontId="50" fillId="51" borderId="3" xfId="0" applyFont="1" applyFill="1" applyBorder="1" applyAlignment="1">
      <alignment horizontal="left" wrapText="1"/>
    </xf>
    <xf numFmtId="0" fontId="50" fillId="51" borderId="5" xfId="0" applyFont="1" applyFill="1" applyBorder="1" applyAlignment="1">
      <alignment horizontal="left" wrapText="1"/>
    </xf>
    <xf numFmtId="0" fontId="36" fillId="49" borderId="0" xfId="0" applyFont="1" applyFill="1" applyBorder="1" applyAlignment="1">
      <alignment horizontal="left" vertical="center"/>
    </xf>
    <xf numFmtId="0" fontId="73" fillId="63" borderId="38" xfId="0" applyFont="1" applyFill="1" applyAlignment="1">
      <alignment horizontal="left" vertical="center" wrapText="1"/>
    </xf>
    <xf numFmtId="0" fontId="36" fillId="49" borderId="38" xfId="0" applyFont="1" applyFill="1" applyAlignment="1">
      <alignment horizontal="left" vertical="center" indent="1"/>
    </xf>
    <xf numFmtId="0" fontId="68" fillId="50" borderId="41" xfId="0" applyFont="1" applyFill="1" applyBorder="1" applyAlignment="1">
      <alignment vertical="center" wrapText="1"/>
    </xf>
    <xf numFmtId="0" fontId="50" fillId="50" borderId="41" xfId="0" applyFont="1" applyFill="1" applyBorder="1" applyAlignment="1">
      <alignment vertical="center" wrapText="1"/>
    </xf>
    <xf numFmtId="0" fontId="36" fillId="49" borderId="49" xfId="0" applyFont="1" applyFill="1" applyBorder="1" applyAlignment="1">
      <alignment horizontal="left" vertical="center" indent="1"/>
    </xf>
    <xf numFmtId="0" fontId="36" fillId="49" borderId="52" xfId="0" applyFont="1" applyFill="1" applyBorder="1" applyAlignment="1">
      <alignment horizontal="left" vertical="center" indent="1"/>
    </xf>
    <xf numFmtId="0" fontId="79" fillId="52" borderId="3" xfId="0" applyFont="1" applyFill="1" applyBorder="1" applyAlignment="1">
      <alignment horizontal="center" vertical="center" wrapText="1"/>
    </xf>
    <xf numFmtId="0" fontId="79" fillId="52" borderId="5" xfId="0" applyFont="1" applyFill="1" applyBorder="1" applyAlignment="1">
      <alignment horizontal="center" vertical="center" wrapText="1"/>
    </xf>
    <xf numFmtId="0" fontId="68" fillId="51" borderId="34" xfId="0" applyFont="1" applyFill="1" applyBorder="1" applyAlignment="1">
      <alignment vertical="center" wrapText="1"/>
    </xf>
    <xf numFmtId="0" fontId="50" fillId="51" borderId="34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50" fillId="51" borderId="39" xfId="0" applyFont="1" applyFill="1" applyBorder="1" applyAlignment="1">
      <alignment vertical="center" wrapText="1"/>
    </xf>
    <xf numFmtId="176" fontId="71" fillId="0" borderId="38" xfId="0" applyNumberFormat="1" applyFont="1" applyAlignment="1">
      <alignment horizontal="left" vertical="center"/>
    </xf>
    <xf numFmtId="0" fontId="42" fillId="0" borderId="38" xfId="0" applyFont="1" applyAlignment="1">
      <alignment horizontal="left" vertical="center"/>
    </xf>
    <xf numFmtId="176" fontId="71" fillId="0" borderId="38" xfId="0" applyNumberFormat="1" applyFont="1" applyAlignment="1">
      <alignment vertical="top"/>
    </xf>
    <xf numFmtId="0" fontId="71" fillId="0" borderId="38" xfId="0" applyFont="1" applyAlignment="1">
      <alignment vertical="top"/>
    </xf>
    <xf numFmtId="0" fontId="71" fillId="0" borderId="38" xfId="0" applyFont="1" applyAlignment="1">
      <alignment horizontal="left" vertical="center" wrapText="1"/>
    </xf>
    <xf numFmtId="0" fontId="40" fillId="0" borderId="38" xfId="0" applyFont="1" applyAlignment="1">
      <alignment horizontal="left" vertical="center" wrapText="1"/>
    </xf>
    <xf numFmtId="0" fontId="71" fillId="0" borderId="50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41" fillId="49" borderId="38" xfId="0" applyFont="1" applyFill="1" applyAlignment="1">
      <alignment horizontal="left" vertical="center" indent="1"/>
    </xf>
    <xf numFmtId="0" fontId="49" fillId="44" borderId="38" xfId="0" applyFont="1" applyFill="1" applyAlignment="1">
      <alignment horizontal="center" vertical="center"/>
    </xf>
    <xf numFmtId="0" fontId="49" fillId="49" borderId="38" xfId="0" applyFont="1" applyFill="1" applyAlignment="1">
      <alignment horizontal="center" vertical="center"/>
    </xf>
    <xf numFmtId="0" fontId="48" fillId="49" borderId="38" xfId="0" applyFont="1" applyFill="1" applyAlignment="1">
      <alignment horizontal="left" vertical="center" indent="1"/>
    </xf>
    <xf numFmtId="0" fontId="51" fillId="49" borderId="38" xfId="0" applyFont="1" applyFill="1" applyAlignment="1">
      <alignment horizontal="center" vertical="center" wrapText="1"/>
    </xf>
    <xf numFmtId="0" fontId="50" fillId="0" borderId="38" xfId="0" applyFont="1" applyAlignment="1">
      <alignment horizontal="left" vertical="center" indent="1"/>
    </xf>
    <xf numFmtId="0" fontId="56" fillId="0" borderId="38" xfId="0" applyFont="1" applyAlignment="1">
      <alignment horizontal="left" vertical="center" indent="1"/>
    </xf>
    <xf numFmtId="182" fontId="58" fillId="59" borderId="54" xfId="0" applyNumberFormat="1" applyFont="1" applyFill="1" applyBorder="1" applyAlignment="1">
      <alignment horizontal="left" vertical="center" indent="1"/>
    </xf>
    <xf numFmtId="0" fontId="0" fillId="0" borderId="54" xfId="0" applyBorder="1" applyAlignment="1">
      <alignment horizontal="left" vertical="center"/>
    </xf>
    <xf numFmtId="178" fontId="57" fillId="58" borderId="38" xfId="0" applyNumberFormat="1" applyFont="1" applyFill="1" applyAlignment="1">
      <alignment horizontal="right" vertical="center" indent="1" shrinkToFit="1"/>
    </xf>
    <xf numFmtId="178" fontId="57" fillId="58" borderId="52" xfId="0" applyNumberFormat="1" applyFont="1" applyFill="1" applyBorder="1" applyAlignment="1">
      <alignment horizontal="right" vertical="center" indent="1" shrinkToFit="1"/>
    </xf>
    <xf numFmtId="0" fontId="71" fillId="0" borderId="51" xfId="0" applyFont="1" applyBorder="1" applyAlignment="1">
      <alignment horizontal="left" vertical="center" indent="1"/>
    </xf>
    <xf numFmtId="0" fontId="40" fillId="0" borderId="40" xfId="0" applyFont="1" applyBorder="1" applyAlignment="1">
      <alignment horizontal="left" vertical="center" indent="1"/>
    </xf>
    <xf numFmtId="0" fontId="40" fillId="0" borderId="50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8" xfId="0" applyFont="1" applyAlignment="1">
      <alignment horizontal="left" wrapText="1"/>
    </xf>
    <xf numFmtId="0" fontId="0" fillId="0" borderId="38" xfId="0" applyAlignment="1">
      <alignment horizontal="left" wrapText="1"/>
    </xf>
    <xf numFmtId="0" fontId="71" fillId="0" borderId="48" xfId="0" applyFont="1" applyBorder="1" applyAlignment="1">
      <alignment horizontal="left" vertical="top" wrapText="1" indent="1"/>
    </xf>
    <xf numFmtId="0" fontId="40" fillId="0" borderId="38" xfId="0" applyFont="1" applyAlignment="1">
      <alignment horizontal="left" vertical="top" wrapText="1" indent="1"/>
    </xf>
    <xf numFmtId="0" fontId="40" fillId="0" borderId="47" xfId="0" applyFont="1" applyBorder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77" fillId="0" borderId="48" xfId="0" applyFont="1" applyBorder="1" applyAlignment="1">
      <alignment horizontal="left" vertical="center" wrapText="1"/>
    </xf>
    <xf numFmtId="0" fontId="77" fillId="0" borderId="38" xfId="0" applyFont="1" applyAlignment="1">
      <alignment horizontal="left" vertical="center" wrapText="1"/>
    </xf>
    <xf numFmtId="178" fontId="78" fillId="0" borderId="38" xfId="0" applyNumberFormat="1" applyFont="1" applyAlignment="1">
      <alignment horizontal="right" vertical="center"/>
    </xf>
    <xf numFmtId="183" fontId="78" fillId="0" borderId="38" xfId="0" applyNumberFormat="1" applyFont="1" applyAlignment="1">
      <alignment horizontal="right" vertical="center"/>
    </xf>
    <xf numFmtId="0" fontId="71" fillId="0" borderId="48" xfId="0" applyFont="1" applyBorder="1" applyAlignment="1">
      <alignment horizontal="left" vertical="center" wrapText="1" indent="1"/>
    </xf>
    <xf numFmtId="0" fontId="71" fillId="0" borderId="82" xfId="0" applyFont="1" applyBorder="1" applyAlignment="1">
      <alignment horizontal="left" vertical="center" wrapText="1" indent="1"/>
    </xf>
    <xf numFmtId="0" fontId="71" fillId="0" borderId="51" xfId="0" applyFont="1" applyBorder="1" applyAlignment="1">
      <alignment horizontal="left" vertical="center" wrapText="1" indent="1"/>
    </xf>
    <xf numFmtId="0" fontId="71" fillId="0" borderId="81" xfId="0" applyFont="1" applyBorder="1" applyAlignment="1">
      <alignment horizontal="left" vertical="center" wrapText="1" indent="1"/>
    </xf>
    <xf numFmtId="0" fontId="50" fillId="0" borderId="73" xfId="0" applyFont="1" applyBorder="1" applyAlignment="1">
      <alignment horizontal="left" vertical="center" wrapText="1" indent="1"/>
    </xf>
    <xf numFmtId="49" fontId="98" fillId="69" borderId="90" xfId="0" applyNumberFormat="1" applyFont="1" applyFill="1" applyBorder="1" applyAlignment="1">
      <alignment horizontal="left" vertical="center" wrapText="1"/>
    </xf>
    <xf numFmtId="0" fontId="50" fillId="0" borderId="91" xfId="0" applyFont="1" applyBorder="1" applyAlignment="1">
      <alignment horizontal="left" vertical="center" wrapText="1" indent="1"/>
    </xf>
    <xf numFmtId="0" fontId="50" fillId="0" borderId="8" xfId="0" applyFont="1" applyBorder="1" applyAlignment="1">
      <alignment horizontal="left" vertical="center" wrapText="1" indent="1"/>
    </xf>
    <xf numFmtId="0" fontId="50" fillId="0" borderId="93" xfId="0" applyFont="1" applyBorder="1" applyAlignment="1">
      <alignment horizontal="left" vertical="center" wrapText="1" indent="1"/>
    </xf>
    <xf numFmtId="49" fontId="50" fillId="66" borderId="94" xfId="0" applyNumberFormat="1" applyFont="1" applyFill="1" applyBorder="1" applyAlignment="1">
      <alignment horizontal="left" vertical="center" wrapText="1" indent="1"/>
    </xf>
    <xf numFmtId="0" fontId="75" fillId="0" borderId="0" xfId="0" applyFont="1" applyBorder="1" applyAlignment="1">
      <alignment horizontal="left" vertical="center" wrapText="1" indent="1"/>
    </xf>
    <xf numFmtId="0" fontId="14" fillId="0" borderId="0" xfId="0" applyFont="1" applyBorder="1" applyAlignment="1">
      <alignment horizontal="left" vertical="center" wrapText="1" indent="1"/>
    </xf>
    <xf numFmtId="49" fontId="50" fillId="0" borderId="91" xfId="0" applyNumberFormat="1" applyFont="1" applyBorder="1" applyAlignment="1">
      <alignment horizontal="left" vertical="center" wrapText="1" indent="1"/>
    </xf>
    <xf numFmtId="49" fontId="50" fillId="0" borderId="8" xfId="0" applyNumberFormat="1" applyFont="1" applyBorder="1" applyAlignment="1">
      <alignment horizontal="left" vertical="center" wrapText="1" indent="1"/>
    </xf>
    <xf numFmtId="0" fontId="0" fillId="0" borderId="93" xfId="0" applyBorder="1" applyAlignment="1">
      <alignment horizontal="left" vertical="center" wrapText="1" indent="1"/>
    </xf>
    <xf numFmtId="0" fontId="98" fillId="0" borderId="0" xfId="0" applyFont="1" applyBorder="1" applyAlignment="1">
      <alignment horizontal="left" vertical="center" wrapText="1"/>
    </xf>
    <xf numFmtId="0" fontId="50" fillId="0" borderId="0" xfId="0" applyFont="1" applyBorder="1" applyAlignment="1">
      <alignment horizontal="left" vertical="center" wrapText="1" indent="1"/>
    </xf>
    <xf numFmtId="49" fontId="101" fillId="0" borderId="0" xfId="0" applyNumberFormat="1" applyFont="1" applyBorder="1" applyAlignment="1">
      <alignment horizontal="left" vertical="center" wrapText="1" indent="1"/>
    </xf>
    <xf numFmtId="49" fontId="14" fillId="0" borderId="0" xfId="0" applyNumberFormat="1" applyFont="1" applyBorder="1" applyAlignment="1">
      <alignment horizontal="left" vertical="center" wrapText="1" indent="1"/>
    </xf>
  </cellXfs>
  <cellStyles count="1">
    <cellStyle name="Normal" xfId="0" builtinId="0"/>
  </cellStyles>
  <dxfs count="11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border>
        <bottom style="thin">
          <color rgb="FFD9D9D9"/>
        </bottom>
      </border>
    </dxf>
    <dxf>
      <fill>
        <patternFill>
          <bgColor rgb="FFDCE6F1"/>
        </patternFill>
      </fill>
    </dxf>
    <dxf>
      <fill>
        <patternFill>
          <bgColor rgb="FF1F4E78"/>
        </patternFill>
      </fill>
    </dxf>
    <dxf>
      <fill>
        <patternFill>
          <bgColor rgb="FFDEEAF6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border>
        <bottom style="thin">
          <color rgb="FFD9D9D9"/>
        </bottom>
      </border>
    </dxf>
    <dxf>
      <fill>
        <patternFill>
          <bgColor rgb="FFDCE6F1"/>
        </patternFill>
      </fill>
      <border>
        <bottom style="thin">
          <color rgb="FF9DB3D3"/>
        </bottom>
      </border>
    </dxf>
    <dxf>
      <font>
        <b/>
        <i val="0"/>
        <color rgb="FF7F6000"/>
      </font>
      <fill>
        <patternFill>
          <bgColor rgb="FFFFF4CC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color rgb="FF1F3864"/>
      </font>
      <fill>
        <patternFill>
          <bgColor rgb="FFFAFAFA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D9D9D9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006100"/>
      </font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195" t="str">
        <f>IF(posicao_contratual!A2="","",posicao_contratual!B2)</f>
        <v/>
      </c>
      <c r="C4" s="195" t="str">
        <f>IF(OR(posicao_contratual!A2="",NOT(ISNUMBER(posicao_contratual!B2)),NOT(ISNUMBER(posicao_contratual!G2))),"",ROUND(posicao_contratual!B2*posicao_contratual!G2,2))</f>
        <v/>
      </c>
      <c r="D4" s="195" t="str">
        <f>IF(OR(posicao_contratual!A2="",NOT(ISNUMBER(posicao_contratual!B2)),NOT(ISNUMBER(posicao_contratual!K2))),"",ROUND(posicao_contratual!B2*posicao_contratual!K2,2))</f>
        <v/>
      </c>
      <c r="E4" s="195" t="str">
        <f>IF(OR(posicao_contratual!A2="",NOT(ISNUMBER(posicao_contratual!B2)),NOT(ISNUMBER(posicao_contratual!O2))),"",ROUND(posicao_contratual!B2*posicao_contratual!O2,2))</f>
        <v/>
      </c>
      <c r="F4" s="195" t="str">
        <f>IF(OR(posicao_contratual!A2="",NOT(ISNUMBER(posicao_contratual!B2)),NOT(ISNUMBER(posicao_contratual!S2))),"",ROUND(posicao_contratual!B2*posicao_contratual!S2,2))</f>
        <v/>
      </c>
      <c r="G4" s="195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195" t="str">
        <f>IF(posicao_contratual!A3="","",posicao_contratual!B3)</f>
        <v/>
      </c>
      <c r="C5" s="195" t="str">
        <f>IF(OR(posicao_contratual!A3="",NOT(ISNUMBER(posicao_contratual!B3)),NOT(ISNUMBER(posicao_contratual!G3))),"",ROUND(posicao_contratual!B3*posicao_contratual!G3,2))</f>
        <v/>
      </c>
      <c r="D5" s="195" t="str">
        <f>IF(OR(posicao_contratual!A3="",NOT(ISNUMBER(posicao_contratual!B3)),NOT(ISNUMBER(posicao_contratual!K3))),"",ROUND(posicao_contratual!B3*posicao_contratual!K3,2))</f>
        <v/>
      </c>
      <c r="E5" s="195" t="str">
        <f>IF(OR(posicao_contratual!A3="",NOT(ISNUMBER(posicao_contratual!B3)),NOT(ISNUMBER(posicao_contratual!O3))),"",ROUND(posicao_contratual!B3*posicao_contratual!O3,2))</f>
        <v/>
      </c>
      <c r="F5" s="195" t="str">
        <f>IF(OR(posicao_contratual!A3="",NOT(ISNUMBER(posicao_contratual!B3)),NOT(ISNUMBER(posicao_contratual!S3))),"",ROUND(posicao_contratual!B3*posicao_contratual!S3,2))</f>
        <v/>
      </c>
      <c r="G5" s="195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195" t="str">
        <f>IF(posicao_contratual!A4="","",posicao_contratual!B4)</f>
        <v/>
      </c>
      <c r="C6" s="195" t="str">
        <f>IF(OR(posicao_contratual!A4="",NOT(ISNUMBER(posicao_contratual!B4)),NOT(ISNUMBER(posicao_contratual!G4))),"",ROUND(posicao_contratual!B4*posicao_contratual!G4,2))</f>
        <v/>
      </c>
      <c r="D6" s="195" t="str">
        <f>IF(OR(posicao_contratual!A4="",NOT(ISNUMBER(posicao_contratual!B4)),NOT(ISNUMBER(posicao_contratual!K4))),"",ROUND(posicao_contratual!B4*posicao_contratual!K4,2))</f>
        <v/>
      </c>
      <c r="E6" s="195" t="str">
        <f>IF(OR(posicao_contratual!A4="",NOT(ISNUMBER(posicao_contratual!B4)),NOT(ISNUMBER(posicao_contratual!O4))),"",ROUND(posicao_contratual!B4*posicao_contratual!O4,2))</f>
        <v/>
      </c>
      <c r="F6" s="195" t="str">
        <f>IF(OR(posicao_contratual!A4="",NOT(ISNUMBER(posicao_contratual!B4)),NOT(ISNUMBER(posicao_contratual!S4))),"",ROUND(posicao_contratual!B4*posicao_contratual!S4,2))</f>
        <v/>
      </c>
      <c r="G6" s="195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195" t="str">
        <f>IF(posicao_contratual!A5="","",posicao_contratual!B5)</f>
        <v/>
      </c>
      <c r="C7" s="195" t="str">
        <f>IF(OR(posicao_contratual!A5="",NOT(ISNUMBER(posicao_contratual!B5)),NOT(ISNUMBER(posicao_contratual!G5))),"",ROUND(posicao_contratual!B5*posicao_contratual!G5,2))</f>
        <v/>
      </c>
      <c r="D7" s="195" t="str">
        <f>IF(OR(posicao_contratual!A5="",NOT(ISNUMBER(posicao_contratual!B5)),NOT(ISNUMBER(posicao_contratual!K5))),"",ROUND(posicao_contratual!B5*posicao_contratual!K5,2))</f>
        <v/>
      </c>
      <c r="E7" s="195" t="str">
        <f>IF(OR(posicao_contratual!A5="",NOT(ISNUMBER(posicao_contratual!B5)),NOT(ISNUMBER(posicao_contratual!O5))),"",ROUND(posicao_contratual!B5*posicao_contratual!O5,2))</f>
        <v/>
      </c>
      <c r="F7" s="195" t="str">
        <f>IF(OR(posicao_contratual!A5="",NOT(ISNUMBER(posicao_contratual!B5)),NOT(ISNUMBER(posicao_contratual!S5))),"",ROUND(posicao_contratual!B5*posicao_contratual!S5,2))</f>
        <v/>
      </c>
      <c r="G7" s="195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195" t="str">
        <f>IF(posicao_contratual!A6="","",posicao_contratual!B6)</f>
        <v/>
      </c>
      <c r="C8" s="195" t="str">
        <f>IF(OR(posicao_contratual!A6="",NOT(ISNUMBER(posicao_contratual!B6)),NOT(ISNUMBER(posicao_contratual!G6))),"",ROUND(posicao_contratual!B6*posicao_contratual!G6,2))</f>
        <v/>
      </c>
      <c r="D8" s="195" t="str">
        <f>IF(OR(posicao_contratual!A6="",NOT(ISNUMBER(posicao_contratual!B6)),NOT(ISNUMBER(posicao_contratual!K6))),"",ROUND(posicao_contratual!B6*posicao_contratual!K6,2))</f>
        <v/>
      </c>
      <c r="E8" s="195" t="str">
        <f>IF(OR(posicao_contratual!A6="",NOT(ISNUMBER(posicao_contratual!B6)),NOT(ISNUMBER(posicao_contratual!O6))),"",ROUND(posicao_contratual!B6*posicao_contratual!O6,2))</f>
        <v/>
      </c>
      <c r="F8" s="195" t="str">
        <f>IF(OR(posicao_contratual!A6="",NOT(ISNUMBER(posicao_contratual!B6)),NOT(ISNUMBER(posicao_contratual!S6))),"",ROUND(posicao_contratual!B6*posicao_contratual!S6,2))</f>
        <v/>
      </c>
      <c r="G8" s="195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195" t="str">
        <f>IF(posicao_contratual!A7="","",posicao_contratual!B7)</f>
        <v/>
      </c>
      <c r="C9" s="195" t="str">
        <f>IF(OR(posicao_contratual!A7="",NOT(ISNUMBER(posicao_contratual!B7)),NOT(ISNUMBER(posicao_contratual!G7))),"",ROUND(posicao_contratual!B7*posicao_contratual!G7,2))</f>
        <v/>
      </c>
      <c r="D9" s="195" t="str">
        <f>IF(OR(posicao_contratual!A7="",NOT(ISNUMBER(posicao_contratual!B7)),NOT(ISNUMBER(posicao_contratual!K7))),"",ROUND(posicao_contratual!B7*posicao_contratual!K7,2))</f>
        <v/>
      </c>
      <c r="E9" s="195" t="str">
        <f>IF(OR(posicao_contratual!A7="",NOT(ISNUMBER(posicao_contratual!B7)),NOT(ISNUMBER(posicao_contratual!O7))),"",ROUND(posicao_contratual!B7*posicao_contratual!O7,2))</f>
        <v/>
      </c>
      <c r="F9" s="195" t="str">
        <f>IF(OR(posicao_contratual!A7="",NOT(ISNUMBER(posicao_contratual!B7)),NOT(ISNUMBER(posicao_contratual!S7))),"",ROUND(posicao_contratual!B7*posicao_contratual!S7,2))</f>
        <v/>
      </c>
      <c r="G9" s="195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195" t="str">
        <f>IF(posicao_contratual!A8="","",posicao_contratual!B8)</f>
        <v/>
      </c>
      <c r="C10" s="195" t="str">
        <f>IF(OR(posicao_contratual!A8="",NOT(ISNUMBER(posicao_contratual!B8)),NOT(ISNUMBER(posicao_contratual!G8))),"",ROUND(posicao_contratual!B8*posicao_contratual!G8,2))</f>
        <v/>
      </c>
      <c r="D10" s="195" t="str">
        <f>IF(OR(posicao_contratual!A8="",NOT(ISNUMBER(posicao_contratual!B8)),NOT(ISNUMBER(posicao_contratual!K8))),"",ROUND(posicao_contratual!B8*posicao_contratual!K8,2))</f>
        <v/>
      </c>
      <c r="E10" s="195" t="str">
        <f>IF(OR(posicao_contratual!A8="",NOT(ISNUMBER(posicao_contratual!B8)),NOT(ISNUMBER(posicao_contratual!O8))),"",ROUND(posicao_contratual!B8*posicao_contratual!O8,2))</f>
        <v/>
      </c>
      <c r="F10" s="195" t="str">
        <f>IF(OR(posicao_contratual!A8="",NOT(ISNUMBER(posicao_contratual!B8)),NOT(ISNUMBER(posicao_contratual!S8))),"",ROUND(posicao_contratual!B8*posicao_contratual!S8,2))</f>
        <v/>
      </c>
      <c r="G10" s="195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195" t="str">
        <f>IF(posicao_contratual!A9="","",posicao_contratual!B9)</f>
        <v/>
      </c>
      <c r="C11" s="195" t="str">
        <f>IF(OR(posicao_contratual!A9="",NOT(ISNUMBER(posicao_contratual!B9)),NOT(ISNUMBER(posicao_contratual!G9))),"",ROUND(posicao_contratual!B9*posicao_contratual!G9,2))</f>
        <v/>
      </c>
      <c r="D11" s="195" t="str">
        <f>IF(OR(posicao_contratual!A9="",NOT(ISNUMBER(posicao_contratual!B9)),NOT(ISNUMBER(posicao_contratual!K9))),"",ROUND(posicao_contratual!B9*posicao_contratual!K9,2))</f>
        <v/>
      </c>
      <c r="E11" s="195" t="str">
        <f>IF(OR(posicao_contratual!A9="",NOT(ISNUMBER(posicao_contratual!B9)),NOT(ISNUMBER(posicao_contratual!O9))),"",ROUND(posicao_contratual!B9*posicao_contratual!O9,2))</f>
        <v/>
      </c>
      <c r="F11" s="195" t="str">
        <f>IF(OR(posicao_contratual!A9="",NOT(ISNUMBER(posicao_contratual!B9)),NOT(ISNUMBER(posicao_contratual!S9))),"",ROUND(posicao_contratual!B9*posicao_contratual!S9,2))</f>
        <v/>
      </c>
      <c r="G11" s="195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195" t="str">
        <f>IF(posicao_contratual!A10="","",posicao_contratual!B10)</f>
        <v/>
      </c>
      <c r="C12" s="195" t="str">
        <f>IF(OR(posicao_contratual!A10="",NOT(ISNUMBER(posicao_contratual!B10)),NOT(ISNUMBER(posicao_contratual!G10))),"",ROUND(posicao_contratual!B10*posicao_contratual!G10,2))</f>
        <v/>
      </c>
      <c r="D12" s="195" t="str">
        <f>IF(OR(posicao_contratual!A10="",NOT(ISNUMBER(posicao_contratual!B10)),NOT(ISNUMBER(posicao_contratual!K10))),"",ROUND(posicao_contratual!B10*posicao_contratual!K10,2))</f>
        <v/>
      </c>
      <c r="E12" s="195" t="str">
        <f>IF(OR(posicao_contratual!A10="",NOT(ISNUMBER(posicao_contratual!B10)),NOT(ISNUMBER(posicao_contratual!O10))),"",ROUND(posicao_contratual!B10*posicao_contratual!O10,2))</f>
        <v/>
      </c>
      <c r="F12" s="195" t="str">
        <f>IF(OR(posicao_contratual!A10="",NOT(ISNUMBER(posicao_contratual!B10)),NOT(ISNUMBER(posicao_contratual!S10))),"",ROUND(posicao_contratual!B10*posicao_contratual!S10,2))</f>
        <v/>
      </c>
      <c r="G12" s="195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195" t="str">
        <f>IF(posicao_contratual!A11="","",posicao_contratual!B11)</f>
        <v/>
      </c>
      <c r="C13" s="195" t="str">
        <f>IF(OR(posicao_contratual!A11="",NOT(ISNUMBER(posicao_contratual!B11)),NOT(ISNUMBER(posicao_contratual!G11))),"",ROUND(posicao_contratual!B11*posicao_contratual!G11,2))</f>
        <v/>
      </c>
      <c r="D13" s="195" t="str">
        <f>IF(OR(posicao_contratual!A11="",NOT(ISNUMBER(posicao_contratual!B11)),NOT(ISNUMBER(posicao_contratual!K11))),"",ROUND(posicao_contratual!B11*posicao_contratual!K11,2))</f>
        <v/>
      </c>
      <c r="E13" s="195" t="str">
        <f>IF(OR(posicao_contratual!A11="",NOT(ISNUMBER(posicao_contratual!B11)),NOT(ISNUMBER(posicao_contratual!O11))),"",ROUND(posicao_contratual!B11*posicao_contratual!O11,2))</f>
        <v/>
      </c>
      <c r="F13" s="195" t="str">
        <f>IF(OR(posicao_contratual!A11="",NOT(ISNUMBER(posicao_contratual!B11)),NOT(ISNUMBER(posicao_contratual!S11))),"",ROUND(posicao_contratual!B11*posicao_contratual!S11,2))</f>
        <v/>
      </c>
      <c r="G13" s="195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195" t="str">
        <f>IF(posicao_contratual!A12="","",posicao_contratual!B12)</f>
        <v/>
      </c>
      <c r="C14" s="195" t="str">
        <f>IF(OR(posicao_contratual!A12="",NOT(ISNUMBER(posicao_contratual!B12)),NOT(ISNUMBER(posicao_contratual!G12))),"",ROUND(posicao_contratual!B12*posicao_contratual!G12,2))</f>
        <v/>
      </c>
      <c r="D14" s="195" t="str">
        <f>IF(OR(posicao_contratual!A12="",NOT(ISNUMBER(posicao_contratual!B12)),NOT(ISNUMBER(posicao_contratual!K12))),"",ROUND(posicao_contratual!B12*posicao_contratual!K12,2))</f>
        <v/>
      </c>
      <c r="E14" s="195" t="str">
        <f>IF(OR(posicao_contratual!A12="",NOT(ISNUMBER(posicao_contratual!B12)),NOT(ISNUMBER(posicao_contratual!O12))),"",ROUND(posicao_contratual!B12*posicao_contratual!O12,2))</f>
        <v/>
      </c>
      <c r="F14" s="195" t="str">
        <f>IF(OR(posicao_contratual!A12="",NOT(ISNUMBER(posicao_contratual!B12)),NOT(ISNUMBER(posicao_contratual!S12))),"",ROUND(posicao_contratual!B12*posicao_contratual!S12,2))</f>
        <v/>
      </c>
      <c r="G14" s="195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195" t="str">
        <f>IF(posicao_contratual!A13="","",posicao_contratual!B13)</f>
        <v/>
      </c>
      <c r="C15" s="195" t="str">
        <f>IF(OR(posicao_contratual!A13="",NOT(ISNUMBER(posicao_contratual!B13)),NOT(ISNUMBER(posicao_contratual!G13))),"",ROUND(posicao_contratual!B13*posicao_contratual!G13,2))</f>
        <v/>
      </c>
      <c r="D15" s="195" t="str">
        <f>IF(OR(posicao_contratual!A13="",NOT(ISNUMBER(posicao_contratual!B13)),NOT(ISNUMBER(posicao_contratual!K13))),"",ROUND(posicao_contratual!B13*posicao_contratual!K13,2))</f>
        <v/>
      </c>
      <c r="E15" s="195" t="str">
        <f>IF(OR(posicao_contratual!A13="",NOT(ISNUMBER(posicao_contratual!B13)),NOT(ISNUMBER(posicao_contratual!O13))),"",ROUND(posicao_contratual!B13*posicao_contratual!O13,2))</f>
        <v/>
      </c>
      <c r="F15" s="195" t="str">
        <f>IF(OR(posicao_contratual!A13="",NOT(ISNUMBER(posicao_contratual!B13)),NOT(ISNUMBER(posicao_contratual!S13))),"",ROUND(posicao_contratual!B13*posicao_contratual!S13,2))</f>
        <v/>
      </c>
      <c r="G15" s="195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195" t="str">
        <f>IF(posicao_contratual!A14="","",posicao_contratual!B14)</f>
        <v/>
      </c>
      <c r="C16" s="195" t="str">
        <f>IF(OR(posicao_contratual!A14="",NOT(ISNUMBER(posicao_contratual!B14)),NOT(ISNUMBER(posicao_contratual!G14))),"",ROUND(posicao_contratual!B14*posicao_contratual!G14,2))</f>
        <v/>
      </c>
      <c r="D16" s="195" t="str">
        <f>IF(OR(posicao_contratual!A14="",NOT(ISNUMBER(posicao_contratual!B14)),NOT(ISNUMBER(posicao_contratual!K14))),"",ROUND(posicao_contratual!B14*posicao_contratual!K14,2))</f>
        <v/>
      </c>
      <c r="E16" s="195" t="str">
        <f>IF(OR(posicao_contratual!A14="",NOT(ISNUMBER(posicao_contratual!B14)),NOT(ISNUMBER(posicao_contratual!O14))),"",ROUND(posicao_contratual!B14*posicao_contratual!O14,2))</f>
        <v/>
      </c>
      <c r="F16" s="195" t="str">
        <f>IF(OR(posicao_contratual!A14="",NOT(ISNUMBER(posicao_contratual!B14)),NOT(ISNUMBER(posicao_contratual!S14))),"",ROUND(posicao_contratual!B14*posicao_contratual!S14,2))</f>
        <v/>
      </c>
      <c r="G16" s="195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195" t="str">
        <f>IF(posicao_contratual!A15="","",posicao_contratual!B15)</f>
        <v/>
      </c>
      <c r="C17" s="195" t="str">
        <f>IF(OR(posicao_contratual!A15="",NOT(ISNUMBER(posicao_contratual!B15)),NOT(ISNUMBER(posicao_contratual!G15))),"",ROUND(posicao_contratual!B15*posicao_contratual!G15,2))</f>
        <v/>
      </c>
      <c r="D17" s="195" t="str">
        <f>IF(OR(posicao_contratual!A15="",NOT(ISNUMBER(posicao_contratual!B15)),NOT(ISNUMBER(posicao_contratual!K15))),"",ROUND(posicao_contratual!B15*posicao_contratual!K15,2))</f>
        <v/>
      </c>
      <c r="E17" s="195" t="str">
        <f>IF(OR(posicao_contratual!A15="",NOT(ISNUMBER(posicao_contratual!B15)),NOT(ISNUMBER(posicao_contratual!O15))),"",ROUND(posicao_contratual!B15*posicao_contratual!O15,2))</f>
        <v/>
      </c>
      <c r="F17" s="195" t="str">
        <f>IF(OR(posicao_contratual!A15="",NOT(ISNUMBER(posicao_contratual!B15)),NOT(ISNUMBER(posicao_contratual!S15))),"",ROUND(posicao_contratual!B15*posicao_contratual!S15,2))</f>
        <v/>
      </c>
      <c r="G17" s="195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195" t="str">
        <f>IF(posicao_contratual!A16="","",posicao_contratual!B16)</f>
        <v/>
      </c>
      <c r="C18" s="195" t="str">
        <f>IF(OR(posicao_contratual!A16="",NOT(ISNUMBER(posicao_contratual!B16)),NOT(ISNUMBER(posicao_contratual!G16))),"",ROUND(posicao_contratual!B16*posicao_contratual!G16,2))</f>
        <v/>
      </c>
      <c r="D18" s="195" t="str">
        <f>IF(OR(posicao_contratual!A16="",NOT(ISNUMBER(posicao_contratual!B16)),NOT(ISNUMBER(posicao_contratual!K16))),"",ROUND(posicao_contratual!B16*posicao_contratual!K16,2))</f>
        <v/>
      </c>
      <c r="E18" s="195" t="str">
        <f>IF(OR(posicao_contratual!A16="",NOT(ISNUMBER(posicao_contratual!B16)),NOT(ISNUMBER(posicao_contratual!O16))),"",ROUND(posicao_contratual!B16*posicao_contratual!O16,2))</f>
        <v/>
      </c>
      <c r="F18" s="195" t="str">
        <f>IF(OR(posicao_contratual!A16="",NOT(ISNUMBER(posicao_contratual!B16)),NOT(ISNUMBER(posicao_contratual!S16))),"",ROUND(posicao_contratual!B16*posicao_contratual!S16,2))</f>
        <v/>
      </c>
      <c r="G18" s="195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195" t="str">
        <f>IF(posicao_contratual!A17="","",posicao_contratual!B17)</f>
        <v/>
      </c>
      <c r="C19" s="195" t="str">
        <f>IF(OR(posicao_contratual!A17="",NOT(ISNUMBER(posicao_contratual!B17)),NOT(ISNUMBER(posicao_contratual!G17))),"",ROUND(posicao_contratual!B17*posicao_contratual!G17,2))</f>
        <v/>
      </c>
      <c r="D19" s="195" t="str">
        <f>IF(OR(posicao_contratual!A17="",NOT(ISNUMBER(posicao_contratual!B17)),NOT(ISNUMBER(posicao_contratual!K17))),"",ROUND(posicao_contratual!B17*posicao_contratual!K17,2))</f>
        <v/>
      </c>
      <c r="E19" s="195" t="str">
        <f>IF(OR(posicao_contratual!A17="",NOT(ISNUMBER(posicao_contratual!B17)),NOT(ISNUMBER(posicao_contratual!O17))),"",ROUND(posicao_contratual!B17*posicao_contratual!O17,2))</f>
        <v/>
      </c>
      <c r="F19" s="195" t="str">
        <f>IF(OR(posicao_contratual!A17="",NOT(ISNUMBER(posicao_contratual!B17)),NOT(ISNUMBER(posicao_contratual!S17))),"",ROUND(posicao_contratual!B17*posicao_contratual!S17,2))</f>
        <v/>
      </c>
      <c r="G19" s="195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195" t="str">
        <f>IF(posicao_contratual!A18="","",posicao_contratual!B18)</f>
        <v/>
      </c>
      <c r="C20" s="195" t="str">
        <f>IF(OR(posicao_contratual!A18="",NOT(ISNUMBER(posicao_contratual!B18)),NOT(ISNUMBER(posicao_contratual!G18))),"",ROUND(posicao_contratual!B18*posicao_contratual!G18,2))</f>
        <v/>
      </c>
      <c r="D20" s="195" t="str">
        <f>IF(OR(posicao_contratual!A18="",NOT(ISNUMBER(posicao_contratual!B18)),NOT(ISNUMBER(posicao_contratual!K18))),"",ROUND(posicao_contratual!B18*posicao_contratual!K18,2))</f>
        <v/>
      </c>
      <c r="E20" s="195" t="str">
        <f>IF(OR(posicao_contratual!A18="",NOT(ISNUMBER(posicao_contratual!B18)),NOT(ISNUMBER(posicao_contratual!O18))),"",ROUND(posicao_contratual!B18*posicao_contratual!O18,2))</f>
        <v/>
      </c>
      <c r="F20" s="195" t="str">
        <f>IF(OR(posicao_contratual!A18="",NOT(ISNUMBER(posicao_contratual!B18)),NOT(ISNUMBER(posicao_contratual!S18))),"",ROUND(posicao_contratual!B18*posicao_contratual!S18,2))</f>
        <v/>
      </c>
      <c r="G20" s="195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195" t="str">
        <f>IF(posicao_contratual!A19="","",posicao_contratual!B19)</f>
        <v/>
      </c>
      <c r="C21" s="195" t="str">
        <f>IF(OR(posicao_contratual!A19="",NOT(ISNUMBER(posicao_contratual!B19)),NOT(ISNUMBER(posicao_contratual!G19))),"",ROUND(posicao_contratual!B19*posicao_contratual!G19,2))</f>
        <v/>
      </c>
      <c r="D21" s="195" t="str">
        <f>IF(OR(posicao_contratual!A19="",NOT(ISNUMBER(posicao_contratual!B19)),NOT(ISNUMBER(posicao_contratual!K19))),"",ROUND(posicao_contratual!B19*posicao_contratual!K19,2))</f>
        <v/>
      </c>
      <c r="E21" s="195" t="str">
        <f>IF(OR(posicao_contratual!A19="",NOT(ISNUMBER(posicao_contratual!B19)),NOT(ISNUMBER(posicao_contratual!O19))),"",ROUND(posicao_contratual!B19*posicao_contratual!O19,2))</f>
        <v/>
      </c>
      <c r="F21" s="195" t="str">
        <f>IF(OR(posicao_contratual!A19="",NOT(ISNUMBER(posicao_contratual!B19)),NOT(ISNUMBER(posicao_contratual!S19))),"",ROUND(posicao_contratual!B19*posicao_contratual!S19,2))</f>
        <v/>
      </c>
      <c r="G21" s="195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195" t="str">
        <f>IF(posicao_contratual!A20="","",posicao_contratual!B20)</f>
        <v/>
      </c>
      <c r="C22" s="195" t="str">
        <f>IF(OR(posicao_contratual!A20="",NOT(ISNUMBER(posicao_contratual!B20)),NOT(ISNUMBER(posicao_contratual!G20))),"",ROUND(posicao_contratual!B20*posicao_contratual!G20,2))</f>
        <v/>
      </c>
      <c r="D22" s="195" t="str">
        <f>IF(OR(posicao_contratual!A20="",NOT(ISNUMBER(posicao_contratual!B20)),NOT(ISNUMBER(posicao_contratual!K20))),"",ROUND(posicao_contratual!B20*posicao_contratual!K20,2))</f>
        <v/>
      </c>
      <c r="E22" s="195" t="str">
        <f>IF(OR(posicao_contratual!A20="",NOT(ISNUMBER(posicao_contratual!B20)),NOT(ISNUMBER(posicao_contratual!O20))),"",ROUND(posicao_contratual!B20*posicao_contratual!O20,2))</f>
        <v/>
      </c>
      <c r="F22" s="195" t="str">
        <f>IF(OR(posicao_contratual!A20="",NOT(ISNUMBER(posicao_contratual!B20)),NOT(ISNUMBER(posicao_contratual!S20))),"",ROUND(posicao_contratual!B20*posicao_contratual!S20,2))</f>
        <v/>
      </c>
      <c r="G22" s="195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195" t="str">
        <f>IF(posicao_contratual!A21="","",posicao_contratual!B21)</f>
        <v/>
      </c>
      <c r="C23" s="195" t="str">
        <f>IF(OR(posicao_contratual!A21="",NOT(ISNUMBER(posicao_contratual!B21)),NOT(ISNUMBER(posicao_contratual!G21))),"",ROUND(posicao_contratual!B21*posicao_contratual!G21,2))</f>
        <v/>
      </c>
      <c r="D23" s="195" t="str">
        <f>IF(OR(posicao_contratual!A21="",NOT(ISNUMBER(posicao_contratual!B21)),NOT(ISNUMBER(posicao_contratual!K21))),"",ROUND(posicao_contratual!B21*posicao_contratual!K21,2))</f>
        <v/>
      </c>
      <c r="E23" s="195" t="str">
        <f>IF(OR(posicao_contratual!A21="",NOT(ISNUMBER(posicao_contratual!B21)),NOT(ISNUMBER(posicao_contratual!O21))),"",ROUND(posicao_contratual!B21*posicao_contratual!O21,2))</f>
        <v/>
      </c>
      <c r="F23" s="195" t="str">
        <f>IF(OR(posicao_contratual!A21="",NOT(ISNUMBER(posicao_contratual!B21)),NOT(ISNUMBER(posicao_contratual!S21))),"",ROUND(posicao_contratual!B21*posicao_contratual!S21,2))</f>
        <v/>
      </c>
      <c r="G23" s="195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195" t="str">
        <f>IF(posicao_contratual!A22="","",posicao_contratual!B22)</f>
        <v/>
      </c>
      <c r="C24" s="195" t="str">
        <f>IF(OR(posicao_contratual!A22="",NOT(ISNUMBER(posicao_contratual!B22)),NOT(ISNUMBER(posicao_contratual!G22))),"",ROUND(posicao_contratual!B22*posicao_contratual!G22,2))</f>
        <v/>
      </c>
      <c r="D24" s="195" t="str">
        <f>IF(OR(posicao_contratual!A22="",NOT(ISNUMBER(posicao_contratual!B22)),NOT(ISNUMBER(posicao_contratual!K22))),"",ROUND(posicao_contratual!B22*posicao_contratual!K22,2))</f>
        <v/>
      </c>
      <c r="E24" s="195" t="str">
        <f>IF(OR(posicao_contratual!A22="",NOT(ISNUMBER(posicao_contratual!B22)),NOT(ISNUMBER(posicao_contratual!O22))),"",ROUND(posicao_contratual!B22*posicao_contratual!O22,2))</f>
        <v/>
      </c>
      <c r="F24" s="195" t="str">
        <f>IF(OR(posicao_contratual!A22="",NOT(ISNUMBER(posicao_contratual!B22)),NOT(ISNUMBER(posicao_contratual!S22))),"",ROUND(posicao_contratual!B22*posicao_contratual!S22,2))</f>
        <v/>
      </c>
      <c r="G24" s="195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195" t="str">
        <f>IF(posicao_contratual!A23="","",posicao_contratual!B23)</f>
        <v/>
      </c>
      <c r="C25" s="195" t="str">
        <f>IF(OR(posicao_contratual!A23="",NOT(ISNUMBER(posicao_contratual!B23)),NOT(ISNUMBER(posicao_contratual!G23))),"",ROUND(posicao_contratual!B23*posicao_contratual!G23,2))</f>
        <v/>
      </c>
      <c r="D25" s="195" t="str">
        <f>IF(OR(posicao_contratual!A23="",NOT(ISNUMBER(posicao_contratual!B23)),NOT(ISNUMBER(posicao_contratual!K23))),"",ROUND(posicao_contratual!B23*posicao_contratual!K23,2))</f>
        <v/>
      </c>
      <c r="E25" s="195" t="str">
        <f>IF(OR(posicao_contratual!A23="",NOT(ISNUMBER(posicao_contratual!B23)),NOT(ISNUMBER(posicao_contratual!O23))),"",ROUND(posicao_contratual!B23*posicao_contratual!O23,2))</f>
        <v/>
      </c>
      <c r="F25" s="195" t="str">
        <f>IF(OR(posicao_contratual!A23="",NOT(ISNUMBER(posicao_contratual!B23)),NOT(ISNUMBER(posicao_contratual!S23))),"",ROUND(posicao_contratual!B23*posicao_contratual!S23,2))</f>
        <v/>
      </c>
      <c r="G25" s="195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195" t="str">
        <f>IF(posicao_contratual!A24="","",posicao_contratual!B24)</f>
        <v/>
      </c>
      <c r="C26" s="195" t="str">
        <f>IF(OR(posicao_contratual!A24="",NOT(ISNUMBER(posicao_contratual!B24)),NOT(ISNUMBER(posicao_contratual!G24))),"",ROUND(posicao_contratual!B24*posicao_contratual!G24,2))</f>
        <v/>
      </c>
      <c r="D26" s="195" t="str">
        <f>IF(OR(posicao_contratual!A24="",NOT(ISNUMBER(posicao_contratual!B24)),NOT(ISNUMBER(posicao_contratual!K24))),"",ROUND(posicao_contratual!B24*posicao_contratual!K24,2))</f>
        <v/>
      </c>
      <c r="E26" s="195" t="str">
        <f>IF(OR(posicao_contratual!A24="",NOT(ISNUMBER(posicao_contratual!B24)),NOT(ISNUMBER(posicao_contratual!O24))),"",ROUND(posicao_contratual!B24*posicao_contratual!O24,2))</f>
        <v/>
      </c>
      <c r="F26" s="195" t="str">
        <f>IF(OR(posicao_contratual!A24="",NOT(ISNUMBER(posicao_contratual!B24)),NOT(ISNUMBER(posicao_contratual!S24))),"",ROUND(posicao_contratual!B24*posicao_contratual!S24,2))</f>
        <v/>
      </c>
      <c r="G26" s="195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195" t="str">
        <f>IF(posicao_contratual!A25="","",posicao_contratual!B25)</f>
        <v/>
      </c>
      <c r="C27" s="195" t="str">
        <f>IF(OR(posicao_contratual!A25="",NOT(ISNUMBER(posicao_contratual!B25)),NOT(ISNUMBER(posicao_contratual!G25))),"",ROUND(posicao_contratual!B25*posicao_contratual!G25,2))</f>
        <v/>
      </c>
      <c r="D27" s="195" t="str">
        <f>IF(OR(posicao_contratual!A25="",NOT(ISNUMBER(posicao_contratual!B25)),NOT(ISNUMBER(posicao_contratual!K25))),"",ROUND(posicao_contratual!B25*posicao_contratual!K25,2))</f>
        <v/>
      </c>
      <c r="E27" s="195" t="str">
        <f>IF(OR(posicao_contratual!A25="",NOT(ISNUMBER(posicao_contratual!B25)),NOT(ISNUMBER(posicao_contratual!O25))),"",ROUND(posicao_contratual!B25*posicao_contratual!O25,2))</f>
        <v/>
      </c>
      <c r="F27" s="195" t="str">
        <f>IF(OR(posicao_contratual!A25="",NOT(ISNUMBER(posicao_contratual!B25)),NOT(ISNUMBER(posicao_contratual!S25))),"",ROUND(posicao_contratual!B25*posicao_contratual!S25,2))</f>
        <v/>
      </c>
      <c r="G27" s="195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195" t="str">
        <f>IF(posicao_contratual!A26="","",posicao_contratual!B26)</f>
        <v/>
      </c>
      <c r="C28" s="195" t="str">
        <f>IF(OR(posicao_contratual!A26="",NOT(ISNUMBER(posicao_contratual!B26)),NOT(ISNUMBER(posicao_contratual!G26))),"",ROUND(posicao_contratual!B26*posicao_contratual!G26,2))</f>
        <v/>
      </c>
      <c r="D28" s="195" t="str">
        <f>IF(OR(posicao_contratual!A26="",NOT(ISNUMBER(posicao_contratual!B26)),NOT(ISNUMBER(posicao_contratual!K26))),"",ROUND(posicao_contratual!B26*posicao_contratual!K26,2))</f>
        <v/>
      </c>
      <c r="E28" s="195" t="str">
        <f>IF(OR(posicao_contratual!A26="",NOT(ISNUMBER(posicao_contratual!B26)),NOT(ISNUMBER(posicao_contratual!O26))),"",ROUND(posicao_contratual!B26*posicao_contratual!O26,2))</f>
        <v/>
      </c>
      <c r="F28" s="195" t="str">
        <f>IF(OR(posicao_contratual!A26="",NOT(ISNUMBER(posicao_contratual!B26)),NOT(ISNUMBER(posicao_contratual!S26))),"",ROUND(posicao_contratual!B26*posicao_contratual!S26,2))</f>
        <v/>
      </c>
      <c r="G28" s="195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195" t="str">
        <f>IF(posicao_contratual!A27="","",posicao_contratual!B27)</f>
        <v/>
      </c>
      <c r="C29" s="195" t="str">
        <f>IF(OR(posicao_contratual!A27="",NOT(ISNUMBER(posicao_contratual!B27)),NOT(ISNUMBER(posicao_contratual!G27))),"",ROUND(posicao_contratual!B27*posicao_contratual!G27,2))</f>
        <v/>
      </c>
      <c r="D29" s="195" t="str">
        <f>IF(OR(posicao_contratual!A27="",NOT(ISNUMBER(posicao_contratual!B27)),NOT(ISNUMBER(posicao_contratual!K27))),"",ROUND(posicao_contratual!B27*posicao_contratual!K27,2))</f>
        <v/>
      </c>
      <c r="E29" s="195" t="str">
        <f>IF(OR(posicao_contratual!A27="",NOT(ISNUMBER(posicao_contratual!B27)),NOT(ISNUMBER(posicao_contratual!O27))),"",ROUND(posicao_contratual!B27*posicao_contratual!O27,2))</f>
        <v/>
      </c>
      <c r="F29" s="195" t="str">
        <f>IF(OR(posicao_contratual!A27="",NOT(ISNUMBER(posicao_contratual!B27)),NOT(ISNUMBER(posicao_contratual!S27))),"",ROUND(posicao_contratual!B27*posicao_contratual!S27,2))</f>
        <v/>
      </c>
      <c r="G29" s="195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195" t="str">
        <f>IF(posicao_contratual!A28="","",posicao_contratual!B28)</f>
        <v/>
      </c>
      <c r="C30" s="195" t="str">
        <f>IF(OR(posicao_contratual!A28="",NOT(ISNUMBER(posicao_contratual!B28)),NOT(ISNUMBER(posicao_contratual!G28))),"",ROUND(posicao_contratual!B28*posicao_contratual!G28,2))</f>
        <v/>
      </c>
      <c r="D30" s="195" t="str">
        <f>IF(OR(posicao_contratual!A28="",NOT(ISNUMBER(posicao_contratual!B28)),NOT(ISNUMBER(posicao_contratual!K28))),"",ROUND(posicao_contratual!B28*posicao_contratual!K28,2))</f>
        <v/>
      </c>
      <c r="E30" s="195" t="str">
        <f>IF(OR(posicao_contratual!A28="",NOT(ISNUMBER(posicao_contratual!B28)),NOT(ISNUMBER(posicao_contratual!O28))),"",ROUND(posicao_contratual!B28*posicao_contratual!O28,2))</f>
        <v/>
      </c>
      <c r="F30" s="195" t="str">
        <f>IF(OR(posicao_contratual!A28="",NOT(ISNUMBER(posicao_contratual!B28)),NOT(ISNUMBER(posicao_contratual!S28))),"",ROUND(posicao_contratual!B28*posicao_contratual!S28,2))</f>
        <v/>
      </c>
      <c r="G30" s="195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195" t="str">
        <f>IF(posicao_contratual!A29="","",posicao_contratual!B29)</f>
        <v/>
      </c>
      <c r="C31" s="195" t="str">
        <f>IF(OR(posicao_contratual!A29="",NOT(ISNUMBER(posicao_contratual!B29)),NOT(ISNUMBER(posicao_contratual!G29))),"",ROUND(posicao_contratual!B29*posicao_contratual!G29,2))</f>
        <v/>
      </c>
      <c r="D31" s="195" t="str">
        <f>IF(OR(posicao_contratual!A29="",NOT(ISNUMBER(posicao_contratual!B29)),NOT(ISNUMBER(posicao_contratual!K29))),"",ROUND(posicao_contratual!B29*posicao_contratual!K29,2))</f>
        <v/>
      </c>
      <c r="E31" s="195" t="str">
        <f>IF(OR(posicao_contratual!A29="",NOT(ISNUMBER(posicao_contratual!B29)),NOT(ISNUMBER(posicao_contratual!O29))),"",ROUND(posicao_contratual!B29*posicao_contratual!O29,2))</f>
        <v/>
      </c>
      <c r="F31" s="195" t="str">
        <f>IF(OR(posicao_contratual!A29="",NOT(ISNUMBER(posicao_contratual!B29)),NOT(ISNUMBER(posicao_contratual!S29))),"",ROUND(posicao_contratual!B29*posicao_contratual!S29,2))</f>
        <v/>
      </c>
      <c r="G31" s="195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195" t="str">
        <f>IF(posicao_contratual!A30="","",posicao_contratual!B30)</f>
        <v/>
      </c>
      <c r="C32" s="195" t="str">
        <f>IF(OR(posicao_contratual!A30="",NOT(ISNUMBER(posicao_contratual!B30)),NOT(ISNUMBER(posicao_contratual!G30))),"",ROUND(posicao_contratual!B30*posicao_contratual!G30,2))</f>
        <v/>
      </c>
      <c r="D32" s="195" t="str">
        <f>IF(OR(posicao_contratual!A30="",NOT(ISNUMBER(posicao_contratual!B30)),NOT(ISNUMBER(posicao_contratual!K30))),"",ROUND(posicao_contratual!B30*posicao_contratual!K30,2))</f>
        <v/>
      </c>
      <c r="E32" s="195" t="str">
        <f>IF(OR(posicao_contratual!A30="",NOT(ISNUMBER(posicao_contratual!B30)),NOT(ISNUMBER(posicao_contratual!O30))),"",ROUND(posicao_contratual!B30*posicao_contratual!O30,2))</f>
        <v/>
      </c>
      <c r="F32" s="195" t="str">
        <f>IF(OR(posicao_contratual!A30="",NOT(ISNUMBER(posicao_contratual!B30)),NOT(ISNUMBER(posicao_contratual!S30))),"",ROUND(posicao_contratual!B30*posicao_contratual!S30,2))</f>
        <v/>
      </c>
      <c r="G32" s="195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195" t="str">
        <f>IF(posicao_contratual!A31="","",posicao_contratual!B31)</f>
        <v/>
      </c>
      <c r="C33" s="195" t="str">
        <f>IF(OR(posicao_contratual!A31="",NOT(ISNUMBER(posicao_contratual!B31)),NOT(ISNUMBER(posicao_contratual!G31))),"",ROUND(posicao_contratual!B31*posicao_contratual!G31,2))</f>
        <v/>
      </c>
      <c r="D33" s="195" t="str">
        <f>IF(OR(posicao_contratual!A31="",NOT(ISNUMBER(posicao_contratual!B31)),NOT(ISNUMBER(posicao_contratual!K31))),"",ROUND(posicao_contratual!B31*posicao_contratual!K31,2))</f>
        <v/>
      </c>
      <c r="E33" s="195" t="str">
        <f>IF(OR(posicao_contratual!A31="",NOT(ISNUMBER(posicao_contratual!B31)),NOT(ISNUMBER(posicao_contratual!O31))),"",ROUND(posicao_contratual!B31*posicao_contratual!O31,2))</f>
        <v/>
      </c>
      <c r="F33" s="195" t="str">
        <f>IF(OR(posicao_contratual!A31="",NOT(ISNUMBER(posicao_contratual!B31)),NOT(ISNUMBER(posicao_contratual!S31))),"",ROUND(posicao_contratual!B31*posicao_contratual!S31,2))</f>
        <v/>
      </c>
      <c r="G33" s="195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195" t="str">
        <f>IF(posicao_contratual!A32="","",posicao_contratual!B32)</f>
        <v/>
      </c>
      <c r="C34" s="195" t="str">
        <f>IF(OR(posicao_contratual!A32="",NOT(ISNUMBER(posicao_contratual!B32)),NOT(ISNUMBER(posicao_contratual!G32))),"",ROUND(posicao_contratual!B32*posicao_contratual!G32,2))</f>
        <v/>
      </c>
      <c r="D34" s="195" t="str">
        <f>IF(OR(posicao_contratual!A32="",NOT(ISNUMBER(posicao_contratual!B32)),NOT(ISNUMBER(posicao_contratual!K32))),"",ROUND(posicao_contratual!B32*posicao_contratual!K32,2))</f>
        <v/>
      </c>
      <c r="E34" s="195" t="str">
        <f>IF(OR(posicao_contratual!A32="",NOT(ISNUMBER(posicao_contratual!B32)),NOT(ISNUMBER(posicao_contratual!O32))),"",ROUND(posicao_contratual!B32*posicao_contratual!O32,2))</f>
        <v/>
      </c>
      <c r="F34" s="195" t="str">
        <f>IF(OR(posicao_contratual!A32="",NOT(ISNUMBER(posicao_contratual!B32)),NOT(ISNUMBER(posicao_contratual!S32))),"",ROUND(posicao_contratual!B32*posicao_contratual!S32,2))</f>
        <v/>
      </c>
      <c r="G34" s="195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195" t="str">
        <f>IF(posicao_contratual!A33="","",posicao_contratual!B33)</f>
        <v/>
      </c>
      <c r="C35" s="195" t="str">
        <f>IF(OR(posicao_contratual!A33="",NOT(ISNUMBER(posicao_contratual!B33)),NOT(ISNUMBER(posicao_contratual!G33))),"",ROUND(posicao_contratual!B33*posicao_contratual!G33,2))</f>
        <v/>
      </c>
      <c r="D35" s="195" t="str">
        <f>IF(OR(posicao_contratual!A33="",NOT(ISNUMBER(posicao_contratual!B33)),NOT(ISNUMBER(posicao_contratual!K33))),"",ROUND(posicao_contratual!B33*posicao_contratual!K33,2))</f>
        <v/>
      </c>
      <c r="E35" s="195" t="str">
        <f>IF(OR(posicao_contratual!A33="",NOT(ISNUMBER(posicao_contratual!B33)),NOT(ISNUMBER(posicao_contratual!O33))),"",ROUND(posicao_contratual!B33*posicao_contratual!O33,2))</f>
        <v/>
      </c>
      <c r="F35" s="195" t="str">
        <f>IF(OR(posicao_contratual!A33="",NOT(ISNUMBER(posicao_contratual!B33)),NOT(ISNUMBER(posicao_contratual!S33))),"",ROUND(posicao_contratual!B33*posicao_contratual!S33,2))</f>
        <v/>
      </c>
      <c r="G35" s="195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195" t="str">
        <f>IF(posicao_contratual!A34="","",posicao_contratual!B34)</f>
        <v/>
      </c>
      <c r="C36" s="195" t="str">
        <f>IF(OR(posicao_contratual!A34="",NOT(ISNUMBER(posicao_contratual!B34)),NOT(ISNUMBER(posicao_contratual!G34))),"",ROUND(posicao_contratual!B34*posicao_contratual!G34,2))</f>
        <v/>
      </c>
      <c r="D36" s="195" t="str">
        <f>IF(OR(posicao_contratual!A34="",NOT(ISNUMBER(posicao_contratual!B34)),NOT(ISNUMBER(posicao_contratual!K34))),"",ROUND(posicao_contratual!B34*posicao_contratual!K34,2))</f>
        <v/>
      </c>
      <c r="E36" s="195" t="str">
        <f>IF(OR(posicao_contratual!A34="",NOT(ISNUMBER(posicao_contratual!B34)),NOT(ISNUMBER(posicao_contratual!O34))),"",ROUND(posicao_contratual!B34*posicao_contratual!O34,2))</f>
        <v/>
      </c>
      <c r="F36" s="195" t="str">
        <f>IF(OR(posicao_contratual!A34="",NOT(ISNUMBER(posicao_contratual!B34)),NOT(ISNUMBER(posicao_contratual!S34))),"",ROUND(posicao_contratual!B34*posicao_contratual!S34,2))</f>
        <v/>
      </c>
      <c r="G36" s="195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195" t="str">
        <f>IF(posicao_contratual!A35="","",posicao_contratual!B35)</f>
        <v/>
      </c>
      <c r="C37" s="195" t="str">
        <f>IF(OR(posicao_contratual!A35="",NOT(ISNUMBER(posicao_contratual!B35)),NOT(ISNUMBER(posicao_contratual!G35))),"",ROUND(posicao_contratual!B35*posicao_contratual!G35,2))</f>
        <v/>
      </c>
      <c r="D37" s="195" t="str">
        <f>IF(OR(posicao_contratual!A35="",NOT(ISNUMBER(posicao_contratual!B35)),NOT(ISNUMBER(posicao_contratual!K35))),"",ROUND(posicao_contratual!B35*posicao_contratual!K35,2))</f>
        <v/>
      </c>
      <c r="E37" s="195" t="str">
        <f>IF(OR(posicao_contratual!A35="",NOT(ISNUMBER(posicao_contratual!B35)),NOT(ISNUMBER(posicao_contratual!O35))),"",ROUND(posicao_contratual!B35*posicao_contratual!O35,2))</f>
        <v/>
      </c>
      <c r="F37" s="195" t="str">
        <f>IF(OR(posicao_contratual!A35="",NOT(ISNUMBER(posicao_contratual!B35)),NOT(ISNUMBER(posicao_contratual!S35))),"",ROUND(posicao_contratual!B35*posicao_contratual!S35,2))</f>
        <v/>
      </c>
      <c r="G37" s="195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195" t="str">
        <f>IF(posicao_contratual!A36="","",posicao_contratual!B36)</f>
        <v/>
      </c>
      <c r="C38" s="195" t="str">
        <f>IF(OR(posicao_contratual!A36="",NOT(ISNUMBER(posicao_contratual!B36)),NOT(ISNUMBER(posicao_contratual!G36))),"",ROUND(posicao_contratual!B36*posicao_contratual!G36,2))</f>
        <v/>
      </c>
      <c r="D38" s="195" t="str">
        <f>IF(OR(posicao_contratual!A36="",NOT(ISNUMBER(posicao_contratual!B36)),NOT(ISNUMBER(posicao_contratual!K36))),"",ROUND(posicao_contratual!B36*posicao_contratual!K36,2))</f>
        <v/>
      </c>
      <c r="E38" s="195" t="str">
        <f>IF(OR(posicao_contratual!A36="",NOT(ISNUMBER(posicao_contratual!B36)),NOT(ISNUMBER(posicao_contratual!O36))),"",ROUND(posicao_contratual!B36*posicao_contratual!O36,2))</f>
        <v/>
      </c>
      <c r="F38" s="195" t="str">
        <f>IF(OR(posicao_contratual!A36="",NOT(ISNUMBER(posicao_contratual!B36)),NOT(ISNUMBER(posicao_contratual!S36))),"",ROUND(posicao_contratual!B36*posicao_contratual!S36,2))</f>
        <v/>
      </c>
      <c r="G38" s="195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195" t="str">
        <f>IF(posicao_contratual!A37="","",posicao_contratual!B37)</f>
        <v/>
      </c>
      <c r="C39" s="195" t="str">
        <f>IF(OR(posicao_contratual!A37="",NOT(ISNUMBER(posicao_contratual!B37)),NOT(ISNUMBER(posicao_contratual!G37))),"",ROUND(posicao_contratual!B37*posicao_contratual!G37,2))</f>
        <v/>
      </c>
      <c r="D39" s="195" t="str">
        <f>IF(OR(posicao_contratual!A37="",NOT(ISNUMBER(posicao_contratual!B37)),NOT(ISNUMBER(posicao_contratual!K37))),"",ROUND(posicao_contratual!B37*posicao_contratual!K37,2))</f>
        <v/>
      </c>
      <c r="E39" s="195" t="str">
        <f>IF(OR(posicao_contratual!A37="",NOT(ISNUMBER(posicao_contratual!B37)),NOT(ISNUMBER(posicao_contratual!O37))),"",ROUND(posicao_contratual!B37*posicao_contratual!O37,2))</f>
        <v/>
      </c>
      <c r="F39" s="195" t="str">
        <f>IF(OR(posicao_contratual!A37="",NOT(ISNUMBER(posicao_contratual!B37)),NOT(ISNUMBER(posicao_contratual!S37))),"",ROUND(posicao_contratual!B37*posicao_contratual!S37,2))</f>
        <v/>
      </c>
      <c r="G39" s="195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195" t="str">
        <f>IF(posicao_contratual!A38="","",posicao_contratual!B38)</f>
        <v/>
      </c>
      <c r="C40" s="195" t="str">
        <f>IF(OR(posicao_contratual!A38="",NOT(ISNUMBER(posicao_contratual!B38)),NOT(ISNUMBER(posicao_contratual!G38))),"",ROUND(posicao_contratual!B38*posicao_contratual!G38,2))</f>
        <v/>
      </c>
      <c r="D40" s="195" t="str">
        <f>IF(OR(posicao_contratual!A38="",NOT(ISNUMBER(posicao_contratual!B38)),NOT(ISNUMBER(posicao_contratual!K38))),"",ROUND(posicao_contratual!B38*posicao_contratual!K38,2))</f>
        <v/>
      </c>
      <c r="E40" s="195" t="str">
        <f>IF(OR(posicao_contratual!A38="",NOT(ISNUMBER(posicao_contratual!B38)),NOT(ISNUMBER(posicao_contratual!O38))),"",ROUND(posicao_contratual!B38*posicao_contratual!O38,2))</f>
        <v/>
      </c>
      <c r="F40" s="195" t="str">
        <f>IF(OR(posicao_contratual!A38="",NOT(ISNUMBER(posicao_contratual!B38)),NOT(ISNUMBER(posicao_contratual!S38))),"",ROUND(posicao_contratual!B38*posicao_contratual!S38,2))</f>
        <v/>
      </c>
      <c r="G40" s="195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195" t="str">
        <f>IF(posicao_contratual!A39="","",posicao_contratual!B39)</f>
        <v/>
      </c>
      <c r="C41" s="195" t="str">
        <f>IF(OR(posicao_contratual!A39="",NOT(ISNUMBER(posicao_contratual!B39)),NOT(ISNUMBER(posicao_contratual!G39))),"",ROUND(posicao_contratual!B39*posicao_contratual!G39,2))</f>
        <v/>
      </c>
      <c r="D41" s="195" t="str">
        <f>IF(OR(posicao_contratual!A39="",NOT(ISNUMBER(posicao_contratual!B39)),NOT(ISNUMBER(posicao_contratual!K39))),"",ROUND(posicao_contratual!B39*posicao_contratual!K39,2))</f>
        <v/>
      </c>
      <c r="E41" s="195" t="str">
        <f>IF(OR(posicao_contratual!A39="",NOT(ISNUMBER(posicao_contratual!B39)),NOT(ISNUMBER(posicao_contratual!O39))),"",ROUND(posicao_contratual!B39*posicao_contratual!O39,2))</f>
        <v/>
      </c>
      <c r="F41" s="195" t="str">
        <f>IF(OR(posicao_contratual!A39="",NOT(ISNUMBER(posicao_contratual!B39)),NOT(ISNUMBER(posicao_contratual!S39))),"",ROUND(posicao_contratual!B39*posicao_contratual!S39,2))</f>
        <v/>
      </c>
      <c r="G41" s="195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195" t="str">
        <f>IF(posicao_contratual!A40="","",posicao_contratual!B40)</f>
        <v/>
      </c>
      <c r="C42" s="195" t="str">
        <f>IF(OR(posicao_contratual!A40="",NOT(ISNUMBER(posicao_contratual!B40)),NOT(ISNUMBER(posicao_contratual!G40))),"",ROUND(posicao_contratual!B40*posicao_contratual!G40,2))</f>
        <v/>
      </c>
      <c r="D42" s="195" t="str">
        <f>IF(OR(posicao_contratual!A40="",NOT(ISNUMBER(posicao_contratual!B40)),NOT(ISNUMBER(posicao_contratual!K40))),"",ROUND(posicao_contratual!B40*posicao_contratual!K40,2))</f>
        <v/>
      </c>
      <c r="E42" s="195" t="str">
        <f>IF(OR(posicao_contratual!A40="",NOT(ISNUMBER(posicao_contratual!B40)),NOT(ISNUMBER(posicao_contratual!O40))),"",ROUND(posicao_contratual!B40*posicao_contratual!O40,2))</f>
        <v/>
      </c>
      <c r="F42" s="195" t="str">
        <f>IF(OR(posicao_contratual!A40="",NOT(ISNUMBER(posicao_contratual!B40)),NOT(ISNUMBER(posicao_contratual!S40))),"",ROUND(posicao_contratual!B40*posicao_contratual!S40,2))</f>
        <v/>
      </c>
      <c r="G42" s="195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195" t="str">
        <f>IF(posicao_contratual!A41="","",posicao_contratual!B41)</f>
        <v/>
      </c>
      <c r="C43" s="195" t="str">
        <f>IF(OR(posicao_contratual!A41="",NOT(ISNUMBER(posicao_contratual!B41)),NOT(ISNUMBER(posicao_contratual!G41))),"",ROUND(posicao_contratual!B41*posicao_contratual!G41,2))</f>
        <v/>
      </c>
      <c r="D43" s="195" t="str">
        <f>IF(OR(posicao_contratual!A41="",NOT(ISNUMBER(posicao_contratual!B41)),NOT(ISNUMBER(posicao_contratual!K41))),"",ROUND(posicao_contratual!B41*posicao_contratual!K41,2))</f>
        <v/>
      </c>
      <c r="E43" s="195" t="str">
        <f>IF(OR(posicao_contratual!A41="",NOT(ISNUMBER(posicao_contratual!B41)),NOT(ISNUMBER(posicao_contratual!O41))),"",ROUND(posicao_contratual!B41*posicao_contratual!O41,2))</f>
        <v/>
      </c>
      <c r="F43" s="195" t="str">
        <f>IF(OR(posicao_contratual!A41="",NOT(ISNUMBER(posicao_contratual!B41)),NOT(ISNUMBER(posicao_contratual!S41))),"",ROUND(posicao_contratual!B41*posicao_contratual!S41,2))</f>
        <v/>
      </c>
      <c r="G43" s="195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195" t="str">
        <f>IF(posicao_contratual!A42="","",posicao_contratual!B42)</f>
        <v/>
      </c>
      <c r="C44" s="195" t="str">
        <f>IF(OR(posicao_contratual!A42="",NOT(ISNUMBER(posicao_contratual!B42)),NOT(ISNUMBER(posicao_contratual!G42))),"",ROUND(posicao_contratual!B42*posicao_contratual!G42,2))</f>
        <v/>
      </c>
      <c r="D44" s="195" t="str">
        <f>IF(OR(posicao_contratual!A42="",NOT(ISNUMBER(posicao_contratual!B42)),NOT(ISNUMBER(posicao_contratual!K42))),"",ROUND(posicao_contratual!B42*posicao_contratual!K42,2))</f>
        <v/>
      </c>
      <c r="E44" s="195" t="str">
        <f>IF(OR(posicao_contratual!A42="",NOT(ISNUMBER(posicao_contratual!B42)),NOT(ISNUMBER(posicao_contratual!O42))),"",ROUND(posicao_contratual!B42*posicao_contratual!O42,2))</f>
        <v/>
      </c>
      <c r="F44" s="195" t="str">
        <f>IF(OR(posicao_contratual!A42="",NOT(ISNUMBER(posicao_contratual!B42)),NOT(ISNUMBER(posicao_contratual!S42))),"",ROUND(posicao_contratual!B42*posicao_contratual!S42,2))</f>
        <v/>
      </c>
      <c r="G44" s="195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195" t="str">
        <f>IF(posicao_contratual!A43="","",posicao_contratual!B43)</f>
        <v/>
      </c>
      <c r="C45" s="195" t="str">
        <f>IF(OR(posicao_contratual!A43="",NOT(ISNUMBER(posicao_contratual!B43)),NOT(ISNUMBER(posicao_contratual!G43))),"",ROUND(posicao_contratual!B43*posicao_contratual!G43,2))</f>
        <v/>
      </c>
      <c r="D45" s="195" t="str">
        <f>IF(OR(posicao_contratual!A43="",NOT(ISNUMBER(posicao_contratual!B43)),NOT(ISNUMBER(posicao_contratual!K43))),"",ROUND(posicao_contratual!B43*posicao_contratual!K43,2))</f>
        <v/>
      </c>
      <c r="E45" s="195" t="str">
        <f>IF(OR(posicao_contratual!A43="",NOT(ISNUMBER(posicao_contratual!B43)),NOT(ISNUMBER(posicao_contratual!O43))),"",ROUND(posicao_contratual!B43*posicao_contratual!O43,2))</f>
        <v/>
      </c>
      <c r="F45" s="195" t="str">
        <f>IF(OR(posicao_contratual!A43="",NOT(ISNUMBER(posicao_contratual!B43)),NOT(ISNUMBER(posicao_contratual!S43))),"",ROUND(posicao_contratual!B43*posicao_contratual!S43,2))</f>
        <v/>
      </c>
      <c r="G45" s="195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195" t="str">
        <f>IF(posicao_contratual!A44="","",posicao_contratual!B44)</f>
        <v/>
      </c>
      <c r="C46" s="195" t="str">
        <f>IF(OR(posicao_contratual!A44="",NOT(ISNUMBER(posicao_contratual!B44)),NOT(ISNUMBER(posicao_contratual!G44))),"",ROUND(posicao_contratual!B44*posicao_contratual!G44,2))</f>
        <v/>
      </c>
      <c r="D46" s="195" t="str">
        <f>IF(OR(posicao_contratual!A44="",NOT(ISNUMBER(posicao_contratual!B44)),NOT(ISNUMBER(posicao_contratual!K44))),"",ROUND(posicao_contratual!B44*posicao_contratual!K44,2))</f>
        <v/>
      </c>
      <c r="E46" s="195" t="str">
        <f>IF(OR(posicao_contratual!A44="",NOT(ISNUMBER(posicao_contratual!B44)),NOT(ISNUMBER(posicao_contratual!O44))),"",ROUND(posicao_contratual!B44*posicao_contratual!O44,2))</f>
        <v/>
      </c>
      <c r="F46" s="195" t="str">
        <f>IF(OR(posicao_contratual!A44="",NOT(ISNUMBER(posicao_contratual!B44)),NOT(ISNUMBER(posicao_contratual!S44))),"",ROUND(posicao_contratual!B44*posicao_contratual!S44,2))</f>
        <v/>
      </c>
      <c r="G46" s="195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195" t="str">
        <f>IF(posicao_contratual!A45="","",posicao_contratual!B45)</f>
        <v/>
      </c>
      <c r="C47" s="195" t="str">
        <f>IF(OR(posicao_contratual!A45="",NOT(ISNUMBER(posicao_contratual!B45)),NOT(ISNUMBER(posicao_contratual!G45))),"",ROUND(posicao_contratual!B45*posicao_contratual!G45,2))</f>
        <v/>
      </c>
      <c r="D47" s="195" t="str">
        <f>IF(OR(posicao_contratual!A45="",NOT(ISNUMBER(posicao_contratual!B45)),NOT(ISNUMBER(posicao_contratual!K45))),"",ROUND(posicao_contratual!B45*posicao_contratual!K45,2))</f>
        <v/>
      </c>
      <c r="E47" s="195" t="str">
        <f>IF(OR(posicao_contratual!A45="",NOT(ISNUMBER(posicao_contratual!B45)),NOT(ISNUMBER(posicao_contratual!O45))),"",ROUND(posicao_contratual!B45*posicao_contratual!O45,2))</f>
        <v/>
      </c>
      <c r="F47" s="195" t="str">
        <f>IF(OR(posicao_contratual!A45="",NOT(ISNUMBER(posicao_contratual!B45)),NOT(ISNUMBER(posicao_contratual!S45))),"",ROUND(posicao_contratual!B45*posicao_contratual!S45,2))</f>
        <v/>
      </c>
      <c r="G47" s="195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195" t="str">
        <f>IF(posicao_contratual!A46="","",posicao_contratual!B46)</f>
        <v/>
      </c>
      <c r="C48" s="195" t="str">
        <f>IF(OR(posicao_contratual!A46="",NOT(ISNUMBER(posicao_contratual!B46)),NOT(ISNUMBER(posicao_contratual!G46))),"",ROUND(posicao_contratual!B46*posicao_contratual!G46,2))</f>
        <v/>
      </c>
      <c r="D48" s="195" t="str">
        <f>IF(OR(posicao_contratual!A46="",NOT(ISNUMBER(posicao_contratual!B46)),NOT(ISNUMBER(posicao_contratual!K46))),"",ROUND(posicao_contratual!B46*posicao_contratual!K46,2))</f>
        <v/>
      </c>
      <c r="E48" s="195" t="str">
        <f>IF(OR(posicao_contratual!A46="",NOT(ISNUMBER(posicao_contratual!B46)),NOT(ISNUMBER(posicao_contratual!O46))),"",ROUND(posicao_contratual!B46*posicao_contratual!O46,2))</f>
        <v/>
      </c>
      <c r="F48" s="195" t="str">
        <f>IF(OR(posicao_contratual!A46="",NOT(ISNUMBER(posicao_contratual!B46)),NOT(ISNUMBER(posicao_contratual!S46))),"",ROUND(posicao_contratual!B46*posicao_contratual!S46,2))</f>
        <v/>
      </c>
      <c r="G48" s="195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195" t="str">
        <f>IF(posicao_contratual!A47="","",posicao_contratual!B47)</f>
        <v/>
      </c>
      <c r="C49" s="195" t="str">
        <f>IF(OR(posicao_contratual!A47="",NOT(ISNUMBER(posicao_contratual!B47)),NOT(ISNUMBER(posicao_contratual!G47))),"",ROUND(posicao_contratual!B47*posicao_contratual!G47,2))</f>
        <v/>
      </c>
      <c r="D49" s="195" t="str">
        <f>IF(OR(posicao_contratual!A47="",NOT(ISNUMBER(posicao_contratual!B47)),NOT(ISNUMBER(posicao_contratual!K47))),"",ROUND(posicao_contratual!B47*posicao_contratual!K47,2))</f>
        <v/>
      </c>
      <c r="E49" s="195" t="str">
        <f>IF(OR(posicao_contratual!A47="",NOT(ISNUMBER(posicao_contratual!B47)),NOT(ISNUMBER(posicao_contratual!O47))),"",ROUND(posicao_contratual!B47*posicao_contratual!O47,2))</f>
        <v/>
      </c>
      <c r="F49" s="195" t="str">
        <f>IF(OR(posicao_contratual!A47="",NOT(ISNUMBER(posicao_contratual!B47)),NOT(ISNUMBER(posicao_contratual!S47))),"",ROUND(posicao_contratual!B47*posicao_contratual!S47,2))</f>
        <v/>
      </c>
      <c r="G49" s="195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195" t="str">
        <f>IF(posicao_contratual!A48="","",posicao_contratual!B48)</f>
        <v/>
      </c>
      <c r="C50" s="195" t="str">
        <f>IF(OR(posicao_contratual!A48="",NOT(ISNUMBER(posicao_contratual!B48)),NOT(ISNUMBER(posicao_contratual!G48))),"",ROUND(posicao_contratual!B48*posicao_contratual!G48,2))</f>
        <v/>
      </c>
      <c r="D50" s="195" t="str">
        <f>IF(OR(posicao_contratual!A48="",NOT(ISNUMBER(posicao_contratual!B48)),NOT(ISNUMBER(posicao_contratual!K48))),"",ROUND(posicao_contratual!B48*posicao_contratual!K48,2))</f>
        <v/>
      </c>
      <c r="E50" s="195" t="str">
        <f>IF(OR(posicao_contratual!A48="",NOT(ISNUMBER(posicao_contratual!B48)),NOT(ISNUMBER(posicao_contratual!O48))),"",ROUND(posicao_contratual!B48*posicao_contratual!O48,2))</f>
        <v/>
      </c>
      <c r="F50" s="195" t="str">
        <f>IF(OR(posicao_contratual!A48="",NOT(ISNUMBER(posicao_contratual!B48)),NOT(ISNUMBER(posicao_contratual!S48))),"",ROUND(posicao_contratual!B48*posicao_contratual!S48,2))</f>
        <v/>
      </c>
      <c r="G50" s="195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195" t="str">
        <f>IF(posicao_contratual!A49="","",posicao_contratual!B49)</f>
        <v/>
      </c>
      <c r="C51" s="195" t="str">
        <f>IF(OR(posicao_contratual!A49="",NOT(ISNUMBER(posicao_contratual!B49)),NOT(ISNUMBER(posicao_contratual!G49))),"",ROUND(posicao_contratual!B49*posicao_contratual!G49,2))</f>
        <v/>
      </c>
      <c r="D51" s="195" t="str">
        <f>IF(OR(posicao_contratual!A49="",NOT(ISNUMBER(posicao_contratual!B49)),NOT(ISNUMBER(posicao_contratual!K49))),"",ROUND(posicao_contratual!B49*posicao_contratual!K49,2))</f>
        <v/>
      </c>
      <c r="E51" s="195" t="str">
        <f>IF(OR(posicao_contratual!A49="",NOT(ISNUMBER(posicao_contratual!B49)),NOT(ISNUMBER(posicao_contratual!O49))),"",ROUND(posicao_contratual!B49*posicao_contratual!O49,2))</f>
        <v/>
      </c>
      <c r="F51" s="195" t="str">
        <f>IF(OR(posicao_contratual!A49="",NOT(ISNUMBER(posicao_contratual!B49)),NOT(ISNUMBER(posicao_contratual!S49))),"",ROUND(posicao_contratual!B49*posicao_contratual!S49,2))</f>
        <v/>
      </c>
      <c r="G51" s="195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195" t="str">
        <f>IF(posicao_contratual!A50="","",posicao_contratual!B50)</f>
        <v/>
      </c>
      <c r="C52" s="195" t="str">
        <f>IF(OR(posicao_contratual!A50="",NOT(ISNUMBER(posicao_contratual!B50)),NOT(ISNUMBER(posicao_contratual!G50))),"",ROUND(posicao_contratual!B50*posicao_contratual!G50,2))</f>
        <v/>
      </c>
      <c r="D52" s="195" t="str">
        <f>IF(OR(posicao_contratual!A50="",NOT(ISNUMBER(posicao_contratual!B50)),NOT(ISNUMBER(posicao_contratual!K50))),"",ROUND(posicao_contratual!B50*posicao_contratual!K50,2))</f>
        <v/>
      </c>
      <c r="E52" s="195" t="str">
        <f>IF(OR(posicao_contratual!A50="",NOT(ISNUMBER(posicao_contratual!B50)),NOT(ISNUMBER(posicao_contratual!O50))),"",ROUND(posicao_contratual!B50*posicao_contratual!O50,2))</f>
        <v/>
      </c>
      <c r="F52" s="195" t="str">
        <f>IF(OR(posicao_contratual!A50="",NOT(ISNUMBER(posicao_contratual!B50)),NOT(ISNUMBER(posicao_contratual!S50))),"",ROUND(posicao_contratual!B50*posicao_contratual!S50,2))</f>
        <v/>
      </c>
      <c r="G52" s="195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195" t="str">
        <f>IF(posicao_contratual!A51="","",posicao_contratual!B51)</f>
        <v/>
      </c>
      <c r="C53" s="195" t="str">
        <f>IF(OR(posicao_contratual!A51="",NOT(ISNUMBER(posicao_contratual!B51)),NOT(ISNUMBER(posicao_contratual!G51))),"",ROUND(posicao_contratual!B51*posicao_contratual!G51,2))</f>
        <v/>
      </c>
      <c r="D53" s="195" t="str">
        <f>IF(OR(posicao_contratual!A51="",NOT(ISNUMBER(posicao_contratual!B51)),NOT(ISNUMBER(posicao_contratual!K51))),"",ROUND(posicao_contratual!B51*posicao_contratual!K51,2))</f>
        <v/>
      </c>
      <c r="E53" s="195" t="str">
        <f>IF(OR(posicao_contratual!A51="",NOT(ISNUMBER(posicao_contratual!B51)),NOT(ISNUMBER(posicao_contratual!O51))),"",ROUND(posicao_contratual!B51*posicao_contratual!O51,2))</f>
        <v/>
      </c>
      <c r="F53" s="195" t="str">
        <f>IF(OR(posicao_contratual!A51="",NOT(ISNUMBER(posicao_contratual!B51)),NOT(ISNUMBER(posicao_contratual!S51))),"",ROUND(posicao_contratual!B51*posicao_contratual!S51,2))</f>
        <v/>
      </c>
      <c r="G53" s="195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195" t="str">
        <f>IF(posicao_contratual!A52="","",posicao_contratual!B52)</f>
        <v/>
      </c>
      <c r="C54" s="195" t="str">
        <f>IF(OR(posicao_contratual!A52="",NOT(ISNUMBER(posicao_contratual!B52)),NOT(ISNUMBER(posicao_contratual!G52))),"",ROUND(posicao_contratual!B52*posicao_contratual!G52,2))</f>
        <v/>
      </c>
      <c r="D54" s="195" t="str">
        <f>IF(OR(posicao_contratual!A52="",NOT(ISNUMBER(posicao_contratual!B52)),NOT(ISNUMBER(posicao_contratual!K52))),"",ROUND(posicao_contratual!B52*posicao_contratual!K52,2))</f>
        <v/>
      </c>
      <c r="E54" s="195" t="str">
        <f>IF(OR(posicao_contratual!A52="",NOT(ISNUMBER(posicao_contratual!B52)),NOT(ISNUMBER(posicao_contratual!O52))),"",ROUND(posicao_contratual!B52*posicao_contratual!O52,2))</f>
        <v/>
      </c>
      <c r="F54" s="195" t="str">
        <f>IF(OR(posicao_contratual!A52="",NOT(ISNUMBER(posicao_contratual!B52)),NOT(ISNUMBER(posicao_contratual!S52))),"",ROUND(posicao_contratual!B52*posicao_contratual!S52,2))</f>
        <v/>
      </c>
      <c r="G54" s="195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195" t="str">
        <f>IF(posicao_contratual!A53="","",posicao_contratual!B53)</f>
        <v/>
      </c>
      <c r="C55" s="195" t="str">
        <f>IF(OR(posicao_contratual!A53="",NOT(ISNUMBER(posicao_contratual!B53)),NOT(ISNUMBER(posicao_contratual!G53))),"",ROUND(posicao_contratual!B53*posicao_contratual!G53,2))</f>
        <v/>
      </c>
      <c r="D55" s="195" t="str">
        <f>IF(OR(posicao_contratual!A53="",NOT(ISNUMBER(posicao_contratual!B53)),NOT(ISNUMBER(posicao_contratual!K53))),"",ROUND(posicao_contratual!B53*posicao_contratual!K53,2))</f>
        <v/>
      </c>
      <c r="E55" s="195" t="str">
        <f>IF(OR(posicao_contratual!A53="",NOT(ISNUMBER(posicao_contratual!B53)),NOT(ISNUMBER(posicao_contratual!O53))),"",ROUND(posicao_contratual!B53*posicao_contratual!O53,2))</f>
        <v/>
      </c>
      <c r="F55" s="195" t="str">
        <f>IF(OR(posicao_contratual!A53="",NOT(ISNUMBER(posicao_contratual!B53)),NOT(ISNUMBER(posicao_contratual!S53))),"",ROUND(posicao_contratual!B53*posicao_contratual!S53,2))</f>
        <v/>
      </c>
      <c r="G55" s="195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195" t="str">
        <f>IF(posicao_contratual!A54="","",posicao_contratual!B54)</f>
        <v/>
      </c>
      <c r="C56" s="195" t="str">
        <f>IF(OR(posicao_contratual!A54="",NOT(ISNUMBER(posicao_contratual!B54)),NOT(ISNUMBER(posicao_contratual!G54))),"",ROUND(posicao_contratual!B54*posicao_contratual!G54,2))</f>
        <v/>
      </c>
      <c r="D56" s="195" t="str">
        <f>IF(OR(posicao_contratual!A54="",NOT(ISNUMBER(posicao_contratual!B54)),NOT(ISNUMBER(posicao_contratual!K54))),"",ROUND(posicao_contratual!B54*posicao_contratual!K54,2))</f>
        <v/>
      </c>
      <c r="E56" s="195" t="str">
        <f>IF(OR(posicao_contratual!A54="",NOT(ISNUMBER(posicao_contratual!B54)),NOT(ISNUMBER(posicao_contratual!O54))),"",ROUND(posicao_contratual!B54*posicao_contratual!O54,2))</f>
        <v/>
      </c>
      <c r="F56" s="195" t="str">
        <f>IF(OR(posicao_contratual!A54="",NOT(ISNUMBER(posicao_contratual!B54)),NOT(ISNUMBER(posicao_contratual!S54))),"",ROUND(posicao_contratual!B54*posicao_contratual!S54,2))</f>
        <v/>
      </c>
      <c r="G56" s="195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195" t="str">
        <f>IF(posicao_contratual!A55="","",posicao_contratual!B55)</f>
        <v/>
      </c>
      <c r="C57" s="195" t="str">
        <f>IF(OR(posicao_contratual!A55="",NOT(ISNUMBER(posicao_contratual!B55)),NOT(ISNUMBER(posicao_contratual!G55))),"",ROUND(posicao_contratual!B55*posicao_contratual!G55,2))</f>
        <v/>
      </c>
      <c r="D57" s="195" t="str">
        <f>IF(OR(posicao_contratual!A55="",NOT(ISNUMBER(posicao_contratual!B55)),NOT(ISNUMBER(posicao_contratual!K55))),"",ROUND(posicao_contratual!B55*posicao_contratual!K55,2))</f>
        <v/>
      </c>
      <c r="E57" s="195" t="str">
        <f>IF(OR(posicao_contratual!A55="",NOT(ISNUMBER(posicao_contratual!B55)),NOT(ISNUMBER(posicao_contratual!O55))),"",ROUND(posicao_contratual!B55*posicao_contratual!O55,2))</f>
        <v/>
      </c>
      <c r="F57" s="195" t="str">
        <f>IF(OR(posicao_contratual!A55="",NOT(ISNUMBER(posicao_contratual!B55)),NOT(ISNUMBER(posicao_contratual!S55))),"",ROUND(posicao_contratual!B55*posicao_contratual!S55,2))</f>
        <v/>
      </c>
      <c r="G57" s="195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195" t="str">
        <f>IF(posicao_contratual!A56="","",posicao_contratual!B56)</f>
        <v/>
      </c>
      <c r="C58" s="195" t="str">
        <f>IF(OR(posicao_contratual!A56="",NOT(ISNUMBER(posicao_contratual!B56)),NOT(ISNUMBER(posicao_contratual!G56))),"",ROUND(posicao_contratual!B56*posicao_contratual!G56,2))</f>
        <v/>
      </c>
      <c r="D58" s="195" t="str">
        <f>IF(OR(posicao_contratual!A56="",NOT(ISNUMBER(posicao_contratual!B56)),NOT(ISNUMBER(posicao_contratual!K56))),"",ROUND(posicao_contratual!B56*posicao_contratual!K56,2))</f>
        <v/>
      </c>
      <c r="E58" s="195" t="str">
        <f>IF(OR(posicao_contratual!A56="",NOT(ISNUMBER(posicao_contratual!B56)),NOT(ISNUMBER(posicao_contratual!O56))),"",ROUND(posicao_contratual!B56*posicao_contratual!O56,2))</f>
        <v/>
      </c>
      <c r="F58" s="195" t="str">
        <f>IF(OR(posicao_contratual!A56="",NOT(ISNUMBER(posicao_contratual!B56)),NOT(ISNUMBER(posicao_contratual!S56))),"",ROUND(posicao_contratual!B56*posicao_contratual!S56,2))</f>
        <v/>
      </c>
      <c r="G58" s="195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195" t="str">
        <f>IF(posicao_contratual!A57="","",posicao_contratual!B57)</f>
        <v/>
      </c>
      <c r="C59" s="195" t="str">
        <f>IF(OR(posicao_contratual!A57="",NOT(ISNUMBER(posicao_contratual!B57)),NOT(ISNUMBER(posicao_contratual!G57))),"",ROUND(posicao_contratual!B57*posicao_contratual!G57,2))</f>
        <v/>
      </c>
      <c r="D59" s="195" t="str">
        <f>IF(OR(posicao_contratual!A57="",NOT(ISNUMBER(posicao_contratual!B57)),NOT(ISNUMBER(posicao_contratual!K57))),"",ROUND(posicao_contratual!B57*posicao_contratual!K57,2))</f>
        <v/>
      </c>
      <c r="E59" s="195" t="str">
        <f>IF(OR(posicao_contratual!A57="",NOT(ISNUMBER(posicao_contratual!B57)),NOT(ISNUMBER(posicao_contratual!O57))),"",ROUND(posicao_contratual!B57*posicao_contratual!O57,2))</f>
        <v/>
      </c>
      <c r="F59" s="195" t="str">
        <f>IF(OR(posicao_contratual!A57="",NOT(ISNUMBER(posicao_contratual!B57)),NOT(ISNUMBER(posicao_contratual!S57))),"",ROUND(posicao_contratual!B57*posicao_contratual!S57,2))</f>
        <v/>
      </c>
      <c r="G59" s="195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195" t="str">
        <f>IF(posicao_contratual!A58="","",posicao_contratual!B58)</f>
        <v/>
      </c>
      <c r="C60" s="195" t="str">
        <f>IF(OR(posicao_contratual!A58="",NOT(ISNUMBER(posicao_contratual!B58)),NOT(ISNUMBER(posicao_contratual!G58))),"",ROUND(posicao_contratual!B58*posicao_contratual!G58,2))</f>
        <v/>
      </c>
      <c r="D60" s="195" t="str">
        <f>IF(OR(posicao_contratual!A58="",NOT(ISNUMBER(posicao_contratual!B58)),NOT(ISNUMBER(posicao_contratual!K58))),"",ROUND(posicao_contratual!B58*posicao_contratual!K58,2))</f>
        <v/>
      </c>
      <c r="E60" s="195" t="str">
        <f>IF(OR(posicao_contratual!A58="",NOT(ISNUMBER(posicao_contratual!B58)),NOT(ISNUMBER(posicao_contratual!O58))),"",ROUND(posicao_contratual!B58*posicao_contratual!O58,2))</f>
        <v/>
      </c>
      <c r="F60" s="195" t="str">
        <f>IF(OR(posicao_contratual!A58="",NOT(ISNUMBER(posicao_contratual!B58)),NOT(ISNUMBER(posicao_contratual!S58))),"",ROUND(posicao_contratual!B58*posicao_contratual!S58,2))</f>
        <v/>
      </c>
      <c r="G60" s="195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195" t="str">
        <f>IF(posicao_contratual!A59="","",posicao_contratual!B59)</f>
        <v/>
      </c>
      <c r="C61" s="195" t="str">
        <f>IF(OR(posicao_contratual!A59="",NOT(ISNUMBER(posicao_contratual!B59)),NOT(ISNUMBER(posicao_contratual!G59))),"",ROUND(posicao_contratual!B59*posicao_contratual!G59,2))</f>
        <v/>
      </c>
      <c r="D61" s="195" t="str">
        <f>IF(OR(posicao_contratual!A59="",NOT(ISNUMBER(posicao_contratual!B59)),NOT(ISNUMBER(posicao_contratual!K59))),"",ROUND(posicao_contratual!B59*posicao_contratual!K59,2))</f>
        <v/>
      </c>
      <c r="E61" s="195" t="str">
        <f>IF(OR(posicao_contratual!A59="",NOT(ISNUMBER(posicao_contratual!B59)),NOT(ISNUMBER(posicao_contratual!O59))),"",ROUND(posicao_contratual!B59*posicao_contratual!O59,2))</f>
        <v/>
      </c>
      <c r="F61" s="195" t="str">
        <f>IF(OR(posicao_contratual!A59="",NOT(ISNUMBER(posicao_contratual!B59)),NOT(ISNUMBER(posicao_contratual!S59))),"",ROUND(posicao_contratual!B59*posicao_contratual!S59,2))</f>
        <v/>
      </c>
      <c r="G61" s="195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195" t="str">
        <f>IF(posicao_contratual!A60="","",posicao_contratual!B60)</f>
        <v/>
      </c>
      <c r="C62" s="195" t="str">
        <f>IF(OR(posicao_contratual!A60="",NOT(ISNUMBER(posicao_contratual!B60)),NOT(ISNUMBER(posicao_contratual!G60))),"",ROUND(posicao_contratual!B60*posicao_contratual!G60,2))</f>
        <v/>
      </c>
      <c r="D62" s="195" t="str">
        <f>IF(OR(posicao_contratual!A60="",NOT(ISNUMBER(posicao_contratual!B60)),NOT(ISNUMBER(posicao_contratual!K60))),"",ROUND(posicao_contratual!B60*posicao_contratual!K60,2))</f>
        <v/>
      </c>
      <c r="E62" s="195" t="str">
        <f>IF(OR(posicao_contratual!A60="",NOT(ISNUMBER(posicao_contratual!B60)),NOT(ISNUMBER(posicao_contratual!O60))),"",ROUND(posicao_contratual!B60*posicao_contratual!O60,2))</f>
        <v/>
      </c>
      <c r="F62" s="195" t="str">
        <f>IF(OR(posicao_contratual!A60="",NOT(ISNUMBER(posicao_contratual!B60)),NOT(ISNUMBER(posicao_contratual!S60))),"",ROUND(posicao_contratual!B60*posicao_contratual!S60,2))</f>
        <v/>
      </c>
      <c r="G62" s="195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195" t="str">
        <f>IF(posicao_contratual!A61="","",posicao_contratual!B61)</f>
        <v/>
      </c>
      <c r="C63" s="195" t="str">
        <f>IF(OR(posicao_contratual!A61="",NOT(ISNUMBER(posicao_contratual!B61)),NOT(ISNUMBER(posicao_contratual!G61))),"",ROUND(posicao_contratual!B61*posicao_contratual!G61,2))</f>
        <v/>
      </c>
      <c r="D63" s="195" t="str">
        <f>IF(OR(posicao_contratual!A61="",NOT(ISNUMBER(posicao_contratual!B61)),NOT(ISNUMBER(posicao_contratual!K61))),"",ROUND(posicao_contratual!B61*posicao_contratual!K61,2))</f>
        <v/>
      </c>
      <c r="E63" s="195" t="str">
        <f>IF(OR(posicao_contratual!A61="",NOT(ISNUMBER(posicao_contratual!B61)),NOT(ISNUMBER(posicao_contratual!O61))),"",ROUND(posicao_contratual!B61*posicao_contratual!O61,2))</f>
        <v/>
      </c>
      <c r="F63" s="195" t="str">
        <f>IF(OR(posicao_contratual!A61="",NOT(ISNUMBER(posicao_contratual!B61)),NOT(ISNUMBER(posicao_contratual!S61))),"",ROUND(posicao_contratual!B61*posicao_contratual!S61,2))</f>
        <v/>
      </c>
      <c r="G63" s="195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195" t="str">
        <f>IF(posicao_contratual!A62="","",posicao_contratual!B62)</f>
        <v/>
      </c>
      <c r="C64" s="195" t="str">
        <f>IF(OR(posicao_contratual!A62="",NOT(ISNUMBER(posicao_contratual!B62)),NOT(ISNUMBER(posicao_contratual!G62))),"",ROUND(posicao_contratual!B62*posicao_contratual!G62,2))</f>
        <v/>
      </c>
      <c r="D64" s="195" t="str">
        <f>IF(OR(posicao_contratual!A62="",NOT(ISNUMBER(posicao_contratual!B62)),NOT(ISNUMBER(posicao_contratual!K62))),"",ROUND(posicao_contratual!B62*posicao_contratual!K62,2))</f>
        <v/>
      </c>
      <c r="E64" s="195" t="str">
        <f>IF(OR(posicao_contratual!A62="",NOT(ISNUMBER(posicao_contratual!B62)),NOT(ISNUMBER(posicao_contratual!O62))),"",ROUND(posicao_contratual!B62*posicao_contratual!O62,2))</f>
        <v/>
      </c>
      <c r="F64" s="195" t="str">
        <f>IF(OR(posicao_contratual!A62="",NOT(ISNUMBER(posicao_contratual!B62)),NOT(ISNUMBER(posicao_contratual!S62))),"",ROUND(posicao_contratual!B62*posicao_contratual!S62,2))</f>
        <v/>
      </c>
      <c r="G64" s="195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195" t="str">
        <f>IF(posicao_contratual!A63="","",posicao_contratual!B63)</f>
        <v/>
      </c>
      <c r="C65" s="195" t="str">
        <f>IF(OR(posicao_contratual!A63="",NOT(ISNUMBER(posicao_contratual!B63)),NOT(ISNUMBER(posicao_contratual!G63))),"",ROUND(posicao_contratual!B63*posicao_contratual!G63,2))</f>
        <v/>
      </c>
      <c r="D65" s="195" t="str">
        <f>IF(OR(posicao_contratual!A63="",NOT(ISNUMBER(posicao_contratual!B63)),NOT(ISNUMBER(posicao_contratual!K63))),"",ROUND(posicao_contratual!B63*posicao_contratual!K63,2))</f>
        <v/>
      </c>
      <c r="E65" s="195" t="str">
        <f>IF(OR(posicao_contratual!A63="",NOT(ISNUMBER(posicao_contratual!B63)),NOT(ISNUMBER(posicao_contratual!O63))),"",ROUND(posicao_contratual!B63*posicao_contratual!O63,2))</f>
        <v/>
      </c>
      <c r="F65" s="195" t="str">
        <f>IF(OR(posicao_contratual!A63="",NOT(ISNUMBER(posicao_contratual!B63)),NOT(ISNUMBER(posicao_contratual!S63))),"",ROUND(posicao_contratual!B63*posicao_contratual!S63,2))</f>
        <v/>
      </c>
      <c r="G65" s="195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195" t="str">
        <f>IF(posicao_contratual!A64="","",posicao_contratual!B64)</f>
        <v/>
      </c>
      <c r="C66" s="195" t="str">
        <f>IF(OR(posicao_contratual!A64="",NOT(ISNUMBER(posicao_contratual!B64)),NOT(ISNUMBER(posicao_contratual!G64))),"",ROUND(posicao_contratual!B64*posicao_contratual!G64,2))</f>
        <v/>
      </c>
      <c r="D66" s="195" t="str">
        <f>IF(OR(posicao_contratual!A64="",NOT(ISNUMBER(posicao_contratual!B64)),NOT(ISNUMBER(posicao_contratual!K64))),"",ROUND(posicao_contratual!B64*posicao_contratual!K64,2))</f>
        <v/>
      </c>
      <c r="E66" s="195" t="str">
        <f>IF(OR(posicao_contratual!A64="",NOT(ISNUMBER(posicao_contratual!B64)),NOT(ISNUMBER(posicao_contratual!O64))),"",ROUND(posicao_contratual!B64*posicao_contratual!O64,2))</f>
        <v/>
      </c>
      <c r="F66" s="195" t="str">
        <f>IF(OR(posicao_contratual!A64="",NOT(ISNUMBER(posicao_contratual!B64)),NOT(ISNUMBER(posicao_contratual!S64))),"",ROUND(posicao_contratual!B64*posicao_contratual!S64,2))</f>
        <v/>
      </c>
      <c r="G66" s="195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195" t="str">
        <f>IF(posicao_contratual!A65="","",posicao_contratual!B65)</f>
        <v/>
      </c>
      <c r="C67" s="195" t="str">
        <f>IF(OR(posicao_contratual!A65="",NOT(ISNUMBER(posicao_contratual!B65)),NOT(ISNUMBER(posicao_contratual!G65))),"",ROUND(posicao_contratual!B65*posicao_contratual!G65,2))</f>
        <v/>
      </c>
      <c r="D67" s="195" t="str">
        <f>IF(OR(posicao_contratual!A65="",NOT(ISNUMBER(posicao_contratual!B65)),NOT(ISNUMBER(posicao_contratual!K65))),"",ROUND(posicao_contratual!B65*posicao_contratual!K65,2))</f>
        <v/>
      </c>
      <c r="E67" s="195" t="str">
        <f>IF(OR(posicao_contratual!A65="",NOT(ISNUMBER(posicao_contratual!B65)),NOT(ISNUMBER(posicao_contratual!O65))),"",ROUND(posicao_contratual!B65*posicao_contratual!O65,2))</f>
        <v/>
      </c>
      <c r="F67" s="195" t="str">
        <f>IF(OR(posicao_contratual!A65="",NOT(ISNUMBER(posicao_contratual!B65)),NOT(ISNUMBER(posicao_contratual!S65))),"",ROUND(posicao_contratual!B65*posicao_contratual!S65,2))</f>
        <v/>
      </c>
      <c r="G67" s="195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195" t="str">
        <f>IF(posicao_contratual!A66="","",posicao_contratual!B66)</f>
        <v/>
      </c>
      <c r="C68" s="195" t="str">
        <f>IF(OR(posicao_contratual!A66="",NOT(ISNUMBER(posicao_contratual!B66)),NOT(ISNUMBER(posicao_contratual!G66))),"",ROUND(posicao_contratual!B66*posicao_contratual!G66,2))</f>
        <v/>
      </c>
      <c r="D68" s="195" t="str">
        <f>IF(OR(posicao_contratual!A66="",NOT(ISNUMBER(posicao_contratual!B66)),NOT(ISNUMBER(posicao_contratual!K66))),"",ROUND(posicao_contratual!B66*posicao_contratual!K66,2))</f>
        <v/>
      </c>
      <c r="E68" s="195" t="str">
        <f>IF(OR(posicao_contratual!A66="",NOT(ISNUMBER(posicao_contratual!B66)),NOT(ISNUMBER(posicao_contratual!O66))),"",ROUND(posicao_contratual!B66*posicao_contratual!O66,2))</f>
        <v/>
      </c>
      <c r="F68" s="195" t="str">
        <f>IF(OR(posicao_contratual!A66="",NOT(ISNUMBER(posicao_contratual!B66)),NOT(ISNUMBER(posicao_contratual!S66))),"",ROUND(posicao_contratual!B66*posicao_contratual!S66,2))</f>
        <v/>
      </c>
      <c r="G68" s="195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195" t="str">
        <f>IF(posicao_contratual!A67="","",posicao_contratual!B67)</f>
        <v/>
      </c>
      <c r="C69" s="195" t="str">
        <f>IF(OR(posicao_contratual!A67="",NOT(ISNUMBER(posicao_contratual!B67)),NOT(ISNUMBER(posicao_contratual!G67))),"",ROUND(posicao_contratual!B67*posicao_contratual!G67,2))</f>
        <v/>
      </c>
      <c r="D69" s="195" t="str">
        <f>IF(OR(posicao_contratual!A67="",NOT(ISNUMBER(posicao_contratual!B67)),NOT(ISNUMBER(posicao_contratual!K67))),"",ROUND(posicao_contratual!B67*posicao_contratual!K67,2))</f>
        <v/>
      </c>
      <c r="E69" s="195" t="str">
        <f>IF(OR(posicao_contratual!A67="",NOT(ISNUMBER(posicao_contratual!B67)),NOT(ISNUMBER(posicao_contratual!O67))),"",ROUND(posicao_contratual!B67*posicao_contratual!O67,2))</f>
        <v/>
      </c>
      <c r="F69" s="195" t="str">
        <f>IF(OR(posicao_contratual!A67="",NOT(ISNUMBER(posicao_contratual!B67)),NOT(ISNUMBER(posicao_contratual!S67))),"",ROUND(posicao_contratual!B67*posicao_contratual!S67,2))</f>
        <v/>
      </c>
      <c r="G69" s="195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195" t="str">
        <f>IF(posicao_contratual!A68="","",posicao_contratual!B68)</f>
        <v/>
      </c>
      <c r="C70" s="195" t="str">
        <f>IF(OR(posicao_contratual!A68="",NOT(ISNUMBER(posicao_contratual!B68)),NOT(ISNUMBER(posicao_contratual!G68))),"",ROUND(posicao_contratual!B68*posicao_contratual!G68,2))</f>
        <v/>
      </c>
      <c r="D70" s="195" t="str">
        <f>IF(OR(posicao_contratual!A68="",NOT(ISNUMBER(posicao_contratual!B68)),NOT(ISNUMBER(posicao_contratual!K68))),"",ROUND(posicao_contratual!B68*posicao_contratual!K68,2))</f>
        <v/>
      </c>
      <c r="E70" s="195" t="str">
        <f>IF(OR(posicao_contratual!A68="",NOT(ISNUMBER(posicao_contratual!B68)),NOT(ISNUMBER(posicao_contratual!O68))),"",ROUND(posicao_contratual!B68*posicao_contratual!O68,2))</f>
        <v/>
      </c>
      <c r="F70" s="195" t="str">
        <f>IF(OR(posicao_contratual!A68="",NOT(ISNUMBER(posicao_contratual!B68)),NOT(ISNUMBER(posicao_contratual!S68))),"",ROUND(posicao_contratual!B68*posicao_contratual!S68,2))</f>
        <v/>
      </c>
      <c r="G70" s="195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195" t="str">
        <f>IF(posicao_contratual!A69="","",posicao_contratual!B69)</f>
        <v/>
      </c>
      <c r="C71" s="195" t="str">
        <f>IF(OR(posicao_contratual!A69="",NOT(ISNUMBER(posicao_contratual!B69)),NOT(ISNUMBER(posicao_contratual!G69))),"",ROUND(posicao_contratual!B69*posicao_contratual!G69,2))</f>
        <v/>
      </c>
      <c r="D71" s="195" t="str">
        <f>IF(OR(posicao_contratual!A69="",NOT(ISNUMBER(posicao_contratual!B69)),NOT(ISNUMBER(posicao_contratual!K69))),"",ROUND(posicao_contratual!B69*posicao_contratual!K69,2))</f>
        <v/>
      </c>
      <c r="E71" s="195" t="str">
        <f>IF(OR(posicao_contratual!A69="",NOT(ISNUMBER(posicao_contratual!B69)),NOT(ISNUMBER(posicao_contratual!O69))),"",ROUND(posicao_contratual!B69*posicao_contratual!O69,2))</f>
        <v/>
      </c>
      <c r="F71" s="195" t="str">
        <f>IF(OR(posicao_contratual!A69="",NOT(ISNUMBER(posicao_contratual!B69)),NOT(ISNUMBER(posicao_contratual!S69))),"",ROUND(posicao_contratual!B69*posicao_contratual!S69,2))</f>
        <v/>
      </c>
      <c r="G71" s="195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195" t="str">
        <f>IF(posicao_contratual!A70="","",posicao_contratual!B70)</f>
        <v/>
      </c>
      <c r="C72" s="195" t="str">
        <f>IF(OR(posicao_contratual!A70="",NOT(ISNUMBER(posicao_contratual!B70)),NOT(ISNUMBER(posicao_contratual!G70))),"",ROUND(posicao_contratual!B70*posicao_contratual!G70,2))</f>
        <v/>
      </c>
      <c r="D72" s="195" t="str">
        <f>IF(OR(posicao_contratual!A70="",NOT(ISNUMBER(posicao_contratual!B70)),NOT(ISNUMBER(posicao_contratual!K70))),"",ROUND(posicao_contratual!B70*posicao_contratual!K70,2))</f>
        <v/>
      </c>
      <c r="E72" s="195" t="str">
        <f>IF(OR(posicao_contratual!A70="",NOT(ISNUMBER(posicao_contratual!B70)),NOT(ISNUMBER(posicao_contratual!O70))),"",ROUND(posicao_contratual!B70*posicao_contratual!O70,2))</f>
        <v/>
      </c>
      <c r="F72" s="195" t="str">
        <f>IF(OR(posicao_contratual!A70="",NOT(ISNUMBER(posicao_contratual!B70)),NOT(ISNUMBER(posicao_contratual!S70))),"",ROUND(posicao_contratual!B70*posicao_contratual!S70,2))</f>
        <v/>
      </c>
      <c r="G72" s="195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195" t="str">
        <f>IF(posicao_contratual!A71="","",posicao_contratual!B71)</f>
        <v/>
      </c>
      <c r="C73" s="195" t="str">
        <f>IF(OR(posicao_contratual!A71="",NOT(ISNUMBER(posicao_contratual!B71)),NOT(ISNUMBER(posicao_contratual!G71))),"",ROUND(posicao_contratual!B71*posicao_contratual!G71,2))</f>
        <v/>
      </c>
      <c r="D73" s="195" t="str">
        <f>IF(OR(posicao_contratual!A71="",NOT(ISNUMBER(posicao_contratual!B71)),NOT(ISNUMBER(posicao_contratual!K71))),"",ROUND(posicao_contratual!B71*posicao_contratual!K71,2))</f>
        <v/>
      </c>
      <c r="E73" s="195" t="str">
        <f>IF(OR(posicao_contratual!A71="",NOT(ISNUMBER(posicao_contratual!B71)),NOT(ISNUMBER(posicao_contratual!O71))),"",ROUND(posicao_contratual!B71*posicao_contratual!O71,2))</f>
        <v/>
      </c>
      <c r="F73" s="195" t="str">
        <f>IF(OR(posicao_contratual!A71="",NOT(ISNUMBER(posicao_contratual!B71)),NOT(ISNUMBER(posicao_contratual!S71))),"",ROUND(posicao_contratual!B71*posicao_contratual!S71,2))</f>
        <v/>
      </c>
      <c r="G73" s="195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195" t="str">
        <f>IF(posicao_contratual!A72="","",posicao_contratual!B72)</f>
        <v/>
      </c>
      <c r="C74" s="195" t="str">
        <f>IF(OR(posicao_contratual!A72="",NOT(ISNUMBER(posicao_contratual!B72)),NOT(ISNUMBER(posicao_contratual!G72))),"",ROUND(posicao_contratual!B72*posicao_contratual!G72,2))</f>
        <v/>
      </c>
      <c r="D74" s="195" t="str">
        <f>IF(OR(posicao_contratual!A72="",NOT(ISNUMBER(posicao_contratual!B72)),NOT(ISNUMBER(posicao_contratual!K72))),"",ROUND(posicao_contratual!B72*posicao_contratual!K72,2))</f>
        <v/>
      </c>
      <c r="E74" s="195" t="str">
        <f>IF(OR(posicao_contratual!A72="",NOT(ISNUMBER(posicao_contratual!B72)),NOT(ISNUMBER(posicao_contratual!O72))),"",ROUND(posicao_contratual!B72*posicao_contratual!O72,2))</f>
        <v/>
      </c>
      <c r="F74" s="195" t="str">
        <f>IF(OR(posicao_contratual!A72="",NOT(ISNUMBER(posicao_contratual!B72)),NOT(ISNUMBER(posicao_contratual!S72))),"",ROUND(posicao_contratual!B72*posicao_contratual!S72,2))</f>
        <v/>
      </c>
      <c r="G74" s="195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195" t="str">
        <f>IF(posicao_contratual!A73="","",posicao_contratual!B73)</f>
        <v/>
      </c>
      <c r="C75" s="195" t="str">
        <f>IF(OR(posicao_contratual!A73="",NOT(ISNUMBER(posicao_contratual!B73)),NOT(ISNUMBER(posicao_contratual!G73))),"",ROUND(posicao_contratual!B73*posicao_contratual!G73,2))</f>
        <v/>
      </c>
      <c r="D75" s="195" t="str">
        <f>IF(OR(posicao_contratual!A73="",NOT(ISNUMBER(posicao_contratual!B73)),NOT(ISNUMBER(posicao_contratual!K73))),"",ROUND(posicao_contratual!B73*posicao_contratual!K73,2))</f>
        <v/>
      </c>
      <c r="E75" s="195" t="str">
        <f>IF(OR(posicao_contratual!A73="",NOT(ISNUMBER(posicao_contratual!B73)),NOT(ISNUMBER(posicao_contratual!O73))),"",ROUND(posicao_contratual!B73*posicao_contratual!O73,2))</f>
        <v/>
      </c>
      <c r="F75" s="195" t="str">
        <f>IF(OR(posicao_contratual!A73="",NOT(ISNUMBER(posicao_contratual!B73)),NOT(ISNUMBER(posicao_contratual!S73))),"",ROUND(posicao_contratual!B73*posicao_contratual!S73,2))</f>
        <v/>
      </c>
      <c r="G75" s="195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195" t="str">
        <f>IF(posicao_contratual!A74="","",posicao_contratual!B74)</f>
        <v/>
      </c>
      <c r="C76" s="195" t="str">
        <f>IF(OR(posicao_contratual!A74="",NOT(ISNUMBER(posicao_contratual!B74)),NOT(ISNUMBER(posicao_contratual!G74))),"",ROUND(posicao_contratual!B74*posicao_contratual!G74,2))</f>
        <v/>
      </c>
      <c r="D76" s="195" t="str">
        <f>IF(OR(posicao_contratual!A74="",NOT(ISNUMBER(posicao_contratual!B74)),NOT(ISNUMBER(posicao_contratual!K74))),"",ROUND(posicao_contratual!B74*posicao_contratual!K74,2))</f>
        <v/>
      </c>
      <c r="E76" s="195" t="str">
        <f>IF(OR(posicao_contratual!A74="",NOT(ISNUMBER(posicao_contratual!B74)),NOT(ISNUMBER(posicao_contratual!O74))),"",ROUND(posicao_contratual!B74*posicao_contratual!O74,2))</f>
        <v/>
      </c>
      <c r="F76" s="195" t="str">
        <f>IF(OR(posicao_contratual!A74="",NOT(ISNUMBER(posicao_contratual!B74)),NOT(ISNUMBER(posicao_contratual!S74))),"",ROUND(posicao_contratual!B74*posicao_contratual!S74,2))</f>
        <v/>
      </c>
      <c r="G76" s="195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195" t="str">
        <f>IF(posicao_contratual!A75="","",posicao_contratual!B75)</f>
        <v/>
      </c>
      <c r="C77" s="195" t="str">
        <f>IF(OR(posicao_contratual!A75="",NOT(ISNUMBER(posicao_contratual!B75)),NOT(ISNUMBER(posicao_contratual!G75))),"",ROUND(posicao_contratual!B75*posicao_contratual!G75,2))</f>
        <v/>
      </c>
      <c r="D77" s="195" t="str">
        <f>IF(OR(posicao_contratual!A75="",NOT(ISNUMBER(posicao_contratual!B75)),NOT(ISNUMBER(posicao_contratual!K75))),"",ROUND(posicao_contratual!B75*posicao_contratual!K75,2))</f>
        <v/>
      </c>
      <c r="E77" s="195" t="str">
        <f>IF(OR(posicao_contratual!A75="",NOT(ISNUMBER(posicao_contratual!B75)),NOT(ISNUMBER(posicao_contratual!O75))),"",ROUND(posicao_contratual!B75*posicao_contratual!O75,2))</f>
        <v/>
      </c>
      <c r="F77" s="195" t="str">
        <f>IF(OR(posicao_contratual!A75="",NOT(ISNUMBER(posicao_contratual!B75)),NOT(ISNUMBER(posicao_contratual!S75))),"",ROUND(posicao_contratual!B75*posicao_contratual!S75,2))</f>
        <v/>
      </c>
      <c r="G77" s="195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195" t="str">
        <f>IF(posicao_contratual!A76="","",posicao_contratual!B76)</f>
        <v/>
      </c>
      <c r="C78" s="195" t="str">
        <f>IF(OR(posicao_contratual!A76="",NOT(ISNUMBER(posicao_contratual!B76)),NOT(ISNUMBER(posicao_contratual!G76))),"",ROUND(posicao_contratual!B76*posicao_contratual!G76,2))</f>
        <v/>
      </c>
      <c r="D78" s="195" t="str">
        <f>IF(OR(posicao_contratual!A76="",NOT(ISNUMBER(posicao_contratual!B76)),NOT(ISNUMBER(posicao_contratual!K76))),"",ROUND(posicao_contratual!B76*posicao_contratual!K76,2))</f>
        <v/>
      </c>
      <c r="E78" s="195" t="str">
        <f>IF(OR(posicao_contratual!A76="",NOT(ISNUMBER(posicao_contratual!B76)),NOT(ISNUMBER(posicao_contratual!O76))),"",ROUND(posicao_contratual!B76*posicao_contratual!O76,2))</f>
        <v/>
      </c>
      <c r="F78" s="195" t="str">
        <f>IF(OR(posicao_contratual!A76="",NOT(ISNUMBER(posicao_contratual!B76)),NOT(ISNUMBER(posicao_contratual!S76))),"",ROUND(posicao_contratual!B76*posicao_contratual!S76,2))</f>
        <v/>
      </c>
      <c r="G78" s="195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195" t="str">
        <f>IF(posicao_contratual!A77="","",posicao_contratual!B77)</f>
        <v/>
      </c>
      <c r="C79" s="195" t="str">
        <f>IF(OR(posicao_contratual!A77="",NOT(ISNUMBER(posicao_contratual!B77)),NOT(ISNUMBER(posicao_contratual!G77))),"",ROUND(posicao_contratual!B77*posicao_contratual!G77,2))</f>
        <v/>
      </c>
      <c r="D79" s="195" t="str">
        <f>IF(OR(posicao_contratual!A77="",NOT(ISNUMBER(posicao_contratual!B77)),NOT(ISNUMBER(posicao_contratual!K77))),"",ROUND(posicao_contratual!B77*posicao_contratual!K77,2))</f>
        <v/>
      </c>
      <c r="E79" s="195" t="str">
        <f>IF(OR(posicao_contratual!A77="",NOT(ISNUMBER(posicao_contratual!B77)),NOT(ISNUMBER(posicao_contratual!O77))),"",ROUND(posicao_contratual!B77*posicao_contratual!O77,2))</f>
        <v/>
      </c>
      <c r="F79" s="195" t="str">
        <f>IF(OR(posicao_contratual!A77="",NOT(ISNUMBER(posicao_contratual!B77)),NOT(ISNUMBER(posicao_contratual!S77))),"",ROUND(posicao_contratual!B77*posicao_contratual!S77,2))</f>
        <v/>
      </c>
      <c r="G79" s="195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195" t="str">
        <f>IF(posicao_contratual!A78="","",posicao_contratual!B78)</f>
        <v/>
      </c>
      <c r="C80" s="195" t="str">
        <f>IF(OR(posicao_contratual!A78="",NOT(ISNUMBER(posicao_contratual!B78)),NOT(ISNUMBER(posicao_contratual!G78))),"",ROUND(posicao_contratual!B78*posicao_contratual!G78,2))</f>
        <v/>
      </c>
      <c r="D80" s="195" t="str">
        <f>IF(OR(posicao_contratual!A78="",NOT(ISNUMBER(posicao_contratual!B78)),NOT(ISNUMBER(posicao_contratual!K78))),"",ROUND(posicao_contratual!B78*posicao_contratual!K78,2))</f>
        <v/>
      </c>
      <c r="E80" s="195" t="str">
        <f>IF(OR(posicao_contratual!A78="",NOT(ISNUMBER(posicao_contratual!B78)),NOT(ISNUMBER(posicao_contratual!O78))),"",ROUND(posicao_contratual!B78*posicao_contratual!O78,2))</f>
        <v/>
      </c>
      <c r="F80" s="195" t="str">
        <f>IF(OR(posicao_contratual!A78="",NOT(ISNUMBER(posicao_contratual!B78)),NOT(ISNUMBER(posicao_contratual!S78))),"",ROUND(posicao_contratual!B78*posicao_contratual!S78,2))</f>
        <v/>
      </c>
      <c r="G80" s="195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195" t="str">
        <f>IF(posicao_contratual!A79="","",posicao_contratual!B79)</f>
        <v/>
      </c>
      <c r="C81" s="195" t="str">
        <f>IF(OR(posicao_contratual!A79="",NOT(ISNUMBER(posicao_contratual!B79)),NOT(ISNUMBER(posicao_contratual!G79))),"",ROUND(posicao_contratual!B79*posicao_contratual!G79,2))</f>
        <v/>
      </c>
      <c r="D81" s="195" t="str">
        <f>IF(OR(posicao_contratual!A79="",NOT(ISNUMBER(posicao_contratual!B79)),NOT(ISNUMBER(posicao_contratual!K79))),"",ROUND(posicao_contratual!B79*posicao_contratual!K79,2))</f>
        <v/>
      </c>
      <c r="E81" s="195" t="str">
        <f>IF(OR(posicao_contratual!A79="",NOT(ISNUMBER(posicao_contratual!B79)),NOT(ISNUMBER(posicao_contratual!O79))),"",ROUND(posicao_contratual!B79*posicao_contratual!O79,2))</f>
        <v/>
      </c>
      <c r="F81" s="195" t="str">
        <f>IF(OR(posicao_contratual!A79="",NOT(ISNUMBER(posicao_contratual!B79)),NOT(ISNUMBER(posicao_contratual!S79))),"",ROUND(posicao_contratual!B79*posicao_contratual!S79,2))</f>
        <v/>
      </c>
      <c r="G81" s="195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195" t="str">
        <f>IF(posicao_contratual!A80="","",posicao_contratual!B80)</f>
        <v/>
      </c>
      <c r="C82" s="195" t="str">
        <f>IF(OR(posicao_contratual!A80="",NOT(ISNUMBER(posicao_contratual!B80)),NOT(ISNUMBER(posicao_contratual!G80))),"",ROUND(posicao_contratual!B80*posicao_contratual!G80,2))</f>
        <v/>
      </c>
      <c r="D82" s="195" t="str">
        <f>IF(OR(posicao_contratual!A80="",NOT(ISNUMBER(posicao_contratual!B80)),NOT(ISNUMBER(posicao_contratual!K80))),"",ROUND(posicao_contratual!B80*posicao_contratual!K80,2))</f>
        <v/>
      </c>
      <c r="E82" s="195" t="str">
        <f>IF(OR(posicao_contratual!A80="",NOT(ISNUMBER(posicao_contratual!B80)),NOT(ISNUMBER(posicao_contratual!O80))),"",ROUND(posicao_contratual!B80*posicao_contratual!O80,2))</f>
        <v/>
      </c>
      <c r="F82" s="195" t="str">
        <f>IF(OR(posicao_contratual!A80="",NOT(ISNUMBER(posicao_contratual!B80)),NOT(ISNUMBER(posicao_contratual!S80))),"",ROUND(posicao_contratual!B80*posicao_contratual!S80,2))</f>
        <v/>
      </c>
      <c r="G82" s="195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195" t="str">
        <f>IF(posicao_contratual!A81="","",posicao_contratual!B81)</f>
        <v/>
      </c>
      <c r="C83" s="195" t="str">
        <f>IF(OR(posicao_contratual!A81="",NOT(ISNUMBER(posicao_contratual!B81)),NOT(ISNUMBER(posicao_contratual!G81))),"",ROUND(posicao_contratual!B81*posicao_contratual!G81,2))</f>
        <v/>
      </c>
      <c r="D83" s="195" t="str">
        <f>IF(OR(posicao_contratual!A81="",NOT(ISNUMBER(posicao_contratual!B81)),NOT(ISNUMBER(posicao_contratual!K81))),"",ROUND(posicao_contratual!B81*posicao_contratual!K81,2))</f>
        <v/>
      </c>
      <c r="E83" s="195" t="str">
        <f>IF(OR(posicao_contratual!A81="",NOT(ISNUMBER(posicao_contratual!B81)),NOT(ISNUMBER(posicao_contratual!O81))),"",ROUND(posicao_contratual!B81*posicao_contratual!O81,2))</f>
        <v/>
      </c>
      <c r="F83" s="195" t="str">
        <f>IF(OR(posicao_contratual!A81="",NOT(ISNUMBER(posicao_contratual!B81)),NOT(ISNUMBER(posicao_contratual!S81))),"",ROUND(posicao_contratual!B81*posicao_contratual!S81,2))</f>
        <v/>
      </c>
      <c r="G83" s="195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195" t="str">
        <f>IF(posicao_contratual!A82="","",posicao_contratual!B82)</f>
        <v/>
      </c>
      <c r="C84" s="195" t="str">
        <f>IF(OR(posicao_contratual!A82="",NOT(ISNUMBER(posicao_contratual!B82)),NOT(ISNUMBER(posicao_contratual!G82))),"",ROUND(posicao_contratual!B82*posicao_contratual!G82,2))</f>
        <v/>
      </c>
      <c r="D84" s="195" t="str">
        <f>IF(OR(posicao_contratual!A82="",NOT(ISNUMBER(posicao_contratual!B82)),NOT(ISNUMBER(posicao_contratual!K82))),"",ROUND(posicao_contratual!B82*posicao_contratual!K82,2))</f>
        <v/>
      </c>
      <c r="E84" s="195" t="str">
        <f>IF(OR(posicao_contratual!A82="",NOT(ISNUMBER(posicao_contratual!B82)),NOT(ISNUMBER(posicao_contratual!O82))),"",ROUND(posicao_contratual!B82*posicao_contratual!O82,2))</f>
        <v/>
      </c>
      <c r="F84" s="195" t="str">
        <f>IF(OR(posicao_contratual!A82="",NOT(ISNUMBER(posicao_contratual!B82)),NOT(ISNUMBER(posicao_contratual!S82))),"",ROUND(posicao_contratual!B82*posicao_contratual!S82,2))</f>
        <v/>
      </c>
      <c r="G84" s="195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195" t="str">
        <f>IF(posicao_contratual!A83="","",posicao_contratual!B83)</f>
        <v/>
      </c>
      <c r="C85" s="195" t="str">
        <f>IF(OR(posicao_contratual!A83="",NOT(ISNUMBER(posicao_contratual!B83)),NOT(ISNUMBER(posicao_contratual!G83))),"",ROUND(posicao_contratual!B83*posicao_contratual!G83,2))</f>
        <v/>
      </c>
      <c r="D85" s="195" t="str">
        <f>IF(OR(posicao_contratual!A83="",NOT(ISNUMBER(posicao_contratual!B83)),NOT(ISNUMBER(posicao_contratual!K83))),"",ROUND(posicao_contratual!B83*posicao_contratual!K83,2))</f>
        <v/>
      </c>
      <c r="E85" s="195" t="str">
        <f>IF(OR(posicao_contratual!A83="",NOT(ISNUMBER(posicao_contratual!B83)),NOT(ISNUMBER(posicao_contratual!O83))),"",ROUND(posicao_contratual!B83*posicao_contratual!O83,2))</f>
        <v/>
      </c>
      <c r="F85" s="195" t="str">
        <f>IF(OR(posicao_contratual!A83="",NOT(ISNUMBER(posicao_contratual!B83)),NOT(ISNUMBER(posicao_contratual!S83))),"",ROUND(posicao_contratual!B83*posicao_contratual!S83,2))</f>
        <v/>
      </c>
      <c r="G85" s="195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195" t="str">
        <f>IF(posicao_contratual!A84="","",posicao_contratual!B84)</f>
        <v/>
      </c>
      <c r="C86" s="195" t="str">
        <f>IF(OR(posicao_contratual!A84="",NOT(ISNUMBER(posicao_contratual!B84)),NOT(ISNUMBER(posicao_contratual!G84))),"",ROUND(posicao_contratual!B84*posicao_contratual!G84,2))</f>
        <v/>
      </c>
      <c r="D86" s="195" t="str">
        <f>IF(OR(posicao_contratual!A84="",NOT(ISNUMBER(posicao_contratual!B84)),NOT(ISNUMBER(posicao_contratual!K84))),"",ROUND(posicao_contratual!B84*posicao_contratual!K84,2))</f>
        <v/>
      </c>
      <c r="E86" s="195" t="str">
        <f>IF(OR(posicao_contratual!A84="",NOT(ISNUMBER(posicao_contratual!B84)),NOT(ISNUMBER(posicao_contratual!O84))),"",ROUND(posicao_contratual!B84*posicao_contratual!O84,2))</f>
        <v/>
      </c>
      <c r="F86" s="195" t="str">
        <f>IF(OR(posicao_contratual!A84="",NOT(ISNUMBER(posicao_contratual!B84)),NOT(ISNUMBER(posicao_contratual!S84))),"",ROUND(posicao_contratual!B84*posicao_contratual!S84,2))</f>
        <v/>
      </c>
      <c r="G86" s="195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195" t="str">
        <f>IF(posicao_contratual!A85="","",posicao_contratual!B85)</f>
        <v/>
      </c>
      <c r="C87" s="195" t="str">
        <f>IF(OR(posicao_contratual!A85="",NOT(ISNUMBER(posicao_contratual!B85)),NOT(ISNUMBER(posicao_contratual!G85))),"",ROUND(posicao_contratual!B85*posicao_contratual!G85,2))</f>
        <v/>
      </c>
      <c r="D87" s="195" t="str">
        <f>IF(OR(posicao_contratual!A85="",NOT(ISNUMBER(posicao_contratual!B85)),NOT(ISNUMBER(posicao_contratual!K85))),"",ROUND(posicao_contratual!B85*posicao_contratual!K85,2))</f>
        <v/>
      </c>
      <c r="E87" s="195" t="str">
        <f>IF(OR(posicao_contratual!A85="",NOT(ISNUMBER(posicao_contratual!B85)),NOT(ISNUMBER(posicao_contratual!O85))),"",ROUND(posicao_contratual!B85*posicao_contratual!O85,2))</f>
        <v/>
      </c>
      <c r="F87" s="195" t="str">
        <f>IF(OR(posicao_contratual!A85="",NOT(ISNUMBER(posicao_contratual!B85)),NOT(ISNUMBER(posicao_contratual!S85))),"",ROUND(posicao_contratual!B85*posicao_contratual!S85,2))</f>
        <v/>
      </c>
      <c r="G87" s="195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195" t="str">
        <f>IF(posicao_contratual!A86="","",posicao_contratual!B86)</f>
        <v/>
      </c>
      <c r="C88" s="195" t="str">
        <f>IF(OR(posicao_contratual!A86="",NOT(ISNUMBER(posicao_contratual!B86)),NOT(ISNUMBER(posicao_contratual!G86))),"",ROUND(posicao_contratual!B86*posicao_contratual!G86,2))</f>
        <v/>
      </c>
      <c r="D88" s="195" t="str">
        <f>IF(OR(posicao_contratual!A86="",NOT(ISNUMBER(posicao_contratual!B86)),NOT(ISNUMBER(posicao_contratual!K86))),"",ROUND(posicao_contratual!B86*posicao_contratual!K86,2))</f>
        <v/>
      </c>
      <c r="E88" s="195" t="str">
        <f>IF(OR(posicao_contratual!A86="",NOT(ISNUMBER(posicao_contratual!B86)),NOT(ISNUMBER(posicao_contratual!O86))),"",ROUND(posicao_contratual!B86*posicao_contratual!O86,2))</f>
        <v/>
      </c>
      <c r="F88" s="195" t="str">
        <f>IF(OR(posicao_contratual!A86="",NOT(ISNUMBER(posicao_contratual!B86)),NOT(ISNUMBER(posicao_contratual!S86))),"",ROUND(posicao_contratual!B86*posicao_contratual!S86,2))</f>
        <v/>
      </c>
      <c r="G88" s="195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195" t="str">
        <f>IF(posicao_contratual!A87="","",posicao_contratual!B87)</f>
        <v/>
      </c>
      <c r="C89" s="195" t="str">
        <f>IF(OR(posicao_contratual!A87="",NOT(ISNUMBER(posicao_contratual!B87)),NOT(ISNUMBER(posicao_contratual!G87))),"",ROUND(posicao_contratual!B87*posicao_contratual!G87,2))</f>
        <v/>
      </c>
      <c r="D89" s="195" t="str">
        <f>IF(OR(posicao_contratual!A87="",NOT(ISNUMBER(posicao_contratual!B87)),NOT(ISNUMBER(posicao_contratual!K87))),"",ROUND(posicao_contratual!B87*posicao_contratual!K87,2))</f>
        <v/>
      </c>
      <c r="E89" s="195" t="str">
        <f>IF(OR(posicao_contratual!A87="",NOT(ISNUMBER(posicao_contratual!B87)),NOT(ISNUMBER(posicao_contratual!O87))),"",ROUND(posicao_contratual!B87*posicao_contratual!O87,2))</f>
        <v/>
      </c>
      <c r="F89" s="195" t="str">
        <f>IF(OR(posicao_contratual!A87="",NOT(ISNUMBER(posicao_contratual!B87)),NOT(ISNUMBER(posicao_contratual!S87))),"",ROUND(posicao_contratual!B87*posicao_contratual!S87,2))</f>
        <v/>
      </c>
      <c r="G89" s="195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195" t="str">
        <f>IF(posicao_contratual!A88="","",posicao_contratual!B88)</f>
        <v/>
      </c>
      <c r="C90" s="195" t="str">
        <f>IF(OR(posicao_contratual!A88="",NOT(ISNUMBER(posicao_contratual!B88)),NOT(ISNUMBER(posicao_contratual!G88))),"",ROUND(posicao_contratual!B88*posicao_contratual!G88,2))</f>
        <v/>
      </c>
      <c r="D90" s="195" t="str">
        <f>IF(OR(posicao_contratual!A88="",NOT(ISNUMBER(posicao_contratual!B88)),NOT(ISNUMBER(posicao_contratual!K88))),"",ROUND(posicao_contratual!B88*posicao_contratual!K88,2))</f>
        <v/>
      </c>
      <c r="E90" s="195" t="str">
        <f>IF(OR(posicao_contratual!A88="",NOT(ISNUMBER(posicao_contratual!B88)),NOT(ISNUMBER(posicao_contratual!O88))),"",ROUND(posicao_contratual!B88*posicao_contratual!O88,2))</f>
        <v/>
      </c>
      <c r="F90" s="195" t="str">
        <f>IF(OR(posicao_contratual!A88="",NOT(ISNUMBER(posicao_contratual!B88)),NOT(ISNUMBER(posicao_contratual!S88))),"",ROUND(posicao_contratual!B88*posicao_contratual!S88,2))</f>
        <v/>
      </c>
      <c r="G90" s="195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195" t="str">
        <f>IF(posicao_contratual!A89="","",posicao_contratual!B89)</f>
        <v/>
      </c>
      <c r="C91" s="195" t="str">
        <f>IF(OR(posicao_contratual!A89="",NOT(ISNUMBER(posicao_contratual!B89)),NOT(ISNUMBER(posicao_contratual!G89))),"",ROUND(posicao_contratual!B89*posicao_contratual!G89,2))</f>
        <v/>
      </c>
      <c r="D91" s="195" t="str">
        <f>IF(OR(posicao_contratual!A89="",NOT(ISNUMBER(posicao_contratual!B89)),NOT(ISNUMBER(posicao_contratual!K89))),"",ROUND(posicao_contratual!B89*posicao_contratual!K89,2))</f>
        <v/>
      </c>
      <c r="E91" s="195" t="str">
        <f>IF(OR(posicao_contratual!A89="",NOT(ISNUMBER(posicao_contratual!B89)),NOT(ISNUMBER(posicao_contratual!O89))),"",ROUND(posicao_contratual!B89*posicao_contratual!O89,2))</f>
        <v/>
      </c>
      <c r="F91" s="195" t="str">
        <f>IF(OR(posicao_contratual!A89="",NOT(ISNUMBER(posicao_contratual!B89)),NOT(ISNUMBER(posicao_contratual!S89))),"",ROUND(posicao_contratual!B89*posicao_contratual!S89,2))</f>
        <v/>
      </c>
      <c r="G91" s="195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195" t="str">
        <f>IF(posicao_contratual!A90="","",posicao_contratual!B90)</f>
        <v/>
      </c>
      <c r="C92" s="195" t="str">
        <f>IF(OR(posicao_contratual!A90="",NOT(ISNUMBER(posicao_contratual!B90)),NOT(ISNUMBER(posicao_contratual!G90))),"",ROUND(posicao_contratual!B90*posicao_contratual!G90,2))</f>
        <v/>
      </c>
      <c r="D92" s="195" t="str">
        <f>IF(OR(posicao_contratual!A90="",NOT(ISNUMBER(posicao_contratual!B90)),NOT(ISNUMBER(posicao_contratual!K90))),"",ROUND(posicao_contratual!B90*posicao_contratual!K90,2))</f>
        <v/>
      </c>
      <c r="E92" s="195" t="str">
        <f>IF(OR(posicao_contratual!A90="",NOT(ISNUMBER(posicao_contratual!B90)),NOT(ISNUMBER(posicao_contratual!O90))),"",ROUND(posicao_contratual!B90*posicao_contratual!O90,2))</f>
        <v/>
      </c>
      <c r="F92" s="195" t="str">
        <f>IF(OR(posicao_contratual!A90="",NOT(ISNUMBER(posicao_contratual!B90)),NOT(ISNUMBER(posicao_contratual!S90))),"",ROUND(posicao_contratual!B90*posicao_contratual!S90,2))</f>
        <v/>
      </c>
      <c r="G92" s="195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195" t="str">
        <f>IF(posicao_contratual!A91="","",posicao_contratual!B91)</f>
        <v/>
      </c>
      <c r="C93" s="195" t="str">
        <f>IF(OR(posicao_contratual!A91="",NOT(ISNUMBER(posicao_contratual!B91)),NOT(ISNUMBER(posicao_contratual!G91))),"",ROUND(posicao_contratual!B91*posicao_contratual!G91,2))</f>
        <v/>
      </c>
      <c r="D93" s="195" t="str">
        <f>IF(OR(posicao_contratual!A91="",NOT(ISNUMBER(posicao_contratual!B91)),NOT(ISNUMBER(posicao_contratual!K91))),"",ROUND(posicao_contratual!B91*posicao_contratual!K91,2))</f>
        <v/>
      </c>
      <c r="E93" s="195" t="str">
        <f>IF(OR(posicao_contratual!A91="",NOT(ISNUMBER(posicao_contratual!B91)),NOT(ISNUMBER(posicao_contratual!O91))),"",ROUND(posicao_contratual!B91*posicao_contratual!O91,2))</f>
        <v/>
      </c>
      <c r="F93" s="195" t="str">
        <f>IF(OR(posicao_contratual!A91="",NOT(ISNUMBER(posicao_contratual!B91)),NOT(ISNUMBER(posicao_contratual!S91))),"",ROUND(posicao_contratual!B91*posicao_contratual!S91,2))</f>
        <v/>
      </c>
      <c r="G93" s="195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195" t="str">
        <f>IF(posicao_contratual!A92="","",posicao_contratual!B92)</f>
        <v/>
      </c>
      <c r="C94" s="195" t="str">
        <f>IF(OR(posicao_contratual!A92="",NOT(ISNUMBER(posicao_contratual!B92)),NOT(ISNUMBER(posicao_contratual!G92))),"",ROUND(posicao_contratual!B92*posicao_contratual!G92,2))</f>
        <v/>
      </c>
      <c r="D94" s="195" t="str">
        <f>IF(OR(posicao_contratual!A92="",NOT(ISNUMBER(posicao_contratual!B92)),NOT(ISNUMBER(posicao_contratual!K92))),"",ROUND(posicao_contratual!B92*posicao_contratual!K92,2))</f>
        <v/>
      </c>
      <c r="E94" s="195" t="str">
        <f>IF(OR(posicao_contratual!A92="",NOT(ISNUMBER(posicao_contratual!B92)),NOT(ISNUMBER(posicao_contratual!O92))),"",ROUND(posicao_contratual!B92*posicao_contratual!O92,2))</f>
        <v/>
      </c>
      <c r="F94" s="195" t="str">
        <f>IF(OR(posicao_contratual!A92="",NOT(ISNUMBER(posicao_contratual!B92)),NOT(ISNUMBER(posicao_contratual!S92))),"",ROUND(posicao_contratual!B92*posicao_contratual!S92,2))</f>
        <v/>
      </c>
      <c r="G94" s="195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195" t="str">
        <f>IF(posicao_contratual!A93="","",posicao_contratual!B93)</f>
        <v/>
      </c>
      <c r="C95" s="195" t="str">
        <f>IF(OR(posicao_contratual!A93="",NOT(ISNUMBER(posicao_contratual!B93)),NOT(ISNUMBER(posicao_contratual!G93))),"",ROUND(posicao_contratual!B93*posicao_contratual!G93,2))</f>
        <v/>
      </c>
      <c r="D95" s="195" t="str">
        <f>IF(OR(posicao_contratual!A93="",NOT(ISNUMBER(posicao_contratual!B93)),NOT(ISNUMBER(posicao_contratual!K93))),"",ROUND(posicao_contratual!B93*posicao_contratual!K93,2))</f>
        <v/>
      </c>
      <c r="E95" s="195" t="str">
        <f>IF(OR(posicao_contratual!A93="",NOT(ISNUMBER(posicao_contratual!B93)),NOT(ISNUMBER(posicao_contratual!O93))),"",ROUND(posicao_contratual!B93*posicao_contratual!O93,2))</f>
        <v/>
      </c>
      <c r="F95" s="195" t="str">
        <f>IF(OR(posicao_contratual!A93="",NOT(ISNUMBER(posicao_contratual!B93)),NOT(ISNUMBER(posicao_contratual!S93))),"",ROUND(posicao_contratual!B93*posicao_contratual!S93,2))</f>
        <v/>
      </c>
      <c r="G95" s="195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195" t="str">
        <f>IF(posicao_contratual!A94="","",posicao_contratual!B94)</f>
        <v/>
      </c>
      <c r="C96" s="195" t="str">
        <f>IF(OR(posicao_contratual!A94="",NOT(ISNUMBER(posicao_contratual!B94)),NOT(ISNUMBER(posicao_contratual!G94))),"",ROUND(posicao_contratual!B94*posicao_contratual!G94,2))</f>
        <v/>
      </c>
      <c r="D96" s="195" t="str">
        <f>IF(OR(posicao_contratual!A94="",NOT(ISNUMBER(posicao_contratual!B94)),NOT(ISNUMBER(posicao_contratual!K94))),"",ROUND(posicao_contratual!B94*posicao_contratual!K94,2))</f>
        <v/>
      </c>
      <c r="E96" s="195" t="str">
        <f>IF(OR(posicao_contratual!A94="",NOT(ISNUMBER(posicao_contratual!B94)),NOT(ISNUMBER(posicao_contratual!O94))),"",ROUND(posicao_contratual!B94*posicao_contratual!O94,2))</f>
        <v/>
      </c>
      <c r="F96" s="195" t="str">
        <f>IF(OR(posicao_contratual!A94="",NOT(ISNUMBER(posicao_contratual!B94)),NOT(ISNUMBER(posicao_contratual!S94))),"",ROUND(posicao_contratual!B94*posicao_contratual!S94,2))</f>
        <v/>
      </c>
      <c r="G96" s="195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195" t="str">
        <f>IF(posicao_contratual!A95="","",posicao_contratual!B95)</f>
        <v/>
      </c>
      <c r="C97" s="195" t="str">
        <f>IF(OR(posicao_contratual!A95="",NOT(ISNUMBER(posicao_contratual!B95)),NOT(ISNUMBER(posicao_contratual!G95))),"",ROUND(posicao_contratual!B95*posicao_contratual!G95,2))</f>
        <v/>
      </c>
      <c r="D97" s="195" t="str">
        <f>IF(OR(posicao_contratual!A95="",NOT(ISNUMBER(posicao_contratual!B95)),NOT(ISNUMBER(posicao_contratual!K95))),"",ROUND(posicao_contratual!B95*posicao_contratual!K95,2))</f>
        <v/>
      </c>
      <c r="E97" s="195" t="str">
        <f>IF(OR(posicao_contratual!A95="",NOT(ISNUMBER(posicao_contratual!B95)),NOT(ISNUMBER(posicao_contratual!O95))),"",ROUND(posicao_contratual!B95*posicao_contratual!O95,2))</f>
        <v/>
      </c>
      <c r="F97" s="195" t="str">
        <f>IF(OR(posicao_contratual!A95="",NOT(ISNUMBER(posicao_contratual!B95)),NOT(ISNUMBER(posicao_contratual!S95))),"",ROUND(posicao_contratual!B95*posicao_contratual!S95,2))</f>
        <v/>
      </c>
      <c r="G97" s="195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195" t="str">
        <f>IF(posicao_contratual!A96="","",posicao_contratual!B96)</f>
        <v/>
      </c>
      <c r="C98" s="195" t="str">
        <f>IF(OR(posicao_contratual!A96="",NOT(ISNUMBER(posicao_contratual!B96)),NOT(ISNUMBER(posicao_contratual!G96))),"",ROUND(posicao_contratual!B96*posicao_contratual!G96,2))</f>
        <v/>
      </c>
      <c r="D98" s="195" t="str">
        <f>IF(OR(posicao_contratual!A96="",NOT(ISNUMBER(posicao_contratual!B96)),NOT(ISNUMBER(posicao_contratual!K96))),"",ROUND(posicao_contratual!B96*posicao_contratual!K96,2))</f>
        <v/>
      </c>
      <c r="E98" s="195" t="str">
        <f>IF(OR(posicao_contratual!A96="",NOT(ISNUMBER(posicao_contratual!B96)),NOT(ISNUMBER(posicao_contratual!O96))),"",ROUND(posicao_contratual!B96*posicao_contratual!O96,2))</f>
        <v/>
      </c>
      <c r="F98" s="195" t="str">
        <f>IF(OR(posicao_contratual!A96="",NOT(ISNUMBER(posicao_contratual!B96)),NOT(ISNUMBER(posicao_contratual!S96))),"",ROUND(posicao_contratual!B96*posicao_contratual!S96,2))</f>
        <v/>
      </c>
      <c r="G98" s="195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195" t="str">
        <f>IF(posicao_contratual!A97="","",posicao_contratual!B97)</f>
        <v/>
      </c>
      <c r="C99" s="195" t="str">
        <f>IF(OR(posicao_contratual!A97="",NOT(ISNUMBER(posicao_contratual!B97)),NOT(ISNUMBER(posicao_contratual!G97))),"",ROUND(posicao_contratual!B97*posicao_contratual!G97,2))</f>
        <v/>
      </c>
      <c r="D99" s="195" t="str">
        <f>IF(OR(posicao_contratual!A97="",NOT(ISNUMBER(posicao_contratual!B97)),NOT(ISNUMBER(posicao_contratual!K97))),"",ROUND(posicao_contratual!B97*posicao_contratual!K97,2))</f>
        <v/>
      </c>
      <c r="E99" s="195" t="str">
        <f>IF(OR(posicao_contratual!A97="",NOT(ISNUMBER(posicao_contratual!B97)),NOT(ISNUMBER(posicao_contratual!O97))),"",ROUND(posicao_contratual!B97*posicao_contratual!O97,2))</f>
        <v/>
      </c>
      <c r="F99" s="195" t="str">
        <f>IF(OR(posicao_contratual!A97="",NOT(ISNUMBER(posicao_contratual!B97)),NOT(ISNUMBER(posicao_contratual!S97))),"",ROUND(posicao_contratual!B97*posicao_contratual!S97,2))</f>
        <v/>
      </c>
      <c r="G99" s="195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195" t="str">
        <f>IF(posicao_contratual!A98="","",posicao_contratual!B98)</f>
        <v/>
      </c>
      <c r="C100" s="195" t="str">
        <f>IF(OR(posicao_contratual!A98="",NOT(ISNUMBER(posicao_contratual!B98)),NOT(ISNUMBER(posicao_contratual!G98))),"",ROUND(posicao_contratual!B98*posicao_contratual!G98,2))</f>
        <v/>
      </c>
      <c r="D100" s="195" t="str">
        <f>IF(OR(posicao_contratual!A98="",NOT(ISNUMBER(posicao_contratual!B98)),NOT(ISNUMBER(posicao_contratual!K98))),"",ROUND(posicao_contratual!B98*posicao_contratual!K98,2))</f>
        <v/>
      </c>
      <c r="E100" s="195" t="str">
        <f>IF(OR(posicao_contratual!A98="",NOT(ISNUMBER(posicao_contratual!B98)),NOT(ISNUMBER(posicao_contratual!O98))),"",ROUND(posicao_contratual!B98*posicao_contratual!O98,2))</f>
        <v/>
      </c>
      <c r="F100" s="195" t="str">
        <f>IF(OR(posicao_contratual!A98="",NOT(ISNUMBER(posicao_contratual!B98)),NOT(ISNUMBER(posicao_contratual!S98))),"",ROUND(posicao_contratual!B98*posicao_contratual!S98,2))</f>
        <v/>
      </c>
      <c r="G100" s="195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195" t="str">
        <f>IF(posicao_contratual!A99="","",posicao_contratual!B99)</f>
        <v/>
      </c>
      <c r="C101" s="195" t="str">
        <f>IF(OR(posicao_contratual!A99="",NOT(ISNUMBER(posicao_contratual!B99)),NOT(ISNUMBER(posicao_contratual!G99))),"",ROUND(posicao_contratual!B99*posicao_contratual!G99,2))</f>
        <v/>
      </c>
      <c r="D101" s="195" t="str">
        <f>IF(OR(posicao_contratual!A99="",NOT(ISNUMBER(posicao_contratual!B99)),NOT(ISNUMBER(posicao_contratual!K99))),"",ROUND(posicao_contratual!B99*posicao_contratual!K99,2))</f>
        <v/>
      </c>
      <c r="E101" s="195" t="str">
        <f>IF(OR(posicao_contratual!A99="",NOT(ISNUMBER(posicao_contratual!B99)),NOT(ISNUMBER(posicao_contratual!O99))),"",ROUND(posicao_contratual!B99*posicao_contratual!O99,2))</f>
        <v/>
      </c>
      <c r="F101" s="195" t="str">
        <f>IF(OR(posicao_contratual!A99="",NOT(ISNUMBER(posicao_contratual!B99)),NOT(ISNUMBER(posicao_contratual!S99))),"",ROUND(posicao_contratual!B99*posicao_contratual!S99,2))</f>
        <v/>
      </c>
      <c r="G101" s="195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195" t="str">
        <f>IF(posicao_contratual!A100="","",posicao_contratual!B100)</f>
        <v/>
      </c>
      <c r="C102" s="195" t="str">
        <f>IF(OR(posicao_contratual!A100="",NOT(ISNUMBER(posicao_contratual!B100)),NOT(ISNUMBER(posicao_contratual!G100))),"",ROUND(posicao_contratual!B100*posicao_contratual!G100,2))</f>
        <v/>
      </c>
      <c r="D102" s="195" t="str">
        <f>IF(OR(posicao_contratual!A100="",NOT(ISNUMBER(posicao_contratual!B100)),NOT(ISNUMBER(posicao_contratual!K100))),"",ROUND(posicao_contratual!B100*posicao_contratual!K100,2))</f>
        <v/>
      </c>
      <c r="E102" s="195" t="str">
        <f>IF(OR(posicao_contratual!A100="",NOT(ISNUMBER(posicao_contratual!B100)),NOT(ISNUMBER(posicao_contratual!O100))),"",ROUND(posicao_contratual!B100*posicao_contratual!O100,2))</f>
        <v/>
      </c>
      <c r="F102" s="195" t="str">
        <f>IF(OR(posicao_contratual!A100="",NOT(ISNUMBER(posicao_contratual!B100)),NOT(ISNUMBER(posicao_contratual!S100))),"",ROUND(posicao_contratual!B100*posicao_contratual!S100,2))</f>
        <v/>
      </c>
      <c r="G102" s="195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195" t="str">
        <f>IF(posicao_contratual!A101="","",posicao_contratual!B101)</f>
        <v/>
      </c>
      <c r="C103" s="195" t="str">
        <f>IF(OR(posicao_contratual!A101="",NOT(ISNUMBER(posicao_contratual!B101)),NOT(ISNUMBER(posicao_contratual!G101))),"",ROUND(posicao_contratual!B101*posicao_contratual!G101,2))</f>
        <v/>
      </c>
      <c r="D103" s="195" t="str">
        <f>IF(OR(posicao_contratual!A101="",NOT(ISNUMBER(posicao_contratual!B101)),NOT(ISNUMBER(posicao_contratual!K101))),"",ROUND(posicao_contratual!B101*posicao_contratual!K101,2))</f>
        <v/>
      </c>
      <c r="E103" s="195" t="str">
        <f>IF(OR(posicao_contratual!A101="",NOT(ISNUMBER(posicao_contratual!B101)),NOT(ISNUMBER(posicao_contratual!O101))),"",ROUND(posicao_contratual!B101*posicao_contratual!O101,2))</f>
        <v/>
      </c>
      <c r="F103" s="195" t="str">
        <f>IF(OR(posicao_contratual!A101="",NOT(ISNUMBER(posicao_contratual!B101)),NOT(ISNUMBER(posicao_contratual!S101))),"",ROUND(posicao_contratual!B101*posicao_contratual!S101,2))</f>
        <v/>
      </c>
      <c r="G103" s="195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195" t="str">
        <f>IF(posicao_contratual!A102="","",posicao_contratual!B102)</f>
        <v/>
      </c>
      <c r="C104" s="195" t="str">
        <f>IF(OR(posicao_contratual!A102="",NOT(ISNUMBER(posicao_contratual!B102)),NOT(ISNUMBER(posicao_contratual!G102))),"",ROUND(posicao_contratual!B102*posicao_contratual!G102,2))</f>
        <v/>
      </c>
      <c r="D104" s="195" t="str">
        <f>IF(OR(posicao_contratual!A102="",NOT(ISNUMBER(posicao_contratual!B102)),NOT(ISNUMBER(posicao_contratual!K102))),"",ROUND(posicao_contratual!B102*posicao_contratual!K102,2))</f>
        <v/>
      </c>
      <c r="E104" s="195" t="str">
        <f>IF(OR(posicao_contratual!A102="",NOT(ISNUMBER(posicao_contratual!B102)),NOT(ISNUMBER(posicao_contratual!O102))),"",ROUND(posicao_contratual!B102*posicao_contratual!O102,2))</f>
        <v/>
      </c>
      <c r="F104" s="195" t="str">
        <f>IF(OR(posicao_contratual!A102="",NOT(ISNUMBER(posicao_contratual!B102)),NOT(ISNUMBER(posicao_contratual!S102))),"",ROUND(posicao_contratual!B102*posicao_contratual!S102,2))</f>
        <v/>
      </c>
      <c r="G104" s="195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195" t="str">
        <f>IF(posicao_contratual!A103="","",posicao_contratual!B103)</f>
        <v/>
      </c>
      <c r="C105" s="195" t="str">
        <f>IF(OR(posicao_contratual!A103="",NOT(ISNUMBER(posicao_contratual!B103)),NOT(ISNUMBER(posicao_contratual!G103))),"",ROUND(posicao_contratual!B103*posicao_contratual!G103,2))</f>
        <v/>
      </c>
      <c r="D105" s="195" t="str">
        <f>IF(OR(posicao_contratual!A103="",NOT(ISNUMBER(posicao_contratual!B103)),NOT(ISNUMBER(posicao_contratual!K103))),"",ROUND(posicao_contratual!B103*posicao_contratual!K103,2))</f>
        <v/>
      </c>
      <c r="E105" s="195" t="str">
        <f>IF(OR(posicao_contratual!A103="",NOT(ISNUMBER(posicao_contratual!B103)),NOT(ISNUMBER(posicao_contratual!O103))),"",ROUND(posicao_contratual!B103*posicao_contratual!O103,2))</f>
        <v/>
      </c>
      <c r="F105" s="195" t="str">
        <f>IF(OR(posicao_contratual!A103="",NOT(ISNUMBER(posicao_contratual!B103)),NOT(ISNUMBER(posicao_contratual!S103))),"",ROUND(posicao_contratual!B103*posicao_contratual!S103,2))</f>
        <v/>
      </c>
      <c r="G105" s="195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195" t="str">
        <f>IF(posicao_contratual!A104="","",posicao_contratual!B104)</f>
        <v/>
      </c>
      <c r="C106" s="195" t="str">
        <f>IF(OR(posicao_contratual!A104="",NOT(ISNUMBER(posicao_contratual!B104)),NOT(ISNUMBER(posicao_contratual!G104))),"",ROUND(posicao_contratual!B104*posicao_contratual!G104,2))</f>
        <v/>
      </c>
      <c r="D106" s="195" t="str">
        <f>IF(OR(posicao_contratual!A104="",NOT(ISNUMBER(posicao_contratual!B104)),NOT(ISNUMBER(posicao_contratual!K104))),"",ROUND(posicao_contratual!B104*posicao_contratual!K104,2))</f>
        <v/>
      </c>
      <c r="E106" s="195" t="str">
        <f>IF(OR(posicao_contratual!A104="",NOT(ISNUMBER(posicao_contratual!B104)),NOT(ISNUMBER(posicao_contratual!O104))),"",ROUND(posicao_contratual!B104*posicao_contratual!O104,2))</f>
        <v/>
      </c>
      <c r="F106" s="195" t="str">
        <f>IF(OR(posicao_contratual!A104="",NOT(ISNUMBER(posicao_contratual!B104)),NOT(ISNUMBER(posicao_contratual!S104))),"",ROUND(posicao_contratual!B104*posicao_contratual!S104,2))</f>
        <v/>
      </c>
      <c r="G106" s="195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195" t="str">
        <f>IF(posicao_contratual!A105="","",posicao_contratual!B105)</f>
        <v/>
      </c>
      <c r="C107" s="195" t="str">
        <f>IF(OR(posicao_contratual!A105="",NOT(ISNUMBER(posicao_contratual!B105)),NOT(ISNUMBER(posicao_contratual!G105))),"",ROUND(posicao_contratual!B105*posicao_contratual!G105,2))</f>
        <v/>
      </c>
      <c r="D107" s="195" t="str">
        <f>IF(OR(posicao_contratual!A105="",NOT(ISNUMBER(posicao_contratual!B105)),NOT(ISNUMBER(posicao_contratual!K105))),"",ROUND(posicao_contratual!B105*posicao_contratual!K105,2))</f>
        <v/>
      </c>
      <c r="E107" s="195" t="str">
        <f>IF(OR(posicao_contratual!A105="",NOT(ISNUMBER(posicao_contratual!B105)),NOT(ISNUMBER(posicao_contratual!O105))),"",ROUND(posicao_contratual!B105*posicao_contratual!O105,2))</f>
        <v/>
      </c>
      <c r="F107" s="195" t="str">
        <f>IF(OR(posicao_contratual!A105="",NOT(ISNUMBER(posicao_contratual!B105)),NOT(ISNUMBER(posicao_contratual!S105))),"",ROUND(posicao_contratual!B105*posicao_contratual!S105,2))</f>
        <v/>
      </c>
      <c r="G107" s="195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195" t="str">
        <f>IF(posicao_contratual!A106="","",posicao_contratual!B106)</f>
        <v/>
      </c>
      <c r="C108" s="195" t="str">
        <f>IF(OR(posicao_contratual!A106="",NOT(ISNUMBER(posicao_contratual!B106)),NOT(ISNUMBER(posicao_contratual!G106))),"",ROUND(posicao_contratual!B106*posicao_contratual!G106,2))</f>
        <v/>
      </c>
      <c r="D108" s="195" t="str">
        <f>IF(OR(posicao_contratual!A106="",NOT(ISNUMBER(posicao_contratual!B106)),NOT(ISNUMBER(posicao_contratual!K106))),"",ROUND(posicao_contratual!B106*posicao_contratual!K106,2))</f>
        <v/>
      </c>
      <c r="E108" s="195" t="str">
        <f>IF(OR(posicao_contratual!A106="",NOT(ISNUMBER(posicao_contratual!B106)),NOT(ISNUMBER(posicao_contratual!O106))),"",ROUND(posicao_contratual!B106*posicao_contratual!O106,2))</f>
        <v/>
      </c>
      <c r="F108" s="195" t="str">
        <f>IF(OR(posicao_contratual!A106="",NOT(ISNUMBER(posicao_contratual!B106)),NOT(ISNUMBER(posicao_contratual!S106))),"",ROUND(posicao_contratual!B106*posicao_contratual!S106,2))</f>
        <v/>
      </c>
      <c r="G108" s="195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195" t="str">
        <f>IF(posicao_contratual!A107="","",posicao_contratual!B107)</f>
        <v/>
      </c>
      <c r="C109" s="195" t="str">
        <f>IF(OR(posicao_contratual!A107="",NOT(ISNUMBER(posicao_contratual!B107)),NOT(ISNUMBER(posicao_contratual!G107))),"",ROUND(posicao_contratual!B107*posicao_contratual!G107,2))</f>
        <v/>
      </c>
      <c r="D109" s="195" t="str">
        <f>IF(OR(posicao_contratual!A107="",NOT(ISNUMBER(posicao_contratual!B107)),NOT(ISNUMBER(posicao_contratual!K107))),"",ROUND(posicao_contratual!B107*posicao_contratual!K107,2))</f>
        <v/>
      </c>
      <c r="E109" s="195" t="str">
        <f>IF(OR(posicao_contratual!A107="",NOT(ISNUMBER(posicao_contratual!B107)),NOT(ISNUMBER(posicao_contratual!O107))),"",ROUND(posicao_contratual!B107*posicao_contratual!O107,2))</f>
        <v/>
      </c>
      <c r="F109" s="195" t="str">
        <f>IF(OR(posicao_contratual!A107="",NOT(ISNUMBER(posicao_contratual!B107)),NOT(ISNUMBER(posicao_contratual!S107))),"",ROUND(posicao_contratual!B107*posicao_contratual!S107,2))</f>
        <v/>
      </c>
      <c r="G109" s="195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195" t="str">
        <f>IF(posicao_contratual!A108="","",posicao_contratual!B108)</f>
        <v/>
      </c>
      <c r="C110" s="195" t="str">
        <f>IF(OR(posicao_contratual!A108="",NOT(ISNUMBER(posicao_contratual!B108)),NOT(ISNUMBER(posicao_contratual!G108))),"",ROUND(posicao_contratual!B108*posicao_contratual!G108,2))</f>
        <v/>
      </c>
      <c r="D110" s="195" t="str">
        <f>IF(OR(posicao_contratual!A108="",NOT(ISNUMBER(posicao_contratual!B108)),NOT(ISNUMBER(posicao_contratual!K108))),"",ROUND(posicao_contratual!B108*posicao_contratual!K108,2))</f>
        <v/>
      </c>
      <c r="E110" s="195" t="str">
        <f>IF(OR(posicao_contratual!A108="",NOT(ISNUMBER(posicao_contratual!B108)),NOT(ISNUMBER(posicao_contratual!O108))),"",ROUND(posicao_contratual!B108*posicao_contratual!O108,2))</f>
        <v/>
      </c>
      <c r="F110" s="195" t="str">
        <f>IF(OR(posicao_contratual!A108="",NOT(ISNUMBER(posicao_contratual!B108)),NOT(ISNUMBER(posicao_contratual!S108))),"",ROUND(posicao_contratual!B108*posicao_contratual!S108,2))</f>
        <v/>
      </c>
      <c r="G110" s="195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195" t="str">
        <f>IF(posicao_contratual!A109="","",posicao_contratual!B109)</f>
        <v/>
      </c>
      <c r="C111" s="195" t="str">
        <f>IF(OR(posicao_contratual!A109="",NOT(ISNUMBER(posicao_contratual!B109)),NOT(ISNUMBER(posicao_contratual!G109))),"",ROUND(posicao_contratual!B109*posicao_contratual!G109,2))</f>
        <v/>
      </c>
      <c r="D111" s="195" t="str">
        <f>IF(OR(posicao_contratual!A109="",NOT(ISNUMBER(posicao_contratual!B109)),NOT(ISNUMBER(posicao_contratual!K109))),"",ROUND(posicao_contratual!B109*posicao_contratual!K109,2))</f>
        <v/>
      </c>
      <c r="E111" s="195" t="str">
        <f>IF(OR(posicao_contratual!A109="",NOT(ISNUMBER(posicao_contratual!B109)),NOT(ISNUMBER(posicao_contratual!O109))),"",ROUND(posicao_contratual!B109*posicao_contratual!O109,2))</f>
        <v/>
      </c>
      <c r="F111" s="195" t="str">
        <f>IF(OR(posicao_contratual!A109="",NOT(ISNUMBER(posicao_contratual!B109)),NOT(ISNUMBER(posicao_contratual!S109))),"",ROUND(posicao_contratual!B109*posicao_contratual!S109,2))</f>
        <v/>
      </c>
      <c r="G111" s="195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195" t="str">
        <f>IF(posicao_contratual!A110="","",posicao_contratual!B110)</f>
        <v/>
      </c>
      <c r="C112" s="195" t="str">
        <f>IF(OR(posicao_contratual!A110="",NOT(ISNUMBER(posicao_contratual!B110)),NOT(ISNUMBER(posicao_contratual!G110))),"",ROUND(posicao_contratual!B110*posicao_contratual!G110,2))</f>
        <v/>
      </c>
      <c r="D112" s="195" t="str">
        <f>IF(OR(posicao_contratual!A110="",NOT(ISNUMBER(posicao_contratual!B110)),NOT(ISNUMBER(posicao_contratual!K110))),"",ROUND(posicao_contratual!B110*posicao_contratual!K110,2))</f>
        <v/>
      </c>
      <c r="E112" s="195" t="str">
        <f>IF(OR(posicao_contratual!A110="",NOT(ISNUMBER(posicao_contratual!B110)),NOT(ISNUMBER(posicao_contratual!O110))),"",ROUND(posicao_contratual!B110*posicao_contratual!O110,2))</f>
        <v/>
      </c>
      <c r="F112" s="195" t="str">
        <f>IF(OR(posicao_contratual!A110="",NOT(ISNUMBER(posicao_contratual!B110)),NOT(ISNUMBER(posicao_contratual!S110))),"",ROUND(posicao_contratual!B110*posicao_contratual!S110,2))</f>
        <v/>
      </c>
      <c r="G112" s="195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195" t="str">
        <f>IF(posicao_contratual!A111="","",posicao_contratual!B111)</f>
        <v/>
      </c>
      <c r="C113" s="195" t="str">
        <f>IF(OR(posicao_contratual!A111="",NOT(ISNUMBER(posicao_contratual!B111)),NOT(ISNUMBER(posicao_contratual!G111))),"",ROUND(posicao_contratual!B111*posicao_contratual!G111,2))</f>
        <v/>
      </c>
      <c r="D113" s="195" t="str">
        <f>IF(OR(posicao_contratual!A111="",NOT(ISNUMBER(posicao_contratual!B111)),NOT(ISNUMBER(posicao_contratual!K111))),"",ROUND(posicao_contratual!B111*posicao_contratual!K111,2))</f>
        <v/>
      </c>
      <c r="E113" s="195" t="str">
        <f>IF(OR(posicao_contratual!A111="",NOT(ISNUMBER(posicao_contratual!B111)),NOT(ISNUMBER(posicao_contratual!O111))),"",ROUND(posicao_contratual!B111*posicao_contratual!O111,2))</f>
        <v/>
      </c>
      <c r="F113" s="195" t="str">
        <f>IF(OR(posicao_contratual!A111="",NOT(ISNUMBER(posicao_contratual!B111)),NOT(ISNUMBER(posicao_contratual!S111))),"",ROUND(posicao_contratual!B111*posicao_contratual!S111,2))</f>
        <v/>
      </c>
      <c r="G113" s="195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195" t="str">
        <f>IF(posicao_contratual!A112="","",posicao_contratual!B112)</f>
        <v/>
      </c>
      <c r="C114" s="195" t="str">
        <f>IF(OR(posicao_contratual!A112="",NOT(ISNUMBER(posicao_contratual!B112)),NOT(ISNUMBER(posicao_contratual!G112))),"",ROUND(posicao_contratual!B112*posicao_contratual!G112,2))</f>
        <v/>
      </c>
      <c r="D114" s="195" t="str">
        <f>IF(OR(posicao_contratual!A112="",NOT(ISNUMBER(posicao_contratual!B112)),NOT(ISNUMBER(posicao_contratual!K112))),"",ROUND(posicao_contratual!B112*posicao_contratual!K112,2))</f>
        <v/>
      </c>
      <c r="E114" s="195" t="str">
        <f>IF(OR(posicao_contratual!A112="",NOT(ISNUMBER(posicao_contratual!B112)),NOT(ISNUMBER(posicao_contratual!O112))),"",ROUND(posicao_contratual!B112*posicao_contratual!O112,2))</f>
        <v/>
      </c>
      <c r="F114" s="195" t="str">
        <f>IF(OR(posicao_contratual!A112="",NOT(ISNUMBER(posicao_contratual!B112)),NOT(ISNUMBER(posicao_contratual!S112))),"",ROUND(posicao_contratual!B112*posicao_contratual!S112,2))</f>
        <v/>
      </c>
      <c r="G114" s="195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195" t="str">
        <f>IF(posicao_contratual!A113="","",posicao_contratual!B113)</f>
        <v/>
      </c>
      <c r="C115" s="195" t="str">
        <f>IF(OR(posicao_contratual!A113="",NOT(ISNUMBER(posicao_contratual!B113)),NOT(ISNUMBER(posicao_contratual!G113))),"",ROUND(posicao_contratual!B113*posicao_contratual!G113,2))</f>
        <v/>
      </c>
      <c r="D115" s="195" t="str">
        <f>IF(OR(posicao_contratual!A113="",NOT(ISNUMBER(posicao_contratual!B113)),NOT(ISNUMBER(posicao_contratual!K113))),"",ROUND(posicao_contratual!B113*posicao_contratual!K113,2))</f>
        <v/>
      </c>
      <c r="E115" s="195" t="str">
        <f>IF(OR(posicao_contratual!A113="",NOT(ISNUMBER(posicao_contratual!B113)),NOT(ISNUMBER(posicao_contratual!O113))),"",ROUND(posicao_contratual!B113*posicao_contratual!O113,2))</f>
        <v/>
      </c>
      <c r="F115" s="195" t="str">
        <f>IF(OR(posicao_contratual!A113="",NOT(ISNUMBER(posicao_contratual!B113)),NOT(ISNUMBER(posicao_contratual!S113))),"",ROUND(posicao_contratual!B113*posicao_contratual!S113,2))</f>
        <v/>
      </c>
      <c r="G115" s="195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195" t="str">
        <f>IF(posicao_contratual!A114="","",posicao_contratual!B114)</f>
        <v/>
      </c>
      <c r="C116" s="195" t="str">
        <f>IF(OR(posicao_contratual!A114="",NOT(ISNUMBER(posicao_contratual!B114)),NOT(ISNUMBER(posicao_contratual!G114))),"",ROUND(posicao_contratual!B114*posicao_contratual!G114,2))</f>
        <v/>
      </c>
      <c r="D116" s="195" t="str">
        <f>IF(OR(posicao_contratual!A114="",NOT(ISNUMBER(posicao_contratual!B114)),NOT(ISNUMBER(posicao_contratual!K114))),"",ROUND(posicao_contratual!B114*posicao_contratual!K114,2))</f>
        <v/>
      </c>
      <c r="E116" s="195" t="str">
        <f>IF(OR(posicao_contratual!A114="",NOT(ISNUMBER(posicao_contratual!B114)),NOT(ISNUMBER(posicao_contratual!O114))),"",ROUND(posicao_contratual!B114*posicao_contratual!O114,2))</f>
        <v/>
      </c>
      <c r="F116" s="195" t="str">
        <f>IF(OR(posicao_contratual!A114="",NOT(ISNUMBER(posicao_contratual!B114)),NOT(ISNUMBER(posicao_contratual!S114))),"",ROUND(posicao_contratual!B114*posicao_contratual!S114,2))</f>
        <v/>
      </c>
      <c r="G116" s="195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195" t="str">
        <f>IF(posicao_contratual!A115="","",posicao_contratual!B115)</f>
        <v/>
      </c>
      <c r="C117" s="195" t="str">
        <f>IF(OR(posicao_contratual!A115="",NOT(ISNUMBER(posicao_contratual!B115)),NOT(ISNUMBER(posicao_contratual!G115))),"",ROUND(posicao_contratual!B115*posicao_contratual!G115,2))</f>
        <v/>
      </c>
      <c r="D117" s="195" t="str">
        <f>IF(OR(posicao_contratual!A115="",NOT(ISNUMBER(posicao_contratual!B115)),NOT(ISNUMBER(posicao_contratual!K115))),"",ROUND(posicao_contratual!B115*posicao_contratual!K115,2))</f>
        <v/>
      </c>
      <c r="E117" s="195" t="str">
        <f>IF(OR(posicao_contratual!A115="",NOT(ISNUMBER(posicao_contratual!B115)),NOT(ISNUMBER(posicao_contratual!O115))),"",ROUND(posicao_contratual!B115*posicao_contratual!O115,2))</f>
        <v/>
      </c>
      <c r="F117" s="195" t="str">
        <f>IF(OR(posicao_contratual!A115="",NOT(ISNUMBER(posicao_contratual!B115)),NOT(ISNUMBER(posicao_contratual!S115))),"",ROUND(posicao_contratual!B115*posicao_contratual!S115,2))</f>
        <v/>
      </c>
      <c r="G117" s="195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195" t="str">
        <f>IF(posicao_contratual!A116="","",posicao_contratual!B116)</f>
        <v/>
      </c>
      <c r="C118" s="195" t="str">
        <f>IF(OR(posicao_contratual!A116="",NOT(ISNUMBER(posicao_contratual!B116)),NOT(ISNUMBER(posicao_contratual!G116))),"",ROUND(posicao_contratual!B116*posicao_contratual!G116,2))</f>
        <v/>
      </c>
      <c r="D118" s="195" t="str">
        <f>IF(OR(posicao_contratual!A116="",NOT(ISNUMBER(posicao_contratual!B116)),NOT(ISNUMBER(posicao_contratual!K116))),"",ROUND(posicao_contratual!B116*posicao_contratual!K116,2))</f>
        <v/>
      </c>
      <c r="E118" s="195" t="str">
        <f>IF(OR(posicao_contratual!A116="",NOT(ISNUMBER(posicao_contratual!B116)),NOT(ISNUMBER(posicao_contratual!O116))),"",ROUND(posicao_contratual!B116*posicao_contratual!O116,2))</f>
        <v/>
      </c>
      <c r="F118" s="195" t="str">
        <f>IF(OR(posicao_contratual!A116="",NOT(ISNUMBER(posicao_contratual!B116)),NOT(ISNUMBER(posicao_contratual!S116))),"",ROUND(posicao_contratual!B116*posicao_contratual!S116,2))</f>
        <v/>
      </c>
      <c r="G118" s="195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195" t="str">
        <f>IF(posicao_contratual!A117="","",posicao_contratual!B117)</f>
        <v/>
      </c>
      <c r="C119" s="195" t="str">
        <f>IF(OR(posicao_contratual!A117="",NOT(ISNUMBER(posicao_contratual!B117)),NOT(ISNUMBER(posicao_contratual!G117))),"",ROUND(posicao_contratual!B117*posicao_contratual!G117,2))</f>
        <v/>
      </c>
      <c r="D119" s="195" t="str">
        <f>IF(OR(posicao_contratual!A117="",NOT(ISNUMBER(posicao_contratual!B117)),NOT(ISNUMBER(posicao_contratual!K117))),"",ROUND(posicao_contratual!B117*posicao_contratual!K117,2))</f>
        <v/>
      </c>
      <c r="E119" s="195" t="str">
        <f>IF(OR(posicao_contratual!A117="",NOT(ISNUMBER(posicao_contratual!B117)),NOT(ISNUMBER(posicao_contratual!O117))),"",ROUND(posicao_contratual!B117*posicao_contratual!O117,2))</f>
        <v/>
      </c>
      <c r="F119" s="195" t="str">
        <f>IF(OR(posicao_contratual!A117="",NOT(ISNUMBER(posicao_contratual!B117)),NOT(ISNUMBER(posicao_contratual!S117))),"",ROUND(posicao_contratual!B117*posicao_contratual!S117,2))</f>
        <v/>
      </c>
      <c r="G119" s="195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195" t="str">
        <f>IF(posicao_contratual!A118="","",posicao_contratual!B118)</f>
        <v/>
      </c>
      <c r="C120" s="195" t="str">
        <f>IF(OR(posicao_contratual!A118="",NOT(ISNUMBER(posicao_contratual!B118)),NOT(ISNUMBER(posicao_contratual!G118))),"",ROUND(posicao_contratual!B118*posicao_contratual!G118,2))</f>
        <v/>
      </c>
      <c r="D120" s="195" t="str">
        <f>IF(OR(posicao_contratual!A118="",NOT(ISNUMBER(posicao_contratual!B118)),NOT(ISNUMBER(posicao_contratual!K118))),"",ROUND(posicao_contratual!B118*posicao_contratual!K118,2))</f>
        <v/>
      </c>
      <c r="E120" s="195" t="str">
        <f>IF(OR(posicao_contratual!A118="",NOT(ISNUMBER(posicao_contratual!B118)),NOT(ISNUMBER(posicao_contratual!O118))),"",ROUND(posicao_contratual!B118*posicao_contratual!O118,2))</f>
        <v/>
      </c>
      <c r="F120" s="195" t="str">
        <f>IF(OR(posicao_contratual!A118="",NOT(ISNUMBER(posicao_contratual!B118)),NOT(ISNUMBER(posicao_contratual!S118))),"",ROUND(posicao_contratual!B118*posicao_contratual!S118,2))</f>
        <v/>
      </c>
      <c r="G120" s="195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195" t="str">
        <f>IF(posicao_contratual!A119="","",posicao_contratual!B119)</f>
        <v/>
      </c>
      <c r="C121" s="195" t="str">
        <f>IF(OR(posicao_contratual!A119="",NOT(ISNUMBER(posicao_contratual!B119)),NOT(ISNUMBER(posicao_contratual!G119))),"",ROUND(posicao_contratual!B119*posicao_contratual!G119,2))</f>
        <v/>
      </c>
      <c r="D121" s="195" t="str">
        <f>IF(OR(posicao_contratual!A119="",NOT(ISNUMBER(posicao_contratual!B119)),NOT(ISNUMBER(posicao_contratual!K119))),"",ROUND(posicao_contratual!B119*posicao_contratual!K119,2))</f>
        <v/>
      </c>
      <c r="E121" s="195" t="str">
        <f>IF(OR(posicao_contratual!A119="",NOT(ISNUMBER(posicao_contratual!B119)),NOT(ISNUMBER(posicao_contratual!O119))),"",ROUND(posicao_contratual!B119*posicao_contratual!O119,2))</f>
        <v/>
      </c>
      <c r="F121" s="195" t="str">
        <f>IF(OR(posicao_contratual!A119="",NOT(ISNUMBER(posicao_contratual!B119)),NOT(ISNUMBER(posicao_contratual!S119))),"",ROUND(posicao_contratual!B119*posicao_contratual!S119,2))</f>
        <v/>
      </c>
      <c r="G121" s="195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195" t="str">
        <f>IF(posicao_contratual!A120="","",posicao_contratual!B120)</f>
        <v/>
      </c>
      <c r="C122" s="195" t="str">
        <f>IF(OR(posicao_contratual!A120="",NOT(ISNUMBER(posicao_contratual!B120)),NOT(ISNUMBER(posicao_contratual!G120))),"",ROUND(posicao_contratual!B120*posicao_contratual!G120,2))</f>
        <v/>
      </c>
      <c r="D122" s="195" t="str">
        <f>IF(OR(posicao_contratual!A120="",NOT(ISNUMBER(posicao_contratual!B120)),NOT(ISNUMBER(posicao_contratual!K120))),"",ROUND(posicao_contratual!B120*posicao_contratual!K120,2))</f>
        <v/>
      </c>
      <c r="E122" s="195" t="str">
        <f>IF(OR(posicao_contratual!A120="",NOT(ISNUMBER(posicao_contratual!B120)),NOT(ISNUMBER(posicao_contratual!O120))),"",ROUND(posicao_contratual!B120*posicao_contratual!O120,2))</f>
        <v/>
      </c>
      <c r="F122" s="195" t="str">
        <f>IF(OR(posicao_contratual!A120="",NOT(ISNUMBER(posicao_contratual!B120)),NOT(ISNUMBER(posicao_contratual!S120))),"",ROUND(posicao_contratual!B120*posicao_contratual!S120,2))</f>
        <v/>
      </c>
      <c r="G122" s="195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195" t="str">
        <f>IF(posicao_contratual!A121="","",posicao_contratual!B121)</f>
        <v/>
      </c>
      <c r="C123" s="195" t="str">
        <f>IF(OR(posicao_contratual!A121="",NOT(ISNUMBER(posicao_contratual!B121)),NOT(ISNUMBER(posicao_contratual!G121))),"",ROUND(posicao_contratual!B121*posicao_contratual!G121,2))</f>
        <v/>
      </c>
      <c r="D123" s="195" t="str">
        <f>IF(OR(posicao_contratual!A121="",NOT(ISNUMBER(posicao_contratual!B121)),NOT(ISNUMBER(posicao_contratual!K121))),"",ROUND(posicao_contratual!B121*posicao_contratual!K121,2))</f>
        <v/>
      </c>
      <c r="E123" s="195" t="str">
        <f>IF(OR(posicao_contratual!A121="",NOT(ISNUMBER(posicao_contratual!B121)),NOT(ISNUMBER(posicao_contratual!O121))),"",ROUND(posicao_contratual!B121*posicao_contratual!O121,2))</f>
        <v/>
      </c>
      <c r="F123" s="195" t="str">
        <f>IF(OR(posicao_contratual!A121="",NOT(ISNUMBER(posicao_contratual!B121)),NOT(ISNUMBER(posicao_contratual!S121))),"",ROUND(posicao_contratual!B121*posicao_contratual!S121,2))</f>
        <v/>
      </c>
      <c r="G123" s="195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195" t="str">
        <f>IF(posicao_contratual!A122="","",posicao_contratual!B122)</f>
        <v/>
      </c>
      <c r="C124" s="195" t="str">
        <f>IF(OR(posicao_contratual!A122="",NOT(ISNUMBER(posicao_contratual!B122)),NOT(ISNUMBER(posicao_contratual!G122))),"",ROUND(posicao_contratual!B122*posicao_contratual!G122,2))</f>
        <v/>
      </c>
      <c r="D124" s="195" t="str">
        <f>IF(OR(posicao_contratual!A122="",NOT(ISNUMBER(posicao_contratual!B122)),NOT(ISNUMBER(posicao_contratual!K122))),"",ROUND(posicao_contratual!B122*posicao_contratual!K122,2))</f>
        <v/>
      </c>
      <c r="E124" s="195" t="str">
        <f>IF(OR(posicao_contratual!A122="",NOT(ISNUMBER(posicao_contratual!B122)),NOT(ISNUMBER(posicao_contratual!O122))),"",ROUND(posicao_contratual!B122*posicao_contratual!O122,2))</f>
        <v/>
      </c>
      <c r="F124" s="195" t="str">
        <f>IF(OR(posicao_contratual!A122="",NOT(ISNUMBER(posicao_contratual!B122)),NOT(ISNUMBER(posicao_contratual!S122))),"",ROUND(posicao_contratual!B122*posicao_contratual!S122,2))</f>
        <v/>
      </c>
      <c r="G124" s="195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195" t="str">
        <f>IF(posicao_contratual!A123="","",posicao_contratual!B123)</f>
        <v/>
      </c>
      <c r="C125" s="195" t="str">
        <f>IF(OR(posicao_contratual!A123="",NOT(ISNUMBER(posicao_contratual!B123)),NOT(ISNUMBER(posicao_contratual!G123))),"",ROUND(posicao_contratual!B123*posicao_contratual!G123,2))</f>
        <v/>
      </c>
      <c r="D125" s="195" t="str">
        <f>IF(OR(posicao_contratual!A123="",NOT(ISNUMBER(posicao_contratual!B123)),NOT(ISNUMBER(posicao_contratual!K123))),"",ROUND(posicao_contratual!B123*posicao_contratual!K123,2))</f>
        <v/>
      </c>
      <c r="E125" s="195" t="str">
        <f>IF(OR(posicao_contratual!A123="",NOT(ISNUMBER(posicao_contratual!B123)),NOT(ISNUMBER(posicao_contratual!O123))),"",ROUND(posicao_contratual!B123*posicao_contratual!O123,2))</f>
        <v/>
      </c>
      <c r="F125" s="195" t="str">
        <f>IF(OR(posicao_contratual!A123="",NOT(ISNUMBER(posicao_contratual!B123)),NOT(ISNUMBER(posicao_contratual!S123))),"",ROUND(posicao_contratual!B123*posicao_contratual!S123,2))</f>
        <v/>
      </c>
      <c r="G125" s="195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195" t="str">
        <f>IF(posicao_contratual!A124="","",posicao_contratual!B124)</f>
        <v/>
      </c>
      <c r="C126" s="195" t="str">
        <f>IF(OR(posicao_contratual!A124="",NOT(ISNUMBER(posicao_contratual!B124)),NOT(ISNUMBER(posicao_contratual!G124))),"",ROUND(posicao_contratual!B124*posicao_contratual!G124,2))</f>
        <v/>
      </c>
      <c r="D126" s="195" t="str">
        <f>IF(OR(posicao_contratual!A124="",NOT(ISNUMBER(posicao_contratual!B124)),NOT(ISNUMBER(posicao_contratual!K124))),"",ROUND(posicao_contratual!B124*posicao_contratual!K124,2))</f>
        <v/>
      </c>
      <c r="E126" s="195" t="str">
        <f>IF(OR(posicao_contratual!A124="",NOT(ISNUMBER(posicao_contratual!B124)),NOT(ISNUMBER(posicao_contratual!O124))),"",ROUND(posicao_contratual!B124*posicao_contratual!O124,2))</f>
        <v/>
      </c>
      <c r="F126" s="195" t="str">
        <f>IF(OR(posicao_contratual!A124="",NOT(ISNUMBER(posicao_contratual!B124)),NOT(ISNUMBER(posicao_contratual!S124))),"",ROUND(posicao_contratual!B124*posicao_contratual!S124,2))</f>
        <v/>
      </c>
      <c r="G126" s="195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195" t="str">
        <f>IF(posicao_contratual!A125="","",posicao_contratual!B125)</f>
        <v/>
      </c>
      <c r="C127" s="195" t="str">
        <f>IF(OR(posicao_contratual!A125="",NOT(ISNUMBER(posicao_contratual!B125)),NOT(ISNUMBER(posicao_contratual!G125))),"",ROUND(posicao_contratual!B125*posicao_contratual!G125,2))</f>
        <v/>
      </c>
      <c r="D127" s="195" t="str">
        <f>IF(OR(posicao_contratual!A125="",NOT(ISNUMBER(posicao_contratual!B125)),NOT(ISNUMBER(posicao_contratual!K125))),"",ROUND(posicao_contratual!B125*posicao_contratual!K125,2))</f>
        <v/>
      </c>
      <c r="E127" s="195" t="str">
        <f>IF(OR(posicao_contratual!A125="",NOT(ISNUMBER(posicao_contratual!B125)),NOT(ISNUMBER(posicao_contratual!O125))),"",ROUND(posicao_contratual!B125*posicao_contratual!O125,2))</f>
        <v/>
      </c>
      <c r="F127" s="195" t="str">
        <f>IF(OR(posicao_contratual!A125="",NOT(ISNUMBER(posicao_contratual!B125)),NOT(ISNUMBER(posicao_contratual!S125))),"",ROUND(posicao_contratual!B125*posicao_contratual!S125,2))</f>
        <v/>
      </c>
      <c r="G127" s="195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195" t="str">
        <f>IF(posicao_contratual!A126="","",posicao_contratual!B126)</f>
        <v/>
      </c>
      <c r="C128" s="195" t="str">
        <f>IF(OR(posicao_contratual!A126="",NOT(ISNUMBER(posicao_contratual!B126)),NOT(ISNUMBER(posicao_contratual!G126))),"",ROUND(posicao_contratual!B126*posicao_contratual!G126,2))</f>
        <v/>
      </c>
      <c r="D128" s="195" t="str">
        <f>IF(OR(posicao_contratual!A126="",NOT(ISNUMBER(posicao_contratual!B126)),NOT(ISNUMBER(posicao_contratual!K126))),"",ROUND(posicao_contratual!B126*posicao_contratual!K126,2))</f>
        <v/>
      </c>
      <c r="E128" s="195" t="str">
        <f>IF(OR(posicao_contratual!A126="",NOT(ISNUMBER(posicao_contratual!B126)),NOT(ISNUMBER(posicao_contratual!O126))),"",ROUND(posicao_contratual!B126*posicao_contratual!O126,2))</f>
        <v/>
      </c>
      <c r="F128" s="195" t="str">
        <f>IF(OR(posicao_contratual!A126="",NOT(ISNUMBER(posicao_contratual!B126)),NOT(ISNUMBER(posicao_contratual!S126))),"",ROUND(posicao_contratual!B126*posicao_contratual!S126,2))</f>
        <v/>
      </c>
      <c r="G128" s="195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195" t="str">
        <f>IF(posicao_contratual!A127="","",posicao_contratual!B127)</f>
        <v/>
      </c>
      <c r="C129" s="195" t="str">
        <f>IF(OR(posicao_contratual!A127="",NOT(ISNUMBER(posicao_contratual!B127)),NOT(ISNUMBER(posicao_contratual!G127))),"",ROUND(posicao_contratual!B127*posicao_contratual!G127,2))</f>
        <v/>
      </c>
      <c r="D129" s="195" t="str">
        <f>IF(OR(posicao_contratual!A127="",NOT(ISNUMBER(posicao_contratual!B127)),NOT(ISNUMBER(posicao_contratual!K127))),"",ROUND(posicao_contratual!B127*posicao_contratual!K127,2))</f>
        <v/>
      </c>
      <c r="E129" s="195" t="str">
        <f>IF(OR(posicao_contratual!A127="",NOT(ISNUMBER(posicao_contratual!B127)),NOT(ISNUMBER(posicao_contratual!O127))),"",ROUND(posicao_contratual!B127*posicao_contratual!O127,2))</f>
        <v/>
      </c>
      <c r="F129" s="195" t="str">
        <f>IF(OR(posicao_contratual!A127="",NOT(ISNUMBER(posicao_contratual!B127)),NOT(ISNUMBER(posicao_contratual!S127))),"",ROUND(posicao_contratual!B127*posicao_contratual!S127,2))</f>
        <v/>
      </c>
      <c r="G129" s="195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195" t="str">
        <f>IF(posicao_contratual!A128="","",posicao_contratual!B128)</f>
        <v/>
      </c>
      <c r="C130" s="195" t="str">
        <f>IF(OR(posicao_contratual!A128="",NOT(ISNUMBER(posicao_contratual!B128)),NOT(ISNUMBER(posicao_contratual!G128))),"",ROUND(posicao_contratual!B128*posicao_contratual!G128,2))</f>
        <v/>
      </c>
      <c r="D130" s="195" t="str">
        <f>IF(OR(posicao_contratual!A128="",NOT(ISNUMBER(posicao_contratual!B128)),NOT(ISNUMBER(posicao_contratual!K128))),"",ROUND(posicao_contratual!B128*posicao_contratual!K128,2))</f>
        <v/>
      </c>
      <c r="E130" s="195" t="str">
        <f>IF(OR(posicao_contratual!A128="",NOT(ISNUMBER(posicao_contratual!B128)),NOT(ISNUMBER(posicao_contratual!O128))),"",ROUND(posicao_contratual!B128*posicao_contratual!O128,2))</f>
        <v/>
      </c>
      <c r="F130" s="195" t="str">
        <f>IF(OR(posicao_contratual!A128="",NOT(ISNUMBER(posicao_contratual!B128)),NOT(ISNUMBER(posicao_contratual!S128))),"",ROUND(posicao_contratual!B128*posicao_contratual!S128,2))</f>
        <v/>
      </c>
      <c r="G130" s="195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195" t="str">
        <f>IF(posicao_contratual!A129="","",posicao_contratual!B129)</f>
        <v/>
      </c>
      <c r="C131" s="195" t="str">
        <f>IF(OR(posicao_contratual!A129="",NOT(ISNUMBER(posicao_contratual!B129)),NOT(ISNUMBER(posicao_contratual!G129))),"",ROUND(posicao_contratual!B129*posicao_contratual!G129,2))</f>
        <v/>
      </c>
      <c r="D131" s="195" t="str">
        <f>IF(OR(posicao_contratual!A129="",NOT(ISNUMBER(posicao_contratual!B129)),NOT(ISNUMBER(posicao_contratual!K129))),"",ROUND(posicao_contratual!B129*posicao_contratual!K129,2))</f>
        <v/>
      </c>
      <c r="E131" s="195" t="str">
        <f>IF(OR(posicao_contratual!A129="",NOT(ISNUMBER(posicao_contratual!B129)),NOT(ISNUMBER(posicao_contratual!O129))),"",ROUND(posicao_contratual!B129*posicao_contratual!O129,2))</f>
        <v/>
      </c>
      <c r="F131" s="195" t="str">
        <f>IF(OR(posicao_contratual!A129="",NOT(ISNUMBER(posicao_contratual!B129)),NOT(ISNUMBER(posicao_contratual!S129))),"",ROUND(posicao_contratual!B129*posicao_contratual!S129,2))</f>
        <v/>
      </c>
      <c r="G131" s="195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195" t="str">
        <f>IF(posicao_contratual!A130="","",posicao_contratual!B130)</f>
        <v/>
      </c>
      <c r="C132" s="195" t="str">
        <f>IF(OR(posicao_contratual!A130="",NOT(ISNUMBER(posicao_contratual!B130)),NOT(ISNUMBER(posicao_contratual!G130))),"",ROUND(posicao_contratual!B130*posicao_contratual!G130,2))</f>
        <v/>
      </c>
      <c r="D132" s="195" t="str">
        <f>IF(OR(posicao_contratual!A130="",NOT(ISNUMBER(posicao_contratual!B130)),NOT(ISNUMBER(posicao_contratual!K130))),"",ROUND(posicao_contratual!B130*posicao_contratual!K130,2))</f>
        <v/>
      </c>
      <c r="E132" s="195" t="str">
        <f>IF(OR(posicao_contratual!A130="",NOT(ISNUMBER(posicao_contratual!B130)),NOT(ISNUMBER(posicao_contratual!O130))),"",ROUND(posicao_contratual!B130*posicao_contratual!O130,2))</f>
        <v/>
      </c>
      <c r="F132" s="195" t="str">
        <f>IF(OR(posicao_contratual!A130="",NOT(ISNUMBER(posicao_contratual!B130)),NOT(ISNUMBER(posicao_contratual!S130))),"",ROUND(posicao_contratual!B130*posicao_contratual!S130,2))</f>
        <v/>
      </c>
      <c r="G132" s="195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195" t="str">
        <f>IF(posicao_contratual!A131="","",posicao_contratual!B131)</f>
        <v/>
      </c>
      <c r="C133" s="195" t="str">
        <f>IF(OR(posicao_contratual!A131="",NOT(ISNUMBER(posicao_contratual!B131)),NOT(ISNUMBER(posicao_contratual!G131))),"",ROUND(posicao_contratual!B131*posicao_contratual!G131,2))</f>
        <v/>
      </c>
      <c r="D133" s="195" t="str">
        <f>IF(OR(posicao_contratual!A131="",NOT(ISNUMBER(posicao_contratual!B131)),NOT(ISNUMBER(posicao_contratual!K131))),"",ROUND(posicao_contratual!B131*posicao_contratual!K131,2))</f>
        <v/>
      </c>
      <c r="E133" s="195" t="str">
        <f>IF(OR(posicao_contratual!A131="",NOT(ISNUMBER(posicao_contratual!B131)),NOT(ISNUMBER(posicao_contratual!O131))),"",ROUND(posicao_contratual!B131*posicao_contratual!O131,2))</f>
        <v/>
      </c>
      <c r="F133" s="195" t="str">
        <f>IF(OR(posicao_contratual!A131="",NOT(ISNUMBER(posicao_contratual!B131)),NOT(ISNUMBER(posicao_contratual!S131))),"",ROUND(posicao_contratual!B131*posicao_contratual!S131,2))</f>
        <v/>
      </c>
      <c r="G133" s="195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195" t="str">
        <f>IF(posicao_contratual!A132="","",posicao_contratual!B132)</f>
        <v/>
      </c>
      <c r="C134" s="195" t="str">
        <f>IF(OR(posicao_contratual!A132="",NOT(ISNUMBER(posicao_contratual!B132)),NOT(ISNUMBER(posicao_contratual!G132))),"",ROUND(posicao_contratual!B132*posicao_contratual!G132,2))</f>
        <v/>
      </c>
      <c r="D134" s="195" t="str">
        <f>IF(OR(posicao_contratual!A132="",NOT(ISNUMBER(posicao_contratual!B132)),NOT(ISNUMBER(posicao_contratual!K132))),"",ROUND(posicao_contratual!B132*posicao_contratual!K132,2))</f>
        <v/>
      </c>
      <c r="E134" s="195" t="str">
        <f>IF(OR(posicao_contratual!A132="",NOT(ISNUMBER(posicao_contratual!B132)),NOT(ISNUMBER(posicao_contratual!O132))),"",ROUND(posicao_contratual!B132*posicao_contratual!O132,2))</f>
        <v/>
      </c>
      <c r="F134" s="195" t="str">
        <f>IF(OR(posicao_contratual!A132="",NOT(ISNUMBER(posicao_contratual!B132)),NOT(ISNUMBER(posicao_contratual!S132))),"",ROUND(posicao_contratual!B132*posicao_contratual!S132,2))</f>
        <v/>
      </c>
      <c r="G134" s="195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195" t="str">
        <f>IF(posicao_contratual!A133="","",posicao_contratual!B133)</f>
        <v/>
      </c>
      <c r="C135" s="195" t="str">
        <f>IF(OR(posicao_contratual!A133="",NOT(ISNUMBER(posicao_contratual!B133)),NOT(ISNUMBER(posicao_contratual!G133))),"",ROUND(posicao_contratual!B133*posicao_contratual!G133,2))</f>
        <v/>
      </c>
      <c r="D135" s="195" t="str">
        <f>IF(OR(posicao_contratual!A133="",NOT(ISNUMBER(posicao_contratual!B133)),NOT(ISNUMBER(posicao_contratual!K133))),"",ROUND(posicao_contratual!B133*posicao_contratual!K133,2))</f>
        <v/>
      </c>
      <c r="E135" s="195" t="str">
        <f>IF(OR(posicao_contratual!A133="",NOT(ISNUMBER(posicao_contratual!B133)),NOT(ISNUMBER(posicao_contratual!O133))),"",ROUND(posicao_contratual!B133*posicao_contratual!O133,2))</f>
        <v/>
      </c>
      <c r="F135" s="195" t="str">
        <f>IF(OR(posicao_contratual!A133="",NOT(ISNUMBER(posicao_contratual!B133)),NOT(ISNUMBER(posicao_contratual!S133))),"",ROUND(posicao_contratual!B133*posicao_contratual!S133,2))</f>
        <v/>
      </c>
      <c r="G135" s="195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195" t="str">
        <f>IF(posicao_contratual!A134="","",posicao_contratual!B134)</f>
        <v/>
      </c>
      <c r="C136" s="195" t="str">
        <f>IF(OR(posicao_contratual!A134="",NOT(ISNUMBER(posicao_contratual!B134)),NOT(ISNUMBER(posicao_contratual!G134))),"",ROUND(posicao_contratual!B134*posicao_contratual!G134,2))</f>
        <v/>
      </c>
      <c r="D136" s="195" t="str">
        <f>IF(OR(posicao_contratual!A134="",NOT(ISNUMBER(posicao_contratual!B134)),NOT(ISNUMBER(posicao_contratual!K134))),"",ROUND(posicao_contratual!B134*posicao_contratual!K134,2))</f>
        <v/>
      </c>
      <c r="E136" s="195" t="str">
        <f>IF(OR(posicao_contratual!A134="",NOT(ISNUMBER(posicao_contratual!B134)),NOT(ISNUMBER(posicao_contratual!O134))),"",ROUND(posicao_contratual!B134*posicao_contratual!O134,2))</f>
        <v/>
      </c>
      <c r="F136" s="195" t="str">
        <f>IF(OR(posicao_contratual!A134="",NOT(ISNUMBER(posicao_contratual!B134)),NOT(ISNUMBER(posicao_contratual!S134))),"",ROUND(posicao_contratual!B134*posicao_contratual!S134,2))</f>
        <v/>
      </c>
      <c r="G136" s="195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195" t="str">
        <f>IF(posicao_contratual!A135="","",posicao_contratual!B135)</f>
        <v/>
      </c>
      <c r="C137" s="195" t="str">
        <f>IF(OR(posicao_contratual!A135="",NOT(ISNUMBER(posicao_contratual!B135)),NOT(ISNUMBER(posicao_contratual!G135))),"",ROUND(posicao_contratual!B135*posicao_contratual!G135,2))</f>
        <v/>
      </c>
      <c r="D137" s="195" t="str">
        <f>IF(OR(posicao_contratual!A135="",NOT(ISNUMBER(posicao_contratual!B135)),NOT(ISNUMBER(posicao_contratual!K135))),"",ROUND(posicao_contratual!B135*posicao_contratual!K135,2))</f>
        <v/>
      </c>
      <c r="E137" s="195" t="str">
        <f>IF(OR(posicao_contratual!A135="",NOT(ISNUMBER(posicao_contratual!B135)),NOT(ISNUMBER(posicao_contratual!O135))),"",ROUND(posicao_contratual!B135*posicao_contratual!O135,2))</f>
        <v/>
      </c>
      <c r="F137" s="195" t="str">
        <f>IF(OR(posicao_contratual!A135="",NOT(ISNUMBER(posicao_contratual!B135)),NOT(ISNUMBER(posicao_contratual!S135))),"",ROUND(posicao_contratual!B135*posicao_contratual!S135,2))</f>
        <v/>
      </c>
      <c r="G137" s="195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195" t="str">
        <f>IF(posicao_contratual!A136="","",posicao_contratual!B136)</f>
        <v/>
      </c>
      <c r="C138" s="195" t="str">
        <f>IF(OR(posicao_contratual!A136="",NOT(ISNUMBER(posicao_contratual!B136)),NOT(ISNUMBER(posicao_contratual!G136))),"",ROUND(posicao_contratual!B136*posicao_contratual!G136,2))</f>
        <v/>
      </c>
      <c r="D138" s="195" t="str">
        <f>IF(OR(posicao_contratual!A136="",NOT(ISNUMBER(posicao_contratual!B136)),NOT(ISNUMBER(posicao_contratual!K136))),"",ROUND(posicao_contratual!B136*posicao_contratual!K136,2))</f>
        <v/>
      </c>
      <c r="E138" s="195" t="str">
        <f>IF(OR(posicao_contratual!A136="",NOT(ISNUMBER(posicao_contratual!B136)),NOT(ISNUMBER(posicao_contratual!O136))),"",ROUND(posicao_contratual!B136*posicao_contratual!O136,2))</f>
        <v/>
      </c>
      <c r="F138" s="195" t="str">
        <f>IF(OR(posicao_contratual!A136="",NOT(ISNUMBER(posicao_contratual!B136)),NOT(ISNUMBER(posicao_contratual!S136))),"",ROUND(posicao_contratual!B136*posicao_contratual!S136,2))</f>
        <v/>
      </c>
      <c r="G138" s="195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195" t="str">
        <f>IF(posicao_contratual!A137="","",posicao_contratual!B137)</f>
        <v/>
      </c>
      <c r="C139" s="195" t="str">
        <f>IF(OR(posicao_contratual!A137="",NOT(ISNUMBER(posicao_contratual!B137)),NOT(ISNUMBER(posicao_contratual!G137))),"",ROUND(posicao_contratual!B137*posicao_contratual!G137,2))</f>
        <v/>
      </c>
      <c r="D139" s="195" t="str">
        <f>IF(OR(posicao_contratual!A137="",NOT(ISNUMBER(posicao_contratual!B137)),NOT(ISNUMBER(posicao_contratual!K137))),"",ROUND(posicao_contratual!B137*posicao_contratual!K137,2))</f>
        <v/>
      </c>
      <c r="E139" s="195" t="str">
        <f>IF(OR(posicao_contratual!A137="",NOT(ISNUMBER(posicao_contratual!B137)),NOT(ISNUMBER(posicao_contratual!O137))),"",ROUND(posicao_contratual!B137*posicao_contratual!O137,2))</f>
        <v/>
      </c>
      <c r="F139" s="195" t="str">
        <f>IF(OR(posicao_contratual!A137="",NOT(ISNUMBER(posicao_contratual!B137)),NOT(ISNUMBER(posicao_contratual!S137))),"",ROUND(posicao_contratual!B137*posicao_contratual!S137,2))</f>
        <v/>
      </c>
      <c r="G139" s="195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195" t="str">
        <f>IF(posicao_contratual!A138="","",posicao_contratual!B138)</f>
        <v/>
      </c>
      <c r="C140" s="195" t="str">
        <f>IF(OR(posicao_contratual!A138="",NOT(ISNUMBER(posicao_contratual!B138)),NOT(ISNUMBER(posicao_contratual!G138))),"",ROUND(posicao_contratual!B138*posicao_contratual!G138,2))</f>
        <v/>
      </c>
      <c r="D140" s="195" t="str">
        <f>IF(OR(posicao_contratual!A138="",NOT(ISNUMBER(posicao_contratual!B138)),NOT(ISNUMBER(posicao_contratual!K138))),"",ROUND(posicao_contratual!B138*posicao_contratual!K138,2))</f>
        <v/>
      </c>
      <c r="E140" s="195" t="str">
        <f>IF(OR(posicao_contratual!A138="",NOT(ISNUMBER(posicao_contratual!B138)),NOT(ISNUMBER(posicao_contratual!O138))),"",ROUND(posicao_contratual!B138*posicao_contratual!O138,2))</f>
        <v/>
      </c>
      <c r="F140" s="195" t="str">
        <f>IF(OR(posicao_contratual!A138="",NOT(ISNUMBER(posicao_contratual!B138)),NOT(ISNUMBER(posicao_contratual!S138))),"",ROUND(posicao_contratual!B138*posicao_contratual!S138,2))</f>
        <v/>
      </c>
      <c r="G140" s="195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195" t="str">
        <f>IF(posicao_contratual!A139="","",posicao_contratual!B139)</f>
        <v/>
      </c>
      <c r="C141" s="195" t="str">
        <f>IF(OR(posicao_contratual!A139="",NOT(ISNUMBER(posicao_contratual!B139)),NOT(ISNUMBER(posicao_contratual!G139))),"",ROUND(posicao_contratual!B139*posicao_contratual!G139,2))</f>
        <v/>
      </c>
      <c r="D141" s="195" t="str">
        <f>IF(OR(posicao_contratual!A139="",NOT(ISNUMBER(posicao_contratual!B139)),NOT(ISNUMBER(posicao_contratual!K139))),"",ROUND(posicao_contratual!B139*posicao_contratual!K139,2))</f>
        <v/>
      </c>
      <c r="E141" s="195" t="str">
        <f>IF(OR(posicao_contratual!A139="",NOT(ISNUMBER(posicao_contratual!B139)),NOT(ISNUMBER(posicao_contratual!O139))),"",ROUND(posicao_contratual!B139*posicao_contratual!O139,2))</f>
        <v/>
      </c>
      <c r="F141" s="195" t="str">
        <f>IF(OR(posicao_contratual!A139="",NOT(ISNUMBER(posicao_contratual!B139)),NOT(ISNUMBER(posicao_contratual!S139))),"",ROUND(posicao_contratual!B139*posicao_contratual!S139,2))</f>
        <v/>
      </c>
      <c r="G141" s="195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195" t="str">
        <f>IF(posicao_contratual!A140="","",posicao_contratual!B140)</f>
        <v/>
      </c>
      <c r="C142" s="195" t="str">
        <f>IF(OR(posicao_contratual!A140="",NOT(ISNUMBER(posicao_contratual!B140)),NOT(ISNUMBER(posicao_contratual!G140))),"",ROUND(posicao_contratual!B140*posicao_contratual!G140,2))</f>
        <v/>
      </c>
      <c r="D142" s="195" t="str">
        <f>IF(OR(posicao_contratual!A140="",NOT(ISNUMBER(posicao_contratual!B140)),NOT(ISNUMBER(posicao_contratual!K140))),"",ROUND(posicao_contratual!B140*posicao_contratual!K140,2))</f>
        <v/>
      </c>
      <c r="E142" s="195" t="str">
        <f>IF(OR(posicao_contratual!A140="",NOT(ISNUMBER(posicao_contratual!B140)),NOT(ISNUMBER(posicao_contratual!O140))),"",ROUND(posicao_contratual!B140*posicao_contratual!O140,2))</f>
        <v/>
      </c>
      <c r="F142" s="195" t="str">
        <f>IF(OR(posicao_contratual!A140="",NOT(ISNUMBER(posicao_contratual!B140)),NOT(ISNUMBER(posicao_contratual!S140))),"",ROUND(posicao_contratual!B140*posicao_contratual!S140,2))</f>
        <v/>
      </c>
      <c r="G142" s="195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195" t="str">
        <f>IF(posicao_contratual!A141="","",posicao_contratual!B141)</f>
        <v/>
      </c>
      <c r="C143" s="195" t="str">
        <f>IF(OR(posicao_contratual!A141="",NOT(ISNUMBER(posicao_contratual!B141)),NOT(ISNUMBER(posicao_contratual!G141))),"",ROUND(posicao_contratual!B141*posicao_contratual!G141,2))</f>
        <v/>
      </c>
      <c r="D143" s="195" t="str">
        <f>IF(OR(posicao_contratual!A141="",NOT(ISNUMBER(posicao_contratual!B141)),NOT(ISNUMBER(posicao_contratual!K141))),"",ROUND(posicao_contratual!B141*posicao_contratual!K141,2))</f>
        <v/>
      </c>
      <c r="E143" s="195" t="str">
        <f>IF(OR(posicao_contratual!A141="",NOT(ISNUMBER(posicao_contratual!B141)),NOT(ISNUMBER(posicao_contratual!O141))),"",ROUND(posicao_contratual!B141*posicao_contratual!O141,2))</f>
        <v/>
      </c>
      <c r="F143" s="195" t="str">
        <f>IF(OR(posicao_contratual!A141="",NOT(ISNUMBER(posicao_contratual!B141)),NOT(ISNUMBER(posicao_contratual!S141))),"",ROUND(posicao_contratual!B141*posicao_contratual!S141,2))</f>
        <v/>
      </c>
      <c r="G143" s="195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195" t="str">
        <f>IF(posicao_contratual!A142="","",posicao_contratual!B142)</f>
        <v/>
      </c>
      <c r="C144" s="195" t="str">
        <f>IF(OR(posicao_contratual!A142="",NOT(ISNUMBER(posicao_contratual!B142)),NOT(ISNUMBER(posicao_contratual!G142))),"",ROUND(posicao_contratual!B142*posicao_contratual!G142,2))</f>
        <v/>
      </c>
      <c r="D144" s="195" t="str">
        <f>IF(OR(posicao_contratual!A142="",NOT(ISNUMBER(posicao_contratual!B142)),NOT(ISNUMBER(posicao_contratual!K142))),"",ROUND(posicao_contratual!B142*posicao_contratual!K142,2))</f>
        <v/>
      </c>
      <c r="E144" s="195" t="str">
        <f>IF(OR(posicao_contratual!A142="",NOT(ISNUMBER(posicao_contratual!B142)),NOT(ISNUMBER(posicao_contratual!O142))),"",ROUND(posicao_contratual!B142*posicao_contratual!O142,2))</f>
        <v/>
      </c>
      <c r="F144" s="195" t="str">
        <f>IF(OR(posicao_contratual!A142="",NOT(ISNUMBER(posicao_contratual!B142)),NOT(ISNUMBER(posicao_contratual!S142))),"",ROUND(posicao_contratual!B142*posicao_contratual!S142,2))</f>
        <v/>
      </c>
      <c r="G144" s="195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195" t="str">
        <f>IF(posicao_contratual!A143="","",posicao_contratual!B143)</f>
        <v/>
      </c>
      <c r="C145" s="195" t="str">
        <f>IF(OR(posicao_contratual!A143="",NOT(ISNUMBER(posicao_contratual!B143)),NOT(ISNUMBER(posicao_contratual!G143))),"",ROUND(posicao_contratual!B143*posicao_contratual!G143,2))</f>
        <v/>
      </c>
      <c r="D145" s="195" t="str">
        <f>IF(OR(posicao_contratual!A143="",NOT(ISNUMBER(posicao_contratual!B143)),NOT(ISNUMBER(posicao_contratual!K143))),"",ROUND(posicao_contratual!B143*posicao_contratual!K143,2))</f>
        <v/>
      </c>
      <c r="E145" s="195" t="str">
        <f>IF(OR(posicao_contratual!A143="",NOT(ISNUMBER(posicao_contratual!B143)),NOT(ISNUMBER(posicao_contratual!O143))),"",ROUND(posicao_contratual!B143*posicao_contratual!O143,2))</f>
        <v/>
      </c>
      <c r="F145" s="195" t="str">
        <f>IF(OR(posicao_contratual!A143="",NOT(ISNUMBER(posicao_contratual!B143)),NOT(ISNUMBER(posicao_contratual!S143))),"",ROUND(posicao_contratual!B143*posicao_contratual!S143,2))</f>
        <v/>
      </c>
      <c r="G145" s="195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195" t="str">
        <f>IF(posicao_contratual!A144="","",posicao_contratual!B144)</f>
        <v/>
      </c>
      <c r="C146" s="195" t="str">
        <f>IF(OR(posicao_contratual!A144="",NOT(ISNUMBER(posicao_contratual!B144)),NOT(ISNUMBER(posicao_contratual!G144))),"",ROUND(posicao_contratual!B144*posicao_contratual!G144,2))</f>
        <v/>
      </c>
      <c r="D146" s="195" t="str">
        <f>IF(OR(posicao_contratual!A144="",NOT(ISNUMBER(posicao_contratual!B144)),NOT(ISNUMBER(posicao_contratual!K144))),"",ROUND(posicao_contratual!B144*posicao_contratual!K144,2))</f>
        <v/>
      </c>
      <c r="E146" s="195" t="str">
        <f>IF(OR(posicao_contratual!A144="",NOT(ISNUMBER(posicao_contratual!B144)),NOT(ISNUMBER(posicao_contratual!O144))),"",ROUND(posicao_contratual!B144*posicao_contratual!O144,2))</f>
        <v/>
      </c>
      <c r="F146" s="195" t="str">
        <f>IF(OR(posicao_contratual!A144="",NOT(ISNUMBER(posicao_contratual!B144)),NOT(ISNUMBER(posicao_contratual!S144))),"",ROUND(posicao_contratual!B144*posicao_contratual!S144,2))</f>
        <v/>
      </c>
      <c r="G146" s="195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195" t="str">
        <f>IF(posicao_contratual!A145="","",posicao_contratual!B145)</f>
        <v/>
      </c>
      <c r="C147" s="195" t="str">
        <f>IF(OR(posicao_contratual!A145="",NOT(ISNUMBER(posicao_contratual!B145)),NOT(ISNUMBER(posicao_contratual!G145))),"",ROUND(posicao_contratual!B145*posicao_contratual!G145,2))</f>
        <v/>
      </c>
      <c r="D147" s="195" t="str">
        <f>IF(OR(posicao_contratual!A145="",NOT(ISNUMBER(posicao_contratual!B145)),NOT(ISNUMBER(posicao_contratual!K145))),"",ROUND(posicao_contratual!B145*posicao_contratual!K145,2))</f>
        <v/>
      </c>
      <c r="E147" s="195" t="str">
        <f>IF(OR(posicao_contratual!A145="",NOT(ISNUMBER(posicao_contratual!B145)),NOT(ISNUMBER(posicao_contratual!O145))),"",ROUND(posicao_contratual!B145*posicao_contratual!O145,2))</f>
        <v/>
      </c>
      <c r="F147" s="195" t="str">
        <f>IF(OR(posicao_contratual!A145="",NOT(ISNUMBER(posicao_contratual!B145)),NOT(ISNUMBER(posicao_contratual!S145))),"",ROUND(posicao_contratual!B145*posicao_contratual!S145,2))</f>
        <v/>
      </c>
      <c r="G147" s="195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195" t="str">
        <f>IF(posicao_contratual!A146="","",posicao_contratual!B146)</f>
        <v/>
      </c>
      <c r="C148" s="195" t="str">
        <f>IF(OR(posicao_contratual!A146="",NOT(ISNUMBER(posicao_contratual!B146)),NOT(ISNUMBER(posicao_contratual!G146))),"",ROUND(posicao_contratual!B146*posicao_contratual!G146,2))</f>
        <v/>
      </c>
      <c r="D148" s="195" t="str">
        <f>IF(OR(posicao_contratual!A146="",NOT(ISNUMBER(posicao_contratual!B146)),NOT(ISNUMBER(posicao_contratual!K146))),"",ROUND(posicao_contratual!B146*posicao_contratual!K146,2))</f>
        <v/>
      </c>
      <c r="E148" s="195" t="str">
        <f>IF(OR(posicao_contratual!A146="",NOT(ISNUMBER(posicao_contratual!B146)),NOT(ISNUMBER(posicao_contratual!O146))),"",ROUND(posicao_contratual!B146*posicao_contratual!O146,2))</f>
        <v/>
      </c>
      <c r="F148" s="195" t="str">
        <f>IF(OR(posicao_contratual!A146="",NOT(ISNUMBER(posicao_contratual!B146)),NOT(ISNUMBER(posicao_contratual!S146))),"",ROUND(posicao_contratual!B146*posicao_contratual!S146,2))</f>
        <v/>
      </c>
      <c r="G148" s="195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195" t="str">
        <f>IF(posicao_contratual!A147="","",posicao_contratual!B147)</f>
        <v/>
      </c>
      <c r="C149" s="195" t="str">
        <f>IF(OR(posicao_contratual!A147="",NOT(ISNUMBER(posicao_contratual!B147)),NOT(ISNUMBER(posicao_contratual!G147))),"",ROUND(posicao_contratual!B147*posicao_contratual!G147,2))</f>
        <v/>
      </c>
      <c r="D149" s="195" t="str">
        <f>IF(OR(posicao_contratual!A147="",NOT(ISNUMBER(posicao_contratual!B147)),NOT(ISNUMBER(posicao_contratual!K147))),"",ROUND(posicao_contratual!B147*posicao_contratual!K147,2))</f>
        <v/>
      </c>
      <c r="E149" s="195" t="str">
        <f>IF(OR(posicao_contratual!A147="",NOT(ISNUMBER(posicao_contratual!B147)),NOT(ISNUMBER(posicao_contratual!O147))),"",ROUND(posicao_contratual!B147*posicao_contratual!O147,2))</f>
        <v/>
      </c>
      <c r="F149" s="195" t="str">
        <f>IF(OR(posicao_contratual!A147="",NOT(ISNUMBER(posicao_contratual!B147)),NOT(ISNUMBER(posicao_contratual!S147))),"",ROUND(posicao_contratual!B147*posicao_contratual!S147,2))</f>
        <v/>
      </c>
      <c r="G149" s="195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195" t="str">
        <f>IF(posicao_contratual!A148="","",posicao_contratual!B148)</f>
        <v/>
      </c>
      <c r="C150" s="195" t="str">
        <f>IF(OR(posicao_contratual!A148="",NOT(ISNUMBER(posicao_contratual!B148)),NOT(ISNUMBER(posicao_contratual!G148))),"",ROUND(posicao_contratual!B148*posicao_contratual!G148,2))</f>
        <v/>
      </c>
      <c r="D150" s="195" t="str">
        <f>IF(OR(posicao_contratual!A148="",NOT(ISNUMBER(posicao_contratual!B148)),NOT(ISNUMBER(posicao_contratual!K148))),"",ROUND(posicao_contratual!B148*posicao_contratual!K148,2))</f>
        <v/>
      </c>
      <c r="E150" s="195" t="str">
        <f>IF(OR(posicao_contratual!A148="",NOT(ISNUMBER(posicao_contratual!B148)),NOT(ISNUMBER(posicao_contratual!O148))),"",ROUND(posicao_contratual!B148*posicao_contratual!O148,2))</f>
        <v/>
      </c>
      <c r="F150" s="195" t="str">
        <f>IF(OR(posicao_contratual!A148="",NOT(ISNUMBER(posicao_contratual!B148)),NOT(ISNUMBER(posicao_contratual!S148))),"",ROUND(posicao_contratual!B148*posicao_contratual!S148,2))</f>
        <v/>
      </c>
      <c r="G150" s="195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195" t="str">
        <f>IF(posicao_contratual!A149="","",posicao_contratual!B149)</f>
        <v/>
      </c>
      <c r="C151" s="195" t="str">
        <f>IF(OR(posicao_contratual!A149="",NOT(ISNUMBER(posicao_contratual!B149)),NOT(ISNUMBER(posicao_contratual!G149))),"",ROUND(posicao_contratual!B149*posicao_contratual!G149,2))</f>
        <v/>
      </c>
      <c r="D151" s="195" t="str">
        <f>IF(OR(posicao_contratual!A149="",NOT(ISNUMBER(posicao_contratual!B149)),NOT(ISNUMBER(posicao_contratual!K149))),"",ROUND(posicao_contratual!B149*posicao_contratual!K149,2))</f>
        <v/>
      </c>
      <c r="E151" s="195" t="str">
        <f>IF(OR(posicao_contratual!A149="",NOT(ISNUMBER(posicao_contratual!B149)),NOT(ISNUMBER(posicao_contratual!O149))),"",ROUND(posicao_contratual!B149*posicao_contratual!O149,2))</f>
        <v/>
      </c>
      <c r="F151" s="195" t="str">
        <f>IF(OR(posicao_contratual!A149="",NOT(ISNUMBER(posicao_contratual!B149)),NOT(ISNUMBER(posicao_contratual!S149))),"",ROUND(posicao_contratual!B149*posicao_contratual!S149,2))</f>
        <v/>
      </c>
      <c r="G151" s="195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195" t="str">
        <f>IF(posicao_contratual!A150="","",posicao_contratual!B150)</f>
        <v/>
      </c>
      <c r="C152" s="195" t="str">
        <f>IF(OR(posicao_contratual!A150="",NOT(ISNUMBER(posicao_contratual!B150)),NOT(ISNUMBER(posicao_contratual!G150))),"",ROUND(posicao_contratual!B150*posicao_contratual!G150,2))</f>
        <v/>
      </c>
      <c r="D152" s="195" t="str">
        <f>IF(OR(posicao_contratual!A150="",NOT(ISNUMBER(posicao_contratual!B150)),NOT(ISNUMBER(posicao_contratual!K150))),"",ROUND(posicao_contratual!B150*posicao_contratual!K150,2))</f>
        <v/>
      </c>
      <c r="E152" s="195" t="str">
        <f>IF(OR(posicao_contratual!A150="",NOT(ISNUMBER(posicao_contratual!B150)),NOT(ISNUMBER(posicao_contratual!O150))),"",ROUND(posicao_contratual!B150*posicao_contratual!O150,2))</f>
        <v/>
      </c>
      <c r="F152" s="195" t="str">
        <f>IF(OR(posicao_contratual!A150="",NOT(ISNUMBER(posicao_contratual!B150)),NOT(ISNUMBER(posicao_contratual!S150))),"",ROUND(posicao_contratual!B150*posicao_contratual!S150,2))</f>
        <v/>
      </c>
      <c r="G152" s="195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195" t="str">
        <f>IF(posicao_contratual!A151="","",posicao_contratual!B151)</f>
        <v/>
      </c>
      <c r="C153" s="195" t="str">
        <f>IF(OR(posicao_contratual!A151="",NOT(ISNUMBER(posicao_contratual!B151)),NOT(ISNUMBER(posicao_contratual!G151))),"",ROUND(posicao_contratual!B151*posicao_contratual!G151,2))</f>
        <v/>
      </c>
      <c r="D153" s="195" t="str">
        <f>IF(OR(posicao_contratual!A151="",NOT(ISNUMBER(posicao_contratual!B151)),NOT(ISNUMBER(posicao_contratual!K151))),"",ROUND(posicao_contratual!B151*posicao_contratual!K151,2))</f>
        <v/>
      </c>
      <c r="E153" s="195" t="str">
        <f>IF(OR(posicao_contratual!A151="",NOT(ISNUMBER(posicao_contratual!B151)),NOT(ISNUMBER(posicao_contratual!O151))),"",ROUND(posicao_contratual!B151*posicao_contratual!O151,2))</f>
        <v/>
      </c>
      <c r="F153" s="195" t="str">
        <f>IF(OR(posicao_contratual!A151="",NOT(ISNUMBER(posicao_contratual!B151)),NOT(ISNUMBER(posicao_contratual!S151))),"",ROUND(posicao_contratual!B151*posicao_contratual!S151,2))</f>
        <v/>
      </c>
      <c r="G153" s="195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195" t="str">
        <f>IF(posicao_contratual!A152="","",posicao_contratual!B152)</f>
        <v/>
      </c>
      <c r="C154" s="195" t="str">
        <f>IF(OR(posicao_contratual!A152="",NOT(ISNUMBER(posicao_contratual!B152)),NOT(ISNUMBER(posicao_contratual!G152))),"",ROUND(posicao_contratual!B152*posicao_contratual!G152,2))</f>
        <v/>
      </c>
      <c r="D154" s="195" t="str">
        <f>IF(OR(posicao_contratual!A152="",NOT(ISNUMBER(posicao_contratual!B152)),NOT(ISNUMBER(posicao_contratual!K152))),"",ROUND(posicao_contratual!B152*posicao_contratual!K152,2))</f>
        <v/>
      </c>
      <c r="E154" s="195" t="str">
        <f>IF(OR(posicao_contratual!A152="",NOT(ISNUMBER(posicao_contratual!B152)),NOT(ISNUMBER(posicao_contratual!O152))),"",ROUND(posicao_contratual!B152*posicao_contratual!O152,2))</f>
        <v/>
      </c>
      <c r="F154" s="195" t="str">
        <f>IF(OR(posicao_contratual!A152="",NOT(ISNUMBER(posicao_contratual!B152)),NOT(ISNUMBER(posicao_contratual!S152))),"",ROUND(posicao_contratual!B152*posicao_contratual!S152,2))</f>
        <v/>
      </c>
      <c r="G154" s="195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195" t="str">
        <f>IF(posicao_contratual!A153="","",posicao_contratual!B153)</f>
        <v/>
      </c>
      <c r="C155" s="195" t="str">
        <f>IF(OR(posicao_contratual!A153="",NOT(ISNUMBER(posicao_contratual!B153)),NOT(ISNUMBER(posicao_contratual!G153))),"",ROUND(posicao_contratual!B153*posicao_contratual!G153,2))</f>
        <v/>
      </c>
      <c r="D155" s="195" t="str">
        <f>IF(OR(posicao_contratual!A153="",NOT(ISNUMBER(posicao_contratual!B153)),NOT(ISNUMBER(posicao_contratual!K153))),"",ROUND(posicao_contratual!B153*posicao_contratual!K153,2))</f>
        <v/>
      </c>
      <c r="E155" s="195" t="str">
        <f>IF(OR(posicao_contratual!A153="",NOT(ISNUMBER(posicao_contratual!B153)),NOT(ISNUMBER(posicao_contratual!O153))),"",ROUND(posicao_contratual!B153*posicao_contratual!O153,2))</f>
        <v/>
      </c>
      <c r="F155" s="195" t="str">
        <f>IF(OR(posicao_contratual!A153="",NOT(ISNUMBER(posicao_contratual!B153)),NOT(ISNUMBER(posicao_contratual!S153))),"",ROUND(posicao_contratual!B153*posicao_contratual!S153,2))</f>
        <v/>
      </c>
      <c r="G155" s="195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195" t="str">
        <f>IF(posicao_contratual!A154="","",posicao_contratual!B154)</f>
        <v/>
      </c>
      <c r="C156" s="195" t="str">
        <f>IF(OR(posicao_contratual!A154="",NOT(ISNUMBER(posicao_contratual!B154)),NOT(ISNUMBER(posicao_contratual!G154))),"",ROUND(posicao_contratual!B154*posicao_contratual!G154,2))</f>
        <v/>
      </c>
      <c r="D156" s="195" t="str">
        <f>IF(OR(posicao_contratual!A154="",NOT(ISNUMBER(posicao_contratual!B154)),NOT(ISNUMBER(posicao_contratual!K154))),"",ROUND(posicao_contratual!B154*posicao_contratual!K154,2))</f>
        <v/>
      </c>
      <c r="E156" s="195" t="str">
        <f>IF(OR(posicao_contratual!A154="",NOT(ISNUMBER(posicao_contratual!B154)),NOT(ISNUMBER(posicao_contratual!O154))),"",ROUND(posicao_contratual!B154*posicao_contratual!O154,2))</f>
        <v/>
      </c>
      <c r="F156" s="195" t="str">
        <f>IF(OR(posicao_contratual!A154="",NOT(ISNUMBER(posicao_contratual!B154)),NOT(ISNUMBER(posicao_contratual!S154))),"",ROUND(posicao_contratual!B154*posicao_contratual!S154,2))</f>
        <v/>
      </c>
      <c r="G156" s="195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195" t="str">
        <f>IF(posicao_contratual!A155="","",posicao_contratual!B155)</f>
        <v/>
      </c>
      <c r="C157" s="195" t="str">
        <f>IF(OR(posicao_contratual!A155="",NOT(ISNUMBER(posicao_contratual!B155)),NOT(ISNUMBER(posicao_contratual!G155))),"",ROUND(posicao_contratual!B155*posicao_contratual!G155,2))</f>
        <v/>
      </c>
      <c r="D157" s="195" t="str">
        <f>IF(OR(posicao_contratual!A155="",NOT(ISNUMBER(posicao_contratual!B155)),NOT(ISNUMBER(posicao_contratual!K155))),"",ROUND(posicao_contratual!B155*posicao_contratual!K155,2))</f>
        <v/>
      </c>
      <c r="E157" s="195" t="str">
        <f>IF(OR(posicao_contratual!A155="",NOT(ISNUMBER(posicao_contratual!B155)),NOT(ISNUMBER(posicao_contratual!O155))),"",ROUND(posicao_contratual!B155*posicao_contratual!O155,2))</f>
        <v/>
      </c>
      <c r="F157" s="195" t="str">
        <f>IF(OR(posicao_contratual!A155="",NOT(ISNUMBER(posicao_contratual!B155)),NOT(ISNUMBER(posicao_contratual!S155))),"",ROUND(posicao_contratual!B155*posicao_contratual!S155,2))</f>
        <v/>
      </c>
      <c r="G157" s="195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195" t="str">
        <f>IF(posicao_contratual!A156="","",posicao_contratual!B156)</f>
        <v/>
      </c>
      <c r="C158" s="195" t="str">
        <f>IF(OR(posicao_contratual!A156="",NOT(ISNUMBER(posicao_contratual!B156)),NOT(ISNUMBER(posicao_contratual!G156))),"",ROUND(posicao_contratual!B156*posicao_contratual!G156,2))</f>
        <v/>
      </c>
      <c r="D158" s="195" t="str">
        <f>IF(OR(posicao_contratual!A156="",NOT(ISNUMBER(posicao_contratual!B156)),NOT(ISNUMBER(posicao_contratual!K156))),"",ROUND(posicao_contratual!B156*posicao_contratual!K156,2))</f>
        <v/>
      </c>
      <c r="E158" s="195" t="str">
        <f>IF(OR(posicao_contratual!A156="",NOT(ISNUMBER(posicao_contratual!B156)),NOT(ISNUMBER(posicao_contratual!O156))),"",ROUND(posicao_contratual!B156*posicao_contratual!O156,2))</f>
        <v/>
      </c>
      <c r="F158" s="195" t="str">
        <f>IF(OR(posicao_contratual!A156="",NOT(ISNUMBER(posicao_contratual!B156)),NOT(ISNUMBER(posicao_contratual!S156))),"",ROUND(posicao_contratual!B156*posicao_contratual!S156,2))</f>
        <v/>
      </c>
      <c r="G158" s="195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195" t="str">
        <f>IF(posicao_contratual!A157="","",posicao_contratual!B157)</f>
        <v/>
      </c>
      <c r="C159" s="195" t="str">
        <f>IF(OR(posicao_contratual!A157="",NOT(ISNUMBER(posicao_contratual!B157)),NOT(ISNUMBER(posicao_contratual!G157))),"",ROUND(posicao_contratual!B157*posicao_contratual!G157,2))</f>
        <v/>
      </c>
      <c r="D159" s="195" t="str">
        <f>IF(OR(posicao_contratual!A157="",NOT(ISNUMBER(posicao_contratual!B157)),NOT(ISNUMBER(posicao_contratual!K157))),"",ROUND(posicao_contratual!B157*posicao_contratual!K157,2))</f>
        <v/>
      </c>
      <c r="E159" s="195" t="str">
        <f>IF(OR(posicao_contratual!A157="",NOT(ISNUMBER(posicao_contratual!B157)),NOT(ISNUMBER(posicao_contratual!O157))),"",ROUND(posicao_contratual!B157*posicao_contratual!O157,2))</f>
        <v/>
      </c>
      <c r="F159" s="195" t="str">
        <f>IF(OR(posicao_contratual!A157="",NOT(ISNUMBER(posicao_contratual!B157)),NOT(ISNUMBER(posicao_contratual!S157))),"",ROUND(posicao_contratual!B157*posicao_contratual!S157,2))</f>
        <v/>
      </c>
      <c r="G159" s="195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195" t="str">
        <f>IF(posicao_contratual!A158="","",posicao_contratual!B158)</f>
        <v/>
      </c>
      <c r="C160" s="195" t="str">
        <f>IF(OR(posicao_contratual!A158="",NOT(ISNUMBER(posicao_contratual!B158)),NOT(ISNUMBER(posicao_contratual!G158))),"",ROUND(posicao_contratual!B158*posicao_contratual!G158,2))</f>
        <v/>
      </c>
      <c r="D160" s="195" t="str">
        <f>IF(OR(posicao_contratual!A158="",NOT(ISNUMBER(posicao_contratual!B158)),NOT(ISNUMBER(posicao_contratual!K158))),"",ROUND(posicao_contratual!B158*posicao_contratual!K158,2))</f>
        <v/>
      </c>
      <c r="E160" s="195" t="str">
        <f>IF(OR(posicao_contratual!A158="",NOT(ISNUMBER(posicao_contratual!B158)),NOT(ISNUMBER(posicao_contratual!O158))),"",ROUND(posicao_contratual!B158*posicao_contratual!O158,2))</f>
        <v/>
      </c>
      <c r="F160" s="195" t="str">
        <f>IF(OR(posicao_contratual!A158="",NOT(ISNUMBER(posicao_contratual!B158)),NOT(ISNUMBER(posicao_contratual!S158))),"",ROUND(posicao_contratual!B158*posicao_contratual!S158,2))</f>
        <v/>
      </c>
      <c r="G160" s="195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195" t="str">
        <f>IF(posicao_contratual!A159="","",posicao_contratual!B159)</f>
        <v/>
      </c>
      <c r="C161" s="195" t="str">
        <f>IF(OR(posicao_contratual!A159="",NOT(ISNUMBER(posicao_contratual!B159)),NOT(ISNUMBER(posicao_contratual!G159))),"",ROUND(posicao_contratual!B159*posicao_contratual!G159,2))</f>
        <v/>
      </c>
      <c r="D161" s="195" t="str">
        <f>IF(OR(posicao_contratual!A159="",NOT(ISNUMBER(posicao_contratual!B159)),NOT(ISNUMBER(posicao_contratual!K159))),"",ROUND(posicao_contratual!B159*posicao_contratual!K159,2))</f>
        <v/>
      </c>
      <c r="E161" s="195" t="str">
        <f>IF(OR(posicao_contratual!A159="",NOT(ISNUMBER(posicao_contratual!B159)),NOT(ISNUMBER(posicao_contratual!O159))),"",ROUND(posicao_contratual!B159*posicao_contratual!O159,2))</f>
        <v/>
      </c>
      <c r="F161" s="195" t="str">
        <f>IF(OR(posicao_contratual!A159="",NOT(ISNUMBER(posicao_contratual!B159)),NOT(ISNUMBER(posicao_contratual!S159))),"",ROUND(posicao_contratual!B159*posicao_contratual!S159,2))</f>
        <v/>
      </c>
      <c r="G161" s="195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195" t="str">
        <f>IF(posicao_contratual!A160="","",posicao_contratual!B160)</f>
        <v/>
      </c>
      <c r="C162" s="195" t="str">
        <f>IF(OR(posicao_contratual!A160="",NOT(ISNUMBER(posicao_contratual!B160)),NOT(ISNUMBER(posicao_contratual!G160))),"",ROUND(posicao_contratual!B160*posicao_contratual!G160,2))</f>
        <v/>
      </c>
      <c r="D162" s="195" t="str">
        <f>IF(OR(posicao_contratual!A160="",NOT(ISNUMBER(posicao_contratual!B160)),NOT(ISNUMBER(posicao_contratual!K160))),"",ROUND(posicao_contratual!B160*posicao_contratual!K160,2))</f>
        <v/>
      </c>
      <c r="E162" s="195" t="str">
        <f>IF(OR(posicao_contratual!A160="",NOT(ISNUMBER(posicao_contratual!B160)),NOT(ISNUMBER(posicao_contratual!O160))),"",ROUND(posicao_contratual!B160*posicao_contratual!O160,2))</f>
        <v/>
      </c>
      <c r="F162" s="195" t="str">
        <f>IF(OR(posicao_contratual!A160="",NOT(ISNUMBER(posicao_contratual!B160)),NOT(ISNUMBER(posicao_contratual!S160))),"",ROUND(posicao_contratual!B160*posicao_contratual!S160,2))</f>
        <v/>
      </c>
      <c r="G162" s="195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195" t="str">
        <f>IF(posicao_contratual!A161="","",posicao_contratual!B161)</f>
        <v/>
      </c>
      <c r="C163" s="195" t="str">
        <f>IF(OR(posicao_contratual!A161="",NOT(ISNUMBER(posicao_contratual!B161)),NOT(ISNUMBER(posicao_contratual!G161))),"",ROUND(posicao_contratual!B161*posicao_contratual!G161,2))</f>
        <v/>
      </c>
      <c r="D163" s="195" t="str">
        <f>IF(OR(posicao_contratual!A161="",NOT(ISNUMBER(posicao_contratual!B161)),NOT(ISNUMBER(posicao_contratual!K161))),"",ROUND(posicao_contratual!B161*posicao_contratual!K161,2))</f>
        <v/>
      </c>
      <c r="E163" s="195" t="str">
        <f>IF(OR(posicao_contratual!A161="",NOT(ISNUMBER(posicao_contratual!B161)),NOT(ISNUMBER(posicao_contratual!O161))),"",ROUND(posicao_contratual!B161*posicao_contratual!O161,2))</f>
        <v/>
      </c>
      <c r="F163" s="195" t="str">
        <f>IF(OR(posicao_contratual!A161="",NOT(ISNUMBER(posicao_contratual!B161)),NOT(ISNUMBER(posicao_contratual!S161))),"",ROUND(posicao_contratual!B161*posicao_contratual!S161,2))</f>
        <v/>
      </c>
      <c r="G163" s="195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195" t="str">
        <f>IF(posicao_contratual!A162="","",posicao_contratual!B162)</f>
        <v/>
      </c>
      <c r="C164" s="195" t="str">
        <f>IF(OR(posicao_contratual!A162="",NOT(ISNUMBER(posicao_contratual!B162)),NOT(ISNUMBER(posicao_contratual!G162))),"",ROUND(posicao_contratual!B162*posicao_contratual!G162,2))</f>
        <v/>
      </c>
      <c r="D164" s="195" t="str">
        <f>IF(OR(posicao_contratual!A162="",NOT(ISNUMBER(posicao_contratual!B162)),NOT(ISNUMBER(posicao_contratual!K162))),"",ROUND(posicao_contratual!B162*posicao_contratual!K162,2))</f>
        <v/>
      </c>
      <c r="E164" s="195" t="str">
        <f>IF(OR(posicao_contratual!A162="",NOT(ISNUMBER(posicao_contratual!B162)),NOT(ISNUMBER(posicao_contratual!O162))),"",ROUND(posicao_contratual!B162*posicao_contratual!O162,2))</f>
        <v/>
      </c>
      <c r="F164" s="195" t="str">
        <f>IF(OR(posicao_contratual!A162="",NOT(ISNUMBER(posicao_contratual!B162)),NOT(ISNUMBER(posicao_contratual!S162))),"",ROUND(posicao_contratual!B162*posicao_contratual!S162,2))</f>
        <v/>
      </c>
      <c r="G164" s="195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195" t="str">
        <f>IF(posicao_contratual!A163="","",posicao_contratual!B163)</f>
        <v/>
      </c>
      <c r="C165" s="195" t="str">
        <f>IF(OR(posicao_contratual!A163="",NOT(ISNUMBER(posicao_contratual!B163)),NOT(ISNUMBER(posicao_contratual!G163))),"",ROUND(posicao_contratual!B163*posicao_contratual!G163,2))</f>
        <v/>
      </c>
      <c r="D165" s="195" t="str">
        <f>IF(OR(posicao_contratual!A163="",NOT(ISNUMBER(posicao_contratual!B163)),NOT(ISNUMBER(posicao_contratual!K163))),"",ROUND(posicao_contratual!B163*posicao_contratual!K163,2))</f>
        <v/>
      </c>
      <c r="E165" s="195" t="str">
        <f>IF(OR(posicao_contratual!A163="",NOT(ISNUMBER(posicao_contratual!B163)),NOT(ISNUMBER(posicao_contratual!O163))),"",ROUND(posicao_contratual!B163*posicao_contratual!O163,2))</f>
        <v/>
      </c>
      <c r="F165" s="195" t="str">
        <f>IF(OR(posicao_contratual!A163="",NOT(ISNUMBER(posicao_contratual!B163)),NOT(ISNUMBER(posicao_contratual!S163))),"",ROUND(posicao_contratual!B163*posicao_contratual!S163,2))</f>
        <v/>
      </c>
      <c r="G165" s="195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195" t="str">
        <f>IF(posicao_contratual!A164="","",posicao_contratual!B164)</f>
        <v/>
      </c>
      <c r="C166" s="195" t="str">
        <f>IF(OR(posicao_contratual!A164="",NOT(ISNUMBER(posicao_contratual!B164)),NOT(ISNUMBER(posicao_contratual!G164))),"",ROUND(posicao_contratual!B164*posicao_contratual!G164,2))</f>
        <v/>
      </c>
      <c r="D166" s="195" t="str">
        <f>IF(OR(posicao_contratual!A164="",NOT(ISNUMBER(posicao_contratual!B164)),NOT(ISNUMBER(posicao_contratual!K164))),"",ROUND(posicao_contratual!B164*posicao_contratual!K164,2))</f>
        <v/>
      </c>
      <c r="E166" s="195" t="str">
        <f>IF(OR(posicao_contratual!A164="",NOT(ISNUMBER(posicao_contratual!B164)),NOT(ISNUMBER(posicao_contratual!O164))),"",ROUND(posicao_contratual!B164*posicao_contratual!O164,2))</f>
        <v/>
      </c>
      <c r="F166" s="195" t="str">
        <f>IF(OR(posicao_contratual!A164="",NOT(ISNUMBER(posicao_contratual!B164)),NOT(ISNUMBER(posicao_contratual!S164))),"",ROUND(posicao_contratual!B164*posicao_contratual!S164,2))</f>
        <v/>
      </c>
      <c r="G166" s="195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195" t="str">
        <f>IF(posicao_contratual!A165="","",posicao_contratual!B165)</f>
        <v/>
      </c>
      <c r="C167" s="195" t="str">
        <f>IF(OR(posicao_contratual!A165="",NOT(ISNUMBER(posicao_contratual!B165)),NOT(ISNUMBER(posicao_contratual!G165))),"",ROUND(posicao_contratual!B165*posicao_contratual!G165,2))</f>
        <v/>
      </c>
      <c r="D167" s="195" t="str">
        <f>IF(OR(posicao_contratual!A165="",NOT(ISNUMBER(posicao_contratual!B165)),NOT(ISNUMBER(posicao_contratual!K165))),"",ROUND(posicao_contratual!B165*posicao_contratual!K165,2))</f>
        <v/>
      </c>
      <c r="E167" s="195" t="str">
        <f>IF(OR(posicao_contratual!A165="",NOT(ISNUMBER(posicao_contratual!B165)),NOT(ISNUMBER(posicao_contratual!O165))),"",ROUND(posicao_contratual!B165*posicao_contratual!O165,2))</f>
        <v/>
      </c>
      <c r="F167" s="195" t="str">
        <f>IF(OR(posicao_contratual!A165="",NOT(ISNUMBER(posicao_contratual!B165)),NOT(ISNUMBER(posicao_contratual!S165))),"",ROUND(posicao_contratual!B165*posicao_contratual!S165,2))</f>
        <v/>
      </c>
      <c r="G167" s="195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195" t="str">
        <f>IF(posicao_contratual!A166="","",posicao_contratual!B166)</f>
        <v/>
      </c>
      <c r="C168" s="195" t="str">
        <f>IF(OR(posicao_contratual!A166="",NOT(ISNUMBER(posicao_contratual!B166)),NOT(ISNUMBER(posicao_contratual!G166))),"",ROUND(posicao_contratual!B166*posicao_contratual!G166,2))</f>
        <v/>
      </c>
      <c r="D168" s="195" t="str">
        <f>IF(OR(posicao_contratual!A166="",NOT(ISNUMBER(posicao_contratual!B166)),NOT(ISNUMBER(posicao_contratual!K166))),"",ROUND(posicao_contratual!B166*posicao_contratual!K166,2))</f>
        <v/>
      </c>
      <c r="E168" s="195" t="str">
        <f>IF(OR(posicao_contratual!A166="",NOT(ISNUMBER(posicao_contratual!B166)),NOT(ISNUMBER(posicao_contratual!O166))),"",ROUND(posicao_contratual!B166*posicao_contratual!O166,2))</f>
        <v/>
      </c>
      <c r="F168" s="195" t="str">
        <f>IF(OR(posicao_contratual!A166="",NOT(ISNUMBER(posicao_contratual!B166)),NOT(ISNUMBER(posicao_contratual!S166))),"",ROUND(posicao_contratual!B166*posicao_contratual!S166,2))</f>
        <v/>
      </c>
      <c r="G168" s="195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195" t="str">
        <f>IF(posicao_contratual!A167="","",posicao_contratual!B167)</f>
        <v/>
      </c>
      <c r="C169" s="195" t="str">
        <f>IF(OR(posicao_contratual!A167="",NOT(ISNUMBER(posicao_contratual!B167)),NOT(ISNUMBER(posicao_contratual!G167))),"",ROUND(posicao_contratual!B167*posicao_contratual!G167,2))</f>
        <v/>
      </c>
      <c r="D169" s="195" t="str">
        <f>IF(OR(posicao_contratual!A167="",NOT(ISNUMBER(posicao_contratual!B167)),NOT(ISNUMBER(posicao_contratual!K167))),"",ROUND(posicao_contratual!B167*posicao_contratual!K167,2))</f>
        <v/>
      </c>
      <c r="E169" s="195" t="str">
        <f>IF(OR(posicao_contratual!A167="",NOT(ISNUMBER(posicao_contratual!B167)),NOT(ISNUMBER(posicao_contratual!O167))),"",ROUND(posicao_contratual!B167*posicao_contratual!O167,2))</f>
        <v/>
      </c>
      <c r="F169" s="195" t="str">
        <f>IF(OR(posicao_contratual!A167="",NOT(ISNUMBER(posicao_contratual!B167)),NOT(ISNUMBER(posicao_contratual!S167))),"",ROUND(posicao_contratual!B167*posicao_contratual!S167,2))</f>
        <v/>
      </c>
      <c r="G169" s="195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195" t="str">
        <f>IF(posicao_contratual!A168="","",posicao_contratual!B168)</f>
        <v/>
      </c>
      <c r="C170" s="195" t="str">
        <f>IF(OR(posicao_contratual!A168="",NOT(ISNUMBER(posicao_contratual!B168)),NOT(ISNUMBER(posicao_contratual!G168))),"",ROUND(posicao_contratual!B168*posicao_contratual!G168,2))</f>
        <v/>
      </c>
      <c r="D170" s="195" t="str">
        <f>IF(OR(posicao_contratual!A168="",NOT(ISNUMBER(posicao_contratual!B168)),NOT(ISNUMBER(posicao_contratual!K168))),"",ROUND(posicao_contratual!B168*posicao_contratual!K168,2))</f>
        <v/>
      </c>
      <c r="E170" s="195" t="str">
        <f>IF(OR(posicao_contratual!A168="",NOT(ISNUMBER(posicao_contratual!B168)),NOT(ISNUMBER(posicao_contratual!O168))),"",ROUND(posicao_contratual!B168*posicao_contratual!O168,2))</f>
        <v/>
      </c>
      <c r="F170" s="195" t="str">
        <f>IF(OR(posicao_contratual!A168="",NOT(ISNUMBER(posicao_contratual!B168)),NOT(ISNUMBER(posicao_contratual!S168))),"",ROUND(posicao_contratual!B168*posicao_contratual!S168,2))</f>
        <v/>
      </c>
      <c r="G170" s="195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195" t="str">
        <f>IF(posicao_contratual!A169="","",posicao_contratual!B169)</f>
        <v/>
      </c>
      <c r="C171" s="195" t="str">
        <f>IF(OR(posicao_contratual!A169="",NOT(ISNUMBER(posicao_contratual!B169)),NOT(ISNUMBER(posicao_contratual!G169))),"",ROUND(posicao_contratual!B169*posicao_contratual!G169,2))</f>
        <v/>
      </c>
      <c r="D171" s="195" t="str">
        <f>IF(OR(posicao_contratual!A169="",NOT(ISNUMBER(posicao_contratual!B169)),NOT(ISNUMBER(posicao_contratual!K169))),"",ROUND(posicao_contratual!B169*posicao_contratual!K169,2))</f>
        <v/>
      </c>
      <c r="E171" s="195" t="str">
        <f>IF(OR(posicao_contratual!A169="",NOT(ISNUMBER(posicao_contratual!B169)),NOT(ISNUMBER(posicao_contratual!O169))),"",ROUND(posicao_contratual!B169*posicao_contratual!O169,2))</f>
        <v/>
      </c>
      <c r="F171" s="195" t="str">
        <f>IF(OR(posicao_contratual!A169="",NOT(ISNUMBER(posicao_contratual!B169)),NOT(ISNUMBER(posicao_contratual!S169))),"",ROUND(posicao_contratual!B169*posicao_contratual!S169,2))</f>
        <v/>
      </c>
      <c r="G171" s="195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195" t="str">
        <f>IF(posicao_contratual!A170="","",posicao_contratual!B170)</f>
        <v/>
      </c>
      <c r="C172" s="195" t="str">
        <f>IF(OR(posicao_contratual!A170="",NOT(ISNUMBER(posicao_contratual!B170)),NOT(ISNUMBER(posicao_contratual!G170))),"",ROUND(posicao_contratual!B170*posicao_contratual!G170,2))</f>
        <v/>
      </c>
      <c r="D172" s="195" t="str">
        <f>IF(OR(posicao_contratual!A170="",NOT(ISNUMBER(posicao_contratual!B170)),NOT(ISNUMBER(posicao_contratual!K170))),"",ROUND(posicao_contratual!B170*posicao_contratual!K170,2))</f>
        <v/>
      </c>
      <c r="E172" s="195" t="str">
        <f>IF(OR(posicao_contratual!A170="",NOT(ISNUMBER(posicao_contratual!B170)),NOT(ISNUMBER(posicao_contratual!O170))),"",ROUND(posicao_contratual!B170*posicao_contratual!O170,2))</f>
        <v/>
      </c>
      <c r="F172" s="195" t="str">
        <f>IF(OR(posicao_contratual!A170="",NOT(ISNUMBER(posicao_contratual!B170)),NOT(ISNUMBER(posicao_contratual!S170))),"",ROUND(posicao_contratual!B170*posicao_contratual!S170,2))</f>
        <v/>
      </c>
      <c r="G172" s="195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195" t="str">
        <f>IF(posicao_contratual!A171="","",posicao_contratual!B171)</f>
        <v/>
      </c>
      <c r="C173" s="195" t="str">
        <f>IF(OR(posicao_contratual!A171="",NOT(ISNUMBER(posicao_contratual!B171)),NOT(ISNUMBER(posicao_contratual!G171))),"",ROUND(posicao_contratual!B171*posicao_contratual!G171,2))</f>
        <v/>
      </c>
      <c r="D173" s="195" t="str">
        <f>IF(OR(posicao_contratual!A171="",NOT(ISNUMBER(posicao_contratual!B171)),NOT(ISNUMBER(posicao_contratual!K171))),"",ROUND(posicao_contratual!B171*posicao_contratual!K171,2))</f>
        <v/>
      </c>
      <c r="E173" s="195" t="str">
        <f>IF(OR(posicao_contratual!A171="",NOT(ISNUMBER(posicao_contratual!B171)),NOT(ISNUMBER(posicao_contratual!O171))),"",ROUND(posicao_contratual!B171*posicao_contratual!O171,2))</f>
        <v/>
      </c>
      <c r="F173" s="195" t="str">
        <f>IF(OR(posicao_contratual!A171="",NOT(ISNUMBER(posicao_contratual!B171)),NOT(ISNUMBER(posicao_contratual!S171))),"",ROUND(posicao_contratual!B171*posicao_contratual!S171,2))</f>
        <v/>
      </c>
      <c r="G173" s="195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195" t="str">
        <f>IF(posicao_contratual!A172="","",posicao_contratual!B172)</f>
        <v/>
      </c>
      <c r="C174" s="195" t="str">
        <f>IF(OR(posicao_contratual!A172="",NOT(ISNUMBER(posicao_contratual!B172)),NOT(ISNUMBER(posicao_contratual!G172))),"",ROUND(posicao_contratual!B172*posicao_contratual!G172,2))</f>
        <v/>
      </c>
      <c r="D174" s="195" t="str">
        <f>IF(OR(posicao_contratual!A172="",NOT(ISNUMBER(posicao_contratual!B172)),NOT(ISNUMBER(posicao_contratual!K172))),"",ROUND(posicao_contratual!B172*posicao_contratual!K172,2))</f>
        <v/>
      </c>
      <c r="E174" s="195" t="str">
        <f>IF(OR(posicao_contratual!A172="",NOT(ISNUMBER(posicao_contratual!B172)),NOT(ISNUMBER(posicao_contratual!O172))),"",ROUND(posicao_contratual!B172*posicao_contratual!O172,2))</f>
        <v/>
      </c>
      <c r="F174" s="195" t="str">
        <f>IF(OR(posicao_contratual!A172="",NOT(ISNUMBER(posicao_contratual!B172)),NOT(ISNUMBER(posicao_contratual!S172))),"",ROUND(posicao_contratual!B172*posicao_contratual!S172,2))</f>
        <v/>
      </c>
      <c r="G174" s="195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195" t="str">
        <f>IF(posicao_contratual!A173="","",posicao_contratual!B173)</f>
        <v/>
      </c>
      <c r="C175" s="195" t="str">
        <f>IF(OR(posicao_contratual!A173="",NOT(ISNUMBER(posicao_contratual!B173)),NOT(ISNUMBER(posicao_contratual!G173))),"",ROUND(posicao_contratual!B173*posicao_contratual!G173,2))</f>
        <v/>
      </c>
      <c r="D175" s="195" t="str">
        <f>IF(OR(posicao_contratual!A173="",NOT(ISNUMBER(posicao_contratual!B173)),NOT(ISNUMBER(posicao_contratual!K173))),"",ROUND(posicao_contratual!B173*posicao_contratual!K173,2))</f>
        <v/>
      </c>
      <c r="E175" s="195" t="str">
        <f>IF(OR(posicao_contratual!A173="",NOT(ISNUMBER(posicao_contratual!B173)),NOT(ISNUMBER(posicao_contratual!O173))),"",ROUND(posicao_contratual!B173*posicao_contratual!O173,2))</f>
        <v/>
      </c>
      <c r="F175" s="195" t="str">
        <f>IF(OR(posicao_contratual!A173="",NOT(ISNUMBER(posicao_contratual!B173)),NOT(ISNUMBER(posicao_contratual!S173))),"",ROUND(posicao_contratual!B173*posicao_contratual!S173,2))</f>
        <v/>
      </c>
      <c r="G175" s="195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195" t="str">
        <f>IF(posicao_contratual!A174="","",posicao_contratual!B174)</f>
        <v/>
      </c>
      <c r="C176" s="195" t="str">
        <f>IF(OR(posicao_contratual!A174="",NOT(ISNUMBER(posicao_contratual!B174)),NOT(ISNUMBER(posicao_contratual!G174))),"",ROUND(posicao_contratual!B174*posicao_contratual!G174,2))</f>
        <v/>
      </c>
      <c r="D176" s="195" t="str">
        <f>IF(OR(posicao_contratual!A174="",NOT(ISNUMBER(posicao_contratual!B174)),NOT(ISNUMBER(posicao_contratual!K174))),"",ROUND(posicao_contratual!B174*posicao_contratual!K174,2))</f>
        <v/>
      </c>
      <c r="E176" s="195" t="str">
        <f>IF(OR(posicao_contratual!A174="",NOT(ISNUMBER(posicao_contratual!B174)),NOT(ISNUMBER(posicao_contratual!O174))),"",ROUND(posicao_contratual!B174*posicao_contratual!O174,2))</f>
        <v/>
      </c>
      <c r="F176" s="195" t="str">
        <f>IF(OR(posicao_contratual!A174="",NOT(ISNUMBER(posicao_contratual!B174)),NOT(ISNUMBER(posicao_contratual!S174))),"",ROUND(posicao_contratual!B174*posicao_contratual!S174,2))</f>
        <v/>
      </c>
      <c r="G176" s="195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195" t="str">
        <f>IF(posicao_contratual!A175="","",posicao_contratual!B175)</f>
        <v/>
      </c>
      <c r="C177" s="195" t="str">
        <f>IF(OR(posicao_contratual!A175="",NOT(ISNUMBER(posicao_contratual!B175)),NOT(ISNUMBER(posicao_contratual!G175))),"",ROUND(posicao_contratual!B175*posicao_contratual!G175,2))</f>
        <v/>
      </c>
      <c r="D177" s="195" t="str">
        <f>IF(OR(posicao_contratual!A175="",NOT(ISNUMBER(posicao_contratual!B175)),NOT(ISNUMBER(posicao_contratual!K175))),"",ROUND(posicao_contratual!B175*posicao_contratual!K175,2))</f>
        <v/>
      </c>
      <c r="E177" s="195" t="str">
        <f>IF(OR(posicao_contratual!A175="",NOT(ISNUMBER(posicao_contratual!B175)),NOT(ISNUMBER(posicao_contratual!O175))),"",ROUND(posicao_contratual!B175*posicao_contratual!O175,2))</f>
        <v/>
      </c>
      <c r="F177" s="195" t="str">
        <f>IF(OR(posicao_contratual!A175="",NOT(ISNUMBER(posicao_contratual!B175)),NOT(ISNUMBER(posicao_contratual!S175))),"",ROUND(posicao_contratual!B175*posicao_contratual!S175,2))</f>
        <v/>
      </c>
      <c r="G177" s="195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195" t="str">
        <f>IF(posicao_contratual!A176="","",posicao_contratual!B176)</f>
        <v/>
      </c>
      <c r="C178" s="195" t="str">
        <f>IF(OR(posicao_contratual!A176="",NOT(ISNUMBER(posicao_contratual!B176)),NOT(ISNUMBER(posicao_contratual!G176))),"",ROUND(posicao_contratual!B176*posicao_contratual!G176,2))</f>
        <v/>
      </c>
      <c r="D178" s="195" t="str">
        <f>IF(OR(posicao_contratual!A176="",NOT(ISNUMBER(posicao_contratual!B176)),NOT(ISNUMBER(posicao_contratual!K176))),"",ROUND(posicao_contratual!B176*posicao_contratual!K176,2))</f>
        <v/>
      </c>
      <c r="E178" s="195" t="str">
        <f>IF(OR(posicao_contratual!A176="",NOT(ISNUMBER(posicao_contratual!B176)),NOT(ISNUMBER(posicao_contratual!O176))),"",ROUND(posicao_contratual!B176*posicao_contratual!O176,2))</f>
        <v/>
      </c>
      <c r="F178" s="195" t="str">
        <f>IF(OR(posicao_contratual!A176="",NOT(ISNUMBER(posicao_contratual!B176)),NOT(ISNUMBER(posicao_contratual!S176))),"",ROUND(posicao_contratual!B176*posicao_contratual!S176,2))</f>
        <v/>
      </c>
      <c r="G178" s="195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195" t="str">
        <f>IF(posicao_contratual!A177="","",posicao_contratual!B177)</f>
        <v/>
      </c>
      <c r="C179" s="195" t="str">
        <f>IF(OR(posicao_contratual!A177="",NOT(ISNUMBER(posicao_contratual!B177)),NOT(ISNUMBER(posicao_contratual!G177))),"",ROUND(posicao_contratual!B177*posicao_contratual!G177,2))</f>
        <v/>
      </c>
      <c r="D179" s="195" t="str">
        <f>IF(OR(posicao_contratual!A177="",NOT(ISNUMBER(posicao_contratual!B177)),NOT(ISNUMBER(posicao_contratual!K177))),"",ROUND(posicao_contratual!B177*posicao_contratual!K177,2))</f>
        <v/>
      </c>
      <c r="E179" s="195" t="str">
        <f>IF(OR(posicao_contratual!A177="",NOT(ISNUMBER(posicao_contratual!B177)),NOT(ISNUMBER(posicao_contratual!O177))),"",ROUND(posicao_contratual!B177*posicao_contratual!O177,2))</f>
        <v/>
      </c>
      <c r="F179" s="195" t="str">
        <f>IF(OR(posicao_contratual!A177="",NOT(ISNUMBER(posicao_contratual!B177)),NOT(ISNUMBER(posicao_contratual!S177))),"",ROUND(posicao_contratual!B177*posicao_contratual!S177,2))</f>
        <v/>
      </c>
      <c r="G179" s="195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195" t="str">
        <f>IF(posicao_contratual!A178="","",posicao_contratual!B178)</f>
        <v/>
      </c>
      <c r="C180" s="195" t="str">
        <f>IF(OR(posicao_contratual!A178="",NOT(ISNUMBER(posicao_contratual!B178)),NOT(ISNUMBER(posicao_contratual!G178))),"",ROUND(posicao_contratual!B178*posicao_contratual!G178,2))</f>
        <v/>
      </c>
      <c r="D180" s="195" t="str">
        <f>IF(OR(posicao_contratual!A178="",NOT(ISNUMBER(posicao_contratual!B178)),NOT(ISNUMBER(posicao_contratual!K178))),"",ROUND(posicao_contratual!B178*posicao_contratual!K178,2))</f>
        <v/>
      </c>
      <c r="E180" s="195" t="str">
        <f>IF(OR(posicao_contratual!A178="",NOT(ISNUMBER(posicao_contratual!B178)),NOT(ISNUMBER(posicao_contratual!O178))),"",ROUND(posicao_contratual!B178*posicao_contratual!O178,2))</f>
        <v/>
      </c>
      <c r="F180" s="195" t="str">
        <f>IF(OR(posicao_contratual!A178="",NOT(ISNUMBER(posicao_contratual!B178)),NOT(ISNUMBER(posicao_contratual!S178))),"",ROUND(posicao_contratual!B178*posicao_contratual!S178,2))</f>
        <v/>
      </c>
      <c r="G180" s="195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195" t="str">
        <f>IF(posicao_contratual!A179="","",posicao_contratual!B179)</f>
        <v/>
      </c>
      <c r="C181" s="195" t="str">
        <f>IF(OR(posicao_contratual!A179="",NOT(ISNUMBER(posicao_contratual!B179)),NOT(ISNUMBER(posicao_contratual!G179))),"",ROUND(posicao_contratual!B179*posicao_contratual!G179,2))</f>
        <v/>
      </c>
      <c r="D181" s="195" t="str">
        <f>IF(OR(posicao_contratual!A179="",NOT(ISNUMBER(posicao_contratual!B179)),NOT(ISNUMBER(posicao_contratual!K179))),"",ROUND(posicao_contratual!B179*posicao_contratual!K179,2))</f>
        <v/>
      </c>
      <c r="E181" s="195" t="str">
        <f>IF(OR(posicao_contratual!A179="",NOT(ISNUMBER(posicao_contratual!B179)),NOT(ISNUMBER(posicao_contratual!O179))),"",ROUND(posicao_contratual!B179*posicao_contratual!O179,2))</f>
        <v/>
      </c>
      <c r="F181" s="195" t="str">
        <f>IF(OR(posicao_contratual!A179="",NOT(ISNUMBER(posicao_contratual!B179)),NOT(ISNUMBER(posicao_contratual!S179))),"",ROUND(posicao_contratual!B179*posicao_contratual!S179,2))</f>
        <v/>
      </c>
      <c r="G181" s="195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195" t="str">
        <f>IF(posicao_contratual!A180="","",posicao_contratual!B180)</f>
        <v/>
      </c>
      <c r="C182" s="195" t="str">
        <f>IF(OR(posicao_contratual!A180="",NOT(ISNUMBER(posicao_contratual!B180)),NOT(ISNUMBER(posicao_contratual!G180))),"",ROUND(posicao_contratual!B180*posicao_contratual!G180,2))</f>
        <v/>
      </c>
      <c r="D182" s="195" t="str">
        <f>IF(OR(posicao_contratual!A180="",NOT(ISNUMBER(posicao_contratual!B180)),NOT(ISNUMBER(posicao_contratual!K180))),"",ROUND(posicao_contratual!B180*posicao_contratual!K180,2))</f>
        <v/>
      </c>
      <c r="E182" s="195" t="str">
        <f>IF(OR(posicao_contratual!A180="",NOT(ISNUMBER(posicao_contratual!B180)),NOT(ISNUMBER(posicao_contratual!O180))),"",ROUND(posicao_contratual!B180*posicao_contratual!O180,2))</f>
        <v/>
      </c>
      <c r="F182" s="195" t="str">
        <f>IF(OR(posicao_contratual!A180="",NOT(ISNUMBER(posicao_contratual!B180)),NOT(ISNUMBER(posicao_contratual!S180))),"",ROUND(posicao_contratual!B180*posicao_contratual!S180,2))</f>
        <v/>
      </c>
      <c r="G182" s="195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195" t="str">
        <f>IF(posicao_contratual!A181="","",posicao_contratual!B181)</f>
        <v/>
      </c>
      <c r="C183" s="195" t="str">
        <f>IF(OR(posicao_contratual!A181="",NOT(ISNUMBER(posicao_contratual!B181)),NOT(ISNUMBER(posicao_contratual!G181))),"",ROUND(posicao_contratual!B181*posicao_contratual!G181,2))</f>
        <v/>
      </c>
      <c r="D183" s="195" t="str">
        <f>IF(OR(posicao_contratual!A181="",NOT(ISNUMBER(posicao_contratual!B181)),NOT(ISNUMBER(posicao_contratual!K181))),"",ROUND(posicao_contratual!B181*posicao_contratual!K181,2))</f>
        <v/>
      </c>
      <c r="E183" s="195" t="str">
        <f>IF(OR(posicao_contratual!A181="",NOT(ISNUMBER(posicao_contratual!B181)),NOT(ISNUMBER(posicao_contratual!O181))),"",ROUND(posicao_contratual!B181*posicao_contratual!O181,2))</f>
        <v/>
      </c>
      <c r="F183" s="195" t="str">
        <f>IF(OR(posicao_contratual!A181="",NOT(ISNUMBER(posicao_contratual!B181)),NOT(ISNUMBER(posicao_contratual!S181))),"",ROUND(posicao_contratual!B181*posicao_contratual!S181,2))</f>
        <v/>
      </c>
      <c r="G183" s="195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195" t="str">
        <f>IF(posicao_contratual!A182="","",posicao_contratual!B182)</f>
        <v/>
      </c>
      <c r="C184" s="195" t="str">
        <f>IF(OR(posicao_contratual!A182="",NOT(ISNUMBER(posicao_contratual!B182)),NOT(ISNUMBER(posicao_contratual!G182))),"",ROUND(posicao_contratual!B182*posicao_contratual!G182,2))</f>
        <v/>
      </c>
      <c r="D184" s="195" t="str">
        <f>IF(OR(posicao_contratual!A182="",NOT(ISNUMBER(posicao_contratual!B182)),NOT(ISNUMBER(posicao_contratual!K182))),"",ROUND(posicao_contratual!B182*posicao_contratual!K182,2))</f>
        <v/>
      </c>
      <c r="E184" s="195" t="str">
        <f>IF(OR(posicao_contratual!A182="",NOT(ISNUMBER(posicao_contratual!B182)),NOT(ISNUMBER(posicao_contratual!O182))),"",ROUND(posicao_contratual!B182*posicao_contratual!O182,2))</f>
        <v/>
      </c>
      <c r="F184" s="195" t="str">
        <f>IF(OR(posicao_contratual!A182="",NOT(ISNUMBER(posicao_contratual!B182)),NOT(ISNUMBER(posicao_contratual!S182))),"",ROUND(posicao_contratual!B182*posicao_contratual!S182,2))</f>
        <v/>
      </c>
      <c r="G184" s="195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195" t="str">
        <f>IF(posicao_contratual!A183="","",posicao_contratual!B183)</f>
        <v/>
      </c>
      <c r="C185" s="195" t="str">
        <f>IF(OR(posicao_contratual!A183="",NOT(ISNUMBER(posicao_contratual!B183)),NOT(ISNUMBER(posicao_contratual!G183))),"",ROUND(posicao_contratual!B183*posicao_contratual!G183,2))</f>
        <v/>
      </c>
      <c r="D185" s="195" t="str">
        <f>IF(OR(posicao_contratual!A183="",NOT(ISNUMBER(posicao_contratual!B183)),NOT(ISNUMBER(posicao_contratual!K183))),"",ROUND(posicao_contratual!B183*posicao_contratual!K183,2))</f>
        <v/>
      </c>
      <c r="E185" s="195" t="str">
        <f>IF(OR(posicao_contratual!A183="",NOT(ISNUMBER(posicao_contratual!B183)),NOT(ISNUMBER(posicao_contratual!O183))),"",ROUND(posicao_contratual!B183*posicao_contratual!O183,2))</f>
        <v/>
      </c>
      <c r="F185" s="195" t="str">
        <f>IF(OR(posicao_contratual!A183="",NOT(ISNUMBER(posicao_contratual!B183)),NOT(ISNUMBER(posicao_contratual!S183))),"",ROUND(posicao_contratual!B183*posicao_contratual!S183,2))</f>
        <v/>
      </c>
      <c r="G185" s="195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195" t="str">
        <f>IF(posicao_contratual!A184="","",posicao_contratual!B184)</f>
        <v/>
      </c>
      <c r="C186" s="195" t="str">
        <f>IF(OR(posicao_contratual!A184="",NOT(ISNUMBER(posicao_contratual!B184)),NOT(ISNUMBER(posicao_contratual!G184))),"",ROUND(posicao_contratual!B184*posicao_contratual!G184,2))</f>
        <v/>
      </c>
      <c r="D186" s="195" t="str">
        <f>IF(OR(posicao_contratual!A184="",NOT(ISNUMBER(posicao_contratual!B184)),NOT(ISNUMBER(posicao_contratual!K184))),"",ROUND(posicao_contratual!B184*posicao_contratual!K184,2))</f>
        <v/>
      </c>
      <c r="E186" s="195" t="str">
        <f>IF(OR(posicao_contratual!A184="",NOT(ISNUMBER(posicao_contratual!B184)),NOT(ISNUMBER(posicao_contratual!O184))),"",ROUND(posicao_contratual!B184*posicao_contratual!O184,2))</f>
        <v/>
      </c>
      <c r="F186" s="195" t="str">
        <f>IF(OR(posicao_contratual!A184="",NOT(ISNUMBER(posicao_contratual!B184)),NOT(ISNUMBER(posicao_contratual!S184))),"",ROUND(posicao_contratual!B184*posicao_contratual!S184,2))</f>
        <v/>
      </c>
      <c r="G186" s="195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195" t="str">
        <f>IF(posicao_contratual!A185="","",posicao_contratual!B185)</f>
        <v/>
      </c>
      <c r="C187" s="195" t="str">
        <f>IF(OR(posicao_contratual!A185="",NOT(ISNUMBER(posicao_contratual!B185)),NOT(ISNUMBER(posicao_contratual!G185))),"",ROUND(posicao_contratual!B185*posicao_contratual!G185,2))</f>
        <v/>
      </c>
      <c r="D187" s="195" t="str">
        <f>IF(OR(posicao_contratual!A185="",NOT(ISNUMBER(posicao_contratual!B185)),NOT(ISNUMBER(posicao_contratual!K185))),"",ROUND(posicao_contratual!B185*posicao_contratual!K185,2))</f>
        <v/>
      </c>
      <c r="E187" s="195" t="str">
        <f>IF(OR(posicao_contratual!A185="",NOT(ISNUMBER(posicao_contratual!B185)),NOT(ISNUMBER(posicao_contratual!O185))),"",ROUND(posicao_contratual!B185*posicao_contratual!O185,2))</f>
        <v/>
      </c>
      <c r="F187" s="195" t="str">
        <f>IF(OR(posicao_contratual!A185="",NOT(ISNUMBER(posicao_contratual!B185)),NOT(ISNUMBER(posicao_contratual!S185))),"",ROUND(posicao_contratual!B185*posicao_contratual!S185,2))</f>
        <v/>
      </c>
      <c r="G187" s="195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195" t="str">
        <f>IF(posicao_contratual!A186="","",posicao_contratual!B186)</f>
        <v/>
      </c>
      <c r="C188" s="195" t="str">
        <f>IF(OR(posicao_contratual!A186="",NOT(ISNUMBER(posicao_contratual!B186)),NOT(ISNUMBER(posicao_contratual!G186))),"",ROUND(posicao_contratual!B186*posicao_contratual!G186,2))</f>
        <v/>
      </c>
      <c r="D188" s="195" t="str">
        <f>IF(OR(posicao_contratual!A186="",NOT(ISNUMBER(posicao_contratual!B186)),NOT(ISNUMBER(posicao_contratual!K186))),"",ROUND(posicao_contratual!B186*posicao_contratual!K186,2))</f>
        <v/>
      </c>
      <c r="E188" s="195" t="str">
        <f>IF(OR(posicao_contratual!A186="",NOT(ISNUMBER(posicao_contratual!B186)),NOT(ISNUMBER(posicao_contratual!O186))),"",ROUND(posicao_contratual!B186*posicao_contratual!O186,2))</f>
        <v/>
      </c>
      <c r="F188" s="195" t="str">
        <f>IF(OR(posicao_contratual!A186="",NOT(ISNUMBER(posicao_contratual!B186)),NOT(ISNUMBER(posicao_contratual!S186))),"",ROUND(posicao_contratual!B186*posicao_contratual!S186,2))</f>
        <v/>
      </c>
      <c r="G188" s="195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195" t="str">
        <f>IF(posicao_contratual!A187="","",posicao_contratual!B187)</f>
        <v/>
      </c>
      <c r="C189" s="195" t="str">
        <f>IF(OR(posicao_contratual!A187="",NOT(ISNUMBER(posicao_contratual!B187)),NOT(ISNUMBER(posicao_contratual!G187))),"",ROUND(posicao_contratual!B187*posicao_contratual!G187,2))</f>
        <v/>
      </c>
      <c r="D189" s="195" t="str">
        <f>IF(OR(posicao_contratual!A187="",NOT(ISNUMBER(posicao_contratual!B187)),NOT(ISNUMBER(posicao_contratual!K187))),"",ROUND(posicao_contratual!B187*posicao_contratual!K187,2))</f>
        <v/>
      </c>
      <c r="E189" s="195" t="str">
        <f>IF(OR(posicao_contratual!A187="",NOT(ISNUMBER(posicao_contratual!B187)),NOT(ISNUMBER(posicao_contratual!O187))),"",ROUND(posicao_contratual!B187*posicao_contratual!O187,2))</f>
        <v/>
      </c>
      <c r="F189" s="195" t="str">
        <f>IF(OR(posicao_contratual!A187="",NOT(ISNUMBER(posicao_contratual!B187)),NOT(ISNUMBER(posicao_contratual!S187))),"",ROUND(posicao_contratual!B187*posicao_contratual!S187,2))</f>
        <v/>
      </c>
      <c r="G189" s="195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195" t="str">
        <f>IF(posicao_contratual!A188="","",posicao_contratual!B188)</f>
        <v/>
      </c>
      <c r="C190" s="195" t="str">
        <f>IF(OR(posicao_contratual!A188="",NOT(ISNUMBER(posicao_contratual!B188)),NOT(ISNUMBER(posicao_contratual!G188))),"",ROUND(posicao_contratual!B188*posicao_contratual!G188,2))</f>
        <v/>
      </c>
      <c r="D190" s="195" t="str">
        <f>IF(OR(posicao_contratual!A188="",NOT(ISNUMBER(posicao_contratual!B188)),NOT(ISNUMBER(posicao_contratual!K188))),"",ROUND(posicao_contratual!B188*posicao_contratual!K188,2))</f>
        <v/>
      </c>
      <c r="E190" s="195" t="str">
        <f>IF(OR(posicao_contratual!A188="",NOT(ISNUMBER(posicao_contratual!B188)),NOT(ISNUMBER(posicao_contratual!O188))),"",ROUND(posicao_contratual!B188*posicao_contratual!O188,2))</f>
        <v/>
      </c>
      <c r="F190" s="195" t="str">
        <f>IF(OR(posicao_contratual!A188="",NOT(ISNUMBER(posicao_contratual!B188)),NOT(ISNUMBER(posicao_contratual!S188))),"",ROUND(posicao_contratual!B188*posicao_contratual!S188,2))</f>
        <v/>
      </c>
      <c r="G190" s="195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195" t="str">
        <f>IF(posicao_contratual!A189="","",posicao_contratual!B189)</f>
        <v/>
      </c>
      <c r="C191" s="195" t="str">
        <f>IF(OR(posicao_contratual!A189="",NOT(ISNUMBER(posicao_contratual!B189)),NOT(ISNUMBER(posicao_contratual!G189))),"",ROUND(posicao_contratual!B189*posicao_contratual!G189,2))</f>
        <v/>
      </c>
      <c r="D191" s="195" t="str">
        <f>IF(OR(posicao_contratual!A189="",NOT(ISNUMBER(posicao_contratual!B189)),NOT(ISNUMBER(posicao_contratual!K189))),"",ROUND(posicao_contratual!B189*posicao_contratual!K189,2))</f>
        <v/>
      </c>
      <c r="E191" s="195" t="str">
        <f>IF(OR(posicao_contratual!A189="",NOT(ISNUMBER(posicao_contratual!B189)),NOT(ISNUMBER(posicao_contratual!O189))),"",ROUND(posicao_contratual!B189*posicao_contratual!O189,2))</f>
        <v/>
      </c>
      <c r="F191" s="195" t="str">
        <f>IF(OR(posicao_contratual!A189="",NOT(ISNUMBER(posicao_contratual!B189)),NOT(ISNUMBER(posicao_contratual!S189))),"",ROUND(posicao_contratual!B189*posicao_contratual!S189,2))</f>
        <v/>
      </c>
      <c r="G191" s="195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195" t="str">
        <f>IF(posicao_contratual!A190="","",posicao_contratual!B190)</f>
        <v/>
      </c>
      <c r="C192" s="195" t="str">
        <f>IF(OR(posicao_contratual!A190="",NOT(ISNUMBER(posicao_contratual!B190)),NOT(ISNUMBER(posicao_contratual!G190))),"",ROUND(posicao_contratual!B190*posicao_contratual!G190,2))</f>
        <v/>
      </c>
      <c r="D192" s="195" t="str">
        <f>IF(OR(posicao_contratual!A190="",NOT(ISNUMBER(posicao_contratual!B190)),NOT(ISNUMBER(posicao_contratual!K190))),"",ROUND(posicao_contratual!B190*posicao_contratual!K190,2))</f>
        <v/>
      </c>
      <c r="E192" s="195" t="str">
        <f>IF(OR(posicao_contratual!A190="",NOT(ISNUMBER(posicao_contratual!B190)),NOT(ISNUMBER(posicao_contratual!O190))),"",ROUND(posicao_contratual!B190*posicao_contratual!O190,2))</f>
        <v/>
      </c>
      <c r="F192" s="195" t="str">
        <f>IF(OR(posicao_contratual!A190="",NOT(ISNUMBER(posicao_contratual!B190)),NOT(ISNUMBER(posicao_contratual!S190))),"",ROUND(posicao_contratual!B190*posicao_contratual!S190,2))</f>
        <v/>
      </c>
      <c r="G192" s="195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195" t="str">
        <f>IF(posicao_contratual!A191="","",posicao_contratual!B191)</f>
        <v/>
      </c>
      <c r="C193" s="195" t="str">
        <f>IF(OR(posicao_contratual!A191="",NOT(ISNUMBER(posicao_contratual!B191)),NOT(ISNUMBER(posicao_contratual!G191))),"",ROUND(posicao_contratual!B191*posicao_contratual!G191,2))</f>
        <v/>
      </c>
      <c r="D193" s="195" t="str">
        <f>IF(OR(posicao_contratual!A191="",NOT(ISNUMBER(posicao_contratual!B191)),NOT(ISNUMBER(posicao_contratual!K191))),"",ROUND(posicao_contratual!B191*posicao_contratual!K191,2))</f>
        <v/>
      </c>
      <c r="E193" s="195" t="str">
        <f>IF(OR(posicao_contratual!A191="",NOT(ISNUMBER(posicao_contratual!B191)),NOT(ISNUMBER(posicao_contratual!O191))),"",ROUND(posicao_contratual!B191*posicao_contratual!O191,2))</f>
        <v/>
      </c>
      <c r="F193" s="195" t="str">
        <f>IF(OR(posicao_contratual!A191="",NOT(ISNUMBER(posicao_contratual!B191)),NOT(ISNUMBER(posicao_contratual!S191))),"",ROUND(posicao_contratual!B191*posicao_contratual!S191,2))</f>
        <v/>
      </c>
      <c r="G193" s="195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195" t="str">
        <f>IF(posicao_contratual!A192="","",posicao_contratual!B192)</f>
        <v/>
      </c>
      <c r="C194" s="195" t="str">
        <f>IF(OR(posicao_contratual!A192="",NOT(ISNUMBER(posicao_contratual!B192)),NOT(ISNUMBER(posicao_contratual!G192))),"",ROUND(posicao_contratual!B192*posicao_contratual!G192,2))</f>
        <v/>
      </c>
      <c r="D194" s="195" t="str">
        <f>IF(OR(posicao_contratual!A192="",NOT(ISNUMBER(posicao_contratual!B192)),NOT(ISNUMBER(posicao_contratual!K192))),"",ROUND(posicao_contratual!B192*posicao_contratual!K192,2))</f>
        <v/>
      </c>
      <c r="E194" s="195" t="str">
        <f>IF(OR(posicao_contratual!A192="",NOT(ISNUMBER(posicao_contratual!B192)),NOT(ISNUMBER(posicao_contratual!O192))),"",ROUND(posicao_contratual!B192*posicao_contratual!O192,2))</f>
        <v/>
      </c>
      <c r="F194" s="195" t="str">
        <f>IF(OR(posicao_contratual!A192="",NOT(ISNUMBER(posicao_contratual!B192)),NOT(ISNUMBER(posicao_contratual!S192))),"",ROUND(posicao_contratual!B192*posicao_contratual!S192,2))</f>
        <v/>
      </c>
      <c r="G194" s="195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195" t="str">
        <f>IF(posicao_contratual!A193="","",posicao_contratual!B193)</f>
        <v/>
      </c>
      <c r="C195" s="195" t="str">
        <f>IF(OR(posicao_contratual!A193="",NOT(ISNUMBER(posicao_contratual!B193)),NOT(ISNUMBER(posicao_contratual!G193))),"",ROUND(posicao_contratual!B193*posicao_contratual!G193,2))</f>
        <v/>
      </c>
      <c r="D195" s="195" t="str">
        <f>IF(OR(posicao_contratual!A193="",NOT(ISNUMBER(posicao_contratual!B193)),NOT(ISNUMBER(posicao_contratual!K193))),"",ROUND(posicao_contratual!B193*posicao_contratual!K193,2))</f>
        <v/>
      </c>
      <c r="E195" s="195" t="str">
        <f>IF(OR(posicao_contratual!A193="",NOT(ISNUMBER(posicao_contratual!B193)),NOT(ISNUMBER(posicao_contratual!O193))),"",ROUND(posicao_contratual!B193*posicao_contratual!O193,2))</f>
        <v/>
      </c>
      <c r="F195" s="195" t="str">
        <f>IF(OR(posicao_contratual!A193="",NOT(ISNUMBER(posicao_contratual!B193)),NOT(ISNUMBER(posicao_contratual!S193))),"",ROUND(posicao_contratual!B193*posicao_contratual!S193,2))</f>
        <v/>
      </c>
      <c r="G195" s="195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195" t="str">
        <f>IF(posicao_contratual!A194="","",posicao_contratual!B194)</f>
        <v/>
      </c>
      <c r="C196" s="195" t="str">
        <f>IF(OR(posicao_contratual!A194="",NOT(ISNUMBER(posicao_contratual!B194)),NOT(ISNUMBER(posicao_contratual!G194))),"",ROUND(posicao_contratual!B194*posicao_contratual!G194,2))</f>
        <v/>
      </c>
      <c r="D196" s="195" t="str">
        <f>IF(OR(posicao_contratual!A194="",NOT(ISNUMBER(posicao_contratual!B194)),NOT(ISNUMBER(posicao_contratual!K194))),"",ROUND(posicao_contratual!B194*posicao_contratual!K194,2))</f>
        <v/>
      </c>
      <c r="E196" s="195" t="str">
        <f>IF(OR(posicao_contratual!A194="",NOT(ISNUMBER(posicao_contratual!B194)),NOT(ISNUMBER(posicao_contratual!O194))),"",ROUND(posicao_contratual!B194*posicao_contratual!O194,2))</f>
        <v/>
      </c>
      <c r="F196" s="195" t="str">
        <f>IF(OR(posicao_contratual!A194="",NOT(ISNUMBER(posicao_contratual!B194)),NOT(ISNUMBER(posicao_contratual!S194))),"",ROUND(posicao_contratual!B194*posicao_contratual!S194,2))</f>
        <v/>
      </c>
      <c r="G196" s="195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195" t="str">
        <f>IF(posicao_contratual!A195="","",posicao_contratual!B195)</f>
        <v/>
      </c>
      <c r="C197" s="195" t="str">
        <f>IF(OR(posicao_contratual!A195="",NOT(ISNUMBER(posicao_contratual!B195)),NOT(ISNUMBER(posicao_contratual!G195))),"",ROUND(posicao_contratual!B195*posicao_contratual!G195,2))</f>
        <v/>
      </c>
      <c r="D197" s="195" t="str">
        <f>IF(OR(posicao_contratual!A195="",NOT(ISNUMBER(posicao_contratual!B195)),NOT(ISNUMBER(posicao_contratual!K195))),"",ROUND(posicao_contratual!B195*posicao_contratual!K195,2))</f>
        <v/>
      </c>
      <c r="E197" s="195" t="str">
        <f>IF(OR(posicao_contratual!A195="",NOT(ISNUMBER(posicao_contratual!B195)),NOT(ISNUMBER(posicao_contratual!O195))),"",ROUND(posicao_contratual!B195*posicao_contratual!O195,2))</f>
        <v/>
      </c>
      <c r="F197" s="195" t="str">
        <f>IF(OR(posicao_contratual!A195="",NOT(ISNUMBER(posicao_contratual!B195)),NOT(ISNUMBER(posicao_contratual!S195))),"",ROUND(posicao_contratual!B195*posicao_contratual!S195,2))</f>
        <v/>
      </c>
      <c r="G197" s="195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195" t="str">
        <f>IF(posicao_contratual!A196="","",posicao_contratual!B196)</f>
        <v/>
      </c>
      <c r="C198" s="195" t="str">
        <f>IF(OR(posicao_contratual!A196="",NOT(ISNUMBER(posicao_contratual!B196)),NOT(ISNUMBER(posicao_contratual!G196))),"",ROUND(posicao_contratual!B196*posicao_contratual!G196,2))</f>
        <v/>
      </c>
      <c r="D198" s="195" t="str">
        <f>IF(OR(posicao_contratual!A196="",NOT(ISNUMBER(posicao_contratual!B196)),NOT(ISNUMBER(posicao_contratual!K196))),"",ROUND(posicao_contratual!B196*posicao_contratual!K196,2))</f>
        <v/>
      </c>
      <c r="E198" s="195" t="str">
        <f>IF(OR(posicao_contratual!A196="",NOT(ISNUMBER(posicao_contratual!B196)),NOT(ISNUMBER(posicao_contratual!O196))),"",ROUND(posicao_contratual!B196*posicao_contratual!O196,2))</f>
        <v/>
      </c>
      <c r="F198" s="195" t="str">
        <f>IF(OR(posicao_contratual!A196="",NOT(ISNUMBER(posicao_contratual!B196)),NOT(ISNUMBER(posicao_contratual!S196))),"",ROUND(posicao_contratual!B196*posicao_contratual!S196,2))</f>
        <v/>
      </c>
      <c r="G198" s="195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195" t="str">
        <f>IF(posicao_contratual!A197="","",posicao_contratual!B197)</f>
        <v/>
      </c>
      <c r="C199" s="195" t="str">
        <f>IF(OR(posicao_contratual!A197="",NOT(ISNUMBER(posicao_contratual!B197)),NOT(ISNUMBER(posicao_contratual!G197))),"",ROUND(posicao_contratual!B197*posicao_contratual!G197,2))</f>
        <v/>
      </c>
      <c r="D199" s="195" t="str">
        <f>IF(OR(posicao_contratual!A197="",NOT(ISNUMBER(posicao_contratual!B197)),NOT(ISNUMBER(posicao_contratual!K197))),"",ROUND(posicao_contratual!B197*posicao_contratual!K197,2))</f>
        <v/>
      </c>
      <c r="E199" s="195" t="str">
        <f>IF(OR(posicao_contratual!A197="",NOT(ISNUMBER(posicao_contratual!B197)),NOT(ISNUMBER(posicao_contratual!O197))),"",ROUND(posicao_contratual!B197*posicao_contratual!O197,2))</f>
        <v/>
      </c>
      <c r="F199" s="195" t="str">
        <f>IF(OR(posicao_contratual!A197="",NOT(ISNUMBER(posicao_contratual!B197)),NOT(ISNUMBER(posicao_contratual!S197))),"",ROUND(posicao_contratual!B197*posicao_contratual!S197,2))</f>
        <v/>
      </c>
      <c r="G199" s="195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195" t="str">
        <f>IF(posicao_contratual!A198="","",posicao_contratual!B198)</f>
        <v/>
      </c>
      <c r="C200" s="195" t="str">
        <f>IF(OR(posicao_contratual!A198="",NOT(ISNUMBER(posicao_contratual!B198)),NOT(ISNUMBER(posicao_contratual!G198))),"",ROUND(posicao_contratual!B198*posicao_contratual!G198,2))</f>
        <v/>
      </c>
      <c r="D200" s="195" t="str">
        <f>IF(OR(posicao_contratual!A198="",NOT(ISNUMBER(posicao_contratual!B198)),NOT(ISNUMBER(posicao_contratual!K198))),"",ROUND(posicao_contratual!B198*posicao_contratual!K198,2))</f>
        <v/>
      </c>
      <c r="E200" s="195" t="str">
        <f>IF(OR(posicao_contratual!A198="",NOT(ISNUMBER(posicao_contratual!B198)),NOT(ISNUMBER(posicao_contratual!O198))),"",ROUND(posicao_contratual!B198*posicao_contratual!O198,2))</f>
        <v/>
      </c>
      <c r="F200" s="195" t="str">
        <f>IF(OR(posicao_contratual!A198="",NOT(ISNUMBER(posicao_contratual!B198)),NOT(ISNUMBER(posicao_contratual!S198))),"",ROUND(posicao_contratual!B198*posicao_contratual!S198,2))</f>
        <v/>
      </c>
      <c r="G200" s="195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195" t="str">
        <f>IF(posicao_contratual!A199="","",posicao_contratual!B199)</f>
        <v/>
      </c>
      <c r="C201" s="195" t="str">
        <f>IF(OR(posicao_contratual!A199="",NOT(ISNUMBER(posicao_contratual!B199)),NOT(ISNUMBER(posicao_contratual!G199))),"",ROUND(posicao_contratual!B199*posicao_contratual!G199,2))</f>
        <v/>
      </c>
      <c r="D201" s="195" t="str">
        <f>IF(OR(posicao_contratual!A199="",NOT(ISNUMBER(posicao_contratual!B199)),NOT(ISNUMBER(posicao_contratual!K199))),"",ROUND(posicao_contratual!B199*posicao_contratual!K199,2))</f>
        <v/>
      </c>
      <c r="E201" s="195" t="str">
        <f>IF(OR(posicao_contratual!A199="",NOT(ISNUMBER(posicao_contratual!B199)),NOT(ISNUMBER(posicao_contratual!O199))),"",ROUND(posicao_contratual!B199*posicao_contratual!O199,2))</f>
        <v/>
      </c>
      <c r="F201" s="195" t="str">
        <f>IF(OR(posicao_contratual!A199="",NOT(ISNUMBER(posicao_contratual!B199)),NOT(ISNUMBER(posicao_contratual!S199))),"",ROUND(posicao_contratual!B199*posicao_contratual!S199,2))</f>
        <v/>
      </c>
      <c r="G201" s="195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195" t="str">
        <f>IF(posicao_contratual!A200="","",posicao_contratual!B200)</f>
        <v/>
      </c>
      <c r="C202" s="195" t="str">
        <f>IF(OR(posicao_contratual!A200="",NOT(ISNUMBER(posicao_contratual!B200)),NOT(ISNUMBER(posicao_contratual!G200))),"",ROUND(posicao_contratual!B200*posicao_contratual!G200,2))</f>
        <v/>
      </c>
      <c r="D202" s="195" t="str">
        <f>IF(OR(posicao_contratual!A200="",NOT(ISNUMBER(posicao_contratual!B200)),NOT(ISNUMBER(posicao_contratual!K200))),"",ROUND(posicao_contratual!B200*posicao_contratual!K200,2))</f>
        <v/>
      </c>
      <c r="E202" s="195" t="str">
        <f>IF(OR(posicao_contratual!A200="",NOT(ISNUMBER(posicao_contratual!B200)),NOT(ISNUMBER(posicao_contratual!O200))),"",ROUND(posicao_contratual!B200*posicao_contratual!O200,2))</f>
        <v/>
      </c>
      <c r="F202" s="195" t="str">
        <f>IF(OR(posicao_contratual!A200="",NOT(ISNUMBER(posicao_contratual!B200)),NOT(ISNUMBER(posicao_contratual!S200))),"",ROUND(posicao_contratual!B200*posicao_contratual!S200,2))</f>
        <v/>
      </c>
      <c r="G202" s="195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195" t="str">
        <f>IF(posicao_contratual!A201="","",posicao_contratual!B201)</f>
        <v/>
      </c>
      <c r="C203" s="195" t="str">
        <f>IF(OR(posicao_contratual!A201="",NOT(ISNUMBER(posicao_contratual!B201)),NOT(ISNUMBER(posicao_contratual!G201))),"",ROUND(posicao_contratual!B201*posicao_contratual!G201,2))</f>
        <v/>
      </c>
      <c r="D203" s="195" t="str">
        <f>IF(OR(posicao_contratual!A201="",NOT(ISNUMBER(posicao_contratual!B201)),NOT(ISNUMBER(posicao_contratual!K201))),"",ROUND(posicao_contratual!B201*posicao_contratual!K201,2))</f>
        <v/>
      </c>
      <c r="E203" s="195" t="str">
        <f>IF(OR(posicao_contratual!A201="",NOT(ISNUMBER(posicao_contratual!B201)),NOT(ISNUMBER(posicao_contratual!O201))),"",ROUND(posicao_contratual!B201*posicao_contratual!O201,2))</f>
        <v/>
      </c>
      <c r="F203" s="195" t="str">
        <f>IF(OR(posicao_contratual!A201="",NOT(ISNUMBER(posicao_contratual!B201)),NOT(ISNUMBER(posicao_contratual!S201))),"",ROUND(posicao_contratual!B201*posicao_contratual!S201,2))</f>
        <v/>
      </c>
      <c r="G203" s="195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195"/>
      <c r="C204" s="195">
        <f>ROUND(SUM(C4:C203),2)</f>
        <v>0</v>
      </c>
      <c r="D204" s="195">
        <f>ROUND(SUM(D4:D203),2)</f>
        <v>0</v>
      </c>
      <c r="E204" s="195">
        <f>ROUND(SUM(E4:E203),2)</f>
        <v>0</v>
      </c>
      <c r="F204" s="195">
        <f>ROUND(SUM(F4:F203),2)</f>
        <v>0</v>
      </c>
      <c r="G204" s="195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195" t="str">
        <f>MEMORIA_RESULTADOS!$B$26</f>
        <v/>
      </c>
    </row>
    <row r="208" spans="1:7" x14ac:dyDescent="0.35">
      <c r="A208" t="s">
        <v>29</v>
      </c>
      <c r="B208" s="195" t="str">
        <f>IFERROR(ROUND(SUMPRODUCT(posicao_contratual!$B$2:$B$201,posicao_contratual!$C$2:$C$201)*RESULTADOS_DETALHE!$H$5,2),"")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26" t="s">
        <v>1</v>
      </c>
    </row>
    <row r="2" spans="1:7" x14ac:dyDescent="0.35">
      <c r="A2" s="1" t="s">
        <v>2</v>
      </c>
      <c r="B2" s="159" t="str">
        <f>IFERROR(IF(NOT(ISNUMBER($B$3)),"",IF(OR($B$3&lt;EDATE(DATE(YEAR(INDEX(parametros!$C$2:$C$6,(MATCH(TRUE,INDEX(ISNUMBER(parametros!$C$2:$C$6),0),0)-1)+1)),MONTH(INDEX(parametros!$C$2:$C$6,(MATCH(TRUE,INDEX(ISNUMBER(parametros!$C$2:$C$6),0),0)-1)+1)),1),12*((0)-(MATCH(TRUE,INDEX(ISNUMBER(parametros!$C$2:$C$6),0),0)-1))),$B$3&gt;=EDATE(DATE(YEAR(INDEX(parametros!$C$2:$C$6,(MATCH(TRUE,INDEX(ISNUMBER(parametros!$C$2:$C$6),0),0)-1)+1)),MONTH(INDEX(parametros!$C$2:$C$6,(MATCH(TRUE,INDEX(ISNUMBER(parametros!$C$2:$C$6),0),0)-1)+1)),1),12*((5)-(MATCH(TRUE,INDEX(ISNUMBER(parametros!$C$2:$C$6),0),0)-1)))),"",IF($B$3&gt;=EDATE(DATE(YEAR(INDEX(parametros!$C$2:$C$6,(MATCH(TRUE,INDEX(ISNUMBER(parametros!$C$2:$C$6),0),0)-1)+1)),MONTH(INDEX(parametros!$C$2:$C$6,(MATCH(TRUE,INDEX(ISNUMBER(parametros!$C$2:$C$6),0),0)-1)+1)),1),12*((4)-(MATCH(TRUE,INDEX(ISNUMBER(parametros!$C$2:$C$6),0),0)-1))),"C4",IF($B$3&gt;=EDATE(DATE(YEAR(INDEX(parametros!$C$2:$C$6,(MATCH(TRUE,INDEX(ISNUMBER(parametros!$C$2:$C$6),0),0)-1)+1)),MONTH(INDEX(parametros!$C$2:$C$6,(MATCH(TRUE,INDEX(ISNUMBER(parametros!$C$2:$C$6),0),0)-1)+1)),1),12*((3)-(MATCH(TRUE,INDEX(ISNUMBER(parametros!$C$2:$C$6),0),0)-1))),"C3",IF($B$3&gt;=EDATE(DATE(YEAR(INDEX(parametros!$C$2:$C$6,(MATCH(TRUE,INDEX(ISNUMBER(parametros!$C$2:$C$6),0),0)-1)+1)),MONTH(INDEX(parametros!$C$2:$C$6,(MATCH(TRUE,INDEX(ISNUMBER(parametros!$C$2:$C$6),0),0)-1)+1)),1),12*((2)-(MATCH(TRUE,INDEX(ISNUMBER(parametros!$C$2:$C$6),0),0)-1))),"C2",IF($B$3&gt;=EDATE(DATE(YEAR(INDEX(parametros!$C$2:$C$6,(MATCH(TRUE,INDEX(ISNUMBER(parametros!$C$2:$C$6),0),0)-1)+1)),MONTH(INDEX(parametros!$C$2:$C$6,(MATCH(TRUE,INDEX(ISNUMBER(parametros!$C$2:$C$6),0),0)-1)+1)),1),12*((1)-(MATCH(TRUE,INDEX(ISNUMBER(parametros!$C$2:$C$6),0),0)-1))),"C1","C0")))))),"")</f>
        <v/>
      </c>
    </row>
    <row r="3" spans="1:7" x14ac:dyDescent="0.35">
      <c r="A3" s="1" t="s">
        <v>3</v>
      </c>
      <c r="B3" s="331"/>
      <c r="C3" s="2" t="s">
        <v>4</v>
      </c>
      <c r="E3" s="193"/>
      <c r="G3" s="193"/>
    </row>
    <row r="4" spans="1:7" hidden="1" x14ac:dyDescent="0.35">
      <c r="A4" s="2" t="s">
        <v>5</v>
      </c>
      <c r="B4" s="2" t="s">
        <v>6</v>
      </c>
      <c r="E4" s="193"/>
      <c r="G4" s="193"/>
    </row>
    <row r="5" spans="1:7" ht="5" customHeight="1" x14ac:dyDescent="0.35">
      <c r="A5" s="3"/>
      <c r="E5" s="193"/>
      <c r="G5" s="193"/>
    </row>
    <row r="6" spans="1:7" ht="22" customHeight="1" x14ac:dyDescent="0.35">
      <c r="A6" s="5" t="s">
        <v>7</v>
      </c>
      <c r="B6" s="5" t="s">
        <v>8</v>
      </c>
      <c r="C6" s="4"/>
      <c r="D6" s="4"/>
      <c r="E6" s="194"/>
      <c r="F6" s="4"/>
      <c r="G6" s="194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3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04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05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3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3">
        <f ca="1">NOW()</f>
        <v>46304.687753703707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2" width="12.6328125" style="2" customWidth="1"/>
    <col min="23" max="23" width="8.54296875" style="2" customWidth="1"/>
    <col min="24" max="16384" width="8.54296875" style="2"/>
  </cols>
  <sheetData>
    <row r="1" spans="1:20" ht="32" customHeight="1" x14ac:dyDescent="0.35">
      <c r="A1" s="63" t="s">
        <v>31</v>
      </c>
      <c r="B1" s="63" t="s">
        <v>32</v>
      </c>
      <c r="C1" s="63" t="s">
        <v>33</v>
      </c>
      <c r="D1" s="63" t="s">
        <v>34</v>
      </c>
      <c r="E1" s="63" t="s">
        <v>35</v>
      </c>
      <c r="F1" s="63" t="s">
        <v>36</v>
      </c>
      <c r="G1" s="63" t="s">
        <v>37</v>
      </c>
      <c r="H1" s="63" t="s">
        <v>38</v>
      </c>
      <c r="I1" s="63"/>
      <c r="J1" s="63" t="s">
        <v>32</v>
      </c>
      <c r="K1" s="63" t="s">
        <v>39</v>
      </c>
      <c r="L1" s="63" t="s">
        <v>40</v>
      </c>
      <c r="M1" s="63" t="s">
        <v>41</v>
      </c>
      <c r="N1" s="63" t="s">
        <v>42</v>
      </c>
      <c r="O1" s="63" t="s">
        <v>43</v>
      </c>
      <c r="P1" s="63" t="s">
        <v>36</v>
      </c>
      <c r="Q1" s="63" t="s">
        <v>44</v>
      </c>
      <c r="R1" s="63" t="s">
        <v>45</v>
      </c>
    </row>
    <row r="2" spans="1:20" x14ac:dyDescent="0.35">
      <c r="A2" s="150"/>
      <c r="B2" s="150" t="s">
        <v>21</v>
      </c>
      <c r="C2" s="151"/>
      <c r="D2" s="151"/>
      <c r="E2" s="152"/>
      <c r="F2" s="64">
        <f>1</f>
        <v>1</v>
      </c>
      <c r="G2" s="231"/>
      <c r="H2" s="328"/>
      <c r="I2" s="174"/>
      <c r="M2" s="177"/>
      <c r="N2" s="178"/>
      <c r="O2" s="179"/>
      <c r="P2" s="179"/>
      <c r="Q2" s="178"/>
      <c r="T2" s="2" t="s">
        <v>46</v>
      </c>
    </row>
    <row r="3" spans="1:20" x14ac:dyDescent="0.35">
      <c r="A3" s="153"/>
      <c r="B3" s="153" t="s">
        <v>22</v>
      </c>
      <c r="C3" s="154"/>
      <c r="D3" s="154"/>
      <c r="E3" s="155"/>
      <c r="F3" s="64" t="str">
        <f>IF(E3="","",IF(NOT(ISNUMBER(E3)),"",IF(NOT(ISNUMBER(F2)),"",F2*(1+E3))))</f>
        <v/>
      </c>
      <c r="G3" s="231"/>
      <c r="H3" s="329"/>
      <c r="I3" s="175"/>
      <c r="M3" s="177"/>
      <c r="N3" s="178"/>
      <c r="O3" s="179"/>
      <c r="P3" s="179"/>
      <c r="Q3" s="178"/>
      <c r="T3" s="2" t="s">
        <v>47</v>
      </c>
    </row>
    <row r="4" spans="1:20" x14ac:dyDescent="0.35">
      <c r="A4" s="153"/>
      <c r="B4" s="153" t="s">
        <v>23</v>
      </c>
      <c r="C4" s="154"/>
      <c r="D4" s="154"/>
      <c r="E4" s="155"/>
      <c r="F4" s="64" t="str">
        <f>IF(E4="","",IF(NOT(ISNUMBER(E4)),"",IF(NOT(ISNUMBER(F3)),"",F3*(1+E4))))</f>
        <v/>
      </c>
      <c r="G4" s="231"/>
      <c r="H4" s="329"/>
      <c r="I4" s="175"/>
      <c r="M4" s="177"/>
      <c r="N4" s="178"/>
      <c r="O4" s="179"/>
      <c r="P4" s="179"/>
      <c r="Q4" s="178"/>
      <c r="T4" s="2" t="s">
        <v>48</v>
      </c>
    </row>
    <row r="5" spans="1:20" x14ac:dyDescent="0.35">
      <c r="A5" s="196"/>
      <c r="B5" s="196" t="s">
        <v>24</v>
      </c>
      <c r="C5" s="197"/>
      <c r="D5" s="197"/>
      <c r="E5" s="198"/>
      <c r="F5" s="199" t="str">
        <f>IF(E5="","",IF(NOT(ISNUMBER(E5)),"",IF(NOT(ISNUMBER(F4)),"",F4*(1+E5))))</f>
        <v/>
      </c>
      <c r="G5" s="231"/>
      <c r="H5" s="330"/>
      <c r="I5" s="176"/>
      <c r="M5" s="177"/>
      <c r="N5" s="178"/>
      <c r="O5" s="179"/>
      <c r="P5" s="179"/>
      <c r="Q5" s="178"/>
    </row>
    <row r="6" spans="1:20" x14ac:dyDescent="0.35">
      <c r="A6" s="196"/>
      <c r="B6" s="196" t="s">
        <v>25</v>
      </c>
      <c r="C6" s="197"/>
      <c r="D6" s="197"/>
      <c r="E6" s="198"/>
      <c r="F6" s="199" t="str">
        <f>IF(E6="","",IF(NOT(ISNUMBER(E6)),"",IF(NOT(ISNUMBER(F5)),"",F5*(1+E6))))</f>
        <v/>
      </c>
      <c r="G6" s="231"/>
      <c r="H6" s="330"/>
      <c r="I6" s="176"/>
      <c r="M6" s="177"/>
      <c r="N6" s="178"/>
      <c r="O6" s="179"/>
      <c r="P6" s="179"/>
      <c r="Q6" s="178"/>
    </row>
    <row r="7" spans="1:20" x14ac:dyDescent="0.35">
      <c r="A7" s="14"/>
      <c r="B7" s="14"/>
      <c r="C7" s="15"/>
      <c r="D7" s="15"/>
      <c r="E7" s="14"/>
      <c r="F7" s="14"/>
      <c r="G7" s="14"/>
      <c r="M7" s="177"/>
      <c r="N7" s="178"/>
      <c r="O7" s="179"/>
      <c r="P7" s="179"/>
      <c r="Q7" s="178"/>
    </row>
    <row r="8" spans="1:20" ht="18" customHeight="1" x14ac:dyDescent="0.35">
      <c r="A8" s="491" t="str">
        <f>IF(IF(AND(COUNTIF($A$4:$A$6,"Sim")&gt;0,NOT(ISNUMBER($E$3))),"C1","")&amp;IF(AND(COUNTIF($A$5:$A$6,"Sim")&gt;0,NOT(ISNUMBER($E$4))),IF(AND(COUNTIF($A$4:$A$6,"Sim")&gt;0,NOT(ISNUMBER($E$3))),IF(AND(COUNTIF($A$6:$A$6,"Sim")&gt;0,NOT(ISNUMBER($E$5))),", "," e "),"")&amp;"C2","")&amp;IF(AND(COUNTIF($A$6:$A$6,"Sim")&gt;0,NOT(ISNUMBER($E$5))),IF(OR(AND(COUNTIF($A$4:$A$6,"Sim")&gt;0,NOT(ISNUMBER($E$3))),AND(COUNTIF($A$5:$A$6,"Sim")&gt;0,NOT(ISNUMBER($E$4))))," e ","")&amp;"C3","")="","",IF(((AND(COUNTIF($A$4:$A$6,"Sim")&gt;0,NOT(ISNUMBER($E$3))))+(AND(COUNTIF($A$5:$A$6,"Sim")&gt;0,NOT(ISNUMBER($E$4))))+(AND(COUNTIF($A$6:$A$6,"Sim")&gt;0,NOT(ISNUMBER($E$5)))))=1,MEMORIA_RESULTADOS!$AG$41,MEMORIA_RESULTADOS!$AG$42)&amp;IF(AND(COUNTIF($A$4:$A$6,"Sim")&gt;0,NOT(ISNUMBER($E$3))),"C1","")&amp;IF(AND(COUNTIF($A$5:$A$6,"Sim")&gt;0,NOT(ISNUMBER($E$4))),IF(AND(COUNTIF($A$4:$A$6,"Sim")&gt;0,NOT(ISNUMBER($E$3))),IF(AND(COUNTIF($A$6:$A$6,"Sim")&gt;0,NOT(ISNUMBER($E$5))),", "," e "),"")&amp;"C2","")&amp;IF(AND(COUNTIF($A$6:$A$6,"Sim")&gt;0,NOT(ISNUMBER($E$5))),IF(OR(AND(COUNTIF($A$4:$A$6,"Sim")&gt;0,NOT(ISNUMBER($E$3))),AND(COUNTIF($A$5:$A$6,"Sim")&gt;0,NOT(ISNUMBER($E$4))))," e ","")&amp;"C3","")&amp;".")</f>
        <v/>
      </c>
      <c r="B8" s="492"/>
      <c r="C8" s="492"/>
      <c r="D8" s="492"/>
      <c r="E8" s="492"/>
      <c r="F8" s="493"/>
      <c r="G8" s="14"/>
      <c r="M8" s="177"/>
      <c r="N8" s="178"/>
      <c r="O8" s="179"/>
      <c r="P8" s="179"/>
      <c r="Q8" s="178"/>
    </row>
    <row r="9" spans="1:20" x14ac:dyDescent="0.35">
      <c r="A9" s="488" t="s">
        <v>49</v>
      </c>
      <c r="B9" s="489"/>
      <c r="C9" s="489"/>
      <c r="D9" s="489"/>
      <c r="E9" s="489"/>
      <c r="F9" s="490"/>
      <c r="G9" s="14"/>
      <c r="M9" s="177"/>
      <c r="N9" s="178"/>
      <c r="O9" s="179"/>
      <c r="P9" s="179"/>
      <c r="Q9" s="178"/>
    </row>
    <row r="10" spans="1:20" ht="26" customHeight="1" x14ac:dyDescent="0.35">
      <c r="A10" s="63" t="s">
        <v>32</v>
      </c>
      <c r="B10" s="63" t="s">
        <v>50</v>
      </c>
      <c r="C10" s="65" t="s">
        <v>51</v>
      </c>
      <c r="D10" s="65" t="s">
        <v>52</v>
      </c>
      <c r="E10" s="63" t="s">
        <v>53</v>
      </c>
      <c r="F10" s="63" t="s">
        <v>54</v>
      </c>
      <c r="G10" s="63" t="s">
        <v>55</v>
      </c>
      <c r="M10" s="177"/>
      <c r="N10" s="178"/>
      <c r="O10" s="179"/>
      <c r="P10" s="179"/>
      <c r="Q10" s="178"/>
    </row>
    <row r="11" spans="1:20" x14ac:dyDescent="0.35">
      <c r="A11" s="66" t="s">
        <v>21</v>
      </c>
      <c r="B11" s="66">
        <f>A2</f>
        <v>0</v>
      </c>
      <c r="C11" s="67" t="str">
        <f>IF(B11="Sim",E2,"")</f>
        <v/>
      </c>
      <c r="D11" s="68">
        <f>1</f>
        <v>1</v>
      </c>
      <c r="E11" s="68">
        <f>1</f>
        <v>1</v>
      </c>
      <c r="F11" s="66" t="s">
        <v>56</v>
      </c>
      <c r="G11" s="14"/>
      <c r="M11" s="177"/>
      <c r="N11" s="178"/>
      <c r="O11" s="179"/>
      <c r="P11" s="179"/>
      <c r="Q11" s="178"/>
    </row>
    <row r="12" spans="1:20" x14ac:dyDescent="0.35">
      <c r="A12" s="69" t="s">
        <v>22</v>
      </c>
      <c r="B12" s="69">
        <f>A3</f>
        <v>0</v>
      </c>
      <c r="C12" s="70" t="str">
        <f>IF(B12="Sim",E3,"")</f>
        <v/>
      </c>
      <c r="D12" s="71" t="str">
        <f>IF(C12="","",1+C12)</f>
        <v/>
      </c>
      <c r="E12" s="71">
        <f>IF(B12="Sim",E11*D12,E11)</f>
        <v>1</v>
      </c>
      <c r="F12" s="69" t="str">
        <f>IF(B12="Sim","Aplicado","Fora da apuracao")</f>
        <v>Fora da apuracao</v>
      </c>
      <c r="G12" s="14"/>
      <c r="M12" s="177"/>
      <c r="N12" s="178"/>
      <c r="O12" s="179"/>
      <c r="P12" s="179"/>
      <c r="Q12" s="178"/>
    </row>
    <row r="13" spans="1:20" x14ac:dyDescent="0.35">
      <c r="A13" s="69" t="s">
        <v>23</v>
      </c>
      <c r="B13" s="69">
        <f>A4</f>
        <v>0</v>
      </c>
      <c r="C13" s="70" t="str">
        <f>IF(B13="Sim",E4,"")</f>
        <v/>
      </c>
      <c r="D13" s="71" t="str">
        <f>IF(C13="","",1+C13)</f>
        <v/>
      </c>
      <c r="E13" s="71">
        <f>IF(B13="Sim",E12*D13,E12)</f>
        <v>1</v>
      </c>
      <c r="F13" s="69" t="str">
        <f>IF(B13="Sim","Aplicado","Fora da apuracao")</f>
        <v>Fora da apuracao</v>
      </c>
      <c r="G13" s="14"/>
      <c r="M13" s="177"/>
      <c r="N13" s="178"/>
      <c r="O13" s="179"/>
      <c r="P13" s="179"/>
      <c r="Q13" s="178"/>
    </row>
    <row r="14" spans="1:20" x14ac:dyDescent="0.35">
      <c r="A14" s="69" t="s">
        <v>24</v>
      </c>
      <c r="B14" s="69">
        <f>A5</f>
        <v>0</v>
      </c>
      <c r="C14" s="70" t="str">
        <f>IF(B14="Sim",E5,"")</f>
        <v/>
      </c>
      <c r="D14" s="71" t="str">
        <f>IF(C14="","",1+C14)</f>
        <v/>
      </c>
      <c r="E14" s="71">
        <f>IF(B14="Sim",E13*D14,E13)</f>
        <v>1</v>
      </c>
      <c r="F14" s="69" t="str">
        <f>IF(B14="Sim","Aplicado","Fora da apuracao")</f>
        <v>Fora da apuracao</v>
      </c>
      <c r="G14" s="14"/>
      <c r="M14" s="177"/>
      <c r="N14" s="178"/>
      <c r="O14" s="179"/>
      <c r="P14" s="179"/>
      <c r="Q14" s="178"/>
    </row>
    <row r="15" spans="1:20" x14ac:dyDescent="0.35">
      <c r="A15" s="69" t="s">
        <v>25</v>
      </c>
      <c r="B15" s="69">
        <f>A6</f>
        <v>0</v>
      </c>
      <c r="C15" s="70" t="str">
        <f>IF(B15="Sim",E6,"")</f>
        <v/>
      </c>
      <c r="D15" s="71" t="str">
        <f>IF(C15="","",1+C15)</f>
        <v/>
      </c>
      <c r="E15" s="71">
        <f>IF(B15="Sim",E14*D15,E14)</f>
        <v>1</v>
      </c>
      <c r="F15" s="69" t="str">
        <f>IF(B15="Sim","Aplicado","Fora da apuracao")</f>
        <v>Fora da apuracao</v>
      </c>
      <c r="G15" s="14"/>
      <c r="M15" s="177"/>
      <c r="N15" s="178"/>
      <c r="O15" s="179"/>
      <c r="P15" s="179"/>
      <c r="Q15" s="178"/>
    </row>
    <row r="16" spans="1:20" x14ac:dyDescent="0.35">
      <c r="A16" s="72" t="s">
        <v>57</v>
      </c>
      <c r="B16" s="73"/>
      <c r="C16" s="74"/>
      <c r="D16" s="75">
        <f>E15</f>
        <v>1</v>
      </c>
      <c r="E16" s="75">
        <f>E15</f>
        <v>1</v>
      </c>
      <c r="F16" s="146">
        <f>E16-1</f>
        <v>0</v>
      </c>
      <c r="G16" s="14"/>
      <c r="M16" s="177"/>
      <c r="N16" s="178"/>
      <c r="O16" s="179"/>
      <c r="P16" s="179"/>
      <c r="Q16" s="178"/>
    </row>
    <row r="17" spans="1:17" x14ac:dyDescent="0.35">
      <c r="A17" s="473" t="s">
        <v>737</v>
      </c>
      <c r="B17" s="232"/>
      <c r="C17" s="233"/>
      <c r="D17" s="233"/>
      <c r="E17" s="234"/>
      <c r="F17" s="234"/>
      <c r="G17" s="232"/>
      <c r="M17" s="177"/>
      <c r="N17" s="178"/>
      <c r="O17" s="179"/>
      <c r="P17" s="179"/>
      <c r="Q17" s="178"/>
    </row>
    <row r="18" spans="1:17" x14ac:dyDescent="0.35">
      <c r="A18" s="232"/>
      <c r="B18" s="232"/>
      <c r="C18" s="233"/>
      <c r="D18" s="233"/>
      <c r="E18" s="234"/>
      <c r="F18" s="234"/>
      <c r="G18" s="232"/>
      <c r="M18" s="177"/>
      <c r="N18" s="178"/>
      <c r="O18" s="179"/>
      <c r="P18" s="179"/>
      <c r="Q18" s="178"/>
    </row>
    <row r="19" spans="1:17" x14ac:dyDescent="0.35">
      <c r="A19" s="232"/>
      <c r="B19" s="232"/>
      <c r="C19" s="233"/>
      <c r="D19" s="233"/>
      <c r="E19" s="234"/>
      <c r="F19" s="234"/>
      <c r="G19" s="232"/>
      <c r="M19" s="177"/>
      <c r="N19" s="178"/>
      <c r="O19" s="179"/>
      <c r="P19" s="179"/>
      <c r="Q19" s="178"/>
    </row>
    <row r="20" spans="1:17" x14ac:dyDescent="0.35">
      <c r="A20" s="232"/>
      <c r="B20" s="232"/>
      <c r="C20" s="233"/>
      <c r="D20" s="233"/>
      <c r="E20" s="234"/>
      <c r="F20" s="234"/>
      <c r="G20" s="232"/>
      <c r="M20" s="177"/>
      <c r="N20" s="178"/>
      <c r="O20" s="179"/>
      <c r="P20" s="179"/>
      <c r="Q20" s="178"/>
    </row>
    <row r="21" spans="1:17" x14ac:dyDescent="0.35">
      <c r="M21" s="177"/>
      <c r="N21" s="178"/>
      <c r="O21" s="179"/>
      <c r="P21" s="179"/>
      <c r="Q21" s="178"/>
    </row>
    <row r="22" spans="1:17" x14ac:dyDescent="0.35">
      <c r="M22" s="177"/>
      <c r="N22" s="178"/>
      <c r="O22" s="179"/>
      <c r="P22" s="179"/>
      <c r="Q22" s="178"/>
    </row>
    <row r="23" spans="1:17" x14ac:dyDescent="0.35">
      <c r="M23" s="177"/>
      <c r="N23" s="178"/>
      <c r="O23" s="179"/>
      <c r="P23" s="179"/>
      <c r="Q23" s="178"/>
    </row>
    <row r="24" spans="1:17" x14ac:dyDescent="0.35">
      <c r="M24" s="177"/>
      <c r="N24" s="178"/>
      <c r="O24" s="179"/>
      <c r="P24" s="179"/>
      <c r="Q24" s="178"/>
    </row>
    <row r="25" spans="1:17" x14ac:dyDescent="0.35">
      <c r="M25" s="177"/>
      <c r="N25" s="178"/>
      <c r="O25" s="179"/>
      <c r="P25" s="179"/>
      <c r="Q25" s="178"/>
    </row>
    <row r="26" spans="1:17" x14ac:dyDescent="0.35">
      <c r="M26" s="177"/>
      <c r="N26" s="178"/>
      <c r="O26" s="179"/>
      <c r="P26" s="179"/>
      <c r="Q26" s="178"/>
    </row>
    <row r="27" spans="1:17" x14ac:dyDescent="0.35">
      <c r="M27" s="177"/>
      <c r="N27" s="178"/>
      <c r="O27" s="179"/>
      <c r="P27" s="179"/>
      <c r="Q27" s="178"/>
    </row>
    <row r="28" spans="1:17" x14ac:dyDescent="0.35">
      <c r="M28" s="177"/>
      <c r="N28" s="178"/>
      <c r="O28" s="179"/>
      <c r="P28" s="179"/>
      <c r="Q28" s="178"/>
    </row>
    <row r="29" spans="1:17" x14ac:dyDescent="0.35">
      <c r="M29" s="177"/>
      <c r="N29" s="178"/>
      <c r="O29" s="179"/>
      <c r="P29" s="179"/>
      <c r="Q29" s="178"/>
    </row>
    <row r="30" spans="1:17" x14ac:dyDescent="0.35">
      <c r="M30" s="177"/>
      <c r="N30" s="178"/>
      <c r="O30" s="179"/>
      <c r="P30" s="179"/>
      <c r="Q30" s="178"/>
    </row>
    <row r="31" spans="1:17" x14ac:dyDescent="0.35">
      <c r="M31" s="177"/>
      <c r="N31" s="178"/>
      <c r="O31" s="179"/>
      <c r="P31" s="179"/>
      <c r="Q31" s="178"/>
    </row>
    <row r="32" spans="1:17" x14ac:dyDescent="0.35">
      <c r="M32" s="177"/>
      <c r="N32" s="178"/>
      <c r="O32" s="179"/>
      <c r="P32" s="179"/>
      <c r="Q32" s="178"/>
    </row>
    <row r="33" spans="13:17" x14ac:dyDescent="0.35">
      <c r="M33" s="177"/>
      <c r="N33" s="178"/>
      <c r="O33" s="179"/>
      <c r="P33" s="179"/>
      <c r="Q33" s="178"/>
    </row>
    <row r="34" spans="13:17" x14ac:dyDescent="0.35">
      <c r="M34" s="177"/>
      <c r="N34" s="178"/>
      <c r="O34" s="179"/>
      <c r="P34" s="179"/>
      <c r="Q34" s="178"/>
    </row>
    <row r="35" spans="13:17" x14ac:dyDescent="0.35">
      <c r="M35" s="177"/>
      <c r="N35" s="178"/>
      <c r="O35" s="179"/>
      <c r="P35" s="179"/>
      <c r="Q35" s="178"/>
    </row>
    <row r="36" spans="13:17" x14ac:dyDescent="0.35">
      <c r="M36" s="177"/>
      <c r="N36" s="178"/>
      <c r="O36" s="179"/>
      <c r="P36" s="179"/>
      <c r="Q36" s="178"/>
    </row>
    <row r="37" spans="13:17" x14ac:dyDescent="0.35">
      <c r="M37" s="177"/>
      <c r="N37" s="178"/>
      <c r="O37" s="179"/>
      <c r="P37" s="179"/>
      <c r="Q37" s="178"/>
    </row>
    <row r="38" spans="13:17" x14ac:dyDescent="0.35">
      <c r="M38" s="177"/>
      <c r="N38" s="178"/>
      <c r="O38" s="179"/>
      <c r="P38" s="179"/>
      <c r="Q38" s="178"/>
    </row>
    <row r="39" spans="13:17" x14ac:dyDescent="0.35">
      <c r="M39" s="177"/>
      <c r="N39" s="178"/>
      <c r="O39" s="179"/>
      <c r="P39" s="179"/>
      <c r="Q39" s="178"/>
    </row>
    <row r="40" spans="13:17" x14ac:dyDescent="0.35">
      <c r="M40" s="177"/>
      <c r="N40" s="178"/>
      <c r="O40" s="179"/>
      <c r="P40" s="179"/>
      <c r="Q40" s="178"/>
    </row>
    <row r="41" spans="13:17" x14ac:dyDescent="0.35">
      <c r="M41" s="177"/>
      <c r="N41" s="178"/>
      <c r="O41" s="179"/>
      <c r="P41" s="179"/>
      <c r="Q41" s="178"/>
    </row>
    <row r="42" spans="13:17" x14ac:dyDescent="0.35">
      <c r="M42" s="177"/>
      <c r="N42" s="178"/>
      <c r="O42" s="179"/>
      <c r="P42" s="179"/>
      <c r="Q42" s="178"/>
    </row>
    <row r="43" spans="13:17" x14ac:dyDescent="0.35">
      <c r="M43" s="177"/>
      <c r="N43" s="178"/>
      <c r="O43" s="179"/>
      <c r="P43" s="179"/>
      <c r="Q43" s="178"/>
    </row>
    <row r="44" spans="13:17" x14ac:dyDescent="0.35">
      <c r="M44" s="177"/>
      <c r="N44" s="178"/>
      <c r="O44" s="179"/>
      <c r="P44" s="179"/>
      <c r="Q44" s="178"/>
    </row>
    <row r="45" spans="13:17" x14ac:dyDescent="0.35">
      <c r="M45" s="177"/>
      <c r="N45" s="178"/>
      <c r="O45" s="179"/>
      <c r="P45" s="179"/>
      <c r="Q45" s="178"/>
    </row>
    <row r="46" spans="13:17" x14ac:dyDescent="0.35">
      <c r="M46" s="177"/>
      <c r="N46" s="178"/>
      <c r="O46" s="179"/>
      <c r="P46" s="179"/>
      <c r="Q46" s="178"/>
    </row>
    <row r="47" spans="13:17" x14ac:dyDescent="0.35">
      <c r="M47" s="177"/>
      <c r="N47" s="178"/>
      <c r="O47" s="179"/>
      <c r="P47" s="179"/>
      <c r="Q47" s="178"/>
    </row>
    <row r="48" spans="13:17" x14ac:dyDescent="0.35">
      <c r="M48" s="177"/>
      <c r="N48" s="178"/>
      <c r="O48" s="179"/>
      <c r="P48" s="179"/>
      <c r="Q48" s="178"/>
    </row>
    <row r="49" spans="13:17" x14ac:dyDescent="0.35">
      <c r="M49" s="177"/>
      <c r="N49" s="178"/>
      <c r="O49" s="179"/>
      <c r="P49" s="179"/>
      <c r="Q49" s="178"/>
    </row>
    <row r="50" spans="13:17" x14ac:dyDescent="0.35">
      <c r="M50" s="177"/>
      <c r="N50" s="178"/>
      <c r="O50" s="179"/>
      <c r="P50" s="179"/>
      <c r="Q50" s="178"/>
    </row>
    <row r="51" spans="13:17" x14ac:dyDescent="0.35">
      <c r="M51" s="177"/>
      <c r="N51" s="178"/>
      <c r="O51" s="179"/>
      <c r="P51" s="179"/>
      <c r="Q51" s="178"/>
    </row>
    <row r="52" spans="13:17" x14ac:dyDescent="0.35">
      <c r="M52" s="177"/>
      <c r="N52" s="178"/>
      <c r="O52" s="179"/>
      <c r="P52" s="179"/>
      <c r="Q52" s="178"/>
    </row>
    <row r="53" spans="13:17" x14ac:dyDescent="0.35">
      <c r="M53" s="177"/>
      <c r="N53" s="178"/>
      <c r="O53" s="179"/>
      <c r="P53" s="179"/>
      <c r="Q53" s="178"/>
    </row>
    <row r="54" spans="13:17" x14ac:dyDescent="0.35">
      <c r="M54" s="177"/>
      <c r="N54" s="178"/>
      <c r="O54" s="179"/>
      <c r="P54" s="179"/>
      <c r="Q54" s="178"/>
    </row>
    <row r="55" spans="13:17" x14ac:dyDescent="0.35">
      <c r="M55" s="177"/>
      <c r="N55" s="178"/>
      <c r="O55" s="179"/>
      <c r="P55" s="179"/>
      <c r="Q55" s="178"/>
    </row>
    <row r="56" spans="13:17" x14ac:dyDescent="0.35">
      <c r="M56" s="177"/>
      <c r="N56" s="178"/>
      <c r="O56" s="179"/>
      <c r="P56" s="179"/>
      <c r="Q56" s="178"/>
    </row>
    <row r="57" spans="13:17" x14ac:dyDescent="0.35">
      <c r="M57" s="177"/>
      <c r="N57" s="178"/>
      <c r="O57" s="179"/>
      <c r="P57" s="179"/>
      <c r="Q57" s="178"/>
    </row>
    <row r="58" spans="13:17" x14ac:dyDescent="0.35">
      <c r="M58" s="177"/>
      <c r="N58" s="178"/>
      <c r="O58" s="179"/>
      <c r="P58" s="179"/>
      <c r="Q58" s="178"/>
    </row>
    <row r="59" spans="13:17" x14ac:dyDescent="0.35">
      <c r="M59" s="177"/>
      <c r="N59" s="178"/>
      <c r="O59" s="179"/>
      <c r="P59" s="179"/>
      <c r="Q59" s="178"/>
    </row>
    <row r="60" spans="13:17" x14ac:dyDescent="0.35">
      <c r="M60" s="177"/>
      <c r="N60" s="178"/>
      <c r="O60" s="179"/>
      <c r="P60" s="179"/>
      <c r="Q60" s="178"/>
    </row>
    <row r="61" spans="13:17" x14ac:dyDescent="0.35">
      <c r="M61" s="177"/>
      <c r="N61" s="178"/>
      <c r="O61" s="179"/>
      <c r="P61" s="179"/>
      <c r="Q61" s="178"/>
    </row>
    <row r="62" spans="13:17" x14ac:dyDescent="0.35">
      <c r="M62" s="177"/>
      <c r="N62" s="178"/>
      <c r="O62" s="179"/>
      <c r="P62" s="179"/>
      <c r="Q62" s="178"/>
    </row>
    <row r="63" spans="13:17" x14ac:dyDescent="0.35">
      <c r="M63" s="177"/>
      <c r="N63" s="178"/>
      <c r="O63" s="179"/>
      <c r="P63" s="179"/>
      <c r="Q63" s="178"/>
    </row>
    <row r="64" spans="13:17" x14ac:dyDescent="0.35">
      <c r="M64" s="177"/>
      <c r="N64" s="178"/>
      <c r="O64" s="179"/>
      <c r="P64" s="179"/>
      <c r="Q64" s="178"/>
    </row>
    <row r="65" spans="13:17" x14ac:dyDescent="0.35">
      <c r="M65" s="177"/>
      <c r="N65" s="178"/>
      <c r="O65" s="179"/>
      <c r="P65" s="179"/>
      <c r="Q65" s="178"/>
    </row>
    <row r="66" spans="13:17" x14ac:dyDescent="0.35">
      <c r="M66" s="177"/>
      <c r="N66" s="178"/>
      <c r="O66" s="179"/>
      <c r="P66" s="179"/>
      <c r="Q66" s="178"/>
    </row>
    <row r="67" spans="13:17" x14ac:dyDescent="0.35">
      <c r="M67" s="177"/>
      <c r="N67" s="178"/>
      <c r="O67" s="179"/>
      <c r="P67" s="179"/>
      <c r="Q67" s="178"/>
    </row>
    <row r="68" spans="13:17" x14ac:dyDescent="0.35">
      <c r="M68" s="177"/>
      <c r="N68" s="178"/>
      <c r="O68" s="179"/>
      <c r="P68" s="179"/>
      <c r="Q68" s="178"/>
    </row>
    <row r="69" spans="13:17" x14ac:dyDescent="0.35">
      <c r="M69" s="177"/>
      <c r="N69" s="178"/>
      <c r="O69" s="179"/>
      <c r="P69" s="179"/>
      <c r="Q69" s="178"/>
    </row>
    <row r="70" spans="13:17" x14ac:dyDescent="0.35">
      <c r="M70" s="177"/>
      <c r="N70" s="178"/>
      <c r="O70" s="179"/>
      <c r="P70" s="179"/>
      <c r="Q70" s="178"/>
    </row>
    <row r="71" spans="13:17" x14ac:dyDescent="0.35">
      <c r="M71" s="177"/>
      <c r="N71" s="178"/>
      <c r="O71" s="179"/>
      <c r="P71" s="179"/>
      <c r="Q71" s="178"/>
    </row>
    <row r="72" spans="13:17" x14ac:dyDescent="0.35">
      <c r="M72" s="177"/>
      <c r="N72" s="178"/>
      <c r="O72" s="179"/>
      <c r="P72" s="179"/>
      <c r="Q72" s="178"/>
    </row>
    <row r="73" spans="13:17" x14ac:dyDescent="0.35">
      <c r="M73" s="177"/>
      <c r="N73" s="178"/>
      <c r="O73" s="179"/>
      <c r="P73" s="179"/>
      <c r="Q73" s="178"/>
    </row>
    <row r="74" spans="13:17" x14ac:dyDescent="0.35">
      <c r="M74" s="177"/>
      <c r="N74" s="178"/>
      <c r="O74" s="179"/>
      <c r="P74" s="179"/>
      <c r="Q74" s="178"/>
    </row>
    <row r="75" spans="13:17" x14ac:dyDescent="0.35">
      <c r="M75" s="177"/>
      <c r="N75" s="178"/>
      <c r="O75" s="179"/>
      <c r="P75" s="179"/>
      <c r="Q75" s="178"/>
    </row>
    <row r="76" spans="13:17" x14ac:dyDescent="0.35">
      <c r="M76" s="177"/>
      <c r="N76" s="178"/>
      <c r="O76" s="179"/>
      <c r="P76" s="179"/>
      <c r="Q76" s="178"/>
    </row>
    <row r="77" spans="13:17" x14ac:dyDescent="0.35">
      <c r="M77" s="177"/>
      <c r="N77" s="178"/>
      <c r="O77" s="179"/>
      <c r="P77" s="179"/>
      <c r="Q77" s="178"/>
    </row>
    <row r="78" spans="13:17" x14ac:dyDescent="0.35">
      <c r="M78" s="177"/>
      <c r="N78" s="178"/>
      <c r="O78" s="179"/>
      <c r="P78" s="179"/>
      <c r="Q78" s="178"/>
    </row>
    <row r="79" spans="13:17" x14ac:dyDescent="0.35">
      <c r="M79" s="177"/>
      <c r="N79" s="178"/>
      <c r="O79" s="179"/>
      <c r="P79" s="179"/>
      <c r="Q79" s="178"/>
    </row>
    <row r="80" spans="13:17" x14ac:dyDescent="0.35">
      <c r="M80" s="177"/>
      <c r="N80" s="178"/>
      <c r="O80" s="179"/>
      <c r="P80" s="179"/>
      <c r="Q80" s="178"/>
    </row>
  </sheetData>
  <mergeCells count="2">
    <mergeCell ref="A9:F9"/>
    <mergeCell ref="A8:F8"/>
  </mergeCells>
  <conditionalFormatting sqref="A8:F8">
    <cfRule type="expression" dxfId="110" priority="2">
      <formula>LEN($A$8)&gt;0</formula>
    </cfRule>
  </conditionalFormatting>
  <conditionalFormatting sqref="E3:E6">
    <cfRule type="expression" dxfId="109" priority="3" stopIfTrue="1">
      <formula>AND($A3="Nao",$C3&lt;&gt;"",$E3="",COUNTIF($A4:$A$7,"Sim")&gt;0)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4" t="s">
        <v>41</v>
      </c>
      <c r="B1" s="34" t="s">
        <v>32</v>
      </c>
      <c r="C1" s="34" t="s">
        <v>58</v>
      </c>
      <c r="D1" s="34" t="s">
        <v>59</v>
      </c>
      <c r="E1" s="34" t="s">
        <v>60</v>
      </c>
      <c r="F1" s="34" t="s">
        <v>61</v>
      </c>
      <c r="G1" s="34" t="s">
        <v>62</v>
      </c>
    </row>
    <row r="2" spans="1:7" x14ac:dyDescent="0.35">
      <c r="A2" s="145"/>
      <c r="B2" s="145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77"/>
      <c r="D2" s="206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79" t="str">
        <f t="shared" ref="E2:E33" si="0">IF(C2="","",IF(G2="","",IF(G2="Sim",IF(NOT(ISNUMBER(D2)),"",ROUND(C2*D2,2)),C2)))</f>
        <v/>
      </c>
      <c r="F2" s="79" t="str">
        <f t="shared" ref="F2:F33" si="1">IF(C2="","",IF(G2="","",IF(G2="Sim",IF(E2="","",ROUND(E2-C2,2)),0)))</f>
        <v/>
      </c>
      <c r="G2" s="99"/>
    </row>
    <row r="3" spans="1:7" x14ac:dyDescent="0.35">
      <c r="A3" s="145"/>
      <c r="B3" s="145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77"/>
      <c r="D3" s="206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79" t="str">
        <f t="shared" si="0"/>
        <v/>
      </c>
      <c r="F3" s="79" t="str">
        <f t="shared" si="1"/>
        <v/>
      </c>
      <c r="G3" s="99"/>
    </row>
    <row r="4" spans="1:7" x14ac:dyDescent="0.35">
      <c r="A4" s="145"/>
      <c r="B4" s="145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77"/>
      <c r="D4" s="206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79" t="str">
        <f t="shared" si="0"/>
        <v/>
      </c>
      <c r="F4" s="79" t="str">
        <f t="shared" si="1"/>
        <v/>
      </c>
      <c r="G4" s="99"/>
    </row>
    <row r="5" spans="1:7" x14ac:dyDescent="0.35">
      <c r="A5" s="145"/>
      <c r="B5" s="145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77"/>
      <c r="D5" s="206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79" t="str">
        <f t="shared" si="0"/>
        <v/>
      </c>
      <c r="F5" s="79" t="str">
        <f t="shared" si="1"/>
        <v/>
      </c>
      <c r="G5" s="99"/>
    </row>
    <row r="6" spans="1:7" x14ac:dyDescent="0.35">
      <c r="A6" s="145"/>
      <c r="B6" s="145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77"/>
      <c r="D6" s="206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79" t="str">
        <f t="shared" si="0"/>
        <v/>
      </c>
      <c r="F6" s="79" t="str">
        <f t="shared" si="1"/>
        <v/>
      </c>
      <c r="G6" s="99"/>
    </row>
    <row r="7" spans="1:7" x14ac:dyDescent="0.35">
      <c r="A7" s="145"/>
      <c r="B7" s="145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77"/>
      <c r="D7" s="206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79" t="str">
        <f t="shared" si="0"/>
        <v/>
      </c>
      <c r="F7" s="79" t="str">
        <f t="shared" si="1"/>
        <v/>
      </c>
      <c r="G7" s="99"/>
    </row>
    <row r="8" spans="1:7" x14ac:dyDescent="0.35">
      <c r="A8" s="145"/>
      <c r="B8" s="145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77"/>
      <c r="D8" s="206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79" t="str">
        <f t="shared" si="0"/>
        <v/>
      </c>
      <c r="F8" s="79" t="str">
        <f t="shared" si="1"/>
        <v/>
      </c>
      <c r="G8" s="99"/>
    </row>
    <row r="9" spans="1:7" x14ac:dyDescent="0.35">
      <c r="A9" s="145"/>
      <c r="B9" s="145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77"/>
      <c r="D9" s="206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79" t="str">
        <f t="shared" si="0"/>
        <v/>
      </c>
      <c r="F9" s="79" t="str">
        <f t="shared" si="1"/>
        <v/>
      </c>
      <c r="G9" s="99"/>
    </row>
    <row r="10" spans="1:7" x14ac:dyDescent="0.35">
      <c r="A10" s="145"/>
      <c r="B10" s="145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77"/>
      <c r="D10" s="206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79" t="str">
        <f t="shared" si="0"/>
        <v/>
      </c>
      <c r="F10" s="79" t="str">
        <f t="shared" si="1"/>
        <v/>
      </c>
      <c r="G10" s="99"/>
    </row>
    <row r="11" spans="1:7" x14ac:dyDescent="0.35">
      <c r="A11" s="145"/>
      <c r="B11" s="145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77"/>
      <c r="D11" s="206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79" t="str">
        <f t="shared" si="0"/>
        <v/>
      </c>
      <c r="F11" s="79" t="str">
        <f t="shared" si="1"/>
        <v/>
      </c>
      <c r="G11" s="99"/>
    </row>
    <row r="12" spans="1:7" x14ac:dyDescent="0.35">
      <c r="A12" s="145"/>
      <c r="B12" s="145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77"/>
      <c r="D12" s="206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79" t="str">
        <f t="shared" si="0"/>
        <v/>
      </c>
      <c r="F12" s="79" t="str">
        <f t="shared" si="1"/>
        <v/>
      </c>
      <c r="G12" s="99"/>
    </row>
    <row r="13" spans="1:7" x14ac:dyDescent="0.35">
      <c r="A13" s="145"/>
      <c r="B13" s="145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77"/>
      <c r="D13" s="206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79" t="str">
        <f t="shared" si="0"/>
        <v/>
      </c>
      <c r="F13" s="79" t="str">
        <f t="shared" si="1"/>
        <v/>
      </c>
      <c r="G13" s="99"/>
    </row>
    <row r="14" spans="1:7" x14ac:dyDescent="0.35">
      <c r="A14" s="156"/>
      <c r="B14" s="145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77"/>
      <c r="D14" s="206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79" t="str">
        <f t="shared" si="0"/>
        <v/>
      </c>
      <c r="F14" s="79" t="str">
        <f t="shared" si="1"/>
        <v/>
      </c>
      <c r="G14" s="157"/>
    </row>
    <row r="15" spans="1:7" x14ac:dyDescent="0.35">
      <c r="A15" s="156"/>
      <c r="B15" s="145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77"/>
      <c r="D15" s="206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79" t="str">
        <f t="shared" si="0"/>
        <v/>
      </c>
      <c r="F15" s="79" t="str">
        <f t="shared" si="1"/>
        <v/>
      </c>
      <c r="G15" s="157"/>
    </row>
    <row r="16" spans="1:7" x14ac:dyDescent="0.35">
      <c r="A16" s="156"/>
      <c r="B16" s="145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77"/>
      <c r="D16" s="206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79" t="str">
        <f t="shared" si="0"/>
        <v/>
      </c>
      <c r="F16" s="79" t="str">
        <f t="shared" si="1"/>
        <v/>
      </c>
      <c r="G16" s="157"/>
    </row>
    <row r="17" spans="1:7" x14ac:dyDescent="0.35">
      <c r="A17" s="156"/>
      <c r="B17" s="145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77"/>
      <c r="D17" s="206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79" t="str">
        <f t="shared" si="0"/>
        <v/>
      </c>
      <c r="F17" s="79" t="str">
        <f t="shared" si="1"/>
        <v/>
      </c>
      <c r="G17" s="157"/>
    </row>
    <row r="18" spans="1:7" x14ac:dyDescent="0.35">
      <c r="A18" s="156"/>
      <c r="B18" s="145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77"/>
      <c r="D18" s="206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79" t="str">
        <f t="shared" si="0"/>
        <v/>
      </c>
      <c r="F18" s="79" t="str">
        <f t="shared" si="1"/>
        <v/>
      </c>
      <c r="G18" s="157"/>
    </row>
    <row r="19" spans="1:7" x14ac:dyDescent="0.35">
      <c r="A19" s="156"/>
      <c r="B19" s="145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77"/>
      <c r="D19" s="206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79" t="str">
        <f t="shared" si="0"/>
        <v/>
      </c>
      <c r="F19" s="79" t="str">
        <f t="shared" si="1"/>
        <v/>
      </c>
      <c r="G19" s="157"/>
    </row>
    <row r="20" spans="1:7" x14ac:dyDescent="0.35">
      <c r="A20" s="156"/>
      <c r="B20" s="145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77"/>
      <c r="D20" s="206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79" t="str">
        <f t="shared" si="0"/>
        <v/>
      </c>
      <c r="F20" s="79" t="str">
        <f t="shared" si="1"/>
        <v/>
      </c>
      <c r="G20" s="157"/>
    </row>
    <row r="21" spans="1:7" x14ac:dyDescent="0.35">
      <c r="A21" s="156"/>
      <c r="B21" s="145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77"/>
      <c r="D21" s="206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79" t="str">
        <f t="shared" si="0"/>
        <v/>
      </c>
      <c r="F21" s="79" t="str">
        <f t="shared" si="1"/>
        <v/>
      </c>
      <c r="G21" s="157"/>
    </row>
    <row r="22" spans="1:7" x14ac:dyDescent="0.35">
      <c r="A22" s="156"/>
      <c r="B22" s="145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77"/>
      <c r="D22" s="206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79" t="str">
        <f t="shared" si="0"/>
        <v/>
      </c>
      <c r="F22" s="79" t="str">
        <f t="shared" si="1"/>
        <v/>
      </c>
      <c r="G22" s="157"/>
    </row>
    <row r="23" spans="1:7" x14ac:dyDescent="0.35">
      <c r="A23" s="156"/>
      <c r="B23" s="145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77"/>
      <c r="D23" s="206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79" t="str">
        <f t="shared" si="0"/>
        <v/>
      </c>
      <c r="F23" s="79" t="str">
        <f t="shared" si="1"/>
        <v/>
      </c>
      <c r="G23" s="157"/>
    </row>
    <row r="24" spans="1:7" x14ac:dyDescent="0.35">
      <c r="A24" s="156"/>
      <c r="B24" s="145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77"/>
      <c r="D24" s="206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79" t="str">
        <f t="shared" si="0"/>
        <v/>
      </c>
      <c r="F24" s="79" t="str">
        <f t="shared" si="1"/>
        <v/>
      </c>
      <c r="G24" s="157"/>
    </row>
    <row r="25" spans="1:7" x14ac:dyDescent="0.35">
      <c r="A25" s="156"/>
      <c r="B25" s="145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77"/>
      <c r="D25" s="206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79" t="str">
        <f t="shared" si="0"/>
        <v/>
      </c>
      <c r="F25" s="79" t="str">
        <f t="shared" si="1"/>
        <v/>
      </c>
      <c r="G25" s="157"/>
    </row>
    <row r="26" spans="1:7" x14ac:dyDescent="0.35">
      <c r="A26" s="156"/>
      <c r="B26" s="145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77"/>
      <c r="D26" s="206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79" t="str">
        <f t="shared" si="0"/>
        <v/>
      </c>
      <c r="F26" s="79" t="str">
        <f t="shared" si="1"/>
        <v/>
      </c>
      <c r="G26" s="157"/>
    </row>
    <row r="27" spans="1:7" x14ac:dyDescent="0.35">
      <c r="A27" s="156"/>
      <c r="B27" s="145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77"/>
      <c r="D27" s="206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79" t="str">
        <f t="shared" si="0"/>
        <v/>
      </c>
      <c r="F27" s="79" t="str">
        <f t="shared" si="1"/>
        <v/>
      </c>
      <c r="G27" s="157"/>
    </row>
    <row r="28" spans="1:7" x14ac:dyDescent="0.35">
      <c r="A28" s="156"/>
      <c r="B28" s="145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77"/>
      <c r="D28" s="206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79" t="str">
        <f t="shared" si="0"/>
        <v/>
      </c>
      <c r="F28" s="79" t="str">
        <f t="shared" si="1"/>
        <v/>
      </c>
      <c r="G28" s="157"/>
    </row>
    <row r="29" spans="1:7" x14ac:dyDescent="0.35">
      <c r="A29" s="156"/>
      <c r="B29" s="145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77"/>
      <c r="D29" s="206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79" t="str">
        <f t="shared" si="0"/>
        <v/>
      </c>
      <c r="F29" s="79" t="str">
        <f t="shared" si="1"/>
        <v/>
      </c>
      <c r="G29" s="157"/>
    </row>
    <row r="30" spans="1:7" x14ac:dyDescent="0.35">
      <c r="A30" s="156"/>
      <c r="B30" s="145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77"/>
      <c r="D30" s="206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79" t="str">
        <f t="shared" si="0"/>
        <v/>
      </c>
      <c r="F30" s="79" t="str">
        <f t="shared" si="1"/>
        <v/>
      </c>
      <c r="G30" s="157"/>
    </row>
    <row r="31" spans="1:7" x14ac:dyDescent="0.35">
      <c r="A31" s="156"/>
      <c r="B31" s="145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77"/>
      <c r="D31" s="206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79" t="str">
        <f t="shared" si="0"/>
        <v/>
      </c>
      <c r="F31" s="79" t="str">
        <f t="shared" si="1"/>
        <v/>
      </c>
      <c r="G31" s="157"/>
    </row>
    <row r="32" spans="1:7" x14ac:dyDescent="0.35">
      <c r="A32" s="156"/>
      <c r="B32" s="145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77"/>
      <c r="D32" s="206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79" t="str">
        <f t="shared" si="0"/>
        <v/>
      </c>
      <c r="F32" s="79" t="str">
        <f t="shared" si="1"/>
        <v/>
      </c>
      <c r="G32" s="157"/>
    </row>
    <row r="33" spans="1:7" x14ac:dyDescent="0.35">
      <c r="A33" s="156"/>
      <c r="B33" s="145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77"/>
      <c r="D33" s="206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79" t="str">
        <f t="shared" si="0"/>
        <v/>
      </c>
      <c r="F33" s="79" t="str">
        <f t="shared" si="1"/>
        <v/>
      </c>
      <c r="G33" s="157"/>
    </row>
    <row r="34" spans="1:7" x14ac:dyDescent="0.35">
      <c r="A34" s="156"/>
      <c r="B34" s="145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77"/>
      <c r="D34" s="206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79" t="str">
        <f t="shared" ref="E34:E65" si="2">IF(C34="","",IF(G34="","",IF(G34="Sim",IF(NOT(ISNUMBER(D34)),"",ROUND(C34*D34,2)),C34)))</f>
        <v/>
      </c>
      <c r="F34" s="79" t="str">
        <f t="shared" ref="F34:F65" si="3">IF(C34="","",IF(G34="","",IF(G34="Sim",IF(E34="","",ROUND(E34-C34,2)),0)))</f>
        <v/>
      </c>
      <c r="G34" s="157"/>
    </row>
    <row r="35" spans="1:7" x14ac:dyDescent="0.35">
      <c r="A35" s="156"/>
      <c r="B35" s="145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77"/>
      <c r="D35" s="206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79" t="str">
        <f t="shared" si="2"/>
        <v/>
      </c>
      <c r="F35" s="79" t="str">
        <f t="shared" si="3"/>
        <v/>
      </c>
      <c r="G35" s="157"/>
    </row>
    <row r="36" spans="1:7" x14ac:dyDescent="0.35">
      <c r="A36" s="156"/>
      <c r="B36" s="145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77"/>
      <c r="D36" s="206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79" t="str">
        <f t="shared" si="2"/>
        <v/>
      </c>
      <c r="F36" s="79" t="str">
        <f t="shared" si="3"/>
        <v/>
      </c>
      <c r="G36" s="157"/>
    </row>
    <row r="37" spans="1:7" x14ac:dyDescent="0.35">
      <c r="A37" s="156"/>
      <c r="B37" s="145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77"/>
      <c r="D37" s="206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79" t="str">
        <f t="shared" si="2"/>
        <v/>
      </c>
      <c r="F37" s="79" t="str">
        <f t="shared" si="3"/>
        <v/>
      </c>
      <c r="G37" s="157"/>
    </row>
    <row r="38" spans="1:7" x14ac:dyDescent="0.35">
      <c r="A38" s="76"/>
      <c r="B38" s="145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77"/>
      <c r="D38" s="206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79" t="str">
        <f t="shared" si="2"/>
        <v/>
      </c>
      <c r="F38" s="79" t="str">
        <f t="shared" si="3"/>
        <v/>
      </c>
      <c r="G38" s="80"/>
    </row>
    <row r="39" spans="1:7" x14ac:dyDescent="0.35">
      <c r="A39" s="76"/>
      <c r="B39" s="145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77"/>
      <c r="D39" s="206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79" t="str">
        <f t="shared" si="2"/>
        <v/>
      </c>
      <c r="F39" s="79" t="str">
        <f t="shared" si="3"/>
        <v/>
      </c>
      <c r="G39" s="80"/>
    </row>
    <row r="40" spans="1:7" x14ac:dyDescent="0.35">
      <c r="A40" s="76"/>
      <c r="B40" s="145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77"/>
      <c r="D40" s="206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79" t="str">
        <f t="shared" si="2"/>
        <v/>
      </c>
      <c r="F40" s="79" t="str">
        <f t="shared" si="3"/>
        <v/>
      </c>
      <c r="G40" s="80"/>
    </row>
    <row r="41" spans="1:7" x14ac:dyDescent="0.35">
      <c r="A41" s="76"/>
      <c r="B41" s="145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77"/>
      <c r="D41" s="206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79" t="str">
        <f t="shared" si="2"/>
        <v/>
      </c>
      <c r="F41" s="79" t="str">
        <f t="shared" si="3"/>
        <v/>
      </c>
      <c r="G41" s="80"/>
    </row>
    <row r="42" spans="1:7" x14ac:dyDescent="0.35">
      <c r="A42" s="76"/>
      <c r="B42" s="145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77"/>
      <c r="D42" s="206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79" t="str">
        <f t="shared" si="2"/>
        <v/>
      </c>
      <c r="F42" s="79" t="str">
        <f t="shared" si="3"/>
        <v/>
      </c>
      <c r="G42" s="80"/>
    </row>
    <row r="43" spans="1:7" x14ac:dyDescent="0.35">
      <c r="A43" s="76"/>
      <c r="B43" s="145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77"/>
      <c r="D43" s="206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79" t="str">
        <f t="shared" si="2"/>
        <v/>
      </c>
      <c r="F43" s="79" t="str">
        <f t="shared" si="3"/>
        <v/>
      </c>
      <c r="G43" s="80"/>
    </row>
    <row r="44" spans="1:7" x14ac:dyDescent="0.35">
      <c r="A44" s="76"/>
      <c r="B44" s="145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77"/>
      <c r="D44" s="206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79" t="str">
        <f t="shared" si="2"/>
        <v/>
      </c>
      <c r="F44" s="79" t="str">
        <f t="shared" si="3"/>
        <v/>
      </c>
      <c r="G44" s="80"/>
    </row>
    <row r="45" spans="1:7" x14ac:dyDescent="0.35">
      <c r="A45" s="76"/>
      <c r="B45" s="145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77"/>
      <c r="D45" s="206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79" t="str">
        <f t="shared" si="2"/>
        <v/>
      </c>
      <c r="F45" s="79" t="str">
        <f t="shared" si="3"/>
        <v/>
      </c>
      <c r="G45" s="80"/>
    </row>
    <row r="46" spans="1:7" x14ac:dyDescent="0.35">
      <c r="A46" s="76"/>
      <c r="B46" s="145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77"/>
      <c r="D46" s="206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79" t="str">
        <f t="shared" si="2"/>
        <v/>
      </c>
      <c r="F46" s="79" t="str">
        <f t="shared" si="3"/>
        <v/>
      </c>
      <c r="G46" s="80"/>
    </row>
    <row r="47" spans="1:7" x14ac:dyDescent="0.35">
      <c r="A47" s="76"/>
      <c r="B47" s="145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77"/>
      <c r="D47" s="206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79" t="str">
        <f t="shared" si="2"/>
        <v/>
      </c>
      <c r="F47" s="79" t="str">
        <f t="shared" si="3"/>
        <v/>
      </c>
      <c r="G47" s="80"/>
    </row>
    <row r="48" spans="1:7" x14ac:dyDescent="0.35">
      <c r="A48" s="76"/>
      <c r="B48" s="145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77"/>
      <c r="D48" s="206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79" t="str">
        <f t="shared" si="2"/>
        <v/>
      </c>
      <c r="F48" s="79" t="str">
        <f t="shared" si="3"/>
        <v/>
      </c>
      <c r="G48" s="80"/>
    </row>
    <row r="49" spans="1:7" x14ac:dyDescent="0.35">
      <c r="A49" s="76"/>
      <c r="B49" s="145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77"/>
      <c r="D49" s="206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79" t="str">
        <f t="shared" si="2"/>
        <v/>
      </c>
      <c r="F49" s="79" t="str">
        <f t="shared" si="3"/>
        <v/>
      </c>
      <c r="G49" s="80"/>
    </row>
    <row r="50" spans="1:7" x14ac:dyDescent="0.35">
      <c r="A50" s="76"/>
      <c r="B50" s="145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77"/>
      <c r="D50" s="206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79" t="str">
        <f t="shared" si="2"/>
        <v/>
      </c>
      <c r="F50" s="79" t="str">
        <f t="shared" si="3"/>
        <v/>
      </c>
      <c r="G50" s="80"/>
    </row>
    <row r="51" spans="1:7" x14ac:dyDescent="0.35">
      <c r="A51" s="76"/>
      <c r="B51" s="145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77"/>
      <c r="D51" s="206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79" t="str">
        <f t="shared" si="2"/>
        <v/>
      </c>
      <c r="F51" s="79" t="str">
        <f t="shared" si="3"/>
        <v/>
      </c>
      <c r="G51" s="80"/>
    </row>
    <row r="52" spans="1:7" x14ac:dyDescent="0.35">
      <c r="A52" s="76"/>
      <c r="B52" s="145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77"/>
      <c r="D52" s="206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79" t="str">
        <f t="shared" si="2"/>
        <v/>
      </c>
      <c r="F52" s="79" t="str">
        <f t="shared" si="3"/>
        <v/>
      </c>
      <c r="G52" s="80"/>
    </row>
    <row r="53" spans="1:7" x14ac:dyDescent="0.35">
      <c r="A53" s="76"/>
      <c r="B53" s="145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77"/>
      <c r="D53" s="206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79" t="str">
        <f t="shared" si="2"/>
        <v/>
      </c>
      <c r="F53" s="79" t="str">
        <f t="shared" si="3"/>
        <v/>
      </c>
      <c r="G53" s="80"/>
    </row>
    <row r="54" spans="1:7" x14ac:dyDescent="0.35">
      <c r="A54" s="76"/>
      <c r="B54" s="145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77"/>
      <c r="D54" s="206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79" t="str">
        <f t="shared" si="2"/>
        <v/>
      </c>
      <c r="F54" s="79" t="str">
        <f t="shared" si="3"/>
        <v/>
      </c>
      <c r="G54" s="80"/>
    </row>
    <row r="55" spans="1:7" x14ac:dyDescent="0.35">
      <c r="A55" s="76"/>
      <c r="B55" s="145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77"/>
      <c r="D55" s="206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79" t="str">
        <f t="shared" si="2"/>
        <v/>
      </c>
      <c r="F55" s="79" t="str">
        <f t="shared" si="3"/>
        <v/>
      </c>
      <c r="G55" s="80"/>
    </row>
    <row r="56" spans="1:7" x14ac:dyDescent="0.35">
      <c r="A56" s="76"/>
      <c r="B56" s="145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77"/>
      <c r="D56" s="206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79" t="str">
        <f t="shared" si="2"/>
        <v/>
      </c>
      <c r="F56" s="79" t="str">
        <f t="shared" si="3"/>
        <v/>
      </c>
      <c r="G56" s="80"/>
    </row>
    <row r="57" spans="1:7" x14ac:dyDescent="0.35">
      <c r="A57" s="76"/>
      <c r="B57" s="145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77"/>
      <c r="D57" s="206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79" t="str">
        <f t="shared" si="2"/>
        <v/>
      </c>
      <c r="F57" s="79" t="str">
        <f t="shared" si="3"/>
        <v/>
      </c>
      <c r="G57" s="80"/>
    </row>
    <row r="58" spans="1:7" x14ac:dyDescent="0.35">
      <c r="A58" s="76"/>
      <c r="B58" s="145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77"/>
      <c r="D58" s="206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79" t="str">
        <f t="shared" si="2"/>
        <v/>
      </c>
      <c r="F58" s="79" t="str">
        <f t="shared" si="3"/>
        <v/>
      </c>
      <c r="G58" s="80"/>
    </row>
    <row r="59" spans="1:7" x14ac:dyDescent="0.35">
      <c r="A59" s="76"/>
      <c r="B59" s="145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77"/>
      <c r="D59" s="206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79" t="str">
        <f t="shared" si="2"/>
        <v/>
      </c>
      <c r="F59" s="79" t="str">
        <f t="shared" si="3"/>
        <v/>
      </c>
      <c r="G59" s="80"/>
    </row>
    <row r="60" spans="1:7" x14ac:dyDescent="0.35">
      <c r="A60" s="76"/>
      <c r="B60" s="145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77"/>
      <c r="D60" s="206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79" t="str">
        <f t="shared" si="2"/>
        <v/>
      </c>
      <c r="F60" s="79" t="str">
        <f t="shared" si="3"/>
        <v/>
      </c>
      <c r="G60" s="80"/>
    </row>
    <row r="61" spans="1:7" x14ac:dyDescent="0.35">
      <c r="A61" s="76"/>
      <c r="B61" s="145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77"/>
      <c r="D61" s="206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79" t="str">
        <f t="shared" si="2"/>
        <v/>
      </c>
      <c r="F61" s="79" t="str">
        <f t="shared" si="3"/>
        <v/>
      </c>
      <c r="G61" s="80"/>
    </row>
    <row r="62" spans="1:7" x14ac:dyDescent="0.35">
      <c r="A62" s="76"/>
      <c r="B62" s="145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77"/>
      <c r="D62" s="206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79" t="str">
        <f t="shared" si="2"/>
        <v/>
      </c>
      <c r="F62" s="79" t="str">
        <f t="shared" si="3"/>
        <v/>
      </c>
      <c r="G62" s="80"/>
    </row>
    <row r="63" spans="1:7" x14ac:dyDescent="0.35">
      <c r="A63" s="76"/>
      <c r="B63" s="145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77"/>
      <c r="D63" s="206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79" t="str">
        <f t="shared" si="2"/>
        <v/>
      </c>
      <c r="F63" s="79" t="str">
        <f t="shared" si="3"/>
        <v/>
      </c>
      <c r="G63" s="80"/>
    </row>
    <row r="64" spans="1:7" x14ac:dyDescent="0.35">
      <c r="A64" s="76"/>
      <c r="B64" s="145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77"/>
      <c r="D64" s="206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79" t="str">
        <f t="shared" si="2"/>
        <v/>
      </c>
      <c r="F64" s="79" t="str">
        <f t="shared" si="3"/>
        <v/>
      </c>
      <c r="G64" s="80"/>
    </row>
    <row r="65" spans="1:7" x14ac:dyDescent="0.35">
      <c r="A65" s="76"/>
      <c r="B65" s="145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77"/>
      <c r="D65" s="206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79" t="str">
        <f t="shared" si="2"/>
        <v/>
      </c>
      <c r="F65" s="79" t="str">
        <f t="shared" si="3"/>
        <v/>
      </c>
      <c r="G65" s="80"/>
    </row>
    <row r="66" spans="1:7" x14ac:dyDescent="0.35">
      <c r="A66" s="76"/>
      <c r="B66" s="145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77"/>
      <c r="D66" s="206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79" t="str">
        <f t="shared" ref="E66:E73" si="4">IF(C66="","",IF(G66="","",IF(G66="Sim",IF(NOT(ISNUMBER(D66)),"",ROUND(C66*D66,2)),C66)))</f>
        <v/>
      </c>
      <c r="F66" s="79" t="str">
        <f t="shared" ref="F66:F73" si="5">IF(C66="","",IF(G66="","",IF(G66="Sim",IF(E66="","",ROUND(E66-C66,2)),0)))</f>
        <v/>
      </c>
      <c r="G66" s="80"/>
    </row>
    <row r="67" spans="1:7" x14ac:dyDescent="0.35">
      <c r="A67" s="76"/>
      <c r="B67" s="145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77"/>
      <c r="D67" s="206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79" t="str">
        <f t="shared" si="4"/>
        <v/>
      </c>
      <c r="F67" s="79" t="str">
        <f t="shared" si="5"/>
        <v/>
      </c>
      <c r="G67" s="80"/>
    </row>
    <row r="68" spans="1:7" x14ac:dyDescent="0.35">
      <c r="A68" s="76"/>
      <c r="B68" s="145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77"/>
      <c r="D68" s="206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79" t="str">
        <f t="shared" si="4"/>
        <v/>
      </c>
      <c r="F68" s="79" t="str">
        <f t="shared" si="5"/>
        <v/>
      </c>
      <c r="G68" s="80"/>
    </row>
    <row r="69" spans="1:7" x14ac:dyDescent="0.35">
      <c r="A69" s="76"/>
      <c r="B69" s="145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77"/>
      <c r="D69" s="206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79" t="str">
        <f t="shared" si="4"/>
        <v/>
      </c>
      <c r="F69" s="79" t="str">
        <f t="shared" si="5"/>
        <v/>
      </c>
      <c r="G69" s="80"/>
    </row>
    <row r="70" spans="1:7" x14ac:dyDescent="0.35">
      <c r="A70" s="76"/>
      <c r="B70" s="145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77"/>
      <c r="D70" s="206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79" t="str">
        <f t="shared" si="4"/>
        <v/>
      </c>
      <c r="F70" s="79" t="str">
        <f t="shared" si="5"/>
        <v/>
      </c>
      <c r="G70" s="80"/>
    </row>
    <row r="71" spans="1:7" x14ac:dyDescent="0.35">
      <c r="A71" s="76"/>
      <c r="B71" s="145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77"/>
      <c r="D71" s="206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79" t="str">
        <f t="shared" si="4"/>
        <v/>
      </c>
      <c r="F71" s="79" t="str">
        <f t="shared" si="5"/>
        <v/>
      </c>
      <c r="G71" s="80"/>
    </row>
    <row r="72" spans="1:7" x14ac:dyDescent="0.35">
      <c r="A72" s="76"/>
      <c r="B72" s="145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77"/>
      <c r="D72" s="206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79" t="str">
        <f t="shared" si="4"/>
        <v/>
      </c>
      <c r="F72" s="79" t="str">
        <f t="shared" si="5"/>
        <v/>
      </c>
      <c r="G72" s="80"/>
    </row>
    <row r="73" spans="1:7" x14ac:dyDescent="0.35">
      <c r="A73" s="76"/>
      <c r="B73" s="145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77"/>
      <c r="D73" s="206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79" t="str">
        <f t="shared" si="4"/>
        <v/>
      </c>
      <c r="F73" s="79" t="str">
        <f t="shared" si="5"/>
        <v/>
      </c>
      <c r="G73" s="80"/>
    </row>
    <row r="74" spans="1:7" x14ac:dyDescent="0.35">
      <c r="A74" s="302"/>
      <c r="B74" s="303" t="s">
        <v>26</v>
      </c>
      <c r="C74" s="304">
        <f>SUM(C2:C73)</f>
        <v>0</v>
      </c>
      <c r="D74" s="303"/>
      <c r="E74" s="304">
        <f>SUM(E2:E73)</f>
        <v>0</v>
      </c>
      <c r="F74" s="304">
        <f>SUM(F2:F73)</f>
        <v>0</v>
      </c>
      <c r="G74" s="305"/>
    </row>
  </sheetData>
  <conditionalFormatting sqref="A2:G73">
    <cfRule type="expression" dxfId="108" priority="1" stopIfTrue="1">
      <formula>AND($C2&lt;&gt;"",$G2="")</formula>
    </cfRule>
    <cfRule type="expression" dxfId="107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4" t="s">
        <v>63</v>
      </c>
      <c r="B1" s="34" t="s">
        <v>64</v>
      </c>
      <c r="C1" s="34" t="s">
        <v>20</v>
      </c>
      <c r="D1" s="34" t="s">
        <v>65</v>
      </c>
      <c r="E1" s="35" t="str">
        <f>IF(parametros!$I$3="","QTD. REMANESCENTE - C1","QTD. REMANESCENTE - C1"&amp;CHAR(10)&amp;"Informe a quantidade existente em "&amp;RIGHT("0"&amp;DAY(parametros!$I$3),2)&amp;"/"&amp;RIGHT("0"&amp;MONTH(parametros!$I$3),2)&amp;"/"&amp;YEAR(parametros!$I$3))</f>
        <v>QTD. REMANESCENTE - C1</v>
      </c>
      <c r="F1" s="35" t="str">
        <f>"VALOR REMANESCENTE - C1"&amp;CHAR(10)&amp;"Calculado automaticamente"</f>
        <v>VALOR REMANESCENTE - C1
Calculado automaticamente</v>
      </c>
      <c r="G1" s="17" t="str">
        <f>IF(parametros!$I$4="","QTD. REMANESCENTE - C2","QTD. REMANESCENTE - C2"&amp;CHAR(10)&amp;"Informe a quantidade existente em "&amp;RIGHT("0"&amp;DAY(parametros!$I$4),2)&amp;"/"&amp;RIGHT("0"&amp;MONTH(parametros!$I$4),2)&amp;"/"&amp;YEAR(parametros!$I$4))</f>
        <v>QTD. REMANESCENTE - C2</v>
      </c>
      <c r="H1" s="17" t="str">
        <f>"VALOR REMANESCENTE - C2"&amp;CHAR(10)&amp;"Calculado automaticamente"</f>
        <v>VALOR REMANESCENTE - C2
Calculado automaticamente</v>
      </c>
      <c r="I1" s="35" t="str">
        <f>IF(parametros!$I$5="","QTD. REMANESCENTE - C3","QTD. REMANESCENTE - C3"&amp;CHAR(10)&amp;"Informe a quantidade existente em "&amp;RIGHT("0"&amp;DAY(parametros!$I$5),2)&amp;"/"&amp;RIGHT("0"&amp;MONTH(parametros!$I$5),2)&amp;"/"&amp;YEAR(parametros!$I$5))</f>
        <v>QTD. REMANESCENTE - C3</v>
      </c>
      <c r="J1" s="35" t="str">
        <f>"VALOR REMANESCENTE - C3"&amp;CHAR(10)&amp;"Calculado automaticamente"</f>
        <v>VALOR REMANESCENTE - C3
Calculado automaticamente</v>
      </c>
      <c r="K1" s="17" t="str">
        <f>IF(parametros!$I$6="","QTD. REMANESCENTE - C4","QTD. REMANESCENTE - C4"&amp;CHAR(10)&amp;"Informe a quantidade existente em "&amp;RIGHT("0"&amp;DAY(parametros!$I$6),2)&amp;"/"&amp;RIGHT("0"&amp;MONTH(parametros!$I$6),2)&amp;"/"&amp;YEAR(parametros!$I$6))</f>
        <v>QTD. REMANESCENTE - C4</v>
      </c>
      <c r="L1" s="17" t="str">
        <f>"VALOR REMANESCENTE - C4"&amp;CHAR(10)&amp;"Calculado automaticamente"</f>
        <v>VALOR REMANESCENTE - C4
Calculado automaticamente</v>
      </c>
      <c r="M1" s="36" t="str">
        <f>"QTD. EXECUTADA - C1"&amp;CHAR(10)&amp;"Calculada automaticamente"</f>
        <v>QTD. EXECUTADA - C1
Calculada automaticamente</v>
      </c>
      <c r="N1" s="36" t="str">
        <f>"VALOR EXECUTADO - C1"&amp;CHAR(10)&amp;"Calculado automaticamente"</f>
        <v>VALOR EXECUTADO - C1
Calculado automaticamente</v>
      </c>
      <c r="O1" s="18" t="str">
        <f>"QTD. EXECUTADA - C2"&amp;CHAR(10)&amp;"Calculada automaticamente"</f>
        <v>QTD. EXECUTADA - C2
Calculada automaticamente</v>
      </c>
      <c r="P1" s="18" t="str">
        <f>"VALOR EXECUTADO - C2"&amp;CHAR(10)&amp;"Calculado automaticamente"</f>
        <v>VALOR EXECUTADO - C2
Calculado automaticamente</v>
      </c>
      <c r="Q1" s="36" t="str">
        <f>"QTD. EXECUTADA - C3"&amp;CHAR(10)&amp;"Calculada automaticamente"</f>
        <v>QTD. EXECUTADA - C3
Calculada automaticamente</v>
      </c>
      <c r="R1" s="36" t="str">
        <f>"VALOR EXECUTADO - C3"&amp;CHAR(10)&amp;"Calculado automaticamente"</f>
        <v>VALOR EXECUTADO - C3
Calculado automaticamente</v>
      </c>
      <c r="S1" s="18" t="str">
        <f>"QTD. EXECUTADA - C4"&amp;CHAR(10)&amp;"Calculada automaticamente"</f>
        <v>QTD. EXECUTADA - C4
Calculada automaticamente</v>
      </c>
      <c r="T1" s="18" t="str">
        <f>"VALOR EXECUTADO - C4"&amp;CHAR(10)&amp;"Calculado automaticamente"</f>
        <v>VALOR EXECUTADO - C4
Calculado automaticamente</v>
      </c>
      <c r="U1" s="34" t="s">
        <v>66</v>
      </c>
      <c r="V1" s="34" t="s">
        <v>67</v>
      </c>
      <c r="W1" s="37" t="s">
        <v>32</v>
      </c>
      <c r="X1" s="37" t="s">
        <v>31</v>
      </c>
      <c r="Y1" s="37" t="s">
        <v>68</v>
      </c>
      <c r="Z1" s="37" t="s">
        <v>36</v>
      </c>
      <c r="AA1" s="19" t="s">
        <v>69</v>
      </c>
      <c r="AB1" s="20" t="s">
        <v>70</v>
      </c>
      <c r="AC1" s="20" t="s">
        <v>71</v>
      </c>
      <c r="AD1" s="63" t="s">
        <v>72</v>
      </c>
      <c r="AE1" s="63" t="s">
        <v>73</v>
      </c>
      <c r="AF1" s="63" t="s">
        <v>74</v>
      </c>
      <c r="AG1" s="63" t="s">
        <v>75</v>
      </c>
      <c r="AH1" s="63" t="s">
        <v>76</v>
      </c>
      <c r="AI1" s="63" t="s">
        <v>77</v>
      </c>
      <c r="AJ1" s="63" t="s">
        <v>78</v>
      </c>
      <c r="AK1" s="63" t="s">
        <v>79</v>
      </c>
      <c r="AL1" s="63" t="s">
        <v>80</v>
      </c>
      <c r="AM1" s="63" t="s">
        <v>81</v>
      </c>
      <c r="AN1" s="63" t="s">
        <v>82</v>
      </c>
      <c r="AO1" s="37" t="s">
        <v>83</v>
      </c>
      <c r="AP1" s="37" t="s">
        <v>84</v>
      </c>
      <c r="AQ1" s="37" t="s">
        <v>85</v>
      </c>
      <c r="AR1" s="37" t="s">
        <v>86</v>
      </c>
      <c r="AS1" s="37" t="s">
        <v>87</v>
      </c>
      <c r="AT1" s="37" t="s">
        <v>88</v>
      </c>
      <c r="AU1" s="37" t="s">
        <v>89</v>
      </c>
      <c r="AV1" s="37" t="s">
        <v>90</v>
      </c>
      <c r="AW1" s="37" t="s">
        <v>91</v>
      </c>
      <c r="AX1" s="37" t="s">
        <v>92</v>
      </c>
      <c r="AY1" s="37" t="s">
        <v>93</v>
      </c>
      <c r="AZ1" s="37" t="s">
        <v>94</v>
      </c>
      <c r="BA1" s="37" t="s">
        <v>95</v>
      </c>
      <c r="BB1" s="37" t="s">
        <v>96</v>
      </c>
      <c r="BC1" s="37" t="s">
        <v>97</v>
      </c>
      <c r="BD1" s="37" t="s">
        <v>98</v>
      </c>
      <c r="BE1" s="37" t="s">
        <v>99</v>
      </c>
      <c r="BF1" s="37" t="s">
        <v>100</v>
      </c>
      <c r="BG1" s="37" t="s">
        <v>101</v>
      </c>
      <c r="BH1" s="37" t="s">
        <v>102</v>
      </c>
      <c r="BI1" t="s">
        <v>103</v>
      </c>
    </row>
    <row r="2" spans="1:61" x14ac:dyDescent="0.35">
      <c r="A2" s="81"/>
      <c r="B2" s="82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3"/>
      <c r="D2" s="79" t="str">
        <f>IF(FALSE,ROUND(SUMIF($A1:A$2,"&lt;&gt;",$D1:D$2),2),IF(OR(A2="",B2="",C2=""),"",ROUND(B2*C2,2)))</f>
        <v/>
      </c>
      <c r="E2" s="84"/>
      <c r="F2" s="79" t="str">
        <f>IF(OR(A2="",AND(ISNUMBER(posicao_contratual!$AL2),posicao_contratual!$AL2&gt;1),posicao_contratual!K2="",NOT(ISNUMBER(historico_VU!D2))),"",ROUND(posicao_contratual!K2*historico_VU!D2,2))</f>
        <v/>
      </c>
      <c r="G2" s="84"/>
      <c r="H2" s="79" t="str">
        <f>IF(OR(A2="",AND(ISNUMBER(posicao_contratual!$AL2),posicao_contratual!$AL2&gt;2),posicao_contratual!O2="",NOT(ISNUMBER(historico_VU!E2))),"",ROUND(posicao_contratual!O2*historico_VU!E2,2))</f>
        <v/>
      </c>
      <c r="I2" s="84"/>
      <c r="J2" s="79" t="str">
        <f>IF(OR(A2="",AND(ISNUMBER(posicao_contratual!$AL2),posicao_contratual!$AL2&gt;3),posicao_contratual!S2="",NOT(ISNUMBER(historico_VU!F2))),"",ROUND(posicao_contratual!S2*historico_VU!F2,2))</f>
        <v/>
      </c>
      <c r="K2" s="84"/>
      <c r="L2" s="79" t="str">
        <f>IF(OR(A2="",AND(ISNUMBER(posicao_contratual!$AL2),posicao_contratual!$AL2&gt;4),posicao_contratual!W2="",NOT(ISNUMBER(historico_VU!G2))),"",ROUND(posicao_contratual!W2*historico_VU!G2,2))</f>
        <v/>
      </c>
      <c r="M2" s="85" t="str">
        <f>IF(OR(posicao_contratual!J2="",posicao_contratual!N2=""),"",ROUND(MAX(posicao_contratual!J2+posicao_contratual!H2-posicao_contratual!N2,0),2))</f>
        <v/>
      </c>
      <c r="N2" s="79" t="str">
        <f>IF(OR(M2="",NOT(ISNUMBER(historico_VU!D2))),"",ROUND(M2*historico_VU!D2,2))</f>
        <v/>
      </c>
      <c r="O2" s="85" t="str">
        <f>IF(OR(posicao_contratual!N2="",posicao_contratual!R2=""),"",ROUND(MAX(posicao_contratual!N2+posicao_contratual!L2-posicao_contratual!R2,0),2))</f>
        <v/>
      </c>
      <c r="P2" s="79" t="str">
        <f>IF(OR(O2="",NOT(ISNUMBER(historico_VU!E2))),"",ROUND(O2*historico_VU!E2,2))</f>
        <v/>
      </c>
      <c r="Q2" s="85" t="str">
        <f>IF(OR(posicao_contratual!R2="",posicao_contratual!V2=""),"",ROUND(MAX(posicao_contratual!R2+posicao_contratual!P2-posicao_contratual!V2,0),2))</f>
        <v/>
      </c>
      <c r="R2" s="79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86" t="str">
        <f>IF(A2="","",posicao_contratual!X2)</f>
        <v/>
      </c>
      <c r="V2" s="86" t="str">
        <f>IF(A2="","",posicao_contratual!X2)</f>
        <v/>
      </c>
      <c r="W2" s="87" t="s">
        <v>21</v>
      </c>
      <c r="X2" s="88">
        <f>parametros!$A$2</f>
        <v>0</v>
      </c>
      <c r="Y2" s="89" t="str">
        <f>IF(ISNUMBER(parametros!$E$2),parametros!$E$2,"")</f>
        <v/>
      </c>
      <c r="Z2" s="90">
        <f>IF(ISNUMBER(parametros!$F$2),parametros!$F$2,"")</f>
        <v>1</v>
      </c>
      <c r="AA2" s="13"/>
      <c r="AB2" s="85" t="str">
        <f>IF(OR(A2="",posicao_contratual!E2="",posicao_contratual!J2=""),"",ROUND(MAX(posicao_contratual!E2-posicao_contratual!J2,0),2))</f>
        <v/>
      </c>
      <c r="AC2" s="79" t="str">
        <f>IF(OR(AB2="",NOT(ISNUMBER(historico_VU!C2))),"",ROUND(AB2*historico_VU!C2,2))</f>
        <v/>
      </c>
      <c r="AD2" s="147" t="str">
        <f>IF(A2="","",posicao_contratual!E2)</f>
        <v/>
      </c>
      <c r="AE2" s="147" t="str">
        <f>IF(A2="","",posicao_contratual!I2)</f>
        <v/>
      </c>
      <c r="AF2" s="147" t="str">
        <f>IF(A2="","",posicao_contratual!M2)</f>
        <v/>
      </c>
      <c r="AG2" s="147" t="str">
        <f>IF(A2="","",posicao_contratual!Q2)</f>
        <v/>
      </c>
      <c r="AH2" s="147" t="str">
        <f>IF(A2="","",posicao_contratual!U2)</f>
        <v/>
      </c>
      <c r="AI2" s="147" t="str">
        <f>IF(A2="","",posicao_contratual!G2)</f>
        <v/>
      </c>
      <c r="AJ2" s="147" t="str">
        <f>IF(A2="","",posicao_contratual!K2)</f>
        <v/>
      </c>
      <c r="AK2" s="147" t="str">
        <f>IF(A2="","",posicao_contratual!O2)</f>
        <v/>
      </c>
      <c r="AL2" s="147" t="str">
        <f>IF(A2="","",posicao_contratual!S2)</f>
        <v/>
      </c>
      <c r="AM2" s="147" t="str">
        <f>IF(A2="","",posicao_contratual!W2)</f>
        <v/>
      </c>
      <c r="AN2" s="148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1"/>
      <c r="B3" s="82" t="str">
        <f t="shared" si="0"/>
        <v/>
      </c>
      <c r="C3" s="83"/>
      <c r="D3" s="79" t="str">
        <f>IF(AND(A3="",A2&lt;&gt;"",COUNTIF(A4:$A$200,"&lt;&gt;")=0),ROUND(SUMIF($A$2:A2,"&lt;&gt;",$D$2:D2),2),IF(OR(A3="",B3="",C3=""),"",ROUND(B3*C3,2)))</f>
        <v/>
      </c>
      <c r="E3" s="84"/>
      <c r="F3" s="79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4"/>
      <c r="H3" s="79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4"/>
      <c r="J3" s="79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4"/>
      <c r="L3" s="79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5" t="str">
        <f>IF(OR(posicao_contratual!J3="",posicao_contratual!N3=""),"",ROUND(MAX(posicao_contratual!J3+posicao_contratual!H3-posicao_contratual!N3,0),2))</f>
        <v/>
      </c>
      <c r="N3" s="79" t="str">
        <f>IF(AND(A3="",A2&lt;&gt;"",COUNTIF(A4:$A$200,"&lt;&gt;")=0),IF(COUNT(N$2:N2)=0,"",ROUND(SUMIF($A$2:A2,"&lt;&gt;",N$2:N2),2)),IF(OR(M3="",NOT(ISNUMBER(historico_VU!D3))),"",ROUND(M3*historico_VU!D3,2)))</f>
        <v/>
      </c>
      <c r="O3" s="85" t="str">
        <f>IF(OR(posicao_contratual!N3="",posicao_contratual!R3=""),"",ROUND(MAX(posicao_contratual!N3+posicao_contratual!L3-posicao_contratual!R3,0),2))</f>
        <v/>
      </c>
      <c r="P3" s="79" t="str">
        <f>IF(AND(A3="",A2&lt;&gt;"",COUNTIF(A4:$A$200,"&lt;&gt;")=0),IF(COUNT(P$2:P2)=0,"",ROUND(SUMIF($A$2:A2,"&lt;&gt;",P$2:P2),2)),IF(OR(O3="",NOT(ISNUMBER(historico_VU!E3))),"",ROUND(O3*historico_VU!E3,2)))</f>
        <v/>
      </c>
      <c r="Q3" s="85" t="str">
        <f>IF(OR(posicao_contratual!R3="",posicao_contratual!V3=""),"",ROUND(MAX(posicao_contratual!R3+posicao_contratual!P3-posicao_contratual!V3,0),2))</f>
        <v/>
      </c>
      <c r="R3" s="79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86" t="str">
        <f>IF(AND(A3="",A2&lt;&gt;"",COUNTIF(A4:$A$200,"&lt;&gt;")=0),"TOTAL",IF(A3="","",posicao_contratual!X3))</f>
        <v/>
      </c>
      <c r="V3" s="86" t="str">
        <f>IF(A3="","",posicao_contratual!X3)</f>
        <v/>
      </c>
      <c r="W3" s="87" t="s">
        <v>22</v>
      </c>
      <c r="X3" s="88">
        <f>parametros!$A$3</f>
        <v>0</v>
      </c>
      <c r="Y3" s="89" t="str">
        <f>IF(ISNUMBER(parametros!$E$3),parametros!$E$3,"")</f>
        <v/>
      </c>
      <c r="Z3" s="90" t="str">
        <f>IF(ISNUMBER(parametros!$F$3),parametros!$F$3,"")</f>
        <v/>
      </c>
      <c r="AA3" s="13"/>
      <c r="AB3" s="85" t="str">
        <f>IF(OR(A3="",posicao_contratual!E3="",posicao_contratual!J3=""),"",ROUND(MAX(posicao_contratual!E3-posicao_contratual!J3,0),2))</f>
        <v/>
      </c>
      <c r="AC3" s="79" t="str">
        <f>IF(AND(A3="",A2&lt;&gt;"",COUNTIF(A4:$A$200,"&lt;&gt;")=0),IF(COUNT(AC$2:AC2)=0,"",ROUND(SUMIF($A$2:A2,"&lt;&gt;",AC$2:AC2),2)),IF(OR(AB3="",NOT(ISNUMBER(historico_VU!C3))),"",ROUND(AB3*historico_VU!C3,2)))</f>
        <v/>
      </c>
      <c r="AD3" s="147" t="str">
        <f>IF(A3="","",posicao_contratual!E3)</f>
        <v/>
      </c>
      <c r="AE3" s="147" t="str">
        <f>IF(A3="","",posicao_contratual!I3)</f>
        <v/>
      </c>
      <c r="AF3" s="147" t="str">
        <f>IF(A3="","",posicao_contratual!M3)</f>
        <v/>
      </c>
      <c r="AG3" s="147" t="str">
        <f>IF(A3="","",posicao_contratual!Q3)</f>
        <v/>
      </c>
      <c r="AH3" s="147" t="str">
        <f>IF(A3="","",posicao_contratual!U3)</f>
        <v/>
      </c>
      <c r="AI3" s="147" t="str">
        <f>IF(A3="","",posicao_contratual!G3)</f>
        <v/>
      </c>
      <c r="AJ3" s="147" t="str">
        <f>IF(A3="","",posicao_contratual!K3)</f>
        <v/>
      </c>
      <c r="AK3" s="147" t="str">
        <f>IF(A3="","",posicao_contratual!O3)</f>
        <v/>
      </c>
      <c r="AL3" s="147" t="str">
        <f>IF(A3="","",posicao_contratual!S3)</f>
        <v/>
      </c>
      <c r="AM3" s="147" t="str">
        <f>IF(A3="","",posicao_contratual!W3)</f>
        <v/>
      </c>
      <c r="AN3" s="148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1"/>
      <c r="B4" s="82" t="str">
        <f t="shared" si="0"/>
        <v/>
      </c>
      <c r="C4" s="83"/>
      <c r="D4" s="79" t="str">
        <f>IF(AND(A4="",A3&lt;&gt;"",COUNTIF(A5:$A$200,"&lt;&gt;")=0),ROUND(SUMIF($A$2:A3,"&lt;&gt;",$D$2:D3),2),IF(OR(A4="",B4="",C4=""),"",ROUND(B4*C4,2)))</f>
        <v/>
      </c>
      <c r="E4" s="84"/>
      <c r="F4" s="79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4"/>
      <c r="H4" s="79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4"/>
      <c r="J4" s="79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4"/>
      <c r="L4" s="79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5" t="str">
        <f>IF(OR(posicao_contratual!J4="",posicao_contratual!N4=""),"",ROUND(MAX(posicao_contratual!J4+posicao_contratual!H4-posicao_contratual!N4,0),2))</f>
        <v/>
      </c>
      <c r="N4" s="79" t="str">
        <f>IF(AND(A4="",A3&lt;&gt;"",COUNTIF(A5:$A$200,"&lt;&gt;")=0),IF(COUNT(N$2:N3)=0,"",ROUND(SUMIF($A$2:A3,"&lt;&gt;",N$2:N3),2)),IF(OR(M4="",NOT(ISNUMBER(historico_VU!D4))),"",ROUND(M4*historico_VU!D4,2)))</f>
        <v/>
      </c>
      <c r="O4" s="85" t="str">
        <f>IF(OR(posicao_contratual!N4="",posicao_contratual!R4=""),"",ROUND(MAX(posicao_contratual!N4+posicao_contratual!L4-posicao_contratual!R4,0),2))</f>
        <v/>
      </c>
      <c r="P4" s="79" t="str">
        <f>IF(AND(A4="",A3&lt;&gt;"",COUNTIF(A5:$A$200,"&lt;&gt;")=0),IF(COUNT(P$2:P3)=0,"",ROUND(SUMIF($A$2:A3,"&lt;&gt;",P$2:P3),2)),IF(OR(O4="",NOT(ISNUMBER(historico_VU!E4))),"",ROUND(O4*historico_VU!E4,2)))</f>
        <v/>
      </c>
      <c r="Q4" s="85" t="str">
        <f>IF(OR(posicao_contratual!R4="",posicao_contratual!V4=""),"",ROUND(MAX(posicao_contratual!R4+posicao_contratual!P4-posicao_contratual!V4,0),2))</f>
        <v/>
      </c>
      <c r="R4" s="79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86" t="str">
        <f>IF(AND(A4="",A3&lt;&gt;"",COUNTIF(A5:$A$200,"&lt;&gt;")=0),"TOTAL",IF(A4="","",posicao_contratual!X4))</f>
        <v/>
      </c>
      <c r="V4" s="86" t="str">
        <f>IF(A4="","",posicao_contratual!X4)</f>
        <v/>
      </c>
      <c r="W4" s="87" t="s">
        <v>23</v>
      </c>
      <c r="X4" s="88">
        <f>parametros!$A$4</f>
        <v>0</v>
      </c>
      <c r="Y4" s="89" t="str">
        <f>IF(ISNUMBER(parametros!$E$4),parametros!$E$4,"")</f>
        <v/>
      </c>
      <c r="Z4" s="90" t="str">
        <f>IF(ISNUMBER(parametros!$F$4),parametros!$F$4,"")</f>
        <v/>
      </c>
      <c r="AA4" s="13"/>
      <c r="AB4" s="85" t="str">
        <f>IF(OR(A4="",posicao_contratual!E4="",posicao_contratual!J4=""),"",ROUND(MAX(posicao_contratual!E4-posicao_contratual!J4,0),2))</f>
        <v/>
      </c>
      <c r="AC4" s="79" t="str">
        <f>IF(AND(A4="",A3&lt;&gt;"",COUNTIF(A5:$A$200,"&lt;&gt;")=0),IF(COUNT(AC$2:AC3)=0,"",ROUND(SUMIF($A$2:A3,"&lt;&gt;",AC$2:AC3),2)),IF(OR(AB4="",NOT(ISNUMBER(historico_VU!C4))),"",ROUND(AB4*historico_VU!C4,2)))</f>
        <v/>
      </c>
      <c r="AD4" s="147" t="str">
        <f>IF(A4="","",posicao_contratual!E4)</f>
        <v/>
      </c>
      <c r="AE4" s="147" t="str">
        <f>IF(A4="","",posicao_contratual!I4)</f>
        <v/>
      </c>
      <c r="AF4" s="147" t="str">
        <f>IF(A4="","",posicao_contratual!M4)</f>
        <v/>
      </c>
      <c r="AG4" s="147" t="str">
        <f>IF(A4="","",posicao_contratual!Q4)</f>
        <v/>
      </c>
      <c r="AH4" s="147" t="str">
        <f>IF(A4="","",posicao_contratual!U4)</f>
        <v/>
      </c>
      <c r="AI4" s="147" t="str">
        <f>IF(A4="","",posicao_contratual!G4)</f>
        <v/>
      </c>
      <c r="AJ4" s="147" t="str">
        <f>IF(A4="","",posicao_contratual!K4)</f>
        <v/>
      </c>
      <c r="AK4" s="147" t="str">
        <f>IF(A4="","",posicao_contratual!O4)</f>
        <v/>
      </c>
      <c r="AL4" s="147" t="str">
        <f>IF(A4="","",posicao_contratual!S4)</f>
        <v/>
      </c>
      <c r="AM4" s="147" t="str">
        <f>IF(A4="","",posicao_contratual!W4)</f>
        <v/>
      </c>
      <c r="AN4" s="148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1"/>
      <c r="B5" s="82" t="str">
        <f t="shared" si="0"/>
        <v/>
      </c>
      <c r="C5" s="83"/>
      <c r="D5" s="79" t="str">
        <f>IF(AND(A5="",A4&lt;&gt;"",COUNTIF(A6:$A$200,"&lt;&gt;")=0),ROUND(SUMIF($A$2:A4,"&lt;&gt;",$D$2:D4),2),IF(OR(A5="",B5="",C5=""),"",ROUND(B5*C5,2)))</f>
        <v/>
      </c>
      <c r="E5" s="84"/>
      <c r="F5" s="79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4"/>
      <c r="H5" s="79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4"/>
      <c r="J5" s="79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4"/>
      <c r="L5" s="79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5" t="str">
        <f>IF(OR(posicao_contratual!J5="",posicao_contratual!N5=""),"",ROUND(MAX(posicao_contratual!J5+posicao_contratual!H5-posicao_contratual!N5,0),2))</f>
        <v/>
      </c>
      <c r="N5" s="79" t="str">
        <f>IF(AND(A5="",A4&lt;&gt;"",COUNTIF(A6:$A$200,"&lt;&gt;")=0),IF(COUNT(N$2:N4)=0,"",ROUND(SUMIF($A$2:A4,"&lt;&gt;",N$2:N4),2)),IF(OR(M5="",NOT(ISNUMBER(historico_VU!D5))),"",ROUND(M5*historico_VU!D5,2)))</f>
        <v/>
      </c>
      <c r="O5" s="85" t="str">
        <f>IF(OR(posicao_contratual!N5="",posicao_contratual!R5=""),"",ROUND(MAX(posicao_contratual!N5+posicao_contratual!L5-posicao_contratual!R5,0),2))</f>
        <v/>
      </c>
      <c r="P5" s="79" t="str">
        <f>IF(AND(A5="",A4&lt;&gt;"",COUNTIF(A6:$A$200,"&lt;&gt;")=0),IF(COUNT(P$2:P4)=0,"",ROUND(SUMIF($A$2:A4,"&lt;&gt;",P$2:P4),2)),IF(OR(O5="",NOT(ISNUMBER(historico_VU!E5))),"",ROUND(O5*historico_VU!E5,2)))</f>
        <v/>
      </c>
      <c r="Q5" s="85" t="str">
        <f>IF(OR(posicao_contratual!R5="",posicao_contratual!V5=""),"",ROUND(MAX(posicao_contratual!R5+posicao_contratual!P5-posicao_contratual!V5,0),2))</f>
        <v/>
      </c>
      <c r="R5" s="79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86" t="str">
        <f>IF(AND(A5="",A4&lt;&gt;"",COUNTIF(A6:$A$200,"&lt;&gt;")=0),"TOTAL",IF(A5="","",posicao_contratual!X5))</f>
        <v/>
      </c>
      <c r="V5" s="86" t="str">
        <f>IF(A5="","",posicao_contratual!X5)</f>
        <v/>
      </c>
      <c r="W5" s="87" t="s">
        <v>24</v>
      </c>
      <c r="X5" s="88">
        <f>parametros!$A$5</f>
        <v>0</v>
      </c>
      <c r="Y5" s="89" t="str">
        <f>IF(ISNUMBER(parametros!$E$5),parametros!$E$5,"")</f>
        <v/>
      </c>
      <c r="Z5" s="90" t="str">
        <f>IF(ISNUMBER(parametros!$F$5),parametros!$F$5,"")</f>
        <v/>
      </c>
      <c r="AA5" s="13"/>
      <c r="AB5" s="85" t="str">
        <f>IF(OR(A5="",posicao_contratual!E5="",posicao_contratual!J5=""),"",ROUND(MAX(posicao_contratual!E5-posicao_contratual!J5,0),2))</f>
        <v/>
      </c>
      <c r="AC5" s="79" t="str">
        <f>IF(AND(A5="",A4&lt;&gt;"",COUNTIF(A6:$A$200,"&lt;&gt;")=0),IF(COUNT(AC$2:AC4)=0,"",ROUND(SUMIF($A$2:A4,"&lt;&gt;",AC$2:AC4),2)),IF(OR(AB5="",NOT(ISNUMBER(historico_VU!C5))),"",ROUND(AB5*historico_VU!C5,2)))</f>
        <v/>
      </c>
      <c r="AD5" s="147" t="str">
        <f>IF(A5="","",posicao_contratual!E5)</f>
        <v/>
      </c>
      <c r="AE5" s="147" t="str">
        <f>IF(A5="","",posicao_contratual!I5)</f>
        <v/>
      </c>
      <c r="AF5" s="147" t="str">
        <f>IF(A5="","",posicao_contratual!M5)</f>
        <v/>
      </c>
      <c r="AG5" s="147" t="str">
        <f>IF(A5="","",posicao_contratual!Q5)</f>
        <v/>
      </c>
      <c r="AH5" s="147" t="str">
        <f>IF(A5="","",posicao_contratual!U5)</f>
        <v/>
      </c>
      <c r="AI5" s="147" t="str">
        <f>IF(A5="","",posicao_contratual!G5)</f>
        <v/>
      </c>
      <c r="AJ5" s="147" t="str">
        <f>IF(A5="","",posicao_contratual!K5)</f>
        <v/>
      </c>
      <c r="AK5" s="147" t="str">
        <f>IF(A5="","",posicao_contratual!O5)</f>
        <v/>
      </c>
      <c r="AL5" s="147" t="str">
        <f>IF(A5="","",posicao_contratual!S5)</f>
        <v/>
      </c>
      <c r="AM5" s="147" t="str">
        <f>IF(A5="","",posicao_contratual!W5)</f>
        <v/>
      </c>
      <c r="AN5" s="148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1"/>
      <c r="B6" s="82" t="str">
        <f t="shared" si="0"/>
        <v/>
      </c>
      <c r="C6" s="83"/>
      <c r="D6" s="79" t="str">
        <f>IF(AND(A6="",A5&lt;&gt;"",COUNTIF(A7:$A$200,"&lt;&gt;")=0),ROUND(SUMIF($A$2:A5,"&lt;&gt;",$D$2:D5),2),IF(OR(A6="",B6="",C6=""),"",ROUND(B6*C6,2)))</f>
        <v/>
      </c>
      <c r="E6" s="84"/>
      <c r="F6" s="79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4"/>
      <c r="H6" s="79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4"/>
      <c r="J6" s="79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4"/>
      <c r="L6" s="79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5" t="str">
        <f>IF(OR(posicao_contratual!J6="",posicao_contratual!N6=""),"",ROUND(MAX(posicao_contratual!J6+posicao_contratual!H6-posicao_contratual!N6,0),2))</f>
        <v/>
      </c>
      <c r="N6" s="79" t="str">
        <f>IF(AND(A6="",A5&lt;&gt;"",COUNTIF(A7:$A$200,"&lt;&gt;")=0),IF(COUNT(N$2:N5)=0,"",ROUND(SUMIF($A$2:A5,"&lt;&gt;",N$2:N5),2)),IF(OR(M6="",NOT(ISNUMBER(historico_VU!D6))),"",ROUND(M6*historico_VU!D6,2)))</f>
        <v/>
      </c>
      <c r="O6" s="85" t="str">
        <f>IF(OR(posicao_contratual!N6="",posicao_contratual!R6=""),"",ROUND(MAX(posicao_contratual!N6+posicao_contratual!L6-posicao_contratual!R6,0),2))</f>
        <v/>
      </c>
      <c r="P6" s="79" t="str">
        <f>IF(AND(A6="",A5&lt;&gt;"",COUNTIF(A7:$A$200,"&lt;&gt;")=0),IF(COUNT(P$2:P5)=0,"",ROUND(SUMIF($A$2:A5,"&lt;&gt;",P$2:P5),2)),IF(OR(O6="",NOT(ISNUMBER(historico_VU!E6))),"",ROUND(O6*historico_VU!E6,2)))</f>
        <v/>
      </c>
      <c r="Q6" s="85" t="str">
        <f>IF(OR(posicao_contratual!R6="",posicao_contratual!V6=""),"",ROUND(MAX(posicao_contratual!R6+posicao_contratual!P6-posicao_contratual!V6,0),2))</f>
        <v/>
      </c>
      <c r="R6" s="79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86" t="str">
        <f>IF(AND(A6="",A5&lt;&gt;"",COUNTIF(A7:$A$200,"&lt;&gt;")=0),"TOTAL",IF(A6="","",posicao_contratual!X6))</f>
        <v/>
      </c>
      <c r="V6" s="86" t="str">
        <f>IF(A6="","",posicao_contratual!X6)</f>
        <v/>
      </c>
      <c r="W6" s="87" t="s">
        <v>25</v>
      </c>
      <c r="X6" s="88">
        <f>parametros!$A$6</f>
        <v>0</v>
      </c>
      <c r="Y6" s="89" t="str">
        <f>IF(ISNUMBER(parametros!$E$6),parametros!$E$6,"")</f>
        <v/>
      </c>
      <c r="Z6" s="90" t="str">
        <f>IF(ISNUMBER(parametros!$F$6),parametros!$F$6,"")</f>
        <v/>
      </c>
      <c r="AA6" s="13"/>
      <c r="AB6" s="85" t="str">
        <f>IF(OR(A6="",posicao_contratual!E6="",posicao_contratual!J6=""),"",ROUND(MAX(posicao_contratual!E6-posicao_contratual!J6,0),2))</f>
        <v/>
      </c>
      <c r="AC6" s="79" t="str">
        <f>IF(AND(A6="",A5&lt;&gt;"",COUNTIF(A7:$A$200,"&lt;&gt;")=0),IF(COUNT(AC$2:AC5)=0,"",ROUND(SUMIF($A$2:A5,"&lt;&gt;",AC$2:AC5),2)),IF(OR(AB6="",NOT(ISNUMBER(historico_VU!C6))),"",ROUND(AB6*historico_VU!C6,2)))</f>
        <v/>
      </c>
      <c r="AD6" s="147" t="str">
        <f>IF(A6="","",posicao_contratual!E6)</f>
        <v/>
      </c>
      <c r="AE6" s="147" t="str">
        <f>IF(A6="","",posicao_contratual!I6)</f>
        <v/>
      </c>
      <c r="AF6" s="147" t="str">
        <f>IF(A6="","",posicao_contratual!M6)</f>
        <v/>
      </c>
      <c r="AG6" s="147" t="str">
        <f>IF(A6="","",posicao_contratual!Q6)</f>
        <v/>
      </c>
      <c r="AH6" s="147" t="str">
        <f>IF(A6="","",posicao_contratual!U6)</f>
        <v/>
      </c>
      <c r="AI6" s="147" t="str">
        <f>IF(A6="","",posicao_contratual!G6)</f>
        <v/>
      </c>
      <c r="AJ6" s="147" t="str">
        <f>IF(A6="","",posicao_contratual!K6)</f>
        <v/>
      </c>
      <c r="AK6" s="147" t="str">
        <f>IF(A6="","",posicao_contratual!O6)</f>
        <v/>
      </c>
      <c r="AL6" s="147" t="str">
        <f>IF(A6="","",posicao_contratual!S6)</f>
        <v/>
      </c>
      <c r="AM6" s="147" t="str">
        <f>IF(A6="","",posicao_contratual!W6)</f>
        <v/>
      </c>
      <c r="AN6" s="148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1"/>
      <c r="B7" s="82" t="str">
        <f t="shared" si="0"/>
        <v/>
      </c>
      <c r="C7" s="83"/>
      <c r="D7" s="79" t="str">
        <f>IF(AND(A7="",A6&lt;&gt;"",COUNTIF(A8:$A$200,"&lt;&gt;")=0),ROUND(SUMIF($A$2:A6,"&lt;&gt;",$D$2:D6),2),IF(OR(A7="",B7="",C7=""),"",ROUND(B7*C7,2)))</f>
        <v/>
      </c>
      <c r="E7" s="84"/>
      <c r="F7" s="79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4"/>
      <c r="H7" s="79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4"/>
      <c r="J7" s="79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4"/>
      <c r="L7" s="79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5" t="str">
        <f>IF(OR(posicao_contratual!J7="",posicao_contratual!N7=""),"",ROUND(MAX(posicao_contratual!J7+posicao_contratual!H7-posicao_contratual!N7,0),2))</f>
        <v/>
      </c>
      <c r="N7" s="79" t="str">
        <f>IF(AND(A7="",A6&lt;&gt;"",COUNTIF(A8:$A$200,"&lt;&gt;")=0),IF(COUNT(N$2:N6)=0,"",ROUND(SUMIF($A$2:A6,"&lt;&gt;",N$2:N6),2)),IF(OR(M7="",NOT(ISNUMBER(historico_VU!D7))),"",ROUND(M7*historico_VU!D7,2)))</f>
        <v/>
      </c>
      <c r="O7" s="85" t="str">
        <f>IF(OR(posicao_contratual!N7="",posicao_contratual!R7=""),"",ROUND(MAX(posicao_contratual!N7+posicao_contratual!L7-posicao_contratual!R7,0),2))</f>
        <v/>
      </c>
      <c r="P7" s="79" t="str">
        <f>IF(AND(A7="",A6&lt;&gt;"",COUNTIF(A8:$A$200,"&lt;&gt;")=0),IF(COUNT(P$2:P6)=0,"",ROUND(SUMIF($A$2:A6,"&lt;&gt;",P$2:P6),2)),IF(OR(O7="",NOT(ISNUMBER(historico_VU!E7))),"",ROUND(O7*historico_VU!E7,2)))</f>
        <v/>
      </c>
      <c r="Q7" s="85" t="str">
        <f>IF(OR(posicao_contratual!R7="",posicao_contratual!V7=""),"",ROUND(MAX(posicao_contratual!R7+posicao_contratual!P7-posicao_contratual!V7,0),2))</f>
        <v/>
      </c>
      <c r="R7" s="79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86" t="str">
        <f>IF(AND(A7="",A6&lt;&gt;"",COUNTIF(A8:$A$200,"&lt;&gt;")=0),"TOTAL",IF(A7="","",posicao_contratual!X7))</f>
        <v/>
      </c>
      <c r="V7" s="86" t="str">
        <f>IF(A7="","",posicao_contratual!X7)</f>
        <v/>
      </c>
      <c r="W7" s="14"/>
      <c r="X7" s="14"/>
      <c r="Y7" s="14"/>
      <c r="Z7" s="13"/>
      <c r="AA7" s="13"/>
      <c r="AB7" s="85" t="str">
        <f>IF(OR(A7="",posicao_contratual!E7="",posicao_contratual!J7=""),"",ROUND(MAX(posicao_contratual!E7-posicao_contratual!J7,0),2))</f>
        <v/>
      </c>
      <c r="AC7" s="79" t="str">
        <f>IF(AND(A7="",A6&lt;&gt;"",COUNTIF(A8:$A$200,"&lt;&gt;")=0),IF(COUNT(AC$2:AC6)=0,"",ROUND(SUMIF($A$2:A6,"&lt;&gt;",AC$2:AC6),2)),IF(OR(AB7="",NOT(ISNUMBER(historico_VU!C7))),"",ROUND(AB7*historico_VU!C7,2)))</f>
        <v/>
      </c>
      <c r="AD7" s="147" t="str">
        <f>IF(A7="","",posicao_contratual!E7)</f>
        <v/>
      </c>
      <c r="AE7" s="147" t="str">
        <f>IF(A7="","",posicao_contratual!I7)</f>
        <v/>
      </c>
      <c r="AF7" s="147" t="str">
        <f>IF(A7="","",posicao_contratual!M7)</f>
        <v/>
      </c>
      <c r="AG7" s="147" t="str">
        <f>IF(A7="","",posicao_contratual!Q7)</f>
        <v/>
      </c>
      <c r="AH7" s="147" t="str">
        <f>IF(A7="","",posicao_contratual!U7)</f>
        <v/>
      </c>
      <c r="AI7" s="147" t="str">
        <f>IF(A7="","",posicao_contratual!G7)</f>
        <v/>
      </c>
      <c r="AJ7" s="147" t="str">
        <f>IF(A7="","",posicao_contratual!K7)</f>
        <v/>
      </c>
      <c r="AK7" s="147" t="str">
        <f>IF(A7="","",posicao_contratual!O7)</f>
        <v/>
      </c>
      <c r="AL7" s="147" t="str">
        <f>IF(A7="","",posicao_contratual!S7)</f>
        <v/>
      </c>
      <c r="AM7" s="147" t="str">
        <f>IF(A7="","",posicao_contratual!W7)</f>
        <v/>
      </c>
      <c r="AN7" s="148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1"/>
      <c r="B8" s="82" t="str">
        <f t="shared" si="0"/>
        <v/>
      </c>
      <c r="C8" s="83"/>
      <c r="D8" s="79" t="str">
        <f>IF(AND(A8="",A7&lt;&gt;"",COUNTIF(A9:$A$200,"&lt;&gt;")=0),ROUND(SUMIF($A$2:A7,"&lt;&gt;",$D$2:D7),2),IF(OR(A8="",B8="",C8=""),"",ROUND(B8*C8,2)))</f>
        <v/>
      </c>
      <c r="E8" s="84"/>
      <c r="F8" s="79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4"/>
      <c r="H8" s="79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4"/>
      <c r="J8" s="79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4"/>
      <c r="L8" s="79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5" t="str">
        <f>IF(OR(posicao_contratual!J8="",posicao_contratual!N8=""),"",ROUND(MAX(posicao_contratual!J8+posicao_contratual!H8-posicao_contratual!N8,0),2))</f>
        <v/>
      </c>
      <c r="N8" s="79" t="str">
        <f>IF(AND(A8="",A7&lt;&gt;"",COUNTIF(A9:$A$200,"&lt;&gt;")=0),IF(COUNT(N$2:N7)=0,"",ROUND(SUMIF($A$2:A7,"&lt;&gt;",N$2:N7),2)),IF(OR(M8="",NOT(ISNUMBER(historico_VU!D8))),"",ROUND(M8*historico_VU!D8,2)))</f>
        <v/>
      </c>
      <c r="O8" s="85" t="str">
        <f>IF(OR(posicao_contratual!N8="",posicao_contratual!R8=""),"",ROUND(MAX(posicao_contratual!N8+posicao_contratual!L8-posicao_contratual!R8,0),2))</f>
        <v/>
      </c>
      <c r="P8" s="79" t="str">
        <f>IF(AND(A8="",A7&lt;&gt;"",COUNTIF(A9:$A$200,"&lt;&gt;")=0),IF(COUNT(P$2:P7)=0,"",ROUND(SUMIF($A$2:A7,"&lt;&gt;",P$2:P7),2)),IF(OR(O8="",NOT(ISNUMBER(historico_VU!E8))),"",ROUND(O8*historico_VU!E8,2)))</f>
        <v/>
      </c>
      <c r="Q8" s="85" t="str">
        <f>IF(OR(posicao_contratual!R8="",posicao_contratual!V8=""),"",ROUND(MAX(posicao_contratual!R8+posicao_contratual!P8-posicao_contratual!V8,0),2))</f>
        <v/>
      </c>
      <c r="R8" s="79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86" t="str">
        <f>IF(AND(A8="",A7&lt;&gt;"",COUNTIF(A9:$A$200,"&lt;&gt;")=0),"TOTAL",IF(A8="","",posicao_contratual!X8))</f>
        <v/>
      </c>
      <c r="V8" s="86" t="str">
        <f>IF(A8="","",posicao_contratual!X8)</f>
        <v/>
      </c>
      <c r="W8" s="14"/>
      <c r="X8" s="14"/>
      <c r="Y8" s="14"/>
      <c r="Z8" s="13"/>
      <c r="AA8" s="13"/>
      <c r="AB8" s="85" t="str">
        <f>IF(OR(A8="",posicao_contratual!E8="",posicao_contratual!J8=""),"",ROUND(MAX(posicao_contratual!E8-posicao_contratual!J8,0),2))</f>
        <v/>
      </c>
      <c r="AC8" s="79" t="str">
        <f>IF(AND(A8="",A7&lt;&gt;"",COUNTIF(A9:$A$200,"&lt;&gt;")=0),IF(COUNT(AC$2:AC7)=0,"",ROUND(SUMIF($A$2:A7,"&lt;&gt;",AC$2:AC7),2)),IF(OR(AB8="",NOT(ISNUMBER(historico_VU!C8))),"",ROUND(AB8*historico_VU!C8,2)))</f>
        <v/>
      </c>
      <c r="AD8" s="147" t="str">
        <f>IF(A8="","",posicao_contratual!E8)</f>
        <v/>
      </c>
      <c r="AE8" s="147" t="str">
        <f>IF(A8="","",posicao_contratual!I8)</f>
        <v/>
      </c>
      <c r="AF8" s="147" t="str">
        <f>IF(A8="","",posicao_contratual!M8)</f>
        <v/>
      </c>
      <c r="AG8" s="147" t="str">
        <f>IF(A8="","",posicao_contratual!Q8)</f>
        <v/>
      </c>
      <c r="AH8" s="147" t="str">
        <f>IF(A8="","",posicao_contratual!U8)</f>
        <v/>
      </c>
      <c r="AI8" s="147" t="str">
        <f>IF(A8="","",posicao_contratual!G8)</f>
        <v/>
      </c>
      <c r="AJ8" s="147" t="str">
        <f>IF(A8="","",posicao_contratual!K8)</f>
        <v/>
      </c>
      <c r="AK8" s="147" t="str">
        <f>IF(A8="","",posicao_contratual!O8)</f>
        <v/>
      </c>
      <c r="AL8" s="147" t="str">
        <f>IF(A8="","",posicao_contratual!S8)</f>
        <v/>
      </c>
      <c r="AM8" s="147" t="str">
        <f>IF(A8="","",posicao_contratual!W8)</f>
        <v/>
      </c>
      <c r="AN8" s="148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1"/>
      <c r="B9" s="82" t="str">
        <f t="shared" si="0"/>
        <v/>
      </c>
      <c r="C9" s="83"/>
      <c r="D9" s="79" t="str">
        <f>IF(AND(A9="",A8&lt;&gt;"",COUNTIF(A10:$A$200,"&lt;&gt;")=0),ROUND(SUMIF($A$2:A8,"&lt;&gt;",$D$2:D8),2),IF(OR(A9="",B9="",C9=""),"",ROUND(B9*C9,2)))</f>
        <v/>
      </c>
      <c r="E9" s="84"/>
      <c r="F9" s="79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4"/>
      <c r="H9" s="79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4"/>
      <c r="J9" s="79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4"/>
      <c r="L9" s="79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5" t="str">
        <f>IF(OR(posicao_contratual!J9="",posicao_contratual!N9=""),"",ROUND(MAX(posicao_contratual!J9+posicao_contratual!H9-posicao_contratual!N9,0),2))</f>
        <v/>
      </c>
      <c r="N9" s="79" t="str">
        <f>IF(AND(A9="",A8&lt;&gt;"",COUNTIF(A10:$A$200,"&lt;&gt;")=0),IF(COUNT(N$2:N8)=0,"",ROUND(SUMIF($A$2:A8,"&lt;&gt;",N$2:N8),2)),IF(OR(M9="",NOT(ISNUMBER(historico_VU!D9))),"",ROUND(M9*historico_VU!D9,2)))</f>
        <v/>
      </c>
      <c r="O9" s="85" t="str">
        <f>IF(OR(posicao_contratual!N9="",posicao_contratual!R9=""),"",ROUND(MAX(posicao_contratual!N9+posicao_contratual!L9-posicao_contratual!R9,0),2))</f>
        <v/>
      </c>
      <c r="P9" s="79" t="str">
        <f>IF(AND(A9="",A8&lt;&gt;"",COUNTIF(A10:$A$200,"&lt;&gt;")=0),IF(COUNT(P$2:P8)=0,"",ROUND(SUMIF($A$2:A8,"&lt;&gt;",P$2:P8),2)),IF(OR(O9="",NOT(ISNUMBER(historico_VU!E9))),"",ROUND(O9*historico_VU!E9,2)))</f>
        <v/>
      </c>
      <c r="Q9" s="85" t="str">
        <f>IF(OR(posicao_contratual!R9="",posicao_contratual!V9=""),"",ROUND(MAX(posicao_contratual!R9+posicao_contratual!P9-posicao_contratual!V9,0),2))</f>
        <v/>
      </c>
      <c r="R9" s="79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86" t="str">
        <f>IF(AND(A9="",A8&lt;&gt;"",COUNTIF(A10:$A$200,"&lt;&gt;")=0),"TOTAL",IF(A9="","",posicao_contratual!X9))</f>
        <v/>
      </c>
      <c r="V9" s="86" t="str">
        <f>IF(A9="","",posicao_contratual!X9)</f>
        <v/>
      </c>
      <c r="W9" s="14"/>
      <c r="X9" s="14"/>
      <c r="Y9" s="14"/>
      <c r="Z9" s="13"/>
      <c r="AA9" s="13"/>
      <c r="AB9" s="85" t="str">
        <f>IF(OR(A9="",posicao_contratual!E9="",posicao_contratual!J9=""),"",ROUND(MAX(posicao_contratual!E9-posicao_contratual!J9,0),2))</f>
        <v/>
      </c>
      <c r="AC9" s="79" t="str">
        <f>IF(AND(A9="",A8&lt;&gt;"",COUNTIF(A10:$A$200,"&lt;&gt;")=0),IF(COUNT(AC$2:AC8)=0,"",ROUND(SUMIF($A$2:A8,"&lt;&gt;",AC$2:AC8),2)),IF(OR(AB9="",NOT(ISNUMBER(historico_VU!C9))),"",ROUND(AB9*historico_VU!C9,2)))</f>
        <v/>
      </c>
      <c r="AD9" s="147" t="str">
        <f>IF(A9="","",posicao_contratual!E9)</f>
        <v/>
      </c>
      <c r="AE9" s="147" t="str">
        <f>IF(A9="","",posicao_contratual!I9)</f>
        <v/>
      </c>
      <c r="AF9" s="147" t="str">
        <f>IF(A9="","",posicao_contratual!M9)</f>
        <v/>
      </c>
      <c r="AG9" s="147" t="str">
        <f>IF(A9="","",posicao_contratual!Q9)</f>
        <v/>
      </c>
      <c r="AH9" s="147" t="str">
        <f>IF(A9="","",posicao_contratual!U9)</f>
        <v/>
      </c>
      <c r="AI9" s="147" t="str">
        <f>IF(A9="","",posicao_contratual!G9)</f>
        <v/>
      </c>
      <c r="AJ9" s="147" t="str">
        <f>IF(A9="","",posicao_contratual!K9)</f>
        <v/>
      </c>
      <c r="AK9" s="147" t="str">
        <f>IF(A9="","",posicao_contratual!O9)</f>
        <v/>
      </c>
      <c r="AL9" s="147" t="str">
        <f>IF(A9="","",posicao_contratual!S9)</f>
        <v/>
      </c>
      <c r="AM9" s="147" t="str">
        <f>IF(A9="","",posicao_contratual!W9)</f>
        <v/>
      </c>
      <c r="AN9" s="148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1"/>
      <c r="B10" s="82" t="str">
        <f t="shared" si="0"/>
        <v/>
      </c>
      <c r="C10" s="83"/>
      <c r="D10" s="79" t="str">
        <f>IF(AND(A10="",A9&lt;&gt;"",COUNTIF(A11:$A$200,"&lt;&gt;")=0),ROUND(SUMIF($A$2:A9,"&lt;&gt;",$D$2:D9),2),IF(OR(A10="",B10="",C10=""),"",ROUND(B10*C10,2)))</f>
        <v/>
      </c>
      <c r="E10" s="84"/>
      <c r="F10" s="79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4"/>
      <c r="H10" s="79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4"/>
      <c r="J10" s="79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4"/>
      <c r="L10" s="79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5" t="str">
        <f>IF(OR(posicao_contratual!J10="",posicao_contratual!N10=""),"",ROUND(MAX(posicao_contratual!J10+posicao_contratual!H10-posicao_contratual!N10,0),2))</f>
        <v/>
      </c>
      <c r="N10" s="79" t="str">
        <f>IF(AND(A10="",A9&lt;&gt;"",COUNTIF(A11:$A$200,"&lt;&gt;")=0),IF(COUNT(N$2:N9)=0,"",ROUND(SUMIF($A$2:A9,"&lt;&gt;",N$2:N9),2)),IF(OR(M10="",NOT(ISNUMBER(historico_VU!D10))),"",ROUND(M10*historico_VU!D10,2)))</f>
        <v/>
      </c>
      <c r="O10" s="85" t="str">
        <f>IF(OR(posicao_contratual!N10="",posicao_contratual!R10=""),"",ROUND(MAX(posicao_contratual!N10+posicao_contratual!L10-posicao_contratual!R10,0),2))</f>
        <v/>
      </c>
      <c r="P10" s="79" t="str">
        <f>IF(AND(A10="",A9&lt;&gt;"",COUNTIF(A11:$A$200,"&lt;&gt;")=0),IF(COUNT(P$2:P9)=0,"",ROUND(SUMIF($A$2:A9,"&lt;&gt;",P$2:P9),2)),IF(OR(O10="",NOT(ISNUMBER(historico_VU!E10))),"",ROUND(O10*historico_VU!E10,2)))</f>
        <v/>
      </c>
      <c r="Q10" s="85" t="str">
        <f>IF(OR(posicao_contratual!R10="",posicao_contratual!V10=""),"",ROUND(MAX(posicao_contratual!R10+posicao_contratual!P10-posicao_contratual!V10,0),2))</f>
        <v/>
      </c>
      <c r="R10" s="79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86" t="str">
        <f>IF(AND(A10="",A9&lt;&gt;"",COUNTIF(A11:$A$200,"&lt;&gt;")=0),"TOTAL",IF(A10="","",posicao_contratual!X10))</f>
        <v/>
      </c>
      <c r="V10" s="86" t="str">
        <f>IF(A10="","",posicao_contratual!X10)</f>
        <v/>
      </c>
      <c r="W10" s="14"/>
      <c r="X10" s="14"/>
      <c r="Y10" s="14"/>
      <c r="Z10" s="13"/>
      <c r="AA10" s="13"/>
      <c r="AB10" s="85" t="str">
        <f>IF(OR(A10="",posicao_contratual!E10="",posicao_contratual!J10=""),"",ROUND(MAX(posicao_contratual!E10-posicao_contratual!J10,0),2))</f>
        <v/>
      </c>
      <c r="AC10" s="79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47" t="str">
        <f>IF(A10="","",posicao_contratual!E10)</f>
        <v/>
      </c>
      <c r="AE10" s="147" t="str">
        <f>IF(A10="","",posicao_contratual!I10)</f>
        <v/>
      </c>
      <c r="AF10" s="147" t="str">
        <f>IF(A10="","",posicao_contratual!M10)</f>
        <v/>
      </c>
      <c r="AG10" s="147" t="str">
        <f>IF(A10="","",posicao_contratual!Q10)</f>
        <v/>
      </c>
      <c r="AH10" s="147" t="str">
        <f>IF(A10="","",posicao_contratual!U10)</f>
        <v/>
      </c>
      <c r="AI10" s="147" t="str">
        <f>IF(A10="","",posicao_contratual!G10)</f>
        <v/>
      </c>
      <c r="AJ10" s="147" t="str">
        <f>IF(A10="","",posicao_contratual!K10)</f>
        <v/>
      </c>
      <c r="AK10" s="147" t="str">
        <f>IF(A10="","",posicao_contratual!O10)</f>
        <v/>
      </c>
      <c r="AL10" s="147" t="str">
        <f>IF(A10="","",posicao_contratual!S10)</f>
        <v/>
      </c>
      <c r="AM10" s="147" t="str">
        <f>IF(A10="","",posicao_contratual!W10)</f>
        <v/>
      </c>
      <c r="AN10" s="148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1"/>
      <c r="B11" s="82" t="str">
        <f t="shared" si="0"/>
        <v/>
      </c>
      <c r="C11" s="83"/>
      <c r="D11" s="79" t="str">
        <f>IF(AND(A11="",A10&lt;&gt;"",COUNTIF(A12:$A$200,"&lt;&gt;")=0),ROUND(SUMIF($A$2:A10,"&lt;&gt;",$D$2:D10),2),IF(OR(A11="",B11="",C11=""),"",ROUND(B11*C11,2)))</f>
        <v/>
      </c>
      <c r="E11" s="84"/>
      <c r="F11" s="79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4"/>
      <c r="H11" s="79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4"/>
      <c r="J11" s="79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4"/>
      <c r="L11" s="79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5" t="str">
        <f>IF(OR(posicao_contratual!J11="",posicao_contratual!N11=""),"",ROUND(MAX(posicao_contratual!J11+posicao_contratual!H11-posicao_contratual!N11,0),2))</f>
        <v/>
      </c>
      <c r="N11" s="79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5" t="str">
        <f>IF(OR(posicao_contratual!N11="",posicao_contratual!R11=""),"",ROUND(MAX(posicao_contratual!N11+posicao_contratual!L11-posicao_contratual!R11,0),2))</f>
        <v/>
      </c>
      <c r="P11" s="79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5" t="str">
        <f>IF(OR(posicao_contratual!R11="",posicao_contratual!V11=""),"",ROUND(MAX(posicao_contratual!R11+posicao_contratual!P11-posicao_contratual!V11,0),2))</f>
        <v/>
      </c>
      <c r="R11" s="79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86" t="str">
        <f>IF(AND(A11="",A10&lt;&gt;"",COUNTIF(A12:$A$200,"&lt;&gt;")=0),"TOTAL",IF(A11="","",posicao_contratual!X11))</f>
        <v/>
      </c>
      <c r="V11" s="86" t="str">
        <f>IF(A11="","",posicao_contratual!X11)</f>
        <v/>
      </c>
      <c r="W11" s="14"/>
      <c r="X11" s="14"/>
      <c r="Y11" s="14"/>
      <c r="Z11" s="13"/>
      <c r="AA11" s="13"/>
      <c r="AB11" s="85" t="str">
        <f>IF(OR(A11="",posicao_contratual!E11="",posicao_contratual!J11=""),"",ROUND(MAX(posicao_contratual!E11-posicao_contratual!J11,0),2))</f>
        <v/>
      </c>
      <c r="AC11" s="79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47" t="str">
        <f>IF(A11="","",posicao_contratual!E11)</f>
        <v/>
      </c>
      <c r="AE11" s="147" t="str">
        <f>IF(A11="","",posicao_contratual!I11)</f>
        <v/>
      </c>
      <c r="AF11" s="147" t="str">
        <f>IF(A11="","",posicao_contratual!M11)</f>
        <v/>
      </c>
      <c r="AG11" s="147" t="str">
        <f>IF(A11="","",posicao_contratual!Q11)</f>
        <v/>
      </c>
      <c r="AH11" s="147" t="str">
        <f>IF(A11="","",posicao_contratual!U11)</f>
        <v/>
      </c>
      <c r="AI11" s="147" t="str">
        <f>IF(A11="","",posicao_contratual!G11)</f>
        <v/>
      </c>
      <c r="AJ11" s="147" t="str">
        <f>IF(A11="","",posicao_contratual!K11)</f>
        <v/>
      </c>
      <c r="AK11" s="147" t="str">
        <f>IF(A11="","",posicao_contratual!O11)</f>
        <v/>
      </c>
      <c r="AL11" s="147" t="str">
        <f>IF(A11="","",posicao_contratual!S11)</f>
        <v/>
      </c>
      <c r="AM11" s="147" t="str">
        <f>IF(A11="","",posicao_contratual!W11)</f>
        <v/>
      </c>
      <c r="AN11" s="148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1"/>
      <c r="B12" s="82" t="str">
        <f t="shared" si="0"/>
        <v/>
      </c>
      <c r="C12" s="83"/>
      <c r="D12" s="79" t="str">
        <f>IF(AND(A12="",A11&lt;&gt;"",COUNTIF(A13:$A$200,"&lt;&gt;")=0),ROUND(SUMIF($A$2:A11,"&lt;&gt;",$D$2:D11),2),IF(OR(A12="",B12="",C12=""),"",ROUND(B12*C12,2)))</f>
        <v/>
      </c>
      <c r="E12" s="84"/>
      <c r="F12" s="79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4"/>
      <c r="H12" s="79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4"/>
      <c r="J12" s="79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4"/>
      <c r="L12" s="79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5" t="str">
        <f>IF(OR(posicao_contratual!J12="",posicao_contratual!N12=""),"",ROUND(MAX(posicao_contratual!J12+posicao_contratual!H12-posicao_contratual!N12,0),2))</f>
        <v/>
      </c>
      <c r="N12" s="79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5" t="str">
        <f>IF(OR(posicao_contratual!N12="",posicao_contratual!R12=""),"",ROUND(MAX(posicao_contratual!N12+posicao_contratual!L12-posicao_contratual!R12,0),2))</f>
        <v/>
      </c>
      <c r="P12" s="79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5" t="str">
        <f>IF(OR(posicao_contratual!R12="",posicao_contratual!V12=""),"",ROUND(MAX(posicao_contratual!R12+posicao_contratual!P12-posicao_contratual!V12,0),2))</f>
        <v/>
      </c>
      <c r="R12" s="79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86" t="str">
        <f>IF(AND(A12="",A11&lt;&gt;"",COUNTIF(A13:$A$200,"&lt;&gt;")=0),"TOTAL",IF(A12="","",posicao_contratual!X12))</f>
        <v/>
      </c>
      <c r="V12" s="86" t="str">
        <f>IF(A12="","",posicao_contratual!X12)</f>
        <v/>
      </c>
      <c r="W12" s="14"/>
      <c r="X12" s="14"/>
      <c r="Y12" s="14"/>
      <c r="Z12" s="13"/>
      <c r="AA12" s="13"/>
      <c r="AB12" s="85" t="str">
        <f>IF(OR(A12="",posicao_contratual!E12="",posicao_contratual!J12=""),"",ROUND(MAX(posicao_contratual!E12-posicao_contratual!J12,0),2))</f>
        <v/>
      </c>
      <c r="AC12" s="79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47" t="str">
        <f>IF(A12="","",posicao_contratual!E12)</f>
        <v/>
      </c>
      <c r="AE12" s="147" t="str">
        <f>IF(A12="","",posicao_contratual!I12)</f>
        <v/>
      </c>
      <c r="AF12" s="147" t="str">
        <f>IF(A12="","",posicao_contratual!M12)</f>
        <v/>
      </c>
      <c r="AG12" s="147" t="str">
        <f>IF(A12="","",posicao_contratual!Q12)</f>
        <v/>
      </c>
      <c r="AH12" s="147" t="str">
        <f>IF(A12="","",posicao_contratual!U12)</f>
        <v/>
      </c>
      <c r="AI12" s="147" t="str">
        <f>IF(A12="","",posicao_contratual!G12)</f>
        <v/>
      </c>
      <c r="AJ12" s="147" t="str">
        <f>IF(A12="","",posicao_contratual!K12)</f>
        <v/>
      </c>
      <c r="AK12" s="147" t="str">
        <f>IF(A12="","",posicao_contratual!O12)</f>
        <v/>
      </c>
      <c r="AL12" s="147" t="str">
        <f>IF(A12="","",posicao_contratual!S12)</f>
        <v/>
      </c>
      <c r="AM12" s="147" t="str">
        <f>IF(A12="","",posicao_contratual!W12)</f>
        <v/>
      </c>
      <c r="AN12" s="148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1"/>
      <c r="B13" s="82" t="str">
        <f t="shared" si="0"/>
        <v/>
      </c>
      <c r="C13" s="83"/>
      <c r="D13" s="79" t="str">
        <f>IF(AND(A13="",A12&lt;&gt;"",COUNTIF(A14:$A$200,"&lt;&gt;")=0),ROUND(SUMIF($A$2:A12,"&lt;&gt;",$D$2:D12),2),IF(OR(A13="",B13="",C13=""),"",ROUND(B13*C13,2)))</f>
        <v/>
      </c>
      <c r="E13" s="84"/>
      <c r="F13" s="79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4"/>
      <c r="H13" s="79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4"/>
      <c r="J13" s="79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4"/>
      <c r="L13" s="79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5" t="str">
        <f>IF(OR(posicao_contratual!J13="",posicao_contratual!N13=""),"",ROUND(MAX(posicao_contratual!J13+posicao_contratual!H13-posicao_contratual!N13,0),2))</f>
        <v/>
      </c>
      <c r="N13" s="79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5" t="str">
        <f>IF(OR(posicao_contratual!N13="",posicao_contratual!R13=""),"",ROUND(MAX(posicao_contratual!N13+posicao_contratual!L13-posicao_contratual!R13,0),2))</f>
        <v/>
      </c>
      <c r="P13" s="79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5" t="str">
        <f>IF(OR(posicao_contratual!R13="",posicao_contratual!V13=""),"",ROUND(MAX(posicao_contratual!R13+posicao_contratual!P13-posicao_contratual!V13,0),2))</f>
        <v/>
      </c>
      <c r="R13" s="79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86" t="str">
        <f>IF(AND(A13="",A12&lt;&gt;"",COUNTIF(A14:$A$200,"&lt;&gt;")=0),"TOTAL",IF(A13="","",posicao_contratual!X13))</f>
        <v/>
      </c>
      <c r="V13" s="86" t="str">
        <f>IF(A13="","",posicao_contratual!X13)</f>
        <v/>
      </c>
      <c r="W13" s="14"/>
      <c r="X13" s="14"/>
      <c r="Y13" s="14"/>
      <c r="Z13" s="13"/>
      <c r="AA13" s="13"/>
      <c r="AB13" s="85" t="str">
        <f>IF(OR(A13="",posicao_contratual!E13="",posicao_contratual!J13=""),"",ROUND(MAX(posicao_contratual!E13-posicao_contratual!J13,0),2))</f>
        <v/>
      </c>
      <c r="AC13" s="79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47" t="str">
        <f>IF(A13="","",posicao_contratual!E13)</f>
        <v/>
      </c>
      <c r="AE13" s="147" t="str">
        <f>IF(A13="","",posicao_contratual!I13)</f>
        <v/>
      </c>
      <c r="AF13" s="147" t="str">
        <f>IF(A13="","",posicao_contratual!M13)</f>
        <v/>
      </c>
      <c r="AG13" s="147" t="str">
        <f>IF(A13="","",posicao_contratual!Q13)</f>
        <v/>
      </c>
      <c r="AH13" s="147" t="str">
        <f>IF(A13="","",posicao_contratual!U13)</f>
        <v/>
      </c>
      <c r="AI13" s="147" t="str">
        <f>IF(A13="","",posicao_contratual!G13)</f>
        <v/>
      </c>
      <c r="AJ13" s="147" t="str">
        <f>IF(A13="","",posicao_contratual!K13)</f>
        <v/>
      </c>
      <c r="AK13" s="147" t="str">
        <f>IF(A13="","",posicao_contratual!O13)</f>
        <v/>
      </c>
      <c r="AL13" s="147" t="str">
        <f>IF(A13="","",posicao_contratual!S13)</f>
        <v/>
      </c>
      <c r="AM13" s="147" t="str">
        <f>IF(A13="","",posicao_contratual!W13)</f>
        <v/>
      </c>
      <c r="AN13" s="148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1"/>
      <c r="B14" s="82" t="str">
        <f t="shared" si="0"/>
        <v/>
      </c>
      <c r="C14" s="83"/>
      <c r="D14" s="79" t="str">
        <f>IF(AND(A14="",A13&lt;&gt;"",COUNTIF(A15:$A$200,"&lt;&gt;")=0),ROUND(SUMIF($A$2:A13,"&lt;&gt;",$D$2:D13),2),IF(OR(A14="",B14="",C14=""),"",ROUND(B14*C14,2)))</f>
        <v/>
      </c>
      <c r="E14" s="84"/>
      <c r="F14" s="79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4"/>
      <c r="H14" s="79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4"/>
      <c r="J14" s="79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4"/>
      <c r="L14" s="79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5" t="str">
        <f>IF(OR(posicao_contratual!J14="",posicao_contratual!N14=""),"",ROUND(MAX(posicao_contratual!J14+posicao_contratual!H14-posicao_contratual!N14,0),2))</f>
        <v/>
      </c>
      <c r="N14" s="79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5" t="str">
        <f>IF(OR(posicao_contratual!N14="",posicao_contratual!R14=""),"",ROUND(MAX(posicao_contratual!N14+posicao_contratual!L14-posicao_contratual!R14,0),2))</f>
        <v/>
      </c>
      <c r="P14" s="79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5" t="str">
        <f>IF(OR(posicao_contratual!R14="",posicao_contratual!V14=""),"",ROUND(MAX(posicao_contratual!R14+posicao_contratual!P14-posicao_contratual!V14,0),2))</f>
        <v/>
      </c>
      <c r="R14" s="79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86" t="str">
        <f>IF(AND(A14="",A13&lt;&gt;"",COUNTIF(A15:$A$200,"&lt;&gt;")=0),"TOTAL",IF(A14="","",posicao_contratual!X14))</f>
        <v/>
      </c>
      <c r="V14" s="86" t="str">
        <f>IF(A14="","",posicao_contratual!X14)</f>
        <v/>
      </c>
      <c r="W14" s="14"/>
      <c r="X14" s="14"/>
      <c r="Y14" s="14"/>
      <c r="Z14" s="13"/>
      <c r="AA14" s="13"/>
      <c r="AB14" s="85" t="str">
        <f>IF(OR(A14="",posicao_contratual!E14="",posicao_contratual!J14=""),"",ROUND(MAX(posicao_contratual!E14-posicao_contratual!J14,0),2))</f>
        <v/>
      </c>
      <c r="AC14" s="79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47" t="str">
        <f>IF(A14="","",posicao_contratual!E14)</f>
        <v/>
      </c>
      <c r="AE14" s="147" t="str">
        <f>IF(A14="","",posicao_contratual!I14)</f>
        <v/>
      </c>
      <c r="AF14" s="147" t="str">
        <f>IF(A14="","",posicao_contratual!M14)</f>
        <v/>
      </c>
      <c r="AG14" s="147" t="str">
        <f>IF(A14="","",posicao_contratual!Q14)</f>
        <v/>
      </c>
      <c r="AH14" s="147" t="str">
        <f>IF(A14="","",posicao_contratual!U14)</f>
        <v/>
      </c>
      <c r="AI14" s="147" t="str">
        <f>IF(A14="","",posicao_contratual!G14)</f>
        <v/>
      </c>
      <c r="AJ14" s="147" t="str">
        <f>IF(A14="","",posicao_contratual!K14)</f>
        <v/>
      </c>
      <c r="AK14" s="147" t="str">
        <f>IF(A14="","",posicao_contratual!O14)</f>
        <v/>
      </c>
      <c r="AL14" s="147" t="str">
        <f>IF(A14="","",posicao_contratual!S14)</f>
        <v/>
      </c>
      <c r="AM14" s="147" t="str">
        <f>IF(A14="","",posicao_contratual!W14)</f>
        <v/>
      </c>
      <c r="AN14" s="148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1"/>
      <c r="B15" s="82" t="str">
        <f t="shared" si="0"/>
        <v/>
      </c>
      <c r="C15" s="83"/>
      <c r="D15" s="79" t="str">
        <f>IF(AND(A15="",A14&lt;&gt;"",COUNTIF(A16:$A$200,"&lt;&gt;")=0),ROUND(SUMIF($A$2:A14,"&lt;&gt;",$D$2:D14),2),IF(OR(A15="",B15="",C15=""),"",ROUND(B15*C15,2)))</f>
        <v/>
      </c>
      <c r="E15" s="84"/>
      <c r="F15" s="79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4"/>
      <c r="H15" s="79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4"/>
      <c r="J15" s="79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4"/>
      <c r="L15" s="79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5" t="str">
        <f>IF(OR(posicao_contratual!J15="",posicao_contratual!N15=""),"",ROUND(MAX(posicao_contratual!J15+posicao_contratual!H15-posicao_contratual!N15,0),2))</f>
        <v/>
      </c>
      <c r="N15" s="79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5" t="str">
        <f>IF(OR(posicao_contratual!N15="",posicao_contratual!R15=""),"",ROUND(MAX(posicao_contratual!N15+posicao_contratual!L15-posicao_contratual!R15,0),2))</f>
        <v/>
      </c>
      <c r="P15" s="79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5" t="str">
        <f>IF(OR(posicao_contratual!R15="",posicao_contratual!V15=""),"",ROUND(MAX(posicao_contratual!R15+posicao_contratual!P15-posicao_contratual!V15,0),2))</f>
        <v/>
      </c>
      <c r="R15" s="79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86" t="str">
        <f>IF(AND(A15="",A14&lt;&gt;"",COUNTIF(A16:$A$200,"&lt;&gt;")=0),"TOTAL",IF(A15="","",posicao_contratual!X15))</f>
        <v/>
      </c>
      <c r="V15" s="86" t="str">
        <f>IF(A15="","",posicao_contratual!X15)</f>
        <v/>
      </c>
      <c r="W15" s="14"/>
      <c r="X15" s="14"/>
      <c r="Y15" s="14"/>
      <c r="Z15" s="13"/>
      <c r="AA15" s="13"/>
      <c r="AB15" s="85" t="str">
        <f>IF(OR(A15="",posicao_contratual!E15="",posicao_contratual!J15=""),"",ROUND(MAX(posicao_contratual!E15-posicao_contratual!J15,0),2))</f>
        <v/>
      </c>
      <c r="AC15" s="79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47" t="str">
        <f>IF(A15="","",posicao_contratual!E15)</f>
        <v/>
      </c>
      <c r="AE15" s="147" t="str">
        <f>IF(A15="","",posicao_contratual!I15)</f>
        <v/>
      </c>
      <c r="AF15" s="147" t="str">
        <f>IF(A15="","",posicao_contratual!M15)</f>
        <v/>
      </c>
      <c r="AG15" s="147" t="str">
        <f>IF(A15="","",posicao_contratual!Q15)</f>
        <v/>
      </c>
      <c r="AH15" s="147" t="str">
        <f>IF(A15="","",posicao_contratual!U15)</f>
        <v/>
      </c>
      <c r="AI15" s="147" t="str">
        <f>IF(A15="","",posicao_contratual!G15)</f>
        <v/>
      </c>
      <c r="AJ15" s="147" t="str">
        <f>IF(A15="","",posicao_contratual!K15)</f>
        <v/>
      </c>
      <c r="AK15" s="147" t="str">
        <f>IF(A15="","",posicao_contratual!O15)</f>
        <v/>
      </c>
      <c r="AL15" s="147" t="str">
        <f>IF(A15="","",posicao_contratual!S15)</f>
        <v/>
      </c>
      <c r="AM15" s="147" t="str">
        <f>IF(A15="","",posicao_contratual!W15)</f>
        <v/>
      </c>
      <c r="AN15" s="148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1"/>
      <c r="B16" s="82" t="str">
        <f t="shared" si="0"/>
        <v/>
      </c>
      <c r="C16" s="83"/>
      <c r="D16" s="79" t="str">
        <f>IF(AND(A16="",A15&lt;&gt;"",COUNTIF(A17:$A$200,"&lt;&gt;")=0),ROUND(SUMIF($A$2:A15,"&lt;&gt;",$D$2:D15),2),IF(OR(A16="",B16="",C16=""),"",ROUND(B16*C16,2)))</f>
        <v/>
      </c>
      <c r="E16" s="84"/>
      <c r="F16" s="79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4"/>
      <c r="H16" s="79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4"/>
      <c r="J16" s="79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4"/>
      <c r="L16" s="79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5" t="str">
        <f>IF(OR(posicao_contratual!J16="",posicao_contratual!N16=""),"",ROUND(MAX(posicao_contratual!J16+posicao_contratual!H16-posicao_contratual!N16,0),2))</f>
        <v/>
      </c>
      <c r="N16" s="79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5" t="str">
        <f>IF(OR(posicao_contratual!N16="",posicao_contratual!R16=""),"",ROUND(MAX(posicao_contratual!N16+posicao_contratual!L16-posicao_contratual!R16,0),2))</f>
        <v/>
      </c>
      <c r="P16" s="79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5" t="str">
        <f>IF(OR(posicao_contratual!R16="",posicao_contratual!V16=""),"",ROUND(MAX(posicao_contratual!R16+posicao_contratual!P16-posicao_contratual!V16,0),2))</f>
        <v/>
      </c>
      <c r="R16" s="79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86" t="str">
        <f>IF(AND(A16="",A15&lt;&gt;"",COUNTIF(A17:$A$200,"&lt;&gt;")=0),"TOTAL",IF(A16="","",posicao_contratual!X16))</f>
        <v/>
      </c>
      <c r="V16" s="86" t="str">
        <f>IF(A16="","",posicao_contratual!X16)</f>
        <v/>
      </c>
      <c r="W16" s="14"/>
      <c r="X16" s="14"/>
      <c r="Y16" s="14"/>
      <c r="Z16" s="13"/>
      <c r="AA16" s="13"/>
      <c r="AB16" s="85" t="str">
        <f>IF(OR(A16="",posicao_contratual!E16="",posicao_contratual!J16=""),"",ROUND(MAX(posicao_contratual!E16-posicao_contratual!J16,0),2))</f>
        <v/>
      </c>
      <c r="AC16" s="79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47" t="str">
        <f>IF(A16="","",posicao_contratual!E16)</f>
        <v/>
      </c>
      <c r="AE16" s="147" t="str">
        <f>IF(A16="","",posicao_contratual!I16)</f>
        <v/>
      </c>
      <c r="AF16" s="147" t="str">
        <f>IF(A16="","",posicao_contratual!M16)</f>
        <v/>
      </c>
      <c r="AG16" s="147" t="str">
        <f>IF(A16="","",posicao_contratual!Q16)</f>
        <v/>
      </c>
      <c r="AH16" s="147" t="str">
        <f>IF(A16="","",posicao_contratual!U16)</f>
        <v/>
      </c>
      <c r="AI16" s="147" t="str">
        <f>IF(A16="","",posicao_contratual!G16)</f>
        <v/>
      </c>
      <c r="AJ16" s="147" t="str">
        <f>IF(A16="","",posicao_contratual!K16)</f>
        <v/>
      </c>
      <c r="AK16" s="147" t="str">
        <f>IF(A16="","",posicao_contratual!O16)</f>
        <v/>
      </c>
      <c r="AL16" s="147" t="str">
        <f>IF(A16="","",posicao_contratual!S16)</f>
        <v/>
      </c>
      <c r="AM16" s="147" t="str">
        <f>IF(A16="","",posicao_contratual!W16)</f>
        <v/>
      </c>
      <c r="AN16" s="148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1"/>
      <c r="B17" s="82" t="str">
        <f t="shared" si="0"/>
        <v/>
      </c>
      <c r="C17" s="83"/>
      <c r="D17" s="79" t="str">
        <f>IF(AND(A17="",A16&lt;&gt;"",COUNTIF(A18:$A$200,"&lt;&gt;")=0),ROUND(SUMIF($A$2:A16,"&lt;&gt;",$D$2:D16),2),IF(OR(A17="",B17="",C17=""),"",ROUND(B17*C17,2)))</f>
        <v/>
      </c>
      <c r="E17" s="84"/>
      <c r="F17" s="79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4"/>
      <c r="H17" s="79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4"/>
      <c r="J17" s="79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4"/>
      <c r="L17" s="79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5" t="str">
        <f>IF(OR(posicao_contratual!J17="",posicao_contratual!N17=""),"",ROUND(MAX(posicao_contratual!J17+posicao_contratual!H17-posicao_contratual!N17,0),2))</f>
        <v/>
      </c>
      <c r="N17" s="79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5" t="str">
        <f>IF(OR(posicao_contratual!N17="",posicao_contratual!R17=""),"",ROUND(MAX(posicao_contratual!N17+posicao_contratual!L17-posicao_contratual!R17,0),2))</f>
        <v/>
      </c>
      <c r="P17" s="79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5" t="str">
        <f>IF(OR(posicao_contratual!R17="",posicao_contratual!V17=""),"",ROUND(MAX(posicao_contratual!R17+posicao_contratual!P17-posicao_contratual!V17,0),2))</f>
        <v/>
      </c>
      <c r="R17" s="79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86" t="str">
        <f>IF(AND(A17="",A16&lt;&gt;"",COUNTIF(A18:$A$200,"&lt;&gt;")=0),"TOTAL",IF(A17="","",posicao_contratual!X17))</f>
        <v/>
      </c>
      <c r="V17" s="86" t="str">
        <f>IF(A17="","",posicao_contratual!X17)</f>
        <v/>
      </c>
      <c r="W17" s="14"/>
      <c r="X17" s="14"/>
      <c r="Y17" s="14"/>
      <c r="Z17" s="13"/>
      <c r="AA17" s="13"/>
      <c r="AB17" s="85" t="str">
        <f>IF(OR(A17="",posicao_contratual!E17="",posicao_contratual!J17=""),"",ROUND(MAX(posicao_contratual!E17-posicao_contratual!J17,0),2))</f>
        <v/>
      </c>
      <c r="AC17" s="79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47" t="str">
        <f>IF(A17="","",posicao_contratual!E17)</f>
        <v/>
      </c>
      <c r="AE17" s="147" t="str">
        <f>IF(A17="","",posicao_contratual!I17)</f>
        <v/>
      </c>
      <c r="AF17" s="147" t="str">
        <f>IF(A17="","",posicao_contratual!M17)</f>
        <v/>
      </c>
      <c r="AG17" s="147" t="str">
        <f>IF(A17="","",posicao_contratual!Q17)</f>
        <v/>
      </c>
      <c r="AH17" s="147" t="str">
        <f>IF(A17="","",posicao_contratual!U17)</f>
        <v/>
      </c>
      <c r="AI17" s="147" t="str">
        <f>IF(A17="","",posicao_contratual!G17)</f>
        <v/>
      </c>
      <c r="AJ17" s="147" t="str">
        <f>IF(A17="","",posicao_contratual!K17)</f>
        <v/>
      </c>
      <c r="AK17" s="147" t="str">
        <f>IF(A17="","",posicao_contratual!O17)</f>
        <v/>
      </c>
      <c r="AL17" s="147" t="str">
        <f>IF(A17="","",posicao_contratual!S17)</f>
        <v/>
      </c>
      <c r="AM17" s="147" t="str">
        <f>IF(A17="","",posicao_contratual!W17)</f>
        <v/>
      </c>
      <c r="AN17" s="148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1"/>
      <c r="B18" s="82" t="str">
        <f t="shared" si="0"/>
        <v/>
      </c>
      <c r="C18" s="83"/>
      <c r="D18" s="79" t="str">
        <f>IF(AND(A18="",A17&lt;&gt;"",COUNTIF(A19:$A$200,"&lt;&gt;")=0),ROUND(SUMIF($A$2:A17,"&lt;&gt;",$D$2:D17),2),IF(OR(A18="",B18="",C18=""),"",ROUND(B18*C18,2)))</f>
        <v/>
      </c>
      <c r="E18" s="84"/>
      <c r="F18" s="79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4"/>
      <c r="H18" s="79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4"/>
      <c r="J18" s="79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4"/>
      <c r="L18" s="79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5" t="str">
        <f>IF(OR(posicao_contratual!J18="",posicao_contratual!N18=""),"",ROUND(MAX(posicao_contratual!J18+posicao_contratual!H18-posicao_contratual!N18,0),2))</f>
        <v/>
      </c>
      <c r="N18" s="79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5" t="str">
        <f>IF(OR(posicao_contratual!N18="",posicao_contratual!R18=""),"",ROUND(MAX(posicao_contratual!N18+posicao_contratual!L18-posicao_contratual!R18,0),2))</f>
        <v/>
      </c>
      <c r="P18" s="79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5" t="str">
        <f>IF(OR(posicao_contratual!R18="",posicao_contratual!V18=""),"",ROUND(MAX(posicao_contratual!R18+posicao_contratual!P18-posicao_contratual!V18,0),2))</f>
        <v/>
      </c>
      <c r="R18" s="79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86" t="str">
        <f>IF(AND(A18="",A17&lt;&gt;"",COUNTIF(A19:$A$200,"&lt;&gt;")=0),"TOTAL",IF(A18="","",posicao_contratual!X18))</f>
        <v/>
      </c>
      <c r="V18" s="86" t="str">
        <f>IF(A18="","",posicao_contratual!X18)</f>
        <v/>
      </c>
      <c r="W18" s="14"/>
      <c r="X18" s="14"/>
      <c r="Y18" s="14"/>
      <c r="Z18" s="13"/>
      <c r="AA18" s="13"/>
      <c r="AB18" s="85" t="str">
        <f>IF(OR(A18="",posicao_contratual!E18="",posicao_contratual!J18=""),"",ROUND(MAX(posicao_contratual!E18-posicao_contratual!J18,0),2))</f>
        <v/>
      </c>
      <c r="AC18" s="79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47" t="str">
        <f>IF(A18="","",posicao_contratual!E18)</f>
        <v/>
      </c>
      <c r="AE18" s="147" t="str">
        <f>IF(A18="","",posicao_contratual!I18)</f>
        <v/>
      </c>
      <c r="AF18" s="147" t="str">
        <f>IF(A18="","",posicao_contratual!M18)</f>
        <v/>
      </c>
      <c r="AG18" s="147" t="str">
        <f>IF(A18="","",posicao_contratual!Q18)</f>
        <v/>
      </c>
      <c r="AH18" s="147" t="str">
        <f>IF(A18="","",posicao_contratual!U18)</f>
        <v/>
      </c>
      <c r="AI18" s="147" t="str">
        <f>IF(A18="","",posicao_contratual!G18)</f>
        <v/>
      </c>
      <c r="AJ18" s="147" t="str">
        <f>IF(A18="","",posicao_contratual!K18)</f>
        <v/>
      </c>
      <c r="AK18" s="147" t="str">
        <f>IF(A18="","",posicao_contratual!O18)</f>
        <v/>
      </c>
      <c r="AL18" s="147" t="str">
        <f>IF(A18="","",posicao_contratual!S18)</f>
        <v/>
      </c>
      <c r="AM18" s="147" t="str">
        <f>IF(A18="","",posicao_contratual!W18)</f>
        <v/>
      </c>
      <c r="AN18" s="148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1"/>
      <c r="B19" s="82" t="str">
        <f t="shared" si="0"/>
        <v/>
      </c>
      <c r="C19" s="83"/>
      <c r="D19" s="79" t="str">
        <f>IF(AND(A19="",A18&lt;&gt;"",COUNTIF(A20:$A$200,"&lt;&gt;")=0),ROUND(SUMIF($A$2:A18,"&lt;&gt;",$D$2:D18),2),IF(OR(A19="",B19="",C19=""),"",ROUND(B19*C19,2)))</f>
        <v/>
      </c>
      <c r="E19" s="84"/>
      <c r="F19" s="79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4"/>
      <c r="H19" s="79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4"/>
      <c r="J19" s="79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4"/>
      <c r="L19" s="79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5" t="str">
        <f>IF(OR(posicao_contratual!J19="",posicao_contratual!N19=""),"",ROUND(MAX(posicao_contratual!J19+posicao_contratual!H19-posicao_contratual!N19,0),2))</f>
        <v/>
      </c>
      <c r="N19" s="79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5" t="str">
        <f>IF(OR(posicao_contratual!N19="",posicao_contratual!R19=""),"",ROUND(MAX(posicao_contratual!N19+posicao_contratual!L19-posicao_contratual!R19,0),2))</f>
        <v/>
      </c>
      <c r="P19" s="79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5" t="str">
        <f>IF(OR(posicao_contratual!R19="",posicao_contratual!V19=""),"",ROUND(MAX(posicao_contratual!R19+posicao_contratual!P19-posicao_contratual!V19,0),2))</f>
        <v/>
      </c>
      <c r="R19" s="79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86" t="str">
        <f>IF(AND(A19="",A18&lt;&gt;"",COUNTIF(A20:$A$200,"&lt;&gt;")=0),"TOTAL",IF(A19="","",posicao_contratual!X19))</f>
        <v/>
      </c>
      <c r="V19" s="86" t="str">
        <f>IF(A19="","",posicao_contratual!X19)</f>
        <v/>
      </c>
      <c r="W19" s="14"/>
      <c r="X19" s="14"/>
      <c r="Y19" s="14"/>
      <c r="Z19" s="13"/>
      <c r="AA19" s="13"/>
      <c r="AB19" s="85" t="str">
        <f>IF(OR(A19="",posicao_contratual!E19="",posicao_contratual!J19=""),"",ROUND(MAX(posicao_contratual!E19-posicao_contratual!J19,0),2))</f>
        <v/>
      </c>
      <c r="AC19" s="79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47" t="str">
        <f>IF(A19="","",posicao_contratual!E19)</f>
        <v/>
      </c>
      <c r="AE19" s="147" t="str">
        <f>IF(A19="","",posicao_contratual!I19)</f>
        <v/>
      </c>
      <c r="AF19" s="147" t="str">
        <f>IF(A19="","",posicao_contratual!M19)</f>
        <v/>
      </c>
      <c r="AG19" s="147" t="str">
        <f>IF(A19="","",posicao_contratual!Q19)</f>
        <v/>
      </c>
      <c r="AH19" s="147" t="str">
        <f>IF(A19="","",posicao_contratual!U19)</f>
        <v/>
      </c>
      <c r="AI19" s="147" t="str">
        <f>IF(A19="","",posicao_contratual!G19)</f>
        <v/>
      </c>
      <c r="AJ19" s="147" t="str">
        <f>IF(A19="","",posicao_contratual!K19)</f>
        <v/>
      </c>
      <c r="AK19" s="147" t="str">
        <f>IF(A19="","",posicao_contratual!O19)</f>
        <v/>
      </c>
      <c r="AL19" s="147" t="str">
        <f>IF(A19="","",posicao_contratual!S19)</f>
        <v/>
      </c>
      <c r="AM19" s="147" t="str">
        <f>IF(A19="","",posicao_contratual!W19)</f>
        <v/>
      </c>
      <c r="AN19" s="148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1"/>
      <c r="B20" s="82" t="str">
        <f t="shared" si="0"/>
        <v/>
      </c>
      <c r="C20" s="83"/>
      <c r="D20" s="79" t="str">
        <f>IF(AND(A20="",A19&lt;&gt;"",COUNTIF(A21:$A$200,"&lt;&gt;")=0),ROUND(SUMIF($A$2:A19,"&lt;&gt;",$D$2:D19),2),IF(OR(A20="",B20="",C20=""),"",ROUND(B20*C20,2)))</f>
        <v/>
      </c>
      <c r="E20" s="84"/>
      <c r="F20" s="79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4"/>
      <c r="H20" s="79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4"/>
      <c r="J20" s="79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4"/>
      <c r="L20" s="79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5" t="str">
        <f>IF(OR(posicao_contratual!J20="",posicao_contratual!N20=""),"",ROUND(MAX(posicao_contratual!J20+posicao_contratual!H20-posicao_contratual!N20,0),2))</f>
        <v/>
      </c>
      <c r="N20" s="79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5" t="str">
        <f>IF(OR(posicao_contratual!N20="",posicao_contratual!R20=""),"",ROUND(MAX(posicao_contratual!N20+posicao_contratual!L20-posicao_contratual!R20,0),2))</f>
        <v/>
      </c>
      <c r="P20" s="79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5" t="str">
        <f>IF(OR(posicao_contratual!R20="",posicao_contratual!V20=""),"",ROUND(MAX(posicao_contratual!R20+posicao_contratual!P20-posicao_contratual!V20,0),2))</f>
        <v/>
      </c>
      <c r="R20" s="79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86" t="str">
        <f>IF(AND(A20="",A19&lt;&gt;"",COUNTIF(A21:$A$200,"&lt;&gt;")=0),"TOTAL",IF(A20="","",posicao_contratual!X20))</f>
        <v/>
      </c>
      <c r="V20" s="86" t="str">
        <f>IF(A20="","",posicao_contratual!X20)</f>
        <v/>
      </c>
      <c r="W20" s="14"/>
      <c r="X20" s="14"/>
      <c r="Y20" s="14"/>
      <c r="Z20" s="13"/>
      <c r="AA20" s="13"/>
      <c r="AB20" s="85" t="str">
        <f>IF(OR(A20="",posicao_contratual!E20="",posicao_contratual!J20=""),"",ROUND(MAX(posicao_contratual!E20-posicao_contratual!J20,0),2))</f>
        <v/>
      </c>
      <c r="AC20" s="79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47" t="str">
        <f>IF(A20="","",posicao_contratual!E20)</f>
        <v/>
      </c>
      <c r="AE20" s="147" t="str">
        <f>IF(A20="","",posicao_contratual!I20)</f>
        <v/>
      </c>
      <c r="AF20" s="147" t="str">
        <f>IF(A20="","",posicao_contratual!M20)</f>
        <v/>
      </c>
      <c r="AG20" s="147" t="str">
        <f>IF(A20="","",posicao_contratual!Q20)</f>
        <v/>
      </c>
      <c r="AH20" s="147" t="str">
        <f>IF(A20="","",posicao_contratual!U20)</f>
        <v/>
      </c>
      <c r="AI20" s="147" t="str">
        <f>IF(A20="","",posicao_contratual!G20)</f>
        <v/>
      </c>
      <c r="AJ20" s="147" t="str">
        <f>IF(A20="","",posicao_contratual!K20)</f>
        <v/>
      </c>
      <c r="AK20" s="147" t="str">
        <f>IF(A20="","",posicao_contratual!O20)</f>
        <v/>
      </c>
      <c r="AL20" s="147" t="str">
        <f>IF(A20="","",posicao_contratual!S20)</f>
        <v/>
      </c>
      <c r="AM20" s="147" t="str">
        <f>IF(A20="","",posicao_contratual!W20)</f>
        <v/>
      </c>
      <c r="AN20" s="148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1"/>
      <c r="B21" s="82" t="str">
        <f t="shared" si="0"/>
        <v/>
      </c>
      <c r="C21" s="83"/>
      <c r="D21" s="79" t="str">
        <f>IF(AND(A21="",A20&lt;&gt;"",COUNTIF(A22:$A$200,"&lt;&gt;")=0),ROUND(SUMIF($A$2:A20,"&lt;&gt;",$D$2:D20),2),IF(OR(A21="",B21="",C21=""),"",ROUND(B21*C21,2)))</f>
        <v/>
      </c>
      <c r="E21" s="84"/>
      <c r="F21" s="79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4"/>
      <c r="H21" s="79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4"/>
      <c r="J21" s="79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4"/>
      <c r="L21" s="79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5" t="str">
        <f>IF(OR(posicao_contratual!J21="",posicao_contratual!N21=""),"",ROUND(MAX(posicao_contratual!J21+posicao_contratual!H21-posicao_contratual!N21,0),2))</f>
        <v/>
      </c>
      <c r="N21" s="79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5" t="str">
        <f>IF(OR(posicao_contratual!N21="",posicao_contratual!R21=""),"",ROUND(MAX(posicao_contratual!N21+posicao_contratual!L21-posicao_contratual!R21,0),2))</f>
        <v/>
      </c>
      <c r="P21" s="79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5" t="str">
        <f>IF(OR(posicao_contratual!R21="",posicao_contratual!V21=""),"",ROUND(MAX(posicao_contratual!R21+posicao_contratual!P21-posicao_contratual!V21,0),2))</f>
        <v/>
      </c>
      <c r="R21" s="79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86" t="str">
        <f>IF(AND(A21="",A20&lt;&gt;"",COUNTIF(A22:$A$200,"&lt;&gt;")=0),"TOTAL",IF(A21="","",posicao_contratual!X21))</f>
        <v/>
      </c>
      <c r="V21" s="86" t="str">
        <f>IF(A21="","",posicao_contratual!X21)</f>
        <v/>
      </c>
      <c r="W21" s="14"/>
      <c r="X21" s="14"/>
      <c r="Y21" s="14"/>
      <c r="Z21" s="13"/>
      <c r="AA21" s="13"/>
      <c r="AB21" s="85" t="str">
        <f>IF(OR(A21="",posicao_contratual!E21="",posicao_contratual!J21=""),"",ROUND(MAX(posicao_contratual!E21-posicao_contratual!J21,0),2))</f>
        <v/>
      </c>
      <c r="AC21" s="79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47" t="str">
        <f>IF(A21="","",posicao_contratual!E21)</f>
        <v/>
      </c>
      <c r="AE21" s="147" t="str">
        <f>IF(A21="","",posicao_contratual!I21)</f>
        <v/>
      </c>
      <c r="AF21" s="147" t="str">
        <f>IF(A21="","",posicao_contratual!M21)</f>
        <v/>
      </c>
      <c r="AG21" s="147" t="str">
        <f>IF(A21="","",posicao_contratual!Q21)</f>
        <v/>
      </c>
      <c r="AH21" s="147" t="str">
        <f>IF(A21="","",posicao_contratual!U21)</f>
        <v/>
      </c>
      <c r="AI21" s="147" t="str">
        <f>IF(A21="","",posicao_contratual!G21)</f>
        <v/>
      </c>
      <c r="AJ21" s="147" t="str">
        <f>IF(A21="","",posicao_contratual!K21)</f>
        <v/>
      </c>
      <c r="AK21" s="147" t="str">
        <f>IF(A21="","",posicao_contratual!O21)</f>
        <v/>
      </c>
      <c r="AL21" s="147" t="str">
        <f>IF(A21="","",posicao_contratual!S21)</f>
        <v/>
      </c>
      <c r="AM21" s="147" t="str">
        <f>IF(A21="","",posicao_contratual!W21)</f>
        <v/>
      </c>
      <c r="AN21" s="148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1"/>
      <c r="B22" s="82" t="str">
        <f t="shared" si="0"/>
        <v/>
      </c>
      <c r="C22" s="83"/>
      <c r="D22" s="79" t="str">
        <f>IF(AND(A22="",A21&lt;&gt;"",COUNTIF(A23:$A$200,"&lt;&gt;")=0),ROUND(SUMIF($A$2:A21,"&lt;&gt;",$D$2:D21),2),IF(OR(A22="",B22="",C22=""),"",ROUND(B22*C22,2)))</f>
        <v/>
      </c>
      <c r="E22" s="84"/>
      <c r="F22" s="79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4"/>
      <c r="H22" s="79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4"/>
      <c r="J22" s="79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4"/>
      <c r="L22" s="79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5" t="str">
        <f>IF(OR(posicao_contratual!J22="",posicao_contratual!N22=""),"",ROUND(MAX(posicao_contratual!J22+posicao_contratual!H22-posicao_contratual!N22,0),2))</f>
        <v/>
      </c>
      <c r="N22" s="79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5" t="str">
        <f>IF(OR(posicao_contratual!N22="",posicao_contratual!R22=""),"",ROUND(MAX(posicao_contratual!N22+posicao_contratual!L22-posicao_contratual!R22,0),2))</f>
        <v/>
      </c>
      <c r="P22" s="79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5" t="str">
        <f>IF(OR(posicao_contratual!R22="",posicao_contratual!V22=""),"",ROUND(MAX(posicao_contratual!R22+posicao_contratual!P22-posicao_contratual!V22,0),2))</f>
        <v/>
      </c>
      <c r="R22" s="79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86" t="str">
        <f>IF(AND(A22="",A21&lt;&gt;"",COUNTIF(A23:$A$200,"&lt;&gt;")=0),"TOTAL",IF(A22="","",posicao_contratual!X22))</f>
        <v/>
      </c>
      <c r="V22" s="86" t="str">
        <f>IF(A22="","",posicao_contratual!X22)</f>
        <v/>
      </c>
      <c r="W22" s="14"/>
      <c r="X22" s="14"/>
      <c r="Y22" s="14"/>
      <c r="Z22" s="13"/>
      <c r="AA22" s="13"/>
      <c r="AB22" s="85" t="str">
        <f>IF(OR(A22="",posicao_contratual!E22="",posicao_contratual!J22=""),"",ROUND(MAX(posicao_contratual!E22-posicao_contratual!J22,0),2))</f>
        <v/>
      </c>
      <c r="AC22" s="79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47" t="str">
        <f>IF(A22="","",posicao_contratual!E22)</f>
        <v/>
      </c>
      <c r="AE22" s="147" t="str">
        <f>IF(A22="","",posicao_contratual!I22)</f>
        <v/>
      </c>
      <c r="AF22" s="147" t="str">
        <f>IF(A22="","",posicao_contratual!M22)</f>
        <v/>
      </c>
      <c r="AG22" s="147" t="str">
        <f>IF(A22="","",posicao_contratual!Q22)</f>
        <v/>
      </c>
      <c r="AH22" s="147" t="str">
        <f>IF(A22="","",posicao_contratual!U22)</f>
        <v/>
      </c>
      <c r="AI22" s="147" t="str">
        <f>IF(A22="","",posicao_contratual!G22)</f>
        <v/>
      </c>
      <c r="AJ22" s="147" t="str">
        <f>IF(A22="","",posicao_contratual!K22)</f>
        <v/>
      </c>
      <c r="AK22" s="147" t="str">
        <f>IF(A22="","",posicao_contratual!O22)</f>
        <v/>
      </c>
      <c r="AL22" s="147" t="str">
        <f>IF(A22="","",posicao_contratual!S22)</f>
        <v/>
      </c>
      <c r="AM22" s="147" t="str">
        <f>IF(A22="","",posicao_contratual!W22)</f>
        <v/>
      </c>
      <c r="AN22" s="148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1"/>
      <c r="B23" s="82" t="str">
        <f t="shared" si="0"/>
        <v/>
      </c>
      <c r="C23" s="83"/>
      <c r="D23" s="79" t="str">
        <f>IF(AND(A23="",A22&lt;&gt;"",COUNTIF(A24:$A$200,"&lt;&gt;")=0),ROUND(SUMIF($A$2:A22,"&lt;&gt;",$D$2:D22),2),IF(OR(A23="",B23="",C23=""),"",ROUND(B23*C23,2)))</f>
        <v/>
      </c>
      <c r="E23" s="84"/>
      <c r="F23" s="79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4"/>
      <c r="H23" s="79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4"/>
      <c r="J23" s="79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4"/>
      <c r="L23" s="79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5" t="str">
        <f>IF(OR(posicao_contratual!J23="",posicao_contratual!N23=""),"",ROUND(MAX(posicao_contratual!J23+posicao_contratual!H23-posicao_contratual!N23,0),2))</f>
        <v/>
      </c>
      <c r="N23" s="79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5" t="str">
        <f>IF(OR(posicao_contratual!N23="",posicao_contratual!R23=""),"",ROUND(MAX(posicao_contratual!N23+posicao_contratual!L23-posicao_contratual!R23,0),2))</f>
        <v/>
      </c>
      <c r="P23" s="79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5" t="str">
        <f>IF(OR(posicao_contratual!R23="",posicao_contratual!V23=""),"",ROUND(MAX(posicao_contratual!R23+posicao_contratual!P23-posicao_contratual!V23,0),2))</f>
        <v/>
      </c>
      <c r="R23" s="79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86" t="str">
        <f>IF(AND(A23="",A22&lt;&gt;"",COUNTIF(A24:$A$200,"&lt;&gt;")=0),"TOTAL",IF(A23="","",posicao_contratual!X23))</f>
        <v/>
      </c>
      <c r="V23" s="86" t="str">
        <f>IF(A23="","",posicao_contratual!X23)</f>
        <v/>
      </c>
      <c r="W23" s="14"/>
      <c r="X23" s="14"/>
      <c r="Y23" s="14"/>
      <c r="Z23" s="13"/>
      <c r="AA23" s="13"/>
      <c r="AB23" s="85" t="str">
        <f>IF(OR(A23="",posicao_contratual!E23="",posicao_contratual!J23=""),"",ROUND(MAX(posicao_contratual!E23-posicao_contratual!J23,0),2))</f>
        <v/>
      </c>
      <c r="AC23" s="79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47" t="str">
        <f>IF(A23="","",posicao_contratual!E23)</f>
        <v/>
      </c>
      <c r="AE23" s="147" t="str">
        <f>IF(A23="","",posicao_contratual!I23)</f>
        <v/>
      </c>
      <c r="AF23" s="147" t="str">
        <f>IF(A23="","",posicao_contratual!M23)</f>
        <v/>
      </c>
      <c r="AG23" s="147" t="str">
        <f>IF(A23="","",posicao_contratual!Q23)</f>
        <v/>
      </c>
      <c r="AH23" s="147" t="str">
        <f>IF(A23="","",posicao_contratual!U23)</f>
        <v/>
      </c>
      <c r="AI23" s="147" t="str">
        <f>IF(A23="","",posicao_contratual!G23)</f>
        <v/>
      </c>
      <c r="AJ23" s="147" t="str">
        <f>IF(A23="","",posicao_contratual!K23)</f>
        <v/>
      </c>
      <c r="AK23" s="147" t="str">
        <f>IF(A23="","",posicao_contratual!O23)</f>
        <v/>
      </c>
      <c r="AL23" s="147" t="str">
        <f>IF(A23="","",posicao_contratual!S23)</f>
        <v/>
      </c>
      <c r="AM23" s="147" t="str">
        <f>IF(A23="","",posicao_contratual!W23)</f>
        <v/>
      </c>
      <c r="AN23" s="148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1"/>
      <c r="B24" s="82" t="str">
        <f t="shared" si="0"/>
        <v/>
      </c>
      <c r="C24" s="83"/>
      <c r="D24" s="79" t="str">
        <f>IF(AND(A24="",A23&lt;&gt;"",COUNTIF(A25:$A$200,"&lt;&gt;")=0),ROUND(SUMIF($A$2:A23,"&lt;&gt;",$D$2:D23),2),IF(OR(A24="",B24="",C24=""),"",ROUND(B24*C24,2)))</f>
        <v/>
      </c>
      <c r="E24" s="84"/>
      <c r="F24" s="79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4"/>
      <c r="H24" s="79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4"/>
      <c r="J24" s="79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4"/>
      <c r="L24" s="79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5" t="str">
        <f>IF(OR(posicao_contratual!J24="",posicao_contratual!N24=""),"",ROUND(MAX(posicao_contratual!J24+posicao_contratual!H24-posicao_contratual!N24,0),2))</f>
        <v/>
      </c>
      <c r="N24" s="79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5" t="str">
        <f>IF(OR(posicao_contratual!N24="",posicao_contratual!R24=""),"",ROUND(MAX(posicao_contratual!N24+posicao_contratual!L24-posicao_contratual!R24,0),2))</f>
        <v/>
      </c>
      <c r="P24" s="79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5" t="str">
        <f>IF(OR(posicao_contratual!R24="",posicao_contratual!V24=""),"",ROUND(MAX(posicao_contratual!R24+posicao_contratual!P24-posicao_contratual!V24,0),2))</f>
        <v/>
      </c>
      <c r="R24" s="79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86" t="str">
        <f>IF(AND(A24="",A23&lt;&gt;"",COUNTIF(A25:$A$200,"&lt;&gt;")=0),"TOTAL",IF(A24="","",posicao_contratual!X24))</f>
        <v/>
      </c>
      <c r="V24" s="86" t="str">
        <f>IF(A24="","",posicao_contratual!X24)</f>
        <v/>
      </c>
      <c r="W24" s="14"/>
      <c r="X24" s="14"/>
      <c r="Y24" s="14"/>
      <c r="Z24" s="13"/>
      <c r="AA24" s="13"/>
      <c r="AB24" s="85" t="str">
        <f>IF(OR(A24="",posicao_contratual!E24="",posicao_contratual!J24=""),"",ROUND(MAX(posicao_contratual!E24-posicao_contratual!J24,0),2))</f>
        <v/>
      </c>
      <c r="AC24" s="79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47" t="str">
        <f>IF(A24="","",posicao_contratual!E24)</f>
        <v/>
      </c>
      <c r="AE24" s="147" t="str">
        <f>IF(A24="","",posicao_contratual!I24)</f>
        <v/>
      </c>
      <c r="AF24" s="147" t="str">
        <f>IF(A24="","",posicao_contratual!M24)</f>
        <v/>
      </c>
      <c r="AG24" s="147" t="str">
        <f>IF(A24="","",posicao_contratual!Q24)</f>
        <v/>
      </c>
      <c r="AH24" s="147" t="str">
        <f>IF(A24="","",posicao_contratual!U24)</f>
        <v/>
      </c>
      <c r="AI24" s="147" t="str">
        <f>IF(A24="","",posicao_contratual!G24)</f>
        <v/>
      </c>
      <c r="AJ24" s="147" t="str">
        <f>IF(A24="","",posicao_contratual!K24)</f>
        <v/>
      </c>
      <c r="AK24" s="147" t="str">
        <f>IF(A24="","",posicao_contratual!O24)</f>
        <v/>
      </c>
      <c r="AL24" s="147" t="str">
        <f>IF(A24="","",posicao_contratual!S24)</f>
        <v/>
      </c>
      <c r="AM24" s="147" t="str">
        <f>IF(A24="","",posicao_contratual!W24)</f>
        <v/>
      </c>
      <c r="AN24" s="148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1"/>
      <c r="B25" s="82" t="str">
        <f t="shared" si="0"/>
        <v/>
      </c>
      <c r="C25" s="83"/>
      <c r="D25" s="79" t="str">
        <f>IF(AND(A25="",A24&lt;&gt;"",COUNTIF(A26:$A$200,"&lt;&gt;")=0),ROUND(SUMIF($A$2:A24,"&lt;&gt;",$D$2:D24),2),IF(OR(A25="",B25="",C25=""),"",ROUND(B25*C25,2)))</f>
        <v/>
      </c>
      <c r="E25" s="84"/>
      <c r="F25" s="79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4"/>
      <c r="H25" s="79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4"/>
      <c r="J25" s="79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4"/>
      <c r="L25" s="79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5" t="str">
        <f>IF(OR(posicao_contratual!J25="",posicao_contratual!N25=""),"",ROUND(MAX(posicao_contratual!J25+posicao_contratual!H25-posicao_contratual!N25,0),2))</f>
        <v/>
      </c>
      <c r="N25" s="79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5" t="str">
        <f>IF(OR(posicao_contratual!N25="",posicao_contratual!R25=""),"",ROUND(MAX(posicao_contratual!N25+posicao_contratual!L25-posicao_contratual!R25,0),2))</f>
        <v/>
      </c>
      <c r="P25" s="79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5" t="str">
        <f>IF(OR(posicao_contratual!R25="",posicao_contratual!V25=""),"",ROUND(MAX(posicao_contratual!R25+posicao_contratual!P25-posicao_contratual!V25,0),2))</f>
        <v/>
      </c>
      <c r="R25" s="79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86" t="str">
        <f>IF(AND(A25="",A24&lt;&gt;"",COUNTIF(A26:$A$200,"&lt;&gt;")=0),"TOTAL",IF(A25="","",posicao_contratual!X25))</f>
        <v/>
      </c>
      <c r="V25" s="86" t="str">
        <f>IF(A25="","",posicao_contratual!X25)</f>
        <v/>
      </c>
      <c r="W25" s="14"/>
      <c r="X25" s="14"/>
      <c r="Y25" s="14"/>
      <c r="Z25" s="13"/>
      <c r="AA25" s="13"/>
      <c r="AB25" s="85" t="str">
        <f>IF(OR(A25="",posicao_contratual!E25="",posicao_contratual!J25=""),"",ROUND(MAX(posicao_contratual!E25-posicao_contratual!J25,0),2))</f>
        <v/>
      </c>
      <c r="AC25" s="79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47" t="str">
        <f>IF(A25="","",posicao_contratual!E25)</f>
        <v/>
      </c>
      <c r="AE25" s="147" t="str">
        <f>IF(A25="","",posicao_contratual!I25)</f>
        <v/>
      </c>
      <c r="AF25" s="147" t="str">
        <f>IF(A25="","",posicao_contratual!M25)</f>
        <v/>
      </c>
      <c r="AG25" s="147" t="str">
        <f>IF(A25="","",posicao_contratual!Q25)</f>
        <v/>
      </c>
      <c r="AH25" s="147" t="str">
        <f>IF(A25="","",posicao_contratual!U25)</f>
        <v/>
      </c>
      <c r="AI25" s="147" t="str">
        <f>IF(A25="","",posicao_contratual!G25)</f>
        <v/>
      </c>
      <c r="AJ25" s="147" t="str">
        <f>IF(A25="","",posicao_contratual!K25)</f>
        <v/>
      </c>
      <c r="AK25" s="147" t="str">
        <f>IF(A25="","",posicao_contratual!O25)</f>
        <v/>
      </c>
      <c r="AL25" s="147" t="str">
        <f>IF(A25="","",posicao_contratual!S25)</f>
        <v/>
      </c>
      <c r="AM25" s="147" t="str">
        <f>IF(A25="","",posicao_contratual!W25)</f>
        <v/>
      </c>
      <c r="AN25" s="148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1"/>
      <c r="B26" s="82" t="str">
        <f t="shared" si="0"/>
        <v/>
      </c>
      <c r="C26" s="83"/>
      <c r="D26" s="79" t="str">
        <f>IF(AND(A26="",A25&lt;&gt;"",COUNTIF(A27:$A$200,"&lt;&gt;")=0),ROUND(SUMIF($A$2:A25,"&lt;&gt;",$D$2:D25),2),IF(OR(A26="",B26="",C26=""),"",ROUND(B26*C26,2)))</f>
        <v/>
      </c>
      <c r="E26" s="84"/>
      <c r="F26" s="79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4"/>
      <c r="H26" s="79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4"/>
      <c r="J26" s="79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4"/>
      <c r="L26" s="79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5" t="str">
        <f>IF(OR(posicao_contratual!J26="",posicao_contratual!N26=""),"",ROUND(MAX(posicao_contratual!J26+posicao_contratual!H26-posicao_contratual!N26,0),2))</f>
        <v/>
      </c>
      <c r="N26" s="79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5" t="str">
        <f>IF(OR(posicao_contratual!N26="",posicao_contratual!R26=""),"",ROUND(MAX(posicao_contratual!N26+posicao_contratual!L26-posicao_contratual!R26,0),2))</f>
        <v/>
      </c>
      <c r="P26" s="79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5" t="str">
        <f>IF(OR(posicao_contratual!R26="",posicao_contratual!V26=""),"",ROUND(MAX(posicao_contratual!R26+posicao_contratual!P26-posicao_contratual!V26,0),2))</f>
        <v/>
      </c>
      <c r="R26" s="79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86" t="str">
        <f>IF(AND(A26="",A25&lt;&gt;"",COUNTIF(A27:$A$200,"&lt;&gt;")=0),"TOTAL",IF(A26="","",posicao_contratual!X26))</f>
        <v/>
      </c>
      <c r="V26" s="86" t="str">
        <f>IF(A26="","",posicao_contratual!X26)</f>
        <v/>
      </c>
      <c r="W26" s="14"/>
      <c r="X26" s="14"/>
      <c r="Y26" s="14"/>
      <c r="Z26" s="13"/>
      <c r="AA26" s="13"/>
      <c r="AB26" s="85" t="str">
        <f>IF(OR(A26="",posicao_contratual!E26="",posicao_contratual!J26=""),"",ROUND(MAX(posicao_contratual!E26-posicao_contratual!J26,0),2))</f>
        <v/>
      </c>
      <c r="AC26" s="79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47" t="str">
        <f>IF(A26="","",posicao_contratual!E26)</f>
        <v/>
      </c>
      <c r="AE26" s="147" t="str">
        <f>IF(A26="","",posicao_contratual!I26)</f>
        <v/>
      </c>
      <c r="AF26" s="147" t="str">
        <f>IF(A26="","",posicao_contratual!M26)</f>
        <v/>
      </c>
      <c r="AG26" s="147" t="str">
        <f>IF(A26="","",posicao_contratual!Q26)</f>
        <v/>
      </c>
      <c r="AH26" s="147" t="str">
        <f>IF(A26="","",posicao_contratual!U26)</f>
        <v/>
      </c>
      <c r="AI26" s="147" t="str">
        <f>IF(A26="","",posicao_contratual!G26)</f>
        <v/>
      </c>
      <c r="AJ26" s="147" t="str">
        <f>IF(A26="","",posicao_contratual!K26)</f>
        <v/>
      </c>
      <c r="AK26" s="147" t="str">
        <f>IF(A26="","",posicao_contratual!O26)</f>
        <v/>
      </c>
      <c r="AL26" s="147" t="str">
        <f>IF(A26="","",posicao_contratual!S26)</f>
        <v/>
      </c>
      <c r="AM26" s="147" t="str">
        <f>IF(A26="","",posicao_contratual!W26)</f>
        <v/>
      </c>
      <c r="AN26" s="148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1"/>
      <c r="B27" s="82" t="str">
        <f t="shared" si="0"/>
        <v/>
      </c>
      <c r="C27" s="83"/>
      <c r="D27" s="79" t="str">
        <f>IF(AND(A27="",A26&lt;&gt;"",COUNTIF(A28:$A$200,"&lt;&gt;")=0),ROUND(SUMIF($A$2:A26,"&lt;&gt;",$D$2:D26),2),IF(OR(A27="",B27="",C27=""),"",ROUND(B27*C27,2)))</f>
        <v/>
      </c>
      <c r="E27" s="84"/>
      <c r="F27" s="79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4"/>
      <c r="H27" s="79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4"/>
      <c r="J27" s="79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4"/>
      <c r="L27" s="79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5" t="str">
        <f>IF(OR(posicao_contratual!J27="",posicao_contratual!N27=""),"",ROUND(MAX(posicao_contratual!J27+posicao_contratual!H27-posicao_contratual!N27,0),2))</f>
        <v/>
      </c>
      <c r="N27" s="79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5" t="str">
        <f>IF(OR(posicao_contratual!N27="",posicao_contratual!R27=""),"",ROUND(MAX(posicao_contratual!N27+posicao_contratual!L27-posicao_contratual!R27,0),2))</f>
        <v/>
      </c>
      <c r="P27" s="79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5" t="str">
        <f>IF(OR(posicao_contratual!R27="",posicao_contratual!V27=""),"",ROUND(MAX(posicao_contratual!R27+posicao_contratual!P27-posicao_contratual!V27,0),2))</f>
        <v/>
      </c>
      <c r="R27" s="79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86" t="str">
        <f>IF(AND(A27="",A26&lt;&gt;"",COUNTIF(A28:$A$200,"&lt;&gt;")=0),"TOTAL",IF(A27="","",posicao_contratual!X27))</f>
        <v/>
      </c>
      <c r="V27" s="86" t="str">
        <f>IF(A27="","",posicao_contratual!X27)</f>
        <v/>
      </c>
      <c r="W27" s="14"/>
      <c r="X27" s="14"/>
      <c r="Y27" s="14"/>
      <c r="Z27" s="13"/>
      <c r="AA27" s="13"/>
      <c r="AB27" s="85" t="str">
        <f>IF(OR(A27="",posicao_contratual!E27="",posicao_contratual!J27=""),"",ROUND(MAX(posicao_contratual!E27-posicao_contratual!J27,0),2))</f>
        <v/>
      </c>
      <c r="AC27" s="79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47" t="str">
        <f>IF(A27="","",posicao_contratual!E27)</f>
        <v/>
      </c>
      <c r="AE27" s="147" t="str">
        <f>IF(A27="","",posicao_contratual!I27)</f>
        <v/>
      </c>
      <c r="AF27" s="147" t="str">
        <f>IF(A27="","",posicao_contratual!M27)</f>
        <v/>
      </c>
      <c r="AG27" s="147" t="str">
        <f>IF(A27="","",posicao_contratual!Q27)</f>
        <v/>
      </c>
      <c r="AH27" s="147" t="str">
        <f>IF(A27="","",posicao_contratual!U27)</f>
        <v/>
      </c>
      <c r="AI27" s="147" t="str">
        <f>IF(A27="","",posicao_contratual!G27)</f>
        <v/>
      </c>
      <c r="AJ27" s="147" t="str">
        <f>IF(A27="","",posicao_contratual!K27)</f>
        <v/>
      </c>
      <c r="AK27" s="147" t="str">
        <f>IF(A27="","",posicao_contratual!O27)</f>
        <v/>
      </c>
      <c r="AL27" s="147" t="str">
        <f>IF(A27="","",posicao_contratual!S27)</f>
        <v/>
      </c>
      <c r="AM27" s="147" t="str">
        <f>IF(A27="","",posicao_contratual!W27)</f>
        <v/>
      </c>
      <c r="AN27" s="148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1"/>
      <c r="B28" s="82" t="str">
        <f t="shared" si="0"/>
        <v/>
      </c>
      <c r="C28" s="83"/>
      <c r="D28" s="79" t="str">
        <f>IF(AND(A28="",A27&lt;&gt;"",COUNTIF(A29:$A$200,"&lt;&gt;")=0),ROUND(SUMIF($A$2:A27,"&lt;&gt;",$D$2:D27),2),IF(OR(A28="",B28="",C28=""),"",ROUND(B28*C28,2)))</f>
        <v/>
      </c>
      <c r="E28" s="84"/>
      <c r="F28" s="79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4"/>
      <c r="H28" s="79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4"/>
      <c r="J28" s="79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4"/>
      <c r="L28" s="79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5" t="str">
        <f>IF(OR(posicao_contratual!J28="",posicao_contratual!N28=""),"",ROUND(MAX(posicao_contratual!J28+posicao_contratual!H28-posicao_contratual!N28,0),2))</f>
        <v/>
      </c>
      <c r="N28" s="79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5" t="str">
        <f>IF(OR(posicao_contratual!N28="",posicao_contratual!R28=""),"",ROUND(MAX(posicao_contratual!N28+posicao_contratual!L28-posicao_contratual!R28,0),2))</f>
        <v/>
      </c>
      <c r="P28" s="79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5" t="str">
        <f>IF(OR(posicao_contratual!R28="",posicao_contratual!V28=""),"",ROUND(MAX(posicao_contratual!R28+posicao_contratual!P28-posicao_contratual!V28,0),2))</f>
        <v/>
      </c>
      <c r="R28" s="79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86" t="str">
        <f>IF(AND(A28="",A27&lt;&gt;"",COUNTIF(A29:$A$200,"&lt;&gt;")=0),"TOTAL",IF(A28="","",posicao_contratual!X28))</f>
        <v/>
      </c>
      <c r="V28" s="86" t="str">
        <f>IF(A28="","",posicao_contratual!X28)</f>
        <v/>
      </c>
      <c r="W28" s="14"/>
      <c r="X28" s="14"/>
      <c r="Y28" s="14"/>
      <c r="Z28" s="13"/>
      <c r="AA28" s="13"/>
      <c r="AB28" s="85" t="str">
        <f>IF(OR(A28="",posicao_contratual!E28="",posicao_contratual!J28=""),"",ROUND(MAX(posicao_contratual!E28-posicao_contratual!J28,0),2))</f>
        <v/>
      </c>
      <c r="AC28" s="79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47" t="str">
        <f>IF(A28="","",posicao_contratual!E28)</f>
        <v/>
      </c>
      <c r="AE28" s="147" t="str">
        <f>IF(A28="","",posicao_contratual!I28)</f>
        <v/>
      </c>
      <c r="AF28" s="147" t="str">
        <f>IF(A28="","",posicao_contratual!M28)</f>
        <v/>
      </c>
      <c r="AG28" s="147" t="str">
        <f>IF(A28="","",posicao_contratual!Q28)</f>
        <v/>
      </c>
      <c r="AH28" s="147" t="str">
        <f>IF(A28="","",posicao_contratual!U28)</f>
        <v/>
      </c>
      <c r="AI28" s="147" t="str">
        <f>IF(A28="","",posicao_contratual!G28)</f>
        <v/>
      </c>
      <c r="AJ28" s="147" t="str">
        <f>IF(A28="","",posicao_contratual!K28)</f>
        <v/>
      </c>
      <c r="AK28" s="147" t="str">
        <f>IF(A28="","",posicao_contratual!O28)</f>
        <v/>
      </c>
      <c r="AL28" s="147" t="str">
        <f>IF(A28="","",posicao_contratual!S28)</f>
        <v/>
      </c>
      <c r="AM28" s="147" t="str">
        <f>IF(A28="","",posicao_contratual!W28)</f>
        <v/>
      </c>
      <c r="AN28" s="148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1"/>
      <c r="B29" s="82" t="str">
        <f t="shared" si="0"/>
        <v/>
      </c>
      <c r="C29" s="83"/>
      <c r="D29" s="79" t="str">
        <f>IF(AND(A29="",A28&lt;&gt;"",COUNTIF(A30:$A$200,"&lt;&gt;")=0),ROUND(SUMIF($A$2:A28,"&lt;&gt;",$D$2:D28),2),IF(OR(A29="",B29="",C29=""),"",ROUND(B29*C29,2)))</f>
        <v/>
      </c>
      <c r="E29" s="84"/>
      <c r="F29" s="79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4"/>
      <c r="H29" s="79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4"/>
      <c r="J29" s="79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4"/>
      <c r="L29" s="79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5" t="str">
        <f>IF(OR(posicao_contratual!J29="",posicao_contratual!N29=""),"",ROUND(MAX(posicao_contratual!J29+posicao_contratual!H29-posicao_contratual!N29,0),2))</f>
        <v/>
      </c>
      <c r="N29" s="79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5" t="str">
        <f>IF(OR(posicao_contratual!N29="",posicao_contratual!R29=""),"",ROUND(MAX(posicao_contratual!N29+posicao_contratual!L29-posicao_contratual!R29,0),2))</f>
        <v/>
      </c>
      <c r="P29" s="79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5" t="str">
        <f>IF(OR(posicao_contratual!R29="",posicao_contratual!V29=""),"",ROUND(MAX(posicao_contratual!R29+posicao_contratual!P29-posicao_contratual!V29,0),2))</f>
        <v/>
      </c>
      <c r="R29" s="79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86" t="str">
        <f>IF(AND(A29="",A28&lt;&gt;"",COUNTIF(A30:$A$200,"&lt;&gt;")=0),"TOTAL",IF(A29="","",posicao_contratual!X29))</f>
        <v/>
      </c>
      <c r="V29" s="86" t="str">
        <f>IF(A29="","",posicao_contratual!X29)</f>
        <v/>
      </c>
      <c r="W29" s="14"/>
      <c r="X29" s="14"/>
      <c r="Y29" s="14"/>
      <c r="Z29" s="13"/>
      <c r="AA29" s="13"/>
      <c r="AB29" s="85" t="str">
        <f>IF(OR(A29="",posicao_contratual!E29="",posicao_contratual!J29=""),"",ROUND(MAX(posicao_contratual!E29-posicao_contratual!J29,0),2))</f>
        <v/>
      </c>
      <c r="AC29" s="79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47" t="str">
        <f>IF(A29="","",posicao_contratual!E29)</f>
        <v/>
      </c>
      <c r="AE29" s="147" t="str">
        <f>IF(A29="","",posicao_contratual!I29)</f>
        <v/>
      </c>
      <c r="AF29" s="147" t="str">
        <f>IF(A29="","",posicao_contratual!M29)</f>
        <v/>
      </c>
      <c r="AG29" s="147" t="str">
        <f>IF(A29="","",posicao_contratual!Q29)</f>
        <v/>
      </c>
      <c r="AH29" s="147" t="str">
        <f>IF(A29="","",posicao_contratual!U29)</f>
        <v/>
      </c>
      <c r="AI29" s="147" t="str">
        <f>IF(A29="","",posicao_contratual!G29)</f>
        <v/>
      </c>
      <c r="AJ29" s="147" t="str">
        <f>IF(A29="","",posicao_contratual!K29)</f>
        <v/>
      </c>
      <c r="AK29" s="147" t="str">
        <f>IF(A29="","",posicao_contratual!O29)</f>
        <v/>
      </c>
      <c r="AL29" s="147" t="str">
        <f>IF(A29="","",posicao_contratual!S29)</f>
        <v/>
      </c>
      <c r="AM29" s="147" t="str">
        <f>IF(A29="","",posicao_contratual!W29)</f>
        <v/>
      </c>
      <c r="AN29" s="148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1"/>
      <c r="B30" s="82" t="str">
        <f t="shared" si="0"/>
        <v/>
      </c>
      <c r="C30" s="83"/>
      <c r="D30" s="79" t="str">
        <f>IF(AND(A30="",A29&lt;&gt;"",COUNTIF(A31:$A$200,"&lt;&gt;")=0),ROUND(SUMIF($A$2:A29,"&lt;&gt;",$D$2:D29),2),IF(OR(A30="",B30="",C30=""),"",ROUND(B30*C30,2)))</f>
        <v/>
      </c>
      <c r="E30" s="84"/>
      <c r="F30" s="79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4"/>
      <c r="H30" s="79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4"/>
      <c r="J30" s="79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4"/>
      <c r="L30" s="79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5" t="str">
        <f>IF(OR(posicao_contratual!J30="",posicao_contratual!N30=""),"",ROUND(MAX(posicao_contratual!J30+posicao_contratual!H30-posicao_contratual!N30,0),2))</f>
        <v/>
      </c>
      <c r="N30" s="79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5" t="str">
        <f>IF(OR(posicao_contratual!N30="",posicao_contratual!R30=""),"",ROUND(MAX(posicao_contratual!N30+posicao_contratual!L30-posicao_contratual!R30,0),2))</f>
        <v/>
      </c>
      <c r="P30" s="79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5" t="str">
        <f>IF(OR(posicao_contratual!R30="",posicao_contratual!V30=""),"",ROUND(MAX(posicao_contratual!R30+posicao_contratual!P30-posicao_contratual!V30,0),2))</f>
        <v/>
      </c>
      <c r="R30" s="79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86" t="str">
        <f>IF(AND(A30="",A29&lt;&gt;"",COUNTIF(A31:$A$200,"&lt;&gt;")=0),"TOTAL",IF(A30="","",posicao_contratual!X30))</f>
        <v/>
      </c>
      <c r="V30" s="86" t="str">
        <f>IF(A30="","",posicao_contratual!X30)</f>
        <v/>
      </c>
      <c r="W30" s="14"/>
      <c r="X30" s="14"/>
      <c r="Y30" s="14"/>
      <c r="Z30" s="13"/>
      <c r="AA30" s="13"/>
      <c r="AB30" s="85" t="str">
        <f>IF(OR(A30="",posicao_contratual!E30="",posicao_contratual!J30=""),"",ROUND(MAX(posicao_contratual!E30-posicao_contratual!J30,0),2))</f>
        <v/>
      </c>
      <c r="AC30" s="79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47" t="str">
        <f>IF(A30="","",posicao_contratual!E30)</f>
        <v/>
      </c>
      <c r="AE30" s="147" t="str">
        <f>IF(A30="","",posicao_contratual!I30)</f>
        <v/>
      </c>
      <c r="AF30" s="147" t="str">
        <f>IF(A30="","",posicao_contratual!M30)</f>
        <v/>
      </c>
      <c r="AG30" s="147" t="str">
        <f>IF(A30="","",posicao_contratual!Q30)</f>
        <v/>
      </c>
      <c r="AH30" s="147" t="str">
        <f>IF(A30="","",posicao_contratual!U30)</f>
        <v/>
      </c>
      <c r="AI30" s="147" t="str">
        <f>IF(A30="","",posicao_contratual!G30)</f>
        <v/>
      </c>
      <c r="AJ30" s="147" t="str">
        <f>IF(A30="","",posicao_contratual!K30)</f>
        <v/>
      </c>
      <c r="AK30" s="147" t="str">
        <f>IF(A30="","",posicao_contratual!O30)</f>
        <v/>
      </c>
      <c r="AL30" s="147" t="str">
        <f>IF(A30="","",posicao_contratual!S30)</f>
        <v/>
      </c>
      <c r="AM30" s="147" t="str">
        <f>IF(A30="","",posicao_contratual!W30)</f>
        <v/>
      </c>
      <c r="AN30" s="148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1"/>
      <c r="B31" s="82" t="str">
        <f t="shared" si="0"/>
        <v/>
      </c>
      <c r="C31" s="83"/>
      <c r="D31" s="79" t="str">
        <f>IF(AND(A31="",A30&lt;&gt;"",COUNTIF(A32:$A$200,"&lt;&gt;")=0),ROUND(SUMIF($A$2:A30,"&lt;&gt;",$D$2:D30),2),IF(OR(A31="",B31="",C31=""),"",ROUND(B31*C31,2)))</f>
        <v/>
      </c>
      <c r="E31" s="84"/>
      <c r="F31" s="79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4"/>
      <c r="H31" s="79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4"/>
      <c r="J31" s="79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4"/>
      <c r="L31" s="79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5" t="str">
        <f>IF(OR(posicao_contratual!J31="",posicao_contratual!N31=""),"",ROUND(MAX(posicao_contratual!J31+posicao_contratual!H31-posicao_contratual!N31,0),2))</f>
        <v/>
      </c>
      <c r="N31" s="79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5" t="str">
        <f>IF(OR(posicao_contratual!N31="",posicao_contratual!R31=""),"",ROUND(MAX(posicao_contratual!N31+posicao_contratual!L31-posicao_contratual!R31,0),2))</f>
        <v/>
      </c>
      <c r="P31" s="79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5" t="str">
        <f>IF(OR(posicao_contratual!R31="",posicao_contratual!V31=""),"",ROUND(MAX(posicao_contratual!R31+posicao_contratual!P31-posicao_contratual!V31,0),2))</f>
        <v/>
      </c>
      <c r="R31" s="79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86" t="str">
        <f>IF(AND(A31="",A30&lt;&gt;"",COUNTIF(A32:$A$200,"&lt;&gt;")=0),"TOTAL",IF(A31="","",posicao_contratual!X31))</f>
        <v/>
      </c>
      <c r="V31" s="86" t="str">
        <f>IF(A31="","",posicao_contratual!X31)</f>
        <v/>
      </c>
      <c r="W31" s="14"/>
      <c r="X31" s="14"/>
      <c r="Y31" s="14"/>
      <c r="Z31" s="13"/>
      <c r="AA31" s="13"/>
      <c r="AB31" s="85" t="str">
        <f>IF(OR(A31="",posicao_contratual!E31="",posicao_contratual!J31=""),"",ROUND(MAX(posicao_contratual!E31-posicao_contratual!J31,0),2))</f>
        <v/>
      </c>
      <c r="AC31" s="79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47" t="str">
        <f>IF(A31="","",posicao_contratual!E31)</f>
        <v/>
      </c>
      <c r="AE31" s="147" t="str">
        <f>IF(A31="","",posicao_contratual!I31)</f>
        <v/>
      </c>
      <c r="AF31" s="147" t="str">
        <f>IF(A31="","",posicao_contratual!M31)</f>
        <v/>
      </c>
      <c r="AG31" s="147" t="str">
        <f>IF(A31="","",posicao_contratual!Q31)</f>
        <v/>
      </c>
      <c r="AH31" s="147" t="str">
        <f>IF(A31="","",posicao_contratual!U31)</f>
        <v/>
      </c>
      <c r="AI31" s="147" t="str">
        <f>IF(A31="","",posicao_contratual!G31)</f>
        <v/>
      </c>
      <c r="AJ31" s="147" t="str">
        <f>IF(A31="","",posicao_contratual!K31)</f>
        <v/>
      </c>
      <c r="AK31" s="147" t="str">
        <f>IF(A31="","",posicao_contratual!O31)</f>
        <v/>
      </c>
      <c r="AL31" s="147" t="str">
        <f>IF(A31="","",posicao_contratual!S31)</f>
        <v/>
      </c>
      <c r="AM31" s="147" t="str">
        <f>IF(A31="","",posicao_contratual!W31)</f>
        <v/>
      </c>
      <c r="AN31" s="148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1"/>
      <c r="B32" s="82" t="str">
        <f t="shared" si="0"/>
        <v/>
      </c>
      <c r="C32" s="83"/>
      <c r="D32" s="79" t="str">
        <f>IF(AND(A32="",A31&lt;&gt;"",COUNTIF(A33:$A$200,"&lt;&gt;")=0),ROUND(SUMIF($A$2:A31,"&lt;&gt;",$D$2:D31),2),IF(OR(A32="",B32="",C32=""),"",ROUND(B32*C32,2)))</f>
        <v/>
      </c>
      <c r="E32" s="84"/>
      <c r="F32" s="79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4"/>
      <c r="H32" s="79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4"/>
      <c r="J32" s="79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4"/>
      <c r="L32" s="79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5" t="str">
        <f>IF(OR(posicao_contratual!J32="",posicao_contratual!N32=""),"",ROUND(MAX(posicao_contratual!J32+posicao_contratual!H32-posicao_contratual!N32,0),2))</f>
        <v/>
      </c>
      <c r="N32" s="79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5" t="str">
        <f>IF(OR(posicao_contratual!N32="",posicao_contratual!R32=""),"",ROUND(MAX(posicao_contratual!N32+posicao_contratual!L32-posicao_contratual!R32,0),2))</f>
        <v/>
      </c>
      <c r="P32" s="79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5" t="str">
        <f>IF(OR(posicao_contratual!R32="",posicao_contratual!V32=""),"",ROUND(MAX(posicao_contratual!R32+posicao_contratual!P32-posicao_contratual!V32,0),2))</f>
        <v/>
      </c>
      <c r="R32" s="79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86" t="str">
        <f>IF(AND(A32="",A31&lt;&gt;"",COUNTIF(A33:$A$200,"&lt;&gt;")=0),"TOTAL",IF(A32="","",posicao_contratual!X32))</f>
        <v/>
      </c>
      <c r="V32" s="86" t="str">
        <f>IF(A32="","",posicao_contratual!X32)</f>
        <v/>
      </c>
      <c r="W32" s="14"/>
      <c r="X32" s="14"/>
      <c r="Y32" s="14"/>
      <c r="Z32" s="13"/>
      <c r="AA32" s="13"/>
      <c r="AB32" s="85" t="str">
        <f>IF(OR(A32="",posicao_contratual!E32="",posicao_contratual!J32=""),"",ROUND(MAX(posicao_contratual!E32-posicao_contratual!J32,0),2))</f>
        <v/>
      </c>
      <c r="AC32" s="79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47" t="str">
        <f>IF(A32="","",posicao_contratual!E32)</f>
        <v/>
      </c>
      <c r="AE32" s="147" t="str">
        <f>IF(A32="","",posicao_contratual!I32)</f>
        <v/>
      </c>
      <c r="AF32" s="147" t="str">
        <f>IF(A32="","",posicao_contratual!M32)</f>
        <v/>
      </c>
      <c r="AG32" s="147" t="str">
        <f>IF(A32="","",posicao_contratual!Q32)</f>
        <v/>
      </c>
      <c r="AH32" s="147" t="str">
        <f>IF(A32="","",posicao_contratual!U32)</f>
        <v/>
      </c>
      <c r="AI32" s="147" t="str">
        <f>IF(A32="","",posicao_contratual!G32)</f>
        <v/>
      </c>
      <c r="AJ32" s="147" t="str">
        <f>IF(A32="","",posicao_contratual!K32)</f>
        <v/>
      </c>
      <c r="AK32" s="147" t="str">
        <f>IF(A32="","",posicao_contratual!O32)</f>
        <v/>
      </c>
      <c r="AL32" s="147" t="str">
        <f>IF(A32="","",posicao_contratual!S32)</f>
        <v/>
      </c>
      <c r="AM32" s="147" t="str">
        <f>IF(A32="","",posicao_contratual!W32)</f>
        <v/>
      </c>
      <c r="AN32" s="148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1"/>
      <c r="B33" s="82" t="str">
        <f t="shared" si="0"/>
        <v/>
      </c>
      <c r="C33" s="83"/>
      <c r="D33" s="79" t="str">
        <f>IF(AND(A33="",A32&lt;&gt;"",COUNTIF(A34:$A$200,"&lt;&gt;")=0),ROUND(SUMIF($A$2:A32,"&lt;&gt;",$D$2:D32),2),IF(OR(A33="",B33="",C33=""),"",ROUND(B33*C33,2)))</f>
        <v/>
      </c>
      <c r="E33" s="84"/>
      <c r="F33" s="79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4"/>
      <c r="H33" s="79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4"/>
      <c r="J33" s="79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4"/>
      <c r="L33" s="79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5" t="str">
        <f>IF(OR(posicao_contratual!J33="",posicao_contratual!N33=""),"",ROUND(MAX(posicao_contratual!J33+posicao_contratual!H33-posicao_contratual!N33,0),2))</f>
        <v/>
      </c>
      <c r="N33" s="79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5" t="str">
        <f>IF(OR(posicao_contratual!N33="",posicao_contratual!R33=""),"",ROUND(MAX(posicao_contratual!N33+posicao_contratual!L33-posicao_contratual!R33,0),2))</f>
        <v/>
      </c>
      <c r="P33" s="79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5" t="str">
        <f>IF(OR(posicao_contratual!R33="",posicao_contratual!V33=""),"",ROUND(MAX(posicao_contratual!R33+posicao_contratual!P33-posicao_contratual!V33,0),2))</f>
        <v/>
      </c>
      <c r="R33" s="79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86" t="str">
        <f>IF(AND(A33="",A32&lt;&gt;"",COUNTIF(A34:$A$200,"&lt;&gt;")=0),"TOTAL",IF(A33="","",posicao_contratual!X33))</f>
        <v/>
      </c>
      <c r="V33" s="86" t="str">
        <f>IF(A33="","",posicao_contratual!X33)</f>
        <v/>
      </c>
      <c r="W33" s="14"/>
      <c r="X33" s="14"/>
      <c r="Y33" s="14"/>
      <c r="Z33" s="13"/>
      <c r="AA33" s="13"/>
      <c r="AB33" s="85" t="str">
        <f>IF(OR(A33="",posicao_contratual!E33="",posicao_contratual!J33=""),"",ROUND(MAX(posicao_contratual!E33-posicao_contratual!J33,0),2))</f>
        <v/>
      </c>
      <c r="AC33" s="79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47" t="str">
        <f>IF(A33="","",posicao_contratual!E33)</f>
        <v/>
      </c>
      <c r="AE33" s="147" t="str">
        <f>IF(A33="","",posicao_contratual!I33)</f>
        <v/>
      </c>
      <c r="AF33" s="147" t="str">
        <f>IF(A33="","",posicao_contratual!M33)</f>
        <v/>
      </c>
      <c r="AG33" s="147" t="str">
        <f>IF(A33="","",posicao_contratual!Q33)</f>
        <v/>
      </c>
      <c r="AH33" s="147" t="str">
        <f>IF(A33="","",posicao_contratual!U33)</f>
        <v/>
      </c>
      <c r="AI33" s="147" t="str">
        <f>IF(A33="","",posicao_contratual!G33)</f>
        <v/>
      </c>
      <c r="AJ33" s="147" t="str">
        <f>IF(A33="","",posicao_contratual!K33)</f>
        <v/>
      </c>
      <c r="AK33" s="147" t="str">
        <f>IF(A33="","",posicao_contratual!O33)</f>
        <v/>
      </c>
      <c r="AL33" s="147" t="str">
        <f>IF(A33="","",posicao_contratual!S33)</f>
        <v/>
      </c>
      <c r="AM33" s="147" t="str">
        <f>IF(A33="","",posicao_contratual!W33)</f>
        <v/>
      </c>
      <c r="AN33" s="148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1"/>
      <c r="B34" s="82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3"/>
      <c r="D34" s="79" t="str">
        <f>IF(AND(A34="",A33&lt;&gt;"",COUNTIF(A35:$A$200,"&lt;&gt;")=0),ROUND(SUMIF($A$2:A33,"&lt;&gt;",$D$2:D33),2),IF(OR(A34="",B34="",C34=""),"",ROUND(B34*C34,2)))</f>
        <v/>
      </c>
      <c r="E34" s="84"/>
      <c r="F34" s="79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4"/>
      <c r="H34" s="79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4"/>
      <c r="J34" s="79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4"/>
      <c r="L34" s="79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5" t="str">
        <f>IF(OR(posicao_contratual!J34="",posicao_contratual!N34=""),"",ROUND(MAX(posicao_contratual!J34+posicao_contratual!H34-posicao_contratual!N34,0),2))</f>
        <v/>
      </c>
      <c r="N34" s="79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5" t="str">
        <f>IF(OR(posicao_contratual!N34="",posicao_contratual!R34=""),"",ROUND(MAX(posicao_contratual!N34+posicao_contratual!L34-posicao_contratual!R34,0),2))</f>
        <v/>
      </c>
      <c r="P34" s="79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5" t="str">
        <f>IF(OR(posicao_contratual!R34="",posicao_contratual!V34=""),"",ROUND(MAX(posicao_contratual!R34+posicao_contratual!P34-posicao_contratual!V34,0),2))</f>
        <v/>
      </c>
      <c r="R34" s="79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86" t="str">
        <f>IF(AND(A34="",A33&lt;&gt;"",COUNTIF(A35:$A$200,"&lt;&gt;")=0),"TOTAL",IF(A34="","",posicao_contratual!X34))</f>
        <v/>
      </c>
      <c r="V34" s="86" t="str">
        <f>IF(A34="","",posicao_contratual!X34)</f>
        <v/>
      </c>
      <c r="W34" s="14"/>
      <c r="X34" s="14"/>
      <c r="Y34" s="14"/>
      <c r="Z34" s="13"/>
      <c r="AA34" s="13"/>
      <c r="AB34" s="85" t="str">
        <f>IF(OR(A34="",posicao_contratual!E34="",posicao_contratual!J34=""),"",ROUND(MAX(posicao_contratual!E34-posicao_contratual!J34,0),2))</f>
        <v/>
      </c>
      <c r="AC34" s="79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47" t="str">
        <f>IF(A34="","",posicao_contratual!E34)</f>
        <v/>
      </c>
      <c r="AE34" s="147" t="str">
        <f>IF(A34="","",posicao_contratual!I34)</f>
        <v/>
      </c>
      <c r="AF34" s="147" t="str">
        <f>IF(A34="","",posicao_contratual!M34)</f>
        <v/>
      </c>
      <c r="AG34" s="147" t="str">
        <f>IF(A34="","",posicao_contratual!Q34)</f>
        <v/>
      </c>
      <c r="AH34" s="147" t="str">
        <f>IF(A34="","",posicao_contratual!U34)</f>
        <v/>
      </c>
      <c r="AI34" s="147" t="str">
        <f>IF(A34="","",posicao_contratual!G34)</f>
        <v/>
      </c>
      <c r="AJ34" s="147" t="str">
        <f>IF(A34="","",posicao_contratual!K34)</f>
        <v/>
      </c>
      <c r="AK34" s="147" t="str">
        <f>IF(A34="","",posicao_contratual!O34)</f>
        <v/>
      </c>
      <c r="AL34" s="147" t="str">
        <f>IF(A34="","",posicao_contratual!S34)</f>
        <v/>
      </c>
      <c r="AM34" s="147" t="str">
        <f>IF(A34="","",posicao_contratual!W34)</f>
        <v/>
      </c>
      <c r="AN34" s="148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1"/>
      <c r="B35" s="82" t="str">
        <f t="shared" si="6"/>
        <v/>
      </c>
      <c r="C35" s="83"/>
      <c r="D35" s="79" t="str">
        <f>IF(AND(A35="",A34&lt;&gt;"",COUNTIF(A36:$A$200,"&lt;&gt;")=0),ROUND(SUMIF($A$2:A34,"&lt;&gt;",$D$2:D34),2),IF(OR(A35="",B35="",C35=""),"",ROUND(B35*C35,2)))</f>
        <v/>
      </c>
      <c r="E35" s="84"/>
      <c r="F35" s="79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4"/>
      <c r="H35" s="79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4"/>
      <c r="J35" s="79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4"/>
      <c r="L35" s="79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5" t="str">
        <f>IF(OR(posicao_contratual!J35="",posicao_contratual!N35=""),"",ROUND(MAX(posicao_contratual!J35+posicao_contratual!H35-posicao_contratual!N35,0),2))</f>
        <v/>
      </c>
      <c r="N35" s="79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5" t="str">
        <f>IF(OR(posicao_contratual!N35="",posicao_contratual!R35=""),"",ROUND(MAX(posicao_contratual!N35+posicao_contratual!L35-posicao_contratual!R35,0),2))</f>
        <v/>
      </c>
      <c r="P35" s="79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5" t="str">
        <f>IF(OR(posicao_contratual!R35="",posicao_contratual!V35=""),"",ROUND(MAX(posicao_contratual!R35+posicao_contratual!P35-posicao_contratual!V35,0),2))</f>
        <v/>
      </c>
      <c r="R35" s="79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86" t="str">
        <f>IF(AND(A35="",A34&lt;&gt;"",COUNTIF(A36:$A$200,"&lt;&gt;")=0),"TOTAL",IF(A35="","",posicao_contratual!X35))</f>
        <v/>
      </c>
      <c r="V35" s="86" t="str">
        <f>IF(A35="","",posicao_contratual!X35)</f>
        <v/>
      </c>
      <c r="W35" s="14"/>
      <c r="X35" s="14"/>
      <c r="Y35" s="14"/>
      <c r="Z35" s="13"/>
      <c r="AA35" s="13"/>
      <c r="AB35" s="85" t="str">
        <f>IF(OR(A35="",posicao_contratual!E35="",posicao_contratual!J35=""),"",ROUND(MAX(posicao_contratual!E35-posicao_contratual!J35,0),2))</f>
        <v/>
      </c>
      <c r="AC35" s="79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47" t="str">
        <f>IF(A35="","",posicao_contratual!E35)</f>
        <v/>
      </c>
      <c r="AE35" s="147" t="str">
        <f>IF(A35="","",posicao_contratual!I35)</f>
        <v/>
      </c>
      <c r="AF35" s="147" t="str">
        <f>IF(A35="","",posicao_contratual!M35)</f>
        <v/>
      </c>
      <c r="AG35" s="147" t="str">
        <f>IF(A35="","",posicao_contratual!Q35)</f>
        <v/>
      </c>
      <c r="AH35" s="147" t="str">
        <f>IF(A35="","",posicao_contratual!U35)</f>
        <v/>
      </c>
      <c r="AI35" s="147" t="str">
        <f>IF(A35="","",posicao_contratual!G35)</f>
        <v/>
      </c>
      <c r="AJ35" s="147" t="str">
        <f>IF(A35="","",posicao_contratual!K35)</f>
        <v/>
      </c>
      <c r="AK35" s="147" t="str">
        <f>IF(A35="","",posicao_contratual!O35)</f>
        <v/>
      </c>
      <c r="AL35" s="147" t="str">
        <f>IF(A35="","",posicao_contratual!S35)</f>
        <v/>
      </c>
      <c r="AM35" s="147" t="str">
        <f>IF(A35="","",posicao_contratual!W35)</f>
        <v/>
      </c>
      <c r="AN35" s="148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1"/>
      <c r="B36" s="82" t="str">
        <f t="shared" si="6"/>
        <v/>
      </c>
      <c r="C36" s="83"/>
      <c r="D36" s="79" t="str">
        <f>IF(AND(A36="",A35&lt;&gt;"",COUNTIF(A37:$A$200,"&lt;&gt;")=0),ROUND(SUMIF($A$2:A35,"&lt;&gt;",$D$2:D35),2),IF(OR(A36="",B36="",C36=""),"",ROUND(B36*C36,2)))</f>
        <v/>
      </c>
      <c r="E36" s="84"/>
      <c r="F36" s="79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4"/>
      <c r="H36" s="79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4"/>
      <c r="J36" s="79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4"/>
      <c r="L36" s="79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5" t="str">
        <f>IF(OR(posicao_contratual!J36="",posicao_contratual!N36=""),"",ROUND(MAX(posicao_contratual!J36+posicao_contratual!H36-posicao_contratual!N36,0),2))</f>
        <v/>
      </c>
      <c r="N36" s="79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5" t="str">
        <f>IF(OR(posicao_contratual!N36="",posicao_contratual!R36=""),"",ROUND(MAX(posicao_contratual!N36+posicao_contratual!L36-posicao_contratual!R36,0),2))</f>
        <v/>
      </c>
      <c r="P36" s="79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5" t="str">
        <f>IF(OR(posicao_contratual!R36="",posicao_contratual!V36=""),"",ROUND(MAX(posicao_contratual!R36+posicao_contratual!P36-posicao_contratual!V36,0),2))</f>
        <v/>
      </c>
      <c r="R36" s="79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86" t="str">
        <f>IF(AND(A36="",A35&lt;&gt;"",COUNTIF(A37:$A$200,"&lt;&gt;")=0),"TOTAL",IF(A36="","",posicao_contratual!X36))</f>
        <v/>
      </c>
      <c r="V36" s="86" t="str">
        <f>IF(A36="","",posicao_contratual!X36)</f>
        <v/>
      </c>
      <c r="W36" s="14"/>
      <c r="X36" s="14"/>
      <c r="Y36" s="14"/>
      <c r="Z36" s="13"/>
      <c r="AA36" s="13"/>
      <c r="AB36" s="85" t="str">
        <f>IF(OR(A36="",posicao_contratual!E36="",posicao_contratual!J36=""),"",ROUND(MAX(posicao_contratual!E36-posicao_contratual!J36,0),2))</f>
        <v/>
      </c>
      <c r="AC36" s="79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47" t="str">
        <f>IF(A36="","",posicao_contratual!E36)</f>
        <v/>
      </c>
      <c r="AE36" s="147" t="str">
        <f>IF(A36="","",posicao_contratual!I36)</f>
        <v/>
      </c>
      <c r="AF36" s="147" t="str">
        <f>IF(A36="","",posicao_contratual!M36)</f>
        <v/>
      </c>
      <c r="AG36" s="147" t="str">
        <f>IF(A36="","",posicao_contratual!Q36)</f>
        <v/>
      </c>
      <c r="AH36" s="147" t="str">
        <f>IF(A36="","",posicao_contratual!U36)</f>
        <v/>
      </c>
      <c r="AI36" s="147" t="str">
        <f>IF(A36="","",posicao_contratual!G36)</f>
        <v/>
      </c>
      <c r="AJ36" s="147" t="str">
        <f>IF(A36="","",posicao_contratual!K36)</f>
        <v/>
      </c>
      <c r="AK36" s="147" t="str">
        <f>IF(A36="","",posicao_contratual!O36)</f>
        <v/>
      </c>
      <c r="AL36" s="147" t="str">
        <f>IF(A36="","",posicao_contratual!S36)</f>
        <v/>
      </c>
      <c r="AM36" s="147" t="str">
        <f>IF(A36="","",posicao_contratual!W36)</f>
        <v/>
      </c>
      <c r="AN36" s="148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1"/>
      <c r="B37" s="82" t="str">
        <f t="shared" si="6"/>
        <v/>
      </c>
      <c r="C37" s="83"/>
      <c r="D37" s="79" t="str">
        <f>IF(AND(A37="",A36&lt;&gt;"",COUNTIF(A38:$A$200,"&lt;&gt;")=0),ROUND(SUMIF($A$2:A36,"&lt;&gt;",$D$2:D36),2),IF(OR(A37="",B37="",C37=""),"",ROUND(B37*C37,2)))</f>
        <v/>
      </c>
      <c r="E37" s="84"/>
      <c r="F37" s="79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4"/>
      <c r="H37" s="79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4"/>
      <c r="J37" s="79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4"/>
      <c r="L37" s="79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5" t="str">
        <f>IF(OR(posicao_contratual!J37="",posicao_contratual!N37=""),"",ROUND(MAX(posicao_contratual!J37+posicao_contratual!H37-posicao_contratual!N37,0),2))</f>
        <v/>
      </c>
      <c r="N37" s="79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5" t="str">
        <f>IF(OR(posicao_contratual!N37="",posicao_contratual!R37=""),"",ROUND(MAX(posicao_contratual!N37+posicao_contratual!L37-posicao_contratual!R37,0),2))</f>
        <v/>
      </c>
      <c r="P37" s="79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5" t="str">
        <f>IF(OR(posicao_contratual!R37="",posicao_contratual!V37=""),"",ROUND(MAX(posicao_contratual!R37+posicao_contratual!P37-posicao_contratual!V37,0),2))</f>
        <v/>
      </c>
      <c r="R37" s="79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86" t="str">
        <f>IF(AND(A37="",A36&lt;&gt;"",COUNTIF(A38:$A$200,"&lt;&gt;")=0),"TOTAL",IF(A37="","",posicao_contratual!X37))</f>
        <v/>
      </c>
      <c r="V37" s="86" t="str">
        <f>IF(A37="","",posicao_contratual!X37)</f>
        <v/>
      </c>
      <c r="W37" s="14"/>
      <c r="X37" s="14"/>
      <c r="Y37" s="14"/>
      <c r="Z37" s="13"/>
      <c r="AA37" s="13"/>
      <c r="AB37" s="85" t="str">
        <f>IF(OR(A37="",posicao_contratual!E37="",posicao_contratual!J37=""),"",ROUND(MAX(posicao_contratual!E37-posicao_contratual!J37,0),2))</f>
        <v/>
      </c>
      <c r="AC37" s="79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47" t="str">
        <f>IF(A37="","",posicao_contratual!E37)</f>
        <v/>
      </c>
      <c r="AE37" s="147" t="str">
        <f>IF(A37="","",posicao_contratual!I37)</f>
        <v/>
      </c>
      <c r="AF37" s="147" t="str">
        <f>IF(A37="","",posicao_contratual!M37)</f>
        <v/>
      </c>
      <c r="AG37" s="147" t="str">
        <f>IF(A37="","",posicao_contratual!Q37)</f>
        <v/>
      </c>
      <c r="AH37" s="147" t="str">
        <f>IF(A37="","",posicao_contratual!U37)</f>
        <v/>
      </c>
      <c r="AI37" s="147" t="str">
        <f>IF(A37="","",posicao_contratual!G37)</f>
        <v/>
      </c>
      <c r="AJ37" s="147" t="str">
        <f>IF(A37="","",posicao_contratual!K37)</f>
        <v/>
      </c>
      <c r="AK37" s="147" t="str">
        <f>IF(A37="","",posicao_contratual!O37)</f>
        <v/>
      </c>
      <c r="AL37" s="147" t="str">
        <f>IF(A37="","",posicao_contratual!S37)</f>
        <v/>
      </c>
      <c r="AM37" s="147" t="str">
        <f>IF(A37="","",posicao_contratual!W37)</f>
        <v/>
      </c>
      <c r="AN37" s="148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1"/>
      <c r="B38" s="82" t="str">
        <f t="shared" si="6"/>
        <v/>
      </c>
      <c r="C38" s="83"/>
      <c r="D38" s="79" t="str">
        <f>IF(AND(A38="",A37&lt;&gt;"",COUNTIF(A39:$A$200,"&lt;&gt;")=0),ROUND(SUMIF($A$2:A37,"&lt;&gt;",$D$2:D37),2),IF(OR(A38="",B38="",C38=""),"",ROUND(B38*C38,2)))</f>
        <v/>
      </c>
      <c r="E38" s="84"/>
      <c r="F38" s="79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4"/>
      <c r="H38" s="79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4"/>
      <c r="J38" s="79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4"/>
      <c r="L38" s="79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5" t="str">
        <f>IF(OR(posicao_contratual!J38="",posicao_contratual!N38=""),"",ROUND(MAX(posicao_contratual!J38+posicao_contratual!H38-posicao_contratual!N38,0),2))</f>
        <v/>
      </c>
      <c r="N38" s="79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5" t="str">
        <f>IF(OR(posicao_contratual!N38="",posicao_contratual!R38=""),"",ROUND(MAX(posicao_contratual!N38+posicao_contratual!L38-posicao_contratual!R38,0),2))</f>
        <v/>
      </c>
      <c r="P38" s="79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5" t="str">
        <f>IF(OR(posicao_contratual!R38="",posicao_contratual!V38=""),"",ROUND(MAX(posicao_contratual!R38+posicao_contratual!P38-posicao_contratual!V38,0),2))</f>
        <v/>
      </c>
      <c r="R38" s="79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86" t="str">
        <f>IF(AND(A38="",A37&lt;&gt;"",COUNTIF(A39:$A$200,"&lt;&gt;")=0),"TOTAL",IF(A38="","",posicao_contratual!X38))</f>
        <v/>
      </c>
      <c r="V38" s="86" t="str">
        <f>IF(A38="","",posicao_contratual!X38)</f>
        <v/>
      </c>
      <c r="W38" s="14"/>
      <c r="X38" s="14"/>
      <c r="Y38" s="14"/>
      <c r="Z38" s="13"/>
      <c r="AA38" s="13"/>
      <c r="AB38" s="85" t="str">
        <f>IF(OR(A38="",posicao_contratual!E38="",posicao_contratual!J38=""),"",ROUND(MAX(posicao_contratual!E38-posicao_contratual!J38,0),2))</f>
        <v/>
      </c>
      <c r="AC38" s="79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47" t="str">
        <f>IF(A38="","",posicao_contratual!E38)</f>
        <v/>
      </c>
      <c r="AE38" s="147" t="str">
        <f>IF(A38="","",posicao_contratual!I38)</f>
        <v/>
      </c>
      <c r="AF38" s="147" t="str">
        <f>IF(A38="","",posicao_contratual!M38)</f>
        <v/>
      </c>
      <c r="AG38" s="147" t="str">
        <f>IF(A38="","",posicao_contratual!Q38)</f>
        <v/>
      </c>
      <c r="AH38" s="147" t="str">
        <f>IF(A38="","",posicao_contratual!U38)</f>
        <v/>
      </c>
      <c r="AI38" s="147" t="str">
        <f>IF(A38="","",posicao_contratual!G38)</f>
        <v/>
      </c>
      <c r="AJ38" s="147" t="str">
        <f>IF(A38="","",posicao_contratual!K38)</f>
        <v/>
      </c>
      <c r="AK38" s="147" t="str">
        <f>IF(A38="","",posicao_contratual!O38)</f>
        <v/>
      </c>
      <c r="AL38" s="147" t="str">
        <f>IF(A38="","",posicao_contratual!S38)</f>
        <v/>
      </c>
      <c r="AM38" s="147" t="str">
        <f>IF(A38="","",posicao_contratual!W38)</f>
        <v/>
      </c>
      <c r="AN38" s="148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1"/>
      <c r="B39" s="82" t="str">
        <f t="shared" si="6"/>
        <v/>
      </c>
      <c r="C39" s="83"/>
      <c r="D39" s="79" t="str">
        <f>IF(AND(A39="",A38&lt;&gt;"",COUNTIF(A40:$A$200,"&lt;&gt;")=0),ROUND(SUMIF($A$2:A38,"&lt;&gt;",$D$2:D38),2),IF(OR(A39="",B39="",C39=""),"",ROUND(B39*C39,2)))</f>
        <v/>
      </c>
      <c r="E39" s="84"/>
      <c r="F39" s="79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4"/>
      <c r="H39" s="79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4"/>
      <c r="J39" s="79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4"/>
      <c r="L39" s="79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5" t="str">
        <f>IF(OR(posicao_contratual!J39="",posicao_contratual!N39=""),"",ROUND(MAX(posicao_contratual!J39+posicao_contratual!H39-posicao_contratual!N39,0),2))</f>
        <v/>
      </c>
      <c r="N39" s="79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5" t="str">
        <f>IF(OR(posicao_contratual!N39="",posicao_contratual!R39=""),"",ROUND(MAX(posicao_contratual!N39+posicao_contratual!L39-posicao_contratual!R39,0),2))</f>
        <v/>
      </c>
      <c r="P39" s="79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5" t="str">
        <f>IF(OR(posicao_contratual!R39="",posicao_contratual!V39=""),"",ROUND(MAX(posicao_contratual!R39+posicao_contratual!P39-posicao_contratual!V39,0),2))</f>
        <v/>
      </c>
      <c r="R39" s="79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86" t="str">
        <f>IF(AND(A39="",A38&lt;&gt;"",COUNTIF(A40:$A$200,"&lt;&gt;")=0),"TOTAL",IF(A39="","",posicao_contratual!X39))</f>
        <v/>
      </c>
      <c r="V39" s="86" t="str">
        <f>IF(A39="","",posicao_contratual!X39)</f>
        <v/>
      </c>
      <c r="W39" s="14"/>
      <c r="X39" s="14"/>
      <c r="Y39" s="14"/>
      <c r="Z39" s="13"/>
      <c r="AA39" s="13"/>
      <c r="AB39" s="85" t="str">
        <f>IF(OR(A39="",posicao_contratual!E39="",posicao_contratual!J39=""),"",ROUND(MAX(posicao_contratual!E39-posicao_contratual!J39,0),2))</f>
        <v/>
      </c>
      <c r="AC39" s="79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47" t="str">
        <f>IF(A39="","",posicao_contratual!E39)</f>
        <v/>
      </c>
      <c r="AE39" s="147" t="str">
        <f>IF(A39="","",posicao_contratual!I39)</f>
        <v/>
      </c>
      <c r="AF39" s="147" t="str">
        <f>IF(A39="","",posicao_contratual!M39)</f>
        <v/>
      </c>
      <c r="AG39" s="147" t="str">
        <f>IF(A39="","",posicao_contratual!Q39)</f>
        <v/>
      </c>
      <c r="AH39" s="147" t="str">
        <f>IF(A39="","",posicao_contratual!U39)</f>
        <v/>
      </c>
      <c r="AI39" s="147" t="str">
        <f>IF(A39="","",posicao_contratual!G39)</f>
        <v/>
      </c>
      <c r="AJ39" s="147" t="str">
        <f>IF(A39="","",posicao_contratual!K39)</f>
        <v/>
      </c>
      <c r="AK39" s="147" t="str">
        <f>IF(A39="","",posicao_contratual!O39)</f>
        <v/>
      </c>
      <c r="AL39" s="147" t="str">
        <f>IF(A39="","",posicao_contratual!S39)</f>
        <v/>
      </c>
      <c r="AM39" s="147" t="str">
        <f>IF(A39="","",posicao_contratual!W39)</f>
        <v/>
      </c>
      <c r="AN39" s="148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1"/>
      <c r="B40" s="82" t="str">
        <f t="shared" si="6"/>
        <v/>
      </c>
      <c r="C40" s="83"/>
      <c r="D40" s="79" t="str">
        <f>IF(AND(A40="",A39&lt;&gt;"",COUNTIF(A41:$A$200,"&lt;&gt;")=0),ROUND(SUMIF($A$2:A39,"&lt;&gt;",$D$2:D39),2),IF(OR(A40="",B40="",C40=""),"",ROUND(B40*C40,2)))</f>
        <v/>
      </c>
      <c r="E40" s="84"/>
      <c r="F40" s="79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4"/>
      <c r="H40" s="79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4"/>
      <c r="J40" s="79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4"/>
      <c r="L40" s="79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5" t="str">
        <f>IF(OR(posicao_contratual!J40="",posicao_contratual!N40=""),"",ROUND(MAX(posicao_contratual!J40+posicao_contratual!H40-posicao_contratual!N40,0),2))</f>
        <v/>
      </c>
      <c r="N40" s="79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5" t="str">
        <f>IF(OR(posicao_contratual!N40="",posicao_contratual!R40=""),"",ROUND(MAX(posicao_contratual!N40+posicao_contratual!L40-posicao_contratual!R40,0),2))</f>
        <v/>
      </c>
      <c r="P40" s="79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5" t="str">
        <f>IF(OR(posicao_contratual!R40="",posicao_contratual!V40=""),"",ROUND(MAX(posicao_contratual!R40+posicao_contratual!P40-posicao_contratual!V40,0),2))</f>
        <v/>
      </c>
      <c r="R40" s="79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86" t="str">
        <f>IF(AND(A40="",A39&lt;&gt;"",COUNTIF(A41:$A$200,"&lt;&gt;")=0),"TOTAL",IF(A40="","",posicao_contratual!X40))</f>
        <v/>
      </c>
      <c r="V40" s="86" t="str">
        <f>IF(A40="","",posicao_contratual!X40)</f>
        <v/>
      </c>
      <c r="W40" s="14"/>
      <c r="X40" s="14"/>
      <c r="Y40" s="14"/>
      <c r="Z40" s="13"/>
      <c r="AA40" s="13"/>
      <c r="AB40" s="85" t="str">
        <f>IF(OR(A40="",posicao_contratual!E40="",posicao_contratual!J40=""),"",ROUND(MAX(posicao_contratual!E40-posicao_contratual!J40,0),2))</f>
        <v/>
      </c>
      <c r="AC40" s="79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47" t="str">
        <f>IF(A40="","",posicao_contratual!E40)</f>
        <v/>
      </c>
      <c r="AE40" s="147" t="str">
        <f>IF(A40="","",posicao_contratual!I40)</f>
        <v/>
      </c>
      <c r="AF40" s="147" t="str">
        <f>IF(A40="","",posicao_contratual!M40)</f>
        <v/>
      </c>
      <c r="AG40" s="147" t="str">
        <f>IF(A40="","",posicao_contratual!Q40)</f>
        <v/>
      </c>
      <c r="AH40" s="147" t="str">
        <f>IF(A40="","",posicao_contratual!U40)</f>
        <v/>
      </c>
      <c r="AI40" s="147" t="str">
        <f>IF(A40="","",posicao_contratual!G40)</f>
        <v/>
      </c>
      <c r="AJ40" s="147" t="str">
        <f>IF(A40="","",posicao_contratual!K40)</f>
        <v/>
      </c>
      <c r="AK40" s="147" t="str">
        <f>IF(A40="","",posicao_contratual!O40)</f>
        <v/>
      </c>
      <c r="AL40" s="147" t="str">
        <f>IF(A40="","",posicao_contratual!S40)</f>
        <v/>
      </c>
      <c r="AM40" s="147" t="str">
        <f>IF(A40="","",posicao_contratual!W40)</f>
        <v/>
      </c>
      <c r="AN40" s="148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1"/>
      <c r="B41" s="82" t="str">
        <f t="shared" si="6"/>
        <v/>
      </c>
      <c r="C41" s="83"/>
      <c r="D41" s="79" t="str">
        <f>IF(AND(A41="",A40&lt;&gt;"",COUNTIF(A42:$A$200,"&lt;&gt;")=0),ROUND(SUMIF($A$2:A40,"&lt;&gt;",$D$2:D40),2),IF(OR(A41="",B41="",C41=""),"",ROUND(B41*C41,2)))</f>
        <v/>
      </c>
      <c r="E41" s="84"/>
      <c r="F41" s="79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4"/>
      <c r="H41" s="79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4"/>
      <c r="J41" s="79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4"/>
      <c r="L41" s="79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5" t="str">
        <f>IF(OR(posicao_contratual!J41="",posicao_contratual!N41=""),"",ROUND(MAX(posicao_contratual!J41+posicao_contratual!H41-posicao_contratual!N41,0),2))</f>
        <v/>
      </c>
      <c r="N41" s="79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5" t="str">
        <f>IF(OR(posicao_contratual!N41="",posicao_contratual!R41=""),"",ROUND(MAX(posicao_contratual!N41+posicao_contratual!L41-posicao_contratual!R41,0),2))</f>
        <v/>
      </c>
      <c r="P41" s="79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5" t="str">
        <f>IF(OR(posicao_contratual!R41="",posicao_contratual!V41=""),"",ROUND(MAX(posicao_contratual!R41+posicao_contratual!P41-posicao_contratual!V41,0),2))</f>
        <v/>
      </c>
      <c r="R41" s="79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86" t="str">
        <f>IF(AND(A41="",A40&lt;&gt;"",COUNTIF(A42:$A$200,"&lt;&gt;")=0),"TOTAL",IF(A41="","",posicao_contratual!X41))</f>
        <v/>
      </c>
      <c r="V41" s="86" t="str">
        <f>IF(A41="","",posicao_contratual!X41)</f>
        <v/>
      </c>
      <c r="W41" s="14"/>
      <c r="X41" s="14"/>
      <c r="Y41" s="14"/>
      <c r="Z41" s="13"/>
      <c r="AA41" s="13"/>
      <c r="AB41" s="85" t="str">
        <f>IF(OR(A41="",posicao_contratual!E41="",posicao_contratual!J41=""),"",ROUND(MAX(posicao_contratual!E41-posicao_contratual!J41,0),2))</f>
        <v/>
      </c>
      <c r="AC41" s="79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47" t="str">
        <f>IF(A41="","",posicao_contratual!E41)</f>
        <v/>
      </c>
      <c r="AE41" s="147" t="str">
        <f>IF(A41="","",posicao_contratual!I41)</f>
        <v/>
      </c>
      <c r="AF41" s="147" t="str">
        <f>IF(A41="","",posicao_contratual!M41)</f>
        <v/>
      </c>
      <c r="AG41" s="147" t="str">
        <f>IF(A41="","",posicao_contratual!Q41)</f>
        <v/>
      </c>
      <c r="AH41" s="147" t="str">
        <f>IF(A41="","",posicao_contratual!U41)</f>
        <v/>
      </c>
      <c r="AI41" s="147" t="str">
        <f>IF(A41="","",posicao_contratual!G41)</f>
        <v/>
      </c>
      <c r="AJ41" s="147" t="str">
        <f>IF(A41="","",posicao_contratual!K41)</f>
        <v/>
      </c>
      <c r="AK41" s="147" t="str">
        <f>IF(A41="","",posicao_contratual!O41)</f>
        <v/>
      </c>
      <c r="AL41" s="147" t="str">
        <f>IF(A41="","",posicao_contratual!S41)</f>
        <v/>
      </c>
      <c r="AM41" s="147" t="str">
        <f>IF(A41="","",posicao_contratual!W41)</f>
        <v/>
      </c>
      <c r="AN41" s="148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1"/>
      <c r="B42" s="82" t="str">
        <f t="shared" si="6"/>
        <v/>
      </c>
      <c r="C42" s="83"/>
      <c r="D42" s="79" t="str">
        <f>IF(AND(A42="",A41&lt;&gt;"",COUNTIF(A43:$A$200,"&lt;&gt;")=0),ROUND(SUMIF($A$2:A41,"&lt;&gt;",$D$2:D41),2),IF(OR(A42="",B42="",C42=""),"",ROUND(B42*C42,2)))</f>
        <v/>
      </c>
      <c r="E42" s="84"/>
      <c r="F42" s="79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4"/>
      <c r="H42" s="79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4"/>
      <c r="J42" s="79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4"/>
      <c r="L42" s="79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5" t="str">
        <f>IF(OR(posicao_contratual!J42="",posicao_contratual!N42=""),"",ROUND(MAX(posicao_contratual!J42+posicao_contratual!H42-posicao_contratual!N42,0),2))</f>
        <v/>
      </c>
      <c r="N42" s="79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5" t="str">
        <f>IF(OR(posicao_contratual!N42="",posicao_contratual!R42=""),"",ROUND(MAX(posicao_contratual!N42+posicao_contratual!L42-posicao_contratual!R42,0),2))</f>
        <v/>
      </c>
      <c r="P42" s="79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5" t="str">
        <f>IF(OR(posicao_contratual!R42="",posicao_contratual!V42=""),"",ROUND(MAX(posicao_contratual!R42+posicao_contratual!P42-posicao_contratual!V42,0),2))</f>
        <v/>
      </c>
      <c r="R42" s="79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86" t="str">
        <f>IF(AND(A42="",A41&lt;&gt;"",COUNTIF(A43:$A$200,"&lt;&gt;")=0),"TOTAL",IF(A42="","",posicao_contratual!X42))</f>
        <v/>
      </c>
      <c r="V42" s="86" t="str">
        <f>IF(A42="","",posicao_contratual!X42)</f>
        <v/>
      </c>
      <c r="W42" s="14"/>
      <c r="X42" s="14"/>
      <c r="Y42" s="14"/>
      <c r="Z42" s="13"/>
      <c r="AA42" s="13"/>
      <c r="AB42" s="85" t="str">
        <f>IF(OR(A42="",posicao_contratual!E42="",posicao_contratual!J42=""),"",ROUND(MAX(posicao_contratual!E42-posicao_contratual!J42,0),2))</f>
        <v/>
      </c>
      <c r="AC42" s="79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47" t="str">
        <f>IF(A42="","",posicao_contratual!E42)</f>
        <v/>
      </c>
      <c r="AE42" s="147" t="str">
        <f>IF(A42="","",posicao_contratual!I42)</f>
        <v/>
      </c>
      <c r="AF42" s="147" t="str">
        <f>IF(A42="","",posicao_contratual!M42)</f>
        <v/>
      </c>
      <c r="AG42" s="147" t="str">
        <f>IF(A42="","",posicao_contratual!Q42)</f>
        <v/>
      </c>
      <c r="AH42" s="147" t="str">
        <f>IF(A42="","",posicao_contratual!U42)</f>
        <v/>
      </c>
      <c r="AI42" s="147" t="str">
        <f>IF(A42="","",posicao_contratual!G42)</f>
        <v/>
      </c>
      <c r="AJ42" s="147" t="str">
        <f>IF(A42="","",posicao_contratual!K42)</f>
        <v/>
      </c>
      <c r="AK42" s="147" t="str">
        <f>IF(A42="","",posicao_contratual!O42)</f>
        <v/>
      </c>
      <c r="AL42" s="147" t="str">
        <f>IF(A42="","",posicao_contratual!S42)</f>
        <v/>
      </c>
      <c r="AM42" s="147" t="str">
        <f>IF(A42="","",posicao_contratual!W42)</f>
        <v/>
      </c>
      <c r="AN42" s="148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1"/>
      <c r="B43" s="82" t="str">
        <f t="shared" si="6"/>
        <v/>
      </c>
      <c r="C43" s="83"/>
      <c r="D43" s="79" t="str">
        <f>IF(AND(A43="",A42&lt;&gt;"",COUNTIF(A44:$A$200,"&lt;&gt;")=0),ROUND(SUMIF($A$2:A42,"&lt;&gt;",$D$2:D42),2),IF(OR(A43="",B43="",C43=""),"",ROUND(B43*C43,2)))</f>
        <v/>
      </c>
      <c r="E43" s="84"/>
      <c r="F43" s="79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4"/>
      <c r="H43" s="79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4"/>
      <c r="J43" s="79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4"/>
      <c r="L43" s="79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5" t="str">
        <f>IF(OR(posicao_contratual!J43="",posicao_contratual!N43=""),"",ROUND(MAX(posicao_contratual!J43+posicao_contratual!H43-posicao_contratual!N43,0),2))</f>
        <v/>
      </c>
      <c r="N43" s="79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5" t="str">
        <f>IF(OR(posicao_contratual!N43="",posicao_contratual!R43=""),"",ROUND(MAX(posicao_contratual!N43+posicao_contratual!L43-posicao_contratual!R43,0),2))</f>
        <v/>
      </c>
      <c r="P43" s="79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5" t="str">
        <f>IF(OR(posicao_contratual!R43="",posicao_contratual!V43=""),"",ROUND(MAX(posicao_contratual!R43+posicao_contratual!P43-posicao_contratual!V43,0),2))</f>
        <v/>
      </c>
      <c r="R43" s="79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86" t="str">
        <f>IF(AND(A43="",A42&lt;&gt;"",COUNTIF(A44:$A$200,"&lt;&gt;")=0),"TOTAL",IF(A43="","",posicao_contratual!X43))</f>
        <v/>
      </c>
      <c r="V43" s="86" t="str">
        <f>IF(A43="","",posicao_contratual!X43)</f>
        <v/>
      </c>
      <c r="W43" s="14"/>
      <c r="X43" s="14"/>
      <c r="Y43" s="14"/>
      <c r="Z43" s="13"/>
      <c r="AA43" s="13"/>
      <c r="AB43" s="85" t="str">
        <f>IF(OR(A43="",posicao_contratual!E43="",posicao_contratual!J43=""),"",ROUND(MAX(posicao_contratual!E43-posicao_contratual!J43,0),2))</f>
        <v/>
      </c>
      <c r="AC43" s="79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47" t="str">
        <f>IF(A43="","",posicao_contratual!E43)</f>
        <v/>
      </c>
      <c r="AE43" s="147" t="str">
        <f>IF(A43="","",posicao_contratual!I43)</f>
        <v/>
      </c>
      <c r="AF43" s="147" t="str">
        <f>IF(A43="","",posicao_contratual!M43)</f>
        <v/>
      </c>
      <c r="AG43" s="147" t="str">
        <f>IF(A43="","",posicao_contratual!Q43)</f>
        <v/>
      </c>
      <c r="AH43" s="147" t="str">
        <f>IF(A43="","",posicao_contratual!U43)</f>
        <v/>
      </c>
      <c r="AI43" s="147" t="str">
        <f>IF(A43="","",posicao_contratual!G43)</f>
        <v/>
      </c>
      <c r="AJ43" s="147" t="str">
        <f>IF(A43="","",posicao_contratual!K43)</f>
        <v/>
      </c>
      <c r="AK43" s="147" t="str">
        <f>IF(A43="","",posicao_contratual!O43)</f>
        <v/>
      </c>
      <c r="AL43" s="147" t="str">
        <f>IF(A43="","",posicao_contratual!S43)</f>
        <v/>
      </c>
      <c r="AM43" s="147" t="str">
        <f>IF(A43="","",posicao_contratual!W43)</f>
        <v/>
      </c>
      <c r="AN43" s="148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1"/>
      <c r="B44" s="82" t="str">
        <f t="shared" si="6"/>
        <v/>
      </c>
      <c r="C44" s="83"/>
      <c r="D44" s="79" t="str">
        <f>IF(AND(A44="",A43&lt;&gt;"",COUNTIF(A45:$A$200,"&lt;&gt;")=0),ROUND(SUMIF($A$2:A43,"&lt;&gt;",$D$2:D43),2),IF(OR(A44="",B44="",C44=""),"",ROUND(B44*C44,2)))</f>
        <v/>
      </c>
      <c r="E44" s="84"/>
      <c r="F44" s="79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4"/>
      <c r="H44" s="79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4"/>
      <c r="J44" s="79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4"/>
      <c r="L44" s="79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5" t="str">
        <f>IF(OR(posicao_contratual!J44="",posicao_contratual!N44=""),"",ROUND(MAX(posicao_contratual!J44+posicao_contratual!H44-posicao_contratual!N44,0),2))</f>
        <v/>
      </c>
      <c r="N44" s="79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5" t="str">
        <f>IF(OR(posicao_contratual!N44="",posicao_contratual!R44=""),"",ROUND(MAX(posicao_contratual!N44+posicao_contratual!L44-posicao_contratual!R44,0),2))</f>
        <v/>
      </c>
      <c r="P44" s="79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5" t="str">
        <f>IF(OR(posicao_contratual!R44="",posicao_contratual!V44=""),"",ROUND(MAX(posicao_contratual!R44+posicao_contratual!P44-posicao_contratual!V44,0),2))</f>
        <v/>
      </c>
      <c r="R44" s="79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86" t="str">
        <f>IF(AND(A44="",A43&lt;&gt;"",COUNTIF(A45:$A$200,"&lt;&gt;")=0),"TOTAL",IF(A44="","",posicao_contratual!X44))</f>
        <v/>
      </c>
      <c r="V44" s="86" t="str">
        <f>IF(A44="","",posicao_contratual!X44)</f>
        <v/>
      </c>
      <c r="W44" s="14"/>
      <c r="X44" s="14"/>
      <c r="Y44" s="14"/>
      <c r="Z44" s="13"/>
      <c r="AA44" s="13"/>
      <c r="AB44" s="85" t="str">
        <f>IF(OR(A44="",posicao_contratual!E44="",posicao_contratual!J44=""),"",ROUND(MAX(posicao_contratual!E44-posicao_contratual!J44,0),2))</f>
        <v/>
      </c>
      <c r="AC44" s="79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47" t="str">
        <f>IF(A44="","",posicao_contratual!E44)</f>
        <v/>
      </c>
      <c r="AE44" s="147" t="str">
        <f>IF(A44="","",posicao_contratual!I44)</f>
        <v/>
      </c>
      <c r="AF44" s="147" t="str">
        <f>IF(A44="","",posicao_contratual!M44)</f>
        <v/>
      </c>
      <c r="AG44" s="147" t="str">
        <f>IF(A44="","",posicao_contratual!Q44)</f>
        <v/>
      </c>
      <c r="AH44" s="147" t="str">
        <f>IF(A44="","",posicao_contratual!U44)</f>
        <v/>
      </c>
      <c r="AI44" s="147" t="str">
        <f>IF(A44="","",posicao_contratual!G44)</f>
        <v/>
      </c>
      <c r="AJ44" s="147" t="str">
        <f>IF(A44="","",posicao_contratual!K44)</f>
        <v/>
      </c>
      <c r="AK44" s="147" t="str">
        <f>IF(A44="","",posicao_contratual!O44)</f>
        <v/>
      </c>
      <c r="AL44" s="147" t="str">
        <f>IF(A44="","",posicao_contratual!S44)</f>
        <v/>
      </c>
      <c r="AM44" s="147" t="str">
        <f>IF(A44="","",posicao_contratual!W44)</f>
        <v/>
      </c>
      <c r="AN44" s="148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1"/>
      <c r="B45" s="82" t="str">
        <f t="shared" si="6"/>
        <v/>
      </c>
      <c r="C45" s="83"/>
      <c r="D45" s="79" t="str">
        <f>IF(AND(A45="",A44&lt;&gt;"",COUNTIF(A46:$A$200,"&lt;&gt;")=0),ROUND(SUMIF($A$2:A44,"&lt;&gt;",$D$2:D44),2),IF(OR(A45="",B45="",C45=""),"",ROUND(B45*C45,2)))</f>
        <v/>
      </c>
      <c r="E45" s="84"/>
      <c r="F45" s="79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4"/>
      <c r="H45" s="79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4"/>
      <c r="J45" s="79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4"/>
      <c r="L45" s="79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5" t="str">
        <f>IF(OR(posicao_contratual!J45="",posicao_contratual!N45=""),"",ROUND(MAX(posicao_contratual!J45+posicao_contratual!H45-posicao_contratual!N45,0),2))</f>
        <v/>
      </c>
      <c r="N45" s="79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5" t="str">
        <f>IF(OR(posicao_contratual!N45="",posicao_contratual!R45=""),"",ROUND(MAX(posicao_contratual!N45+posicao_contratual!L45-posicao_contratual!R45,0),2))</f>
        <v/>
      </c>
      <c r="P45" s="79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5" t="str">
        <f>IF(OR(posicao_contratual!R45="",posicao_contratual!V45=""),"",ROUND(MAX(posicao_contratual!R45+posicao_contratual!P45-posicao_contratual!V45,0),2))</f>
        <v/>
      </c>
      <c r="R45" s="79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86" t="str">
        <f>IF(AND(A45="",A44&lt;&gt;"",COUNTIF(A46:$A$200,"&lt;&gt;")=0),"TOTAL",IF(A45="","",posicao_contratual!X45))</f>
        <v/>
      </c>
      <c r="V45" s="86" t="str">
        <f>IF(A45="","",posicao_contratual!X45)</f>
        <v/>
      </c>
      <c r="W45" s="14"/>
      <c r="X45" s="14"/>
      <c r="Y45" s="14"/>
      <c r="Z45" s="13"/>
      <c r="AA45" s="13"/>
      <c r="AB45" s="85" t="str">
        <f>IF(OR(A45="",posicao_contratual!E45="",posicao_contratual!J45=""),"",ROUND(MAX(posicao_contratual!E45-posicao_contratual!J45,0),2))</f>
        <v/>
      </c>
      <c r="AC45" s="79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47" t="str">
        <f>IF(A45="","",posicao_contratual!E45)</f>
        <v/>
      </c>
      <c r="AE45" s="147" t="str">
        <f>IF(A45="","",posicao_contratual!I45)</f>
        <v/>
      </c>
      <c r="AF45" s="147" t="str">
        <f>IF(A45="","",posicao_contratual!M45)</f>
        <v/>
      </c>
      <c r="AG45" s="147" t="str">
        <f>IF(A45="","",posicao_contratual!Q45)</f>
        <v/>
      </c>
      <c r="AH45" s="147" t="str">
        <f>IF(A45="","",posicao_contratual!U45)</f>
        <v/>
      </c>
      <c r="AI45" s="147" t="str">
        <f>IF(A45="","",posicao_contratual!G45)</f>
        <v/>
      </c>
      <c r="AJ45" s="147" t="str">
        <f>IF(A45="","",posicao_contratual!K45)</f>
        <v/>
      </c>
      <c r="AK45" s="147" t="str">
        <f>IF(A45="","",posicao_contratual!O45)</f>
        <v/>
      </c>
      <c r="AL45" s="147" t="str">
        <f>IF(A45="","",posicao_contratual!S45)</f>
        <v/>
      </c>
      <c r="AM45" s="147" t="str">
        <f>IF(A45="","",posicao_contratual!W45)</f>
        <v/>
      </c>
      <c r="AN45" s="148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1"/>
      <c r="B46" s="82" t="str">
        <f t="shared" si="6"/>
        <v/>
      </c>
      <c r="C46" s="83"/>
      <c r="D46" s="79" t="str">
        <f>IF(AND(A46="",A45&lt;&gt;"",COUNTIF(A47:$A$200,"&lt;&gt;")=0),ROUND(SUMIF($A$2:A45,"&lt;&gt;",$D$2:D45),2),IF(OR(A46="",B46="",C46=""),"",ROUND(B46*C46,2)))</f>
        <v/>
      </c>
      <c r="E46" s="84"/>
      <c r="F46" s="79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4"/>
      <c r="H46" s="79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4"/>
      <c r="J46" s="79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4"/>
      <c r="L46" s="79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5" t="str">
        <f>IF(OR(posicao_contratual!J46="",posicao_contratual!N46=""),"",ROUND(MAX(posicao_contratual!J46+posicao_contratual!H46-posicao_contratual!N46,0),2))</f>
        <v/>
      </c>
      <c r="N46" s="79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5" t="str">
        <f>IF(OR(posicao_contratual!N46="",posicao_contratual!R46=""),"",ROUND(MAX(posicao_contratual!N46+posicao_contratual!L46-posicao_contratual!R46,0),2))</f>
        <v/>
      </c>
      <c r="P46" s="79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5" t="str">
        <f>IF(OR(posicao_contratual!R46="",posicao_contratual!V46=""),"",ROUND(MAX(posicao_contratual!R46+posicao_contratual!P46-posicao_contratual!V46,0),2))</f>
        <v/>
      </c>
      <c r="R46" s="79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86" t="str">
        <f>IF(AND(A46="",A45&lt;&gt;"",COUNTIF(A47:$A$200,"&lt;&gt;")=0),"TOTAL",IF(A46="","",posicao_contratual!X46))</f>
        <v/>
      </c>
      <c r="V46" s="86" t="str">
        <f>IF(A46="","",posicao_contratual!X46)</f>
        <v/>
      </c>
      <c r="W46" s="14"/>
      <c r="X46" s="14"/>
      <c r="Y46" s="14"/>
      <c r="Z46" s="13"/>
      <c r="AA46" s="13"/>
      <c r="AB46" s="85" t="str">
        <f>IF(OR(A46="",posicao_contratual!E46="",posicao_contratual!J46=""),"",ROUND(MAX(posicao_contratual!E46-posicao_contratual!J46,0),2))</f>
        <v/>
      </c>
      <c r="AC46" s="79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47" t="str">
        <f>IF(A46="","",posicao_contratual!E46)</f>
        <v/>
      </c>
      <c r="AE46" s="147" t="str">
        <f>IF(A46="","",posicao_contratual!I46)</f>
        <v/>
      </c>
      <c r="AF46" s="147" t="str">
        <f>IF(A46="","",posicao_contratual!M46)</f>
        <v/>
      </c>
      <c r="AG46" s="147" t="str">
        <f>IF(A46="","",posicao_contratual!Q46)</f>
        <v/>
      </c>
      <c r="AH46" s="147" t="str">
        <f>IF(A46="","",posicao_contratual!U46)</f>
        <v/>
      </c>
      <c r="AI46" s="147" t="str">
        <f>IF(A46="","",posicao_contratual!G46)</f>
        <v/>
      </c>
      <c r="AJ46" s="147" t="str">
        <f>IF(A46="","",posicao_contratual!K46)</f>
        <v/>
      </c>
      <c r="AK46" s="147" t="str">
        <f>IF(A46="","",posicao_contratual!O46)</f>
        <v/>
      </c>
      <c r="AL46" s="147" t="str">
        <f>IF(A46="","",posicao_contratual!S46)</f>
        <v/>
      </c>
      <c r="AM46" s="147" t="str">
        <f>IF(A46="","",posicao_contratual!W46)</f>
        <v/>
      </c>
      <c r="AN46" s="148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1"/>
      <c r="B47" s="82" t="str">
        <f t="shared" si="6"/>
        <v/>
      </c>
      <c r="C47" s="83"/>
      <c r="D47" s="79" t="str">
        <f>IF(AND(A47="",A46&lt;&gt;"",COUNTIF(A48:$A$200,"&lt;&gt;")=0),ROUND(SUMIF($A$2:A46,"&lt;&gt;",$D$2:D46),2),IF(OR(A47="",B47="",C47=""),"",ROUND(B47*C47,2)))</f>
        <v/>
      </c>
      <c r="E47" s="84"/>
      <c r="F47" s="79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4"/>
      <c r="H47" s="79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4"/>
      <c r="J47" s="79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4"/>
      <c r="L47" s="79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5" t="str">
        <f>IF(OR(posicao_contratual!J47="",posicao_contratual!N47=""),"",ROUND(MAX(posicao_contratual!J47+posicao_contratual!H47-posicao_contratual!N47,0),2))</f>
        <v/>
      </c>
      <c r="N47" s="79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5" t="str">
        <f>IF(OR(posicao_contratual!N47="",posicao_contratual!R47=""),"",ROUND(MAX(posicao_contratual!N47+posicao_contratual!L47-posicao_contratual!R47,0),2))</f>
        <v/>
      </c>
      <c r="P47" s="79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5" t="str">
        <f>IF(OR(posicao_contratual!R47="",posicao_contratual!V47=""),"",ROUND(MAX(posicao_contratual!R47+posicao_contratual!P47-posicao_contratual!V47,0),2))</f>
        <v/>
      </c>
      <c r="R47" s="79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86" t="str">
        <f>IF(AND(A47="",A46&lt;&gt;"",COUNTIF(A48:$A$200,"&lt;&gt;")=0),"TOTAL",IF(A47="","",posicao_contratual!X47))</f>
        <v/>
      </c>
      <c r="V47" s="86" t="str">
        <f>IF(A47="","",posicao_contratual!X47)</f>
        <v/>
      </c>
      <c r="W47" s="14"/>
      <c r="X47" s="14"/>
      <c r="Y47" s="14"/>
      <c r="Z47" s="13"/>
      <c r="AA47" s="13"/>
      <c r="AB47" s="85" t="str">
        <f>IF(OR(A47="",posicao_contratual!E47="",posicao_contratual!J47=""),"",ROUND(MAX(posicao_contratual!E47-posicao_contratual!J47,0),2))</f>
        <v/>
      </c>
      <c r="AC47" s="79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47" t="str">
        <f>IF(A47="","",posicao_contratual!E47)</f>
        <v/>
      </c>
      <c r="AE47" s="147" t="str">
        <f>IF(A47="","",posicao_contratual!I47)</f>
        <v/>
      </c>
      <c r="AF47" s="147" t="str">
        <f>IF(A47="","",posicao_contratual!M47)</f>
        <v/>
      </c>
      <c r="AG47" s="147" t="str">
        <f>IF(A47="","",posicao_contratual!Q47)</f>
        <v/>
      </c>
      <c r="AH47" s="147" t="str">
        <f>IF(A47="","",posicao_contratual!U47)</f>
        <v/>
      </c>
      <c r="AI47" s="147" t="str">
        <f>IF(A47="","",posicao_contratual!G47)</f>
        <v/>
      </c>
      <c r="AJ47" s="147" t="str">
        <f>IF(A47="","",posicao_contratual!K47)</f>
        <v/>
      </c>
      <c r="AK47" s="147" t="str">
        <f>IF(A47="","",posicao_contratual!O47)</f>
        <v/>
      </c>
      <c r="AL47" s="147" t="str">
        <f>IF(A47="","",posicao_contratual!S47)</f>
        <v/>
      </c>
      <c r="AM47" s="147" t="str">
        <f>IF(A47="","",posicao_contratual!W47)</f>
        <v/>
      </c>
      <c r="AN47" s="148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1"/>
      <c r="B48" s="82" t="str">
        <f t="shared" si="6"/>
        <v/>
      </c>
      <c r="C48" s="83"/>
      <c r="D48" s="79" t="str">
        <f>IF(AND(A48="",A47&lt;&gt;"",COUNTIF(A49:$A$200,"&lt;&gt;")=0),ROUND(SUMIF($A$2:A47,"&lt;&gt;",$D$2:D47),2),IF(OR(A48="",B48="",C48=""),"",ROUND(B48*C48,2)))</f>
        <v/>
      </c>
      <c r="E48" s="84"/>
      <c r="F48" s="79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4"/>
      <c r="H48" s="79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4"/>
      <c r="J48" s="79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4"/>
      <c r="L48" s="79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5" t="str">
        <f>IF(OR(posicao_contratual!J48="",posicao_contratual!N48=""),"",ROUND(MAX(posicao_contratual!J48+posicao_contratual!H48-posicao_contratual!N48,0),2))</f>
        <v/>
      </c>
      <c r="N48" s="79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5" t="str">
        <f>IF(OR(posicao_contratual!N48="",posicao_contratual!R48=""),"",ROUND(MAX(posicao_contratual!N48+posicao_contratual!L48-posicao_contratual!R48,0),2))</f>
        <v/>
      </c>
      <c r="P48" s="79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5" t="str">
        <f>IF(OR(posicao_contratual!R48="",posicao_contratual!V48=""),"",ROUND(MAX(posicao_contratual!R48+posicao_contratual!P48-posicao_contratual!V48,0),2))</f>
        <v/>
      </c>
      <c r="R48" s="79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86" t="str">
        <f>IF(AND(A48="",A47&lt;&gt;"",COUNTIF(A49:$A$200,"&lt;&gt;")=0),"TOTAL",IF(A48="","",posicao_contratual!X48))</f>
        <v/>
      </c>
      <c r="V48" s="86" t="str">
        <f>IF(A48="","",posicao_contratual!X48)</f>
        <v/>
      </c>
      <c r="W48" s="14"/>
      <c r="X48" s="14"/>
      <c r="Y48" s="14"/>
      <c r="Z48" s="13"/>
      <c r="AA48" s="13"/>
      <c r="AB48" s="85" t="str">
        <f>IF(OR(A48="",posicao_contratual!E48="",posicao_contratual!J48=""),"",ROUND(MAX(posicao_contratual!E48-posicao_contratual!J48,0),2))</f>
        <v/>
      </c>
      <c r="AC48" s="79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47" t="str">
        <f>IF(A48="","",posicao_contratual!E48)</f>
        <v/>
      </c>
      <c r="AE48" s="147" t="str">
        <f>IF(A48="","",posicao_contratual!I48)</f>
        <v/>
      </c>
      <c r="AF48" s="147" t="str">
        <f>IF(A48="","",posicao_contratual!M48)</f>
        <v/>
      </c>
      <c r="AG48" s="147" t="str">
        <f>IF(A48="","",posicao_contratual!Q48)</f>
        <v/>
      </c>
      <c r="AH48" s="147" t="str">
        <f>IF(A48="","",posicao_contratual!U48)</f>
        <v/>
      </c>
      <c r="AI48" s="147" t="str">
        <f>IF(A48="","",posicao_contratual!G48)</f>
        <v/>
      </c>
      <c r="AJ48" s="147" t="str">
        <f>IF(A48="","",posicao_contratual!K48)</f>
        <v/>
      </c>
      <c r="AK48" s="147" t="str">
        <f>IF(A48="","",posicao_contratual!O48)</f>
        <v/>
      </c>
      <c r="AL48" s="147" t="str">
        <f>IF(A48="","",posicao_contratual!S48)</f>
        <v/>
      </c>
      <c r="AM48" s="147" t="str">
        <f>IF(A48="","",posicao_contratual!W48)</f>
        <v/>
      </c>
      <c r="AN48" s="148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1"/>
      <c r="B49" s="82" t="str">
        <f t="shared" si="6"/>
        <v/>
      </c>
      <c r="C49" s="83"/>
      <c r="D49" s="79" t="str">
        <f>IF(AND(A49="",A48&lt;&gt;"",COUNTIF(A50:$A$200,"&lt;&gt;")=0),ROUND(SUMIF($A$2:A48,"&lt;&gt;",$D$2:D48),2),IF(OR(A49="",B49="",C49=""),"",ROUND(B49*C49,2)))</f>
        <v/>
      </c>
      <c r="E49" s="84"/>
      <c r="F49" s="79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4"/>
      <c r="H49" s="79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4"/>
      <c r="J49" s="79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4"/>
      <c r="L49" s="79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5" t="str">
        <f>IF(OR(posicao_contratual!J49="",posicao_contratual!N49=""),"",ROUND(MAX(posicao_contratual!J49+posicao_contratual!H49-posicao_contratual!N49,0),2))</f>
        <v/>
      </c>
      <c r="N49" s="79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5" t="str">
        <f>IF(OR(posicao_contratual!N49="",posicao_contratual!R49=""),"",ROUND(MAX(posicao_contratual!N49+posicao_contratual!L49-posicao_contratual!R49,0),2))</f>
        <v/>
      </c>
      <c r="P49" s="79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5" t="str">
        <f>IF(OR(posicao_contratual!R49="",posicao_contratual!V49=""),"",ROUND(MAX(posicao_contratual!R49+posicao_contratual!P49-posicao_contratual!V49,0),2))</f>
        <v/>
      </c>
      <c r="R49" s="79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86" t="str">
        <f>IF(AND(A49="",A48&lt;&gt;"",COUNTIF(A50:$A$200,"&lt;&gt;")=0),"TOTAL",IF(A49="","",posicao_contratual!X49))</f>
        <v/>
      </c>
      <c r="V49" s="86" t="str">
        <f>IF(A49="","",posicao_contratual!X49)</f>
        <v/>
      </c>
      <c r="W49" s="14"/>
      <c r="X49" s="14"/>
      <c r="Y49" s="14"/>
      <c r="Z49" s="13"/>
      <c r="AA49" s="13"/>
      <c r="AB49" s="85" t="str">
        <f>IF(OR(A49="",posicao_contratual!E49="",posicao_contratual!J49=""),"",ROUND(MAX(posicao_contratual!E49-posicao_contratual!J49,0),2))</f>
        <v/>
      </c>
      <c r="AC49" s="79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47" t="str">
        <f>IF(A49="","",posicao_contratual!E49)</f>
        <v/>
      </c>
      <c r="AE49" s="147" t="str">
        <f>IF(A49="","",posicao_contratual!I49)</f>
        <v/>
      </c>
      <c r="AF49" s="147" t="str">
        <f>IF(A49="","",posicao_contratual!M49)</f>
        <v/>
      </c>
      <c r="AG49" s="147" t="str">
        <f>IF(A49="","",posicao_contratual!Q49)</f>
        <v/>
      </c>
      <c r="AH49" s="147" t="str">
        <f>IF(A49="","",posicao_contratual!U49)</f>
        <v/>
      </c>
      <c r="AI49" s="147" t="str">
        <f>IF(A49="","",posicao_contratual!G49)</f>
        <v/>
      </c>
      <c r="AJ49" s="147" t="str">
        <f>IF(A49="","",posicao_contratual!K49)</f>
        <v/>
      </c>
      <c r="AK49" s="147" t="str">
        <f>IF(A49="","",posicao_contratual!O49)</f>
        <v/>
      </c>
      <c r="AL49" s="147" t="str">
        <f>IF(A49="","",posicao_contratual!S49)</f>
        <v/>
      </c>
      <c r="AM49" s="147" t="str">
        <f>IF(A49="","",posicao_contratual!W49)</f>
        <v/>
      </c>
      <c r="AN49" s="148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1"/>
      <c r="B50" s="82" t="str">
        <f t="shared" si="6"/>
        <v/>
      </c>
      <c r="C50" s="83"/>
      <c r="D50" s="79" t="str">
        <f>IF(AND(A50="",A49&lt;&gt;"",COUNTIF(A51:$A$200,"&lt;&gt;")=0),ROUND(SUMIF($A$2:A49,"&lt;&gt;",$D$2:D49),2),IF(OR(A50="",B50="",C50=""),"",ROUND(B50*C50,2)))</f>
        <v/>
      </c>
      <c r="E50" s="84"/>
      <c r="F50" s="79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4"/>
      <c r="H50" s="79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4"/>
      <c r="J50" s="79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4"/>
      <c r="L50" s="79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5" t="str">
        <f>IF(OR(posicao_contratual!J50="",posicao_contratual!N50=""),"",ROUND(MAX(posicao_contratual!J50+posicao_contratual!H50-posicao_contratual!N50,0),2))</f>
        <v/>
      </c>
      <c r="N50" s="79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5" t="str">
        <f>IF(OR(posicao_contratual!N50="",posicao_contratual!R50=""),"",ROUND(MAX(posicao_contratual!N50+posicao_contratual!L50-posicao_contratual!R50,0),2))</f>
        <v/>
      </c>
      <c r="P50" s="79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5" t="str">
        <f>IF(OR(posicao_contratual!R50="",posicao_contratual!V50=""),"",ROUND(MAX(posicao_contratual!R50+posicao_contratual!P50-posicao_contratual!V50,0),2))</f>
        <v/>
      </c>
      <c r="R50" s="79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86" t="str">
        <f>IF(AND(A50="",A49&lt;&gt;"",COUNTIF(A51:$A$200,"&lt;&gt;")=0),"TOTAL",IF(A50="","",posicao_contratual!X50))</f>
        <v/>
      </c>
      <c r="V50" s="86" t="str">
        <f>IF(A50="","",posicao_contratual!X50)</f>
        <v/>
      </c>
      <c r="W50" s="14"/>
      <c r="X50" s="14"/>
      <c r="Y50" s="14"/>
      <c r="Z50" s="13"/>
      <c r="AA50" s="13"/>
      <c r="AB50" s="85" t="str">
        <f>IF(OR(A50="",posicao_contratual!E50="",posicao_contratual!J50=""),"",ROUND(MAX(posicao_contratual!E50-posicao_contratual!J50,0),2))</f>
        <v/>
      </c>
      <c r="AC50" s="79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47" t="str">
        <f>IF(A50="","",posicao_contratual!E50)</f>
        <v/>
      </c>
      <c r="AE50" s="147" t="str">
        <f>IF(A50="","",posicao_contratual!I50)</f>
        <v/>
      </c>
      <c r="AF50" s="147" t="str">
        <f>IF(A50="","",posicao_contratual!M50)</f>
        <v/>
      </c>
      <c r="AG50" s="147" t="str">
        <f>IF(A50="","",posicao_contratual!Q50)</f>
        <v/>
      </c>
      <c r="AH50" s="147" t="str">
        <f>IF(A50="","",posicao_contratual!U50)</f>
        <v/>
      </c>
      <c r="AI50" s="147" t="str">
        <f>IF(A50="","",posicao_contratual!G50)</f>
        <v/>
      </c>
      <c r="AJ50" s="147" t="str">
        <f>IF(A50="","",posicao_contratual!K50)</f>
        <v/>
      </c>
      <c r="AK50" s="147" t="str">
        <f>IF(A50="","",posicao_contratual!O50)</f>
        <v/>
      </c>
      <c r="AL50" s="147" t="str">
        <f>IF(A50="","",posicao_contratual!S50)</f>
        <v/>
      </c>
      <c r="AM50" s="147" t="str">
        <f>IF(A50="","",posicao_contratual!W50)</f>
        <v/>
      </c>
      <c r="AN50" s="148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1"/>
      <c r="B51" s="82" t="str">
        <f t="shared" si="6"/>
        <v/>
      </c>
      <c r="C51" s="83"/>
      <c r="D51" s="79" t="str">
        <f>IF(AND(A51="",A50&lt;&gt;"",COUNTIF(A52:$A$200,"&lt;&gt;")=0),ROUND(SUMIF($A$2:A50,"&lt;&gt;",$D$2:D50),2),IF(OR(A51="",B51="",C51=""),"",ROUND(B51*C51,2)))</f>
        <v/>
      </c>
      <c r="E51" s="84"/>
      <c r="F51" s="79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4"/>
      <c r="H51" s="79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4"/>
      <c r="J51" s="79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4"/>
      <c r="L51" s="79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5" t="str">
        <f>IF(OR(posicao_contratual!J51="",posicao_contratual!N51=""),"",ROUND(MAX(posicao_contratual!J51+posicao_contratual!H51-posicao_contratual!N51,0),2))</f>
        <v/>
      </c>
      <c r="N51" s="79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5" t="str">
        <f>IF(OR(posicao_contratual!N51="",posicao_contratual!R51=""),"",ROUND(MAX(posicao_contratual!N51+posicao_contratual!L51-posicao_contratual!R51,0),2))</f>
        <v/>
      </c>
      <c r="P51" s="79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5" t="str">
        <f>IF(OR(posicao_contratual!R51="",posicao_contratual!V51=""),"",ROUND(MAX(posicao_contratual!R51+posicao_contratual!P51-posicao_contratual!V51,0),2))</f>
        <v/>
      </c>
      <c r="R51" s="79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86" t="str">
        <f>IF(AND(A51="",A50&lt;&gt;"",COUNTIF(A52:$A$200,"&lt;&gt;")=0),"TOTAL",IF(A51="","",posicao_contratual!X51))</f>
        <v/>
      </c>
      <c r="V51" s="86" t="str">
        <f>IF(A51="","",posicao_contratual!X51)</f>
        <v/>
      </c>
      <c r="W51" s="14"/>
      <c r="X51" s="14"/>
      <c r="Y51" s="14"/>
      <c r="Z51" s="13"/>
      <c r="AA51" s="13"/>
      <c r="AB51" s="85" t="str">
        <f>IF(OR(A51="",posicao_contratual!E51="",posicao_contratual!J51=""),"",ROUND(MAX(posicao_contratual!E51-posicao_contratual!J51,0),2))</f>
        <v/>
      </c>
      <c r="AC51" s="79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47" t="str">
        <f>IF(A51="","",posicao_contratual!E51)</f>
        <v/>
      </c>
      <c r="AE51" s="147" t="str">
        <f>IF(A51="","",posicao_contratual!I51)</f>
        <v/>
      </c>
      <c r="AF51" s="147" t="str">
        <f>IF(A51="","",posicao_contratual!M51)</f>
        <v/>
      </c>
      <c r="AG51" s="147" t="str">
        <f>IF(A51="","",posicao_contratual!Q51)</f>
        <v/>
      </c>
      <c r="AH51" s="147" t="str">
        <f>IF(A51="","",posicao_contratual!U51)</f>
        <v/>
      </c>
      <c r="AI51" s="147" t="str">
        <f>IF(A51="","",posicao_contratual!G51)</f>
        <v/>
      </c>
      <c r="AJ51" s="147" t="str">
        <f>IF(A51="","",posicao_contratual!K51)</f>
        <v/>
      </c>
      <c r="AK51" s="147" t="str">
        <f>IF(A51="","",posicao_contratual!O51)</f>
        <v/>
      </c>
      <c r="AL51" s="147" t="str">
        <f>IF(A51="","",posicao_contratual!S51)</f>
        <v/>
      </c>
      <c r="AM51" s="147" t="str">
        <f>IF(A51="","",posicao_contratual!W51)</f>
        <v/>
      </c>
      <c r="AN51" s="148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1"/>
      <c r="B52" s="82" t="str">
        <f t="shared" si="6"/>
        <v/>
      </c>
      <c r="C52" s="83"/>
      <c r="D52" s="79" t="str">
        <f>IF(AND(A52="",A51&lt;&gt;"",COUNTIF(A53:$A$200,"&lt;&gt;")=0),ROUND(SUMIF($A$2:A51,"&lt;&gt;",$D$2:D51),2),IF(OR(A52="",B52="",C52=""),"",ROUND(B52*C52,2)))</f>
        <v/>
      </c>
      <c r="E52" s="84"/>
      <c r="F52" s="79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4"/>
      <c r="H52" s="79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4"/>
      <c r="J52" s="79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4"/>
      <c r="L52" s="79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5" t="str">
        <f>IF(OR(posicao_contratual!J52="",posicao_contratual!N52=""),"",ROUND(MAX(posicao_contratual!J52+posicao_contratual!H52-posicao_contratual!N52,0),2))</f>
        <v/>
      </c>
      <c r="N52" s="79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5" t="str">
        <f>IF(OR(posicao_contratual!N52="",posicao_contratual!R52=""),"",ROUND(MAX(posicao_contratual!N52+posicao_contratual!L52-posicao_contratual!R52,0),2))</f>
        <v/>
      </c>
      <c r="P52" s="79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5" t="str">
        <f>IF(OR(posicao_contratual!R52="",posicao_contratual!V52=""),"",ROUND(MAX(posicao_contratual!R52+posicao_contratual!P52-posicao_contratual!V52,0),2))</f>
        <v/>
      </c>
      <c r="R52" s="79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86" t="str">
        <f>IF(AND(A52="",A51&lt;&gt;"",COUNTIF(A53:$A$200,"&lt;&gt;")=0),"TOTAL",IF(A52="","",posicao_contratual!X52))</f>
        <v/>
      </c>
      <c r="V52" s="86" t="str">
        <f>IF(A52="","",posicao_contratual!X52)</f>
        <v/>
      </c>
      <c r="W52" s="14"/>
      <c r="X52" s="14"/>
      <c r="Y52" s="14"/>
      <c r="Z52" s="13"/>
      <c r="AA52" s="13"/>
      <c r="AB52" s="85" t="str">
        <f>IF(OR(A52="",posicao_contratual!E52="",posicao_contratual!J52=""),"",ROUND(MAX(posicao_contratual!E52-posicao_contratual!J52,0),2))</f>
        <v/>
      </c>
      <c r="AC52" s="79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47" t="str">
        <f>IF(A52="","",posicao_contratual!E52)</f>
        <v/>
      </c>
      <c r="AE52" s="147" t="str">
        <f>IF(A52="","",posicao_contratual!I52)</f>
        <v/>
      </c>
      <c r="AF52" s="147" t="str">
        <f>IF(A52="","",posicao_contratual!M52)</f>
        <v/>
      </c>
      <c r="AG52" s="147" t="str">
        <f>IF(A52="","",posicao_contratual!Q52)</f>
        <v/>
      </c>
      <c r="AH52" s="147" t="str">
        <f>IF(A52="","",posicao_contratual!U52)</f>
        <v/>
      </c>
      <c r="AI52" s="147" t="str">
        <f>IF(A52="","",posicao_contratual!G52)</f>
        <v/>
      </c>
      <c r="AJ52" s="147" t="str">
        <f>IF(A52="","",posicao_contratual!K52)</f>
        <v/>
      </c>
      <c r="AK52" s="147" t="str">
        <f>IF(A52="","",posicao_contratual!O52)</f>
        <v/>
      </c>
      <c r="AL52" s="147" t="str">
        <f>IF(A52="","",posicao_contratual!S52)</f>
        <v/>
      </c>
      <c r="AM52" s="147" t="str">
        <f>IF(A52="","",posicao_contratual!W52)</f>
        <v/>
      </c>
      <c r="AN52" s="148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1"/>
      <c r="B53" s="82" t="str">
        <f t="shared" si="6"/>
        <v/>
      </c>
      <c r="C53" s="83"/>
      <c r="D53" s="79" t="str">
        <f>IF(AND(A53="",A52&lt;&gt;"",COUNTIF(A54:$A$200,"&lt;&gt;")=0),ROUND(SUMIF($A$2:A52,"&lt;&gt;",$D$2:D52),2),IF(OR(A53="",B53="",C53=""),"",ROUND(B53*C53,2)))</f>
        <v/>
      </c>
      <c r="E53" s="84"/>
      <c r="F53" s="79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4"/>
      <c r="H53" s="79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4"/>
      <c r="J53" s="79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4"/>
      <c r="L53" s="79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5" t="str">
        <f>IF(OR(posicao_contratual!J53="",posicao_contratual!N53=""),"",ROUND(MAX(posicao_contratual!J53+posicao_contratual!H53-posicao_contratual!N53,0),2))</f>
        <v/>
      </c>
      <c r="N53" s="79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5" t="str">
        <f>IF(OR(posicao_contratual!N53="",posicao_contratual!R53=""),"",ROUND(MAX(posicao_contratual!N53+posicao_contratual!L53-posicao_contratual!R53,0),2))</f>
        <v/>
      </c>
      <c r="P53" s="79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5" t="str">
        <f>IF(OR(posicao_contratual!R53="",posicao_contratual!V53=""),"",ROUND(MAX(posicao_contratual!R53+posicao_contratual!P53-posicao_contratual!V53,0),2))</f>
        <v/>
      </c>
      <c r="R53" s="79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86" t="str">
        <f>IF(AND(A53="",A52&lt;&gt;"",COUNTIF(A54:$A$200,"&lt;&gt;")=0),"TOTAL",IF(A53="","",posicao_contratual!X53))</f>
        <v/>
      </c>
      <c r="V53" s="86" t="str">
        <f>IF(A53="","",posicao_contratual!X53)</f>
        <v/>
      </c>
      <c r="W53" s="14"/>
      <c r="X53" s="14"/>
      <c r="Y53" s="14"/>
      <c r="Z53" s="13"/>
      <c r="AA53" s="13"/>
      <c r="AB53" s="85" t="str">
        <f>IF(OR(A53="",posicao_contratual!E53="",posicao_contratual!J53=""),"",ROUND(MAX(posicao_contratual!E53-posicao_contratual!J53,0),2))</f>
        <v/>
      </c>
      <c r="AC53" s="79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47" t="str">
        <f>IF(A53="","",posicao_contratual!E53)</f>
        <v/>
      </c>
      <c r="AE53" s="147" t="str">
        <f>IF(A53="","",posicao_contratual!I53)</f>
        <v/>
      </c>
      <c r="AF53" s="147" t="str">
        <f>IF(A53="","",posicao_contratual!M53)</f>
        <v/>
      </c>
      <c r="AG53" s="147" t="str">
        <f>IF(A53="","",posicao_contratual!Q53)</f>
        <v/>
      </c>
      <c r="AH53" s="147" t="str">
        <f>IF(A53="","",posicao_contratual!U53)</f>
        <v/>
      </c>
      <c r="AI53" s="147" t="str">
        <f>IF(A53="","",posicao_contratual!G53)</f>
        <v/>
      </c>
      <c r="AJ53" s="147" t="str">
        <f>IF(A53="","",posicao_contratual!K53)</f>
        <v/>
      </c>
      <c r="AK53" s="147" t="str">
        <f>IF(A53="","",posicao_contratual!O53)</f>
        <v/>
      </c>
      <c r="AL53" s="147" t="str">
        <f>IF(A53="","",posicao_contratual!S53)</f>
        <v/>
      </c>
      <c r="AM53" s="147" t="str">
        <f>IF(A53="","",posicao_contratual!W53)</f>
        <v/>
      </c>
      <c r="AN53" s="148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1"/>
      <c r="B54" s="82" t="str">
        <f t="shared" si="6"/>
        <v/>
      </c>
      <c r="C54" s="83"/>
      <c r="D54" s="79" t="str">
        <f>IF(AND(A54="",A53&lt;&gt;"",COUNTIF(A55:$A$200,"&lt;&gt;")=0),ROUND(SUMIF($A$2:A53,"&lt;&gt;",$D$2:D53),2),IF(OR(A54="",B54="",C54=""),"",ROUND(B54*C54,2)))</f>
        <v/>
      </c>
      <c r="E54" s="84"/>
      <c r="F54" s="79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4"/>
      <c r="H54" s="79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4"/>
      <c r="J54" s="79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4"/>
      <c r="L54" s="79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5" t="str">
        <f>IF(OR(posicao_contratual!J54="",posicao_contratual!N54=""),"",ROUND(MAX(posicao_contratual!J54+posicao_contratual!H54-posicao_contratual!N54,0),2))</f>
        <v/>
      </c>
      <c r="N54" s="79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5" t="str">
        <f>IF(OR(posicao_contratual!N54="",posicao_contratual!R54=""),"",ROUND(MAX(posicao_contratual!N54+posicao_contratual!L54-posicao_contratual!R54,0),2))</f>
        <v/>
      </c>
      <c r="P54" s="79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5" t="str">
        <f>IF(OR(posicao_contratual!R54="",posicao_contratual!V54=""),"",ROUND(MAX(posicao_contratual!R54+posicao_contratual!P54-posicao_contratual!V54,0),2))</f>
        <v/>
      </c>
      <c r="R54" s="79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86" t="str">
        <f>IF(AND(A54="",A53&lt;&gt;"",COUNTIF(A55:$A$200,"&lt;&gt;")=0),"TOTAL",IF(A54="","",posicao_contratual!X54))</f>
        <v/>
      </c>
      <c r="V54" s="86" t="str">
        <f>IF(A54="","",posicao_contratual!X54)</f>
        <v/>
      </c>
      <c r="W54" s="14"/>
      <c r="X54" s="14"/>
      <c r="Y54" s="14"/>
      <c r="Z54" s="13"/>
      <c r="AA54" s="13"/>
      <c r="AB54" s="85" t="str">
        <f>IF(OR(A54="",posicao_contratual!E54="",posicao_contratual!J54=""),"",ROUND(MAX(posicao_contratual!E54-posicao_contratual!J54,0),2))</f>
        <v/>
      </c>
      <c r="AC54" s="79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47" t="str">
        <f>IF(A54="","",posicao_contratual!E54)</f>
        <v/>
      </c>
      <c r="AE54" s="147" t="str">
        <f>IF(A54="","",posicao_contratual!I54)</f>
        <v/>
      </c>
      <c r="AF54" s="147" t="str">
        <f>IF(A54="","",posicao_contratual!M54)</f>
        <v/>
      </c>
      <c r="AG54" s="147" t="str">
        <f>IF(A54="","",posicao_contratual!Q54)</f>
        <v/>
      </c>
      <c r="AH54" s="147" t="str">
        <f>IF(A54="","",posicao_contratual!U54)</f>
        <v/>
      </c>
      <c r="AI54" s="147" t="str">
        <f>IF(A54="","",posicao_contratual!G54)</f>
        <v/>
      </c>
      <c r="AJ54" s="147" t="str">
        <f>IF(A54="","",posicao_contratual!K54)</f>
        <v/>
      </c>
      <c r="AK54" s="147" t="str">
        <f>IF(A54="","",posicao_contratual!O54)</f>
        <v/>
      </c>
      <c r="AL54" s="147" t="str">
        <f>IF(A54="","",posicao_contratual!S54)</f>
        <v/>
      </c>
      <c r="AM54" s="147" t="str">
        <f>IF(A54="","",posicao_contratual!W54)</f>
        <v/>
      </c>
      <c r="AN54" s="148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1"/>
      <c r="B55" s="82" t="str">
        <f t="shared" si="6"/>
        <v/>
      </c>
      <c r="C55" s="83"/>
      <c r="D55" s="79" t="str">
        <f>IF(AND(A55="",A54&lt;&gt;"",COUNTIF(A56:$A$200,"&lt;&gt;")=0),ROUND(SUMIF($A$2:A54,"&lt;&gt;",$D$2:D54),2),IF(OR(A55="",B55="",C55=""),"",ROUND(B55*C55,2)))</f>
        <v/>
      </c>
      <c r="E55" s="84"/>
      <c r="F55" s="79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4"/>
      <c r="H55" s="79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4"/>
      <c r="J55" s="79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4"/>
      <c r="L55" s="79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5" t="str">
        <f>IF(OR(posicao_contratual!J55="",posicao_contratual!N55=""),"",ROUND(MAX(posicao_contratual!J55+posicao_contratual!H55-posicao_contratual!N55,0),2))</f>
        <v/>
      </c>
      <c r="N55" s="79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5" t="str">
        <f>IF(OR(posicao_contratual!N55="",posicao_contratual!R55=""),"",ROUND(MAX(posicao_contratual!N55+posicao_contratual!L55-posicao_contratual!R55,0),2))</f>
        <v/>
      </c>
      <c r="P55" s="79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5" t="str">
        <f>IF(OR(posicao_contratual!R55="",posicao_contratual!V55=""),"",ROUND(MAX(posicao_contratual!R55+posicao_contratual!P55-posicao_contratual!V55,0),2))</f>
        <v/>
      </c>
      <c r="R55" s="79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86" t="str">
        <f>IF(AND(A55="",A54&lt;&gt;"",COUNTIF(A56:$A$200,"&lt;&gt;")=0),"TOTAL",IF(A55="","",posicao_contratual!X55))</f>
        <v/>
      </c>
      <c r="V55" s="86" t="str">
        <f>IF(A55="","",posicao_contratual!X55)</f>
        <v/>
      </c>
      <c r="W55" s="14"/>
      <c r="X55" s="14"/>
      <c r="Y55" s="14"/>
      <c r="Z55" s="13"/>
      <c r="AA55" s="13"/>
      <c r="AB55" s="85" t="str">
        <f>IF(OR(A55="",posicao_contratual!E55="",posicao_contratual!J55=""),"",ROUND(MAX(posicao_contratual!E55-posicao_contratual!J55,0),2))</f>
        <v/>
      </c>
      <c r="AC55" s="79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47" t="str">
        <f>IF(A55="","",posicao_contratual!E55)</f>
        <v/>
      </c>
      <c r="AE55" s="147" t="str">
        <f>IF(A55="","",posicao_contratual!I55)</f>
        <v/>
      </c>
      <c r="AF55" s="147" t="str">
        <f>IF(A55="","",posicao_contratual!M55)</f>
        <v/>
      </c>
      <c r="AG55" s="147" t="str">
        <f>IF(A55="","",posicao_contratual!Q55)</f>
        <v/>
      </c>
      <c r="AH55" s="147" t="str">
        <f>IF(A55="","",posicao_contratual!U55)</f>
        <v/>
      </c>
      <c r="AI55" s="147" t="str">
        <f>IF(A55="","",posicao_contratual!G55)</f>
        <v/>
      </c>
      <c r="AJ55" s="147" t="str">
        <f>IF(A55="","",posicao_contratual!K55)</f>
        <v/>
      </c>
      <c r="AK55" s="147" t="str">
        <f>IF(A55="","",posicao_contratual!O55)</f>
        <v/>
      </c>
      <c r="AL55" s="147" t="str">
        <f>IF(A55="","",posicao_contratual!S55)</f>
        <v/>
      </c>
      <c r="AM55" s="147" t="str">
        <f>IF(A55="","",posicao_contratual!W55)</f>
        <v/>
      </c>
      <c r="AN55" s="148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1"/>
      <c r="B56" s="82" t="str">
        <f t="shared" si="6"/>
        <v/>
      </c>
      <c r="C56" s="83"/>
      <c r="D56" s="79" t="str">
        <f>IF(AND(A56="",A55&lt;&gt;"",COUNTIF(A57:$A$200,"&lt;&gt;")=0),ROUND(SUMIF($A$2:A55,"&lt;&gt;",$D$2:D55),2),IF(OR(A56="",B56="",C56=""),"",ROUND(B56*C56,2)))</f>
        <v/>
      </c>
      <c r="E56" s="84"/>
      <c r="F56" s="79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4"/>
      <c r="H56" s="79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4"/>
      <c r="J56" s="79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4"/>
      <c r="L56" s="79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5" t="str">
        <f>IF(OR(posicao_contratual!J56="",posicao_contratual!N56=""),"",ROUND(MAX(posicao_contratual!J56+posicao_contratual!H56-posicao_contratual!N56,0),2))</f>
        <v/>
      </c>
      <c r="N56" s="79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5" t="str">
        <f>IF(OR(posicao_contratual!N56="",posicao_contratual!R56=""),"",ROUND(MAX(posicao_contratual!N56+posicao_contratual!L56-posicao_contratual!R56,0),2))</f>
        <v/>
      </c>
      <c r="P56" s="79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5" t="str">
        <f>IF(OR(posicao_contratual!R56="",posicao_contratual!V56=""),"",ROUND(MAX(posicao_contratual!R56+posicao_contratual!P56-posicao_contratual!V56,0),2))</f>
        <v/>
      </c>
      <c r="R56" s="79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86" t="str">
        <f>IF(AND(A56="",A55&lt;&gt;"",COUNTIF(A57:$A$200,"&lt;&gt;")=0),"TOTAL",IF(A56="","",posicao_contratual!X56))</f>
        <v/>
      </c>
      <c r="V56" s="86" t="str">
        <f>IF(A56="","",posicao_contratual!X56)</f>
        <v/>
      </c>
      <c r="W56" s="14"/>
      <c r="X56" s="14"/>
      <c r="Y56" s="14"/>
      <c r="Z56" s="13"/>
      <c r="AA56" s="13"/>
      <c r="AB56" s="85" t="str">
        <f>IF(OR(A56="",posicao_contratual!E56="",posicao_contratual!J56=""),"",ROUND(MAX(posicao_contratual!E56-posicao_contratual!J56,0),2))</f>
        <v/>
      </c>
      <c r="AC56" s="79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47" t="str">
        <f>IF(A56="","",posicao_contratual!E56)</f>
        <v/>
      </c>
      <c r="AE56" s="147" t="str">
        <f>IF(A56="","",posicao_contratual!I56)</f>
        <v/>
      </c>
      <c r="AF56" s="147" t="str">
        <f>IF(A56="","",posicao_contratual!M56)</f>
        <v/>
      </c>
      <c r="AG56" s="147" t="str">
        <f>IF(A56="","",posicao_contratual!Q56)</f>
        <v/>
      </c>
      <c r="AH56" s="147" t="str">
        <f>IF(A56="","",posicao_contratual!U56)</f>
        <v/>
      </c>
      <c r="AI56" s="147" t="str">
        <f>IF(A56="","",posicao_contratual!G56)</f>
        <v/>
      </c>
      <c r="AJ56" s="147" t="str">
        <f>IF(A56="","",posicao_contratual!K56)</f>
        <v/>
      </c>
      <c r="AK56" s="147" t="str">
        <f>IF(A56="","",posicao_contratual!O56)</f>
        <v/>
      </c>
      <c r="AL56" s="147" t="str">
        <f>IF(A56="","",posicao_contratual!S56)</f>
        <v/>
      </c>
      <c r="AM56" s="147" t="str">
        <f>IF(A56="","",posicao_contratual!W56)</f>
        <v/>
      </c>
      <c r="AN56" s="148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1"/>
      <c r="B57" s="82" t="str">
        <f t="shared" si="6"/>
        <v/>
      </c>
      <c r="C57" s="83"/>
      <c r="D57" s="79" t="str">
        <f>IF(AND(A57="",A56&lt;&gt;"",COUNTIF(A58:$A$200,"&lt;&gt;")=0),ROUND(SUMIF($A$2:A56,"&lt;&gt;",$D$2:D56),2),IF(OR(A57="",B57="",C57=""),"",ROUND(B57*C57,2)))</f>
        <v/>
      </c>
      <c r="E57" s="84"/>
      <c r="F57" s="79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4"/>
      <c r="H57" s="79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4"/>
      <c r="J57" s="79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4"/>
      <c r="L57" s="79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5" t="str">
        <f>IF(OR(posicao_contratual!J57="",posicao_contratual!N57=""),"",ROUND(MAX(posicao_contratual!J57+posicao_contratual!H57-posicao_contratual!N57,0),2))</f>
        <v/>
      </c>
      <c r="N57" s="79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5" t="str">
        <f>IF(OR(posicao_contratual!N57="",posicao_contratual!R57=""),"",ROUND(MAX(posicao_contratual!N57+posicao_contratual!L57-posicao_contratual!R57,0),2))</f>
        <v/>
      </c>
      <c r="P57" s="79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5" t="str">
        <f>IF(OR(posicao_contratual!R57="",posicao_contratual!V57=""),"",ROUND(MAX(posicao_contratual!R57+posicao_contratual!P57-posicao_contratual!V57,0),2))</f>
        <v/>
      </c>
      <c r="R57" s="79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86" t="str">
        <f>IF(AND(A57="",A56&lt;&gt;"",COUNTIF(A58:$A$200,"&lt;&gt;")=0),"TOTAL",IF(A57="","",posicao_contratual!X57))</f>
        <v/>
      </c>
      <c r="V57" s="86" t="str">
        <f>IF(A57="","",posicao_contratual!X57)</f>
        <v/>
      </c>
      <c r="W57" s="14"/>
      <c r="X57" s="14"/>
      <c r="Y57" s="14"/>
      <c r="Z57" s="13"/>
      <c r="AA57" s="13"/>
      <c r="AB57" s="85" t="str">
        <f>IF(OR(A57="",posicao_contratual!E57="",posicao_contratual!J57=""),"",ROUND(MAX(posicao_contratual!E57-posicao_contratual!J57,0),2))</f>
        <v/>
      </c>
      <c r="AC57" s="79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47" t="str">
        <f>IF(A57="","",posicao_contratual!E57)</f>
        <v/>
      </c>
      <c r="AE57" s="147" t="str">
        <f>IF(A57="","",posicao_contratual!I57)</f>
        <v/>
      </c>
      <c r="AF57" s="147" t="str">
        <f>IF(A57="","",posicao_contratual!M57)</f>
        <v/>
      </c>
      <c r="AG57" s="147" t="str">
        <f>IF(A57="","",posicao_contratual!Q57)</f>
        <v/>
      </c>
      <c r="AH57" s="147" t="str">
        <f>IF(A57="","",posicao_contratual!U57)</f>
        <v/>
      </c>
      <c r="AI57" s="147" t="str">
        <f>IF(A57="","",posicao_contratual!G57)</f>
        <v/>
      </c>
      <c r="AJ57" s="147" t="str">
        <f>IF(A57="","",posicao_contratual!K57)</f>
        <v/>
      </c>
      <c r="AK57" s="147" t="str">
        <f>IF(A57="","",posicao_contratual!O57)</f>
        <v/>
      </c>
      <c r="AL57" s="147" t="str">
        <f>IF(A57="","",posicao_contratual!S57)</f>
        <v/>
      </c>
      <c r="AM57" s="147" t="str">
        <f>IF(A57="","",posicao_contratual!W57)</f>
        <v/>
      </c>
      <c r="AN57" s="148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1"/>
      <c r="B58" s="82" t="str">
        <f t="shared" si="6"/>
        <v/>
      </c>
      <c r="C58" s="83"/>
      <c r="D58" s="79" t="str">
        <f>IF(AND(A58="",A57&lt;&gt;"",COUNTIF(A59:$A$200,"&lt;&gt;")=0),ROUND(SUMIF($A$2:A57,"&lt;&gt;",$D$2:D57),2),IF(OR(A58="",B58="",C58=""),"",ROUND(B58*C58,2)))</f>
        <v/>
      </c>
      <c r="E58" s="84"/>
      <c r="F58" s="79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4"/>
      <c r="H58" s="79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4"/>
      <c r="J58" s="79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4"/>
      <c r="L58" s="79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5" t="str">
        <f>IF(OR(posicao_contratual!J58="",posicao_contratual!N58=""),"",ROUND(MAX(posicao_contratual!J58+posicao_contratual!H58-posicao_contratual!N58,0),2))</f>
        <v/>
      </c>
      <c r="N58" s="79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5" t="str">
        <f>IF(OR(posicao_contratual!N58="",posicao_contratual!R58=""),"",ROUND(MAX(posicao_contratual!N58+posicao_contratual!L58-posicao_contratual!R58,0),2))</f>
        <v/>
      </c>
      <c r="P58" s="79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5" t="str">
        <f>IF(OR(posicao_contratual!R58="",posicao_contratual!V58=""),"",ROUND(MAX(posicao_contratual!R58+posicao_contratual!P58-posicao_contratual!V58,0),2))</f>
        <v/>
      </c>
      <c r="R58" s="79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86" t="str">
        <f>IF(AND(A58="",A57&lt;&gt;"",COUNTIF(A59:$A$200,"&lt;&gt;")=0),"TOTAL",IF(A58="","",posicao_contratual!X58))</f>
        <v/>
      </c>
      <c r="V58" s="86" t="str">
        <f>IF(A58="","",posicao_contratual!X58)</f>
        <v/>
      </c>
      <c r="W58" s="14"/>
      <c r="X58" s="14"/>
      <c r="Y58" s="14"/>
      <c r="Z58" s="13"/>
      <c r="AA58" s="13"/>
      <c r="AB58" s="85" t="str">
        <f>IF(OR(A58="",posicao_contratual!E58="",posicao_contratual!J58=""),"",ROUND(MAX(posicao_contratual!E58-posicao_contratual!J58,0),2))</f>
        <v/>
      </c>
      <c r="AC58" s="79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47" t="str">
        <f>IF(A58="","",posicao_contratual!E58)</f>
        <v/>
      </c>
      <c r="AE58" s="147" t="str">
        <f>IF(A58="","",posicao_contratual!I58)</f>
        <v/>
      </c>
      <c r="AF58" s="147" t="str">
        <f>IF(A58="","",posicao_contratual!M58)</f>
        <v/>
      </c>
      <c r="AG58" s="147" t="str">
        <f>IF(A58="","",posicao_contratual!Q58)</f>
        <v/>
      </c>
      <c r="AH58" s="147" t="str">
        <f>IF(A58="","",posicao_contratual!U58)</f>
        <v/>
      </c>
      <c r="AI58" s="147" t="str">
        <f>IF(A58="","",posicao_contratual!G58)</f>
        <v/>
      </c>
      <c r="AJ58" s="147" t="str">
        <f>IF(A58="","",posicao_contratual!K58)</f>
        <v/>
      </c>
      <c r="AK58" s="147" t="str">
        <f>IF(A58="","",posicao_contratual!O58)</f>
        <v/>
      </c>
      <c r="AL58" s="147" t="str">
        <f>IF(A58="","",posicao_contratual!S58)</f>
        <v/>
      </c>
      <c r="AM58" s="147" t="str">
        <f>IF(A58="","",posicao_contratual!W58)</f>
        <v/>
      </c>
      <c r="AN58" s="148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1"/>
      <c r="B59" s="82" t="str">
        <f t="shared" si="6"/>
        <v/>
      </c>
      <c r="C59" s="83"/>
      <c r="D59" s="79" t="str">
        <f>IF(AND(A59="",A58&lt;&gt;"",COUNTIF(A60:$A$200,"&lt;&gt;")=0),ROUND(SUMIF($A$2:A58,"&lt;&gt;",$D$2:D58),2),IF(OR(A59="",B59="",C59=""),"",ROUND(B59*C59,2)))</f>
        <v/>
      </c>
      <c r="E59" s="84"/>
      <c r="F59" s="79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4"/>
      <c r="H59" s="79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4"/>
      <c r="J59" s="79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4"/>
      <c r="L59" s="79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5" t="str">
        <f>IF(OR(posicao_contratual!J59="",posicao_contratual!N59=""),"",ROUND(MAX(posicao_contratual!J59+posicao_contratual!H59-posicao_contratual!N59,0),2))</f>
        <v/>
      </c>
      <c r="N59" s="79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5" t="str">
        <f>IF(OR(posicao_contratual!N59="",posicao_contratual!R59=""),"",ROUND(MAX(posicao_contratual!N59+posicao_contratual!L59-posicao_contratual!R59,0),2))</f>
        <v/>
      </c>
      <c r="P59" s="79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5" t="str">
        <f>IF(OR(posicao_contratual!R59="",posicao_contratual!V59=""),"",ROUND(MAX(posicao_contratual!R59+posicao_contratual!P59-posicao_contratual!V59,0),2))</f>
        <v/>
      </c>
      <c r="R59" s="79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86" t="str">
        <f>IF(AND(A59="",A58&lt;&gt;"",COUNTIF(A60:$A$200,"&lt;&gt;")=0),"TOTAL",IF(A59="","",posicao_contratual!X59))</f>
        <v/>
      </c>
      <c r="V59" s="86" t="str">
        <f>IF(A59="","",posicao_contratual!X59)</f>
        <v/>
      </c>
      <c r="W59" s="14"/>
      <c r="X59" s="14"/>
      <c r="Y59" s="14"/>
      <c r="Z59" s="13"/>
      <c r="AA59" s="13"/>
      <c r="AB59" s="85" t="str">
        <f>IF(OR(A59="",posicao_contratual!E59="",posicao_contratual!J59=""),"",ROUND(MAX(posicao_contratual!E59-posicao_contratual!J59,0),2))</f>
        <v/>
      </c>
      <c r="AC59" s="79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47" t="str">
        <f>IF(A59="","",posicao_contratual!E59)</f>
        <v/>
      </c>
      <c r="AE59" s="147" t="str">
        <f>IF(A59="","",posicao_contratual!I59)</f>
        <v/>
      </c>
      <c r="AF59" s="147" t="str">
        <f>IF(A59="","",posicao_contratual!M59)</f>
        <v/>
      </c>
      <c r="AG59" s="147" t="str">
        <f>IF(A59="","",posicao_contratual!Q59)</f>
        <v/>
      </c>
      <c r="AH59" s="147" t="str">
        <f>IF(A59="","",posicao_contratual!U59)</f>
        <v/>
      </c>
      <c r="AI59" s="147" t="str">
        <f>IF(A59="","",posicao_contratual!G59)</f>
        <v/>
      </c>
      <c r="AJ59" s="147" t="str">
        <f>IF(A59="","",posicao_contratual!K59)</f>
        <v/>
      </c>
      <c r="AK59" s="147" t="str">
        <f>IF(A59="","",posicao_contratual!O59)</f>
        <v/>
      </c>
      <c r="AL59" s="147" t="str">
        <f>IF(A59="","",posicao_contratual!S59)</f>
        <v/>
      </c>
      <c r="AM59" s="147" t="str">
        <f>IF(A59="","",posicao_contratual!W59)</f>
        <v/>
      </c>
      <c r="AN59" s="148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1"/>
      <c r="B60" s="82" t="str">
        <f t="shared" si="6"/>
        <v/>
      </c>
      <c r="C60" s="83"/>
      <c r="D60" s="79" t="str">
        <f>IF(AND(A60="",A59&lt;&gt;"",COUNTIF(A61:$A$200,"&lt;&gt;")=0),ROUND(SUMIF($A$2:A59,"&lt;&gt;",$D$2:D59),2),IF(OR(A60="",B60="",C60=""),"",ROUND(B60*C60,2)))</f>
        <v/>
      </c>
      <c r="E60" s="84"/>
      <c r="F60" s="79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4"/>
      <c r="H60" s="79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4"/>
      <c r="J60" s="79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4"/>
      <c r="L60" s="79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5" t="str">
        <f>IF(OR(posicao_contratual!J60="",posicao_contratual!N60=""),"",ROUND(MAX(posicao_contratual!J60+posicao_contratual!H60-posicao_contratual!N60,0),2))</f>
        <v/>
      </c>
      <c r="N60" s="79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5" t="str">
        <f>IF(OR(posicao_contratual!N60="",posicao_contratual!R60=""),"",ROUND(MAX(posicao_contratual!N60+posicao_contratual!L60-posicao_contratual!R60,0),2))</f>
        <v/>
      </c>
      <c r="P60" s="79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5" t="str">
        <f>IF(OR(posicao_contratual!R60="",posicao_contratual!V60=""),"",ROUND(MAX(posicao_contratual!R60+posicao_contratual!P60-posicao_contratual!V60,0),2))</f>
        <v/>
      </c>
      <c r="R60" s="79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86" t="str">
        <f>IF(AND(A60="",A59&lt;&gt;"",COUNTIF(A61:$A$200,"&lt;&gt;")=0),"TOTAL",IF(A60="","",posicao_contratual!X60))</f>
        <v/>
      </c>
      <c r="V60" s="86" t="str">
        <f>IF(A60="","",posicao_contratual!X60)</f>
        <v/>
      </c>
      <c r="W60" s="14"/>
      <c r="X60" s="14"/>
      <c r="Y60" s="14"/>
      <c r="Z60" s="13"/>
      <c r="AA60" s="13"/>
      <c r="AB60" s="85" t="str">
        <f>IF(OR(A60="",posicao_contratual!E60="",posicao_contratual!J60=""),"",ROUND(MAX(posicao_contratual!E60-posicao_contratual!J60,0),2))</f>
        <v/>
      </c>
      <c r="AC60" s="79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47" t="str">
        <f>IF(A60="","",posicao_contratual!E60)</f>
        <v/>
      </c>
      <c r="AE60" s="147" t="str">
        <f>IF(A60="","",posicao_contratual!I60)</f>
        <v/>
      </c>
      <c r="AF60" s="147" t="str">
        <f>IF(A60="","",posicao_contratual!M60)</f>
        <v/>
      </c>
      <c r="AG60" s="147" t="str">
        <f>IF(A60="","",posicao_contratual!Q60)</f>
        <v/>
      </c>
      <c r="AH60" s="147" t="str">
        <f>IF(A60="","",posicao_contratual!U60)</f>
        <v/>
      </c>
      <c r="AI60" s="147" t="str">
        <f>IF(A60="","",posicao_contratual!G60)</f>
        <v/>
      </c>
      <c r="AJ60" s="147" t="str">
        <f>IF(A60="","",posicao_contratual!K60)</f>
        <v/>
      </c>
      <c r="AK60" s="147" t="str">
        <f>IF(A60="","",posicao_contratual!O60)</f>
        <v/>
      </c>
      <c r="AL60" s="147" t="str">
        <f>IF(A60="","",posicao_contratual!S60)</f>
        <v/>
      </c>
      <c r="AM60" s="147" t="str">
        <f>IF(A60="","",posicao_contratual!W60)</f>
        <v/>
      </c>
      <c r="AN60" s="148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1"/>
      <c r="B61" s="82" t="str">
        <f t="shared" si="6"/>
        <v/>
      </c>
      <c r="C61" s="83"/>
      <c r="D61" s="79" t="str">
        <f>IF(AND(A61="",A60&lt;&gt;"",COUNTIF(A62:$A$200,"&lt;&gt;")=0),ROUND(SUMIF($A$2:A60,"&lt;&gt;",$D$2:D60),2),IF(OR(A61="",B61="",C61=""),"",ROUND(B61*C61,2)))</f>
        <v/>
      </c>
      <c r="E61" s="84"/>
      <c r="F61" s="79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4"/>
      <c r="H61" s="79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4"/>
      <c r="J61" s="79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4"/>
      <c r="L61" s="79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5" t="str">
        <f>IF(OR(posicao_contratual!J61="",posicao_contratual!N61=""),"",ROUND(MAX(posicao_contratual!J61+posicao_contratual!H61-posicao_contratual!N61,0),2))</f>
        <v/>
      </c>
      <c r="N61" s="79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5" t="str">
        <f>IF(OR(posicao_contratual!N61="",posicao_contratual!R61=""),"",ROUND(MAX(posicao_contratual!N61+posicao_contratual!L61-posicao_contratual!R61,0),2))</f>
        <v/>
      </c>
      <c r="P61" s="79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5" t="str">
        <f>IF(OR(posicao_contratual!R61="",posicao_contratual!V61=""),"",ROUND(MAX(posicao_contratual!R61+posicao_contratual!P61-posicao_contratual!V61,0),2))</f>
        <v/>
      </c>
      <c r="R61" s="79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86" t="str">
        <f>IF(AND(A61="",A60&lt;&gt;"",COUNTIF(A62:$A$200,"&lt;&gt;")=0),"TOTAL",IF(A61="","",posicao_contratual!X61))</f>
        <v/>
      </c>
      <c r="V61" s="86" t="str">
        <f>IF(A61="","",posicao_contratual!X61)</f>
        <v/>
      </c>
      <c r="W61" s="14"/>
      <c r="X61" s="14"/>
      <c r="Y61" s="14"/>
      <c r="Z61" s="13"/>
      <c r="AA61" s="13"/>
      <c r="AB61" s="85" t="str">
        <f>IF(OR(A61="",posicao_contratual!E61="",posicao_contratual!J61=""),"",ROUND(MAX(posicao_contratual!E61-posicao_contratual!J61,0),2))</f>
        <v/>
      </c>
      <c r="AC61" s="79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47" t="str">
        <f>IF(A61="","",posicao_contratual!E61)</f>
        <v/>
      </c>
      <c r="AE61" s="147" t="str">
        <f>IF(A61="","",posicao_contratual!I61)</f>
        <v/>
      </c>
      <c r="AF61" s="147" t="str">
        <f>IF(A61="","",posicao_contratual!M61)</f>
        <v/>
      </c>
      <c r="AG61" s="147" t="str">
        <f>IF(A61="","",posicao_contratual!Q61)</f>
        <v/>
      </c>
      <c r="AH61" s="147" t="str">
        <f>IF(A61="","",posicao_contratual!U61)</f>
        <v/>
      </c>
      <c r="AI61" s="147" t="str">
        <f>IF(A61="","",posicao_contratual!G61)</f>
        <v/>
      </c>
      <c r="AJ61" s="147" t="str">
        <f>IF(A61="","",posicao_contratual!K61)</f>
        <v/>
      </c>
      <c r="AK61" s="147" t="str">
        <f>IF(A61="","",posicao_contratual!O61)</f>
        <v/>
      </c>
      <c r="AL61" s="147" t="str">
        <f>IF(A61="","",posicao_contratual!S61)</f>
        <v/>
      </c>
      <c r="AM61" s="147" t="str">
        <f>IF(A61="","",posicao_contratual!W61)</f>
        <v/>
      </c>
      <c r="AN61" s="148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1"/>
      <c r="B62" s="82" t="str">
        <f t="shared" si="6"/>
        <v/>
      </c>
      <c r="C62" s="83"/>
      <c r="D62" s="79" t="str">
        <f>IF(AND(A62="",A61&lt;&gt;"",COUNTIF(A63:$A$200,"&lt;&gt;")=0),ROUND(SUMIF($A$2:A61,"&lt;&gt;",$D$2:D61),2),IF(OR(A62="",B62="",C62=""),"",ROUND(B62*C62,2)))</f>
        <v/>
      </c>
      <c r="E62" s="84"/>
      <c r="F62" s="79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4"/>
      <c r="H62" s="79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4"/>
      <c r="J62" s="79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4"/>
      <c r="L62" s="79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5" t="str">
        <f>IF(OR(posicao_contratual!J62="",posicao_contratual!N62=""),"",ROUND(MAX(posicao_contratual!J62+posicao_contratual!H62-posicao_contratual!N62,0),2))</f>
        <v/>
      </c>
      <c r="N62" s="79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5" t="str">
        <f>IF(OR(posicao_contratual!N62="",posicao_contratual!R62=""),"",ROUND(MAX(posicao_contratual!N62+posicao_contratual!L62-posicao_contratual!R62,0),2))</f>
        <v/>
      </c>
      <c r="P62" s="79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5" t="str">
        <f>IF(OR(posicao_contratual!R62="",posicao_contratual!V62=""),"",ROUND(MAX(posicao_contratual!R62+posicao_contratual!P62-posicao_contratual!V62,0),2))</f>
        <v/>
      </c>
      <c r="R62" s="79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86" t="str">
        <f>IF(AND(A62="",A61&lt;&gt;"",COUNTIF(A63:$A$200,"&lt;&gt;")=0),"TOTAL",IF(A62="","",posicao_contratual!X62))</f>
        <v/>
      </c>
      <c r="V62" s="86" t="str">
        <f>IF(A62="","",posicao_contratual!X62)</f>
        <v/>
      </c>
      <c r="W62" s="14"/>
      <c r="X62" s="14"/>
      <c r="Y62" s="14"/>
      <c r="Z62" s="13"/>
      <c r="AA62" s="13"/>
      <c r="AB62" s="85" t="str">
        <f>IF(OR(A62="",posicao_contratual!E62="",posicao_contratual!J62=""),"",ROUND(MAX(posicao_contratual!E62-posicao_contratual!J62,0),2))</f>
        <v/>
      </c>
      <c r="AC62" s="79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47" t="str">
        <f>IF(A62="","",posicao_contratual!E62)</f>
        <v/>
      </c>
      <c r="AE62" s="147" t="str">
        <f>IF(A62="","",posicao_contratual!I62)</f>
        <v/>
      </c>
      <c r="AF62" s="147" t="str">
        <f>IF(A62="","",posicao_contratual!M62)</f>
        <v/>
      </c>
      <c r="AG62" s="147" t="str">
        <f>IF(A62="","",posicao_contratual!Q62)</f>
        <v/>
      </c>
      <c r="AH62" s="147" t="str">
        <f>IF(A62="","",posicao_contratual!U62)</f>
        <v/>
      </c>
      <c r="AI62" s="147" t="str">
        <f>IF(A62="","",posicao_contratual!G62)</f>
        <v/>
      </c>
      <c r="AJ62" s="147" t="str">
        <f>IF(A62="","",posicao_contratual!K62)</f>
        <v/>
      </c>
      <c r="AK62" s="147" t="str">
        <f>IF(A62="","",posicao_contratual!O62)</f>
        <v/>
      </c>
      <c r="AL62" s="147" t="str">
        <f>IF(A62="","",posicao_contratual!S62)</f>
        <v/>
      </c>
      <c r="AM62" s="147" t="str">
        <f>IF(A62="","",posicao_contratual!W62)</f>
        <v/>
      </c>
      <c r="AN62" s="148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1"/>
      <c r="B63" s="82" t="str">
        <f t="shared" si="6"/>
        <v/>
      </c>
      <c r="C63" s="83"/>
      <c r="D63" s="79" t="str">
        <f>IF(AND(A63="",A62&lt;&gt;"",COUNTIF(A64:$A$200,"&lt;&gt;")=0),ROUND(SUMIF($A$2:A62,"&lt;&gt;",$D$2:D62),2),IF(OR(A63="",B63="",C63=""),"",ROUND(B63*C63,2)))</f>
        <v/>
      </c>
      <c r="E63" s="84"/>
      <c r="F63" s="79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4"/>
      <c r="H63" s="79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4"/>
      <c r="J63" s="79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4"/>
      <c r="L63" s="79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5" t="str">
        <f>IF(OR(posicao_contratual!J63="",posicao_contratual!N63=""),"",ROUND(MAX(posicao_contratual!J63+posicao_contratual!H63-posicao_contratual!N63,0),2))</f>
        <v/>
      </c>
      <c r="N63" s="79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5" t="str">
        <f>IF(OR(posicao_contratual!N63="",posicao_contratual!R63=""),"",ROUND(MAX(posicao_contratual!N63+posicao_contratual!L63-posicao_contratual!R63,0),2))</f>
        <v/>
      </c>
      <c r="P63" s="79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5" t="str">
        <f>IF(OR(posicao_contratual!R63="",posicao_contratual!V63=""),"",ROUND(MAX(posicao_contratual!R63+posicao_contratual!P63-posicao_contratual!V63,0),2))</f>
        <v/>
      </c>
      <c r="R63" s="79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86" t="str">
        <f>IF(AND(A63="",A62&lt;&gt;"",COUNTIF(A64:$A$200,"&lt;&gt;")=0),"TOTAL",IF(A63="","",posicao_contratual!X63))</f>
        <v/>
      </c>
      <c r="V63" s="86" t="str">
        <f>IF(A63="","",posicao_contratual!X63)</f>
        <v/>
      </c>
      <c r="W63" s="14"/>
      <c r="X63" s="14"/>
      <c r="Y63" s="14"/>
      <c r="Z63" s="13"/>
      <c r="AA63" s="13"/>
      <c r="AB63" s="85" t="str">
        <f>IF(OR(A63="",posicao_contratual!E63="",posicao_contratual!J63=""),"",ROUND(MAX(posicao_contratual!E63-posicao_contratual!J63,0),2))</f>
        <v/>
      </c>
      <c r="AC63" s="79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47" t="str">
        <f>IF(A63="","",posicao_contratual!E63)</f>
        <v/>
      </c>
      <c r="AE63" s="147" t="str">
        <f>IF(A63="","",posicao_contratual!I63)</f>
        <v/>
      </c>
      <c r="AF63" s="147" t="str">
        <f>IF(A63="","",posicao_contratual!M63)</f>
        <v/>
      </c>
      <c r="AG63" s="147" t="str">
        <f>IF(A63="","",posicao_contratual!Q63)</f>
        <v/>
      </c>
      <c r="AH63" s="147" t="str">
        <f>IF(A63="","",posicao_contratual!U63)</f>
        <v/>
      </c>
      <c r="AI63" s="147" t="str">
        <f>IF(A63="","",posicao_contratual!G63)</f>
        <v/>
      </c>
      <c r="AJ63" s="147" t="str">
        <f>IF(A63="","",posicao_contratual!K63)</f>
        <v/>
      </c>
      <c r="AK63" s="147" t="str">
        <f>IF(A63="","",posicao_contratual!O63)</f>
        <v/>
      </c>
      <c r="AL63" s="147" t="str">
        <f>IF(A63="","",posicao_contratual!S63)</f>
        <v/>
      </c>
      <c r="AM63" s="147" t="str">
        <f>IF(A63="","",posicao_contratual!W63)</f>
        <v/>
      </c>
      <c r="AN63" s="148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1"/>
      <c r="B64" s="82" t="str">
        <f t="shared" si="6"/>
        <v/>
      </c>
      <c r="C64" s="83"/>
      <c r="D64" s="79" t="str">
        <f>IF(AND(A64="",A63&lt;&gt;"",COUNTIF(A65:$A$200,"&lt;&gt;")=0),ROUND(SUMIF($A$2:A63,"&lt;&gt;",$D$2:D63),2),IF(OR(A64="",B64="",C64=""),"",ROUND(B64*C64,2)))</f>
        <v/>
      </c>
      <c r="E64" s="84"/>
      <c r="F64" s="79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4"/>
      <c r="H64" s="79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4"/>
      <c r="J64" s="79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4"/>
      <c r="L64" s="79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5" t="str">
        <f>IF(OR(posicao_contratual!J64="",posicao_contratual!N64=""),"",ROUND(MAX(posicao_contratual!J64+posicao_contratual!H64-posicao_contratual!N64,0),2))</f>
        <v/>
      </c>
      <c r="N64" s="79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5" t="str">
        <f>IF(OR(posicao_contratual!N64="",posicao_contratual!R64=""),"",ROUND(MAX(posicao_contratual!N64+posicao_contratual!L64-posicao_contratual!R64,0),2))</f>
        <v/>
      </c>
      <c r="P64" s="79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5" t="str">
        <f>IF(OR(posicao_contratual!R64="",posicao_contratual!V64=""),"",ROUND(MAX(posicao_contratual!R64+posicao_contratual!P64-posicao_contratual!V64,0),2))</f>
        <v/>
      </c>
      <c r="R64" s="79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86" t="str">
        <f>IF(AND(A64="",A63&lt;&gt;"",COUNTIF(A65:$A$200,"&lt;&gt;")=0),"TOTAL",IF(A64="","",posicao_contratual!X64))</f>
        <v/>
      </c>
      <c r="V64" s="86" t="str">
        <f>IF(A64="","",posicao_contratual!X64)</f>
        <v/>
      </c>
      <c r="W64" s="14"/>
      <c r="X64" s="14"/>
      <c r="Y64" s="14"/>
      <c r="Z64" s="13"/>
      <c r="AA64" s="13"/>
      <c r="AB64" s="85" t="str">
        <f>IF(OR(A64="",posicao_contratual!E64="",posicao_contratual!J64=""),"",ROUND(MAX(posicao_contratual!E64-posicao_contratual!J64,0),2))</f>
        <v/>
      </c>
      <c r="AC64" s="79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47" t="str">
        <f>IF(A64="","",posicao_contratual!E64)</f>
        <v/>
      </c>
      <c r="AE64" s="147" t="str">
        <f>IF(A64="","",posicao_contratual!I64)</f>
        <v/>
      </c>
      <c r="AF64" s="147" t="str">
        <f>IF(A64="","",posicao_contratual!M64)</f>
        <v/>
      </c>
      <c r="AG64" s="147" t="str">
        <f>IF(A64="","",posicao_contratual!Q64)</f>
        <v/>
      </c>
      <c r="AH64" s="147" t="str">
        <f>IF(A64="","",posicao_contratual!U64)</f>
        <v/>
      </c>
      <c r="AI64" s="147" t="str">
        <f>IF(A64="","",posicao_contratual!G64)</f>
        <v/>
      </c>
      <c r="AJ64" s="147" t="str">
        <f>IF(A64="","",posicao_contratual!K64)</f>
        <v/>
      </c>
      <c r="AK64" s="147" t="str">
        <f>IF(A64="","",posicao_contratual!O64)</f>
        <v/>
      </c>
      <c r="AL64" s="147" t="str">
        <f>IF(A64="","",posicao_contratual!S64)</f>
        <v/>
      </c>
      <c r="AM64" s="147" t="str">
        <f>IF(A64="","",posicao_contratual!W64)</f>
        <v/>
      </c>
      <c r="AN64" s="148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1"/>
      <c r="B65" s="82" t="str">
        <f t="shared" si="6"/>
        <v/>
      </c>
      <c r="C65" s="83"/>
      <c r="D65" s="79" t="str">
        <f>IF(AND(A65="",A64&lt;&gt;"",COUNTIF(A66:$A$200,"&lt;&gt;")=0),ROUND(SUMIF($A$2:A64,"&lt;&gt;",$D$2:D64),2),IF(OR(A65="",B65="",C65=""),"",ROUND(B65*C65,2)))</f>
        <v/>
      </c>
      <c r="E65" s="84"/>
      <c r="F65" s="79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4"/>
      <c r="H65" s="79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4"/>
      <c r="J65" s="79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4"/>
      <c r="L65" s="79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5" t="str">
        <f>IF(OR(posicao_contratual!J65="",posicao_contratual!N65=""),"",ROUND(MAX(posicao_contratual!J65+posicao_contratual!H65-posicao_contratual!N65,0),2))</f>
        <v/>
      </c>
      <c r="N65" s="79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5" t="str">
        <f>IF(OR(posicao_contratual!N65="",posicao_contratual!R65=""),"",ROUND(MAX(posicao_contratual!N65+posicao_contratual!L65-posicao_contratual!R65,0),2))</f>
        <v/>
      </c>
      <c r="P65" s="79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5" t="str">
        <f>IF(OR(posicao_contratual!R65="",posicao_contratual!V65=""),"",ROUND(MAX(posicao_contratual!R65+posicao_contratual!P65-posicao_contratual!V65,0),2))</f>
        <v/>
      </c>
      <c r="R65" s="79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86" t="str">
        <f>IF(AND(A65="",A64&lt;&gt;"",COUNTIF(A66:$A$200,"&lt;&gt;")=0),"TOTAL",IF(A65="","",posicao_contratual!X65))</f>
        <v/>
      </c>
      <c r="V65" s="86" t="str">
        <f>IF(A65="","",posicao_contratual!X65)</f>
        <v/>
      </c>
      <c r="W65" s="14"/>
      <c r="X65" s="14"/>
      <c r="Y65" s="14"/>
      <c r="Z65" s="13"/>
      <c r="AA65" s="13"/>
      <c r="AB65" s="85" t="str">
        <f>IF(OR(A65="",posicao_contratual!E65="",posicao_contratual!J65=""),"",ROUND(MAX(posicao_contratual!E65-posicao_contratual!J65,0),2))</f>
        <v/>
      </c>
      <c r="AC65" s="79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47" t="str">
        <f>IF(A65="","",posicao_contratual!E65)</f>
        <v/>
      </c>
      <c r="AE65" s="147" t="str">
        <f>IF(A65="","",posicao_contratual!I65)</f>
        <v/>
      </c>
      <c r="AF65" s="147" t="str">
        <f>IF(A65="","",posicao_contratual!M65)</f>
        <v/>
      </c>
      <c r="AG65" s="147" t="str">
        <f>IF(A65="","",posicao_contratual!Q65)</f>
        <v/>
      </c>
      <c r="AH65" s="147" t="str">
        <f>IF(A65="","",posicao_contratual!U65)</f>
        <v/>
      </c>
      <c r="AI65" s="147" t="str">
        <f>IF(A65="","",posicao_contratual!G65)</f>
        <v/>
      </c>
      <c r="AJ65" s="147" t="str">
        <f>IF(A65="","",posicao_contratual!K65)</f>
        <v/>
      </c>
      <c r="AK65" s="147" t="str">
        <f>IF(A65="","",posicao_contratual!O65)</f>
        <v/>
      </c>
      <c r="AL65" s="147" t="str">
        <f>IF(A65="","",posicao_contratual!S65)</f>
        <v/>
      </c>
      <c r="AM65" s="147" t="str">
        <f>IF(A65="","",posicao_contratual!W65)</f>
        <v/>
      </c>
      <c r="AN65" s="148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1"/>
      <c r="B66" s="82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3"/>
      <c r="D66" s="79" t="str">
        <f>IF(AND(A66="",A65&lt;&gt;"",COUNTIF(A67:$A$200,"&lt;&gt;")=0),ROUND(SUMIF($A$2:A65,"&lt;&gt;",$D$2:D65),2),IF(OR(A66="",B66="",C66=""),"",ROUND(B66*C66,2)))</f>
        <v/>
      </c>
      <c r="E66" s="84"/>
      <c r="F66" s="79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4"/>
      <c r="H66" s="79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4"/>
      <c r="J66" s="79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4"/>
      <c r="L66" s="79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5" t="str">
        <f>IF(OR(posicao_contratual!J66="",posicao_contratual!N66=""),"",ROUND(MAX(posicao_contratual!J66+posicao_contratual!H66-posicao_contratual!N66,0),2))</f>
        <v/>
      </c>
      <c r="N66" s="79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5" t="str">
        <f>IF(OR(posicao_contratual!N66="",posicao_contratual!R66=""),"",ROUND(MAX(posicao_contratual!N66+posicao_contratual!L66-posicao_contratual!R66,0),2))</f>
        <v/>
      </c>
      <c r="P66" s="79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5" t="str">
        <f>IF(OR(posicao_contratual!R66="",posicao_contratual!V66=""),"",ROUND(MAX(posicao_contratual!R66+posicao_contratual!P66-posicao_contratual!V66,0),2))</f>
        <v/>
      </c>
      <c r="R66" s="79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86" t="str">
        <f>IF(AND(A66="",A65&lt;&gt;"",COUNTIF(A67:$A$200,"&lt;&gt;")=0),"TOTAL",IF(A66="","",posicao_contratual!X66))</f>
        <v/>
      </c>
      <c r="V66" s="86" t="str">
        <f>IF(A66="","",posicao_contratual!X66)</f>
        <v/>
      </c>
      <c r="W66" s="14"/>
      <c r="X66" s="14"/>
      <c r="Y66" s="14"/>
      <c r="Z66" s="13"/>
      <c r="AA66" s="13"/>
      <c r="AB66" s="85" t="str">
        <f>IF(OR(A66="",posicao_contratual!E66="",posicao_contratual!J66=""),"",ROUND(MAX(posicao_contratual!E66-posicao_contratual!J66,0),2))</f>
        <v/>
      </c>
      <c r="AC66" s="79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47" t="str">
        <f>IF(A66="","",posicao_contratual!E66)</f>
        <v/>
      </c>
      <c r="AE66" s="147" t="str">
        <f>IF(A66="","",posicao_contratual!I66)</f>
        <v/>
      </c>
      <c r="AF66" s="147" t="str">
        <f>IF(A66="","",posicao_contratual!M66)</f>
        <v/>
      </c>
      <c r="AG66" s="147" t="str">
        <f>IF(A66="","",posicao_contratual!Q66)</f>
        <v/>
      </c>
      <c r="AH66" s="147" t="str">
        <f>IF(A66="","",posicao_contratual!U66)</f>
        <v/>
      </c>
      <c r="AI66" s="147" t="str">
        <f>IF(A66="","",posicao_contratual!G66)</f>
        <v/>
      </c>
      <c r="AJ66" s="147" t="str">
        <f>IF(A66="","",posicao_contratual!K66)</f>
        <v/>
      </c>
      <c r="AK66" s="147" t="str">
        <f>IF(A66="","",posicao_contratual!O66)</f>
        <v/>
      </c>
      <c r="AL66" s="147" t="str">
        <f>IF(A66="","",posicao_contratual!S66)</f>
        <v/>
      </c>
      <c r="AM66" s="147" t="str">
        <f>IF(A66="","",posicao_contratual!W66)</f>
        <v/>
      </c>
      <c r="AN66" s="148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1"/>
      <c r="B67" s="82" t="str">
        <f t="shared" si="12"/>
        <v/>
      </c>
      <c r="C67" s="83"/>
      <c r="D67" s="79" t="str">
        <f>IF(AND(A67="",A66&lt;&gt;"",COUNTIF(A68:$A$200,"&lt;&gt;")=0),ROUND(SUMIF($A$2:A66,"&lt;&gt;",$D$2:D66),2),IF(OR(A67="",B67="",C67=""),"",ROUND(B67*C67,2)))</f>
        <v/>
      </c>
      <c r="E67" s="84"/>
      <c r="F67" s="79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4"/>
      <c r="H67" s="79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4"/>
      <c r="J67" s="79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4"/>
      <c r="L67" s="79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5" t="str">
        <f>IF(OR(posicao_contratual!J67="",posicao_contratual!N67=""),"",ROUND(MAX(posicao_contratual!J67+posicao_contratual!H67-posicao_contratual!N67,0),2))</f>
        <v/>
      </c>
      <c r="N67" s="79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5" t="str">
        <f>IF(OR(posicao_contratual!N67="",posicao_contratual!R67=""),"",ROUND(MAX(posicao_contratual!N67+posicao_contratual!L67-posicao_contratual!R67,0),2))</f>
        <v/>
      </c>
      <c r="P67" s="79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5" t="str">
        <f>IF(OR(posicao_contratual!R67="",posicao_contratual!V67=""),"",ROUND(MAX(posicao_contratual!R67+posicao_contratual!P67-posicao_contratual!V67,0),2))</f>
        <v/>
      </c>
      <c r="R67" s="79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86" t="str">
        <f>IF(AND(A67="",A66&lt;&gt;"",COUNTIF(A68:$A$200,"&lt;&gt;")=0),"TOTAL",IF(A67="","",posicao_contratual!X67))</f>
        <v/>
      </c>
      <c r="V67" s="86" t="str">
        <f>IF(A67="","",posicao_contratual!X67)</f>
        <v/>
      </c>
      <c r="W67" s="14"/>
      <c r="X67" s="14"/>
      <c r="Y67" s="14"/>
      <c r="Z67" s="13"/>
      <c r="AA67" s="13"/>
      <c r="AB67" s="85" t="str">
        <f>IF(OR(A67="",posicao_contratual!E67="",posicao_contratual!J67=""),"",ROUND(MAX(posicao_contratual!E67-posicao_contratual!J67,0),2))</f>
        <v/>
      </c>
      <c r="AC67" s="79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47" t="str">
        <f>IF(A67="","",posicao_contratual!E67)</f>
        <v/>
      </c>
      <c r="AE67" s="147" t="str">
        <f>IF(A67="","",posicao_contratual!I67)</f>
        <v/>
      </c>
      <c r="AF67" s="147" t="str">
        <f>IF(A67="","",posicao_contratual!M67)</f>
        <v/>
      </c>
      <c r="AG67" s="147" t="str">
        <f>IF(A67="","",posicao_contratual!Q67)</f>
        <v/>
      </c>
      <c r="AH67" s="147" t="str">
        <f>IF(A67="","",posicao_contratual!U67)</f>
        <v/>
      </c>
      <c r="AI67" s="147" t="str">
        <f>IF(A67="","",posicao_contratual!G67)</f>
        <v/>
      </c>
      <c r="AJ67" s="147" t="str">
        <f>IF(A67="","",posicao_contratual!K67)</f>
        <v/>
      </c>
      <c r="AK67" s="147" t="str">
        <f>IF(A67="","",posicao_contratual!O67)</f>
        <v/>
      </c>
      <c r="AL67" s="147" t="str">
        <f>IF(A67="","",posicao_contratual!S67)</f>
        <v/>
      </c>
      <c r="AM67" s="147" t="str">
        <f>IF(A67="","",posicao_contratual!W67)</f>
        <v/>
      </c>
      <c r="AN67" s="148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1"/>
      <c r="B68" s="82" t="str">
        <f t="shared" si="12"/>
        <v/>
      </c>
      <c r="C68" s="83"/>
      <c r="D68" s="79" t="str">
        <f>IF(AND(A68="",A67&lt;&gt;"",COUNTIF(A69:$A$200,"&lt;&gt;")=0),ROUND(SUMIF($A$2:A67,"&lt;&gt;",$D$2:D67),2),IF(OR(A68="",B68="",C68=""),"",ROUND(B68*C68,2)))</f>
        <v/>
      </c>
      <c r="E68" s="84"/>
      <c r="F68" s="79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4"/>
      <c r="H68" s="79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4"/>
      <c r="J68" s="79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4"/>
      <c r="L68" s="79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5" t="str">
        <f>IF(OR(posicao_contratual!J68="",posicao_contratual!N68=""),"",ROUND(MAX(posicao_contratual!J68+posicao_contratual!H68-posicao_contratual!N68,0),2))</f>
        <v/>
      </c>
      <c r="N68" s="79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5" t="str">
        <f>IF(OR(posicao_contratual!N68="",posicao_contratual!R68=""),"",ROUND(MAX(posicao_contratual!N68+posicao_contratual!L68-posicao_contratual!R68,0),2))</f>
        <v/>
      </c>
      <c r="P68" s="79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5" t="str">
        <f>IF(OR(posicao_contratual!R68="",posicao_contratual!V68=""),"",ROUND(MAX(posicao_contratual!R68+posicao_contratual!P68-posicao_contratual!V68,0),2))</f>
        <v/>
      </c>
      <c r="R68" s="79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86" t="str">
        <f>IF(AND(A68="",A67&lt;&gt;"",COUNTIF(A69:$A$200,"&lt;&gt;")=0),"TOTAL",IF(A68="","",posicao_contratual!X68))</f>
        <v/>
      </c>
      <c r="V68" s="86" t="str">
        <f>IF(A68="","",posicao_contratual!X68)</f>
        <v/>
      </c>
      <c r="W68" s="14"/>
      <c r="X68" s="14"/>
      <c r="Y68" s="14"/>
      <c r="Z68" s="13"/>
      <c r="AA68" s="13"/>
      <c r="AB68" s="85" t="str">
        <f>IF(OR(A68="",posicao_contratual!E68="",posicao_contratual!J68=""),"",ROUND(MAX(posicao_contratual!E68-posicao_contratual!J68,0),2))</f>
        <v/>
      </c>
      <c r="AC68" s="79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47" t="str">
        <f>IF(A68="","",posicao_contratual!E68)</f>
        <v/>
      </c>
      <c r="AE68" s="147" t="str">
        <f>IF(A68="","",posicao_contratual!I68)</f>
        <v/>
      </c>
      <c r="AF68" s="147" t="str">
        <f>IF(A68="","",posicao_contratual!M68)</f>
        <v/>
      </c>
      <c r="AG68" s="147" t="str">
        <f>IF(A68="","",posicao_contratual!Q68)</f>
        <v/>
      </c>
      <c r="AH68" s="147" t="str">
        <f>IF(A68="","",posicao_contratual!U68)</f>
        <v/>
      </c>
      <c r="AI68" s="147" t="str">
        <f>IF(A68="","",posicao_contratual!G68)</f>
        <v/>
      </c>
      <c r="AJ68" s="147" t="str">
        <f>IF(A68="","",posicao_contratual!K68)</f>
        <v/>
      </c>
      <c r="AK68" s="147" t="str">
        <f>IF(A68="","",posicao_contratual!O68)</f>
        <v/>
      </c>
      <c r="AL68" s="147" t="str">
        <f>IF(A68="","",posicao_contratual!S68)</f>
        <v/>
      </c>
      <c r="AM68" s="147" t="str">
        <f>IF(A68="","",posicao_contratual!W68)</f>
        <v/>
      </c>
      <c r="AN68" s="148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1"/>
      <c r="B69" s="82" t="str">
        <f t="shared" si="12"/>
        <v/>
      </c>
      <c r="C69" s="83"/>
      <c r="D69" s="79" t="str">
        <f>IF(AND(A69="",A68&lt;&gt;"",COUNTIF(A70:$A$200,"&lt;&gt;")=0),ROUND(SUMIF($A$2:A68,"&lt;&gt;",$D$2:D68),2),IF(OR(A69="",B69="",C69=""),"",ROUND(B69*C69,2)))</f>
        <v/>
      </c>
      <c r="E69" s="84"/>
      <c r="F69" s="79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4"/>
      <c r="H69" s="79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4"/>
      <c r="J69" s="79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4"/>
      <c r="L69" s="79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5" t="str">
        <f>IF(OR(posicao_contratual!J69="",posicao_contratual!N69=""),"",ROUND(MAX(posicao_contratual!J69+posicao_contratual!H69-posicao_contratual!N69,0),2))</f>
        <v/>
      </c>
      <c r="N69" s="79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5" t="str">
        <f>IF(OR(posicao_contratual!N69="",posicao_contratual!R69=""),"",ROUND(MAX(posicao_contratual!N69+posicao_contratual!L69-posicao_contratual!R69,0),2))</f>
        <v/>
      </c>
      <c r="P69" s="79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5" t="str">
        <f>IF(OR(posicao_contratual!R69="",posicao_contratual!V69=""),"",ROUND(MAX(posicao_contratual!R69+posicao_contratual!P69-posicao_contratual!V69,0),2))</f>
        <v/>
      </c>
      <c r="R69" s="79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86" t="str">
        <f>IF(AND(A69="",A68&lt;&gt;"",COUNTIF(A70:$A$200,"&lt;&gt;")=0),"TOTAL",IF(A69="","",posicao_contratual!X69))</f>
        <v/>
      </c>
      <c r="V69" s="86" t="str">
        <f>IF(A69="","",posicao_contratual!X69)</f>
        <v/>
      </c>
      <c r="W69" s="14"/>
      <c r="X69" s="14"/>
      <c r="Y69" s="14"/>
      <c r="Z69" s="13"/>
      <c r="AA69" s="13"/>
      <c r="AB69" s="85" t="str">
        <f>IF(OR(A69="",posicao_contratual!E69="",posicao_contratual!J69=""),"",ROUND(MAX(posicao_contratual!E69-posicao_contratual!J69,0),2))</f>
        <v/>
      </c>
      <c r="AC69" s="79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47" t="str">
        <f>IF(A69="","",posicao_contratual!E69)</f>
        <v/>
      </c>
      <c r="AE69" s="147" t="str">
        <f>IF(A69="","",posicao_contratual!I69)</f>
        <v/>
      </c>
      <c r="AF69" s="147" t="str">
        <f>IF(A69="","",posicao_contratual!M69)</f>
        <v/>
      </c>
      <c r="AG69" s="147" t="str">
        <f>IF(A69="","",posicao_contratual!Q69)</f>
        <v/>
      </c>
      <c r="AH69" s="147" t="str">
        <f>IF(A69="","",posicao_contratual!U69)</f>
        <v/>
      </c>
      <c r="AI69" s="147" t="str">
        <f>IF(A69="","",posicao_contratual!G69)</f>
        <v/>
      </c>
      <c r="AJ69" s="147" t="str">
        <f>IF(A69="","",posicao_contratual!K69)</f>
        <v/>
      </c>
      <c r="AK69" s="147" t="str">
        <f>IF(A69="","",posicao_contratual!O69)</f>
        <v/>
      </c>
      <c r="AL69" s="147" t="str">
        <f>IF(A69="","",posicao_contratual!S69)</f>
        <v/>
      </c>
      <c r="AM69" s="147" t="str">
        <f>IF(A69="","",posicao_contratual!W69)</f>
        <v/>
      </c>
      <c r="AN69" s="148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1"/>
      <c r="B70" s="82" t="str">
        <f t="shared" si="12"/>
        <v/>
      </c>
      <c r="C70" s="83"/>
      <c r="D70" s="79" t="str">
        <f>IF(AND(A70="",A69&lt;&gt;"",COUNTIF(A71:$A$200,"&lt;&gt;")=0),ROUND(SUMIF($A$2:A69,"&lt;&gt;",$D$2:D69),2),IF(OR(A70="",B70="",C70=""),"",ROUND(B70*C70,2)))</f>
        <v/>
      </c>
      <c r="E70" s="84"/>
      <c r="F70" s="79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4"/>
      <c r="H70" s="79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4"/>
      <c r="J70" s="79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4"/>
      <c r="L70" s="79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5" t="str">
        <f>IF(OR(posicao_contratual!J70="",posicao_contratual!N70=""),"",ROUND(MAX(posicao_contratual!J70+posicao_contratual!H70-posicao_contratual!N70,0),2))</f>
        <v/>
      </c>
      <c r="N70" s="79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5" t="str">
        <f>IF(OR(posicao_contratual!N70="",posicao_contratual!R70=""),"",ROUND(MAX(posicao_contratual!N70+posicao_contratual!L70-posicao_contratual!R70,0),2))</f>
        <v/>
      </c>
      <c r="P70" s="79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5" t="str">
        <f>IF(OR(posicao_contratual!R70="",posicao_contratual!V70=""),"",ROUND(MAX(posicao_contratual!R70+posicao_contratual!P70-posicao_contratual!V70,0),2))</f>
        <v/>
      </c>
      <c r="R70" s="79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86" t="str">
        <f>IF(AND(A70="",A69&lt;&gt;"",COUNTIF(A71:$A$200,"&lt;&gt;")=0),"TOTAL",IF(A70="","",posicao_contratual!X70))</f>
        <v/>
      </c>
      <c r="V70" s="86" t="str">
        <f>IF(A70="","",posicao_contratual!X70)</f>
        <v/>
      </c>
      <c r="W70" s="14"/>
      <c r="X70" s="14"/>
      <c r="Y70" s="14"/>
      <c r="Z70" s="13"/>
      <c r="AA70" s="13"/>
      <c r="AB70" s="85" t="str">
        <f>IF(OR(A70="",posicao_contratual!E70="",posicao_contratual!J70=""),"",ROUND(MAX(posicao_contratual!E70-posicao_contratual!J70,0),2))</f>
        <v/>
      </c>
      <c r="AC70" s="79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47" t="str">
        <f>IF(A70="","",posicao_contratual!E70)</f>
        <v/>
      </c>
      <c r="AE70" s="147" t="str">
        <f>IF(A70="","",posicao_contratual!I70)</f>
        <v/>
      </c>
      <c r="AF70" s="147" t="str">
        <f>IF(A70="","",posicao_contratual!M70)</f>
        <v/>
      </c>
      <c r="AG70" s="147" t="str">
        <f>IF(A70="","",posicao_contratual!Q70)</f>
        <v/>
      </c>
      <c r="AH70" s="147" t="str">
        <f>IF(A70="","",posicao_contratual!U70)</f>
        <v/>
      </c>
      <c r="AI70" s="147" t="str">
        <f>IF(A70="","",posicao_contratual!G70)</f>
        <v/>
      </c>
      <c r="AJ70" s="147" t="str">
        <f>IF(A70="","",posicao_contratual!K70)</f>
        <v/>
      </c>
      <c r="AK70" s="147" t="str">
        <f>IF(A70="","",posicao_contratual!O70)</f>
        <v/>
      </c>
      <c r="AL70" s="147" t="str">
        <f>IF(A70="","",posicao_contratual!S70)</f>
        <v/>
      </c>
      <c r="AM70" s="147" t="str">
        <f>IF(A70="","",posicao_contratual!W70)</f>
        <v/>
      </c>
      <c r="AN70" s="148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1"/>
      <c r="B71" s="82" t="str">
        <f t="shared" si="12"/>
        <v/>
      </c>
      <c r="C71" s="83"/>
      <c r="D71" s="79" t="str">
        <f>IF(AND(A71="",A70&lt;&gt;"",COUNTIF(A72:$A$200,"&lt;&gt;")=0),ROUND(SUMIF($A$2:A70,"&lt;&gt;",$D$2:D70),2),IF(OR(A71="",B71="",C71=""),"",ROUND(B71*C71,2)))</f>
        <v/>
      </c>
      <c r="E71" s="84"/>
      <c r="F71" s="79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4"/>
      <c r="H71" s="79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4"/>
      <c r="J71" s="79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4"/>
      <c r="L71" s="79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5" t="str">
        <f>IF(OR(posicao_contratual!J71="",posicao_contratual!N71=""),"",ROUND(MAX(posicao_contratual!J71+posicao_contratual!H71-posicao_contratual!N71,0),2))</f>
        <v/>
      </c>
      <c r="N71" s="79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5" t="str">
        <f>IF(OR(posicao_contratual!N71="",posicao_contratual!R71=""),"",ROUND(MAX(posicao_contratual!N71+posicao_contratual!L71-posicao_contratual!R71,0),2))</f>
        <v/>
      </c>
      <c r="P71" s="79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5" t="str">
        <f>IF(OR(posicao_contratual!R71="",posicao_contratual!V71=""),"",ROUND(MAX(posicao_contratual!R71+posicao_contratual!P71-posicao_contratual!V71,0),2))</f>
        <v/>
      </c>
      <c r="R71" s="79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86" t="str">
        <f>IF(AND(A71="",A70&lt;&gt;"",COUNTIF(A72:$A$200,"&lt;&gt;")=0),"TOTAL",IF(A71="","",posicao_contratual!X71))</f>
        <v/>
      </c>
      <c r="V71" s="86" t="str">
        <f>IF(A71="","",posicao_contratual!X71)</f>
        <v/>
      </c>
      <c r="W71" s="14"/>
      <c r="X71" s="14"/>
      <c r="Y71" s="14"/>
      <c r="Z71" s="13"/>
      <c r="AA71" s="13"/>
      <c r="AB71" s="85" t="str">
        <f>IF(OR(A71="",posicao_contratual!E71="",posicao_contratual!J71=""),"",ROUND(MAX(posicao_contratual!E71-posicao_contratual!J71,0),2))</f>
        <v/>
      </c>
      <c r="AC71" s="79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47" t="str">
        <f>IF(A71="","",posicao_contratual!E71)</f>
        <v/>
      </c>
      <c r="AE71" s="147" t="str">
        <f>IF(A71="","",posicao_contratual!I71)</f>
        <v/>
      </c>
      <c r="AF71" s="147" t="str">
        <f>IF(A71="","",posicao_contratual!M71)</f>
        <v/>
      </c>
      <c r="AG71" s="147" t="str">
        <f>IF(A71="","",posicao_contratual!Q71)</f>
        <v/>
      </c>
      <c r="AH71" s="147" t="str">
        <f>IF(A71="","",posicao_contratual!U71)</f>
        <v/>
      </c>
      <c r="AI71" s="147" t="str">
        <f>IF(A71="","",posicao_contratual!G71)</f>
        <v/>
      </c>
      <c r="AJ71" s="147" t="str">
        <f>IF(A71="","",posicao_contratual!K71)</f>
        <v/>
      </c>
      <c r="AK71" s="147" t="str">
        <f>IF(A71="","",posicao_contratual!O71)</f>
        <v/>
      </c>
      <c r="AL71" s="147" t="str">
        <f>IF(A71="","",posicao_contratual!S71)</f>
        <v/>
      </c>
      <c r="AM71" s="147" t="str">
        <f>IF(A71="","",posicao_contratual!W71)</f>
        <v/>
      </c>
      <c r="AN71" s="148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1"/>
      <c r="B72" s="82" t="str">
        <f t="shared" si="12"/>
        <v/>
      </c>
      <c r="C72" s="83"/>
      <c r="D72" s="79" t="str">
        <f>IF(AND(A72="",A71&lt;&gt;"",COUNTIF(A73:$A$200,"&lt;&gt;")=0),ROUND(SUMIF($A$2:A71,"&lt;&gt;",$D$2:D71),2),IF(OR(A72="",B72="",C72=""),"",ROUND(B72*C72,2)))</f>
        <v/>
      </c>
      <c r="E72" s="84"/>
      <c r="F72" s="79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4"/>
      <c r="H72" s="79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4"/>
      <c r="J72" s="79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4"/>
      <c r="L72" s="79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5" t="str">
        <f>IF(OR(posicao_contratual!J72="",posicao_contratual!N72=""),"",ROUND(MAX(posicao_contratual!J72+posicao_contratual!H72-posicao_contratual!N72,0),2))</f>
        <v/>
      </c>
      <c r="N72" s="79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5" t="str">
        <f>IF(OR(posicao_contratual!N72="",posicao_contratual!R72=""),"",ROUND(MAX(posicao_contratual!N72+posicao_contratual!L72-posicao_contratual!R72,0),2))</f>
        <v/>
      </c>
      <c r="P72" s="79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5" t="str">
        <f>IF(OR(posicao_contratual!R72="",posicao_contratual!V72=""),"",ROUND(MAX(posicao_contratual!R72+posicao_contratual!P72-posicao_contratual!V72,0),2))</f>
        <v/>
      </c>
      <c r="R72" s="79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86" t="str">
        <f>IF(AND(A72="",A71&lt;&gt;"",COUNTIF(A73:$A$200,"&lt;&gt;")=0),"TOTAL",IF(A72="","",posicao_contratual!X72))</f>
        <v/>
      </c>
      <c r="V72" s="86" t="str">
        <f>IF(A72="","",posicao_contratual!X72)</f>
        <v/>
      </c>
      <c r="W72" s="14"/>
      <c r="X72" s="14"/>
      <c r="Y72" s="14"/>
      <c r="Z72" s="13"/>
      <c r="AA72" s="13"/>
      <c r="AB72" s="85" t="str">
        <f>IF(OR(A72="",posicao_contratual!E72="",posicao_contratual!J72=""),"",ROUND(MAX(posicao_contratual!E72-posicao_contratual!J72,0),2))</f>
        <v/>
      </c>
      <c r="AC72" s="79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47" t="str">
        <f>IF(A72="","",posicao_contratual!E72)</f>
        <v/>
      </c>
      <c r="AE72" s="147" t="str">
        <f>IF(A72="","",posicao_contratual!I72)</f>
        <v/>
      </c>
      <c r="AF72" s="147" t="str">
        <f>IF(A72="","",posicao_contratual!M72)</f>
        <v/>
      </c>
      <c r="AG72" s="147" t="str">
        <f>IF(A72="","",posicao_contratual!Q72)</f>
        <v/>
      </c>
      <c r="AH72" s="147" t="str">
        <f>IF(A72="","",posicao_contratual!U72)</f>
        <v/>
      </c>
      <c r="AI72" s="147" t="str">
        <f>IF(A72="","",posicao_contratual!G72)</f>
        <v/>
      </c>
      <c r="AJ72" s="147" t="str">
        <f>IF(A72="","",posicao_contratual!K72)</f>
        <v/>
      </c>
      <c r="AK72" s="147" t="str">
        <f>IF(A72="","",posicao_contratual!O72)</f>
        <v/>
      </c>
      <c r="AL72" s="147" t="str">
        <f>IF(A72="","",posicao_contratual!S72)</f>
        <v/>
      </c>
      <c r="AM72" s="147" t="str">
        <f>IF(A72="","",posicao_contratual!W72)</f>
        <v/>
      </c>
      <c r="AN72" s="148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1"/>
      <c r="B73" s="82" t="str">
        <f t="shared" si="12"/>
        <v/>
      </c>
      <c r="C73" s="83"/>
      <c r="D73" s="79" t="str">
        <f>IF(AND(A73="",A72&lt;&gt;"",COUNTIF(A74:$A$200,"&lt;&gt;")=0),ROUND(SUMIF($A$2:A72,"&lt;&gt;",$D$2:D72),2),IF(OR(A73="",B73="",C73=""),"",ROUND(B73*C73,2)))</f>
        <v/>
      </c>
      <c r="E73" s="84"/>
      <c r="F73" s="79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4"/>
      <c r="H73" s="79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4"/>
      <c r="J73" s="79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4"/>
      <c r="L73" s="79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5" t="str">
        <f>IF(OR(posicao_contratual!J73="",posicao_contratual!N73=""),"",ROUND(MAX(posicao_contratual!J73+posicao_contratual!H73-posicao_contratual!N73,0),2))</f>
        <v/>
      </c>
      <c r="N73" s="79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5" t="str">
        <f>IF(OR(posicao_contratual!N73="",posicao_contratual!R73=""),"",ROUND(MAX(posicao_contratual!N73+posicao_contratual!L73-posicao_contratual!R73,0),2))</f>
        <v/>
      </c>
      <c r="P73" s="79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5" t="str">
        <f>IF(OR(posicao_contratual!R73="",posicao_contratual!V73=""),"",ROUND(MAX(posicao_contratual!R73+posicao_contratual!P73-posicao_contratual!V73,0),2))</f>
        <v/>
      </c>
      <c r="R73" s="79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86" t="str">
        <f>IF(AND(A73="",A72&lt;&gt;"",COUNTIF(A74:$A$200,"&lt;&gt;")=0),"TOTAL",IF(A73="","",posicao_contratual!X73))</f>
        <v/>
      </c>
      <c r="V73" s="86" t="str">
        <f>IF(A73="","",posicao_contratual!X73)</f>
        <v/>
      </c>
      <c r="W73" s="14"/>
      <c r="X73" s="14"/>
      <c r="Y73" s="14"/>
      <c r="Z73" s="13"/>
      <c r="AA73" s="13"/>
      <c r="AB73" s="85" t="str">
        <f>IF(OR(A73="",posicao_contratual!E73="",posicao_contratual!J73=""),"",ROUND(MAX(posicao_contratual!E73-posicao_contratual!J73,0),2))</f>
        <v/>
      </c>
      <c r="AC73" s="79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47" t="str">
        <f>IF(A73="","",posicao_contratual!E73)</f>
        <v/>
      </c>
      <c r="AE73" s="147" t="str">
        <f>IF(A73="","",posicao_contratual!I73)</f>
        <v/>
      </c>
      <c r="AF73" s="147" t="str">
        <f>IF(A73="","",posicao_contratual!M73)</f>
        <v/>
      </c>
      <c r="AG73" s="147" t="str">
        <f>IF(A73="","",posicao_contratual!Q73)</f>
        <v/>
      </c>
      <c r="AH73" s="147" t="str">
        <f>IF(A73="","",posicao_contratual!U73)</f>
        <v/>
      </c>
      <c r="AI73" s="147" t="str">
        <f>IF(A73="","",posicao_contratual!G73)</f>
        <v/>
      </c>
      <c r="AJ73" s="147" t="str">
        <f>IF(A73="","",posicao_contratual!K73)</f>
        <v/>
      </c>
      <c r="AK73" s="147" t="str">
        <f>IF(A73="","",posicao_contratual!O73)</f>
        <v/>
      </c>
      <c r="AL73" s="147" t="str">
        <f>IF(A73="","",posicao_contratual!S73)</f>
        <v/>
      </c>
      <c r="AM73" s="147" t="str">
        <f>IF(A73="","",posicao_contratual!W73)</f>
        <v/>
      </c>
      <c r="AN73" s="148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1"/>
      <c r="B74" s="82" t="str">
        <f t="shared" si="12"/>
        <v/>
      </c>
      <c r="C74" s="83"/>
      <c r="D74" s="79" t="str">
        <f>IF(AND(A74="",A73&lt;&gt;"",COUNTIF(A75:$A$200,"&lt;&gt;")=0),ROUND(SUMIF($A$2:A73,"&lt;&gt;",$D$2:D73),2),IF(OR(A74="",B74="",C74=""),"",ROUND(B74*C74,2)))</f>
        <v/>
      </c>
      <c r="E74" s="84"/>
      <c r="F74" s="79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4"/>
      <c r="H74" s="79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4"/>
      <c r="J74" s="79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4"/>
      <c r="L74" s="79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5" t="str">
        <f>IF(OR(posicao_contratual!J74="",posicao_contratual!N74=""),"",ROUND(MAX(posicao_contratual!J74+posicao_contratual!H74-posicao_contratual!N74,0),2))</f>
        <v/>
      </c>
      <c r="N74" s="79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5" t="str">
        <f>IF(OR(posicao_contratual!N74="",posicao_contratual!R74=""),"",ROUND(MAX(posicao_contratual!N74+posicao_contratual!L74-posicao_contratual!R74,0),2))</f>
        <v/>
      </c>
      <c r="P74" s="79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5" t="str">
        <f>IF(OR(posicao_contratual!R74="",posicao_contratual!V74=""),"",ROUND(MAX(posicao_contratual!R74+posicao_contratual!P74-posicao_contratual!V74,0),2))</f>
        <v/>
      </c>
      <c r="R74" s="79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86" t="str">
        <f>IF(AND(A74="",A73&lt;&gt;"",COUNTIF(A75:$A$200,"&lt;&gt;")=0),"TOTAL",IF(A74="","",posicao_contratual!X74))</f>
        <v/>
      </c>
      <c r="V74" s="86" t="str">
        <f>IF(A74="","",posicao_contratual!X74)</f>
        <v/>
      </c>
      <c r="W74" s="14"/>
      <c r="X74" s="14"/>
      <c r="Y74" s="14"/>
      <c r="Z74" s="13"/>
      <c r="AA74" s="13"/>
      <c r="AB74" s="85" t="str">
        <f>IF(OR(A74="",posicao_contratual!E74="",posicao_contratual!J74=""),"",ROUND(MAX(posicao_contratual!E74-posicao_contratual!J74,0),2))</f>
        <v/>
      </c>
      <c r="AC74" s="79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47" t="str">
        <f>IF(A74="","",posicao_contratual!E74)</f>
        <v/>
      </c>
      <c r="AE74" s="147" t="str">
        <f>IF(A74="","",posicao_contratual!I74)</f>
        <v/>
      </c>
      <c r="AF74" s="147" t="str">
        <f>IF(A74="","",posicao_contratual!M74)</f>
        <v/>
      </c>
      <c r="AG74" s="147" t="str">
        <f>IF(A74="","",posicao_contratual!Q74)</f>
        <v/>
      </c>
      <c r="AH74" s="147" t="str">
        <f>IF(A74="","",posicao_contratual!U74)</f>
        <v/>
      </c>
      <c r="AI74" s="147" t="str">
        <f>IF(A74="","",posicao_contratual!G74)</f>
        <v/>
      </c>
      <c r="AJ74" s="147" t="str">
        <f>IF(A74="","",posicao_contratual!K74)</f>
        <v/>
      </c>
      <c r="AK74" s="147" t="str">
        <f>IF(A74="","",posicao_contratual!O74)</f>
        <v/>
      </c>
      <c r="AL74" s="147" t="str">
        <f>IF(A74="","",posicao_contratual!S74)</f>
        <v/>
      </c>
      <c r="AM74" s="147" t="str">
        <f>IF(A74="","",posicao_contratual!W74)</f>
        <v/>
      </c>
      <c r="AN74" s="148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1"/>
      <c r="B75" s="82" t="str">
        <f t="shared" si="12"/>
        <v/>
      </c>
      <c r="C75" s="83"/>
      <c r="D75" s="79" t="str">
        <f>IF(AND(A75="",A74&lt;&gt;"",COUNTIF(A76:$A$200,"&lt;&gt;")=0),ROUND(SUMIF($A$2:A74,"&lt;&gt;",$D$2:D74),2),IF(OR(A75="",B75="",C75=""),"",ROUND(B75*C75,2)))</f>
        <v/>
      </c>
      <c r="E75" s="84"/>
      <c r="F75" s="79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4"/>
      <c r="H75" s="79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4"/>
      <c r="J75" s="79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4"/>
      <c r="L75" s="79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5" t="str">
        <f>IF(OR(posicao_contratual!J75="",posicao_contratual!N75=""),"",ROUND(MAX(posicao_contratual!J75+posicao_contratual!H75-posicao_contratual!N75,0),2))</f>
        <v/>
      </c>
      <c r="N75" s="79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5" t="str">
        <f>IF(OR(posicao_contratual!N75="",posicao_contratual!R75=""),"",ROUND(MAX(posicao_contratual!N75+posicao_contratual!L75-posicao_contratual!R75,0),2))</f>
        <v/>
      </c>
      <c r="P75" s="79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5" t="str">
        <f>IF(OR(posicao_contratual!R75="",posicao_contratual!V75=""),"",ROUND(MAX(posicao_contratual!R75+posicao_contratual!P75-posicao_contratual!V75,0),2))</f>
        <v/>
      </c>
      <c r="R75" s="79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86" t="str">
        <f>IF(AND(A75="",A74&lt;&gt;"",COUNTIF(A76:$A$200,"&lt;&gt;")=0),"TOTAL",IF(A75="","",posicao_contratual!X75))</f>
        <v/>
      </c>
      <c r="V75" s="86" t="str">
        <f>IF(A75="","",posicao_contratual!X75)</f>
        <v/>
      </c>
      <c r="W75" s="14"/>
      <c r="X75" s="14"/>
      <c r="Y75" s="14"/>
      <c r="Z75" s="13"/>
      <c r="AA75" s="13"/>
      <c r="AB75" s="85" t="str">
        <f>IF(OR(A75="",posicao_contratual!E75="",posicao_contratual!J75=""),"",ROUND(MAX(posicao_contratual!E75-posicao_contratual!J75,0),2))</f>
        <v/>
      </c>
      <c r="AC75" s="79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47" t="str">
        <f>IF(A75="","",posicao_contratual!E75)</f>
        <v/>
      </c>
      <c r="AE75" s="147" t="str">
        <f>IF(A75="","",posicao_contratual!I75)</f>
        <v/>
      </c>
      <c r="AF75" s="147" t="str">
        <f>IF(A75="","",posicao_contratual!M75)</f>
        <v/>
      </c>
      <c r="AG75" s="147" t="str">
        <f>IF(A75="","",posicao_contratual!Q75)</f>
        <v/>
      </c>
      <c r="AH75" s="147" t="str">
        <f>IF(A75="","",posicao_contratual!U75)</f>
        <v/>
      </c>
      <c r="AI75" s="147" t="str">
        <f>IF(A75="","",posicao_contratual!G75)</f>
        <v/>
      </c>
      <c r="AJ75" s="147" t="str">
        <f>IF(A75="","",posicao_contratual!K75)</f>
        <v/>
      </c>
      <c r="AK75" s="147" t="str">
        <f>IF(A75="","",posicao_contratual!O75)</f>
        <v/>
      </c>
      <c r="AL75" s="147" t="str">
        <f>IF(A75="","",posicao_contratual!S75)</f>
        <v/>
      </c>
      <c r="AM75" s="147" t="str">
        <f>IF(A75="","",posicao_contratual!W75)</f>
        <v/>
      </c>
      <c r="AN75" s="148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1"/>
      <c r="B76" s="82" t="str">
        <f t="shared" si="12"/>
        <v/>
      </c>
      <c r="C76" s="83"/>
      <c r="D76" s="79" t="str">
        <f>IF(AND(A76="",A75&lt;&gt;"",COUNTIF(A77:$A$200,"&lt;&gt;")=0),ROUND(SUMIF($A$2:A75,"&lt;&gt;",$D$2:D75),2),IF(OR(A76="",B76="",C76=""),"",ROUND(B76*C76,2)))</f>
        <v/>
      </c>
      <c r="E76" s="84"/>
      <c r="F76" s="79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4"/>
      <c r="H76" s="79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4"/>
      <c r="J76" s="79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4"/>
      <c r="L76" s="79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5" t="str">
        <f>IF(OR(posicao_contratual!J76="",posicao_contratual!N76=""),"",ROUND(MAX(posicao_contratual!J76+posicao_contratual!H76-posicao_contratual!N76,0),2))</f>
        <v/>
      </c>
      <c r="N76" s="79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5" t="str">
        <f>IF(OR(posicao_contratual!N76="",posicao_contratual!R76=""),"",ROUND(MAX(posicao_contratual!N76+posicao_contratual!L76-posicao_contratual!R76,0),2))</f>
        <v/>
      </c>
      <c r="P76" s="79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5" t="str">
        <f>IF(OR(posicao_contratual!R76="",posicao_contratual!V76=""),"",ROUND(MAX(posicao_contratual!R76+posicao_contratual!P76-posicao_contratual!V76,0),2))</f>
        <v/>
      </c>
      <c r="R76" s="79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86" t="str">
        <f>IF(AND(A76="",A75&lt;&gt;"",COUNTIF(A77:$A$200,"&lt;&gt;")=0),"TOTAL",IF(A76="","",posicao_contratual!X76))</f>
        <v/>
      </c>
      <c r="V76" s="86" t="str">
        <f>IF(A76="","",posicao_contratual!X76)</f>
        <v/>
      </c>
      <c r="W76" s="14"/>
      <c r="X76" s="14"/>
      <c r="Y76" s="14"/>
      <c r="Z76" s="13"/>
      <c r="AA76" s="13"/>
      <c r="AB76" s="85" t="str">
        <f>IF(OR(A76="",posicao_contratual!E76="",posicao_contratual!J76=""),"",ROUND(MAX(posicao_contratual!E76-posicao_contratual!J76,0),2))</f>
        <v/>
      </c>
      <c r="AC76" s="79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47" t="str">
        <f>IF(A76="","",posicao_contratual!E76)</f>
        <v/>
      </c>
      <c r="AE76" s="147" t="str">
        <f>IF(A76="","",posicao_contratual!I76)</f>
        <v/>
      </c>
      <c r="AF76" s="147" t="str">
        <f>IF(A76="","",posicao_contratual!M76)</f>
        <v/>
      </c>
      <c r="AG76" s="147" t="str">
        <f>IF(A76="","",posicao_contratual!Q76)</f>
        <v/>
      </c>
      <c r="AH76" s="147" t="str">
        <f>IF(A76="","",posicao_contratual!U76)</f>
        <v/>
      </c>
      <c r="AI76" s="147" t="str">
        <f>IF(A76="","",posicao_contratual!G76)</f>
        <v/>
      </c>
      <c r="AJ76" s="147" t="str">
        <f>IF(A76="","",posicao_contratual!K76)</f>
        <v/>
      </c>
      <c r="AK76" s="147" t="str">
        <f>IF(A76="","",posicao_contratual!O76)</f>
        <v/>
      </c>
      <c r="AL76" s="147" t="str">
        <f>IF(A76="","",posicao_contratual!S76)</f>
        <v/>
      </c>
      <c r="AM76" s="147" t="str">
        <f>IF(A76="","",posicao_contratual!W76)</f>
        <v/>
      </c>
      <c r="AN76" s="148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1"/>
      <c r="B77" s="82" t="str">
        <f t="shared" si="12"/>
        <v/>
      </c>
      <c r="C77" s="83"/>
      <c r="D77" s="79" t="str">
        <f>IF(AND(A77="",A76&lt;&gt;"",COUNTIF(A78:$A$200,"&lt;&gt;")=0),ROUND(SUMIF($A$2:A76,"&lt;&gt;",$D$2:D76),2),IF(OR(A77="",B77="",C77=""),"",ROUND(B77*C77,2)))</f>
        <v/>
      </c>
      <c r="E77" s="84"/>
      <c r="F77" s="79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4"/>
      <c r="H77" s="79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4"/>
      <c r="J77" s="79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4"/>
      <c r="L77" s="79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5" t="str">
        <f>IF(OR(posicao_contratual!J77="",posicao_contratual!N77=""),"",ROUND(MAX(posicao_contratual!J77+posicao_contratual!H77-posicao_contratual!N77,0),2))</f>
        <v/>
      </c>
      <c r="N77" s="79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5" t="str">
        <f>IF(OR(posicao_contratual!N77="",posicao_contratual!R77=""),"",ROUND(MAX(posicao_contratual!N77+posicao_contratual!L77-posicao_contratual!R77,0),2))</f>
        <v/>
      </c>
      <c r="P77" s="79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5" t="str">
        <f>IF(OR(posicao_contratual!R77="",posicao_contratual!V77=""),"",ROUND(MAX(posicao_contratual!R77+posicao_contratual!P77-posicao_contratual!V77,0),2))</f>
        <v/>
      </c>
      <c r="R77" s="79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86" t="str">
        <f>IF(AND(A77="",A76&lt;&gt;"",COUNTIF(A78:$A$200,"&lt;&gt;")=0),"TOTAL",IF(A77="","",posicao_contratual!X77))</f>
        <v/>
      </c>
      <c r="V77" s="86" t="str">
        <f>IF(A77="","",posicao_contratual!X77)</f>
        <v/>
      </c>
      <c r="W77" s="14"/>
      <c r="X77" s="14"/>
      <c r="Y77" s="14"/>
      <c r="Z77" s="13"/>
      <c r="AA77" s="13"/>
      <c r="AB77" s="85" t="str">
        <f>IF(OR(A77="",posicao_contratual!E77="",posicao_contratual!J77=""),"",ROUND(MAX(posicao_contratual!E77-posicao_contratual!J77,0),2))</f>
        <v/>
      </c>
      <c r="AC77" s="79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47" t="str">
        <f>IF(A77="","",posicao_contratual!E77)</f>
        <v/>
      </c>
      <c r="AE77" s="147" t="str">
        <f>IF(A77="","",posicao_contratual!I77)</f>
        <v/>
      </c>
      <c r="AF77" s="147" t="str">
        <f>IF(A77="","",posicao_contratual!M77)</f>
        <v/>
      </c>
      <c r="AG77" s="147" t="str">
        <f>IF(A77="","",posicao_contratual!Q77)</f>
        <v/>
      </c>
      <c r="AH77" s="147" t="str">
        <f>IF(A77="","",posicao_contratual!U77)</f>
        <v/>
      </c>
      <c r="AI77" s="147" t="str">
        <f>IF(A77="","",posicao_contratual!G77)</f>
        <v/>
      </c>
      <c r="AJ77" s="147" t="str">
        <f>IF(A77="","",posicao_contratual!K77)</f>
        <v/>
      </c>
      <c r="AK77" s="147" t="str">
        <f>IF(A77="","",posicao_contratual!O77)</f>
        <v/>
      </c>
      <c r="AL77" s="147" t="str">
        <f>IF(A77="","",posicao_contratual!S77)</f>
        <v/>
      </c>
      <c r="AM77" s="147" t="str">
        <f>IF(A77="","",posicao_contratual!W77)</f>
        <v/>
      </c>
      <c r="AN77" s="148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1"/>
      <c r="B78" s="82" t="str">
        <f t="shared" si="12"/>
        <v/>
      </c>
      <c r="C78" s="83"/>
      <c r="D78" s="79" t="str">
        <f>IF(AND(A78="",A77&lt;&gt;"",COUNTIF(A79:$A$200,"&lt;&gt;")=0),ROUND(SUMIF($A$2:A77,"&lt;&gt;",$D$2:D77),2),IF(OR(A78="",B78="",C78=""),"",ROUND(B78*C78,2)))</f>
        <v/>
      </c>
      <c r="E78" s="84"/>
      <c r="F78" s="79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4"/>
      <c r="H78" s="79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4"/>
      <c r="J78" s="79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4"/>
      <c r="L78" s="79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5" t="str">
        <f>IF(OR(posicao_contratual!J78="",posicao_contratual!N78=""),"",ROUND(MAX(posicao_contratual!J78+posicao_contratual!H78-posicao_contratual!N78,0),2))</f>
        <v/>
      </c>
      <c r="N78" s="79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5" t="str">
        <f>IF(OR(posicao_contratual!N78="",posicao_contratual!R78=""),"",ROUND(MAX(posicao_contratual!N78+posicao_contratual!L78-posicao_contratual!R78,0),2))</f>
        <v/>
      </c>
      <c r="P78" s="79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5" t="str">
        <f>IF(OR(posicao_contratual!R78="",posicao_contratual!V78=""),"",ROUND(MAX(posicao_contratual!R78+posicao_contratual!P78-posicao_contratual!V78,0),2))</f>
        <v/>
      </c>
      <c r="R78" s="79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86" t="str">
        <f>IF(AND(A78="",A77&lt;&gt;"",COUNTIF(A79:$A$200,"&lt;&gt;")=0),"TOTAL",IF(A78="","",posicao_contratual!X78))</f>
        <v/>
      </c>
      <c r="V78" s="86" t="str">
        <f>IF(A78="","",posicao_contratual!X78)</f>
        <v/>
      </c>
      <c r="W78" s="14"/>
      <c r="X78" s="14"/>
      <c r="Y78" s="14"/>
      <c r="Z78" s="13"/>
      <c r="AA78" s="13"/>
      <c r="AB78" s="85" t="str">
        <f>IF(OR(A78="",posicao_contratual!E78="",posicao_contratual!J78=""),"",ROUND(MAX(posicao_contratual!E78-posicao_contratual!J78,0),2))</f>
        <v/>
      </c>
      <c r="AC78" s="79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47" t="str">
        <f>IF(A78="","",posicao_contratual!E78)</f>
        <v/>
      </c>
      <c r="AE78" s="147" t="str">
        <f>IF(A78="","",posicao_contratual!I78)</f>
        <v/>
      </c>
      <c r="AF78" s="147" t="str">
        <f>IF(A78="","",posicao_contratual!M78)</f>
        <v/>
      </c>
      <c r="AG78" s="147" t="str">
        <f>IF(A78="","",posicao_contratual!Q78)</f>
        <v/>
      </c>
      <c r="AH78" s="147" t="str">
        <f>IF(A78="","",posicao_contratual!U78)</f>
        <v/>
      </c>
      <c r="AI78" s="147" t="str">
        <f>IF(A78="","",posicao_contratual!G78)</f>
        <v/>
      </c>
      <c r="AJ78" s="147" t="str">
        <f>IF(A78="","",posicao_contratual!K78)</f>
        <v/>
      </c>
      <c r="AK78" s="147" t="str">
        <f>IF(A78="","",posicao_contratual!O78)</f>
        <v/>
      </c>
      <c r="AL78" s="147" t="str">
        <f>IF(A78="","",posicao_contratual!S78)</f>
        <v/>
      </c>
      <c r="AM78" s="147" t="str">
        <f>IF(A78="","",posicao_contratual!W78)</f>
        <v/>
      </c>
      <c r="AN78" s="148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1"/>
      <c r="B79" s="82" t="str">
        <f t="shared" si="12"/>
        <v/>
      </c>
      <c r="C79" s="83"/>
      <c r="D79" s="79" t="str">
        <f>IF(AND(A79="",A78&lt;&gt;"",COUNTIF(A80:$A$200,"&lt;&gt;")=0),ROUND(SUMIF($A$2:A78,"&lt;&gt;",$D$2:D78),2),IF(OR(A79="",B79="",C79=""),"",ROUND(B79*C79,2)))</f>
        <v/>
      </c>
      <c r="E79" s="84"/>
      <c r="F79" s="79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4"/>
      <c r="H79" s="79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4"/>
      <c r="J79" s="79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4"/>
      <c r="L79" s="79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5" t="str">
        <f>IF(OR(posicao_contratual!J79="",posicao_contratual!N79=""),"",ROUND(MAX(posicao_contratual!J79+posicao_contratual!H79-posicao_contratual!N79,0),2))</f>
        <v/>
      </c>
      <c r="N79" s="79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5" t="str">
        <f>IF(OR(posicao_contratual!N79="",posicao_contratual!R79=""),"",ROUND(MAX(posicao_contratual!N79+posicao_contratual!L79-posicao_contratual!R79,0),2))</f>
        <v/>
      </c>
      <c r="P79" s="79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5" t="str">
        <f>IF(OR(posicao_contratual!R79="",posicao_contratual!V79=""),"",ROUND(MAX(posicao_contratual!R79+posicao_contratual!P79-posicao_contratual!V79,0),2))</f>
        <v/>
      </c>
      <c r="R79" s="79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86" t="str">
        <f>IF(AND(A79="",A78&lt;&gt;"",COUNTIF(A80:$A$200,"&lt;&gt;")=0),"TOTAL",IF(A79="","",posicao_contratual!X79))</f>
        <v/>
      </c>
      <c r="V79" s="86" t="str">
        <f>IF(A79="","",posicao_contratual!X79)</f>
        <v/>
      </c>
      <c r="W79" s="14"/>
      <c r="X79" s="14"/>
      <c r="Y79" s="14"/>
      <c r="Z79" s="13"/>
      <c r="AA79" s="13"/>
      <c r="AB79" s="85" t="str">
        <f>IF(OR(A79="",posicao_contratual!E79="",posicao_contratual!J79=""),"",ROUND(MAX(posicao_contratual!E79-posicao_contratual!J79,0),2))</f>
        <v/>
      </c>
      <c r="AC79" s="79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47" t="str">
        <f>IF(A79="","",posicao_contratual!E79)</f>
        <v/>
      </c>
      <c r="AE79" s="147" t="str">
        <f>IF(A79="","",posicao_contratual!I79)</f>
        <v/>
      </c>
      <c r="AF79" s="147" t="str">
        <f>IF(A79="","",posicao_contratual!M79)</f>
        <v/>
      </c>
      <c r="AG79" s="147" t="str">
        <f>IF(A79="","",posicao_contratual!Q79)</f>
        <v/>
      </c>
      <c r="AH79" s="147" t="str">
        <f>IF(A79="","",posicao_contratual!U79)</f>
        <v/>
      </c>
      <c r="AI79" s="147" t="str">
        <f>IF(A79="","",posicao_contratual!G79)</f>
        <v/>
      </c>
      <c r="AJ79" s="147" t="str">
        <f>IF(A79="","",posicao_contratual!K79)</f>
        <v/>
      </c>
      <c r="AK79" s="147" t="str">
        <f>IF(A79="","",posicao_contratual!O79)</f>
        <v/>
      </c>
      <c r="AL79" s="147" t="str">
        <f>IF(A79="","",posicao_contratual!S79)</f>
        <v/>
      </c>
      <c r="AM79" s="147" t="str">
        <f>IF(A79="","",posicao_contratual!W79)</f>
        <v/>
      </c>
      <c r="AN79" s="148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1"/>
      <c r="B80" s="82" t="str">
        <f t="shared" si="12"/>
        <v/>
      </c>
      <c r="C80" s="83"/>
      <c r="D80" s="79" t="str">
        <f>IF(AND(A80="",A79&lt;&gt;"",COUNTIF(A81:$A$200,"&lt;&gt;")=0),ROUND(SUMIF($A$2:A79,"&lt;&gt;",$D$2:D79),2),IF(OR(A80="",B80="",C80=""),"",ROUND(B80*C80,2)))</f>
        <v/>
      </c>
      <c r="E80" s="84"/>
      <c r="F80" s="79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4"/>
      <c r="H80" s="79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4"/>
      <c r="J80" s="79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4"/>
      <c r="L80" s="79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5" t="str">
        <f>IF(OR(posicao_contratual!J80="",posicao_contratual!N80=""),"",ROUND(MAX(posicao_contratual!J80+posicao_contratual!H80-posicao_contratual!N80,0),2))</f>
        <v/>
      </c>
      <c r="N80" s="79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5" t="str">
        <f>IF(OR(posicao_contratual!N80="",posicao_contratual!R80=""),"",ROUND(MAX(posicao_contratual!N80+posicao_contratual!L80-posicao_contratual!R80,0),2))</f>
        <v/>
      </c>
      <c r="P80" s="79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5" t="str">
        <f>IF(OR(posicao_contratual!R80="",posicao_contratual!V80=""),"",ROUND(MAX(posicao_contratual!R80+posicao_contratual!P80-posicao_contratual!V80,0),2))</f>
        <v/>
      </c>
      <c r="R80" s="79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86" t="str">
        <f>IF(AND(A80="",A79&lt;&gt;"",COUNTIF(A81:$A$200,"&lt;&gt;")=0),"TOTAL",IF(A80="","",posicao_contratual!X80))</f>
        <v/>
      </c>
      <c r="V80" s="86" t="str">
        <f>IF(A80="","",posicao_contratual!X80)</f>
        <v/>
      </c>
      <c r="W80" s="14"/>
      <c r="X80" s="14"/>
      <c r="Y80" s="14"/>
      <c r="Z80" s="13"/>
      <c r="AA80" s="13"/>
      <c r="AB80" s="85" t="str">
        <f>IF(OR(A80="",posicao_contratual!E80="",posicao_contratual!J80=""),"",ROUND(MAX(posicao_contratual!E80-posicao_contratual!J80,0),2))</f>
        <v/>
      </c>
      <c r="AC80" s="79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47" t="str">
        <f>IF(A80="","",posicao_contratual!E80)</f>
        <v/>
      </c>
      <c r="AE80" s="147" t="str">
        <f>IF(A80="","",posicao_contratual!I80)</f>
        <v/>
      </c>
      <c r="AF80" s="147" t="str">
        <f>IF(A80="","",posicao_contratual!M80)</f>
        <v/>
      </c>
      <c r="AG80" s="147" t="str">
        <f>IF(A80="","",posicao_contratual!Q80)</f>
        <v/>
      </c>
      <c r="AH80" s="147" t="str">
        <f>IF(A80="","",posicao_contratual!U80)</f>
        <v/>
      </c>
      <c r="AI80" s="147" t="str">
        <f>IF(A80="","",posicao_contratual!G80)</f>
        <v/>
      </c>
      <c r="AJ80" s="147" t="str">
        <f>IF(A80="","",posicao_contratual!K80)</f>
        <v/>
      </c>
      <c r="AK80" s="147" t="str">
        <f>IF(A80="","",posicao_contratual!O80)</f>
        <v/>
      </c>
      <c r="AL80" s="147" t="str">
        <f>IF(A80="","",posicao_contratual!S80)</f>
        <v/>
      </c>
      <c r="AM80" s="147" t="str">
        <f>IF(A80="","",posicao_contratual!W80)</f>
        <v/>
      </c>
      <c r="AN80" s="148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1"/>
      <c r="B81" s="82" t="str">
        <f t="shared" si="12"/>
        <v/>
      </c>
      <c r="C81" s="83"/>
      <c r="D81" s="79" t="str">
        <f>IF(AND(A81="",A80&lt;&gt;"",COUNTIF(A82:$A$200,"&lt;&gt;")=0),ROUND(SUMIF($A$2:A80,"&lt;&gt;",$D$2:D80),2),IF(OR(A81="",B81="",C81=""),"",ROUND(B81*C81,2)))</f>
        <v/>
      </c>
      <c r="E81" s="84"/>
      <c r="F81" s="79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4"/>
      <c r="H81" s="79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4"/>
      <c r="J81" s="79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4"/>
      <c r="L81" s="79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5" t="str">
        <f>IF(OR(posicao_contratual!J81="",posicao_contratual!N81=""),"",ROUND(MAX(posicao_contratual!J81+posicao_contratual!H81-posicao_contratual!N81,0),2))</f>
        <v/>
      </c>
      <c r="N81" s="79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5" t="str">
        <f>IF(OR(posicao_contratual!N81="",posicao_contratual!R81=""),"",ROUND(MAX(posicao_contratual!N81+posicao_contratual!L81-posicao_contratual!R81,0),2))</f>
        <v/>
      </c>
      <c r="P81" s="79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5" t="str">
        <f>IF(OR(posicao_contratual!R81="",posicao_contratual!V81=""),"",ROUND(MAX(posicao_contratual!R81+posicao_contratual!P81-posicao_contratual!V81,0),2))</f>
        <v/>
      </c>
      <c r="R81" s="79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86" t="str">
        <f>IF(AND(A81="",A80&lt;&gt;"",COUNTIF(A82:$A$200,"&lt;&gt;")=0),"TOTAL",IF(A81="","",posicao_contratual!X81))</f>
        <v/>
      </c>
      <c r="V81" s="86" t="str">
        <f>IF(A81="","",posicao_contratual!X81)</f>
        <v/>
      </c>
      <c r="W81" s="14"/>
      <c r="X81" s="14"/>
      <c r="Y81" s="14"/>
      <c r="Z81" s="13"/>
      <c r="AA81" s="13"/>
      <c r="AB81" s="85" t="str">
        <f>IF(OR(A81="",posicao_contratual!E81="",posicao_contratual!J81=""),"",ROUND(MAX(posicao_contratual!E81-posicao_contratual!J81,0),2))</f>
        <v/>
      </c>
      <c r="AC81" s="79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47" t="str">
        <f>IF(A81="","",posicao_contratual!E81)</f>
        <v/>
      </c>
      <c r="AE81" s="147" t="str">
        <f>IF(A81="","",posicao_contratual!I81)</f>
        <v/>
      </c>
      <c r="AF81" s="147" t="str">
        <f>IF(A81="","",posicao_contratual!M81)</f>
        <v/>
      </c>
      <c r="AG81" s="147" t="str">
        <f>IF(A81="","",posicao_contratual!Q81)</f>
        <v/>
      </c>
      <c r="AH81" s="147" t="str">
        <f>IF(A81="","",posicao_contratual!U81)</f>
        <v/>
      </c>
      <c r="AI81" s="147" t="str">
        <f>IF(A81="","",posicao_contratual!G81)</f>
        <v/>
      </c>
      <c r="AJ81" s="147" t="str">
        <f>IF(A81="","",posicao_contratual!K81)</f>
        <v/>
      </c>
      <c r="AK81" s="147" t="str">
        <f>IF(A81="","",posicao_contratual!O81)</f>
        <v/>
      </c>
      <c r="AL81" s="147" t="str">
        <f>IF(A81="","",posicao_contratual!S81)</f>
        <v/>
      </c>
      <c r="AM81" s="147" t="str">
        <f>IF(A81="","",posicao_contratual!W81)</f>
        <v/>
      </c>
      <c r="AN81" s="148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1"/>
      <c r="B82" s="82" t="str">
        <f t="shared" si="12"/>
        <v/>
      </c>
      <c r="C82" s="83"/>
      <c r="D82" s="79" t="str">
        <f>IF(AND(A82="",A81&lt;&gt;"",COUNTIF(A83:$A$200,"&lt;&gt;")=0),ROUND(SUMIF($A$2:A81,"&lt;&gt;",$D$2:D81),2),IF(OR(A82="",B82="",C82=""),"",ROUND(B82*C82,2)))</f>
        <v/>
      </c>
      <c r="E82" s="84"/>
      <c r="F82" s="79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4"/>
      <c r="H82" s="79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4"/>
      <c r="J82" s="79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4"/>
      <c r="L82" s="79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5" t="str">
        <f>IF(OR(posicao_contratual!J82="",posicao_contratual!N82=""),"",ROUND(MAX(posicao_contratual!J82+posicao_contratual!H82-posicao_contratual!N82,0),2))</f>
        <v/>
      </c>
      <c r="N82" s="79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5" t="str">
        <f>IF(OR(posicao_contratual!N82="",posicao_contratual!R82=""),"",ROUND(MAX(posicao_contratual!N82+posicao_contratual!L82-posicao_contratual!R82,0),2))</f>
        <v/>
      </c>
      <c r="P82" s="79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5" t="str">
        <f>IF(OR(posicao_contratual!R82="",posicao_contratual!V82=""),"",ROUND(MAX(posicao_contratual!R82+posicao_contratual!P82-posicao_contratual!V82,0),2))</f>
        <v/>
      </c>
      <c r="R82" s="79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86" t="str">
        <f>IF(AND(A82="",A81&lt;&gt;"",COUNTIF(A83:$A$200,"&lt;&gt;")=0),"TOTAL",IF(A82="","",posicao_contratual!X82))</f>
        <v/>
      </c>
      <c r="V82" s="86" t="str">
        <f>IF(A82="","",posicao_contratual!X82)</f>
        <v/>
      </c>
      <c r="W82" s="14"/>
      <c r="X82" s="14"/>
      <c r="Y82" s="14"/>
      <c r="Z82" s="13"/>
      <c r="AA82" s="13"/>
      <c r="AB82" s="85" t="str">
        <f>IF(OR(A82="",posicao_contratual!E82="",posicao_contratual!J82=""),"",ROUND(MAX(posicao_contratual!E82-posicao_contratual!J82,0),2))</f>
        <v/>
      </c>
      <c r="AC82" s="79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47" t="str">
        <f>IF(A82="","",posicao_contratual!E82)</f>
        <v/>
      </c>
      <c r="AE82" s="147" t="str">
        <f>IF(A82="","",posicao_contratual!I82)</f>
        <v/>
      </c>
      <c r="AF82" s="147" t="str">
        <f>IF(A82="","",posicao_contratual!M82)</f>
        <v/>
      </c>
      <c r="AG82" s="147" t="str">
        <f>IF(A82="","",posicao_contratual!Q82)</f>
        <v/>
      </c>
      <c r="AH82" s="147" t="str">
        <f>IF(A82="","",posicao_contratual!U82)</f>
        <v/>
      </c>
      <c r="AI82" s="147" t="str">
        <f>IF(A82="","",posicao_contratual!G82)</f>
        <v/>
      </c>
      <c r="AJ82" s="147" t="str">
        <f>IF(A82="","",posicao_contratual!K82)</f>
        <v/>
      </c>
      <c r="AK82" s="147" t="str">
        <f>IF(A82="","",posicao_contratual!O82)</f>
        <v/>
      </c>
      <c r="AL82" s="147" t="str">
        <f>IF(A82="","",posicao_contratual!S82)</f>
        <v/>
      </c>
      <c r="AM82" s="147" t="str">
        <f>IF(A82="","",posicao_contratual!W82)</f>
        <v/>
      </c>
      <c r="AN82" s="148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1"/>
      <c r="B83" s="82" t="str">
        <f t="shared" si="12"/>
        <v/>
      </c>
      <c r="C83" s="83"/>
      <c r="D83" s="79" t="str">
        <f>IF(AND(A83="",A82&lt;&gt;"",COUNTIF(A84:$A$200,"&lt;&gt;")=0),ROUND(SUMIF($A$2:A82,"&lt;&gt;",$D$2:D82),2),IF(OR(A83="",B83="",C83=""),"",ROUND(B83*C83,2)))</f>
        <v/>
      </c>
      <c r="E83" s="84"/>
      <c r="F83" s="79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4"/>
      <c r="H83" s="79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4"/>
      <c r="J83" s="79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4"/>
      <c r="L83" s="79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5" t="str">
        <f>IF(OR(posicao_contratual!J83="",posicao_contratual!N83=""),"",ROUND(MAX(posicao_contratual!J83+posicao_contratual!H83-posicao_contratual!N83,0),2))</f>
        <v/>
      </c>
      <c r="N83" s="79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5" t="str">
        <f>IF(OR(posicao_contratual!N83="",posicao_contratual!R83=""),"",ROUND(MAX(posicao_contratual!N83+posicao_contratual!L83-posicao_contratual!R83,0),2))</f>
        <v/>
      </c>
      <c r="P83" s="79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5" t="str">
        <f>IF(OR(posicao_contratual!R83="",posicao_contratual!V83=""),"",ROUND(MAX(posicao_contratual!R83+posicao_contratual!P83-posicao_contratual!V83,0),2))</f>
        <v/>
      </c>
      <c r="R83" s="79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86" t="str">
        <f>IF(AND(A83="",A82&lt;&gt;"",COUNTIF(A84:$A$200,"&lt;&gt;")=0),"TOTAL",IF(A83="","",posicao_contratual!X83))</f>
        <v/>
      </c>
      <c r="V83" s="86" t="str">
        <f>IF(A83="","",posicao_contratual!X83)</f>
        <v/>
      </c>
      <c r="W83" s="14"/>
      <c r="X83" s="14"/>
      <c r="Y83" s="14"/>
      <c r="Z83" s="13"/>
      <c r="AA83" s="13"/>
      <c r="AB83" s="85" t="str">
        <f>IF(OR(A83="",posicao_contratual!E83="",posicao_contratual!J83=""),"",ROUND(MAX(posicao_contratual!E83-posicao_contratual!J83,0),2))</f>
        <v/>
      </c>
      <c r="AC83" s="79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47" t="str">
        <f>IF(A83="","",posicao_contratual!E83)</f>
        <v/>
      </c>
      <c r="AE83" s="147" t="str">
        <f>IF(A83="","",posicao_contratual!I83)</f>
        <v/>
      </c>
      <c r="AF83" s="147" t="str">
        <f>IF(A83="","",posicao_contratual!M83)</f>
        <v/>
      </c>
      <c r="AG83" s="147" t="str">
        <f>IF(A83="","",posicao_contratual!Q83)</f>
        <v/>
      </c>
      <c r="AH83" s="147" t="str">
        <f>IF(A83="","",posicao_contratual!U83)</f>
        <v/>
      </c>
      <c r="AI83" s="147" t="str">
        <f>IF(A83="","",posicao_contratual!G83)</f>
        <v/>
      </c>
      <c r="AJ83" s="147" t="str">
        <f>IF(A83="","",posicao_contratual!K83)</f>
        <v/>
      </c>
      <c r="AK83" s="147" t="str">
        <f>IF(A83="","",posicao_contratual!O83)</f>
        <v/>
      </c>
      <c r="AL83" s="147" t="str">
        <f>IF(A83="","",posicao_contratual!S83)</f>
        <v/>
      </c>
      <c r="AM83" s="147" t="str">
        <f>IF(A83="","",posicao_contratual!W83)</f>
        <v/>
      </c>
      <c r="AN83" s="148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1"/>
      <c r="B84" s="82" t="str">
        <f t="shared" si="12"/>
        <v/>
      </c>
      <c r="C84" s="83"/>
      <c r="D84" s="79" t="str">
        <f>IF(AND(A84="",A83&lt;&gt;"",COUNTIF(A85:$A$200,"&lt;&gt;")=0),ROUND(SUMIF($A$2:A83,"&lt;&gt;",$D$2:D83),2),IF(OR(A84="",B84="",C84=""),"",ROUND(B84*C84,2)))</f>
        <v/>
      </c>
      <c r="E84" s="84"/>
      <c r="F84" s="79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4"/>
      <c r="H84" s="79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4"/>
      <c r="J84" s="79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4"/>
      <c r="L84" s="79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5" t="str">
        <f>IF(OR(posicao_contratual!J84="",posicao_contratual!N84=""),"",ROUND(MAX(posicao_contratual!J84+posicao_contratual!H84-posicao_contratual!N84,0),2))</f>
        <v/>
      </c>
      <c r="N84" s="79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5" t="str">
        <f>IF(OR(posicao_contratual!N84="",posicao_contratual!R84=""),"",ROUND(MAX(posicao_contratual!N84+posicao_contratual!L84-posicao_contratual!R84,0),2))</f>
        <v/>
      </c>
      <c r="P84" s="79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5" t="str">
        <f>IF(OR(posicao_contratual!R84="",posicao_contratual!V84=""),"",ROUND(MAX(posicao_contratual!R84+posicao_contratual!P84-posicao_contratual!V84,0),2))</f>
        <v/>
      </c>
      <c r="R84" s="79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86" t="str">
        <f>IF(AND(A84="",A83&lt;&gt;"",COUNTIF(A85:$A$200,"&lt;&gt;")=0),"TOTAL",IF(A84="","",posicao_contratual!X84))</f>
        <v/>
      </c>
      <c r="V84" s="86" t="str">
        <f>IF(A84="","",posicao_contratual!X84)</f>
        <v/>
      </c>
      <c r="W84" s="14"/>
      <c r="X84" s="14"/>
      <c r="Y84" s="14"/>
      <c r="Z84" s="13"/>
      <c r="AA84" s="13"/>
      <c r="AB84" s="85" t="str">
        <f>IF(OR(A84="",posicao_contratual!E84="",posicao_contratual!J84=""),"",ROUND(MAX(posicao_contratual!E84-posicao_contratual!J84,0),2))</f>
        <v/>
      </c>
      <c r="AC84" s="79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47" t="str">
        <f>IF(A84="","",posicao_contratual!E84)</f>
        <v/>
      </c>
      <c r="AE84" s="147" t="str">
        <f>IF(A84="","",posicao_contratual!I84)</f>
        <v/>
      </c>
      <c r="AF84" s="147" t="str">
        <f>IF(A84="","",posicao_contratual!M84)</f>
        <v/>
      </c>
      <c r="AG84" s="147" t="str">
        <f>IF(A84="","",posicao_contratual!Q84)</f>
        <v/>
      </c>
      <c r="AH84" s="147" t="str">
        <f>IF(A84="","",posicao_contratual!U84)</f>
        <v/>
      </c>
      <c r="AI84" s="147" t="str">
        <f>IF(A84="","",posicao_contratual!G84)</f>
        <v/>
      </c>
      <c r="AJ84" s="147" t="str">
        <f>IF(A84="","",posicao_contratual!K84)</f>
        <v/>
      </c>
      <c r="AK84" s="147" t="str">
        <f>IF(A84="","",posicao_contratual!O84)</f>
        <v/>
      </c>
      <c r="AL84" s="147" t="str">
        <f>IF(A84="","",posicao_contratual!S84)</f>
        <v/>
      </c>
      <c r="AM84" s="147" t="str">
        <f>IF(A84="","",posicao_contratual!W84)</f>
        <v/>
      </c>
      <c r="AN84" s="148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1"/>
      <c r="B85" s="82" t="str">
        <f t="shared" si="12"/>
        <v/>
      </c>
      <c r="C85" s="83"/>
      <c r="D85" s="79" t="str">
        <f>IF(AND(A85="",A84&lt;&gt;"",COUNTIF(A86:$A$200,"&lt;&gt;")=0),ROUND(SUMIF($A$2:A84,"&lt;&gt;",$D$2:D84),2),IF(OR(A85="",B85="",C85=""),"",ROUND(B85*C85,2)))</f>
        <v/>
      </c>
      <c r="E85" s="84"/>
      <c r="F85" s="79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4"/>
      <c r="H85" s="79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4"/>
      <c r="J85" s="79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4"/>
      <c r="L85" s="79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5" t="str">
        <f>IF(OR(posicao_contratual!J85="",posicao_contratual!N85=""),"",ROUND(MAX(posicao_contratual!J85+posicao_contratual!H85-posicao_contratual!N85,0),2))</f>
        <v/>
      </c>
      <c r="N85" s="79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5" t="str">
        <f>IF(OR(posicao_contratual!N85="",posicao_contratual!R85=""),"",ROUND(MAX(posicao_contratual!N85+posicao_contratual!L85-posicao_contratual!R85,0),2))</f>
        <v/>
      </c>
      <c r="P85" s="79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5" t="str">
        <f>IF(OR(posicao_contratual!R85="",posicao_contratual!V85=""),"",ROUND(MAX(posicao_contratual!R85+posicao_contratual!P85-posicao_contratual!V85,0),2))</f>
        <v/>
      </c>
      <c r="R85" s="79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86" t="str">
        <f>IF(AND(A85="",A84&lt;&gt;"",COUNTIF(A86:$A$200,"&lt;&gt;")=0),"TOTAL",IF(A85="","",posicao_contratual!X85))</f>
        <v/>
      </c>
      <c r="V85" s="86" t="str">
        <f>IF(A85="","",posicao_contratual!X85)</f>
        <v/>
      </c>
      <c r="W85" s="14"/>
      <c r="X85" s="14"/>
      <c r="Y85" s="14"/>
      <c r="Z85" s="13"/>
      <c r="AA85" s="13"/>
      <c r="AB85" s="85" t="str">
        <f>IF(OR(A85="",posicao_contratual!E85="",posicao_contratual!J85=""),"",ROUND(MAX(posicao_contratual!E85-posicao_contratual!J85,0),2))</f>
        <v/>
      </c>
      <c r="AC85" s="79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47" t="str">
        <f>IF(A85="","",posicao_contratual!E85)</f>
        <v/>
      </c>
      <c r="AE85" s="147" t="str">
        <f>IF(A85="","",posicao_contratual!I85)</f>
        <v/>
      </c>
      <c r="AF85" s="147" t="str">
        <f>IF(A85="","",posicao_contratual!M85)</f>
        <v/>
      </c>
      <c r="AG85" s="147" t="str">
        <f>IF(A85="","",posicao_contratual!Q85)</f>
        <v/>
      </c>
      <c r="AH85" s="147" t="str">
        <f>IF(A85="","",posicao_contratual!U85)</f>
        <v/>
      </c>
      <c r="AI85" s="147" t="str">
        <f>IF(A85="","",posicao_contratual!G85)</f>
        <v/>
      </c>
      <c r="AJ85" s="147" t="str">
        <f>IF(A85="","",posicao_contratual!K85)</f>
        <v/>
      </c>
      <c r="AK85" s="147" t="str">
        <f>IF(A85="","",posicao_contratual!O85)</f>
        <v/>
      </c>
      <c r="AL85" s="147" t="str">
        <f>IF(A85="","",posicao_contratual!S85)</f>
        <v/>
      </c>
      <c r="AM85" s="147" t="str">
        <f>IF(A85="","",posicao_contratual!W85)</f>
        <v/>
      </c>
      <c r="AN85" s="148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1"/>
      <c r="B86" s="82" t="str">
        <f t="shared" si="12"/>
        <v/>
      </c>
      <c r="C86" s="83"/>
      <c r="D86" s="79" t="str">
        <f>IF(AND(A86="",A85&lt;&gt;"",COUNTIF(A87:$A$200,"&lt;&gt;")=0),ROUND(SUMIF($A$2:A85,"&lt;&gt;",$D$2:D85),2),IF(OR(A86="",B86="",C86=""),"",ROUND(B86*C86,2)))</f>
        <v/>
      </c>
      <c r="E86" s="84"/>
      <c r="F86" s="79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4"/>
      <c r="H86" s="79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4"/>
      <c r="J86" s="79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4"/>
      <c r="L86" s="79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5" t="str">
        <f>IF(OR(posicao_contratual!J86="",posicao_contratual!N86=""),"",ROUND(MAX(posicao_contratual!J86+posicao_contratual!H86-posicao_contratual!N86,0),2))</f>
        <v/>
      </c>
      <c r="N86" s="79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5" t="str">
        <f>IF(OR(posicao_contratual!N86="",posicao_contratual!R86=""),"",ROUND(MAX(posicao_contratual!N86+posicao_contratual!L86-posicao_contratual!R86,0),2))</f>
        <v/>
      </c>
      <c r="P86" s="79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5" t="str">
        <f>IF(OR(posicao_contratual!R86="",posicao_contratual!V86=""),"",ROUND(MAX(posicao_contratual!R86+posicao_contratual!P86-posicao_contratual!V86,0),2))</f>
        <v/>
      </c>
      <c r="R86" s="79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86" t="str">
        <f>IF(AND(A86="",A85&lt;&gt;"",COUNTIF(A87:$A$200,"&lt;&gt;")=0),"TOTAL",IF(A86="","",posicao_contratual!X86))</f>
        <v/>
      </c>
      <c r="V86" s="86" t="str">
        <f>IF(A86="","",posicao_contratual!X86)</f>
        <v/>
      </c>
      <c r="W86" s="14"/>
      <c r="X86" s="14"/>
      <c r="Y86" s="14"/>
      <c r="Z86" s="13"/>
      <c r="AA86" s="13"/>
      <c r="AB86" s="85" t="str">
        <f>IF(OR(A86="",posicao_contratual!E86="",posicao_contratual!J86=""),"",ROUND(MAX(posicao_contratual!E86-posicao_contratual!J86,0),2))</f>
        <v/>
      </c>
      <c r="AC86" s="79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47" t="str">
        <f>IF(A86="","",posicao_contratual!E86)</f>
        <v/>
      </c>
      <c r="AE86" s="147" t="str">
        <f>IF(A86="","",posicao_contratual!I86)</f>
        <v/>
      </c>
      <c r="AF86" s="147" t="str">
        <f>IF(A86="","",posicao_contratual!M86)</f>
        <v/>
      </c>
      <c r="AG86" s="147" t="str">
        <f>IF(A86="","",posicao_contratual!Q86)</f>
        <v/>
      </c>
      <c r="AH86" s="147" t="str">
        <f>IF(A86="","",posicao_contratual!U86)</f>
        <v/>
      </c>
      <c r="AI86" s="147" t="str">
        <f>IF(A86="","",posicao_contratual!G86)</f>
        <v/>
      </c>
      <c r="AJ86" s="147" t="str">
        <f>IF(A86="","",posicao_contratual!K86)</f>
        <v/>
      </c>
      <c r="AK86" s="147" t="str">
        <f>IF(A86="","",posicao_contratual!O86)</f>
        <v/>
      </c>
      <c r="AL86" s="147" t="str">
        <f>IF(A86="","",posicao_contratual!S86)</f>
        <v/>
      </c>
      <c r="AM86" s="147" t="str">
        <f>IF(A86="","",posicao_contratual!W86)</f>
        <v/>
      </c>
      <c r="AN86" s="148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1"/>
      <c r="B87" s="82" t="str">
        <f t="shared" si="12"/>
        <v/>
      </c>
      <c r="C87" s="83"/>
      <c r="D87" s="79" t="str">
        <f>IF(AND(A87="",A86&lt;&gt;"",COUNTIF(A88:$A$200,"&lt;&gt;")=0),ROUND(SUMIF($A$2:A86,"&lt;&gt;",$D$2:D86),2),IF(OR(A87="",B87="",C87=""),"",ROUND(B87*C87,2)))</f>
        <v/>
      </c>
      <c r="E87" s="84"/>
      <c r="F87" s="79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4"/>
      <c r="H87" s="79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4"/>
      <c r="J87" s="79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4"/>
      <c r="L87" s="79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5" t="str">
        <f>IF(OR(posicao_contratual!J87="",posicao_contratual!N87=""),"",ROUND(MAX(posicao_contratual!J87+posicao_contratual!H87-posicao_contratual!N87,0),2))</f>
        <v/>
      </c>
      <c r="N87" s="79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5" t="str">
        <f>IF(OR(posicao_contratual!N87="",posicao_contratual!R87=""),"",ROUND(MAX(posicao_contratual!N87+posicao_contratual!L87-posicao_contratual!R87,0),2))</f>
        <v/>
      </c>
      <c r="P87" s="79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5" t="str">
        <f>IF(OR(posicao_contratual!R87="",posicao_contratual!V87=""),"",ROUND(MAX(posicao_contratual!R87+posicao_contratual!P87-posicao_contratual!V87,0),2))</f>
        <v/>
      </c>
      <c r="R87" s="79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86" t="str">
        <f>IF(AND(A87="",A86&lt;&gt;"",COUNTIF(A88:$A$200,"&lt;&gt;")=0),"TOTAL",IF(A87="","",posicao_contratual!X87))</f>
        <v/>
      </c>
      <c r="V87" s="86" t="str">
        <f>IF(A87="","",posicao_contratual!X87)</f>
        <v/>
      </c>
      <c r="W87" s="14"/>
      <c r="X87" s="14"/>
      <c r="Y87" s="14"/>
      <c r="Z87" s="13"/>
      <c r="AA87" s="13"/>
      <c r="AB87" s="85" t="str">
        <f>IF(OR(A87="",posicao_contratual!E87="",posicao_contratual!J87=""),"",ROUND(MAX(posicao_contratual!E87-posicao_contratual!J87,0),2))</f>
        <v/>
      </c>
      <c r="AC87" s="79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47" t="str">
        <f>IF(A87="","",posicao_contratual!E87)</f>
        <v/>
      </c>
      <c r="AE87" s="147" t="str">
        <f>IF(A87="","",posicao_contratual!I87)</f>
        <v/>
      </c>
      <c r="AF87" s="147" t="str">
        <f>IF(A87="","",posicao_contratual!M87)</f>
        <v/>
      </c>
      <c r="AG87" s="147" t="str">
        <f>IF(A87="","",posicao_contratual!Q87)</f>
        <v/>
      </c>
      <c r="AH87" s="147" t="str">
        <f>IF(A87="","",posicao_contratual!U87)</f>
        <v/>
      </c>
      <c r="AI87" s="147" t="str">
        <f>IF(A87="","",posicao_contratual!G87)</f>
        <v/>
      </c>
      <c r="AJ87" s="147" t="str">
        <f>IF(A87="","",posicao_contratual!K87)</f>
        <v/>
      </c>
      <c r="AK87" s="147" t="str">
        <f>IF(A87="","",posicao_contratual!O87)</f>
        <v/>
      </c>
      <c r="AL87" s="147" t="str">
        <f>IF(A87="","",posicao_contratual!S87)</f>
        <v/>
      </c>
      <c r="AM87" s="147" t="str">
        <f>IF(A87="","",posicao_contratual!W87)</f>
        <v/>
      </c>
      <c r="AN87" s="148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1"/>
      <c r="B88" s="82" t="str">
        <f t="shared" si="12"/>
        <v/>
      </c>
      <c r="C88" s="83"/>
      <c r="D88" s="79" t="str">
        <f>IF(AND(A88="",A87&lt;&gt;"",COUNTIF(A89:$A$200,"&lt;&gt;")=0),ROUND(SUMIF($A$2:A87,"&lt;&gt;",$D$2:D87),2),IF(OR(A88="",B88="",C88=""),"",ROUND(B88*C88,2)))</f>
        <v/>
      </c>
      <c r="E88" s="84"/>
      <c r="F88" s="79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4"/>
      <c r="H88" s="79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4"/>
      <c r="J88" s="79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4"/>
      <c r="L88" s="79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5" t="str">
        <f>IF(OR(posicao_contratual!J88="",posicao_contratual!N88=""),"",ROUND(MAX(posicao_contratual!J88+posicao_contratual!H88-posicao_contratual!N88,0),2))</f>
        <v/>
      </c>
      <c r="N88" s="79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5" t="str">
        <f>IF(OR(posicao_contratual!N88="",posicao_contratual!R88=""),"",ROUND(MAX(posicao_contratual!N88+posicao_contratual!L88-posicao_contratual!R88,0),2))</f>
        <v/>
      </c>
      <c r="P88" s="79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5" t="str">
        <f>IF(OR(posicao_contratual!R88="",posicao_contratual!V88=""),"",ROUND(MAX(posicao_contratual!R88+posicao_contratual!P88-posicao_contratual!V88,0),2))</f>
        <v/>
      </c>
      <c r="R88" s="79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86" t="str">
        <f>IF(AND(A88="",A87&lt;&gt;"",COUNTIF(A89:$A$200,"&lt;&gt;")=0),"TOTAL",IF(A88="","",posicao_contratual!X88))</f>
        <v/>
      </c>
      <c r="V88" s="86" t="str">
        <f>IF(A88="","",posicao_contratual!X88)</f>
        <v/>
      </c>
      <c r="W88" s="14"/>
      <c r="X88" s="14"/>
      <c r="Y88" s="14"/>
      <c r="Z88" s="13"/>
      <c r="AA88" s="13"/>
      <c r="AB88" s="85" t="str">
        <f>IF(OR(A88="",posicao_contratual!E88="",posicao_contratual!J88=""),"",ROUND(MAX(posicao_contratual!E88-posicao_contratual!J88,0),2))</f>
        <v/>
      </c>
      <c r="AC88" s="79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47" t="str">
        <f>IF(A88="","",posicao_contratual!E88)</f>
        <v/>
      </c>
      <c r="AE88" s="147" t="str">
        <f>IF(A88="","",posicao_contratual!I88)</f>
        <v/>
      </c>
      <c r="AF88" s="147" t="str">
        <f>IF(A88="","",posicao_contratual!M88)</f>
        <v/>
      </c>
      <c r="AG88" s="147" t="str">
        <f>IF(A88="","",posicao_contratual!Q88)</f>
        <v/>
      </c>
      <c r="AH88" s="147" t="str">
        <f>IF(A88="","",posicao_contratual!U88)</f>
        <v/>
      </c>
      <c r="AI88" s="147" t="str">
        <f>IF(A88="","",posicao_contratual!G88)</f>
        <v/>
      </c>
      <c r="AJ88" s="147" t="str">
        <f>IF(A88="","",posicao_contratual!K88)</f>
        <v/>
      </c>
      <c r="AK88" s="147" t="str">
        <f>IF(A88="","",posicao_contratual!O88)</f>
        <v/>
      </c>
      <c r="AL88" s="147" t="str">
        <f>IF(A88="","",posicao_contratual!S88)</f>
        <v/>
      </c>
      <c r="AM88" s="147" t="str">
        <f>IF(A88="","",posicao_contratual!W88)</f>
        <v/>
      </c>
      <c r="AN88" s="148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1"/>
      <c r="B89" s="82" t="str">
        <f t="shared" si="12"/>
        <v/>
      </c>
      <c r="C89" s="83"/>
      <c r="D89" s="79" t="str">
        <f>IF(AND(A89="",A88&lt;&gt;"",COUNTIF(A90:$A$200,"&lt;&gt;")=0),ROUND(SUMIF($A$2:A88,"&lt;&gt;",$D$2:D88),2),IF(OR(A89="",B89="",C89=""),"",ROUND(B89*C89,2)))</f>
        <v/>
      </c>
      <c r="E89" s="84"/>
      <c r="F89" s="79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4"/>
      <c r="H89" s="79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4"/>
      <c r="J89" s="79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4"/>
      <c r="L89" s="79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5" t="str">
        <f>IF(OR(posicao_contratual!J89="",posicao_contratual!N89=""),"",ROUND(MAX(posicao_contratual!J89+posicao_contratual!H89-posicao_contratual!N89,0),2))</f>
        <v/>
      </c>
      <c r="N89" s="79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5" t="str">
        <f>IF(OR(posicao_contratual!N89="",posicao_contratual!R89=""),"",ROUND(MAX(posicao_contratual!N89+posicao_contratual!L89-posicao_contratual!R89,0),2))</f>
        <v/>
      </c>
      <c r="P89" s="79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5" t="str">
        <f>IF(OR(posicao_contratual!R89="",posicao_contratual!V89=""),"",ROUND(MAX(posicao_contratual!R89+posicao_contratual!P89-posicao_contratual!V89,0),2))</f>
        <v/>
      </c>
      <c r="R89" s="79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86" t="str">
        <f>IF(AND(A89="",A88&lt;&gt;"",COUNTIF(A90:$A$200,"&lt;&gt;")=0),"TOTAL",IF(A89="","",posicao_contratual!X89))</f>
        <v/>
      </c>
      <c r="V89" s="86" t="str">
        <f>IF(A89="","",posicao_contratual!X89)</f>
        <v/>
      </c>
      <c r="W89" s="14"/>
      <c r="X89" s="14"/>
      <c r="Y89" s="14"/>
      <c r="Z89" s="13"/>
      <c r="AA89" s="13"/>
      <c r="AB89" s="85" t="str">
        <f>IF(OR(A89="",posicao_contratual!E89="",posicao_contratual!J89=""),"",ROUND(MAX(posicao_contratual!E89-posicao_contratual!J89,0),2))</f>
        <v/>
      </c>
      <c r="AC89" s="79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47" t="str">
        <f>IF(A89="","",posicao_contratual!E89)</f>
        <v/>
      </c>
      <c r="AE89" s="147" t="str">
        <f>IF(A89="","",posicao_contratual!I89)</f>
        <v/>
      </c>
      <c r="AF89" s="147" t="str">
        <f>IF(A89="","",posicao_contratual!M89)</f>
        <v/>
      </c>
      <c r="AG89" s="147" t="str">
        <f>IF(A89="","",posicao_contratual!Q89)</f>
        <v/>
      </c>
      <c r="AH89" s="147" t="str">
        <f>IF(A89="","",posicao_contratual!U89)</f>
        <v/>
      </c>
      <c r="AI89" s="147" t="str">
        <f>IF(A89="","",posicao_contratual!G89)</f>
        <v/>
      </c>
      <c r="AJ89" s="147" t="str">
        <f>IF(A89="","",posicao_contratual!K89)</f>
        <v/>
      </c>
      <c r="AK89" s="147" t="str">
        <f>IF(A89="","",posicao_contratual!O89)</f>
        <v/>
      </c>
      <c r="AL89" s="147" t="str">
        <f>IF(A89="","",posicao_contratual!S89)</f>
        <v/>
      </c>
      <c r="AM89" s="147" t="str">
        <f>IF(A89="","",posicao_contratual!W89)</f>
        <v/>
      </c>
      <c r="AN89" s="148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1"/>
      <c r="B90" s="82" t="str">
        <f t="shared" si="12"/>
        <v/>
      </c>
      <c r="C90" s="83"/>
      <c r="D90" s="79" t="str">
        <f>IF(AND(A90="",A89&lt;&gt;"",COUNTIF(A91:$A$200,"&lt;&gt;")=0),ROUND(SUMIF($A$2:A89,"&lt;&gt;",$D$2:D89),2),IF(OR(A90="",B90="",C90=""),"",ROUND(B90*C90,2)))</f>
        <v/>
      </c>
      <c r="E90" s="84"/>
      <c r="F90" s="79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4"/>
      <c r="H90" s="79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4"/>
      <c r="J90" s="79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4"/>
      <c r="L90" s="79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5" t="str">
        <f>IF(OR(posicao_contratual!J90="",posicao_contratual!N90=""),"",ROUND(MAX(posicao_contratual!J90+posicao_contratual!H90-posicao_contratual!N90,0),2))</f>
        <v/>
      </c>
      <c r="N90" s="79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5" t="str">
        <f>IF(OR(posicao_contratual!N90="",posicao_contratual!R90=""),"",ROUND(MAX(posicao_contratual!N90+posicao_contratual!L90-posicao_contratual!R90,0),2))</f>
        <v/>
      </c>
      <c r="P90" s="79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5" t="str">
        <f>IF(OR(posicao_contratual!R90="",posicao_contratual!V90=""),"",ROUND(MAX(posicao_contratual!R90+posicao_contratual!P90-posicao_contratual!V90,0),2))</f>
        <v/>
      </c>
      <c r="R90" s="79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86" t="str">
        <f>IF(AND(A90="",A89&lt;&gt;"",COUNTIF(A91:$A$200,"&lt;&gt;")=0),"TOTAL",IF(A90="","",posicao_contratual!X90))</f>
        <v/>
      </c>
      <c r="V90" s="86" t="str">
        <f>IF(A90="","",posicao_contratual!X90)</f>
        <v/>
      </c>
      <c r="W90" s="14"/>
      <c r="X90" s="14"/>
      <c r="Y90" s="14"/>
      <c r="Z90" s="13"/>
      <c r="AA90" s="13"/>
      <c r="AB90" s="85" t="str">
        <f>IF(OR(A90="",posicao_contratual!E90="",posicao_contratual!J90=""),"",ROUND(MAX(posicao_contratual!E90-posicao_contratual!J90,0),2))</f>
        <v/>
      </c>
      <c r="AC90" s="79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47" t="str">
        <f>IF(A90="","",posicao_contratual!E90)</f>
        <v/>
      </c>
      <c r="AE90" s="147" t="str">
        <f>IF(A90="","",posicao_contratual!I90)</f>
        <v/>
      </c>
      <c r="AF90" s="147" t="str">
        <f>IF(A90="","",posicao_contratual!M90)</f>
        <v/>
      </c>
      <c r="AG90" s="147" t="str">
        <f>IF(A90="","",posicao_contratual!Q90)</f>
        <v/>
      </c>
      <c r="AH90" s="147" t="str">
        <f>IF(A90="","",posicao_contratual!U90)</f>
        <v/>
      </c>
      <c r="AI90" s="147" t="str">
        <f>IF(A90="","",posicao_contratual!G90)</f>
        <v/>
      </c>
      <c r="AJ90" s="147" t="str">
        <f>IF(A90="","",posicao_contratual!K90)</f>
        <v/>
      </c>
      <c r="AK90" s="147" t="str">
        <f>IF(A90="","",posicao_contratual!O90)</f>
        <v/>
      </c>
      <c r="AL90" s="147" t="str">
        <f>IF(A90="","",posicao_contratual!S90)</f>
        <v/>
      </c>
      <c r="AM90" s="147" t="str">
        <f>IF(A90="","",posicao_contratual!W90)</f>
        <v/>
      </c>
      <c r="AN90" s="148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1"/>
      <c r="B91" s="82" t="str">
        <f t="shared" si="12"/>
        <v/>
      </c>
      <c r="C91" s="83"/>
      <c r="D91" s="79" t="str">
        <f>IF(AND(A91="",A90&lt;&gt;"",COUNTIF(A92:$A$200,"&lt;&gt;")=0),ROUND(SUMIF($A$2:A90,"&lt;&gt;",$D$2:D90),2),IF(OR(A91="",B91="",C91=""),"",ROUND(B91*C91,2)))</f>
        <v/>
      </c>
      <c r="E91" s="84"/>
      <c r="F91" s="79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4"/>
      <c r="H91" s="79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4"/>
      <c r="J91" s="79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4"/>
      <c r="L91" s="79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5" t="str">
        <f>IF(OR(posicao_contratual!J91="",posicao_contratual!N91=""),"",ROUND(MAX(posicao_contratual!J91+posicao_contratual!H91-posicao_contratual!N91,0),2))</f>
        <v/>
      </c>
      <c r="N91" s="79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5" t="str">
        <f>IF(OR(posicao_contratual!N91="",posicao_contratual!R91=""),"",ROUND(MAX(posicao_contratual!N91+posicao_contratual!L91-posicao_contratual!R91,0),2))</f>
        <v/>
      </c>
      <c r="P91" s="79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5" t="str">
        <f>IF(OR(posicao_contratual!R91="",posicao_contratual!V91=""),"",ROUND(MAX(posicao_contratual!R91+posicao_contratual!P91-posicao_contratual!V91,0),2))</f>
        <v/>
      </c>
      <c r="R91" s="79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86" t="str">
        <f>IF(AND(A91="",A90&lt;&gt;"",COUNTIF(A92:$A$200,"&lt;&gt;")=0),"TOTAL",IF(A91="","",posicao_contratual!X91))</f>
        <v/>
      </c>
      <c r="V91" s="86" t="str">
        <f>IF(A91="","",posicao_contratual!X91)</f>
        <v/>
      </c>
      <c r="W91" s="14"/>
      <c r="X91" s="14"/>
      <c r="Y91" s="14"/>
      <c r="Z91" s="13"/>
      <c r="AA91" s="13"/>
      <c r="AB91" s="85" t="str">
        <f>IF(OR(A91="",posicao_contratual!E91="",posicao_contratual!J91=""),"",ROUND(MAX(posicao_contratual!E91-posicao_contratual!J91,0),2))</f>
        <v/>
      </c>
      <c r="AC91" s="79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47" t="str">
        <f>IF(A91="","",posicao_contratual!E91)</f>
        <v/>
      </c>
      <c r="AE91" s="147" t="str">
        <f>IF(A91="","",posicao_contratual!I91)</f>
        <v/>
      </c>
      <c r="AF91" s="147" t="str">
        <f>IF(A91="","",posicao_contratual!M91)</f>
        <v/>
      </c>
      <c r="AG91" s="147" t="str">
        <f>IF(A91="","",posicao_contratual!Q91)</f>
        <v/>
      </c>
      <c r="AH91" s="147" t="str">
        <f>IF(A91="","",posicao_contratual!U91)</f>
        <v/>
      </c>
      <c r="AI91" s="147" t="str">
        <f>IF(A91="","",posicao_contratual!G91)</f>
        <v/>
      </c>
      <c r="AJ91" s="147" t="str">
        <f>IF(A91="","",posicao_contratual!K91)</f>
        <v/>
      </c>
      <c r="AK91" s="147" t="str">
        <f>IF(A91="","",posicao_contratual!O91)</f>
        <v/>
      </c>
      <c r="AL91" s="147" t="str">
        <f>IF(A91="","",posicao_contratual!S91)</f>
        <v/>
      </c>
      <c r="AM91" s="147" t="str">
        <f>IF(A91="","",posicao_contratual!W91)</f>
        <v/>
      </c>
      <c r="AN91" s="148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1"/>
      <c r="B92" s="82" t="str">
        <f t="shared" si="12"/>
        <v/>
      </c>
      <c r="C92" s="83"/>
      <c r="D92" s="79" t="str">
        <f>IF(AND(A92="",A91&lt;&gt;"",COUNTIF(A93:$A$200,"&lt;&gt;")=0),ROUND(SUMIF($A$2:A91,"&lt;&gt;",$D$2:D91),2),IF(OR(A92="",B92="",C92=""),"",ROUND(B92*C92,2)))</f>
        <v/>
      </c>
      <c r="E92" s="84"/>
      <c r="F92" s="79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4"/>
      <c r="H92" s="79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4"/>
      <c r="J92" s="79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4"/>
      <c r="L92" s="79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5" t="str">
        <f>IF(OR(posicao_contratual!J92="",posicao_contratual!N92=""),"",ROUND(MAX(posicao_contratual!J92+posicao_contratual!H92-posicao_contratual!N92,0),2))</f>
        <v/>
      </c>
      <c r="N92" s="79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5" t="str">
        <f>IF(OR(posicao_contratual!N92="",posicao_contratual!R92=""),"",ROUND(MAX(posicao_contratual!N92+posicao_contratual!L92-posicao_contratual!R92,0),2))</f>
        <v/>
      </c>
      <c r="P92" s="79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5" t="str">
        <f>IF(OR(posicao_contratual!R92="",posicao_contratual!V92=""),"",ROUND(MAX(posicao_contratual!R92+posicao_contratual!P92-posicao_contratual!V92,0),2))</f>
        <v/>
      </c>
      <c r="R92" s="79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86" t="str">
        <f>IF(AND(A92="",A91&lt;&gt;"",COUNTIF(A93:$A$200,"&lt;&gt;")=0),"TOTAL",IF(A92="","",posicao_contratual!X92))</f>
        <v/>
      </c>
      <c r="V92" s="86" t="str">
        <f>IF(A92="","",posicao_contratual!X92)</f>
        <v/>
      </c>
      <c r="W92" s="14"/>
      <c r="X92" s="14"/>
      <c r="Y92" s="14"/>
      <c r="Z92" s="13"/>
      <c r="AA92" s="13"/>
      <c r="AB92" s="85" t="str">
        <f>IF(OR(A92="",posicao_contratual!E92="",posicao_contratual!J92=""),"",ROUND(MAX(posicao_contratual!E92-posicao_contratual!J92,0),2))</f>
        <v/>
      </c>
      <c r="AC92" s="79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47" t="str">
        <f>IF(A92="","",posicao_contratual!E92)</f>
        <v/>
      </c>
      <c r="AE92" s="147" t="str">
        <f>IF(A92="","",posicao_contratual!I92)</f>
        <v/>
      </c>
      <c r="AF92" s="147" t="str">
        <f>IF(A92="","",posicao_contratual!M92)</f>
        <v/>
      </c>
      <c r="AG92" s="147" t="str">
        <f>IF(A92="","",posicao_contratual!Q92)</f>
        <v/>
      </c>
      <c r="AH92" s="147" t="str">
        <f>IF(A92="","",posicao_contratual!U92)</f>
        <v/>
      </c>
      <c r="AI92" s="147" t="str">
        <f>IF(A92="","",posicao_contratual!G92)</f>
        <v/>
      </c>
      <c r="AJ92" s="147" t="str">
        <f>IF(A92="","",posicao_contratual!K92)</f>
        <v/>
      </c>
      <c r="AK92" s="147" t="str">
        <f>IF(A92="","",posicao_contratual!O92)</f>
        <v/>
      </c>
      <c r="AL92" s="147" t="str">
        <f>IF(A92="","",posicao_contratual!S92)</f>
        <v/>
      </c>
      <c r="AM92" s="147" t="str">
        <f>IF(A92="","",posicao_contratual!W92)</f>
        <v/>
      </c>
      <c r="AN92" s="148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1"/>
      <c r="B93" s="82" t="str">
        <f t="shared" si="12"/>
        <v/>
      </c>
      <c r="C93" s="83"/>
      <c r="D93" s="79" t="str">
        <f>IF(AND(A93="",A92&lt;&gt;"",COUNTIF(A94:$A$200,"&lt;&gt;")=0),ROUND(SUMIF($A$2:A92,"&lt;&gt;",$D$2:D92),2),IF(OR(A93="",B93="",C93=""),"",ROUND(B93*C93,2)))</f>
        <v/>
      </c>
      <c r="E93" s="84"/>
      <c r="F93" s="79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4"/>
      <c r="H93" s="79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4"/>
      <c r="J93" s="79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4"/>
      <c r="L93" s="79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5" t="str">
        <f>IF(OR(posicao_contratual!J93="",posicao_contratual!N93=""),"",ROUND(MAX(posicao_contratual!J93+posicao_contratual!H93-posicao_contratual!N93,0),2))</f>
        <v/>
      </c>
      <c r="N93" s="79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5" t="str">
        <f>IF(OR(posicao_contratual!N93="",posicao_contratual!R93=""),"",ROUND(MAX(posicao_contratual!N93+posicao_contratual!L93-posicao_contratual!R93,0),2))</f>
        <v/>
      </c>
      <c r="P93" s="79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5" t="str">
        <f>IF(OR(posicao_contratual!R93="",posicao_contratual!V93=""),"",ROUND(MAX(posicao_contratual!R93+posicao_contratual!P93-posicao_contratual!V93,0),2))</f>
        <v/>
      </c>
      <c r="R93" s="79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86" t="str">
        <f>IF(AND(A93="",A92&lt;&gt;"",COUNTIF(A94:$A$200,"&lt;&gt;")=0),"TOTAL",IF(A93="","",posicao_contratual!X93))</f>
        <v/>
      </c>
      <c r="V93" s="86" t="str">
        <f>IF(A93="","",posicao_contratual!X93)</f>
        <v/>
      </c>
      <c r="W93" s="14"/>
      <c r="X93" s="14"/>
      <c r="Y93" s="14"/>
      <c r="Z93" s="13"/>
      <c r="AA93" s="13"/>
      <c r="AB93" s="85" t="str">
        <f>IF(OR(A93="",posicao_contratual!E93="",posicao_contratual!J93=""),"",ROUND(MAX(posicao_contratual!E93-posicao_contratual!J93,0),2))</f>
        <v/>
      </c>
      <c r="AC93" s="79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47" t="str">
        <f>IF(A93="","",posicao_contratual!E93)</f>
        <v/>
      </c>
      <c r="AE93" s="147" t="str">
        <f>IF(A93="","",posicao_contratual!I93)</f>
        <v/>
      </c>
      <c r="AF93" s="147" t="str">
        <f>IF(A93="","",posicao_contratual!M93)</f>
        <v/>
      </c>
      <c r="AG93" s="147" t="str">
        <f>IF(A93="","",posicao_contratual!Q93)</f>
        <v/>
      </c>
      <c r="AH93" s="147" t="str">
        <f>IF(A93="","",posicao_contratual!U93)</f>
        <v/>
      </c>
      <c r="AI93" s="147" t="str">
        <f>IF(A93="","",posicao_contratual!G93)</f>
        <v/>
      </c>
      <c r="AJ93" s="147" t="str">
        <f>IF(A93="","",posicao_contratual!K93)</f>
        <v/>
      </c>
      <c r="AK93" s="147" t="str">
        <f>IF(A93="","",posicao_contratual!O93)</f>
        <v/>
      </c>
      <c r="AL93" s="147" t="str">
        <f>IF(A93="","",posicao_contratual!S93)</f>
        <v/>
      </c>
      <c r="AM93" s="147" t="str">
        <f>IF(A93="","",posicao_contratual!W93)</f>
        <v/>
      </c>
      <c r="AN93" s="148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1"/>
      <c r="B94" s="82" t="str">
        <f t="shared" si="12"/>
        <v/>
      </c>
      <c r="C94" s="83"/>
      <c r="D94" s="79" t="str">
        <f>IF(AND(A94="",A93&lt;&gt;"",COUNTIF(A95:$A$200,"&lt;&gt;")=0),ROUND(SUMIF($A$2:A93,"&lt;&gt;",$D$2:D93),2),IF(OR(A94="",B94="",C94=""),"",ROUND(B94*C94,2)))</f>
        <v/>
      </c>
      <c r="E94" s="84"/>
      <c r="F94" s="79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4"/>
      <c r="H94" s="79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4"/>
      <c r="J94" s="79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4"/>
      <c r="L94" s="79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5" t="str">
        <f>IF(OR(posicao_contratual!J94="",posicao_contratual!N94=""),"",ROUND(MAX(posicao_contratual!J94+posicao_contratual!H94-posicao_contratual!N94,0),2))</f>
        <v/>
      </c>
      <c r="N94" s="79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5" t="str">
        <f>IF(OR(posicao_contratual!N94="",posicao_contratual!R94=""),"",ROUND(MAX(posicao_contratual!N94+posicao_contratual!L94-posicao_contratual!R94,0),2))</f>
        <v/>
      </c>
      <c r="P94" s="79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5" t="str">
        <f>IF(OR(posicao_contratual!R94="",posicao_contratual!V94=""),"",ROUND(MAX(posicao_contratual!R94+posicao_contratual!P94-posicao_contratual!V94,0),2))</f>
        <v/>
      </c>
      <c r="R94" s="79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86" t="str">
        <f>IF(AND(A94="",A93&lt;&gt;"",COUNTIF(A95:$A$200,"&lt;&gt;")=0),"TOTAL",IF(A94="","",posicao_contratual!X94))</f>
        <v/>
      </c>
      <c r="V94" s="86" t="str">
        <f>IF(A94="","",posicao_contratual!X94)</f>
        <v/>
      </c>
      <c r="W94" s="14"/>
      <c r="X94" s="14"/>
      <c r="Y94" s="14"/>
      <c r="Z94" s="13"/>
      <c r="AA94" s="13"/>
      <c r="AB94" s="85" t="str">
        <f>IF(OR(A94="",posicao_contratual!E94="",posicao_contratual!J94=""),"",ROUND(MAX(posicao_contratual!E94-posicao_contratual!J94,0),2))</f>
        <v/>
      </c>
      <c r="AC94" s="79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47" t="str">
        <f>IF(A94="","",posicao_contratual!E94)</f>
        <v/>
      </c>
      <c r="AE94" s="147" t="str">
        <f>IF(A94="","",posicao_contratual!I94)</f>
        <v/>
      </c>
      <c r="AF94" s="147" t="str">
        <f>IF(A94="","",posicao_contratual!M94)</f>
        <v/>
      </c>
      <c r="AG94" s="147" t="str">
        <f>IF(A94="","",posicao_contratual!Q94)</f>
        <v/>
      </c>
      <c r="AH94" s="147" t="str">
        <f>IF(A94="","",posicao_contratual!U94)</f>
        <v/>
      </c>
      <c r="AI94" s="147" t="str">
        <f>IF(A94="","",posicao_contratual!G94)</f>
        <v/>
      </c>
      <c r="AJ94" s="147" t="str">
        <f>IF(A94="","",posicao_contratual!K94)</f>
        <v/>
      </c>
      <c r="AK94" s="147" t="str">
        <f>IF(A94="","",posicao_contratual!O94)</f>
        <v/>
      </c>
      <c r="AL94" s="147" t="str">
        <f>IF(A94="","",posicao_contratual!S94)</f>
        <v/>
      </c>
      <c r="AM94" s="147" t="str">
        <f>IF(A94="","",posicao_contratual!W94)</f>
        <v/>
      </c>
      <c r="AN94" s="148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1"/>
      <c r="B95" s="82" t="str">
        <f t="shared" si="12"/>
        <v/>
      </c>
      <c r="C95" s="83"/>
      <c r="D95" s="79" t="str">
        <f>IF(AND(A95="",A94&lt;&gt;"",COUNTIF(A96:$A$200,"&lt;&gt;")=0),ROUND(SUMIF($A$2:A94,"&lt;&gt;",$D$2:D94),2),IF(OR(A95="",B95="",C95=""),"",ROUND(B95*C95,2)))</f>
        <v/>
      </c>
      <c r="E95" s="84"/>
      <c r="F95" s="79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4"/>
      <c r="H95" s="79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4"/>
      <c r="J95" s="79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4"/>
      <c r="L95" s="79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5" t="str">
        <f>IF(OR(posicao_contratual!J95="",posicao_contratual!N95=""),"",ROUND(MAX(posicao_contratual!J95+posicao_contratual!H95-posicao_contratual!N95,0),2))</f>
        <v/>
      </c>
      <c r="N95" s="79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5" t="str">
        <f>IF(OR(posicao_contratual!N95="",posicao_contratual!R95=""),"",ROUND(MAX(posicao_contratual!N95+posicao_contratual!L95-posicao_contratual!R95,0),2))</f>
        <v/>
      </c>
      <c r="P95" s="79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5" t="str">
        <f>IF(OR(posicao_contratual!R95="",posicao_contratual!V95=""),"",ROUND(MAX(posicao_contratual!R95+posicao_contratual!P95-posicao_contratual!V95,0),2))</f>
        <v/>
      </c>
      <c r="R95" s="79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86" t="str">
        <f>IF(AND(A95="",A94&lt;&gt;"",COUNTIF(A96:$A$200,"&lt;&gt;")=0),"TOTAL",IF(A95="","",posicao_contratual!X95))</f>
        <v/>
      </c>
      <c r="V95" s="86" t="str">
        <f>IF(A95="","",posicao_contratual!X95)</f>
        <v/>
      </c>
      <c r="W95" s="14"/>
      <c r="X95" s="14"/>
      <c r="Y95" s="14"/>
      <c r="Z95" s="13"/>
      <c r="AA95" s="13"/>
      <c r="AB95" s="85" t="str">
        <f>IF(OR(A95="",posicao_contratual!E95="",posicao_contratual!J95=""),"",ROUND(MAX(posicao_contratual!E95-posicao_contratual!J95,0),2))</f>
        <v/>
      </c>
      <c r="AC95" s="79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47" t="str">
        <f>IF(A95="","",posicao_contratual!E95)</f>
        <v/>
      </c>
      <c r="AE95" s="147" t="str">
        <f>IF(A95="","",posicao_contratual!I95)</f>
        <v/>
      </c>
      <c r="AF95" s="147" t="str">
        <f>IF(A95="","",posicao_contratual!M95)</f>
        <v/>
      </c>
      <c r="AG95" s="147" t="str">
        <f>IF(A95="","",posicao_contratual!Q95)</f>
        <v/>
      </c>
      <c r="AH95" s="147" t="str">
        <f>IF(A95="","",posicao_contratual!U95)</f>
        <v/>
      </c>
      <c r="AI95" s="147" t="str">
        <f>IF(A95="","",posicao_contratual!G95)</f>
        <v/>
      </c>
      <c r="AJ95" s="147" t="str">
        <f>IF(A95="","",posicao_contratual!K95)</f>
        <v/>
      </c>
      <c r="AK95" s="147" t="str">
        <f>IF(A95="","",posicao_contratual!O95)</f>
        <v/>
      </c>
      <c r="AL95" s="147" t="str">
        <f>IF(A95="","",posicao_contratual!S95)</f>
        <v/>
      </c>
      <c r="AM95" s="147" t="str">
        <f>IF(A95="","",posicao_contratual!W95)</f>
        <v/>
      </c>
      <c r="AN95" s="148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1"/>
      <c r="B96" s="82" t="str">
        <f t="shared" si="12"/>
        <v/>
      </c>
      <c r="C96" s="83"/>
      <c r="D96" s="79" t="str">
        <f>IF(AND(A96="",A95&lt;&gt;"",COUNTIF(A97:$A$200,"&lt;&gt;")=0),ROUND(SUMIF($A$2:A95,"&lt;&gt;",$D$2:D95),2),IF(OR(A96="",B96="",C96=""),"",ROUND(B96*C96,2)))</f>
        <v/>
      </c>
      <c r="E96" s="84"/>
      <c r="F96" s="79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4"/>
      <c r="H96" s="79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4"/>
      <c r="J96" s="79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4"/>
      <c r="L96" s="79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5" t="str">
        <f>IF(OR(posicao_contratual!J96="",posicao_contratual!N96=""),"",ROUND(MAX(posicao_contratual!J96+posicao_contratual!H96-posicao_contratual!N96,0),2))</f>
        <v/>
      </c>
      <c r="N96" s="79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5" t="str">
        <f>IF(OR(posicao_contratual!N96="",posicao_contratual!R96=""),"",ROUND(MAX(posicao_contratual!N96+posicao_contratual!L96-posicao_contratual!R96,0),2))</f>
        <v/>
      </c>
      <c r="P96" s="79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5" t="str">
        <f>IF(OR(posicao_contratual!R96="",posicao_contratual!V96=""),"",ROUND(MAX(posicao_contratual!R96+posicao_contratual!P96-posicao_contratual!V96,0),2))</f>
        <v/>
      </c>
      <c r="R96" s="79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86" t="str">
        <f>IF(AND(A96="",A95&lt;&gt;"",COUNTIF(A97:$A$200,"&lt;&gt;")=0),"TOTAL",IF(A96="","",posicao_contratual!X96))</f>
        <v/>
      </c>
      <c r="V96" s="86" t="str">
        <f>IF(A96="","",posicao_contratual!X96)</f>
        <v/>
      </c>
      <c r="W96" s="14"/>
      <c r="X96" s="14"/>
      <c r="Y96" s="14"/>
      <c r="Z96" s="13"/>
      <c r="AA96" s="13"/>
      <c r="AB96" s="85" t="str">
        <f>IF(OR(A96="",posicao_contratual!E96="",posicao_contratual!J96=""),"",ROUND(MAX(posicao_contratual!E96-posicao_contratual!J96,0),2))</f>
        <v/>
      </c>
      <c r="AC96" s="79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47" t="str">
        <f>IF(A96="","",posicao_contratual!E96)</f>
        <v/>
      </c>
      <c r="AE96" s="147" t="str">
        <f>IF(A96="","",posicao_contratual!I96)</f>
        <v/>
      </c>
      <c r="AF96" s="147" t="str">
        <f>IF(A96="","",posicao_contratual!M96)</f>
        <v/>
      </c>
      <c r="AG96" s="147" t="str">
        <f>IF(A96="","",posicao_contratual!Q96)</f>
        <v/>
      </c>
      <c r="AH96" s="147" t="str">
        <f>IF(A96="","",posicao_contratual!U96)</f>
        <v/>
      </c>
      <c r="AI96" s="147" t="str">
        <f>IF(A96="","",posicao_contratual!G96)</f>
        <v/>
      </c>
      <c r="AJ96" s="147" t="str">
        <f>IF(A96="","",posicao_contratual!K96)</f>
        <v/>
      </c>
      <c r="AK96" s="147" t="str">
        <f>IF(A96="","",posicao_contratual!O96)</f>
        <v/>
      </c>
      <c r="AL96" s="147" t="str">
        <f>IF(A96="","",posicao_contratual!S96)</f>
        <v/>
      </c>
      <c r="AM96" s="147" t="str">
        <f>IF(A96="","",posicao_contratual!W96)</f>
        <v/>
      </c>
      <c r="AN96" s="148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1"/>
      <c r="B97" s="82" t="str">
        <f t="shared" si="12"/>
        <v/>
      </c>
      <c r="C97" s="83"/>
      <c r="D97" s="79" t="str">
        <f>IF(AND(A97="",A96&lt;&gt;"",COUNTIF(A98:$A$200,"&lt;&gt;")=0),ROUND(SUMIF($A$2:A96,"&lt;&gt;",$D$2:D96),2),IF(OR(A97="",B97="",C97=""),"",ROUND(B97*C97,2)))</f>
        <v/>
      </c>
      <c r="E97" s="84"/>
      <c r="F97" s="79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4"/>
      <c r="H97" s="79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4"/>
      <c r="J97" s="79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4"/>
      <c r="L97" s="79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5" t="str">
        <f>IF(OR(posicao_contratual!J97="",posicao_contratual!N97=""),"",ROUND(MAX(posicao_contratual!J97+posicao_contratual!H97-posicao_contratual!N97,0),2))</f>
        <v/>
      </c>
      <c r="N97" s="79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5" t="str">
        <f>IF(OR(posicao_contratual!N97="",posicao_contratual!R97=""),"",ROUND(MAX(posicao_contratual!N97+posicao_contratual!L97-posicao_contratual!R97,0),2))</f>
        <v/>
      </c>
      <c r="P97" s="79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5" t="str">
        <f>IF(OR(posicao_contratual!R97="",posicao_contratual!V97=""),"",ROUND(MAX(posicao_contratual!R97+posicao_contratual!P97-posicao_contratual!V97,0),2))</f>
        <v/>
      </c>
      <c r="R97" s="79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86" t="str">
        <f>IF(AND(A97="",A96&lt;&gt;"",COUNTIF(A98:$A$200,"&lt;&gt;")=0),"TOTAL",IF(A97="","",posicao_contratual!X97))</f>
        <v/>
      </c>
      <c r="V97" s="86" t="str">
        <f>IF(A97="","",posicao_contratual!X97)</f>
        <v/>
      </c>
      <c r="W97" s="14"/>
      <c r="X97" s="14"/>
      <c r="Y97" s="14"/>
      <c r="Z97" s="13"/>
      <c r="AA97" s="13"/>
      <c r="AB97" s="85" t="str">
        <f>IF(OR(A97="",posicao_contratual!E97="",posicao_contratual!J97=""),"",ROUND(MAX(posicao_contratual!E97-posicao_contratual!J97,0),2))</f>
        <v/>
      </c>
      <c r="AC97" s="79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47" t="str">
        <f>IF(A97="","",posicao_contratual!E97)</f>
        <v/>
      </c>
      <c r="AE97" s="147" t="str">
        <f>IF(A97="","",posicao_contratual!I97)</f>
        <v/>
      </c>
      <c r="AF97" s="147" t="str">
        <f>IF(A97="","",posicao_contratual!M97)</f>
        <v/>
      </c>
      <c r="AG97" s="147" t="str">
        <f>IF(A97="","",posicao_contratual!Q97)</f>
        <v/>
      </c>
      <c r="AH97" s="147" t="str">
        <f>IF(A97="","",posicao_contratual!U97)</f>
        <v/>
      </c>
      <c r="AI97" s="147" t="str">
        <f>IF(A97="","",posicao_contratual!G97)</f>
        <v/>
      </c>
      <c r="AJ97" s="147" t="str">
        <f>IF(A97="","",posicao_contratual!K97)</f>
        <v/>
      </c>
      <c r="AK97" s="147" t="str">
        <f>IF(A97="","",posicao_contratual!O97)</f>
        <v/>
      </c>
      <c r="AL97" s="147" t="str">
        <f>IF(A97="","",posicao_contratual!S97)</f>
        <v/>
      </c>
      <c r="AM97" s="147" t="str">
        <f>IF(A97="","",posicao_contratual!W97)</f>
        <v/>
      </c>
      <c r="AN97" s="148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1"/>
      <c r="B98" s="82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3"/>
      <c r="D98" s="79" t="str">
        <f>IF(AND(A98="",A97&lt;&gt;"",COUNTIF(A99:$A$200,"&lt;&gt;")=0),ROUND(SUMIF($A$2:A97,"&lt;&gt;",$D$2:D97),2),IF(OR(A98="",B98="",C98=""),"",ROUND(B98*C98,2)))</f>
        <v/>
      </c>
      <c r="E98" s="84"/>
      <c r="F98" s="79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4"/>
      <c r="H98" s="79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4"/>
      <c r="J98" s="79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4"/>
      <c r="L98" s="79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5" t="str">
        <f>IF(OR(posicao_contratual!J98="",posicao_contratual!N98=""),"",ROUND(MAX(posicao_contratual!J98+posicao_contratual!H98-posicao_contratual!N98,0),2))</f>
        <v/>
      </c>
      <c r="N98" s="79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5" t="str">
        <f>IF(OR(posicao_contratual!N98="",posicao_contratual!R98=""),"",ROUND(MAX(posicao_contratual!N98+posicao_contratual!L98-posicao_contratual!R98,0),2))</f>
        <v/>
      </c>
      <c r="P98" s="79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5" t="str">
        <f>IF(OR(posicao_contratual!R98="",posicao_contratual!V98=""),"",ROUND(MAX(posicao_contratual!R98+posicao_contratual!P98-posicao_contratual!V98,0),2))</f>
        <v/>
      </c>
      <c r="R98" s="79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86" t="str">
        <f>IF(AND(A98="",A97&lt;&gt;"",COUNTIF(A99:$A$200,"&lt;&gt;")=0),"TOTAL",IF(A98="","",posicao_contratual!X98))</f>
        <v/>
      </c>
      <c r="V98" s="86" t="str">
        <f>IF(A98="","",posicao_contratual!X98)</f>
        <v/>
      </c>
      <c r="W98" s="14"/>
      <c r="X98" s="14"/>
      <c r="Y98" s="14"/>
      <c r="Z98" s="13"/>
      <c r="AA98" s="13"/>
      <c r="AB98" s="85" t="str">
        <f>IF(OR(A98="",posicao_contratual!E98="",posicao_contratual!J98=""),"",ROUND(MAX(posicao_contratual!E98-posicao_contratual!J98,0),2))</f>
        <v/>
      </c>
      <c r="AC98" s="79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47" t="str">
        <f>IF(A98="","",posicao_contratual!E98)</f>
        <v/>
      </c>
      <c r="AE98" s="147" t="str">
        <f>IF(A98="","",posicao_contratual!I98)</f>
        <v/>
      </c>
      <c r="AF98" s="147" t="str">
        <f>IF(A98="","",posicao_contratual!M98)</f>
        <v/>
      </c>
      <c r="AG98" s="147" t="str">
        <f>IF(A98="","",posicao_contratual!Q98)</f>
        <v/>
      </c>
      <c r="AH98" s="147" t="str">
        <f>IF(A98="","",posicao_contratual!U98)</f>
        <v/>
      </c>
      <c r="AI98" s="147" t="str">
        <f>IF(A98="","",posicao_contratual!G98)</f>
        <v/>
      </c>
      <c r="AJ98" s="147" t="str">
        <f>IF(A98="","",posicao_contratual!K98)</f>
        <v/>
      </c>
      <c r="AK98" s="147" t="str">
        <f>IF(A98="","",posicao_contratual!O98)</f>
        <v/>
      </c>
      <c r="AL98" s="147" t="str">
        <f>IF(A98="","",posicao_contratual!S98)</f>
        <v/>
      </c>
      <c r="AM98" s="147" t="str">
        <f>IF(A98="","",posicao_contratual!W98)</f>
        <v/>
      </c>
      <c r="AN98" s="148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1"/>
      <c r="B99" s="82" t="str">
        <f t="shared" si="18"/>
        <v/>
      </c>
      <c r="C99" s="83"/>
      <c r="D99" s="79" t="str">
        <f>IF(AND(A99="",A98&lt;&gt;"",COUNTIF(A100:$A$200,"&lt;&gt;")=0),ROUND(SUMIF($A$2:A98,"&lt;&gt;",$D$2:D98),2),IF(OR(A99="",B99="",C99=""),"",ROUND(B99*C99,2)))</f>
        <v/>
      </c>
      <c r="E99" s="84"/>
      <c r="F99" s="79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4"/>
      <c r="H99" s="79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4"/>
      <c r="J99" s="79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4"/>
      <c r="L99" s="79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5" t="str">
        <f>IF(OR(posicao_contratual!J99="",posicao_contratual!N99=""),"",ROUND(MAX(posicao_contratual!J99+posicao_contratual!H99-posicao_contratual!N99,0),2))</f>
        <v/>
      </c>
      <c r="N99" s="79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5" t="str">
        <f>IF(OR(posicao_contratual!N99="",posicao_contratual!R99=""),"",ROUND(MAX(posicao_contratual!N99+posicao_contratual!L99-posicao_contratual!R99,0),2))</f>
        <v/>
      </c>
      <c r="P99" s="79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5" t="str">
        <f>IF(OR(posicao_contratual!R99="",posicao_contratual!V99=""),"",ROUND(MAX(posicao_contratual!R99+posicao_contratual!P99-posicao_contratual!V99,0),2))</f>
        <v/>
      </c>
      <c r="R99" s="79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86" t="str">
        <f>IF(AND(A99="",A98&lt;&gt;"",COUNTIF(A100:$A$200,"&lt;&gt;")=0),"TOTAL",IF(A99="","",posicao_contratual!X99))</f>
        <v/>
      </c>
      <c r="V99" s="86" t="str">
        <f>IF(A99="","",posicao_contratual!X99)</f>
        <v/>
      </c>
      <c r="W99" s="14"/>
      <c r="X99" s="14"/>
      <c r="Y99" s="14"/>
      <c r="Z99" s="13"/>
      <c r="AA99" s="13"/>
      <c r="AB99" s="85" t="str">
        <f>IF(OR(A99="",posicao_contratual!E99="",posicao_contratual!J99=""),"",ROUND(MAX(posicao_contratual!E99-posicao_contratual!J99,0),2))</f>
        <v/>
      </c>
      <c r="AC99" s="79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47" t="str">
        <f>IF(A99="","",posicao_contratual!E99)</f>
        <v/>
      </c>
      <c r="AE99" s="147" t="str">
        <f>IF(A99="","",posicao_contratual!I99)</f>
        <v/>
      </c>
      <c r="AF99" s="147" t="str">
        <f>IF(A99="","",posicao_contratual!M99)</f>
        <v/>
      </c>
      <c r="AG99" s="147" t="str">
        <f>IF(A99="","",posicao_contratual!Q99)</f>
        <v/>
      </c>
      <c r="AH99" s="147" t="str">
        <f>IF(A99="","",posicao_contratual!U99)</f>
        <v/>
      </c>
      <c r="AI99" s="147" t="str">
        <f>IF(A99="","",posicao_contratual!G99)</f>
        <v/>
      </c>
      <c r="AJ99" s="147" t="str">
        <f>IF(A99="","",posicao_contratual!K99)</f>
        <v/>
      </c>
      <c r="AK99" s="147" t="str">
        <f>IF(A99="","",posicao_contratual!O99)</f>
        <v/>
      </c>
      <c r="AL99" s="147" t="str">
        <f>IF(A99="","",posicao_contratual!S99)</f>
        <v/>
      </c>
      <c r="AM99" s="147" t="str">
        <f>IF(A99="","",posicao_contratual!W99)</f>
        <v/>
      </c>
      <c r="AN99" s="148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1"/>
      <c r="B100" s="82" t="str">
        <f t="shared" si="18"/>
        <v/>
      </c>
      <c r="C100" s="83"/>
      <c r="D100" s="79" t="str">
        <f>IF(AND(A100="",A99&lt;&gt;"",COUNTIF(A101:$A$200,"&lt;&gt;")=0),ROUND(SUMIF($A$2:A99,"&lt;&gt;",$D$2:D99),2),IF(OR(A100="",B100="",C100=""),"",ROUND(B100*C100,2)))</f>
        <v/>
      </c>
      <c r="E100" s="84"/>
      <c r="F100" s="79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4"/>
      <c r="H100" s="79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4"/>
      <c r="J100" s="79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4"/>
      <c r="L100" s="79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5" t="str">
        <f>IF(OR(posicao_contratual!J100="",posicao_contratual!N100=""),"",ROUND(MAX(posicao_contratual!J100+posicao_contratual!H100-posicao_contratual!N100,0),2))</f>
        <v/>
      </c>
      <c r="N100" s="79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5" t="str">
        <f>IF(OR(posicao_contratual!N100="",posicao_contratual!R100=""),"",ROUND(MAX(posicao_contratual!N100+posicao_contratual!L100-posicao_contratual!R100,0),2))</f>
        <v/>
      </c>
      <c r="P100" s="79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5" t="str">
        <f>IF(OR(posicao_contratual!R100="",posicao_contratual!V100=""),"",ROUND(MAX(posicao_contratual!R100+posicao_contratual!P100-posicao_contratual!V100,0),2))</f>
        <v/>
      </c>
      <c r="R100" s="79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86" t="str">
        <f>IF(AND(A100="",A99&lt;&gt;"",COUNTIF(A101:$A$200,"&lt;&gt;")=0),"TOTAL",IF(A100="","",posicao_contratual!X100))</f>
        <v/>
      </c>
      <c r="V100" s="86" t="str">
        <f>IF(A100="","",posicao_contratual!X100)</f>
        <v/>
      </c>
      <c r="W100" s="14"/>
      <c r="X100" s="14"/>
      <c r="Y100" s="14"/>
      <c r="Z100" s="13"/>
      <c r="AA100" s="13"/>
      <c r="AB100" s="85" t="str">
        <f>IF(OR(A100="",posicao_contratual!E100="",posicao_contratual!J100=""),"",ROUND(MAX(posicao_contratual!E100-posicao_contratual!J100,0),2))</f>
        <v/>
      </c>
      <c r="AC100" s="79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47" t="str">
        <f>IF(A100="","",posicao_contratual!E100)</f>
        <v/>
      </c>
      <c r="AE100" s="147" t="str">
        <f>IF(A100="","",posicao_contratual!I100)</f>
        <v/>
      </c>
      <c r="AF100" s="147" t="str">
        <f>IF(A100="","",posicao_contratual!M100)</f>
        <v/>
      </c>
      <c r="AG100" s="147" t="str">
        <f>IF(A100="","",posicao_contratual!Q100)</f>
        <v/>
      </c>
      <c r="AH100" s="147" t="str">
        <f>IF(A100="","",posicao_contratual!U100)</f>
        <v/>
      </c>
      <c r="AI100" s="147" t="str">
        <f>IF(A100="","",posicao_contratual!G100)</f>
        <v/>
      </c>
      <c r="AJ100" s="147" t="str">
        <f>IF(A100="","",posicao_contratual!K100)</f>
        <v/>
      </c>
      <c r="AK100" s="147" t="str">
        <f>IF(A100="","",posicao_contratual!O100)</f>
        <v/>
      </c>
      <c r="AL100" s="147" t="str">
        <f>IF(A100="","",posicao_contratual!S100)</f>
        <v/>
      </c>
      <c r="AM100" s="147" t="str">
        <f>IF(A100="","",posicao_contratual!W100)</f>
        <v/>
      </c>
      <c r="AN100" s="148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1"/>
      <c r="B101" s="82" t="str">
        <f t="shared" si="18"/>
        <v/>
      </c>
      <c r="C101" s="83"/>
      <c r="D101" s="79" t="str">
        <f>IF(AND(A101="",A100&lt;&gt;"",COUNTIF(A102:$A$200,"&lt;&gt;")=0),ROUND(SUMIF($A$2:A100,"&lt;&gt;",$D$2:D100),2),IF(OR(A101="",B101="",C101=""),"",ROUND(B101*C101,2)))</f>
        <v/>
      </c>
      <c r="E101" s="84"/>
      <c r="F101" s="79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4"/>
      <c r="H101" s="79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4"/>
      <c r="J101" s="79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4"/>
      <c r="L101" s="79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5" t="str">
        <f>IF(OR(posicao_contratual!J101="",posicao_contratual!N101=""),"",ROUND(MAX(posicao_contratual!J101+posicao_contratual!H101-posicao_contratual!N101,0),2))</f>
        <v/>
      </c>
      <c r="N101" s="79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5" t="str">
        <f>IF(OR(posicao_contratual!N101="",posicao_contratual!R101=""),"",ROUND(MAX(posicao_contratual!N101+posicao_contratual!L101-posicao_contratual!R101,0),2))</f>
        <v/>
      </c>
      <c r="P101" s="79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5" t="str">
        <f>IF(OR(posicao_contratual!R101="",posicao_contratual!V101=""),"",ROUND(MAX(posicao_contratual!R101+posicao_contratual!P101-posicao_contratual!V101,0),2))</f>
        <v/>
      </c>
      <c r="R101" s="79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86" t="str">
        <f>IF(AND(A101="",A100&lt;&gt;"",COUNTIF(A102:$A$200,"&lt;&gt;")=0),"TOTAL",IF(A101="","",posicao_contratual!X101))</f>
        <v/>
      </c>
      <c r="V101" s="86" t="str">
        <f>IF(A101="","",posicao_contratual!X101)</f>
        <v/>
      </c>
      <c r="W101" s="14"/>
      <c r="X101" s="14"/>
      <c r="Y101" s="14"/>
      <c r="Z101" s="13"/>
      <c r="AA101" s="13"/>
      <c r="AB101" s="85" t="str">
        <f>IF(OR(A101="",posicao_contratual!E101="",posicao_contratual!J101=""),"",ROUND(MAX(posicao_contratual!E101-posicao_contratual!J101,0),2))</f>
        <v/>
      </c>
      <c r="AC101" s="79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47" t="str">
        <f>IF(A101="","",posicao_contratual!E101)</f>
        <v/>
      </c>
      <c r="AE101" s="147" t="str">
        <f>IF(A101="","",posicao_contratual!I101)</f>
        <v/>
      </c>
      <c r="AF101" s="147" t="str">
        <f>IF(A101="","",posicao_contratual!M101)</f>
        <v/>
      </c>
      <c r="AG101" s="147" t="str">
        <f>IF(A101="","",posicao_contratual!Q101)</f>
        <v/>
      </c>
      <c r="AH101" s="147" t="str">
        <f>IF(A101="","",posicao_contratual!U101)</f>
        <v/>
      </c>
      <c r="AI101" s="147" t="str">
        <f>IF(A101="","",posicao_contratual!G101)</f>
        <v/>
      </c>
      <c r="AJ101" s="147" t="str">
        <f>IF(A101="","",posicao_contratual!K101)</f>
        <v/>
      </c>
      <c r="AK101" s="147" t="str">
        <f>IF(A101="","",posicao_contratual!O101)</f>
        <v/>
      </c>
      <c r="AL101" s="147" t="str">
        <f>IF(A101="","",posicao_contratual!S101)</f>
        <v/>
      </c>
      <c r="AM101" s="147" t="str">
        <f>IF(A101="","",posicao_contratual!W101)</f>
        <v/>
      </c>
      <c r="AN101" s="148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1"/>
      <c r="B102" s="82" t="str">
        <f t="shared" si="18"/>
        <v/>
      </c>
      <c r="C102" s="83"/>
      <c r="D102" s="79" t="str">
        <f>IF(AND(A102="",A101&lt;&gt;"",COUNTIF(A103:$A$200,"&lt;&gt;")=0),ROUND(SUMIF($A$2:A101,"&lt;&gt;",$D$2:D101),2),IF(OR(A102="",B102="",C102=""),"",ROUND(B102*C102,2)))</f>
        <v/>
      </c>
      <c r="E102" s="84"/>
      <c r="F102" s="79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4"/>
      <c r="H102" s="79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4"/>
      <c r="J102" s="79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4"/>
      <c r="L102" s="79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5" t="str">
        <f>IF(OR(posicao_contratual!J102="",posicao_contratual!N102=""),"",ROUND(MAX(posicao_contratual!J102+posicao_contratual!H102-posicao_contratual!N102,0),2))</f>
        <v/>
      </c>
      <c r="N102" s="79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5" t="str">
        <f>IF(OR(posicao_contratual!N102="",posicao_contratual!R102=""),"",ROUND(MAX(posicao_contratual!N102+posicao_contratual!L102-posicao_contratual!R102,0),2))</f>
        <v/>
      </c>
      <c r="P102" s="79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5" t="str">
        <f>IF(OR(posicao_contratual!R102="",posicao_contratual!V102=""),"",ROUND(MAX(posicao_contratual!R102+posicao_contratual!P102-posicao_contratual!V102,0),2))</f>
        <v/>
      </c>
      <c r="R102" s="79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38"/>
      <c r="T102" s="39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86" t="str">
        <f>IF(AND(A102="",A101&lt;&gt;"",COUNTIF(A103:$A$200,"&lt;&gt;")=0),"TOTAL",IF(A102="","",posicao_contratual!X102))</f>
        <v/>
      </c>
      <c r="V102" s="86" t="str">
        <f>IF(A102="","",posicao_contratual!X102)</f>
        <v/>
      </c>
      <c r="W102" s="13"/>
      <c r="X102" s="13"/>
      <c r="Y102" s="13"/>
      <c r="Z102" s="13"/>
      <c r="AA102" s="13"/>
      <c r="AB102" s="85" t="str">
        <f>IF(OR(A102="",posicao_contratual!E102="",posicao_contratual!J102=""),"",ROUND(MAX(posicao_contratual!E102-posicao_contratual!J102,0),2))</f>
        <v/>
      </c>
      <c r="AC102" s="79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47" t="str">
        <f>IF(A102="","",posicao_contratual!E102)</f>
        <v/>
      </c>
      <c r="AE102" s="147" t="str">
        <f>IF(A102="","",posicao_contratual!I102)</f>
        <v/>
      </c>
      <c r="AF102" s="147" t="str">
        <f>IF(A102="","",posicao_contratual!M102)</f>
        <v/>
      </c>
      <c r="AG102" s="147" t="str">
        <f>IF(A102="","",posicao_contratual!Q102)</f>
        <v/>
      </c>
      <c r="AH102" s="147" t="str">
        <f>IF(A102="","",posicao_contratual!U102)</f>
        <v/>
      </c>
      <c r="AI102" s="147" t="str">
        <f>IF(A102="","",posicao_contratual!G102)</f>
        <v/>
      </c>
      <c r="AJ102" s="147" t="str">
        <f>IF(A102="","",posicao_contratual!K102)</f>
        <v/>
      </c>
      <c r="AK102" s="147" t="str">
        <f>IF(A102="","",posicao_contratual!O102)</f>
        <v/>
      </c>
      <c r="AL102" s="147" t="str">
        <f>IF(A102="","",posicao_contratual!S102)</f>
        <v/>
      </c>
      <c r="AM102" s="147" t="str">
        <f>IF(A102="","",posicao_contratual!W102)</f>
        <v/>
      </c>
      <c r="AN102" s="148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1"/>
      <c r="B103" s="82" t="str">
        <f t="shared" si="18"/>
        <v/>
      </c>
      <c r="C103" s="83"/>
      <c r="D103" s="79" t="str">
        <f>IF(AND(A103="",A102&lt;&gt;"",COUNTIF(A104:$A$200,"&lt;&gt;")=0),ROUND(SUMIF($A$2:A102,"&lt;&gt;",$D$2:D102),2),IF(OR(A103="",B103="",C103=""),"",ROUND(B103*C103,2)))</f>
        <v/>
      </c>
      <c r="E103" s="84"/>
      <c r="F103" s="79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4"/>
      <c r="H103" s="79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4"/>
      <c r="J103" s="79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4"/>
      <c r="L103" s="79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5" t="str">
        <f>IF(OR(posicao_contratual!J103="",posicao_contratual!N103=""),"",ROUND(MAX(posicao_contratual!J103+posicao_contratual!H103-posicao_contratual!N103,0),2))</f>
        <v/>
      </c>
      <c r="N103" s="79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5" t="str">
        <f>IF(OR(posicao_contratual!N103="",posicao_contratual!R103=""),"",ROUND(MAX(posicao_contratual!N103+posicao_contratual!L103-posicao_contratual!R103,0),2))</f>
        <v/>
      </c>
      <c r="P103" s="79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5" t="str">
        <f>IF(OR(posicao_contratual!R103="",posicao_contratual!V103=""),"",ROUND(MAX(posicao_contratual!R103+posicao_contratual!P103-posicao_contratual!V103,0),2))</f>
        <v/>
      </c>
      <c r="R103" s="79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38"/>
      <c r="T103" s="39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86" t="str">
        <f>IF(AND(A103="",A102&lt;&gt;"",COUNTIF(A104:$A$200,"&lt;&gt;")=0),"TOTAL",IF(A103="","",posicao_contratual!X103))</f>
        <v/>
      </c>
      <c r="V103" s="86" t="str">
        <f>IF(A103="","",posicao_contratual!X103)</f>
        <v/>
      </c>
      <c r="W103" s="13"/>
      <c r="X103" s="13"/>
      <c r="Y103" s="13"/>
      <c r="Z103" s="13"/>
      <c r="AA103" s="13"/>
      <c r="AB103" s="85" t="str">
        <f>IF(OR(A103="",posicao_contratual!E103="",posicao_contratual!J103=""),"",ROUND(MAX(posicao_contratual!E103-posicao_contratual!J103,0),2))</f>
        <v/>
      </c>
      <c r="AC103" s="79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47" t="str">
        <f>IF(A103="","",posicao_contratual!E103)</f>
        <v/>
      </c>
      <c r="AE103" s="147" t="str">
        <f>IF(A103="","",posicao_contratual!I103)</f>
        <v/>
      </c>
      <c r="AF103" s="147" t="str">
        <f>IF(A103="","",posicao_contratual!M103)</f>
        <v/>
      </c>
      <c r="AG103" s="147" t="str">
        <f>IF(A103="","",posicao_contratual!Q103)</f>
        <v/>
      </c>
      <c r="AH103" s="147" t="str">
        <f>IF(A103="","",posicao_contratual!U103)</f>
        <v/>
      </c>
      <c r="AI103" s="147" t="str">
        <f>IF(A103="","",posicao_contratual!G103)</f>
        <v/>
      </c>
      <c r="AJ103" s="147" t="str">
        <f>IF(A103="","",posicao_contratual!K103)</f>
        <v/>
      </c>
      <c r="AK103" s="147" t="str">
        <f>IF(A103="","",posicao_contratual!O103)</f>
        <v/>
      </c>
      <c r="AL103" s="147" t="str">
        <f>IF(A103="","",posicao_contratual!S103)</f>
        <v/>
      </c>
      <c r="AM103" s="147" t="str">
        <f>IF(A103="","",posicao_contratual!W103)</f>
        <v/>
      </c>
      <c r="AN103" s="148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1"/>
      <c r="B104" s="82" t="str">
        <f t="shared" si="18"/>
        <v/>
      </c>
      <c r="C104" s="83"/>
      <c r="D104" s="79" t="str">
        <f>IF(AND(A104="",A103&lt;&gt;"",COUNTIF(A105:$A$200,"&lt;&gt;")=0),ROUND(SUMIF($A$2:A103,"&lt;&gt;",$D$2:D103),2),IF(OR(A104="",B104="",C104=""),"",ROUND(B104*C104,2)))</f>
        <v/>
      </c>
      <c r="E104" s="84"/>
      <c r="F104" s="79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4"/>
      <c r="H104" s="79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4"/>
      <c r="J104" s="79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4"/>
      <c r="L104" s="79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5" t="str">
        <f>IF(OR(posicao_contratual!J104="",posicao_contratual!N104=""),"",ROUND(MAX(posicao_contratual!J104+posicao_contratual!H104-posicao_contratual!N104,0),2))</f>
        <v/>
      </c>
      <c r="N104" s="79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5" t="str">
        <f>IF(OR(posicao_contratual!N104="",posicao_contratual!R104=""),"",ROUND(MAX(posicao_contratual!N104+posicao_contratual!L104-posicao_contratual!R104,0),2))</f>
        <v/>
      </c>
      <c r="P104" s="79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5" t="str">
        <f>IF(OR(posicao_contratual!R104="",posicao_contratual!V104=""),"",ROUND(MAX(posicao_contratual!R104+posicao_contratual!P104-posicao_contratual!V104,0),2))</f>
        <v/>
      </c>
      <c r="R104" s="79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38"/>
      <c r="T104" s="39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86" t="str">
        <f>IF(AND(A104="",A103&lt;&gt;"",COUNTIF(A105:$A$200,"&lt;&gt;")=0),"TOTAL",IF(A104="","",posicao_contratual!X104))</f>
        <v/>
      </c>
      <c r="V104" s="86" t="str">
        <f>IF(A104="","",posicao_contratual!X104)</f>
        <v/>
      </c>
      <c r="W104" s="13"/>
      <c r="X104" s="13"/>
      <c r="Y104" s="13"/>
      <c r="Z104" s="13"/>
      <c r="AA104" s="13"/>
      <c r="AB104" s="85" t="str">
        <f>IF(OR(A104="",posicao_contratual!E104="",posicao_contratual!J104=""),"",ROUND(MAX(posicao_contratual!E104-posicao_contratual!J104,0),2))</f>
        <v/>
      </c>
      <c r="AC104" s="79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47" t="str">
        <f>IF(A104="","",posicao_contratual!E104)</f>
        <v/>
      </c>
      <c r="AE104" s="147" t="str">
        <f>IF(A104="","",posicao_contratual!I104)</f>
        <v/>
      </c>
      <c r="AF104" s="147" t="str">
        <f>IF(A104="","",posicao_contratual!M104)</f>
        <v/>
      </c>
      <c r="AG104" s="147" t="str">
        <f>IF(A104="","",posicao_contratual!Q104)</f>
        <v/>
      </c>
      <c r="AH104" s="147" t="str">
        <f>IF(A104="","",posicao_contratual!U104)</f>
        <v/>
      </c>
      <c r="AI104" s="147" t="str">
        <f>IF(A104="","",posicao_contratual!G104)</f>
        <v/>
      </c>
      <c r="AJ104" s="147" t="str">
        <f>IF(A104="","",posicao_contratual!K104)</f>
        <v/>
      </c>
      <c r="AK104" s="147" t="str">
        <f>IF(A104="","",posicao_contratual!O104)</f>
        <v/>
      </c>
      <c r="AL104" s="147" t="str">
        <f>IF(A104="","",posicao_contratual!S104)</f>
        <v/>
      </c>
      <c r="AM104" s="147" t="str">
        <f>IF(A104="","",posicao_contratual!W104)</f>
        <v/>
      </c>
      <c r="AN104" s="148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1"/>
      <c r="B105" s="82" t="str">
        <f t="shared" si="18"/>
        <v/>
      </c>
      <c r="C105" s="83"/>
      <c r="D105" s="79" t="str">
        <f>IF(AND(A105="",A104&lt;&gt;"",COUNTIF(A106:$A$200,"&lt;&gt;")=0),ROUND(SUMIF($A$2:A104,"&lt;&gt;",$D$2:D104),2),IF(OR(A105="",B105="",C105=""),"",ROUND(B105*C105,2)))</f>
        <v/>
      </c>
      <c r="E105" s="84"/>
      <c r="F105" s="79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4"/>
      <c r="H105" s="79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4"/>
      <c r="J105" s="79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4"/>
      <c r="L105" s="79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5" t="str">
        <f>IF(OR(posicao_contratual!J105="",posicao_contratual!N105=""),"",ROUND(MAX(posicao_contratual!J105+posicao_contratual!H105-posicao_contratual!N105,0),2))</f>
        <v/>
      </c>
      <c r="N105" s="79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5" t="str">
        <f>IF(OR(posicao_contratual!N105="",posicao_contratual!R105=""),"",ROUND(MAX(posicao_contratual!N105+posicao_contratual!L105-posicao_contratual!R105,0),2))</f>
        <v/>
      </c>
      <c r="P105" s="79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5" t="str">
        <f>IF(OR(posicao_contratual!R105="",posicao_contratual!V105=""),"",ROUND(MAX(posicao_contratual!R105+posicao_contratual!P105-posicao_contratual!V105,0),2))</f>
        <v/>
      </c>
      <c r="R105" s="79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38"/>
      <c r="T105" s="39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86" t="str">
        <f>IF(AND(A105="",A104&lt;&gt;"",COUNTIF(A106:$A$200,"&lt;&gt;")=0),"TOTAL",IF(A105="","",posicao_contratual!X105))</f>
        <v/>
      </c>
      <c r="V105" s="86" t="str">
        <f>IF(A105="","",posicao_contratual!X105)</f>
        <v/>
      </c>
      <c r="W105" s="13"/>
      <c r="X105" s="13"/>
      <c r="Y105" s="13"/>
      <c r="Z105" s="13"/>
      <c r="AA105" s="13"/>
      <c r="AB105" s="85" t="str">
        <f>IF(OR(A105="",posicao_contratual!E105="",posicao_contratual!J105=""),"",ROUND(MAX(posicao_contratual!E105-posicao_contratual!J105,0),2))</f>
        <v/>
      </c>
      <c r="AC105" s="79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47" t="str">
        <f>IF(A105="","",posicao_contratual!E105)</f>
        <v/>
      </c>
      <c r="AE105" s="147" t="str">
        <f>IF(A105="","",posicao_contratual!I105)</f>
        <v/>
      </c>
      <c r="AF105" s="147" t="str">
        <f>IF(A105="","",posicao_contratual!M105)</f>
        <v/>
      </c>
      <c r="AG105" s="147" t="str">
        <f>IF(A105="","",posicao_contratual!Q105)</f>
        <v/>
      </c>
      <c r="AH105" s="147" t="str">
        <f>IF(A105="","",posicao_contratual!U105)</f>
        <v/>
      </c>
      <c r="AI105" s="147" t="str">
        <f>IF(A105="","",posicao_contratual!G105)</f>
        <v/>
      </c>
      <c r="AJ105" s="147" t="str">
        <f>IF(A105="","",posicao_contratual!K105)</f>
        <v/>
      </c>
      <c r="AK105" s="147" t="str">
        <f>IF(A105="","",posicao_contratual!O105)</f>
        <v/>
      </c>
      <c r="AL105" s="147" t="str">
        <f>IF(A105="","",posicao_contratual!S105)</f>
        <v/>
      </c>
      <c r="AM105" s="147" t="str">
        <f>IF(A105="","",posicao_contratual!W105)</f>
        <v/>
      </c>
      <c r="AN105" s="148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1"/>
      <c r="B106" s="82" t="str">
        <f t="shared" si="18"/>
        <v/>
      </c>
      <c r="C106" s="83"/>
      <c r="D106" s="79" t="str">
        <f>IF(AND(A106="",A105&lt;&gt;"",COUNTIF(A107:$A$200,"&lt;&gt;")=0),ROUND(SUMIF($A$2:A105,"&lt;&gt;",$D$2:D105),2),IF(OR(A106="",B106="",C106=""),"",ROUND(B106*C106,2)))</f>
        <v/>
      </c>
      <c r="E106" s="84"/>
      <c r="F106" s="79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4"/>
      <c r="H106" s="79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4"/>
      <c r="J106" s="79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4"/>
      <c r="L106" s="79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5" t="str">
        <f>IF(OR(posicao_contratual!J106="",posicao_contratual!N106=""),"",ROUND(MAX(posicao_contratual!J106+posicao_contratual!H106-posicao_contratual!N106,0),2))</f>
        <v/>
      </c>
      <c r="N106" s="79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5" t="str">
        <f>IF(OR(posicao_contratual!N106="",posicao_contratual!R106=""),"",ROUND(MAX(posicao_contratual!N106+posicao_contratual!L106-posicao_contratual!R106,0),2))</f>
        <v/>
      </c>
      <c r="P106" s="79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5" t="str">
        <f>IF(OR(posicao_contratual!R106="",posicao_contratual!V106=""),"",ROUND(MAX(posicao_contratual!R106+posicao_contratual!P106-posicao_contratual!V106,0),2))</f>
        <v/>
      </c>
      <c r="R106" s="79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38"/>
      <c r="T106" s="39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86" t="str">
        <f>IF(AND(A106="",A105&lt;&gt;"",COUNTIF(A107:$A$200,"&lt;&gt;")=0),"TOTAL",IF(A106="","",posicao_contratual!X106))</f>
        <v/>
      </c>
      <c r="V106" s="86" t="str">
        <f>IF(A106="","",posicao_contratual!X106)</f>
        <v/>
      </c>
      <c r="W106" s="13"/>
      <c r="X106" s="13"/>
      <c r="Y106" s="13"/>
      <c r="Z106" s="13"/>
      <c r="AA106" s="13"/>
      <c r="AB106" s="85" t="str">
        <f>IF(OR(A106="",posicao_contratual!E106="",posicao_contratual!J106=""),"",ROUND(MAX(posicao_contratual!E106-posicao_contratual!J106,0),2))</f>
        <v/>
      </c>
      <c r="AC106" s="79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47" t="str">
        <f>IF(A106="","",posicao_contratual!E106)</f>
        <v/>
      </c>
      <c r="AE106" s="147" t="str">
        <f>IF(A106="","",posicao_contratual!I106)</f>
        <v/>
      </c>
      <c r="AF106" s="147" t="str">
        <f>IF(A106="","",posicao_contratual!M106)</f>
        <v/>
      </c>
      <c r="AG106" s="147" t="str">
        <f>IF(A106="","",posicao_contratual!Q106)</f>
        <v/>
      </c>
      <c r="AH106" s="147" t="str">
        <f>IF(A106="","",posicao_contratual!U106)</f>
        <v/>
      </c>
      <c r="AI106" s="147" t="str">
        <f>IF(A106="","",posicao_contratual!G106)</f>
        <v/>
      </c>
      <c r="AJ106" s="147" t="str">
        <f>IF(A106="","",posicao_contratual!K106)</f>
        <v/>
      </c>
      <c r="AK106" s="147" t="str">
        <f>IF(A106="","",posicao_contratual!O106)</f>
        <v/>
      </c>
      <c r="AL106" s="147" t="str">
        <f>IF(A106="","",posicao_contratual!S106)</f>
        <v/>
      </c>
      <c r="AM106" s="147" t="str">
        <f>IF(A106="","",posicao_contratual!W106)</f>
        <v/>
      </c>
      <c r="AN106" s="148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1"/>
      <c r="B107" s="82" t="str">
        <f t="shared" si="18"/>
        <v/>
      </c>
      <c r="C107" s="83"/>
      <c r="D107" s="79" t="str">
        <f>IF(AND(A107="",A106&lt;&gt;"",COUNTIF(A108:$A$200,"&lt;&gt;")=0),ROUND(SUMIF($A$2:A106,"&lt;&gt;",$D$2:D106),2),IF(OR(A107="",B107="",C107=""),"",ROUND(B107*C107,2)))</f>
        <v/>
      </c>
      <c r="E107" s="84"/>
      <c r="F107" s="79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4"/>
      <c r="H107" s="79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4"/>
      <c r="J107" s="79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4"/>
      <c r="L107" s="79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5" t="str">
        <f>IF(OR(posicao_contratual!J107="",posicao_contratual!N107=""),"",ROUND(MAX(posicao_contratual!J107+posicao_contratual!H107-posicao_contratual!N107,0),2))</f>
        <v/>
      </c>
      <c r="N107" s="79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5" t="str">
        <f>IF(OR(posicao_contratual!N107="",posicao_contratual!R107=""),"",ROUND(MAX(posicao_contratual!N107+posicao_contratual!L107-posicao_contratual!R107,0),2))</f>
        <v/>
      </c>
      <c r="P107" s="79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5" t="str">
        <f>IF(OR(posicao_contratual!R107="",posicao_contratual!V107=""),"",ROUND(MAX(posicao_contratual!R107+posicao_contratual!P107-posicao_contratual!V107,0),2))</f>
        <v/>
      </c>
      <c r="R107" s="79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38"/>
      <c r="T107" s="39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86" t="str">
        <f>IF(AND(A107="",A106&lt;&gt;"",COUNTIF(A108:$A$200,"&lt;&gt;")=0),"TOTAL",IF(A107="","",posicao_contratual!X107))</f>
        <v/>
      </c>
      <c r="V107" s="86" t="str">
        <f>IF(A107="","",posicao_contratual!X107)</f>
        <v/>
      </c>
      <c r="W107" s="13"/>
      <c r="X107" s="13"/>
      <c r="Y107" s="13"/>
      <c r="Z107" s="13"/>
      <c r="AA107" s="13"/>
      <c r="AB107" s="85" t="str">
        <f>IF(OR(A107="",posicao_contratual!E107="",posicao_contratual!J107=""),"",ROUND(MAX(posicao_contratual!E107-posicao_contratual!J107,0),2))</f>
        <v/>
      </c>
      <c r="AC107" s="79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47" t="str">
        <f>IF(A107="","",posicao_contratual!E107)</f>
        <v/>
      </c>
      <c r="AE107" s="147" t="str">
        <f>IF(A107="","",posicao_contratual!I107)</f>
        <v/>
      </c>
      <c r="AF107" s="147" t="str">
        <f>IF(A107="","",posicao_contratual!M107)</f>
        <v/>
      </c>
      <c r="AG107" s="147" t="str">
        <f>IF(A107="","",posicao_contratual!Q107)</f>
        <v/>
      </c>
      <c r="AH107" s="147" t="str">
        <f>IF(A107="","",posicao_contratual!U107)</f>
        <v/>
      </c>
      <c r="AI107" s="147" t="str">
        <f>IF(A107="","",posicao_contratual!G107)</f>
        <v/>
      </c>
      <c r="AJ107" s="147" t="str">
        <f>IF(A107="","",posicao_contratual!K107)</f>
        <v/>
      </c>
      <c r="AK107" s="147" t="str">
        <f>IF(A107="","",posicao_contratual!O107)</f>
        <v/>
      </c>
      <c r="AL107" s="147" t="str">
        <f>IF(A107="","",posicao_contratual!S107)</f>
        <v/>
      </c>
      <c r="AM107" s="147" t="str">
        <f>IF(A107="","",posicao_contratual!W107)</f>
        <v/>
      </c>
      <c r="AN107" s="148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1"/>
      <c r="B108" s="82" t="str">
        <f t="shared" si="18"/>
        <v/>
      </c>
      <c r="C108" s="83"/>
      <c r="D108" s="79" t="str">
        <f>IF(AND(A108="",A107&lt;&gt;"",COUNTIF(A109:$A$200,"&lt;&gt;")=0),ROUND(SUMIF($A$2:A107,"&lt;&gt;",$D$2:D107),2),IF(OR(A108="",B108="",C108=""),"",ROUND(B108*C108,2)))</f>
        <v/>
      </c>
      <c r="E108" s="84"/>
      <c r="F108" s="79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4"/>
      <c r="H108" s="79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4"/>
      <c r="J108" s="79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4"/>
      <c r="L108" s="79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5" t="str">
        <f>IF(OR(posicao_contratual!J108="",posicao_contratual!N108=""),"",ROUND(MAX(posicao_contratual!J108+posicao_contratual!H108-posicao_contratual!N108,0),2))</f>
        <v/>
      </c>
      <c r="N108" s="79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5" t="str">
        <f>IF(OR(posicao_contratual!N108="",posicao_contratual!R108=""),"",ROUND(MAX(posicao_contratual!N108+posicao_contratual!L108-posicao_contratual!R108,0),2))</f>
        <v/>
      </c>
      <c r="P108" s="79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5" t="str">
        <f>IF(OR(posicao_contratual!R108="",posicao_contratual!V108=""),"",ROUND(MAX(posicao_contratual!R108+posicao_contratual!P108-posicao_contratual!V108,0),2))</f>
        <v/>
      </c>
      <c r="R108" s="79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38"/>
      <c r="T108" s="39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86" t="str">
        <f>IF(AND(A108="",A107&lt;&gt;"",COUNTIF(A109:$A$200,"&lt;&gt;")=0),"TOTAL",IF(A108="","",posicao_contratual!X108))</f>
        <v/>
      </c>
      <c r="V108" s="86" t="str">
        <f>IF(A108="","",posicao_contratual!X108)</f>
        <v/>
      </c>
      <c r="W108" s="13"/>
      <c r="X108" s="13"/>
      <c r="Y108" s="13"/>
      <c r="Z108" s="13"/>
      <c r="AA108" s="13"/>
      <c r="AB108" s="85" t="str">
        <f>IF(OR(A108="",posicao_contratual!E108="",posicao_contratual!J108=""),"",ROUND(MAX(posicao_contratual!E108-posicao_contratual!J108,0),2))</f>
        <v/>
      </c>
      <c r="AC108" s="79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47" t="str">
        <f>IF(A108="","",posicao_contratual!E108)</f>
        <v/>
      </c>
      <c r="AE108" s="147" t="str">
        <f>IF(A108="","",posicao_contratual!I108)</f>
        <v/>
      </c>
      <c r="AF108" s="147" t="str">
        <f>IF(A108="","",posicao_contratual!M108)</f>
        <v/>
      </c>
      <c r="AG108" s="147" t="str">
        <f>IF(A108="","",posicao_contratual!Q108)</f>
        <v/>
      </c>
      <c r="AH108" s="147" t="str">
        <f>IF(A108="","",posicao_contratual!U108)</f>
        <v/>
      </c>
      <c r="AI108" s="147" t="str">
        <f>IF(A108="","",posicao_contratual!G108)</f>
        <v/>
      </c>
      <c r="AJ108" s="147" t="str">
        <f>IF(A108="","",posicao_contratual!K108)</f>
        <v/>
      </c>
      <c r="AK108" s="147" t="str">
        <f>IF(A108="","",posicao_contratual!O108)</f>
        <v/>
      </c>
      <c r="AL108" s="147" t="str">
        <f>IF(A108="","",posicao_contratual!S108)</f>
        <v/>
      </c>
      <c r="AM108" s="147" t="str">
        <f>IF(A108="","",posicao_contratual!W108)</f>
        <v/>
      </c>
      <c r="AN108" s="148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1"/>
      <c r="B109" s="82" t="str">
        <f t="shared" si="18"/>
        <v/>
      </c>
      <c r="C109" s="83"/>
      <c r="D109" s="79" t="str">
        <f>IF(AND(A109="",A108&lt;&gt;"",COUNTIF(A110:$A$200,"&lt;&gt;")=0),ROUND(SUMIF($A$2:A108,"&lt;&gt;",$D$2:D108),2),IF(OR(A109="",B109="",C109=""),"",ROUND(B109*C109,2)))</f>
        <v/>
      </c>
      <c r="E109" s="84"/>
      <c r="F109" s="79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4"/>
      <c r="H109" s="79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4"/>
      <c r="J109" s="79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4"/>
      <c r="L109" s="79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5" t="str">
        <f>IF(OR(posicao_contratual!J109="",posicao_contratual!N109=""),"",ROUND(MAX(posicao_contratual!J109+posicao_contratual!H109-posicao_contratual!N109,0),2))</f>
        <v/>
      </c>
      <c r="N109" s="79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5" t="str">
        <f>IF(OR(posicao_contratual!N109="",posicao_contratual!R109=""),"",ROUND(MAX(posicao_contratual!N109+posicao_contratual!L109-posicao_contratual!R109,0),2))</f>
        <v/>
      </c>
      <c r="P109" s="79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5" t="str">
        <f>IF(OR(posicao_contratual!R109="",posicao_contratual!V109=""),"",ROUND(MAX(posicao_contratual!R109+posicao_contratual!P109-posicao_contratual!V109,0),2))</f>
        <v/>
      </c>
      <c r="R109" s="79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38"/>
      <c r="T109" s="39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86" t="str">
        <f>IF(AND(A109="",A108&lt;&gt;"",COUNTIF(A110:$A$200,"&lt;&gt;")=0),"TOTAL",IF(A109="","",posicao_contratual!X109))</f>
        <v/>
      </c>
      <c r="V109" s="86" t="str">
        <f>IF(A109="","",posicao_contratual!X109)</f>
        <v/>
      </c>
      <c r="W109" s="13"/>
      <c r="X109" s="13"/>
      <c r="Y109" s="13"/>
      <c r="Z109" s="13"/>
      <c r="AA109" s="13"/>
      <c r="AB109" s="85" t="str">
        <f>IF(OR(A109="",posicao_contratual!E109="",posicao_contratual!J109=""),"",ROUND(MAX(posicao_contratual!E109-posicao_contratual!J109,0),2))</f>
        <v/>
      </c>
      <c r="AC109" s="79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47" t="str">
        <f>IF(A109="","",posicao_contratual!E109)</f>
        <v/>
      </c>
      <c r="AE109" s="147" t="str">
        <f>IF(A109="","",posicao_contratual!I109)</f>
        <v/>
      </c>
      <c r="AF109" s="147" t="str">
        <f>IF(A109="","",posicao_contratual!M109)</f>
        <v/>
      </c>
      <c r="AG109" s="147" t="str">
        <f>IF(A109="","",posicao_contratual!Q109)</f>
        <v/>
      </c>
      <c r="AH109" s="147" t="str">
        <f>IF(A109="","",posicao_contratual!U109)</f>
        <v/>
      </c>
      <c r="AI109" s="147" t="str">
        <f>IF(A109="","",posicao_contratual!G109)</f>
        <v/>
      </c>
      <c r="AJ109" s="147" t="str">
        <f>IF(A109="","",posicao_contratual!K109)</f>
        <v/>
      </c>
      <c r="AK109" s="147" t="str">
        <f>IF(A109="","",posicao_contratual!O109)</f>
        <v/>
      </c>
      <c r="AL109" s="147" t="str">
        <f>IF(A109="","",posicao_contratual!S109)</f>
        <v/>
      </c>
      <c r="AM109" s="147" t="str">
        <f>IF(A109="","",posicao_contratual!W109)</f>
        <v/>
      </c>
      <c r="AN109" s="148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1"/>
      <c r="B110" s="82" t="str">
        <f t="shared" si="18"/>
        <v/>
      </c>
      <c r="C110" s="83"/>
      <c r="D110" s="79" t="str">
        <f>IF(AND(A110="",A109&lt;&gt;"",COUNTIF(A111:$A$200,"&lt;&gt;")=0),ROUND(SUMIF($A$2:A109,"&lt;&gt;",$D$2:D109),2),IF(OR(A110="",B110="",C110=""),"",ROUND(B110*C110,2)))</f>
        <v/>
      </c>
      <c r="E110" s="84"/>
      <c r="F110" s="79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4"/>
      <c r="H110" s="79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4"/>
      <c r="J110" s="79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4"/>
      <c r="L110" s="79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5" t="str">
        <f>IF(OR(posicao_contratual!J110="",posicao_contratual!N110=""),"",ROUND(MAX(posicao_contratual!J110+posicao_contratual!H110-posicao_contratual!N110,0),2))</f>
        <v/>
      </c>
      <c r="N110" s="79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5" t="str">
        <f>IF(OR(posicao_contratual!N110="",posicao_contratual!R110=""),"",ROUND(MAX(posicao_contratual!N110+posicao_contratual!L110-posicao_contratual!R110,0),2))</f>
        <v/>
      </c>
      <c r="P110" s="79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5" t="str">
        <f>IF(OR(posicao_contratual!R110="",posicao_contratual!V110=""),"",ROUND(MAX(posicao_contratual!R110+posicao_contratual!P110-posicao_contratual!V110,0),2))</f>
        <v/>
      </c>
      <c r="R110" s="79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38"/>
      <c r="T110" s="39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86" t="str">
        <f>IF(AND(A110="",A109&lt;&gt;"",COUNTIF(A111:$A$200,"&lt;&gt;")=0),"TOTAL",IF(A110="","",posicao_contratual!X110))</f>
        <v/>
      </c>
      <c r="V110" s="86" t="str">
        <f>IF(A110="","",posicao_contratual!X110)</f>
        <v/>
      </c>
      <c r="W110" s="13"/>
      <c r="X110" s="13"/>
      <c r="Y110" s="13"/>
      <c r="Z110" s="13"/>
      <c r="AA110" s="13"/>
      <c r="AB110" s="85" t="str">
        <f>IF(OR(A110="",posicao_contratual!E110="",posicao_contratual!J110=""),"",ROUND(MAX(posicao_contratual!E110-posicao_contratual!J110,0),2))</f>
        <v/>
      </c>
      <c r="AC110" s="79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47" t="str">
        <f>IF(A110="","",posicao_contratual!E110)</f>
        <v/>
      </c>
      <c r="AE110" s="147" t="str">
        <f>IF(A110="","",posicao_contratual!I110)</f>
        <v/>
      </c>
      <c r="AF110" s="147" t="str">
        <f>IF(A110="","",posicao_contratual!M110)</f>
        <v/>
      </c>
      <c r="AG110" s="147" t="str">
        <f>IF(A110="","",posicao_contratual!Q110)</f>
        <v/>
      </c>
      <c r="AH110" s="147" t="str">
        <f>IF(A110="","",posicao_contratual!U110)</f>
        <v/>
      </c>
      <c r="AI110" s="147" t="str">
        <f>IF(A110="","",posicao_contratual!G110)</f>
        <v/>
      </c>
      <c r="AJ110" s="147" t="str">
        <f>IF(A110="","",posicao_contratual!K110)</f>
        <v/>
      </c>
      <c r="AK110" s="147" t="str">
        <f>IF(A110="","",posicao_contratual!O110)</f>
        <v/>
      </c>
      <c r="AL110" s="147" t="str">
        <f>IF(A110="","",posicao_contratual!S110)</f>
        <v/>
      </c>
      <c r="AM110" s="147" t="str">
        <f>IF(A110="","",posicao_contratual!W110)</f>
        <v/>
      </c>
      <c r="AN110" s="148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1"/>
      <c r="B111" s="82" t="str">
        <f t="shared" si="18"/>
        <v/>
      </c>
      <c r="C111" s="83"/>
      <c r="D111" s="79" t="str">
        <f>IF(AND(A111="",A110&lt;&gt;"",COUNTIF(A112:$A$200,"&lt;&gt;")=0),ROUND(SUMIF($A$2:A110,"&lt;&gt;",$D$2:D110),2),IF(OR(A111="",B111="",C111=""),"",ROUND(B111*C111,2)))</f>
        <v/>
      </c>
      <c r="E111" s="84"/>
      <c r="F111" s="79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4"/>
      <c r="H111" s="79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4"/>
      <c r="J111" s="79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4"/>
      <c r="L111" s="79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5" t="str">
        <f>IF(OR(posicao_contratual!J111="",posicao_contratual!N111=""),"",ROUND(MAX(posicao_contratual!J111+posicao_contratual!H111-posicao_contratual!N111,0),2))</f>
        <v/>
      </c>
      <c r="N111" s="79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5" t="str">
        <f>IF(OR(posicao_contratual!N111="",posicao_contratual!R111=""),"",ROUND(MAX(posicao_contratual!N111+posicao_contratual!L111-posicao_contratual!R111,0),2))</f>
        <v/>
      </c>
      <c r="P111" s="79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5" t="str">
        <f>IF(OR(posicao_contratual!R111="",posicao_contratual!V111=""),"",ROUND(MAX(posicao_contratual!R111+posicao_contratual!P111-posicao_contratual!V111,0),2))</f>
        <v/>
      </c>
      <c r="R111" s="79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38"/>
      <c r="T111" s="39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86" t="str">
        <f>IF(AND(A111="",A110&lt;&gt;"",COUNTIF(A112:$A$200,"&lt;&gt;")=0),"TOTAL",IF(A111="","",posicao_contratual!X111))</f>
        <v/>
      </c>
      <c r="V111" s="86" t="str">
        <f>IF(A111="","",posicao_contratual!X111)</f>
        <v/>
      </c>
      <c r="W111" s="13"/>
      <c r="X111" s="13"/>
      <c r="Y111" s="13"/>
      <c r="Z111" s="13"/>
      <c r="AA111" s="13"/>
      <c r="AB111" s="85" t="str">
        <f>IF(OR(A111="",posicao_contratual!E111="",posicao_contratual!J111=""),"",ROUND(MAX(posicao_contratual!E111-posicao_contratual!J111,0),2))</f>
        <v/>
      </c>
      <c r="AC111" s="79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47" t="str">
        <f>IF(A111="","",posicao_contratual!E111)</f>
        <v/>
      </c>
      <c r="AE111" s="147" t="str">
        <f>IF(A111="","",posicao_contratual!I111)</f>
        <v/>
      </c>
      <c r="AF111" s="147" t="str">
        <f>IF(A111="","",posicao_contratual!M111)</f>
        <v/>
      </c>
      <c r="AG111" s="147" t="str">
        <f>IF(A111="","",posicao_contratual!Q111)</f>
        <v/>
      </c>
      <c r="AH111" s="147" t="str">
        <f>IF(A111="","",posicao_contratual!U111)</f>
        <v/>
      </c>
      <c r="AI111" s="147" t="str">
        <f>IF(A111="","",posicao_contratual!G111)</f>
        <v/>
      </c>
      <c r="AJ111" s="147" t="str">
        <f>IF(A111="","",posicao_contratual!K111)</f>
        <v/>
      </c>
      <c r="AK111" s="147" t="str">
        <f>IF(A111="","",posicao_contratual!O111)</f>
        <v/>
      </c>
      <c r="AL111" s="147" t="str">
        <f>IF(A111="","",posicao_contratual!S111)</f>
        <v/>
      </c>
      <c r="AM111" s="147" t="str">
        <f>IF(A111="","",posicao_contratual!W111)</f>
        <v/>
      </c>
      <c r="AN111" s="148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1"/>
      <c r="B112" s="82" t="str">
        <f t="shared" si="18"/>
        <v/>
      </c>
      <c r="C112" s="83"/>
      <c r="D112" s="79" t="str">
        <f>IF(AND(A112="",A111&lt;&gt;"",COUNTIF(A113:$A$200,"&lt;&gt;")=0),ROUND(SUMIF($A$2:A111,"&lt;&gt;",$D$2:D111),2),IF(OR(A112="",B112="",C112=""),"",ROUND(B112*C112,2)))</f>
        <v/>
      </c>
      <c r="E112" s="84"/>
      <c r="F112" s="79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4"/>
      <c r="H112" s="79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4"/>
      <c r="J112" s="79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4"/>
      <c r="L112" s="79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5" t="str">
        <f>IF(OR(posicao_contratual!J112="",posicao_contratual!N112=""),"",ROUND(MAX(posicao_contratual!J112+posicao_contratual!H112-posicao_contratual!N112,0),2))</f>
        <v/>
      </c>
      <c r="N112" s="79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5" t="str">
        <f>IF(OR(posicao_contratual!N112="",posicao_contratual!R112=""),"",ROUND(MAX(posicao_contratual!N112+posicao_contratual!L112-posicao_contratual!R112,0),2))</f>
        <v/>
      </c>
      <c r="P112" s="79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5" t="str">
        <f>IF(OR(posicao_contratual!R112="",posicao_contratual!V112=""),"",ROUND(MAX(posicao_contratual!R112+posicao_contratual!P112-posicao_contratual!V112,0),2))</f>
        <v/>
      </c>
      <c r="R112" s="79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38"/>
      <c r="T112" s="39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86" t="str">
        <f>IF(AND(A112="",A111&lt;&gt;"",COUNTIF(A113:$A$200,"&lt;&gt;")=0),"TOTAL",IF(A112="","",posicao_contratual!X112))</f>
        <v/>
      </c>
      <c r="V112" s="86" t="str">
        <f>IF(A112="","",posicao_contratual!X112)</f>
        <v/>
      </c>
      <c r="W112" s="13"/>
      <c r="X112" s="13"/>
      <c r="Y112" s="13"/>
      <c r="Z112" s="13"/>
      <c r="AA112" s="13"/>
      <c r="AB112" s="85" t="str">
        <f>IF(OR(A112="",posicao_contratual!E112="",posicao_contratual!J112=""),"",ROUND(MAX(posicao_contratual!E112-posicao_contratual!J112,0),2))</f>
        <v/>
      </c>
      <c r="AC112" s="79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47" t="str">
        <f>IF(A112="","",posicao_contratual!E112)</f>
        <v/>
      </c>
      <c r="AE112" s="147" t="str">
        <f>IF(A112="","",posicao_contratual!I112)</f>
        <v/>
      </c>
      <c r="AF112" s="147" t="str">
        <f>IF(A112="","",posicao_contratual!M112)</f>
        <v/>
      </c>
      <c r="AG112" s="147" t="str">
        <f>IF(A112="","",posicao_contratual!Q112)</f>
        <v/>
      </c>
      <c r="AH112" s="147" t="str">
        <f>IF(A112="","",posicao_contratual!U112)</f>
        <v/>
      </c>
      <c r="AI112" s="147" t="str">
        <f>IF(A112="","",posicao_contratual!G112)</f>
        <v/>
      </c>
      <c r="AJ112" s="147" t="str">
        <f>IF(A112="","",posicao_contratual!K112)</f>
        <v/>
      </c>
      <c r="AK112" s="147" t="str">
        <f>IF(A112="","",posicao_contratual!O112)</f>
        <v/>
      </c>
      <c r="AL112" s="147" t="str">
        <f>IF(A112="","",posicao_contratual!S112)</f>
        <v/>
      </c>
      <c r="AM112" s="147" t="str">
        <f>IF(A112="","",posicao_contratual!W112)</f>
        <v/>
      </c>
      <c r="AN112" s="148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1"/>
      <c r="B113" s="82" t="str">
        <f t="shared" si="18"/>
        <v/>
      </c>
      <c r="C113" s="83"/>
      <c r="D113" s="79" t="str">
        <f>IF(AND(A113="",A112&lt;&gt;"",COUNTIF(A114:$A$200,"&lt;&gt;")=0),ROUND(SUMIF($A$2:A112,"&lt;&gt;",$D$2:D112),2),IF(OR(A113="",B113="",C113=""),"",ROUND(B113*C113,2)))</f>
        <v/>
      </c>
      <c r="E113" s="84"/>
      <c r="F113" s="79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4"/>
      <c r="H113" s="79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4"/>
      <c r="J113" s="79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4"/>
      <c r="L113" s="79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5" t="str">
        <f>IF(OR(posicao_contratual!J113="",posicao_contratual!N113=""),"",ROUND(MAX(posicao_contratual!J113+posicao_contratual!H113-posicao_contratual!N113,0),2))</f>
        <v/>
      </c>
      <c r="N113" s="79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5" t="str">
        <f>IF(OR(posicao_contratual!N113="",posicao_contratual!R113=""),"",ROUND(MAX(posicao_contratual!N113+posicao_contratual!L113-posicao_contratual!R113,0),2))</f>
        <v/>
      </c>
      <c r="P113" s="79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5" t="str">
        <f>IF(OR(posicao_contratual!R113="",posicao_contratual!V113=""),"",ROUND(MAX(posicao_contratual!R113+posicao_contratual!P113-posicao_contratual!V113,0),2))</f>
        <v/>
      </c>
      <c r="R113" s="79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38"/>
      <c r="T113" s="39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86" t="str">
        <f>IF(AND(A113="",A112&lt;&gt;"",COUNTIF(A114:$A$200,"&lt;&gt;")=0),"TOTAL",IF(A113="","",posicao_contratual!X113))</f>
        <v/>
      </c>
      <c r="V113" s="86" t="str">
        <f>IF(A113="","",posicao_contratual!X113)</f>
        <v/>
      </c>
      <c r="W113" s="13"/>
      <c r="X113" s="13"/>
      <c r="Y113" s="13"/>
      <c r="Z113" s="13"/>
      <c r="AA113" s="13"/>
      <c r="AB113" s="85" t="str">
        <f>IF(OR(A113="",posicao_contratual!E113="",posicao_contratual!J113=""),"",ROUND(MAX(posicao_contratual!E113-posicao_contratual!J113,0),2))</f>
        <v/>
      </c>
      <c r="AC113" s="79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47" t="str">
        <f>IF(A113="","",posicao_contratual!E113)</f>
        <v/>
      </c>
      <c r="AE113" s="147" t="str">
        <f>IF(A113="","",posicao_contratual!I113)</f>
        <v/>
      </c>
      <c r="AF113" s="147" t="str">
        <f>IF(A113="","",posicao_contratual!M113)</f>
        <v/>
      </c>
      <c r="AG113" s="147" t="str">
        <f>IF(A113="","",posicao_contratual!Q113)</f>
        <v/>
      </c>
      <c r="AH113" s="147" t="str">
        <f>IF(A113="","",posicao_contratual!U113)</f>
        <v/>
      </c>
      <c r="AI113" s="147" t="str">
        <f>IF(A113="","",posicao_contratual!G113)</f>
        <v/>
      </c>
      <c r="AJ113" s="147" t="str">
        <f>IF(A113="","",posicao_contratual!K113)</f>
        <v/>
      </c>
      <c r="AK113" s="147" t="str">
        <f>IF(A113="","",posicao_contratual!O113)</f>
        <v/>
      </c>
      <c r="AL113" s="147" t="str">
        <f>IF(A113="","",posicao_contratual!S113)</f>
        <v/>
      </c>
      <c r="AM113" s="147" t="str">
        <f>IF(A113="","",posicao_contratual!W113)</f>
        <v/>
      </c>
      <c r="AN113" s="148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1"/>
      <c r="B114" s="82" t="str">
        <f t="shared" si="18"/>
        <v/>
      </c>
      <c r="C114" s="83"/>
      <c r="D114" s="79" t="str">
        <f>IF(AND(A114="",A113&lt;&gt;"",COUNTIF(A115:$A$200,"&lt;&gt;")=0),ROUND(SUMIF($A$2:A113,"&lt;&gt;",$D$2:D113),2),IF(OR(A114="",B114="",C114=""),"",ROUND(B114*C114,2)))</f>
        <v/>
      </c>
      <c r="E114" s="84"/>
      <c r="F114" s="79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4"/>
      <c r="H114" s="79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4"/>
      <c r="J114" s="79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4"/>
      <c r="L114" s="79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5" t="str">
        <f>IF(OR(posicao_contratual!J114="",posicao_contratual!N114=""),"",ROUND(MAX(posicao_contratual!J114+posicao_contratual!H114-posicao_contratual!N114,0),2))</f>
        <v/>
      </c>
      <c r="N114" s="79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5" t="str">
        <f>IF(OR(posicao_contratual!N114="",posicao_contratual!R114=""),"",ROUND(MAX(posicao_contratual!N114+posicao_contratual!L114-posicao_contratual!R114,0),2))</f>
        <v/>
      </c>
      <c r="P114" s="79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5" t="str">
        <f>IF(OR(posicao_contratual!R114="",posicao_contratual!V114=""),"",ROUND(MAX(posicao_contratual!R114+posicao_contratual!P114-posicao_contratual!V114,0),2))</f>
        <v/>
      </c>
      <c r="R114" s="79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38"/>
      <c r="T114" s="39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86" t="str">
        <f>IF(AND(A114="",A113&lt;&gt;"",COUNTIF(A115:$A$200,"&lt;&gt;")=0),"TOTAL",IF(A114="","",posicao_contratual!X114))</f>
        <v/>
      </c>
      <c r="V114" s="86" t="str">
        <f>IF(A114="","",posicao_contratual!X114)</f>
        <v/>
      </c>
      <c r="W114" s="13"/>
      <c r="X114" s="13"/>
      <c r="Y114" s="13"/>
      <c r="Z114" s="13"/>
      <c r="AA114" s="13"/>
      <c r="AB114" s="85" t="str">
        <f>IF(OR(A114="",posicao_contratual!E114="",posicao_contratual!J114=""),"",ROUND(MAX(posicao_contratual!E114-posicao_contratual!J114,0),2))</f>
        <v/>
      </c>
      <c r="AC114" s="79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47" t="str">
        <f>IF(A114="","",posicao_contratual!E114)</f>
        <v/>
      </c>
      <c r="AE114" s="147" t="str">
        <f>IF(A114="","",posicao_contratual!I114)</f>
        <v/>
      </c>
      <c r="AF114" s="147" t="str">
        <f>IF(A114="","",posicao_contratual!M114)</f>
        <v/>
      </c>
      <c r="AG114" s="147" t="str">
        <f>IF(A114="","",posicao_contratual!Q114)</f>
        <v/>
      </c>
      <c r="AH114" s="147" t="str">
        <f>IF(A114="","",posicao_contratual!U114)</f>
        <v/>
      </c>
      <c r="AI114" s="147" t="str">
        <f>IF(A114="","",posicao_contratual!G114)</f>
        <v/>
      </c>
      <c r="AJ114" s="147" t="str">
        <f>IF(A114="","",posicao_contratual!K114)</f>
        <v/>
      </c>
      <c r="AK114" s="147" t="str">
        <f>IF(A114="","",posicao_contratual!O114)</f>
        <v/>
      </c>
      <c r="AL114" s="147" t="str">
        <f>IF(A114="","",posicao_contratual!S114)</f>
        <v/>
      </c>
      <c r="AM114" s="147" t="str">
        <f>IF(A114="","",posicao_contratual!W114)</f>
        <v/>
      </c>
      <c r="AN114" s="148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1"/>
      <c r="B115" s="82" t="str">
        <f t="shared" si="18"/>
        <v/>
      </c>
      <c r="C115" s="83"/>
      <c r="D115" s="79" t="str">
        <f>IF(AND(A115="",A114&lt;&gt;"",COUNTIF(A116:$A$200,"&lt;&gt;")=0),ROUND(SUMIF($A$2:A114,"&lt;&gt;",$D$2:D114),2),IF(OR(A115="",B115="",C115=""),"",ROUND(B115*C115,2)))</f>
        <v/>
      </c>
      <c r="E115" s="84"/>
      <c r="F115" s="79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4"/>
      <c r="H115" s="79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4"/>
      <c r="J115" s="79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4"/>
      <c r="L115" s="79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5" t="str">
        <f>IF(OR(posicao_contratual!J115="",posicao_contratual!N115=""),"",ROUND(MAX(posicao_contratual!J115+posicao_contratual!H115-posicao_contratual!N115,0),2))</f>
        <v/>
      </c>
      <c r="N115" s="79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5" t="str">
        <f>IF(OR(posicao_contratual!N115="",posicao_contratual!R115=""),"",ROUND(MAX(posicao_contratual!N115+posicao_contratual!L115-posicao_contratual!R115,0),2))</f>
        <v/>
      </c>
      <c r="P115" s="79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5" t="str">
        <f>IF(OR(posicao_contratual!R115="",posicao_contratual!V115=""),"",ROUND(MAX(posicao_contratual!R115+posicao_contratual!P115-posicao_contratual!V115,0),2))</f>
        <v/>
      </c>
      <c r="R115" s="79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38"/>
      <c r="T115" s="39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86" t="str">
        <f>IF(AND(A115="",A114&lt;&gt;"",COUNTIF(A116:$A$200,"&lt;&gt;")=0),"TOTAL",IF(A115="","",posicao_contratual!X115))</f>
        <v/>
      </c>
      <c r="V115" s="86" t="str">
        <f>IF(A115="","",posicao_contratual!X115)</f>
        <v/>
      </c>
      <c r="W115" s="13"/>
      <c r="X115" s="13"/>
      <c r="Y115" s="13"/>
      <c r="Z115" s="13"/>
      <c r="AA115" s="13"/>
      <c r="AB115" s="85" t="str">
        <f>IF(OR(A115="",posicao_contratual!E115="",posicao_contratual!J115=""),"",ROUND(MAX(posicao_contratual!E115-posicao_contratual!J115,0),2))</f>
        <v/>
      </c>
      <c r="AC115" s="79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47" t="str">
        <f>IF(A115="","",posicao_contratual!E115)</f>
        <v/>
      </c>
      <c r="AE115" s="147" t="str">
        <f>IF(A115="","",posicao_contratual!I115)</f>
        <v/>
      </c>
      <c r="AF115" s="147" t="str">
        <f>IF(A115="","",posicao_contratual!M115)</f>
        <v/>
      </c>
      <c r="AG115" s="147" t="str">
        <f>IF(A115="","",posicao_contratual!Q115)</f>
        <v/>
      </c>
      <c r="AH115" s="147" t="str">
        <f>IF(A115="","",posicao_contratual!U115)</f>
        <v/>
      </c>
      <c r="AI115" s="147" t="str">
        <f>IF(A115="","",posicao_contratual!G115)</f>
        <v/>
      </c>
      <c r="AJ115" s="147" t="str">
        <f>IF(A115="","",posicao_contratual!K115)</f>
        <v/>
      </c>
      <c r="AK115" s="147" t="str">
        <f>IF(A115="","",posicao_contratual!O115)</f>
        <v/>
      </c>
      <c r="AL115" s="147" t="str">
        <f>IF(A115="","",posicao_contratual!S115)</f>
        <v/>
      </c>
      <c r="AM115" s="147" t="str">
        <f>IF(A115="","",posicao_contratual!W115)</f>
        <v/>
      </c>
      <c r="AN115" s="148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1"/>
      <c r="B116" s="82" t="str">
        <f t="shared" si="18"/>
        <v/>
      </c>
      <c r="C116" s="83"/>
      <c r="D116" s="79" t="str">
        <f>IF(AND(A116="",A115&lt;&gt;"",COUNTIF(A117:$A$200,"&lt;&gt;")=0),ROUND(SUMIF($A$2:A115,"&lt;&gt;",$D$2:D115),2),IF(OR(A116="",B116="",C116=""),"",ROUND(B116*C116,2)))</f>
        <v/>
      </c>
      <c r="E116" s="84"/>
      <c r="F116" s="79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4"/>
      <c r="H116" s="79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4"/>
      <c r="J116" s="79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4"/>
      <c r="L116" s="79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5" t="str">
        <f>IF(OR(posicao_contratual!J116="",posicao_contratual!N116=""),"",ROUND(MAX(posicao_contratual!J116+posicao_contratual!H116-posicao_contratual!N116,0),2))</f>
        <v/>
      </c>
      <c r="N116" s="79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5" t="str">
        <f>IF(OR(posicao_contratual!N116="",posicao_contratual!R116=""),"",ROUND(MAX(posicao_contratual!N116+posicao_contratual!L116-posicao_contratual!R116,0),2))</f>
        <v/>
      </c>
      <c r="P116" s="79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5" t="str">
        <f>IF(OR(posicao_contratual!R116="",posicao_contratual!V116=""),"",ROUND(MAX(posicao_contratual!R116+posicao_contratual!P116-posicao_contratual!V116,0),2))</f>
        <v/>
      </c>
      <c r="R116" s="79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38"/>
      <c r="T116" s="39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86" t="str">
        <f>IF(AND(A116="",A115&lt;&gt;"",COUNTIF(A117:$A$200,"&lt;&gt;")=0),"TOTAL",IF(A116="","",posicao_contratual!X116))</f>
        <v/>
      </c>
      <c r="V116" s="86" t="str">
        <f>IF(A116="","",posicao_contratual!X116)</f>
        <v/>
      </c>
      <c r="W116" s="13"/>
      <c r="X116" s="13"/>
      <c r="Y116" s="13"/>
      <c r="Z116" s="13"/>
      <c r="AA116" s="13"/>
      <c r="AB116" s="85" t="str">
        <f>IF(OR(A116="",posicao_contratual!E116="",posicao_contratual!J116=""),"",ROUND(MAX(posicao_contratual!E116-posicao_contratual!J116,0),2))</f>
        <v/>
      </c>
      <c r="AC116" s="79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47" t="str">
        <f>IF(A116="","",posicao_contratual!E116)</f>
        <v/>
      </c>
      <c r="AE116" s="147" t="str">
        <f>IF(A116="","",posicao_contratual!I116)</f>
        <v/>
      </c>
      <c r="AF116" s="147" t="str">
        <f>IF(A116="","",posicao_contratual!M116)</f>
        <v/>
      </c>
      <c r="AG116" s="147" t="str">
        <f>IF(A116="","",posicao_contratual!Q116)</f>
        <v/>
      </c>
      <c r="AH116" s="147" t="str">
        <f>IF(A116="","",posicao_contratual!U116)</f>
        <v/>
      </c>
      <c r="AI116" s="147" t="str">
        <f>IF(A116="","",posicao_contratual!G116)</f>
        <v/>
      </c>
      <c r="AJ116" s="147" t="str">
        <f>IF(A116="","",posicao_contratual!K116)</f>
        <v/>
      </c>
      <c r="AK116" s="147" t="str">
        <f>IF(A116="","",posicao_contratual!O116)</f>
        <v/>
      </c>
      <c r="AL116" s="147" t="str">
        <f>IF(A116="","",posicao_contratual!S116)</f>
        <v/>
      </c>
      <c r="AM116" s="147" t="str">
        <f>IF(A116="","",posicao_contratual!W116)</f>
        <v/>
      </c>
      <c r="AN116" s="148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1"/>
      <c r="B117" s="82" t="str">
        <f t="shared" si="18"/>
        <v/>
      </c>
      <c r="C117" s="83"/>
      <c r="D117" s="79" t="str">
        <f>IF(AND(A117="",A116&lt;&gt;"",COUNTIF(A118:$A$200,"&lt;&gt;")=0),ROUND(SUMIF($A$2:A116,"&lt;&gt;",$D$2:D116),2),IF(OR(A117="",B117="",C117=""),"",ROUND(B117*C117,2)))</f>
        <v/>
      </c>
      <c r="E117" s="84"/>
      <c r="F117" s="79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4"/>
      <c r="H117" s="79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4"/>
      <c r="J117" s="79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4"/>
      <c r="L117" s="79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5" t="str">
        <f>IF(OR(posicao_contratual!J117="",posicao_contratual!N117=""),"",ROUND(MAX(posicao_contratual!J117+posicao_contratual!H117-posicao_contratual!N117,0),2))</f>
        <v/>
      </c>
      <c r="N117" s="79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5" t="str">
        <f>IF(OR(posicao_contratual!N117="",posicao_contratual!R117=""),"",ROUND(MAX(posicao_contratual!N117+posicao_contratual!L117-posicao_contratual!R117,0),2))</f>
        <v/>
      </c>
      <c r="P117" s="79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5" t="str">
        <f>IF(OR(posicao_contratual!R117="",posicao_contratual!V117=""),"",ROUND(MAX(posicao_contratual!R117+posicao_contratual!P117-posicao_contratual!V117,0),2))</f>
        <v/>
      </c>
      <c r="R117" s="79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38"/>
      <c r="T117" s="39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86" t="str">
        <f>IF(AND(A117="",A116&lt;&gt;"",COUNTIF(A118:$A$200,"&lt;&gt;")=0),"TOTAL",IF(A117="","",posicao_contratual!X117))</f>
        <v/>
      </c>
      <c r="V117" s="86" t="str">
        <f>IF(A117="","",posicao_contratual!X117)</f>
        <v/>
      </c>
      <c r="W117" s="13"/>
      <c r="X117" s="13"/>
      <c r="Y117" s="13"/>
      <c r="Z117" s="13"/>
      <c r="AA117" s="13"/>
      <c r="AB117" s="85" t="str">
        <f>IF(OR(A117="",posicao_contratual!E117="",posicao_contratual!J117=""),"",ROUND(MAX(posicao_contratual!E117-posicao_contratual!J117,0),2))</f>
        <v/>
      </c>
      <c r="AC117" s="79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47" t="str">
        <f>IF(A117="","",posicao_contratual!E117)</f>
        <v/>
      </c>
      <c r="AE117" s="147" t="str">
        <f>IF(A117="","",posicao_contratual!I117)</f>
        <v/>
      </c>
      <c r="AF117" s="147" t="str">
        <f>IF(A117="","",posicao_contratual!M117)</f>
        <v/>
      </c>
      <c r="AG117" s="147" t="str">
        <f>IF(A117="","",posicao_contratual!Q117)</f>
        <v/>
      </c>
      <c r="AH117" s="147" t="str">
        <f>IF(A117="","",posicao_contratual!U117)</f>
        <v/>
      </c>
      <c r="AI117" s="147" t="str">
        <f>IF(A117="","",posicao_contratual!G117)</f>
        <v/>
      </c>
      <c r="AJ117" s="147" t="str">
        <f>IF(A117="","",posicao_contratual!K117)</f>
        <v/>
      </c>
      <c r="AK117" s="147" t="str">
        <f>IF(A117="","",posicao_contratual!O117)</f>
        <v/>
      </c>
      <c r="AL117" s="147" t="str">
        <f>IF(A117="","",posicao_contratual!S117)</f>
        <v/>
      </c>
      <c r="AM117" s="147" t="str">
        <f>IF(A117="","",posicao_contratual!W117)</f>
        <v/>
      </c>
      <c r="AN117" s="148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1"/>
      <c r="B118" s="82" t="str">
        <f t="shared" si="18"/>
        <v/>
      </c>
      <c r="C118" s="83"/>
      <c r="D118" s="79" t="str">
        <f>IF(AND(A118="",A117&lt;&gt;"",COUNTIF(A119:$A$200,"&lt;&gt;")=0),ROUND(SUMIF($A$2:A117,"&lt;&gt;",$D$2:D117),2),IF(OR(A118="",B118="",C118=""),"",ROUND(B118*C118,2)))</f>
        <v/>
      </c>
      <c r="E118" s="84"/>
      <c r="F118" s="79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4"/>
      <c r="H118" s="79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4"/>
      <c r="J118" s="79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4"/>
      <c r="L118" s="79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5" t="str">
        <f>IF(OR(posicao_contratual!J118="",posicao_contratual!N118=""),"",ROUND(MAX(posicao_contratual!J118+posicao_contratual!H118-posicao_contratual!N118,0),2))</f>
        <v/>
      </c>
      <c r="N118" s="79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5" t="str">
        <f>IF(OR(posicao_contratual!N118="",posicao_contratual!R118=""),"",ROUND(MAX(posicao_contratual!N118+posicao_contratual!L118-posicao_contratual!R118,0),2))</f>
        <v/>
      </c>
      <c r="P118" s="79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5" t="str">
        <f>IF(OR(posicao_contratual!R118="",posicao_contratual!V118=""),"",ROUND(MAX(posicao_contratual!R118+posicao_contratual!P118-posicao_contratual!V118,0),2))</f>
        <v/>
      </c>
      <c r="R118" s="79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38"/>
      <c r="T118" s="39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86" t="str">
        <f>IF(AND(A118="",A117&lt;&gt;"",COUNTIF(A119:$A$200,"&lt;&gt;")=0),"TOTAL",IF(A118="","",posicao_contratual!X118))</f>
        <v/>
      </c>
      <c r="V118" s="86" t="str">
        <f>IF(A118="","",posicao_contratual!X118)</f>
        <v/>
      </c>
      <c r="W118" s="13"/>
      <c r="X118" s="13"/>
      <c r="Y118" s="13"/>
      <c r="Z118" s="13"/>
      <c r="AA118" s="13"/>
      <c r="AB118" s="85" t="str">
        <f>IF(OR(A118="",posicao_contratual!E118="",posicao_contratual!J118=""),"",ROUND(MAX(posicao_contratual!E118-posicao_contratual!J118,0),2))</f>
        <v/>
      </c>
      <c r="AC118" s="79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47" t="str">
        <f>IF(A118="","",posicao_contratual!E118)</f>
        <v/>
      </c>
      <c r="AE118" s="147" t="str">
        <f>IF(A118="","",posicao_contratual!I118)</f>
        <v/>
      </c>
      <c r="AF118" s="147" t="str">
        <f>IF(A118="","",posicao_contratual!M118)</f>
        <v/>
      </c>
      <c r="AG118" s="147" t="str">
        <f>IF(A118="","",posicao_contratual!Q118)</f>
        <v/>
      </c>
      <c r="AH118" s="147" t="str">
        <f>IF(A118="","",posicao_contratual!U118)</f>
        <v/>
      </c>
      <c r="AI118" s="147" t="str">
        <f>IF(A118="","",posicao_contratual!G118)</f>
        <v/>
      </c>
      <c r="AJ118" s="147" t="str">
        <f>IF(A118="","",posicao_contratual!K118)</f>
        <v/>
      </c>
      <c r="AK118" s="147" t="str">
        <f>IF(A118="","",posicao_contratual!O118)</f>
        <v/>
      </c>
      <c r="AL118" s="147" t="str">
        <f>IF(A118="","",posicao_contratual!S118)</f>
        <v/>
      </c>
      <c r="AM118" s="147" t="str">
        <f>IF(A118="","",posicao_contratual!W118)</f>
        <v/>
      </c>
      <c r="AN118" s="148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1"/>
      <c r="B119" s="82" t="str">
        <f t="shared" si="18"/>
        <v/>
      </c>
      <c r="C119" s="83"/>
      <c r="D119" s="79" t="str">
        <f>IF(AND(A119="",A118&lt;&gt;"",COUNTIF(A120:$A$200,"&lt;&gt;")=0),ROUND(SUMIF($A$2:A118,"&lt;&gt;",$D$2:D118),2),IF(OR(A119="",B119="",C119=""),"",ROUND(B119*C119,2)))</f>
        <v/>
      </c>
      <c r="E119" s="84"/>
      <c r="F119" s="79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4"/>
      <c r="H119" s="79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4"/>
      <c r="J119" s="79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4"/>
      <c r="L119" s="79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5" t="str">
        <f>IF(OR(posicao_contratual!J119="",posicao_contratual!N119=""),"",ROUND(MAX(posicao_contratual!J119+posicao_contratual!H119-posicao_contratual!N119,0),2))</f>
        <v/>
      </c>
      <c r="N119" s="79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5" t="str">
        <f>IF(OR(posicao_contratual!N119="",posicao_contratual!R119=""),"",ROUND(MAX(posicao_contratual!N119+posicao_contratual!L119-posicao_contratual!R119,0),2))</f>
        <v/>
      </c>
      <c r="P119" s="79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5" t="str">
        <f>IF(OR(posicao_contratual!R119="",posicao_contratual!V119=""),"",ROUND(MAX(posicao_contratual!R119+posicao_contratual!P119-posicao_contratual!V119,0),2))</f>
        <v/>
      </c>
      <c r="R119" s="79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38"/>
      <c r="T119" s="39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86" t="str">
        <f>IF(AND(A119="",A118&lt;&gt;"",COUNTIF(A120:$A$200,"&lt;&gt;")=0),"TOTAL",IF(A119="","",posicao_contratual!X119))</f>
        <v/>
      </c>
      <c r="V119" s="86" t="str">
        <f>IF(A119="","",posicao_contratual!X119)</f>
        <v/>
      </c>
      <c r="W119" s="13"/>
      <c r="X119" s="13"/>
      <c r="Y119" s="13"/>
      <c r="Z119" s="13"/>
      <c r="AA119" s="13"/>
      <c r="AB119" s="85" t="str">
        <f>IF(OR(A119="",posicao_contratual!E119="",posicao_contratual!J119=""),"",ROUND(MAX(posicao_contratual!E119-posicao_contratual!J119,0),2))</f>
        <v/>
      </c>
      <c r="AC119" s="79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47" t="str">
        <f>IF(A119="","",posicao_contratual!E119)</f>
        <v/>
      </c>
      <c r="AE119" s="147" t="str">
        <f>IF(A119="","",posicao_contratual!I119)</f>
        <v/>
      </c>
      <c r="AF119" s="147" t="str">
        <f>IF(A119="","",posicao_contratual!M119)</f>
        <v/>
      </c>
      <c r="AG119" s="147" t="str">
        <f>IF(A119="","",posicao_contratual!Q119)</f>
        <v/>
      </c>
      <c r="AH119" s="147" t="str">
        <f>IF(A119="","",posicao_contratual!U119)</f>
        <v/>
      </c>
      <c r="AI119" s="147" t="str">
        <f>IF(A119="","",posicao_contratual!G119)</f>
        <v/>
      </c>
      <c r="AJ119" s="147" t="str">
        <f>IF(A119="","",posicao_contratual!K119)</f>
        <v/>
      </c>
      <c r="AK119" s="147" t="str">
        <f>IF(A119="","",posicao_contratual!O119)</f>
        <v/>
      </c>
      <c r="AL119" s="147" t="str">
        <f>IF(A119="","",posicao_contratual!S119)</f>
        <v/>
      </c>
      <c r="AM119" s="147" t="str">
        <f>IF(A119="","",posicao_contratual!W119)</f>
        <v/>
      </c>
      <c r="AN119" s="148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1"/>
      <c r="B120" s="82" t="str">
        <f t="shared" si="18"/>
        <v/>
      </c>
      <c r="C120" s="83"/>
      <c r="D120" s="79" t="str">
        <f>IF(AND(A120="",A119&lt;&gt;"",COUNTIF(A121:$A$200,"&lt;&gt;")=0),ROUND(SUMIF($A$2:A119,"&lt;&gt;",$D$2:D119),2),IF(OR(A120="",B120="",C120=""),"",ROUND(B120*C120,2)))</f>
        <v/>
      </c>
      <c r="E120" s="84"/>
      <c r="F120" s="79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4"/>
      <c r="H120" s="79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4"/>
      <c r="J120" s="79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4"/>
      <c r="L120" s="79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5" t="str">
        <f>IF(OR(posicao_contratual!J120="",posicao_contratual!N120=""),"",ROUND(MAX(posicao_contratual!J120+posicao_contratual!H120-posicao_contratual!N120,0),2))</f>
        <v/>
      </c>
      <c r="N120" s="79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5" t="str">
        <f>IF(OR(posicao_contratual!N120="",posicao_contratual!R120=""),"",ROUND(MAX(posicao_contratual!N120+posicao_contratual!L120-posicao_contratual!R120,0),2))</f>
        <v/>
      </c>
      <c r="P120" s="79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5" t="str">
        <f>IF(OR(posicao_contratual!R120="",posicao_contratual!V120=""),"",ROUND(MAX(posicao_contratual!R120+posicao_contratual!P120-posicao_contratual!V120,0),2))</f>
        <v/>
      </c>
      <c r="R120" s="79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38"/>
      <c r="T120" s="39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86" t="str">
        <f>IF(AND(A120="",A119&lt;&gt;"",COUNTIF(A121:$A$200,"&lt;&gt;")=0),"TOTAL",IF(A120="","",posicao_contratual!X120))</f>
        <v/>
      </c>
      <c r="V120" s="86" t="str">
        <f>IF(A120="","",posicao_contratual!X120)</f>
        <v/>
      </c>
      <c r="W120" s="13"/>
      <c r="X120" s="13"/>
      <c r="Y120" s="13"/>
      <c r="Z120" s="13"/>
      <c r="AA120" s="13"/>
      <c r="AB120" s="85" t="str">
        <f>IF(OR(A120="",posicao_contratual!E120="",posicao_contratual!J120=""),"",ROUND(MAX(posicao_contratual!E120-posicao_contratual!J120,0),2))</f>
        <v/>
      </c>
      <c r="AC120" s="79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47" t="str">
        <f>IF(A120="","",posicao_contratual!E120)</f>
        <v/>
      </c>
      <c r="AE120" s="147" t="str">
        <f>IF(A120="","",posicao_contratual!I120)</f>
        <v/>
      </c>
      <c r="AF120" s="147" t="str">
        <f>IF(A120="","",posicao_contratual!M120)</f>
        <v/>
      </c>
      <c r="AG120" s="147" t="str">
        <f>IF(A120="","",posicao_contratual!Q120)</f>
        <v/>
      </c>
      <c r="AH120" s="147" t="str">
        <f>IF(A120="","",posicao_contratual!U120)</f>
        <v/>
      </c>
      <c r="AI120" s="147" t="str">
        <f>IF(A120="","",posicao_contratual!G120)</f>
        <v/>
      </c>
      <c r="AJ120" s="147" t="str">
        <f>IF(A120="","",posicao_contratual!K120)</f>
        <v/>
      </c>
      <c r="AK120" s="147" t="str">
        <f>IF(A120="","",posicao_contratual!O120)</f>
        <v/>
      </c>
      <c r="AL120" s="147" t="str">
        <f>IF(A120="","",posicao_contratual!S120)</f>
        <v/>
      </c>
      <c r="AM120" s="147" t="str">
        <f>IF(A120="","",posicao_contratual!W120)</f>
        <v/>
      </c>
      <c r="AN120" s="148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1"/>
      <c r="B121" s="82" t="str">
        <f t="shared" si="18"/>
        <v/>
      </c>
      <c r="C121" s="83"/>
      <c r="D121" s="79" t="str">
        <f>IF(AND(A121="",A120&lt;&gt;"",COUNTIF(A122:$A$200,"&lt;&gt;")=0),ROUND(SUMIF($A$2:A120,"&lt;&gt;",$D$2:D120),2),IF(OR(A121="",B121="",C121=""),"",ROUND(B121*C121,2)))</f>
        <v/>
      </c>
      <c r="E121" s="84"/>
      <c r="F121" s="79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4"/>
      <c r="H121" s="79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4"/>
      <c r="J121" s="79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4"/>
      <c r="L121" s="79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5" t="str">
        <f>IF(OR(posicao_contratual!J121="",posicao_contratual!N121=""),"",ROUND(MAX(posicao_contratual!J121+posicao_contratual!H121-posicao_contratual!N121,0),2))</f>
        <v/>
      </c>
      <c r="N121" s="79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5" t="str">
        <f>IF(OR(posicao_contratual!N121="",posicao_contratual!R121=""),"",ROUND(MAX(posicao_contratual!N121+posicao_contratual!L121-posicao_contratual!R121,0),2))</f>
        <v/>
      </c>
      <c r="P121" s="79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5" t="str">
        <f>IF(OR(posicao_contratual!R121="",posicao_contratual!V121=""),"",ROUND(MAX(posicao_contratual!R121+posicao_contratual!P121-posicao_contratual!V121,0),2))</f>
        <v/>
      </c>
      <c r="R121" s="79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38"/>
      <c r="T121" s="39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86" t="str">
        <f>IF(AND(A121="",A120&lt;&gt;"",COUNTIF(A122:$A$200,"&lt;&gt;")=0),"TOTAL",IF(A121="","",posicao_contratual!X121))</f>
        <v/>
      </c>
      <c r="V121" s="86" t="str">
        <f>IF(A121="","",posicao_contratual!X121)</f>
        <v/>
      </c>
      <c r="W121" s="13"/>
      <c r="X121" s="13"/>
      <c r="Y121" s="13"/>
      <c r="Z121" s="13"/>
      <c r="AA121" s="13"/>
      <c r="AB121" s="85" t="str">
        <f>IF(OR(A121="",posicao_contratual!E121="",posicao_contratual!J121=""),"",ROUND(MAX(posicao_contratual!E121-posicao_contratual!J121,0),2))</f>
        <v/>
      </c>
      <c r="AC121" s="79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47" t="str">
        <f>IF(A121="","",posicao_contratual!E121)</f>
        <v/>
      </c>
      <c r="AE121" s="147" t="str">
        <f>IF(A121="","",posicao_contratual!I121)</f>
        <v/>
      </c>
      <c r="AF121" s="147" t="str">
        <f>IF(A121="","",posicao_contratual!M121)</f>
        <v/>
      </c>
      <c r="AG121" s="147" t="str">
        <f>IF(A121="","",posicao_contratual!Q121)</f>
        <v/>
      </c>
      <c r="AH121" s="147" t="str">
        <f>IF(A121="","",posicao_contratual!U121)</f>
        <v/>
      </c>
      <c r="AI121" s="147" t="str">
        <f>IF(A121="","",posicao_contratual!G121)</f>
        <v/>
      </c>
      <c r="AJ121" s="147" t="str">
        <f>IF(A121="","",posicao_contratual!K121)</f>
        <v/>
      </c>
      <c r="AK121" s="147" t="str">
        <f>IF(A121="","",posicao_contratual!O121)</f>
        <v/>
      </c>
      <c r="AL121" s="147" t="str">
        <f>IF(A121="","",posicao_contratual!S121)</f>
        <v/>
      </c>
      <c r="AM121" s="147" t="str">
        <f>IF(A121="","",posicao_contratual!W121)</f>
        <v/>
      </c>
      <c r="AN121" s="148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1"/>
      <c r="B122" s="82" t="str">
        <f t="shared" si="18"/>
        <v/>
      </c>
      <c r="C122" s="83"/>
      <c r="D122" s="79" t="str">
        <f>IF(AND(A122="",A121&lt;&gt;"",COUNTIF(A123:$A$200,"&lt;&gt;")=0),ROUND(SUMIF($A$2:A121,"&lt;&gt;",$D$2:D121),2),IF(OR(A122="",B122="",C122=""),"",ROUND(B122*C122,2)))</f>
        <v/>
      </c>
      <c r="E122" s="84"/>
      <c r="F122" s="79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4"/>
      <c r="H122" s="79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4"/>
      <c r="J122" s="79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4"/>
      <c r="L122" s="79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5" t="str">
        <f>IF(OR(posicao_contratual!J122="",posicao_contratual!N122=""),"",ROUND(MAX(posicao_contratual!J122+posicao_contratual!H122-posicao_contratual!N122,0),2))</f>
        <v/>
      </c>
      <c r="N122" s="79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5" t="str">
        <f>IF(OR(posicao_contratual!N122="",posicao_contratual!R122=""),"",ROUND(MAX(posicao_contratual!N122+posicao_contratual!L122-posicao_contratual!R122,0),2))</f>
        <v/>
      </c>
      <c r="P122" s="79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5" t="str">
        <f>IF(OR(posicao_contratual!R122="",posicao_contratual!V122=""),"",ROUND(MAX(posicao_contratual!R122+posicao_contratual!P122-posicao_contratual!V122,0),2))</f>
        <v/>
      </c>
      <c r="R122" s="79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38"/>
      <c r="T122" s="39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86" t="str">
        <f>IF(AND(A122="",A121&lt;&gt;"",COUNTIF(A123:$A$200,"&lt;&gt;")=0),"TOTAL",IF(A122="","",posicao_contratual!X122))</f>
        <v/>
      </c>
      <c r="V122" s="86" t="str">
        <f>IF(A122="","",posicao_contratual!X122)</f>
        <v/>
      </c>
      <c r="W122" s="13"/>
      <c r="X122" s="13"/>
      <c r="Y122" s="13"/>
      <c r="Z122" s="13"/>
      <c r="AA122" s="13"/>
      <c r="AB122" s="85" t="str">
        <f>IF(OR(A122="",posicao_contratual!E122="",posicao_contratual!J122=""),"",ROUND(MAX(posicao_contratual!E122-posicao_contratual!J122,0),2))</f>
        <v/>
      </c>
      <c r="AC122" s="79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47" t="str">
        <f>IF(A122="","",posicao_contratual!E122)</f>
        <v/>
      </c>
      <c r="AE122" s="147" t="str">
        <f>IF(A122="","",posicao_contratual!I122)</f>
        <v/>
      </c>
      <c r="AF122" s="147" t="str">
        <f>IF(A122="","",posicao_contratual!M122)</f>
        <v/>
      </c>
      <c r="AG122" s="147" t="str">
        <f>IF(A122="","",posicao_contratual!Q122)</f>
        <v/>
      </c>
      <c r="AH122" s="147" t="str">
        <f>IF(A122="","",posicao_contratual!U122)</f>
        <v/>
      </c>
      <c r="AI122" s="147" t="str">
        <f>IF(A122="","",posicao_contratual!G122)</f>
        <v/>
      </c>
      <c r="AJ122" s="147" t="str">
        <f>IF(A122="","",posicao_contratual!K122)</f>
        <v/>
      </c>
      <c r="AK122" s="147" t="str">
        <f>IF(A122="","",posicao_contratual!O122)</f>
        <v/>
      </c>
      <c r="AL122" s="147" t="str">
        <f>IF(A122="","",posicao_contratual!S122)</f>
        <v/>
      </c>
      <c r="AM122" s="147" t="str">
        <f>IF(A122="","",posicao_contratual!W122)</f>
        <v/>
      </c>
      <c r="AN122" s="148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1"/>
      <c r="B123" s="82" t="str">
        <f t="shared" si="18"/>
        <v/>
      </c>
      <c r="C123" s="83"/>
      <c r="D123" s="79" t="str">
        <f>IF(AND(A123="",A122&lt;&gt;"",COUNTIF(A124:$A$200,"&lt;&gt;")=0),ROUND(SUMIF($A$2:A122,"&lt;&gt;",$D$2:D122),2),IF(OR(A123="",B123="",C123=""),"",ROUND(B123*C123,2)))</f>
        <v/>
      </c>
      <c r="E123" s="84"/>
      <c r="F123" s="79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4"/>
      <c r="H123" s="79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4"/>
      <c r="J123" s="79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4"/>
      <c r="L123" s="79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5" t="str">
        <f>IF(OR(posicao_contratual!J123="",posicao_contratual!N123=""),"",ROUND(MAX(posicao_contratual!J123+posicao_contratual!H123-posicao_contratual!N123,0),2))</f>
        <v/>
      </c>
      <c r="N123" s="79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5" t="str">
        <f>IF(OR(posicao_contratual!N123="",posicao_contratual!R123=""),"",ROUND(MAX(posicao_contratual!N123+posicao_contratual!L123-posicao_contratual!R123,0),2))</f>
        <v/>
      </c>
      <c r="P123" s="79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5" t="str">
        <f>IF(OR(posicao_contratual!R123="",posicao_contratual!V123=""),"",ROUND(MAX(posicao_contratual!R123+posicao_contratual!P123-posicao_contratual!V123,0),2))</f>
        <v/>
      </c>
      <c r="R123" s="79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38"/>
      <c r="T123" s="39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86" t="str">
        <f>IF(AND(A123="",A122&lt;&gt;"",COUNTIF(A124:$A$200,"&lt;&gt;")=0),"TOTAL",IF(A123="","",posicao_contratual!X123))</f>
        <v/>
      </c>
      <c r="V123" s="86" t="str">
        <f>IF(A123="","",posicao_contratual!X123)</f>
        <v/>
      </c>
      <c r="W123" s="13"/>
      <c r="X123" s="13"/>
      <c r="Y123" s="13"/>
      <c r="Z123" s="13"/>
      <c r="AA123" s="13"/>
      <c r="AB123" s="85" t="str">
        <f>IF(OR(A123="",posicao_contratual!E123="",posicao_contratual!J123=""),"",ROUND(MAX(posicao_contratual!E123-posicao_contratual!J123,0),2))</f>
        <v/>
      </c>
      <c r="AC123" s="79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47" t="str">
        <f>IF(A123="","",posicao_contratual!E123)</f>
        <v/>
      </c>
      <c r="AE123" s="147" t="str">
        <f>IF(A123="","",posicao_contratual!I123)</f>
        <v/>
      </c>
      <c r="AF123" s="147" t="str">
        <f>IF(A123="","",posicao_contratual!M123)</f>
        <v/>
      </c>
      <c r="AG123" s="147" t="str">
        <f>IF(A123="","",posicao_contratual!Q123)</f>
        <v/>
      </c>
      <c r="AH123" s="147" t="str">
        <f>IF(A123="","",posicao_contratual!U123)</f>
        <v/>
      </c>
      <c r="AI123" s="147" t="str">
        <f>IF(A123="","",posicao_contratual!G123)</f>
        <v/>
      </c>
      <c r="AJ123" s="147" t="str">
        <f>IF(A123="","",posicao_contratual!K123)</f>
        <v/>
      </c>
      <c r="AK123" s="147" t="str">
        <f>IF(A123="","",posicao_contratual!O123)</f>
        <v/>
      </c>
      <c r="AL123" s="147" t="str">
        <f>IF(A123="","",posicao_contratual!S123)</f>
        <v/>
      </c>
      <c r="AM123" s="147" t="str">
        <f>IF(A123="","",posicao_contratual!W123)</f>
        <v/>
      </c>
      <c r="AN123" s="148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1"/>
      <c r="B124" s="82" t="str">
        <f t="shared" si="18"/>
        <v/>
      </c>
      <c r="C124" s="83"/>
      <c r="D124" s="79" t="str">
        <f>IF(AND(A124="",A123&lt;&gt;"",COUNTIF(A125:$A$200,"&lt;&gt;")=0),ROUND(SUMIF($A$2:A123,"&lt;&gt;",$D$2:D123),2),IF(OR(A124="",B124="",C124=""),"",ROUND(B124*C124,2)))</f>
        <v/>
      </c>
      <c r="E124" s="84"/>
      <c r="F124" s="79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4"/>
      <c r="H124" s="79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4"/>
      <c r="J124" s="79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4"/>
      <c r="L124" s="79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5" t="str">
        <f>IF(OR(posicao_contratual!J124="",posicao_contratual!N124=""),"",ROUND(MAX(posicao_contratual!J124+posicao_contratual!H124-posicao_contratual!N124,0),2))</f>
        <v/>
      </c>
      <c r="N124" s="79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5" t="str">
        <f>IF(OR(posicao_contratual!N124="",posicao_contratual!R124=""),"",ROUND(MAX(posicao_contratual!N124+posicao_contratual!L124-posicao_contratual!R124,0),2))</f>
        <v/>
      </c>
      <c r="P124" s="79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5" t="str">
        <f>IF(OR(posicao_contratual!R124="",posicao_contratual!V124=""),"",ROUND(MAX(posicao_contratual!R124+posicao_contratual!P124-posicao_contratual!V124,0),2))</f>
        <v/>
      </c>
      <c r="R124" s="79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38"/>
      <c r="T124" s="39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86" t="str">
        <f>IF(AND(A124="",A123&lt;&gt;"",COUNTIF(A125:$A$200,"&lt;&gt;")=0),"TOTAL",IF(A124="","",posicao_contratual!X124))</f>
        <v/>
      </c>
      <c r="V124" s="86" t="str">
        <f>IF(A124="","",posicao_contratual!X124)</f>
        <v/>
      </c>
      <c r="W124" s="13"/>
      <c r="X124" s="13"/>
      <c r="Y124" s="13"/>
      <c r="Z124" s="13"/>
      <c r="AA124" s="13"/>
      <c r="AB124" s="85" t="str">
        <f>IF(OR(A124="",posicao_contratual!E124="",posicao_contratual!J124=""),"",ROUND(MAX(posicao_contratual!E124-posicao_contratual!J124,0),2))</f>
        <v/>
      </c>
      <c r="AC124" s="79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47" t="str">
        <f>IF(A124="","",posicao_contratual!E124)</f>
        <v/>
      </c>
      <c r="AE124" s="147" t="str">
        <f>IF(A124="","",posicao_contratual!I124)</f>
        <v/>
      </c>
      <c r="AF124" s="147" t="str">
        <f>IF(A124="","",posicao_contratual!M124)</f>
        <v/>
      </c>
      <c r="AG124" s="147" t="str">
        <f>IF(A124="","",posicao_contratual!Q124)</f>
        <v/>
      </c>
      <c r="AH124" s="147" t="str">
        <f>IF(A124="","",posicao_contratual!U124)</f>
        <v/>
      </c>
      <c r="AI124" s="147" t="str">
        <f>IF(A124="","",posicao_contratual!G124)</f>
        <v/>
      </c>
      <c r="AJ124" s="147" t="str">
        <f>IF(A124="","",posicao_contratual!K124)</f>
        <v/>
      </c>
      <c r="AK124" s="147" t="str">
        <f>IF(A124="","",posicao_contratual!O124)</f>
        <v/>
      </c>
      <c r="AL124" s="147" t="str">
        <f>IF(A124="","",posicao_contratual!S124)</f>
        <v/>
      </c>
      <c r="AM124" s="147" t="str">
        <f>IF(A124="","",posicao_contratual!W124)</f>
        <v/>
      </c>
      <c r="AN124" s="148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1"/>
      <c r="B125" s="82" t="str">
        <f t="shared" si="18"/>
        <v/>
      </c>
      <c r="C125" s="83"/>
      <c r="D125" s="79" t="str">
        <f>IF(AND(A125="",A124&lt;&gt;"",COUNTIF(A126:$A$200,"&lt;&gt;")=0),ROUND(SUMIF($A$2:A124,"&lt;&gt;",$D$2:D124),2),IF(OR(A125="",B125="",C125=""),"",ROUND(B125*C125,2)))</f>
        <v/>
      </c>
      <c r="E125" s="84"/>
      <c r="F125" s="79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4"/>
      <c r="H125" s="79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4"/>
      <c r="J125" s="79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4"/>
      <c r="L125" s="79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5" t="str">
        <f>IF(OR(posicao_contratual!J125="",posicao_contratual!N125=""),"",ROUND(MAX(posicao_contratual!J125+posicao_contratual!H125-posicao_contratual!N125,0),2))</f>
        <v/>
      </c>
      <c r="N125" s="79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5" t="str">
        <f>IF(OR(posicao_contratual!N125="",posicao_contratual!R125=""),"",ROUND(MAX(posicao_contratual!N125+posicao_contratual!L125-posicao_contratual!R125,0),2))</f>
        <v/>
      </c>
      <c r="P125" s="79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5" t="str">
        <f>IF(OR(posicao_contratual!R125="",posicao_contratual!V125=""),"",ROUND(MAX(posicao_contratual!R125+posicao_contratual!P125-posicao_contratual!V125,0),2))</f>
        <v/>
      </c>
      <c r="R125" s="79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38"/>
      <c r="T125" s="39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86" t="str">
        <f>IF(AND(A125="",A124&lt;&gt;"",COUNTIF(A126:$A$200,"&lt;&gt;")=0),"TOTAL",IF(A125="","",posicao_contratual!X125))</f>
        <v/>
      </c>
      <c r="V125" s="86" t="str">
        <f>IF(A125="","",posicao_contratual!X125)</f>
        <v/>
      </c>
      <c r="W125" s="13"/>
      <c r="X125" s="13"/>
      <c r="Y125" s="13"/>
      <c r="Z125" s="13"/>
      <c r="AA125" s="13"/>
      <c r="AB125" s="85" t="str">
        <f>IF(OR(A125="",posicao_contratual!E125="",posicao_contratual!J125=""),"",ROUND(MAX(posicao_contratual!E125-posicao_contratual!J125,0),2))</f>
        <v/>
      </c>
      <c r="AC125" s="79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47" t="str">
        <f>IF(A125="","",posicao_contratual!E125)</f>
        <v/>
      </c>
      <c r="AE125" s="147" t="str">
        <f>IF(A125="","",posicao_contratual!I125)</f>
        <v/>
      </c>
      <c r="AF125" s="147" t="str">
        <f>IF(A125="","",posicao_contratual!M125)</f>
        <v/>
      </c>
      <c r="AG125" s="147" t="str">
        <f>IF(A125="","",posicao_contratual!Q125)</f>
        <v/>
      </c>
      <c r="AH125" s="147" t="str">
        <f>IF(A125="","",posicao_contratual!U125)</f>
        <v/>
      </c>
      <c r="AI125" s="147" t="str">
        <f>IF(A125="","",posicao_contratual!G125)</f>
        <v/>
      </c>
      <c r="AJ125" s="147" t="str">
        <f>IF(A125="","",posicao_contratual!K125)</f>
        <v/>
      </c>
      <c r="AK125" s="147" t="str">
        <f>IF(A125="","",posicao_contratual!O125)</f>
        <v/>
      </c>
      <c r="AL125" s="147" t="str">
        <f>IF(A125="","",posicao_contratual!S125)</f>
        <v/>
      </c>
      <c r="AM125" s="147" t="str">
        <f>IF(A125="","",posicao_contratual!W125)</f>
        <v/>
      </c>
      <c r="AN125" s="148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1"/>
      <c r="B126" s="82" t="str">
        <f t="shared" si="18"/>
        <v/>
      </c>
      <c r="C126" s="83"/>
      <c r="D126" s="79" t="str">
        <f>IF(AND(A126="",A125&lt;&gt;"",COUNTIF(A127:$A$200,"&lt;&gt;")=0),ROUND(SUMIF($A$2:A125,"&lt;&gt;",$D$2:D125),2),IF(OR(A126="",B126="",C126=""),"",ROUND(B126*C126,2)))</f>
        <v/>
      </c>
      <c r="E126" s="84"/>
      <c r="F126" s="79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4"/>
      <c r="H126" s="79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4"/>
      <c r="J126" s="79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4"/>
      <c r="L126" s="79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5" t="str">
        <f>IF(OR(posicao_contratual!J126="",posicao_contratual!N126=""),"",ROUND(MAX(posicao_contratual!J126+posicao_contratual!H126-posicao_contratual!N126,0),2))</f>
        <v/>
      </c>
      <c r="N126" s="79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5" t="str">
        <f>IF(OR(posicao_contratual!N126="",posicao_contratual!R126=""),"",ROUND(MAX(posicao_contratual!N126+posicao_contratual!L126-posicao_contratual!R126,0),2))</f>
        <v/>
      </c>
      <c r="P126" s="79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5" t="str">
        <f>IF(OR(posicao_contratual!R126="",posicao_contratual!V126=""),"",ROUND(MAX(posicao_contratual!R126+posicao_contratual!P126-posicao_contratual!V126,0),2))</f>
        <v/>
      </c>
      <c r="R126" s="79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38"/>
      <c r="T126" s="39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86" t="str">
        <f>IF(AND(A126="",A125&lt;&gt;"",COUNTIF(A127:$A$200,"&lt;&gt;")=0),"TOTAL",IF(A126="","",posicao_contratual!X126))</f>
        <v/>
      </c>
      <c r="V126" s="86" t="str">
        <f>IF(A126="","",posicao_contratual!X126)</f>
        <v/>
      </c>
      <c r="W126" s="13"/>
      <c r="X126" s="13"/>
      <c r="Y126" s="13"/>
      <c r="Z126" s="13"/>
      <c r="AA126" s="13"/>
      <c r="AB126" s="85" t="str">
        <f>IF(OR(A126="",posicao_contratual!E126="",posicao_contratual!J126=""),"",ROUND(MAX(posicao_contratual!E126-posicao_contratual!J126,0),2))</f>
        <v/>
      </c>
      <c r="AC126" s="79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47" t="str">
        <f>IF(A126="","",posicao_contratual!E126)</f>
        <v/>
      </c>
      <c r="AE126" s="147" t="str">
        <f>IF(A126="","",posicao_contratual!I126)</f>
        <v/>
      </c>
      <c r="AF126" s="147" t="str">
        <f>IF(A126="","",posicao_contratual!M126)</f>
        <v/>
      </c>
      <c r="AG126" s="147" t="str">
        <f>IF(A126="","",posicao_contratual!Q126)</f>
        <v/>
      </c>
      <c r="AH126" s="147" t="str">
        <f>IF(A126="","",posicao_contratual!U126)</f>
        <v/>
      </c>
      <c r="AI126" s="147" t="str">
        <f>IF(A126="","",posicao_contratual!G126)</f>
        <v/>
      </c>
      <c r="AJ126" s="147" t="str">
        <f>IF(A126="","",posicao_contratual!K126)</f>
        <v/>
      </c>
      <c r="AK126" s="147" t="str">
        <f>IF(A126="","",posicao_contratual!O126)</f>
        <v/>
      </c>
      <c r="AL126" s="147" t="str">
        <f>IF(A126="","",posicao_contratual!S126)</f>
        <v/>
      </c>
      <c r="AM126" s="147" t="str">
        <f>IF(A126="","",posicao_contratual!W126)</f>
        <v/>
      </c>
      <c r="AN126" s="148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1"/>
      <c r="B127" s="82" t="str">
        <f t="shared" si="18"/>
        <v/>
      </c>
      <c r="C127" s="83"/>
      <c r="D127" s="79" t="str">
        <f>IF(AND(A127="",A126&lt;&gt;"",COUNTIF(A128:$A$200,"&lt;&gt;")=0),ROUND(SUMIF($A$2:A126,"&lt;&gt;",$D$2:D126),2),IF(OR(A127="",B127="",C127=""),"",ROUND(B127*C127,2)))</f>
        <v/>
      </c>
      <c r="E127" s="84"/>
      <c r="F127" s="79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4"/>
      <c r="H127" s="79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4"/>
      <c r="J127" s="79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4"/>
      <c r="L127" s="79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5" t="str">
        <f>IF(OR(posicao_contratual!J127="",posicao_contratual!N127=""),"",ROUND(MAX(posicao_contratual!J127+posicao_contratual!H127-posicao_contratual!N127,0),2))</f>
        <v/>
      </c>
      <c r="N127" s="79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5" t="str">
        <f>IF(OR(posicao_contratual!N127="",posicao_contratual!R127=""),"",ROUND(MAX(posicao_contratual!N127+posicao_contratual!L127-posicao_contratual!R127,0),2))</f>
        <v/>
      </c>
      <c r="P127" s="79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5" t="str">
        <f>IF(OR(posicao_contratual!R127="",posicao_contratual!V127=""),"",ROUND(MAX(posicao_contratual!R127+posicao_contratual!P127-posicao_contratual!V127,0),2))</f>
        <v/>
      </c>
      <c r="R127" s="79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38"/>
      <c r="T127" s="39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86" t="str">
        <f>IF(AND(A127="",A126&lt;&gt;"",COUNTIF(A128:$A$200,"&lt;&gt;")=0),"TOTAL",IF(A127="","",posicao_contratual!X127))</f>
        <v/>
      </c>
      <c r="V127" s="86" t="str">
        <f>IF(A127="","",posicao_contratual!X127)</f>
        <v/>
      </c>
      <c r="W127" s="13"/>
      <c r="X127" s="13"/>
      <c r="Y127" s="13"/>
      <c r="Z127" s="13"/>
      <c r="AA127" s="13"/>
      <c r="AB127" s="85" t="str">
        <f>IF(OR(A127="",posicao_contratual!E127="",posicao_contratual!J127=""),"",ROUND(MAX(posicao_contratual!E127-posicao_contratual!J127,0),2))</f>
        <v/>
      </c>
      <c r="AC127" s="79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47" t="str">
        <f>IF(A127="","",posicao_contratual!E127)</f>
        <v/>
      </c>
      <c r="AE127" s="147" t="str">
        <f>IF(A127="","",posicao_contratual!I127)</f>
        <v/>
      </c>
      <c r="AF127" s="147" t="str">
        <f>IF(A127="","",posicao_contratual!M127)</f>
        <v/>
      </c>
      <c r="AG127" s="147" t="str">
        <f>IF(A127="","",posicao_contratual!Q127)</f>
        <v/>
      </c>
      <c r="AH127" s="147" t="str">
        <f>IF(A127="","",posicao_contratual!U127)</f>
        <v/>
      </c>
      <c r="AI127" s="147" t="str">
        <f>IF(A127="","",posicao_contratual!G127)</f>
        <v/>
      </c>
      <c r="AJ127" s="147" t="str">
        <f>IF(A127="","",posicao_contratual!K127)</f>
        <v/>
      </c>
      <c r="AK127" s="147" t="str">
        <f>IF(A127="","",posicao_contratual!O127)</f>
        <v/>
      </c>
      <c r="AL127" s="147" t="str">
        <f>IF(A127="","",posicao_contratual!S127)</f>
        <v/>
      </c>
      <c r="AM127" s="147" t="str">
        <f>IF(A127="","",posicao_contratual!W127)</f>
        <v/>
      </c>
      <c r="AN127" s="148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1"/>
      <c r="B128" s="82" t="str">
        <f t="shared" si="18"/>
        <v/>
      </c>
      <c r="C128" s="83"/>
      <c r="D128" s="79" t="str">
        <f>IF(AND(A128="",A127&lt;&gt;"",COUNTIF(A129:$A$200,"&lt;&gt;")=0),ROUND(SUMIF($A$2:A127,"&lt;&gt;",$D$2:D127),2),IF(OR(A128="",B128="",C128=""),"",ROUND(B128*C128,2)))</f>
        <v/>
      </c>
      <c r="E128" s="84"/>
      <c r="F128" s="79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4"/>
      <c r="H128" s="79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4"/>
      <c r="J128" s="79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4"/>
      <c r="L128" s="79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5" t="str">
        <f>IF(OR(posicao_contratual!J128="",posicao_contratual!N128=""),"",ROUND(MAX(posicao_contratual!J128+posicao_contratual!H128-posicao_contratual!N128,0),2))</f>
        <v/>
      </c>
      <c r="N128" s="79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5" t="str">
        <f>IF(OR(posicao_contratual!N128="",posicao_contratual!R128=""),"",ROUND(MAX(posicao_contratual!N128+posicao_contratual!L128-posicao_contratual!R128,0),2))</f>
        <v/>
      </c>
      <c r="P128" s="79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5" t="str">
        <f>IF(OR(posicao_contratual!R128="",posicao_contratual!V128=""),"",ROUND(MAX(posicao_contratual!R128+posicao_contratual!P128-posicao_contratual!V128,0),2))</f>
        <v/>
      </c>
      <c r="R128" s="79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38"/>
      <c r="T128" s="39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86" t="str">
        <f>IF(AND(A128="",A127&lt;&gt;"",COUNTIF(A129:$A$200,"&lt;&gt;")=0),"TOTAL",IF(A128="","",posicao_contratual!X128))</f>
        <v/>
      </c>
      <c r="V128" s="86" t="str">
        <f>IF(A128="","",posicao_contratual!X128)</f>
        <v/>
      </c>
      <c r="W128" s="13"/>
      <c r="X128" s="13"/>
      <c r="Y128" s="13"/>
      <c r="Z128" s="13"/>
      <c r="AA128" s="13"/>
      <c r="AB128" s="85" t="str">
        <f>IF(OR(A128="",posicao_contratual!E128="",posicao_contratual!J128=""),"",ROUND(MAX(posicao_contratual!E128-posicao_contratual!J128,0),2))</f>
        <v/>
      </c>
      <c r="AC128" s="79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47" t="str">
        <f>IF(A128="","",posicao_contratual!E128)</f>
        <v/>
      </c>
      <c r="AE128" s="147" t="str">
        <f>IF(A128="","",posicao_contratual!I128)</f>
        <v/>
      </c>
      <c r="AF128" s="147" t="str">
        <f>IF(A128="","",posicao_contratual!M128)</f>
        <v/>
      </c>
      <c r="AG128" s="147" t="str">
        <f>IF(A128="","",posicao_contratual!Q128)</f>
        <v/>
      </c>
      <c r="AH128" s="147" t="str">
        <f>IF(A128="","",posicao_contratual!U128)</f>
        <v/>
      </c>
      <c r="AI128" s="147" t="str">
        <f>IF(A128="","",posicao_contratual!G128)</f>
        <v/>
      </c>
      <c r="AJ128" s="147" t="str">
        <f>IF(A128="","",posicao_contratual!K128)</f>
        <v/>
      </c>
      <c r="AK128" s="147" t="str">
        <f>IF(A128="","",posicao_contratual!O128)</f>
        <v/>
      </c>
      <c r="AL128" s="147" t="str">
        <f>IF(A128="","",posicao_contratual!S128)</f>
        <v/>
      </c>
      <c r="AM128" s="147" t="str">
        <f>IF(A128="","",posicao_contratual!W128)</f>
        <v/>
      </c>
      <c r="AN128" s="148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1"/>
      <c r="B129" s="82" t="str">
        <f t="shared" si="18"/>
        <v/>
      </c>
      <c r="C129" s="83"/>
      <c r="D129" s="79" t="str">
        <f>IF(AND(A129="",A128&lt;&gt;"",COUNTIF(A130:$A$200,"&lt;&gt;")=0),ROUND(SUMIF($A$2:A128,"&lt;&gt;",$D$2:D128),2),IF(OR(A129="",B129="",C129=""),"",ROUND(B129*C129,2)))</f>
        <v/>
      </c>
      <c r="E129" s="84"/>
      <c r="F129" s="79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4"/>
      <c r="H129" s="79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4"/>
      <c r="J129" s="79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4"/>
      <c r="L129" s="79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5" t="str">
        <f>IF(OR(posicao_contratual!J129="",posicao_contratual!N129=""),"",ROUND(MAX(posicao_contratual!J129+posicao_contratual!H129-posicao_contratual!N129,0),2))</f>
        <v/>
      </c>
      <c r="N129" s="79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5" t="str">
        <f>IF(OR(posicao_contratual!N129="",posicao_contratual!R129=""),"",ROUND(MAX(posicao_contratual!N129+posicao_contratual!L129-posicao_contratual!R129,0),2))</f>
        <v/>
      </c>
      <c r="P129" s="79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5" t="str">
        <f>IF(OR(posicao_contratual!R129="",posicao_contratual!V129=""),"",ROUND(MAX(posicao_contratual!R129+posicao_contratual!P129-posicao_contratual!V129,0),2))</f>
        <v/>
      </c>
      <c r="R129" s="79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38"/>
      <c r="T129" s="39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86" t="str">
        <f>IF(AND(A129="",A128&lt;&gt;"",COUNTIF(A130:$A$200,"&lt;&gt;")=0),"TOTAL",IF(A129="","",posicao_contratual!X129))</f>
        <v/>
      </c>
      <c r="V129" s="86" t="str">
        <f>IF(A129="","",posicao_contratual!X129)</f>
        <v/>
      </c>
      <c r="W129" s="13"/>
      <c r="X129" s="13"/>
      <c r="Y129" s="13"/>
      <c r="Z129" s="13"/>
      <c r="AA129" s="13"/>
      <c r="AB129" s="85" t="str">
        <f>IF(OR(A129="",posicao_contratual!E129="",posicao_contratual!J129=""),"",ROUND(MAX(posicao_contratual!E129-posicao_contratual!J129,0),2))</f>
        <v/>
      </c>
      <c r="AC129" s="79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47" t="str">
        <f>IF(A129="","",posicao_contratual!E129)</f>
        <v/>
      </c>
      <c r="AE129" s="147" t="str">
        <f>IF(A129="","",posicao_contratual!I129)</f>
        <v/>
      </c>
      <c r="AF129" s="147" t="str">
        <f>IF(A129="","",posicao_contratual!M129)</f>
        <v/>
      </c>
      <c r="AG129" s="147" t="str">
        <f>IF(A129="","",posicao_contratual!Q129)</f>
        <v/>
      </c>
      <c r="AH129" s="147" t="str">
        <f>IF(A129="","",posicao_contratual!U129)</f>
        <v/>
      </c>
      <c r="AI129" s="147" t="str">
        <f>IF(A129="","",posicao_contratual!G129)</f>
        <v/>
      </c>
      <c r="AJ129" s="147" t="str">
        <f>IF(A129="","",posicao_contratual!K129)</f>
        <v/>
      </c>
      <c r="AK129" s="147" t="str">
        <f>IF(A129="","",posicao_contratual!O129)</f>
        <v/>
      </c>
      <c r="AL129" s="147" t="str">
        <f>IF(A129="","",posicao_contratual!S129)</f>
        <v/>
      </c>
      <c r="AM129" s="147" t="str">
        <f>IF(A129="","",posicao_contratual!W129)</f>
        <v/>
      </c>
      <c r="AN129" s="148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1"/>
      <c r="B130" s="82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3"/>
      <c r="D130" s="79" t="str">
        <f>IF(AND(A130="",A129&lt;&gt;"",COUNTIF(A131:$A$200,"&lt;&gt;")=0),ROUND(SUMIF($A$2:A129,"&lt;&gt;",$D$2:D129),2),IF(OR(A130="",B130="",C130=""),"",ROUND(B130*C130,2)))</f>
        <v/>
      </c>
      <c r="E130" s="84"/>
      <c r="F130" s="79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4"/>
      <c r="H130" s="79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4"/>
      <c r="J130" s="79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4"/>
      <c r="L130" s="79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5" t="str">
        <f>IF(OR(posicao_contratual!J130="",posicao_contratual!N130=""),"",ROUND(MAX(posicao_contratual!J130+posicao_contratual!H130-posicao_contratual!N130,0),2))</f>
        <v/>
      </c>
      <c r="N130" s="79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5" t="str">
        <f>IF(OR(posicao_contratual!N130="",posicao_contratual!R130=""),"",ROUND(MAX(posicao_contratual!N130+posicao_contratual!L130-posicao_contratual!R130,0),2))</f>
        <v/>
      </c>
      <c r="P130" s="79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5" t="str">
        <f>IF(OR(posicao_contratual!R130="",posicao_contratual!V130=""),"",ROUND(MAX(posicao_contratual!R130+posicao_contratual!P130-posicao_contratual!V130,0),2))</f>
        <v/>
      </c>
      <c r="R130" s="79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38"/>
      <c r="T130" s="39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86" t="str">
        <f>IF(AND(A130="",A129&lt;&gt;"",COUNTIF(A131:$A$200,"&lt;&gt;")=0),"TOTAL",IF(A130="","",posicao_contratual!X130))</f>
        <v/>
      </c>
      <c r="V130" s="86" t="str">
        <f>IF(A130="","",posicao_contratual!X130)</f>
        <v/>
      </c>
      <c r="W130" s="13"/>
      <c r="X130" s="13"/>
      <c r="Y130" s="13"/>
      <c r="Z130" s="13"/>
      <c r="AA130" s="13"/>
      <c r="AB130" s="85" t="str">
        <f>IF(OR(A130="",posicao_contratual!E130="",posicao_contratual!J130=""),"",ROUND(MAX(posicao_contratual!E130-posicao_contratual!J130,0),2))</f>
        <v/>
      </c>
      <c r="AC130" s="79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47" t="str">
        <f>IF(A130="","",posicao_contratual!E130)</f>
        <v/>
      </c>
      <c r="AE130" s="147" t="str">
        <f>IF(A130="","",posicao_contratual!I130)</f>
        <v/>
      </c>
      <c r="AF130" s="147" t="str">
        <f>IF(A130="","",posicao_contratual!M130)</f>
        <v/>
      </c>
      <c r="AG130" s="147" t="str">
        <f>IF(A130="","",posicao_contratual!Q130)</f>
        <v/>
      </c>
      <c r="AH130" s="147" t="str">
        <f>IF(A130="","",posicao_contratual!U130)</f>
        <v/>
      </c>
      <c r="AI130" s="147" t="str">
        <f>IF(A130="","",posicao_contratual!G130)</f>
        <v/>
      </c>
      <c r="AJ130" s="147" t="str">
        <f>IF(A130="","",posicao_contratual!K130)</f>
        <v/>
      </c>
      <c r="AK130" s="147" t="str">
        <f>IF(A130="","",posicao_contratual!O130)</f>
        <v/>
      </c>
      <c r="AL130" s="147" t="str">
        <f>IF(A130="","",posicao_contratual!S130)</f>
        <v/>
      </c>
      <c r="AM130" s="147" t="str">
        <f>IF(A130="","",posicao_contratual!W130)</f>
        <v/>
      </c>
      <c r="AN130" s="148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1"/>
      <c r="B131" s="82" t="str">
        <f t="shared" si="24"/>
        <v/>
      </c>
      <c r="C131" s="83"/>
      <c r="D131" s="79" t="str">
        <f>IF(AND(A131="",A130&lt;&gt;"",COUNTIF(A132:$A$200,"&lt;&gt;")=0),ROUND(SUMIF($A$2:A130,"&lt;&gt;",$D$2:D130),2),IF(OR(A131="",B131="",C131=""),"",ROUND(B131*C131,2)))</f>
        <v/>
      </c>
      <c r="E131" s="84"/>
      <c r="F131" s="79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4"/>
      <c r="H131" s="79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4"/>
      <c r="J131" s="79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4"/>
      <c r="L131" s="79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5" t="str">
        <f>IF(OR(posicao_contratual!J131="",posicao_contratual!N131=""),"",ROUND(MAX(posicao_contratual!J131+posicao_contratual!H131-posicao_contratual!N131,0),2))</f>
        <v/>
      </c>
      <c r="N131" s="79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5" t="str">
        <f>IF(OR(posicao_contratual!N131="",posicao_contratual!R131=""),"",ROUND(MAX(posicao_contratual!N131+posicao_contratual!L131-posicao_contratual!R131,0),2))</f>
        <v/>
      </c>
      <c r="P131" s="79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5" t="str">
        <f>IF(OR(posicao_contratual!R131="",posicao_contratual!V131=""),"",ROUND(MAX(posicao_contratual!R131+posicao_contratual!P131-posicao_contratual!V131,0),2))</f>
        <v/>
      </c>
      <c r="R131" s="79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38"/>
      <c r="T131" s="39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86" t="str">
        <f>IF(AND(A131="",A130&lt;&gt;"",COUNTIF(A132:$A$200,"&lt;&gt;")=0),"TOTAL",IF(A131="","",posicao_contratual!X131))</f>
        <v/>
      </c>
      <c r="V131" s="86" t="str">
        <f>IF(A131="","",posicao_contratual!X131)</f>
        <v/>
      </c>
      <c r="W131" s="13"/>
      <c r="X131" s="13"/>
      <c r="Y131" s="13"/>
      <c r="Z131" s="13"/>
      <c r="AA131" s="13"/>
      <c r="AB131" s="85" t="str">
        <f>IF(OR(A131="",posicao_contratual!E131="",posicao_contratual!J131=""),"",ROUND(MAX(posicao_contratual!E131-posicao_contratual!J131,0),2))</f>
        <v/>
      </c>
      <c r="AC131" s="79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47" t="str">
        <f>IF(A131="","",posicao_contratual!E131)</f>
        <v/>
      </c>
      <c r="AE131" s="147" t="str">
        <f>IF(A131="","",posicao_contratual!I131)</f>
        <v/>
      </c>
      <c r="AF131" s="147" t="str">
        <f>IF(A131="","",posicao_contratual!M131)</f>
        <v/>
      </c>
      <c r="AG131" s="147" t="str">
        <f>IF(A131="","",posicao_contratual!Q131)</f>
        <v/>
      </c>
      <c r="AH131" s="147" t="str">
        <f>IF(A131="","",posicao_contratual!U131)</f>
        <v/>
      </c>
      <c r="AI131" s="147" t="str">
        <f>IF(A131="","",posicao_contratual!G131)</f>
        <v/>
      </c>
      <c r="AJ131" s="147" t="str">
        <f>IF(A131="","",posicao_contratual!K131)</f>
        <v/>
      </c>
      <c r="AK131" s="147" t="str">
        <f>IF(A131="","",posicao_contratual!O131)</f>
        <v/>
      </c>
      <c r="AL131" s="147" t="str">
        <f>IF(A131="","",posicao_contratual!S131)</f>
        <v/>
      </c>
      <c r="AM131" s="147" t="str">
        <f>IF(A131="","",posicao_contratual!W131)</f>
        <v/>
      </c>
      <c r="AN131" s="148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1"/>
      <c r="B132" s="82" t="str">
        <f t="shared" si="24"/>
        <v/>
      </c>
      <c r="C132" s="83"/>
      <c r="D132" s="79" t="str">
        <f>IF(AND(A132="",A131&lt;&gt;"",COUNTIF(A133:$A$200,"&lt;&gt;")=0),ROUND(SUMIF($A$2:A131,"&lt;&gt;",$D$2:D131),2),IF(OR(A132="",B132="",C132=""),"",ROUND(B132*C132,2)))</f>
        <v/>
      </c>
      <c r="E132" s="84"/>
      <c r="F132" s="79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4"/>
      <c r="H132" s="79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4"/>
      <c r="J132" s="79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4"/>
      <c r="L132" s="79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5" t="str">
        <f>IF(OR(posicao_contratual!J132="",posicao_contratual!N132=""),"",ROUND(MAX(posicao_contratual!J132+posicao_contratual!H132-posicao_contratual!N132,0),2))</f>
        <v/>
      </c>
      <c r="N132" s="79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5" t="str">
        <f>IF(OR(posicao_contratual!N132="",posicao_contratual!R132=""),"",ROUND(MAX(posicao_contratual!N132+posicao_contratual!L132-posicao_contratual!R132,0),2))</f>
        <v/>
      </c>
      <c r="P132" s="79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5" t="str">
        <f>IF(OR(posicao_contratual!R132="",posicao_contratual!V132=""),"",ROUND(MAX(posicao_contratual!R132+posicao_contratual!P132-posicao_contratual!V132,0),2))</f>
        <v/>
      </c>
      <c r="R132" s="79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38"/>
      <c r="T132" s="39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86" t="str">
        <f>IF(AND(A132="",A131&lt;&gt;"",COUNTIF(A133:$A$200,"&lt;&gt;")=0),"TOTAL",IF(A132="","",posicao_contratual!X132))</f>
        <v/>
      </c>
      <c r="V132" s="86" t="str">
        <f>IF(A132="","",posicao_contratual!X132)</f>
        <v/>
      </c>
      <c r="W132" s="13"/>
      <c r="X132" s="13"/>
      <c r="Y132" s="13"/>
      <c r="Z132" s="13"/>
      <c r="AA132" s="13"/>
      <c r="AB132" s="85" t="str">
        <f>IF(OR(A132="",posicao_contratual!E132="",posicao_contratual!J132=""),"",ROUND(MAX(posicao_contratual!E132-posicao_contratual!J132,0),2))</f>
        <v/>
      </c>
      <c r="AC132" s="79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47" t="str">
        <f>IF(A132="","",posicao_contratual!E132)</f>
        <v/>
      </c>
      <c r="AE132" s="147" t="str">
        <f>IF(A132="","",posicao_contratual!I132)</f>
        <v/>
      </c>
      <c r="AF132" s="147" t="str">
        <f>IF(A132="","",posicao_contratual!M132)</f>
        <v/>
      </c>
      <c r="AG132" s="147" t="str">
        <f>IF(A132="","",posicao_contratual!Q132)</f>
        <v/>
      </c>
      <c r="AH132" s="147" t="str">
        <f>IF(A132="","",posicao_contratual!U132)</f>
        <v/>
      </c>
      <c r="AI132" s="147" t="str">
        <f>IF(A132="","",posicao_contratual!G132)</f>
        <v/>
      </c>
      <c r="AJ132" s="147" t="str">
        <f>IF(A132="","",posicao_contratual!K132)</f>
        <v/>
      </c>
      <c r="AK132" s="147" t="str">
        <f>IF(A132="","",posicao_contratual!O132)</f>
        <v/>
      </c>
      <c r="AL132" s="147" t="str">
        <f>IF(A132="","",posicao_contratual!S132)</f>
        <v/>
      </c>
      <c r="AM132" s="147" t="str">
        <f>IF(A132="","",posicao_contratual!W132)</f>
        <v/>
      </c>
      <c r="AN132" s="148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1"/>
      <c r="B133" s="82" t="str">
        <f t="shared" si="24"/>
        <v/>
      </c>
      <c r="C133" s="83"/>
      <c r="D133" s="79" t="str">
        <f>IF(AND(A133="",A132&lt;&gt;"",COUNTIF(A134:$A$200,"&lt;&gt;")=0),ROUND(SUMIF($A$2:A132,"&lt;&gt;",$D$2:D132),2),IF(OR(A133="",B133="",C133=""),"",ROUND(B133*C133,2)))</f>
        <v/>
      </c>
      <c r="E133" s="84"/>
      <c r="F133" s="79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4"/>
      <c r="H133" s="79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4"/>
      <c r="J133" s="79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4"/>
      <c r="L133" s="79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5" t="str">
        <f>IF(OR(posicao_contratual!J133="",posicao_contratual!N133=""),"",ROUND(MAX(posicao_contratual!J133+posicao_contratual!H133-posicao_contratual!N133,0),2))</f>
        <v/>
      </c>
      <c r="N133" s="79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5" t="str">
        <f>IF(OR(posicao_contratual!N133="",posicao_contratual!R133=""),"",ROUND(MAX(posicao_contratual!N133+posicao_contratual!L133-posicao_contratual!R133,0),2))</f>
        <v/>
      </c>
      <c r="P133" s="79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5" t="str">
        <f>IF(OR(posicao_contratual!R133="",posicao_contratual!V133=""),"",ROUND(MAX(posicao_contratual!R133+posicao_contratual!P133-posicao_contratual!V133,0),2))</f>
        <v/>
      </c>
      <c r="R133" s="79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38"/>
      <c r="T133" s="39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86" t="str">
        <f>IF(AND(A133="",A132&lt;&gt;"",COUNTIF(A134:$A$200,"&lt;&gt;")=0),"TOTAL",IF(A133="","",posicao_contratual!X133))</f>
        <v/>
      </c>
      <c r="V133" s="86" t="str">
        <f>IF(A133="","",posicao_contratual!X133)</f>
        <v/>
      </c>
      <c r="W133" s="13"/>
      <c r="X133" s="13"/>
      <c r="Y133" s="13"/>
      <c r="Z133" s="13"/>
      <c r="AA133" s="13"/>
      <c r="AB133" s="85" t="str">
        <f>IF(OR(A133="",posicao_contratual!E133="",posicao_contratual!J133=""),"",ROUND(MAX(posicao_contratual!E133-posicao_contratual!J133,0),2))</f>
        <v/>
      </c>
      <c r="AC133" s="79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47" t="str">
        <f>IF(A133="","",posicao_contratual!E133)</f>
        <v/>
      </c>
      <c r="AE133" s="147" t="str">
        <f>IF(A133="","",posicao_contratual!I133)</f>
        <v/>
      </c>
      <c r="AF133" s="147" t="str">
        <f>IF(A133="","",posicao_contratual!M133)</f>
        <v/>
      </c>
      <c r="AG133" s="147" t="str">
        <f>IF(A133="","",posicao_contratual!Q133)</f>
        <v/>
      </c>
      <c r="AH133" s="147" t="str">
        <f>IF(A133="","",posicao_contratual!U133)</f>
        <v/>
      </c>
      <c r="AI133" s="147" t="str">
        <f>IF(A133="","",posicao_contratual!G133)</f>
        <v/>
      </c>
      <c r="AJ133" s="147" t="str">
        <f>IF(A133="","",posicao_contratual!K133)</f>
        <v/>
      </c>
      <c r="AK133" s="147" t="str">
        <f>IF(A133="","",posicao_contratual!O133)</f>
        <v/>
      </c>
      <c r="AL133" s="147" t="str">
        <f>IF(A133="","",posicao_contratual!S133)</f>
        <v/>
      </c>
      <c r="AM133" s="147" t="str">
        <f>IF(A133="","",posicao_contratual!W133)</f>
        <v/>
      </c>
      <c r="AN133" s="148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1"/>
      <c r="B134" s="82" t="str">
        <f t="shared" si="24"/>
        <v/>
      </c>
      <c r="C134" s="83"/>
      <c r="D134" s="79" t="str">
        <f>IF(AND(A134="",A133&lt;&gt;"",COUNTIF(A135:$A$200,"&lt;&gt;")=0),ROUND(SUMIF($A$2:A133,"&lt;&gt;",$D$2:D133),2),IF(OR(A134="",B134="",C134=""),"",ROUND(B134*C134,2)))</f>
        <v/>
      </c>
      <c r="E134" s="84"/>
      <c r="F134" s="79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4"/>
      <c r="H134" s="79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4"/>
      <c r="J134" s="79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4"/>
      <c r="L134" s="79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5" t="str">
        <f>IF(OR(posicao_contratual!J134="",posicao_contratual!N134=""),"",ROUND(MAX(posicao_contratual!J134+posicao_contratual!H134-posicao_contratual!N134,0),2))</f>
        <v/>
      </c>
      <c r="N134" s="79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5" t="str">
        <f>IF(OR(posicao_contratual!N134="",posicao_contratual!R134=""),"",ROUND(MAX(posicao_contratual!N134+posicao_contratual!L134-posicao_contratual!R134,0),2))</f>
        <v/>
      </c>
      <c r="P134" s="79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5" t="str">
        <f>IF(OR(posicao_contratual!R134="",posicao_contratual!V134=""),"",ROUND(MAX(posicao_contratual!R134+posicao_contratual!P134-posicao_contratual!V134,0),2))</f>
        <v/>
      </c>
      <c r="R134" s="79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38"/>
      <c r="T134" s="39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86" t="str">
        <f>IF(AND(A134="",A133&lt;&gt;"",COUNTIF(A135:$A$200,"&lt;&gt;")=0),"TOTAL",IF(A134="","",posicao_contratual!X134))</f>
        <v/>
      </c>
      <c r="V134" s="86" t="str">
        <f>IF(A134="","",posicao_contratual!X134)</f>
        <v/>
      </c>
      <c r="W134" s="13"/>
      <c r="X134" s="13"/>
      <c r="Y134" s="13"/>
      <c r="Z134" s="13"/>
      <c r="AA134" s="13"/>
      <c r="AB134" s="85" t="str">
        <f>IF(OR(A134="",posicao_contratual!E134="",posicao_contratual!J134=""),"",ROUND(MAX(posicao_contratual!E134-posicao_contratual!J134,0),2))</f>
        <v/>
      </c>
      <c r="AC134" s="79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47" t="str">
        <f>IF(A134="","",posicao_contratual!E134)</f>
        <v/>
      </c>
      <c r="AE134" s="147" t="str">
        <f>IF(A134="","",posicao_contratual!I134)</f>
        <v/>
      </c>
      <c r="AF134" s="147" t="str">
        <f>IF(A134="","",posicao_contratual!M134)</f>
        <v/>
      </c>
      <c r="AG134" s="147" t="str">
        <f>IF(A134="","",posicao_contratual!Q134)</f>
        <v/>
      </c>
      <c r="AH134" s="147" t="str">
        <f>IF(A134="","",posicao_contratual!U134)</f>
        <v/>
      </c>
      <c r="AI134" s="147" t="str">
        <f>IF(A134="","",posicao_contratual!G134)</f>
        <v/>
      </c>
      <c r="AJ134" s="147" t="str">
        <f>IF(A134="","",posicao_contratual!K134)</f>
        <v/>
      </c>
      <c r="AK134" s="147" t="str">
        <f>IF(A134="","",posicao_contratual!O134)</f>
        <v/>
      </c>
      <c r="AL134" s="147" t="str">
        <f>IF(A134="","",posicao_contratual!S134)</f>
        <v/>
      </c>
      <c r="AM134" s="147" t="str">
        <f>IF(A134="","",posicao_contratual!W134)</f>
        <v/>
      </c>
      <c r="AN134" s="148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1"/>
      <c r="B135" s="82" t="str">
        <f t="shared" si="24"/>
        <v/>
      </c>
      <c r="C135" s="83"/>
      <c r="D135" s="79" t="str">
        <f>IF(AND(A135="",A134&lt;&gt;"",COUNTIF(A136:$A$200,"&lt;&gt;")=0),ROUND(SUMIF($A$2:A134,"&lt;&gt;",$D$2:D134),2),IF(OR(A135="",B135="",C135=""),"",ROUND(B135*C135,2)))</f>
        <v/>
      </c>
      <c r="E135" s="84"/>
      <c r="F135" s="79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4"/>
      <c r="H135" s="79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4"/>
      <c r="J135" s="79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4"/>
      <c r="L135" s="79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5" t="str">
        <f>IF(OR(posicao_contratual!J135="",posicao_contratual!N135=""),"",ROUND(MAX(posicao_contratual!J135+posicao_contratual!H135-posicao_contratual!N135,0),2))</f>
        <v/>
      </c>
      <c r="N135" s="79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5" t="str">
        <f>IF(OR(posicao_contratual!N135="",posicao_contratual!R135=""),"",ROUND(MAX(posicao_contratual!N135+posicao_contratual!L135-posicao_contratual!R135,0),2))</f>
        <v/>
      </c>
      <c r="P135" s="79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5" t="str">
        <f>IF(OR(posicao_contratual!R135="",posicao_contratual!V135=""),"",ROUND(MAX(posicao_contratual!R135+posicao_contratual!P135-posicao_contratual!V135,0),2))</f>
        <v/>
      </c>
      <c r="R135" s="79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38"/>
      <c r="T135" s="39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86" t="str">
        <f>IF(AND(A135="",A134&lt;&gt;"",COUNTIF(A136:$A$200,"&lt;&gt;")=0),"TOTAL",IF(A135="","",posicao_contratual!X135))</f>
        <v/>
      </c>
      <c r="V135" s="86" t="str">
        <f>IF(A135="","",posicao_contratual!X135)</f>
        <v/>
      </c>
      <c r="W135" s="13"/>
      <c r="X135" s="13"/>
      <c r="Y135" s="13"/>
      <c r="Z135" s="13"/>
      <c r="AA135" s="13"/>
      <c r="AB135" s="85" t="str">
        <f>IF(OR(A135="",posicao_contratual!E135="",posicao_contratual!J135=""),"",ROUND(MAX(posicao_contratual!E135-posicao_contratual!J135,0),2))</f>
        <v/>
      </c>
      <c r="AC135" s="79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47" t="str">
        <f>IF(A135="","",posicao_contratual!E135)</f>
        <v/>
      </c>
      <c r="AE135" s="147" t="str">
        <f>IF(A135="","",posicao_contratual!I135)</f>
        <v/>
      </c>
      <c r="AF135" s="147" t="str">
        <f>IF(A135="","",posicao_contratual!M135)</f>
        <v/>
      </c>
      <c r="AG135" s="147" t="str">
        <f>IF(A135="","",posicao_contratual!Q135)</f>
        <v/>
      </c>
      <c r="AH135" s="147" t="str">
        <f>IF(A135="","",posicao_contratual!U135)</f>
        <v/>
      </c>
      <c r="AI135" s="147" t="str">
        <f>IF(A135="","",posicao_contratual!G135)</f>
        <v/>
      </c>
      <c r="AJ135" s="147" t="str">
        <f>IF(A135="","",posicao_contratual!K135)</f>
        <v/>
      </c>
      <c r="AK135" s="147" t="str">
        <f>IF(A135="","",posicao_contratual!O135)</f>
        <v/>
      </c>
      <c r="AL135" s="147" t="str">
        <f>IF(A135="","",posicao_contratual!S135)</f>
        <v/>
      </c>
      <c r="AM135" s="147" t="str">
        <f>IF(A135="","",posicao_contratual!W135)</f>
        <v/>
      </c>
      <c r="AN135" s="148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1"/>
      <c r="B136" s="82" t="str">
        <f t="shared" si="24"/>
        <v/>
      </c>
      <c r="C136" s="83"/>
      <c r="D136" s="79" t="str">
        <f>IF(AND(A136="",A135&lt;&gt;"",COUNTIF(A137:$A$200,"&lt;&gt;")=0),ROUND(SUMIF($A$2:A135,"&lt;&gt;",$D$2:D135),2),IF(OR(A136="",B136="",C136=""),"",ROUND(B136*C136,2)))</f>
        <v/>
      </c>
      <c r="E136" s="84"/>
      <c r="F136" s="79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4"/>
      <c r="H136" s="79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4"/>
      <c r="J136" s="79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4"/>
      <c r="L136" s="79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5" t="str">
        <f>IF(OR(posicao_contratual!J136="",posicao_contratual!N136=""),"",ROUND(MAX(posicao_contratual!J136+posicao_contratual!H136-posicao_contratual!N136,0),2))</f>
        <v/>
      </c>
      <c r="N136" s="79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5" t="str">
        <f>IF(OR(posicao_contratual!N136="",posicao_contratual!R136=""),"",ROUND(MAX(posicao_contratual!N136+posicao_contratual!L136-posicao_contratual!R136,0),2))</f>
        <v/>
      </c>
      <c r="P136" s="79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5" t="str">
        <f>IF(OR(posicao_contratual!R136="",posicao_contratual!V136=""),"",ROUND(MAX(posicao_contratual!R136+posicao_contratual!P136-posicao_contratual!V136,0),2))</f>
        <v/>
      </c>
      <c r="R136" s="79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38"/>
      <c r="T136" s="39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86" t="str">
        <f>IF(AND(A136="",A135&lt;&gt;"",COUNTIF(A137:$A$200,"&lt;&gt;")=0),"TOTAL",IF(A136="","",posicao_contratual!X136))</f>
        <v/>
      </c>
      <c r="V136" s="86" t="str">
        <f>IF(A136="","",posicao_contratual!X136)</f>
        <v/>
      </c>
      <c r="W136" s="13"/>
      <c r="X136" s="13"/>
      <c r="Y136" s="13"/>
      <c r="Z136" s="13"/>
      <c r="AA136" s="13"/>
      <c r="AB136" s="85" t="str">
        <f>IF(OR(A136="",posicao_contratual!E136="",posicao_contratual!J136=""),"",ROUND(MAX(posicao_contratual!E136-posicao_contratual!J136,0),2))</f>
        <v/>
      </c>
      <c r="AC136" s="79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47" t="str">
        <f>IF(A136="","",posicao_contratual!E136)</f>
        <v/>
      </c>
      <c r="AE136" s="147" t="str">
        <f>IF(A136="","",posicao_contratual!I136)</f>
        <v/>
      </c>
      <c r="AF136" s="147" t="str">
        <f>IF(A136="","",posicao_contratual!M136)</f>
        <v/>
      </c>
      <c r="AG136" s="147" t="str">
        <f>IF(A136="","",posicao_contratual!Q136)</f>
        <v/>
      </c>
      <c r="AH136" s="147" t="str">
        <f>IF(A136="","",posicao_contratual!U136)</f>
        <v/>
      </c>
      <c r="AI136" s="147" t="str">
        <f>IF(A136="","",posicao_contratual!G136)</f>
        <v/>
      </c>
      <c r="AJ136" s="147" t="str">
        <f>IF(A136="","",posicao_contratual!K136)</f>
        <v/>
      </c>
      <c r="AK136" s="147" t="str">
        <f>IF(A136="","",posicao_contratual!O136)</f>
        <v/>
      </c>
      <c r="AL136" s="147" t="str">
        <f>IF(A136="","",posicao_contratual!S136)</f>
        <v/>
      </c>
      <c r="AM136" s="147" t="str">
        <f>IF(A136="","",posicao_contratual!W136)</f>
        <v/>
      </c>
      <c r="AN136" s="148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1"/>
      <c r="B137" s="82" t="str">
        <f t="shared" si="24"/>
        <v/>
      </c>
      <c r="C137" s="83"/>
      <c r="D137" s="79" t="str">
        <f>IF(AND(A137="",A136&lt;&gt;"",COUNTIF(A138:$A$200,"&lt;&gt;")=0),ROUND(SUMIF($A$2:A136,"&lt;&gt;",$D$2:D136),2),IF(OR(A137="",B137="",C137=""),"",ROUND(B137*C137,2)))</f>
        <v/>
      </c>
      <c r="E137" s="84"/>
      <c r="F137" s="79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4"/>
      <c r="H137" s="79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4"/>
      <c r="J137" s="79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4"/>
      <c r="L137" s="79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5" t="str">
        <f>IF(OR(posicao_contratual!J137="",posicao_contratual!N137=""),"",ROUND(MAX(posicao_contratual!J137+posicao_contratual!H137-posicao_contratual!N137,0),2))</f>
        <v/>
      </c>
      <c r="N137" s="79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5" t="str">
        <f>IF(OR(posicao_contratual!N137="",posicao_contratual!R137=""),"",ROUND(MAX(posicao_contratual!N137+posicao_contratual!L137-posicao_contratual!R137,0),2))</f>
        <v/>
      </c>
      <c r="P137" s="79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5" t="str">
        <f>IF(OR(posicao_contratual!R137="",posicao_contratual!V137=""),"",ROUND(MAX(posicao_contratual!R137+posicao_contratual!P137-posicao_contratual!V137,0),2))</f>
        <v/>
      </c>
      <c r="R137" s="79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38"/>
      <c r="T137" s="39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86" t="str">
        <f>IF(AND(A137="",A136&lt;&gt;"",COUNTIF(A138:$A$200,"&lt;&gt;")=0),"TOTAL",IF(A137="","",posicao_contratual!X137))</f>
        <v/>
      </c>
      <c r="V137" s="86" t="str">
        <f>IF(A137="","",posicao_contratual!X137)</f>
        <v/>
      </c>
      <c r="W137" s="13"/>
      <c r="X137" s="13"/>
      <c r="Y137" s="13"/>
      <c r="Z137" s="13"/>
      <c r="AA137" s="13"/>
      <c r="AB137" s="85" t="str">
        <f>IF(OR(A137="",posicao_contratual!E137="",posicao_contratual!J137=""),"",ROUND(MAX(posicao_contratual!E137-posicao_contratual!J137,0),2))</f>
        <v/>
      </c>
      <c r="AC137" s="79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47" t="str">
        <f>IF(A137="","",posicao_contratual!E137)</f>
        <v/>
      </c>
      <c r="AE137" s="147" t="str">
        <f>IF(A137="","",posicao_contratual!I137)</f>
        <v/>
      </c>
      <c r="AF137" s="147" t="str">
        <f>IF(A137="","",posicao_contratual!M137)</f>
        <v/>
      </c>
      <c r="AG137" s="147" t="str">
        <f>IF(A137="","",posicao_contratual!Q137)</f>
        <v/>
      </c>
      <c r="AH137" s="147" t="str">
        <f>IF(A137="","",posicao_contratual!U137)</f>
        <v/>
      </c>
      <c r="AI137" s="147" t="str">
        <f>IF(A137="","",posicao_contratual!G137)</f>
        <v/>
      </c>
      <c r="AJ137" s="147" t="str">
        <f>IF(A137="","",posicao_contratual!K137)</f>
        <v/>
      </c>
      <c r="AK137" s="147" t="str">
        <f>IF(A137="","",posicao_contratual!O137)</f>
        <v/>
      </c>
      <c r="AL137" s="147" t="str">
        <f>IF(A137="","",posicao_contratual!S137)</f>
        <v/>
      </c>
      <c r="AM137" s="147" t="str">
        <f>IF(A137="","",posicao_contratual!W137)</f>
        <v/>
      </c>
      <c r="AN137" s="148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1"/>
      <c r="B138" s="82" t="str">
        <f t="shared" si="24"/>
        <v/>
      </c>
      <c r="C138" s="83"/>
      <c r="D138" s="79" t="str">
        <f>IF(AND(A138="",A137&lt;&gt;"",COUNTIF(A139:$A$200,"&lt;&gt;")=0),ROUND(SUMIF($A$2:A137,"&lt;&gt;",$D$2:D137),2),IF(OR(A138="",B138="",C138=""),"",ROUND(B138*C138,2)))</f>
        <v/>
      </c>
      <c r="E138" s="84"/>
      <c r="F138" s="79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4"/>
      <c r="H138" s="79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4"/>
      <c r="J138" s="79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4"/>
      <c r="L138" s="79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5" t="str">
        <f>IF(OR(posicao_contratual!J138="",posicao_contratual!N138=""),"",ROUND(MAX(posicao_contratual!J138+posicao_contratual!H138-posicao_contratual!N138,0),2))</f>
        <v/>
      </c>
      <c r="N138" s="79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5" t="str">
        <f>IF(OR(posicao_contratual!N138="",posicao_contratual!R138=""),"",ROUND(MAX(posicao_contratual!N138+posicao_contratual!L138-posicao_contratual!R138,0),2))</f>
        <v/>
      </c>
      <c r="P138" s="79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5" t="str">
        <f>IF(OR(posicao_contratual!R138="",posicao_contratual!V138=""),"",ROUND(MAX(posicao_contratual!R138+posicao_contratual!P138-posicao_contratual!V138,0),2))</f>
        <v/>
      </c>
      <c r="R138" s="79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38"/>
      <c r="T138" s="39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86" t="str">
        <f>IF(AND(A138="",A137&lt;&gt;"",COUNTIF(A139:$A$200,"&lt;&gt;")=0),"TOTAL",IF(A138="","",posicao_contratual!X138))</f>
        <v/>
      </c>
      <c r="V138" s="86" t="str">
        <f>IF(A138="","",posicao_contratual!X138)</f>
        <v/>
      </c>
      <c r="W138" s="13"/>
      <c r="X138" s="13"/>
      <c r="Y138" s="13"/>
      <c r="Z138" s="13"/>
      <c r="AA138" s="13"/>
      <c r="AB138" s="85" t="str">
        <f>IF(OR(A138="",posicao_contratual!E138="",posicao_contratual!J138=""),"",ROUND(MAX(posicao_contratual!E138-posicao_contratual!J138,0),2))</f>
        <v/>
      </c>
      <c r="AC138" s="79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47" t="str">
        <f>IF(A138="","",posicao_contratual!E138)</f>
        <v/>
      </c>
      <c r="AE138" s="147" t="str">
        <f>IF(A138="","",posicao_contratual!I138)</f>
        <v/>
      </c>
      <c r="AF138" s="147" t="str">
        <f>IF(A138="","",posicao_contratual!M138)</f>
        <v/>
      </c>
      <c r="AG138" s="147" t="str">
        <f>IF(A138="","",posicao_contratual!Q138)</f>
        <v/>
      </c>
      <c r="AH138" s="147" t="str">
        <f>IF(A138="","",posicao_contratual!U138)</f>
        <v/>
      </c>
      <c r="AI138" s="147" t="str">
        <f>IF(A138="","",posicao_contratual!G138)</f>
        <v/>
      </c>
      <c r="AJ138" s="147" t="str">
        <f>IF(A138="","",posicao_contratual!K138)</f>
        <v/>
      </c>
      <c r="AK138" s="147" t="str">
        <f>IF(A138="","",posicao_contratual!O138)</f>
        <v/>
      </c>
      <c r="AL138" s="147" t="str">
        <f>IF(A138="","",posicao_contratual!S138)</f>
        <v/>
      </c>
      <c r="AM138" s="147" t="str">
        <f>IF(A138="","",posicao_contratual!W138)</f>
        <v/>
      </c>
      <c r="AN138" s="148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1"/>
      <c r="B139" s="82" t="str">
        <f t="shared" si="24"/>
        <v/>
      </c>
      <c r="C139" s="83"/>
      <c r="D139" s="79" t="str">
        <f>IF(AND(A139="",A138&lt;&gt;"",COUNTIF(A140:$A$200,"&lt;&gt;")=0),ROUND(SUMIF($A$2:A138,"&lt;&gt;",$D$2:D138),2),IF(OR(A139="",B139="",C139=""),"",ROUND(B139*C139,2)))</f>
        <v/>
      </c>
      <c r="E139" s="84"/>
      <c r="F139" s="79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4"/>
      <c r="H139" s="79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4"/>
      <c r="J139" s="79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4"/>
      <c r="L139" s="79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5" t="str">
        <f>IF(OR(posicao_contratual!J139="",posicao_contratual!N139=""),"",ROUND(MAX(posicao_contratual!J139+posicao_contratual!H139-posicao_contratual!N139,0),2))</f>
        <v/>
      </c>
      <c r="N139" s="79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5" t="str">
        <f>IF(OR(posicao_contratual!N139="",posicao_contratual!R139=""),"",ROUND(MAX(posicao_contratual!N139+posicao_contratual!L139-posicao_contratual!R139,0),2))</f>
        <v/>
      </c>
      <c r="P139" s="79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5" t="str">
        <f>IF(OR(posicao_contratual!R139="",posicao_contratual!V139=""),"",ROUND(MAX(posicao_contratual!R139+posicao_contratual!P139-posicao_contratual!V139,0),2))</f>
        <v/>
      </c>
      <c r="R139" s="79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38"/>
      <c r="T139" s="39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86" t="str">
        <f>IF(AND(A139="",A138&lt;&gt;"",COUNTIF(A140:$A$200,"&lt;&gt;")=0),"TOTAL",IF(A139="","",posicao_contratual!X139))</f>
        <v/>
      </c>
      <c r="V139" s="86" t="str">
        <f>IF(A139="","",posicao_contratual!X139)</f>
        <v/>
      </c>
      <c r="W139" s="13"/>
      <c r="X139" s="13"/>
      <c r="Y139" s="13"/>
      <c r="Z139" s="13"/>
      <c r="AA139" s="13"/>
      <c r="AB139" s="85" t="str">
        <f>IF(OR(A139="",posicao_contratual!E139="",posicao_contratual!J139=""),"",ROUND(MAX(posicao_contratual!E139-posicao_contratual!J139,0),2))</f>
        <v/>
      </c>
      <c r="AC139" s="79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47" t="str">
        <f>IF(A139="","",posicao_contratual!E139)</f>
        <v/>
      </c>
      <c r="AE139" s="147" t="str">
        <f>IF(A139="","",posicao_contratual!I139)</f>
        <v/>
      </c>
      <c r="AF139" s="147" t="str">
        <f>IF(A139="","",posicao_contratual!M139)</f>
        <v/>
      </c>
      <c r="AG139" s="147" t="str">
        <f>IF(A139="","",posicao_contratual!Q139)</f>
        <v/>
      </c>
      <c r="AH139" s="147" t="str">
        <f>IF(A139="","",posicao_contratual!U139)</f>
        <v/>
      </c>
      <c r="AI139" s="147" t="str">
        <f>IF(A139="","",posicao_contratual!G139)</f>
        <v/>
      </c>
      <c r="AJ139" s="147" t="str">
        <f>IF(A139="","",posicao_contratual!K139)</f>
        <v/>
      </c>
      <c r="AK139" s="147" t="str">
        <f>IF(A139="","",posicao_contratual!O139)</f>
        <v/>
      </c>
      <c r="AL139" s="147" t="str">
        <f>IF(A139="","",posicao_contratual!S139)</f>
        <v/>
      </c>
      <c r="AM139" s="147" t="str">
        <f>IF(A139="","",posicao_contratual!W139)</f>
        <v/>
      </c>
      <c r="AN139" s="148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1"/>
      <c r="B140" s="82" t="str">
        <f t="shared" si="24"/>
        <v/>
      </c>
      <c r="C140" s="83"/>
      <c r="D140" s="79" t="str">
        <f>IF(AND(A140="",A139&lt;&gt;"",COUNTIF(A141:$A$200,"&lt;&gt;")=0),ROUND(SUMIF($A$2:A139,"&lt;&gt;",$D$2:D139),2),IF(OR(A140="",B140="",C140=""),"",ROUND(B140*C140,2)))</f>
        <v/>
      </c>
      <c r="E140" s="84"/>
      <c r="F140" s="79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4"/>
      <c r="H140" s="79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4"/>
      <c r="J140" s="79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4"/>
      <c r="L140" s="79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5" t="str">
        <f>IF(OR(posicao_contratual!J140="",posicao_contratual!N140=""),"",ROUND(MAX(posicao_contratual!J140+posicao_contratual!H140-posicao_contratual!N140,0),2))</f>
        <v/>
      </c>
      <c r="N140" s="79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5" t="str">
        <f>IF(OR(posicao_contratual!N140="",posicao_contratual!R140=""),"",ROUND(MAX(posicao_contratual!N140+posicao_contratual!L140-posicao_contratual!R140,0),2))</f>
        <v/>
      </c>
      <c r="P140" s="79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5" t="str">
        <f>IF(OR(posicao_contratual!R140="",posicao_contratual!V140=""),"",ROUND(MAX(posicao_contratual!R140+posicao_contratual!P140-posicao_contratual!V140,0),2))</f>
        <v/>
      </c>
      <c r="R140" s="79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38"/>
      <c r="T140" s="39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86" t="str">
        <f>IF(AND(A140="",A139&lt;&gt;"",COUNTIF(A141:$A$200,"&lt;&gt;")=0),"TOTAL",IF(A140="","",posicao_contratual!X140))</f>
        <v/>
      </c>
      <c r="V140" s="86" t="str">
        <f>IF(A140="","",posicao_contratual!X140)</f>
        <v/>
      </c>
      <c r="W140" s="13"/>
      <c r="X140" s="13"/>
      <c r="Y140" s="13"/>
      <c r="Z140" s="13"/>
      <c r="AA140" s="13"/>
      <c r="AB140" s="85" t="str">
        <f>IF(OR(A140="",posicao_contratual!E140="",posicao_contratual!J140=""),"",ROUND(MAX(posicao_contratual!E140-posicao_contratual!J140,0),2))</f>
        <v/>
      </c>
      <c r="AC140" s="79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47" t="str">
        <f>IF(A140="","",posicao_contratual!E140)</f>
        <v/>
      </c>
      <c r="AE140" s="147" t="str">
        <f>IF(A140="","",posicao_contratual!I140)</f>
        <v/>
      </c>
      <c r="AF140" s="147" t="str">
        <f>IF(A140="","",posicao_contratual!M140)</f>
        <v/>
      </c>
      <c r="AG140" s="147" t="str">
        <f>IF(A140="","",posicao_contratual!Q140)</f>
        <v/>
      </c>
      <c r="AH140" s="147" t="str">
        <f>IF(A140="","",posicao_contratual!U140)</f>
        <v/>
      </c>
      <c r="AI140" s="147" t="str">
        <f>IF(A140="","",posicao_contratual!G140)</f>
        <v/>
      </c>
      <c r="AJ140" s="147" t="str">
        <f>IF(A140="","",posicao_contratual!K140)</f>
        <v/>
      </c>
      <c r="AK140" s="147" t="str">
        <f>IF(A140="","",posicao_contratual!O140)</f>
        <v/>
      </c>
      <c r="AL140" s="147" t="str">
        <f>IF(A140="","",posicao_contratual!S140)</f>
        <v/>
      </c>
      <c r="AM140" s="147" t="str">
        <f>IF(A140="","",posicao_contratual!W140)</f>
        <v/>
      </c>
      <c r="AN140" s="148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1"/>
      <c r="B141" s="82" t="str">
        <f t="shared" si="24"/>
        <v/>
      </c>
      <c r="C141" s="83"/>
      <c r="D141" s="79" t="str">
        <f>IF(AND(A141="",A140&lt;&gt;"",COUNTIF(A142:$A$200,"&lt;&gt;")=0),ROUND(SUMIF($A$2:A140,"&lt;&gt;",$D$2:D140),2),IF(OR(A141="",B141="",C141=""),"",ROUND(B141*C141,2)))</f>
        <v/>
      </c>
      <c r="E141" s="84"/>
      <c r="F141" s="79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4"/>
      <c r="H141" s="79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4"/>
      <c r="J141" s="79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4"/>
      <c r="L141" s="79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5" t="str">
        <f>IF(OR(posicao_contratual!J141="",posicao_contratual!N141=""),"",ROUND(MAX(posicao_contratual!J141+posicao_contratual!H141-posicao_contratual!N141,0),2))</f>
        <v/>
      </c>
      <c r="N141" s="79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5" t="str">
        <f>IF(OR(posicao_contratual!N141="",posicao_contratual!R141=""),"",ROUND(MAX(posicao_contratual!N141+posicao_contratual!L141-posicao_contratual!R141,0),2))</f>
        <v/>
      </c>
      <c r="P141" s="79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5" t="str">
        <f>IF(OR(posicao_contratual!R141="",posicao_contratual!V141=""),"",ROUND(MAX(posicao_contratual!R141+posicao_contratual!P141-posicao_contratual!V141,0),2))</f>
        <v/>
      </c>
      <c r="R141" s="79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38"/>
      <c r="T141" s="39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86" t="str">
        <f>IF(AND(A141="",A140&lt;&gt;"",COUNTIF(A142:$A$200,"&lt;&gt;")=0),"TOTAL",IF(A141="","",posicao_contratual!X141))</f>
        <v/>
      </c>
      <c r="V141" s="86" t="str">
        <f>IF(A141="","",posicao_contratual!X141)</f>
        <v/>
      </c>
      <c r="W141" s="13"/>
      <c r="X141" s="13"/>
      <c r="Y141" s="13"/>
      <c r="Z141" s="13"/>
      <c r="AA141" s="13"/>
      <c r="AB141" s="85" t="str">
        <f>IF(OR(A141="",posicao_contratual!E141="",posicao_contratual!J141=""),"",ROUND(MAX(posicao_contratual!E141-posicao_contratual!J141,0),2))</f>
        <v/>
      </c>
      <c r="AC141" s="79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47" t="str">
        <f>IF(A141="","",posicao_contratual!E141)</f>
        <v/>
      </c>
      <c r="AE141" s="147" t="str">
        <f>IF(A141="","",posicao_contratual!I141)</f>
        <v/>
      </c>
      <c r="AF141" s="147" t="str">
        <f>IF(A141="","",posicao_contratual!M141)</f>
        <v/>
      </c>
      <c r="AG141" s="147" t="str">
        <f>IF(A141="","",posicao_contratual!Q141)</f>
        <v/>
      </c>
      <c r="AH141" s="147" t="str">
        <f>IF(A141="","",posicao_contratual!U141)</f>
        <v/>
      </c>
      <c r="AI141" s="147" t="str">
        <f>IF(A141="","",posicao_contratual!G141)</f>
        <v/>
      </c>
      <c r="AJ141" s="147" t="str">
        <f>IF(A141="","",posicao_contratual!K141)</f>
        <v/>
      </c>
      <c r="AK141" s="147" t="str">
        <f>IF(A141="","",posicao_contratual!O141)</f>
        <v/>
      </c>
      <c r="AL141" s="147" t="str">
        <f>IF(A141="","",posicao_contratual!S141)</f>
        <v/>
      </c>
      <c r="AM141" s="147" t="str">
        <f>IF(A141="","",posicao_contratual!W141)</f>
        <v/>
      </c>
      <c r="AN141" s="148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1"/>
      <c r="B142" s="82" t="str">
        <f t="shared" si="24"/>
        <v/>
      </c>
      <c r="C142" s="83"/>
      <c r="D142" s="79" t="str">
        <f>IF(AND(A142="",A141&lt;&gt;"",COUNTIF(A143:$A$200,"&lt;&gt;")=0),ROUND(SUMIF($A$2:A141,"&lt;&gt;",$D$2:D141),2),IF(OR(A142="",B142="",C142=""),"",ROUND(B142*C142,2)))</f>
        <v/>
      </c>
      <c r="E142" s="84"/>
      <c r="F142" s="79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4"/>
      <c r="H142" s="79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4"/>
      <c r="J142" s="79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4"/>
      <c r="L142" s="79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5" t="str">
        <f>IF(OR(posicao_contratual!J142="",posicao_contratual!N142=""),"",ROUND(MAX(posicao_contratual!J142+posicao_contratual!H142-posicao_contratual!N142,0),2))</f>
        <v/>
      </c>
      <c r="N142" s="79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5" t="str">
        <f>IF(OR(posicao_contratual!N142="",posicao_contratual!R142=""),"",ROUND(MAX(posicao_contratual!N142+posicao_contratual!L142-posicao_contratual!R142,0),2))</f>
        <v/>
      </c>
      <c r="P142" s="79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5" t="str">
        <f>IF(OR(posicao_contratual!R142="",posicao_contratual!V142=""),"",ROUND(MAX(posicao_contratual!R142+posicao_contratual!P142-posicao_contratual!V142,0),2))</f>
        <v/>
      </c>
      <c r="R142" s="79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38"/>
      <c r="T142" s="39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86" t="str">
        <f>IF(AND(A142="",A141&lt;&gt;"",COUNTIF(A143:$A$200,"&lt;&gt;")=0),"TOTAL",IF(A142="","",posicao_contratual!X142))</f>
        <v/>
      </c>
      <c r="V142" s="86" t="str">
        <f>IF(A142="","",posicao_contratual!X142)</f>
        <v/>
      </c>
      <c r="W142" s="13"/>
      <c r="X142" s="13"/>
      <c r="Y142" s="13"/>
      <c r="Z142" s="13"/>
      <c r="AA142" s="13"/>
      <c r="AB142" s="85" t="str">
        <f>IF(OR(A142="",posicao_contratual!E142="",posicao_contratual!J142=""),"",ROUND(MAX(posicao_contratual!E142-posicao_contratual!J142,0),2))</f>
        <v/>
      </c>
      <c r="AC142" s="79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47" t="str">
        <f>IF(A142="","",posicao_contratual!E142)</f>
        <v/>
      </c>
      <c r="AE142" s="147" t="str">
        <f>IF(A142="","",posicao_contratual!I142)</f>
        <v/>
      </c>
      <c r="AF142" s="147" t="str">
        <f>IF(A142="","",posicao_contratual!M142)</f>
        <v/>
      </c>
      <c r="AG142" s="147" t="str">
        <f>IF(A142="","",posicao_contratual!Q142)</f>
        <v/>
      </c>
      <c r="AH142" s="147" t="str">
        <f>IF(A142="","",posicao_contratual!U142)</f>
        <v/>
      </c>
      <c r="AI142" s="147" t="str">
        <f>IF(A142="","",posicao_contratual!G142)</f>
        <v/>
      </c>
      <c r="AJ142" s="147" t="str">
        <f>IF(A142="","",posicao_contratual!K142)</f>
        <v/>
      </c>
      <c r="AK142" s="147" t="str">
        <f>IF(A142="","",posicao_contratual!O142)</f>
        <v/>
      </c>
      <c r="AL142" s="147" t="str">
        <f>IF(A142="","",posicao_contratual!S142)</f>
        <v/>
      </c>
      <c r="AM142" s="147" t="str">
        <f>IF(A142="","",posicao_contratual!W142)</f>
        <v/>
      </c>
      <c r="AN142" s="148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1"/>
      <c r="B143" s="82" t="str">
        <f t="shared" si="24"/>
        <v/>
      </c>
      <c r="C143" s="83"/>
      <c r="D143" s="79" t="str">
        <f>IF(AND(A143="",A142&lt;&gt;"",COUNTIF(A144:$A$200,"&lt;&gt;")=0),ROUND(SUMIF($A$2:A142,"&lt;&gt;",$D$2:D142),2),IF(OR(A143="",B143="",C143=""),"",ROUND(B143*C143,2)))</f>
        <v/>
      </c>
      <c r="E143" s="84"/>
      <c r="F143" s="79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4"/>
      <c r="H143" s="79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4"/>
      <c r="J143" s="79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4"/>
      <c r="L143" s="79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5" t="str">
        <f>IF(OR(posicao_contratual!J143="",posicao_contratual!N143=""),"",ROUND(MAX(posicao_contratual!J143+posicao_contratual!H143-posicao_contratual!N143,0),2))</f>
        <v/>
      </c>
      <c r="N143" s="79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5" t="str">
        <f>IF(OR(posicao_contratual!N143="",posicao_contratual!R143=""),"",ROUND(MAX(posicao_contratual!N143+posicao_contratual!L143-posicao_contratual!R143,0),2))</f>
        <v/>
      </c>
      <c r="P143" s="79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5" t="str">
        <f>IF(OR(posicao_contratual!R143="",posicao_contratual!V143=""),"",ROUND(MAX(posicao_contratual!R143+posicao_contratual!P143-posicao_contratual!V143,0),2))</f>
        <v/>
      </c>
      <c r="R143" s="79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38"/>
      <c r="T143" s="39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86" t="str">
        <f>IF(AND(A143="",A142&lt;&gt;"",COUNTIF(A144:$A$200,"&lt;&gt;")=0),"TOTAL",IF(A143="","",posicao_contratual!X143))</f>
        <v/>
      </c>
      <c r="V143" s="86" t="str">
        <f>IF(A143="","",posicao_contratual!X143)</f>
        <v/>
      </c>
      <c r="W143" s="13"/>
      <c r="X143" s="13"/>
      <c r="Y143" s="13"/>
      <c r="Z143" s="13"/>
      <c r="AA143" s="13"/>
      <c r="AB143" s="85" t="str">
        <f>IF(OR(A143="",posicao_contratual!E143="",posicao_contratual!J143=""),"",ROUND(MAX(posicao_contratual!E143-posicao_contratual!J143,0),2))</f>
        <v/>
      </c>
      <c r="AC143" s="79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47" t="str">
        <f>IF(A143="","",posicao_contratual!E143)</f>
        <v/>
      </c>
      <c r="AE143" s="147" t="str">
        <f>IF(A143="","",posicao_contratual!I143)</f>
        <v/>
      </c>
      <c r="AF143" s="147" t="str">
        <f>IF(A143="","",posicao_contratual!M143)</f>
        <v/>
      </c>
      <c r="AG143" s="147" t="str">
        <f>IF(A143="","",posicao_contratual!Q143)</f>
        <v/>
      </c>
      <c r="AH143" s="147" t="str">
        <f>IF(A143="","",posicao_contratual!U143)</f>
        <v/>
      </c>
      <c r="AI143" s="147" t="str">
        <f>IF(A143="","",posicao_contratual!G143)</f>
        <v/>
      </c>
      <c r="AJ143" s="147" t="str">
        <f>IF(A143="","",posicao_contratual!K143)</f>
        <v/>
      </c>
      <c r="AK143" s="147" t="str">
        <f>IF(A143="","",posicao_contratual!O143)</f>
        <v/>
      </c>
      <c r="AL143" s="147" t="str">
        <f>IF(A143="","",posicao_contratual!S143)</f>
        <v/>
      </c>
      <c r="AM143" s="147" t="str">
        <f>IF(A143="","",posicao_contratual!W143)</f>
        <v/>
      </c>
      <c r="AN143" s="148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1"/>
      <c r="B144" s="82" t="str">
        <f t="shared" si="24"/>
        <v/>
      </c>
      <c r="C144" s="83"/>
      <c r="D144" s="79" t="str">
        <f>IF(AND(A144="",A143&lt;&gt;"",COUNTIF(A145:$A$200,"&lt;&gt;")=0),ROUND(SUMIF($A$2:A143,"&lt;&gt;",$D$2:D143),2),IF(OR(A144="",B144="",C144=""),"",ROUND(B144*C144,2)))</f>
        <v/>
      </c>
      <c r="E144" s="84"/>
      <c r="F144" s="79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4"/>
      <c r="H144" s="79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4"/>
      <c r="J144" s="79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4"/>
      <c r="L144" s="79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5" t="str">
        <f>IF(OR(posicao_contratual!J144="",posicao_contratual!N144=""),"",ROUND(MAX(posicao_contratual!J144+posicao_contratual!H144-posicao_contratual!N144,0),2))</f>
        <v/>
      </c>
      <c r="N144" s="79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5" t="str">
        <f>IF(OR(posicao_contratual!N144="",posicao_contratual!R144=""),"",ROUND(MAX(posicao_contratual!N144+posicao_contratual!L144-posicao_contratual!R144,0),2))</f>
        <v/>
      </c>
      <c r="P144" s="79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5" t="str">
        <f>IF(OR(posicao_contratual!R144="",posicao_contratual!V144=""),"",ROUND(MAX(posicao_contratual!R144+posicao_contratual!P144-posicao_contratual!V144,0),2))</f>
        <v/>
      </c>
      <c r="R144" s="79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38"/>
      <c r="T144" s="39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86" t="str">
        <f>IF(AND(A144="",A143&lt;&gt;"",COUNTIF(A145:$A$200,"&lt;&gt;")=0),"TOTAL",IF(A144="","",posicao_contratual!X144))</f>
        <v/>
      </c>
      <c r="V144" s="86" t="str">
        <f>IF(A144="","",posicao_contratual!X144)</f>
        <v/>
      </c>
      <c r="W144" s="13"/>
      <c r="X144" s="13"/>
      <c r="Y144" s="13"/>
      <c r="Z144" s="13"/>
      <c r="AA144" s="13"/>
      <c r="AB144" s="85" t="str">
        <f>IF(OR(A144="",posicao_contratual!E144="",posicao_contratual!J144=""),"",ROUND(MAX(posicao_contratual!E144-posicao_contratual!J144,0),2))</f>
        <v/>
      </c>
      <c r="AC144" s="79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47" t="str">
        <f>IF(A144="","",posicao_contratual!E144)</f>
        <v/>
      </c>
      <c r="AE144" s="147" t="str">
        <f>IF(A144="","",posicao_contratual!I144)</f>
        <v/>
      </c>
      <c r="AF144" s="147" t="str">
        <f>IF(A144="","",posicao_contratual!M144)</f>
        <v/>
      </c>
      <c r="AG144" s="147" t="str">
        <f>IF(A144="","",posicao_contratual!Q144)</f>
        <v/>
      </c>
      <c r="AH144" s="147" t="str">
        <f>IF(A144="","",posicao_contratual!U144)</f>
        <v/>
      </c>
      <c r="AI144" s="147" t="str">
        <f>IF(A144="","",posicao_contratual!G144)</f>
        <v/>
      </c>
      <c r="AJ144" s="147" t="str">
        <f>IF(A144="","",posicao_contratual!K144)</f>
        <v/>
      </c>
      <c r="AK144" s="147" t="str">
        <f>IF(A144="","",posicao_contratual!O144)</f>
        <v/>
      </c>
      <c r="AL144" s="147" t="str">
        <f>IF(A144="","",posicao_contratual!S144)</f>
        <v/>
      </c>
      <c r="AM144" s="147" t="str">
        <f>IF(A144="","",posicao_contratual!W144)</f>
        <v/>
      </c>
      <c r="AN144" s="148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1"/>
      <c r="B145" s="82" t="str">
        <f t="shared" si="24"/>
        <v/>
      </c>
      <c r="C145" s="83"/>
      <c r="D145" s="79" t="str">
        <f>IF(AND(A145="",A144&lt;&gt;"",COUNTIF(A146:$A$200,"&lt;&gt;")=0),ROUND(SUMIF($A$2:A144,"&lt;&gt;",$D$2:D144),2),IF(OR(A145="",B145="",C145=""),"",ROUND(B145*C145,2)))</f>
        <v/>
      </c>
      <c r="E145" s="84"/>
      <c r="F145" s="79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4"/>
      <c r="H145" s="79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4"/>
      <c r="J145" s="79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4"/>
      <c r="L145" s="79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5" t="str">
        <f>IF(OR(posicao_contratual!J145="",posicao_contratual!N145=""),"",ROUND(MAX(posicao_contratual!J145+posicao_contratual!H145-posicao_contratual!N145,0),2))</f>
        <v/>
      </c>
      <c r="N145" s="79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5" t="str">
        <f>IF(OR(posicao_contratual!N145="",posicao_contratual!R145=""),"",ROUND(MAX(posicao_contratual!N145+posicao_contratual!L145-posicao_contratual!R145,0),2))</f>
        <v/>
      </c>
      <c r="P145" s="79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5" t="str">
        <f>IF(OR(posicao_contratual!R145="",posicao_contratual!V145=""),"",ROUND(MAX(posicao_contratual!R145+posicao_contratual!P145-posicao_contratual!V145,0),2))</f>
        <v/>
      </c>
      <c r="R145" s="79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38"/>
      <c r="T145" s="39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86" t="str">
        <f>IF(AND(A145="",A144&lt;&gt;"",COUNTIF(A146:$A$200,"&lt;&gt;")=0),"TOTAL",IF(A145="","",posicao_contratual!X145))</f>
        <v/>
      </c>
      <c r="V145" s="86" t="str">
        <f>IF(A145="","",posicao_contratual!X145)</f>
        <v/>
      </c>
      <c r="W145" s="13"/>
      <c r="X145" s="13"/>
      <c r="Y145" s="13"/>
      <c r="Z145" s="13"/>
      <c r="AA145" s="13"/>
      <c r="AB145" s="85" t="str">
        <f>IF(OR(A145="",posicao_contratual!E145="",posicao_contratual!J145=""),"",ROUND(MAX(posicao_contratual!E145-posicao_contratual!J145,0),2))</f>
        <v/>
      </c>
      <c r="AC145" s="79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47" t="str">
        <f>IF(A145="","",posicao_contratual!E145)</f>
        <v/>
      </c>
      <c r="AE145" s="147" t="str">
        <f>IF(A145="","",posicao_contratual!I145)</f>
        <v/>
      </c>
      <c r="AF145" s="147" t="str">
        <f>IF(A145="","",posicao_contratual!M145)</f>
        <v/>
      </c>
      <c r="AG145" s="147" t="str">
        <f>IF(A145="","",posicao_contratual!Q145)</f>
        <v/>
      </c>
      <c r="AH145" s="147" t="str">
        <f>IF(A145="","",posicao_contratual!U145)</f>
        <v/>
      </c>
      <c r="AI145" s="147" t="str">
        <f>IF(A145="","",posicao_contratual!G145)</f>
        <v/>
      </c>
      <c r="AJ145" s="147" t="str">
        <f>IF(A145="","",posicao_contratual!K145)</f>
        <v/>
      </c>
      <c r="AK145" s="147" t="str">
        <f>IF(A145="","",posicao_contratual!O145)</f>
        <v/>
      </c>
      <c r="AL145" s="147" t="str">
        <f>IF(A145="","",posicao_contratual!S145)</f>
        <v/>
      </c>
      <c r="AM145" s="147" t="str">
        <f>IF(A145="","",posicao_contratual!W145)</f>
        <v/>
      </c>
      <c r="AN145" s="148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1"/>
      <c r="B146" s="82" t="str">
        <f t="shared" si="24"/>
        <v/>
      </c>
      <c r="C146" s="83"/>
      <c r="D146" s="79" t="str">
        <f>IF(AND(A146="",A145&lt;&gt;"",COUNTIF(A147:$A$200,"&lt;&gt;")=0),ROUND(SUMIF($A$2:A145,"&lt;&gt;",$D$2:D145),2),IF(OR(A146="",B146="",C146=""),"",ROUND(B146*C146,2)))</f>
        <v/>
      </c>
      <c r="E146" s="84"/>
      <c r="F146" s="79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4"/>
      <c r="H146" s="79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4"/>
      <c r="J146" s="79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4"/>
      <c r="L146" s="79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5" t="str">
        <f>IF(OR(posicao_contratual!J146="",posicao_contratual!N146=""),"",ROUND(MAX(posicao_contratual!J146+posicao_contratual!H146-posicao_contratual!N146,0),2))</f>
        <v/>
      </c>
      <c r="N146" s="79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5" t="str">
        <f>IF(OR(posicao_contratual!N146="",posicao_contratual!R146=""),"",ROUND(MAX(posicao_contratual!N146+posicao_contratual!L146-posicao_contratual!R146,0),2))</f>
        <v/>
      </c>
      <c r="P146" s="79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5" t="str">
        <f>IF(OR(posicao_contratual!R146="",posicao_contratual!V146=""),"",ROUND(MAX(posicao_contratual!R146+posicao_contratual!P146-posicao_contratual!V146,0),2))</f>
        <v/>
      </c>
      <c r="R146" s="79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38"/>
      <c r="T146" s="39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86" t="str">
        <f>IF(AND(A146="",A145&lt;&gt;"",COUNTIF(A147:$A$200,"&lt;&gt;")=0),"TOTAL",IF(A146="","",posicao_contratual!X146))</f>
        <v/>
      </c>
      <c r="V146" s="86" t="str">
        <f>IF(A146="","",posicao_contratual!X146)</f>
        <v/>
      </c>
      <c r="W146" s="13"/>
      <c r="X146" s="13"/>
      <c r="Y146" s="13"/>
      <c r="Z146" s="13"/>
      <c r="AA146" s="13"/>
      <c r="AB146" s="85" t="str">
        <f>IF(OR(A146="",posicao_contratual!E146="",posicao_contratual!J146=""),"",ROUND(MAX(posicao_contratual!E146-posicao_contratual!J146,0),2))</f>
        <v/>
      </c>
      <c r="AC146" s="79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47" t="str">
        <f>IF(A146="","",posicao_contratual!E146)</f>
        <v/>
      </c>
      <c r="AE146" s="147" t="str">
        <f>IF(A146="","",posicao_contratual!I146)</f>
        <v/>
      </c>
      <c r="AF146" s="147" t="str">
        <f>IF(A146="","",posicao_contratual!M146)</f>
        <v/>
      </c>
      <c r="AG146" s="147" t="str">
        <f>IF(A146="","",posicao_contratual!Q146)</f>
        <v/>
      </c>
      <c r="AH146" s="147" t="str">
        <f>IF(A146="","",posicao_contratual!U146)</f>
        <v/>
      </c>
      <c r="AI146" s="147" t="str">
        <f>IF(A146="","",posicao_contratual!G146)</f>
        <v/>
      </c>
      <c r="AJ146" s="147" t="str">
        <f>IF(A146="","",posicao_contratual!K146)</f>
        <v/>
      </c>
      <c r="AK146" s="147" t="str">
        <f>IF(A146="","",posicao_contratual!O146)</f>
        <v/>
      </c>
      <c r="AL146" s="147" t="str">
        <f>IF(A146="","",posicao_contratual!S146)</f>
        <v/>
      </c>
      <c r="AM146" s="147" t="str">
        <f>IF(A146="","",posicao_contratual!W146)</f>
        <v/>
      </c>
      <c r="AN146" s="148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1"/>
      <c r="B147" s="82" t="str">
        <f t="shared" si="24"/>
        <v/>
      </c>
      <c r="C147" s="83"/>
      <c r="D147" s="79" t="str">
        <f>IF(AND(A147="",A146&lt;&gt;"",COUNTIF(A148:$A$200,"&lt;&gt;")=0),ROUND(SUMIF($A$2:A146,"&lt;&gt;",$D$2:D146),2),IF(OR(A147="",B147="",C147=""),"",ROUND(B147*C147,2)))</f>
        <v/>
      </c>
      <c r="E147" s="84"/>
      <c r="F147" s="79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4"/>
      <c r="H147" s="79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4"/>
      <c r="J147" s="79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4"/>
      <c r="L147" s="79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5" t="str">
        <f>IF(OR(posicao_contratual!J147="",posicao_contratual!N147=""),"",ROUND(MAX(posicao_contratual!J147+posicao_contratual!H147-posicao_contratual!N147,0),2))</f>
        <v/>
      </c>
      <c r="N147" s="79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5" t="str">
        <f>IF(OR(posicao_contratual!N147="",posicao_contratual!R147=""),"",ROUND(MAX(posicao_contratual!N147+posicao_contratual!L147-posicao_contratual!R147,0),2))</f>
        <v/>
      </c>
      <c r="P147" s="79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5" t="str">
        <f>IF(OR(posicao_contratual!R147="",posicao_contratual!V147=""),"",ROUND(MAX(posicao_contratual!R147+posicao_contratual!P147-posicao_contratual!V147,0),2))</f>
        <v/>
      </c>
      <c r="R147" s="79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38"/>
      <c r="T147" s="39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86" t="str">
        <f>IF(AND(A147="",A146&lt;&gt;"",COUNTIF(A148:$A$200,"&lt;&gt;")=0),"TOTAL",IF(A147="","",posicao_contratual!X147))</f>
        <v/>
      </c>
      <c r="V147" s="86" t="str">
        <f>IF(A147="","",posicao_contratual!X147)</f>
        <v/>
      </c>
      <c r="W147" s="13"/>
      <c r="X147" s="13"/>
      <c r="Y147" s="13"/>
      <c r="Z147" s="13"/>
      <c r="AA147" s="13"/>
      <c r="AB147" s="85" t="str">
        <f>IF(OR(A147="",posicao_contratual!E147="",posicao_contratual!J147=""),"",ROUND(MAX(posicao_contratual!E147-posicao_contratual!J147,0),2))</f>
        <v/>
      </c>
      <c r="AC147" s="79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47" t="str">
        <f>IF(A147="","",posicao_contratual!E147)</f>
        <v/>
      </c>
      <c r="AE147" s="147" t="str">
        <f>IF(A147="","",posicao_contratual!I147)</f>
        <v/>
      </c>
      <c r="AF147" s="147" t="str">
        <f>IF(A147="","",posicao_contratual!M147)</f>
        <v/>
      </c>
      <c r="AG147" s="147" t="str">
        <f>IF(A147="","",posicao_contratual!Q147)</f>
        <v/>
      </c>
      <c r="AH147" s="147" t="str">
        <f>IF(A147="","",posicao_contratual!U147)</f>
        <v/>
      </c>
      <c r="AI147" s="147" t="str">
        <f>IF(A147="","",posicao_contratual!G147)</f>
        <v/>
      </c>
      <c r="AJ147" s="147" t="str">
        <f>IF(A147="","",posicao_contratual!K147)</f>
        <v/>
      </c>
      <c r="AK147" s="147" t="str">
        <f>IF(A147="","",posicao_contratual!O147)</f>
        <v/>
      </c>
      <c r="AL147" s="147" t="str">
        <f>IF(A147="","",posicao_contratual!S147)</f>
        <v/>
      </c>
      <c r="AM147" s="147" t="str">
        <f>IF(A147="","",posicao_contratual!W147)</f>
        <v/>
      </c>
      <c r="AN147" s="148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1"/>
      <c r="B148" s="82" t="str">
        <f t="shared" si="24"/>
        <v/>
      </c>
      <c r="C148" s="83"/>
      <c r="D148" s="79" t="str">
        <f>IF(AND(A148="",A147&lt;&gt;"",COUNTIF(A149:$A$200,"&lt;&gt;")=0),ROUND(SUMIF($A$2:A147,"&lt;&gt;",$D$2:D147),2),IF(OR(A148="",B148="",C148=""),"",ROUND(B148*C148,2)))</f>
        <v/>
      </c>
      <c r="E148" s="84"/>
      <c r="F148" s="79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4"/>
      <c r="H148" s="79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4"/>
      <c r="J148" s="79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4"/>
      <c r="L148" s="79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5" t="str">
        <f>IF(OR(posicao_contratual!J148="",posicao_contratual!N148=""),"",ROUND(MAX(posicao_contratual!J148+posicao_contratual!H148-posicao_contratual!N148,0),2))</f>
        <v/>
      </c>
      <c r="N148" s="79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5" t="str">
        <f>IF(OR(posicao_contratual!N148="",posicao_contratual!R148=""),"",ROUND(MAX(posicao_contratual!N148+posicao_contratual!L148-posicao_contratual!R148,0),2))</f>
        <v/>
      </c>
      <c r="P148" s="79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5" t="str">
        <f>IF(OR(posicao_contratual!R148="",posicao_contratual!V148=""),"",ROUND(MAX(posicao_contratual!R148+posicao_contratual!P148-posicao_contratual!V148,0),2))</f>
        <v/>
      </c>
      <c r="R148" s="79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38"/>
      <c r="T148" s="39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86" t="str">
        <f>IF(AND(A148="",A147&lt;&gt;"",COUNTIF(A149:$A$200,"&lt;&gt;")=0),"TOTAL",IF(A148="","",posicao_contratual!X148))</f>
        <v/>
      </c>
      <c r="V148" s="86" t="str">
        <f>IF(A148="","",posicao_contratual!X148)</f>
        <v/>
      </c>
      <c r="W148" s="13"/>
      <c r="X148" s="13"/>
      <c r="Y148" s="13"/>
      <c r="Z148" s="13"/>
      <c r="AA148" s="13"/>
      <c r="AB148" s="85" t="str">
        <f>IF(OR(A148="",posicao_contratual!E148="",posicao_contratual!J148=""),"",ROUND(MAX(posicao_contratual!E148-posicao_contratual!J148,0),2))</f>
        <v/>
      </c>
      <c r="AC148" s="79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47" t="str">
        <f>IF(A148="","",posicao_contratual!E148)</f>
        <v/>
      </c>
      <c r="AE148" s="147" t="str">
        <f>IF(A148="","",posicao_contratual!I148)</f>
        <v/>
      </c>
      <c r="AF148" s="147" t="str">
        <f>IF(A148="","",posicao_contratual!M148)</f>
        <v/>
      </c>
      <c r="AG148" s="147" t="str">
        <f>IF(A148="","",posicao_contratual!Q148)</f>
        <v/>
      </c>
      <c r="AH148" s="147" t="str">
        <f>IF(A148="","",posicao_contratual!U148)</f>
        <v/>
      </c>
      <c r="AI148" s="147" t="str">
        <f>IF(A148="","",posicao_contratual!G148)</f>
        <v/>
      </c>
      <c r="AJ148" s="147" t="str">
        <f>IF(A148="","",posicao_contratual!K148)</f>
        <v/>
      </c>
      <c r="AK148" s="147" t="str">
        <f>IF(A148="","",posicao_contratual!O148)</f>
        <v/>
      </c>
      <c r="AL148" s="147" t="str">
        <f>IF(A148="","",posicao_contratual!S148)</f>
        <v/>
      </c>
      <c r="AM148" s="147" t="str">
        <f>IF(A148="","",posicao_contratual!W148)</f>
        <v/>
      </c>
      <c r="AN148" s="148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1"/>
      <c r="B149" s="82" t="str">
        <f t="shared" si="24"/>
        <v/>
      </c>
      <c r="C149" s="83"/>
      <c r="D149" s="79" t="str">
        <f>IF(AND(A149="",A148&lt;&gt;"",COUNTIF(A150:$A$200,"&lt;&gt;")=0),ROUND(SUMIF($A$2:A148,"&lt;&gt;",$D$2:D148),2),IF(OR(A149="",B149="",C149=""),"",ROUND(B149*C149,2)))</f>
        <v/>
      </c>
      <c r="E149" s="84"/>
      <c r="F149" s="79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4"/>
      <c r="H149" s="79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4"/>
      <c r="J149" s="79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4"/>
      <c r="L149" s="79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5" t="str">
        <f>IF(OR(posicao_contratual!J149="",posicao_contratual!N149=""),"",ROUND(MAX(posicao_contratual!J149+posicao_contratual!H149-posicao_contratual!N149,0),2))</f>
        <v/>
      </c>
      <c r="N149" s="79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5" t="str">
        <f>IF(OR(posicao_contratual!N149="",posicao_contratual!R149=""),"",ROUND(MAX(posicao_contratual!N149+posicao_contratual!L149-posicao_contratual!R149,0),2))</f>
        <v/>
      </c>
      <c r="P149" s="79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5" t="str">
        <f>IF(OR(posicao_contratual!R149="",posicao_contratual!V149=""),"",ROUND(MAX(posicao_contratual!R149+posicao_contratual!P149-posicao_contratual!V149,0),2))</f>
        <v/>
      </c>
      <c r="R149" s="79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38"/>
      <c r="T149" s="39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86" t="str">
        <f>IF(AND(A149="",A148&lt;&gt;"",COUNTIF(A150:$A$200,"&lt;&gt;")=0),"TOTAL",IF(A149="","",posicao_contratual!X149))</f>
        <v/>
      </c>
      <c r="V149" s="86" t="str">
        <f>IF(A149="","",posicao_contratual!X149)</f>
        <v/>
      </c>
      <c r="W149" s="13"/>
      <c r="X149" s="13"/>
      <c r="Y149" s="13"/>
      <c r="Z149" s="13"/>
      <c r="AA149" s="13"/>
      <c r="AB149" s="85" t="str">
        <f>IF(OR(A149="",posicao_contratual!E149="",posicao_contratual!J149=""),"",ROUND(MAX(posicao_contratual!E149-posicao_contratual!J149,0),2))</f>
        <v/>
      </c>
      <c r="AC149" s="79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47" t="str">
        <f>IF(A149="","",posicao_contratual!E149)</f>
        <v/>
      </c>
      <c r="AE149" s="147" t="str">
        <f>IF(A149="","",posicao_contratual!I149)</f>
        <v/>
      </c>
      <c r="AF149" s="147" t="str">
        <f>IF(A149="","",posicao_contratual!M149)</f>
        <v/>
      </c>
      <c r="AG149" s="147" t="str">
        <f>IF(A149="","",posicao_contratual!Q149)</f>
        <v/>
      </c>
      <c r="AH149" s="147" t="str">
        <f>IF(A149="","",posicao_contratual!U149)</f>
        <v/>
      </c>
      <c r="AI149" s="147" t="str">
        <f>IF(A149="","",posicao_contratual!G149)</f>
        <v/>
      </c>
      <c r="AJ149" s="147" t="str">
        <f>IF(A149="","",posicao_contratual!K149)</f>
        <v/>
      </c>
      <c r="AK149" s="147" t="str">
        <f>IF(A149="","",posicao_contratual!O149)</f>
        <v/>
      </c>
      <c r="AL149" s="147" t="str">
        <f>IF(A149="","",posicao_contratual!S149)</f>
        <v/>
      </c>
      <c r="AM149" s="147" t="str">
        <f>IF(A149="","",posicao_contratual!W149)</f>
        <v/>
      </c>
      <c r="AN149" s="148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1"/>
      <c r="B150" s="82" t="str">
        <f t="shared" si="24"/>
        <v/>
      </c>
      <c r="C150" s="83"/>
      <c r="D150" s="79" t="str">
        <f>IF(AND(A150="",A149&lt;&gt;"",COUNTIF(A151:$A$200,"&lt;&gt;")=0),ROUND(SUMIF($A$2:A149,"&lt;&gt;",$D$2:D149),2),IF(OR(A150="",B150="",C150=""),"",ROUND(B150*C150,2)))</f>
        <v/>
      </c>
      <c r="E150" s="84"/>
      <c r="F150" s="79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4"/>
      <c r="H150" s="79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4"/>
      <c r="J150" s="79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4"/>
      <c r="L150" s="79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5" t="str">
        <f>IF(OR(posicao_contratual!J150="",posicao_contratual!N150=""),"",ROUND(MAX(posicao_contratual!J150+posicao_contratual!H150-posicao_contratual!N150,0),2))</f>
        <v/>
      </c>
      <c r="N150" s="79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5" t="str">
        <f>IF(OR(posicao_contratual!N150="",posicao_contratual!R150=""),"",ROUND(MAX(posicao_contratual!N150+posicao_contratual!L150-posicao_contratual!R150,0),2))</f>
        <v/>
      </c>
      <c r="P150" s="79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5" t="str">
        <f>IF(OR(posicao_contratual!R150="",posicao_contratual!V150=""),"",ROUND(MAX(posicao_contratual!R150+posicao_contratual!P150-posicao_contratual!V150,0),2))</f>
        <v/>
      </c>
      <c r="R150" s="79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38"/>
      <c r="T150" s="39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86" t="str">
        <f>IF(AND(A150="",A149&lt;&gt;"",COUNTIF(A151:$A$200,"&lt;&gt;")=0),"TOTAL",IF(A150="","",posicao_contratual!X150))</f>
        <v/>
      </c>
      <c r="V150" s="86" t="str">
        <f>IF(A150="","",posicao_contratual!X150)</f>
        <v/>
      </c>
      <c r="W150" s="13"/>
      <c r="X150" s="13"/>
      <c r="Y150" s="13"/>
      <c r="Z150" s="13"/>
      <c r="AA150" s="13"/>
      <c r="AB150" s="85" t="str">
        <f>IF(OR(A150="",posicao_contratual!E150="",posicao_contratual!J150=""),"",ROUND(MAX(posicao_contratual!E150-posicao_contratual!J150,0),2))</f>
        <v/>
      </c>
      <c r="AC150" s="79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47" t="str">
        <f>IF(A150="","",posicao_contratual!E150)</f>
        <v/>
      </c>
      <c r="AE150" s="147" t="str">
        <f>IF(A150="","",posicao_contratual!I150)</f>
        <v/>
      </c>
      <c r="AF150" s="147" t="str">
        <f>IF(A150="","",posicao_contratual!M150)</f>
        <v/>
      </c>
      <c r="AG150" s="147" t="str">
        <f>IF(A150="","",posicao_contratual!Q150)</f>
        <v/>
      </c>
      <c r="AH150" s="147" t="str">
        <f>IF(A150="","",posicao_contratual!U150)</f>
        <v/>
      </c>
      <c r="AI150" s="147" t="str">
        <f>IF(A150="","",posicao_contratual!G150)</f>
        <v/>
      </c>
      <c r="AJ150" s="147" t="str">
        <f>IF(A150="","",posicao_contratual!K150)</f>
        <v/>
      </c>
      <c r="AK150" s="147" t="str">
        <f>IF(A150="","",posicao_contratual!O150)</f>
        <v/>
      </c>
      <c r="AL150" s="147" t="str">
        <f>IF(A150="","",posicao_contratual!S150)</f>
        <v/>
      </c>
      <c r="AM150" s="147" t="str">
        <f>IF(A150="","",posicao_contratual!W150)</f>
        <v/>
      </c>
      <c r="AN150" s="148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1"/>
      <c r="B151" s="82" t="str">
        <f t="shared" si="24"/>
        <v/>
      </c>
      <c r="C151" s="83"/>
      <c r="D151" s="79" t="str">
        <f>IF(AND(A151="",A150&lt;&gt;"",COUNTIF(A152:$A$200,"&lt;&gt;")=0),ROUND(SUMIF($A$2:A150,"&lt;&gt;",$D$2:D150),2),IF(OR(A151="",B151="",C151=""),"",ROUND(B151*C151,2)))</f>
        <v/>
      </c>
      <c r="E151" s="84"/>
      <c r="F151" s="79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4"/>
      <c r="H151" s="79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4"/>
      <c r="J151" s="79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4"/>
      <c r="L151" s="79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5" t="str">
        <f>IF(OR(posicao_contratual!J151="",posicao_contratual!N151=""),"",ROUND(MAX(posicao_contratual!J151+posicao_contratual!H151-posicao_contratual!N151,0),2))</f>
        <v/>
      </c>
      <c r="N151" s="79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5" t="str">
        <f>IF(OR(posicao_contratual!N151="",posicao_contratual!R151=""),"",ROUND(MAX(posicao_contratual!N151+posicao_contratual!L151-posicao_contratual!R151,0),2))</f>
        <v/>
      </c>
      <c r="P151" s="79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5" t="str">
        <f>IF(OR(posicao_contratual!R151="",posicao_contratual!V151=""),"",ROUND(MAX(posicao_contratual!R151+posicao_contratual!P151-posicao_contratual!V151,0),2))</f>
        <v/>
      </c>
      <c r="R151" s="79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38"/>
      <c r="T151" s="39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86" t="str">
        <f>IF(AND(A151="",A150&lt;&gt;"",COUNTIF(A152:$A$200,"&lt;&gt;")=0),"TOTAL",IF(A151="","",posicao_contratual!X151))</f>
        <v/>
      </c>
      <c r="V151" s="86" t="str">
        <f>IF(A151="","",posicao_contratual!X151)</f>
        <v/>
      </c>
      <c r="W151" s="13"/>
      <c r="X151" s="13"/>
      <c r="Y151" s="13"/>
      <c r="Z151" s="13"/>
      <c r="AA151" s="13"/>
      <c r="AB151" s="85" t="str">
        <f>IF(OR(A151="",posicao_contratual!E151="",posicao_contratual!J151=""),"",ROUND(MAX(posicao_contratual!E151-posicao_contratual!J151,0),2))</f>
        <v/>
      </c>
      <c r="AC151" s="79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47" t="str">
        <f>IF(A151="","",posicao_contratual!E151)</f>
        <v/>
      </c>
      <c r="AE151" s="147" t="str">
        <f>IF(A151="","",posicao_contratual!I151)</f>
        <v/>
      </c>
      <c r="AF151" s="147" t="str">
        <f>IF(A151="","",posicao_contratual!M151)</f>
        <v/>
      </c>
      <c r="AG151" s="147" t="str">
        <f>IF(A151="","",posicao_contratual!Q151)</f>
        <v/>
      </c>
      <c r="AH151" s="147" t="str">
        <f>IF(A151="","",posicao_contratual!U151)</f>
        <v/>
      </c>
      <c r="AI151" s="147" t="str">
        <f>IF(A151="","",posicao_contratual!G151)</f>
        <v/>
      </c>
      <c r="AJ151" s="147" t="str">
        <f>IF(A151="","",posicao_contratual!K151)</f>
        <v/>
      </c>
      <c r="AK151" s="147" t="str">
        <f>IF(A151="","",posicao_contratual!O151)</f>
        <v/>
      </c>
      <c r="AL151" s="147" t="str">
        <f>IF(A151="","",posicao_contratual!S151)</f>
        <v/>
      </c>
      <c r="AM151" s="147" t="str">
        <f>IF(A151="","",posicao_contratual!W151)</f>
        <v/>
      </c>
      <c r="AN151" s="148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1"/>
      <c r="B152" s="82" t="str">
        <f t="shared" si="24"/>
        <v/>
      </c>
      <c r="C152" s="83"/>
      <c r="D152" s="79" t="str">
        <f>IF(AND(A152="",A151&lt;&gt;"",COUNTIF(A153:$A$200,"&lt;&gt;")=0),ROUND(SUMIF($A$2:A151,"&lt;&gt;",$D$2:D151),2),IF(OR(A152="",B152="",C152=""),"",ROUND(B152*C152,2)))</f>
        <v/>
      </c>
      <c r="E152" s="84"/>
      <c r="F152" s="79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4"/>
      <c r="H152" s="79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4"/>
      <c r="J152" s="79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4"/>
      <c r="L152" s="79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5" t="str">
        <f>IF(OR(posicao_contratual!J152="",posicao_contratual!N152=""),"",ROUND(MAX(posicao_contratual!J152+posicao_contratual!H152-posicao_contratual!N152,0),2))</f>
        <v/>
      </c>
      <c r="N152" s="79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5" t="str">
        <f>IF(OR(posicao_contratual!N152="",posicao_contratual!R152=""),"",ROUND(MAX(posicao_contratual!N152+posicao_contratual!L152-posicao_contratual!R152,0),2))</f>
        <v/>
      </c>
      <c r="P152" s="79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5" t="str">
        <f>IF(OR(posicao_contratual!R152="",posicao_contratual!V152=""),"",ROUND(MAX(posicao_contratual!R152+posicao_contratual!P152-posicao_contratual!V152,0),2))</f>
        <v/>
      </c>
      <c r="R152" s="79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38"/>
      <c r="T152" s="39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86" t="str">
        <f>IF(AND(A152="",A151&lt;&gt;"",COUNTIF(A153:$A$200,"&lt;&gt;")=0),"TOTAL",IF(A152="","",posicao_contratual!X152))</f>
        <v/>
      </c>
      <c r="V152" s="86" t="str">
        <f>IF(A152="","",posicao_contratual!X152)</f>
        <v/>
      </c>
      <c r="W152" s="13"/>
      <c r="X152" s="13"/>
      <c r="Y152" s="13"/>
      <c r="Z152" s="13"/>
      <c r="AA152" s="13"/>
      <c r="AB152" s="85" t="str">
        <f>IF(OR(A152="",posicao_contratual!E152="",posicao_contratual!J152=""),"",ROUND(MAX(posicao_contratual!E152-posicao_contratual!J152,0),2))</f>
        <v/>
      </c>
      <c r="AC152" s="79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47" t="str">
        <f>IF(A152="","",posicao_contratual!E152)</f>
        <v/>
      </c>
      <c r="AE152" s="147" t="str">
        <f>IF(A152="","",posicao_contratual!I152)</f>
        <v/>
      </c>
      <c r="AF152" s="147" t="str">
        <f>IF(A152="","",posicao_contratual!M152)</f>
        <v/>
      </c>
      <c r="AG152" s="147" t="str">
        <f>IF(A152="","",posicao_contratual!Q152)</f>
        <v/>
      </c>
      <c r="AH152" s="147" t="str">
        <f>IF(A152="","",posicao_contratual!U152)</f>
        <v/>
      </c>
      <c r="AI152" s="147" t="str">
        <f>IF(A152="","",posicao_contratual!G152)</f>
        <v/>
      </c>
      <c r="AJ152" s="147" t="str">
        <f>IF(A152="","",posicao_contratual!K152)</f>
        <v/>
      </c>
      <c r="AK152" s="147" t="str">
        <f>IF(A152="","",posicao_contratual!O152)</f>
        <v/>
      </c>
      <c r="AL152" s="147" t="str">
        <f>IF(A152="","",posicao_contratual!S152)</f>
        <v/>
      </c>
      <c r="AM152" s="147" t="str">
        <f>IF(A152="","",posicao_contratual!W152)</f>
        <v/>
      </c>
      <c r="AN152" s="148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1"/>
      <c r="B153" s="82" t="str">
        <f t="shared" si="24"/>
        <v/>
      </c>
      <c r="C153" s="83"/>
      <c r="D153" s="79" t="str">
        <f>IF(AND(A153="",A152&lt;&gt;"",COUNTIF(A154:$A$200,"&lt;&gt;")=0),ROUND(SUMIF($A$2:A152,"&lt;&gt;",$D$2:D152),2),IF(OR(A153="",B153="",C153=""),"",ROUND(B153*C153,2)))</f>
        <v/>
      </c>
      <c r="E153" s="84"/>
      <c r="F153" s="79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4"/>
      <c r="H153" s="79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4"/>
      <c r="J153" s="79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4"/>
      <c r="L153" s="79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5" t="str">
        <f>IF(OR(posicao_contratual!J153="",posicao_contratual!N153=""),"",ROUND(MAX(posicao_contratual!J153+posicao_contratual!H153-posicao_contratual!N153,0),2))</f>
        <v/>
      </c>
      <c r="N153" s="79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5" t="str">
        <f>IF(OR(posicao_contratual!N153="",posicao_contratual!R153=""),"",ROUND(MAX(posicao_contratual!N153+posicao_contratual!L153-posicao_contratual!R153,0),2))</f>
        <v/>
      </c>
      <c r="P153" s="79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5" t="str">
        <f>IF(OR(posicao_contratual!R153="",posicao_contratual!V153=""),"",ROUND(MAX(posicao_contratual!R153+posicao_contratual!P153-posicao_contratual!V153,0),2))</f>
        <v/>
      </c>
      <c r="R153" s="79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38"/>
      <c r="T153" s="39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86" t="str">
        <f>IF(AND(A153="",A152&lt;&gt;"",COUNTIF(A154:$A$200,"&lt;&gt;")=0),"TOTAL",IF(A153="","",posicao_contratual!X153))</f>
        <v/>
      </c>
      <c r="V153" s="86" t="str">
        <f>IF(A153="","",posicao_contratual!X153)</f>
        <v/>
      </c>
      <c r="W153" s="13"/>
      <c r="X153" s="13"/>
      <c r="Y153" s="13"/>
      <c r="Z153" s="13"/>
      <c r="AA153" s="13"/>
      <c r="AB153" s="85" t="str">
        <f>IF(OR(A153="",posicao_contratual!E153="",posicao_contratual!J153=""),"",ROUND(MAX(posicao_contratual!E153-posicao_contratual!J153,0),2))</f>
        <v/>
      </c>
      <c r="AC153" s="79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47" t="str">
        <f>IF(A153="","",posicao_contratual!E153)</f>
        <v/>
      </c>
      <c r="AE153" s="147" t="str">
        <f>IF(A153="","",posicao_contratual!I153)</f>
        <v/>
      </c>
      <c r="AF153" s="147" t="str">
        <f>IF(A153="","",posicao_contratual!M153)</f>
        <v/>
      </c>
      <c r="AG153" s="147" t="str">
        <f>IF(A153="","",posicao_contratual!Q153)</f>
        <v/>
      </c>
      <c r="AH153" s="147" t="str">
        <f>IF(A153="","",posicao_contratual!U153)</f>
        <v/>
      </c>
      <c r="AI153" s="147" t="str">
        <f>IF(A153="","",posicao_contratual!G153)</f>
        <v/>
      </c>
      <c r="AJ153" s="147" t="str">
        <f>IF(A153="","",posicao_contratual!K153)</f>
        <v/>
      </c>
      <c r="AK153" s="147" t="str">
        <f>IF(A153="","",posicao_contratual!O153)</f>
        <v/>
      </c>
      <c r="AL153" s="147" t="str">
        <f>IF(A153="","",posicao_contratual!S153)</f>
        <v/>
      </c>
      <c r="AM153" s="147" t="str">
        <f>IF(A153="","",posicao_contratual!W153)</f>
        <v/>
      </c>
      <c r="AN153" s="148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1"/>
      <c r="B154" s="82" t="str">
        <f t="shared" si="24"/>
        <v/>
      </c>
      <c r="C154" s="83"/>
      <c r="D154" s="79" t="str">
        <f>IF(AND(A154="",A153&lt;&gt;"",COUNTIF(A155:$A$200,"&lt;&gt;")=0),ROUND(SUMIF($A$2:A153,"&lt;&gt;",$D$2:D153),2),IF(OR(A154="",B154="",C154=""),"",ROUND(B154*C154,2)))</f>
        <v/>
      </c>
      <c r="E154" s="84"/>
      <c r="F154" s="79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4"/>
      <c r="H154" s="79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4"/>
      <c r="J154" s="79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4"/>
      <c r="L154" s="79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5" t="str">
        <f>IF(OR(posicao_contratual!J154="",posicao_contratual!N154=""),"",ROUND(MAX(posicao_contratual!J154+posicao_contratual!H154-posicao_contratual!N154,0),2))</f>
        <v/>
      </c>
      <c r="N154" s="79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5" t="str">
        <f>IF(OR(posicao_contratual!N154="",posicao_contratual!R154=""),"",ROUND(MAX(posicao_contratual!N154+posicao_contratual!L154-posicao_contratual!R154,0),2))</f>
        <v/>
      </c>
      <c r="P154" s="79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5" t="str">
        <f>IF(OR(posicao_contratual!R154="",posicao_contratual!V154=""),"",ROUND(MAX(posicao_contratual!R154+posicao_contratual!P154-posicao_contratual!V154,0),2))</f>
        <v/>
      </c>
      <c r="R154" s="79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38"/>
      <c r="T154" s="39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86" t="str">
        <f>IF(AND(A154="",A153&lt;&gt;"",COUNTIF(A155:$A$200,"&lt;&gt;")=0),"TOTAL",IF(A154="","",posicao_contratual!X154))</f>
        <v/>
      </c>
      <c r="V154" s="86" t="str">
        <f>IF(A154="","",posicao_contratual!X154)</f>
        <v/>
      </c>
      <c r="W154" s="13"/>
      <c r="X154" s="13"/>
      <c r="Y154" s="13"/>
      <c r="Z154" s="13"/>
      <c r="AA154" s="13"/>
      <c r="AB154" s="85" t="str">
        <f>IF(OR(A154="",posicao_contratual!E154="",posicao_contratual!J154=""),"",ROUND(MAX(posicao_contratual!E154-posicao_contratual!J154,0),2))</f>
        <v/>
      </c>
      <c r="AC154" s="79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47" t="str">
        <f>IF(A154="","",posicao_contratual!E154)</f>
        <v/>
      </c>
      <c r="AE154" s="147" t="str">
        <f>IF(A154="","",posicao_contratual!I154)</f>
        <v/>
      </c>
      <c r="AF154" s="147" t="str">
        <f>IF(A154="","",posicao_contratual!M154)</f>
        <v/>
      </c>
      <c r="AG154" s="147" t="str">
        <f>IF(A154="","",posicao_contratual!Q154)</f>
        <v/>
      </c>
      <c r="AH154" s="147" t="str">
        <f>IF(A154="","",posicao_contratual!U154)</f>
        <v/>
      </c>
      <c r="AI154" s="147" t="str">
        <f>IF(A154="","",posicao_contratual!G154)</f>
        <v/>
      </c>
      <c r="AJ154" s="147" t="str">
        <f>IF(A154="","",posicao_contratual!K154)</f>
        <v/>
      </c>
      <c r="AK154" s="147" t="str">
        <f>IF(A154="","",posicao_contratual!O154)</f>
        <v/>
      </c>
      <c r="AL154" s="147" t="str">
        <f>IF(A154="","",posicao_contratual!S154)</f>
        <v/>
      </c>
      <c r="AM154" s="147" t="str">
        <f>IF(A154="","",posicao_contratual!W154)</f>
        <v/>
      </c>
      <c r="AN154" s="148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1"/>
      <c r="B155" s="82" t="str">
        <f t="shared" si="24"/>
        <v/>
      </c>
      <c r="C155" s="83"/>
      <c r="D155" s="79" t="str">
        <f>IF(AND(A155="",A154&lt;&gt;"",COUNTIF(A156:$A$200,"&lt;&gt;")=0),ROUND(SUMIF($A$2:A154,"&lt;&gt;",$D$2:D154),2),IF(OR(A155="",B155="",C155=""),"",ROUND(B155*C155,2)))</f>
        <v/>
      </c>
      <c r="E155" s="84"/>
      <c r="F155" s="79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4"/>
      <c r="H155" s="79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4"/>
      <c r="J155" s="79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4"/>
      <c r="L155" s="79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5" t="str">
        <f>IF(OR(posicao_contratual!J155="",posicao_contratual!N155=""),"",ROUND(MAX(posicao_contratual!J155+posicao_contratual!H155-posicao_contratual!N155,0),2))</f>
        <v/>
      </c>
      <c r="N155" s="79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5" t="str">
        <f>IF(OR(posicao_contratual!N155="",posicao_contratual!R155=""),"",ROUND(MAX(posicao_contratual!N155+posicao_contratual!L155-posicao_contratual!R155,0),2))</f>
        <v/>
      </c>
      <c r="P155" s="79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5" t="str">
        <f>IF(OR(posicao_contratual!R155="",posicao_contratual!V155=""),"",ROUND(MAX(posicao_contratual!R155+posicao_contratual!P155-posicao_contratual!V155,0),2))</f>
        <v/>
      </c>
      <c r="R155" s="79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38"/>
      <c r="T155" s="39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86" t="str">
        <f>IF(AND(A155="",A154&lt;&gt;"",COUNTIF(A156:$A$200,"&lt;&gt;")=0),"TOTAL",IF(A155="","",posicao_contratual!X155))</f>
        <v/>
      </c>
      <c r="V155" s="86" t="str">
        <f>IF(A155="","",posicao_contratual!X155)</f>
        <v/>
      </c>
      <c r="W155" s="13"/>
      <c r="X155" s="13"/>
      <c r="Y155" s="13"/>
      <c r="Z155" s="13"/>
      <c r="AA155" s="13"/>
      <c r="AB155" s="85" t="str">
        <f>IF(OR(A155="",posicao_contratual!E155="",posicao_contratual!J155=""),"",ROUND(MAX(posicao_contratual!E155-posicao_contratual!J155,0),2))</f>
        <v/>
      </c>
      <c r="AC155" s="79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47" t="str">
        <f>IF(A155="","",posicao_contratual!E155)</f>
        <v/>
      </c>
      <c r="AE155" s="147" t="str">
        <f>IF(A155="","",posicao_contratual!I155)</f>
        <v/>
      </c>
      <c r="AF155" s="147" t="str">
        <f>IF(A155="","",posicao_contratual!M155)</f>
        <v/>
      </c>
      <c r="AG155" s="147" t="str">
        <f>IF(A155="","",posicao_contratual!Q155)</f>
        <v/>
      </c>
      <c r="AH155" s="147" t="str">
        <f>IF(A155="","",posicao_contratual!U155)</f>
        <v/>
      </c>
      <c r="AI155" s="147" t="str">
        <f>IF(A155="","",posicao_contratual!G155)</f>
        <v/>
      </c>
      <c r="AJ155" s="147" t="str">
        <f>IF(A155="","",posicao_contratual!K155)</f>
        <v/>
      </c>
      <c r="AK155" s="147" t="str">
        <f>IF(A155="","",posicao_contratual!O155)</f>
        <v/>
      </c>
      <c r="AL155" s="147" t="str">
        <f>IF(A155="","",posicao_contratual!S155)</f>
        <v/>
      </c>
      <c r="AM155" s="147" t="str">
        <f>IF(A155="","",posicao_contratual!W155)</f>
        <v/>
      </c>
      <c r="AN155" s="148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1"/>
      <c r="B156" s="82" t="str">
        <f t="shared" si="24"/>
        <v/>
      </c>
      <c r="C156" s="83"/>
      <c r="D156" s="79" t="str">
        <f>IF(AND(A156="",A155&lt;&gt;"",COUNTIF(A157:$A$200,"&lt;&gt;")=0),ROUND(SUMIF($A$2:A155,"&lt;&gt;",$D$2:D155),2),IF(OR(A156="",B156="",C156=""),"",ROUND(B156*C156,2)))</f>
        <v/>
      </c>
      <c r="E156" s="84"/>
      <c r="F156" s="79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4"/>
      <c r="H156" s="79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4"/>
      <c r="J156" s="79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4"/>
      <c r="L156" s="79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5" t="str">
        <f>IF(OR(posicao_contratual!J156="",posicao_contratual!N156=""),"",ROUND(MAX(posicao_contratual!J156+posicao_contratual!H156-posicao_contratual!N156,0),2))</f>
        <v/>
      </c>
      <c r="N156" s="79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5" t="str">
        <f>IF(OR(posicao_contratual!N156="",posicao_contratual!R156=""),"",ROUND(MAX(posicao_contratual!N156+posicao_contratual!L156-posicao_contratual!R156,0),2))</f>
        <v/>
      </c>
      <c r="P156" s="79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5" t="str">
        <f>IF(OR(posicao_contratual!R156="",posicao_contratual!V156=""),"",ROUND(MAX(posicao_contratual!R156+posicao_contratual!P156-posicao_contratual!V156,0),2))</f>
        <v/>
      </c>
      <c r="R156" s="79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38"/>
      <c r="T156" s="39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86" t="str">
        <f>IF(AND(A156="",A155&lt;&gt;"",COUNTIF(A157:$A$200,"&lt;&gt;")=0),"TOTAL",IF(A156="","",posicao_contratual!X156))</f>
        <v/>
      </c>
      <c r="V156" s="86" t="str">
        <f>IF(A156="","",posicao_contratual!X156)</f>
        <v/>
      </c>
      <c r="W156" s="13"/>
      <c r="X156" s="13"/>
      <c r="Y156" s="13"/>
      <c r="Z156" s="13"/>
      <c r="AA156" s="13"/>
      <c r="AB156" s="85" t="str">
        <f>IF(OR(A156="",posicao_contratual!E156="",posicao_contratual!J156=""),"",ROUND(MAX(posicao_contratual!E156-posicao_contratual!J156,0),2))</f>
        <v/>
      </c>
      <c r="AC156" s="79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47" t="str">
        <f>IF(A156="","",posicao_contratual!E156)</f>
        <v/>
      </c>
      <c r="AE156" s="147" t="str">
        <f>IF(A156="","",posicao_contratual!I156)</f>
        <v/>
      </c>
      <c r="AF156" s="147" t="str">
        <f>IF(A156="","",posicao_contratual!M156)</f>
        <v/>
      </c>
      <c r="AG156" s="147" t="str">
        <f>IF(A156="","",posicao_contratual!Q156)</f>
        <v/>
      </c>
      <c r="AH156" s="147" t="str">
        <f>IF(A156="","",posicao_contratual!U156)</f>
        <v/>
      </c>
      <c r="AI156" s="147" t="str">
        <f>IF(A156="","",posicao_contratual!G156)</f>
        <v/>
      </c>
      <c r="AJ156" s="147" t="str">
        <f>IF(A156="","",posicao_contratual!K156)</f>
        <v/>
      </c>
      <c r="AK156" s="147" t="str">
        <f>IF(A156="","",posicao_contratual!O156)</f>
        <v/>
      </c>
      <c r="AL156" s="147" t="str">
        <f>IF(A156="","",posicao_contratual!S156)</f>
        <v/>
      </c>
      <c r="AM156" s="147" t="str">
        <f>IF(A156="","",posicao_contratual!W156)</f>
        <v/>
      </c>
      <c r="AN156" s="148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1"/>
      <c r="B157" s="82" t="str">
        <f t="shared" si="24"/>
        <v/>
      </c>
      <c r="C157" s="83"/>
      <c r="D157" s="79" t="str">
        <f>IF(AND(A157="",A156&lt;&gt;"",COUNTIF(A158:$A$200,"&lt;&gt;")=0),ROUND(SUMIF($A$2:A156,"&lt;&gt;",$D$2:D156),2),IF(OR(A157="",B157="",C157=""),"",ROUND(B157*C157,2)))</f>
        <v/>
      </c>
      <c r="E157" s="84"/>
      <c r="F157" s="79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4"/>
      <c r="H157" s="79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4"/>
      <c r="J157" s="79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4"/>
      <c r="L157" s="79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5" t="str">
        <f>IF(OR(posicao_contratual!J157="",posicao_contratual!N157=""),"",ROUND(MAX(posicao_contratual!J157+posicao_contratual!H157-posicao_contratual!N157,0),2))</f>
        <v/>
      </c>
      <c r="N157" s="79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5" t="str">
        <f>IF(OR(posicao_contratual!N157="",posicao_contratual!R157=""),"",ROUND(MAX(posicao_contratual!N157+posicao_contratual!L157-posicao_contratual!R157,0),2))</f>
        <v/>
      </c>
      <c r="P157" s="79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5" t="str">
        <f>IF(OR(posicao_contratual!R157="",posicao_contratual!V157=""),"",ROUND(MAX(posicao_contratual!R157+posicao_contratual!P157-posicao_contratual!V157,0),2))</f>
        <v/>
      </c>
      <c r="R157" s="79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38"/>
      <c r="T157" s="39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86" t="str">
        <f>IF(AND(A157="",A156&lt;&gt;"",COUNTIF(A158:$A$200,"&lt;&gt;")=0),"TOTAL",IF(A157="","",posicao_contratual!X157))</f>
        <v/>
      </c>
      <c r="V157" s="86" t="str">
        <f>IF(A157="","",posicao_contratual!X157)</f>
        <v/>
      </c>
      <c r="W157" s="13"/>
      <c r="X157" s="13"/>
      <c r="Y157" s="13"/>
      <c r="Z157" s="13"/>
      <c r="AA157" s="13"/>
      <c r="AB157" s="85" t="str">
        <f>IF(OR(A157="",posicao_contratual!E157="",posicao_contratual!J157=""),"",ROUND(MAX(posicao_contratual!E157-posicao_contratual!J157,0),2))</f>
        <v/>
      </c>
      <c r="AC157" s="79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47" t="str">
        <f>IF(A157="","",posicao_contratual!E157)</f>
        <v/>
      </c>
      <c r="AE157" s="147" t="str">
        <f>IF(A157="","",posicao_contratual!I157)</f>
        <v/>
      </c>
      <c r="AF157" s="147" t="str">
        <f>IF(A157="","",posicao_contratual!M157)</f>
        <v/>
      </c>
      <c r="AG157" s="147" t="str">
        <f>IF(A157="","",posicao_contratual!Q157)</f>
        <v/>
      </c>
      <c r="AH157" s="147" t="str">
        <f>IF(A157="","",posicao_contratual!U157)</f>
        <v/>
      </c>
      <c r="AI157" s="147" t="str">
        <f>IF(A157="","",posicao_contratual!G157)</f>
        <v/>
      </c>
      <c r="AJ157" s="147" t="str">
        <f>IF(A157="","",posicao_contratual!K157)</f>
        <v/>
      </c>
      <c r="AK157" s="147" t="str">
        <f>IF(A157="","",posicao_contratual!O157)</f>
        <v/>
      </c>
      <c r="AL157" s="147" t="str">
        <f>IF(A157="","",posicao_contratual!S157)</f>
        <v/>
      </c>
      <c r="AM157" s="147" t="str">
        <f>IF(A157="","",posicao_contratual!W157)</f>
        <v/>
      </c>
      <c r="AN157" s="148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1"/>
      <c r="B158" s="82" t="str">
        <f t="shared" si="24"/>
        <v/>
      </c>
      <c r="C158" s="83"/>
      <c r="D158" s="79" t="str">
        <f>IF(AND(A158="",A157&lt;&gt;"",COUNTIF(A159:$A$200,"&lt;&gt;")=0),ROUND(SUMIF($A$2:A157,"&lt;&gt;",$D$2:D157),2),IF(OR(A158="",B158="",C158=""),"",ROUND(B158*C158,2)))</f>
        <v/>
      </c>
      <c r="E158" s="84"/>
      <c r="F158" s="79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4"/>
      <c r="H158" s="79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4"/>
      <c r="J158" s="79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4"/>
      <c r="L158" s="79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5" t="str">
        <f>IF(OR(posicao_contratual!J158="",posicao_contratual!N158=""),"",ROUND(MAX(posicao_contratual!J158+posicao_contratual!H158-posicao_contratual!N158,0),2))</f>
        <v/>
      </c>
      <c r="N158" s="79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5" t="str">
        <f>IF(OR(posicao_contratual!N158="",posicao_contratual!R158=""),"",ROUND(MAX(posicao_contratual!N158+posicao_contratual!L158-posicao_contratual!R158,0),2))</f>
        <v/>
      </c>
      <c r="P158" s="79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5" t="str">
        <f>IF(OR(posicao_contratual!R158="",posicao_contratual!V158=""),"",ROUND(MAX(posicao_contratual!R158+posicao_contratual!P158-posicao_contratual!V158,0),2))</f>
        <v/>
      </c>
      <c r="R158" s="79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38"/>
      <c r="T158" s="39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86" t="str">
        <f>IF(AND(A158="",A157&lt;&gt;"",COUNTIF(A159:$A$200,"&lt;&gt;")=0),"TOTAL",IF(A158="","",posicao_contratual!X158))</f>
        <v/>
      </c>
      <c r="V158" s="86" t="str">
        <f>IF(A158="","",posicao_contratual!X158)</f>
        <v/>
      </c>
      <c r="W158" s="13"/>
      <c r="X158" s="13"/>
      <c r="Y158" s="13"/>
      <c r="Z158" s="13"/>
      <c r="AA158" s="13"/>
      <c r="AB158" s="85" t="str">
        <f>IF(OR(A158="",posicao_contratual!E158="",posicao_contratual!J158=""),"",ROUND(MAX(posicao_contratual!E158-posicao_contratual!J158,0),2))</f>
        <v/>
      </c>
      <c r="AC158" s="79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47" t="str">
        <f>IF(A158="","",posicao_contratual!E158)</f>
        <v/>
      </c>
      <c r="AE158" s="147" t="str">
        <f>IF(A158="","",posicao_contratual!I158)</f>
        <v/>
      </c>
      <c r="AF158" s="147" t="str">
        <f>IF(A158="","",posicao_contratual!M158)</f>
        <v/>
      </c>
      <c r="AG158" s="147" t="str">
        <f>IF(A158="","",posicao_contratual!Q158)</f>
        <v/>
      </c>
      <c r="AH158" s="147" t="str">
        <f>IF(A158="","",posicao_contratual!U158)</f>
        <v/>
      </c>
      <c r="AI158" s="147" t="str">
        <f>IF(A158="","",posicao_contratual!G158)</f>
        <v/>
      </c>
      <c r="AJ158" s="147" t="str">
        <f>IF(A158="","",posicao_contratual!K158)</f>
        <v/>
      </c>
      <c r="AK158" s="147" t="str">
        <f>IF(A158="","",posicao_contratual!O158)</f>
        <v/>
      </c>
      <c r="AL158" s="147" t="str">
        <f>IF(A158="","",posicao_contratual!S158)</f>
        <v/>
      </c>
      <c r="AM158" s="147" t="str">
        <f>IF(A158="","",posicao_contratual!W158)</f>
        <v/>
      </c>
      <c r="AN158" s="148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1"/>
      <c r="B159" s="82" t="str">
        <f t="shared" si="24"/>
        <v/>
      </c>
      <c r="C159" s="83"/>
      <c r="D159" s="79" t="str">
        <f>IF(AND(A159="",A158&lt;&gt;"",COUNTIF(A160:$A$200,"&lt;&gt;")=0),ROUND(SUMIF($A$2:A158,"&lt;&gt;",$D$2:D158),2),IF(OR(A159="",B159="",C159=""),"",ROUND(B159*C159,2)))</f>
        <v/>
      </c>
      <c r="E159" s="84"/>
      <c r="F159" s="79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4"/>
      <c r="H159" s="79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4"/>
      <c r="J159" s="79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4"/>
      <c r="L159" s="79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5" t="str">
        <f>IF(OR(posicao_contratual!J159="",posicao_contratual!N159=""),"",ROUND(MAX(posicao_contratual!J159+posicao_contratual!H159-posicao_contratual!N159,0),2))</f>
        <v/>
      </c>
      <c r="N159" s="79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5" t="str">
        <f>IF(OR(posicao_contratual!N159="",posicao_contratual!R159=""),"",ROUND(MAX(posicao_contratual!N159+posicao_contratual!L159-posicao_contratual!R159,0),2))</f>
        <v/>
      </c>
      <c r="P159" s="79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5" t="str">
        <f>IF(OR(posicao_contratual!R159="",posicao_contratual!V159=""),"",ROUND(MAX(posicao_contratual!R159+posicao_contratual!P159-posicao_contratual!V159,0),2))</f>
        <v/>
      </c>
      <c r="R159" s="79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38"/>
      <c r="T159" s="39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86" t="str">
        <f>IF(AND(A159="",A158&lt;&gt;"",COUNTIF(A160:$A$200,"&lt;&gt;")=0),"TOTAL",IF(A159="","",posicao_contratual!X159))</f>
        <v/>
      </c>
      <c r="V159" s="86" t="str">
        <f>IF(A159="","",posicao_contratual!X159)</f>
        <v/>
      </c>
      <c r="W159" s="13"/>
      <c r="X159" s="13"/>
      <c r="Y159" s="13"/>
      <c r="Z159" s="13"/>
      <c r="AA159" s="13"/>
      <c r="AB159" s="85" t="str">
        <f>IF(OR(A159="",posicao_contratual!E159="",posicao_contratual!J159=""),"",ROUND(MAX(posicao_contratual!E159-posicao_contratual!J159,0),2))</f>
        <v/>
      </c>
      <c r="AC159" s="79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47" t="str">
        <f>IF(A159="","",posicao_contratual!E159)</f>
        <v/>
      </c>
      <c r="AE159" s="147" t="str">
        <f>IF(A159="","",posicao_contratual!I159)</f>
        <v/>
      </c>
      <c r="AF159" s="147" t="str">
        <f>IF(A159="","",posicao_contratual!M159)</f>
        <v/>
      </c>
      <c r="AG159" s="147" t="str">
        <f>IF(A159="","",posicao_contratual!Q159)</f>
        <v/>
      </c>
      <c r="AH159" s="147" t="str">
        <f>IF(A159="","",posicao_contratual!U159)</f>
        <v/>
      </c>
      <c r="AI159" s="147" t="str">
        <f>IF(A159="","",posicao_contratual!G159)</f>
        <v/>
      </c>
      <c r="AJ159" s="147" t="str">
        <f>IF(A159="","",posicao_contratual!K159)</f>
        <v/>
      </c>
      <c r="AK159" s="147" t="str">
        <f>IF(A159="","",posicao_contratual!O159)</f>
        <v/>
      </c>
      <c r="AL159" s="147" t="str">
        <f>IF(A159="","",posicao_contratual!S159)</f>
        <v/>
      </c>
      <c r="AM159" s="147" t="str">
        <f>IF(A159="","",posicao_contratual!W159)</f>
        <v/>
      </c>
      <c r="AN159" s="148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1"/>
      <c r="B160" s="82" t="str">
        <f t="shared" si="24"/>
        <v/>
      </c>
      <c r="C160" s="83"/>
      <c r="D160" s="79" t="str">
        <f>IF(AND(A160="",A159&lt;&gt;"",COUNTIF(A161:$A$200,"&lt;&gt;")=0),ROUND(SUMIF($A$2:A159,"&lt;&gt;",$D$2:D159),2),IF(OR(A160="",B160="",C160=""),"",ROUND(B160*C160,2)))</f>
        <v/>
      </c>
      <c r="E160" s="84"/>
      <c r="F160" s="79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4"/>
      <c r="H160" s="79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4"/>
      <c r="J160" s="79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4"/>
      <c r="L160" s="79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5" t="str">
        <f>IF(OR(posicao_contratual!J160="",posicao_contratual!N160=""),"",ROUND(MAX(posicao_contratual!J160+posicao_contratual!H160-posicao_contratual!N160,0),2))</f>
        <v/>
      </c>
      <c r="N160" s="79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5" t="str">
        <f>IF(OR(posicao_contratual!N160="",posicao_contratual!R160=""),"",ROUND(MAX(posicao_contratual!N160+posicao_contratual!L160-posicao_contratual!R160,0),2))</f>
        <v/>
      </c>
      <c r="P160" s="79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5" t="str">
        <f>IF(OR(posicao_contratual!R160="",posicao_contratual!V160=""),"",ROUND(MAX(posicao_contratual!R160+posicao_contratual!P160-posicao_contratual!V160,0),2))</f>
        <v/>
      </c>
      <c r="R160" s="79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38"/>
      <c r="T160" s="39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86" t="str">
        <f>IF(AND(A160="",A159&lt;&gt;"",COUNTIF(A161:$A$200,"&lt;&gt;")=0),"TOTAL",IF(A160="","",posicao_contratual!X160))</f>
        <v/>
      </c>
      <c r="V160" s="86" t="str">
        <f>IF(A160="","",posicao_contratual!X160)</f>
        <v/>
      </c>
      <c r="W160" s="13"/>
      <c r="X160" s="13"/>
      <c r="Y160" s="13"/>
      <c r="Z160" s="13"/>
      <c r="AA160" s="13"/>
      <c r="AB160" s="85" t="str">
        <f>IF(OR(A160="",posicao_contratual!E160="",posicao_contratual!J160=""),"",ROUND(MAX(posicao_contratual!E160-posicao_contratual!J160,0),2))</f>
        <v/>
      </c>
      <c r="AC160" s="79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47" t="str">
        <f>IF(A160="","",posicao_contratual!E160)</f>
        <v/>
      </c>
      <c r="AE160" s="147" t="str">
        <f>IF(A160="","",posicao_contratual!I160)</f>
        <v/>
      </c>
      <c r="AF160" s="147" t="str">
        <f>IF(A160="","",posicao_contratual!M160)</f>
        <v/>
      </c>
      <c r="AG160" s="147" t="str">
        <f>IF(A160="","",posicao_contratual!Q160)</f>
        <v/>
      </c>
      <c r="AH160" s="147" t="str">
        <f>IF(A160="","",posicao_contratual!U160)</f>
        <v/>
      </c>
      <c r="AI160" s="147" t="str">
        <f>IF(A160="","",posicao_contratual!G160)</f>
        <v/>
      </c>
      <c r="AJ160" s="147" t="str">
        <f>IF(A160="","",posicao_contratual!K160)</f>
        <v/>
      </c>
      <c r="AK160" s="147" t="str">
        <f>IF(A160="","",posicao_contratual!O160)</f>
        <v/>
      </c>
      <c r="AL160" s="147" t="str">
        <f>IF(A160="","",posicao_contratual!S160)</f>
        <v/>
      </c>
      <c r="AM160" s="147" t="str">
        <f>IF(A160="","",posicao_contratual!W160)</f>
        <v/>
      </c>
      <c r="AN160" s="148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1"/>
      <c r="B161" s="82" t="str">
        <f t="shared" si="24"/>
        <v/>
      </c>
      <c r="C161" s="83"/>
      <c r="D161" s="79" t="str">
        <f>IF(AND(A161="",A160&lt;&gt;"",COUNTIF(A162:$A$200,"&lt;&gt;")=0),ROUND(SUMIF($A$2:A160,"&lt;&gt;",$D$2:D160),2),IF(OR(A161="",B161="",C161=""),"",ROUND(B161*C161,2)))</f>
        <v/>
      </c>
      <c r="E161" s="84"/>
      <c r="F161" s="79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4"/>
      <c r="H161" s="79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4"/>
      <c r="J161" s="79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4"/>
      <c r="L161" s="79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5" t="str">
        <f>IF(OR(posicao_contratual!J161="",posicao_contratual!N161=""),"",ROUND(MAX(posicao_contratual!J161+posicao_contratual!H161-posicao_contratual!N161,0),2))</f>
        <v/>
      </c>
      <c r="N161" s="79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5" t="str">
        <f>IF(OR(posicao_contratual!N161="",posicao_contratual!R161=""),"",ROUND(MAX(posicao_contratual!N161+posicao_contratual!L161-posicao_contratual!R161,0),2))</f>
        <v/>
      </c>
      <c r="P161" s="79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5" t="str">
        <f>IF(OR(posicao_contratual!R161="",posicao_contratual!V161=""),"",ROUND(MAX(posicao_contratual!R161+posicao_contratual!P161-posicao_contratual!V161,0),2))</f>
        <v/>
      </c>
      <c r="R161" s="79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38"/>
      <c r="T161" s="39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86" t="str">
        <f>IF(AND(A161="",A160&lt;&gt;"",COUNTIF(A162:$A$200,"&lt;&gt;")=0),"TOTAL",IF(A161="","",posicao_contratual!X161))</f>
        <v/>
      </c>
      <c r="V161" s="86" t="str">
        <f>IF(A161="","",posicao_contratual!X161)</f>
        <v/>
      </c>
      <c r="W161" s="13"/>
      <c r="X161" s="13"/>
      <c r="Y161" s="13"/>
      <c r="Z161" s="13"/>
      <c r="AA161" s="13"/>
      <c r="AB161" s="85" t="str">
        <f>IF(OR(A161="",posicao_contratual!E161="",posicao_contratual!J161=""),"",ROUND(MAX(posicao_contratual!E161-posicao_contratual!J161,0),2))</f>
        <v/>
      </c>
      <c r="AC161" s="79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47" t="str">
        <f>IF(A161="","",posicao_contratual!E161)</f>
        <v/>
      </c>
      <c r="AE161" s="147" t="str">
        <f>IF(A161="","",posicao_contratual!I161)</f>
        <v/>
      </c>
      <c r="AF161" s="147" t="str">
        <f>IF(A161="","",posicao_contratual!M161)</f>
        <v/>
      </c>
      <c r="AG161" s="147" t="str">
        <f>IF(A161="","",posicao_contratual!Q161)</f>
        <v/>
      </c>
      <c r="AH161" s="147" t="str">
        <f>IF(A161="","",posicao_contratual!U161)</f>
        <v/>
      </c>
      <c r="AI161" s="147" t="str">
        <f>IF(A161="","",posicao_contratual!G161)</f>
        <v/>
      </c>
      <c r="AJ161" s="147" t="str">
        <f>IF(A161="","",posicao_contratual!K161)</f>
        <v/>
      </c>
      <c r="AK161" s="147" t="str">
        <f>IF(A161="","",posicao_contratual!O161)</f>
        <v/>
      </c>
      <c r="AL161" s="147" t="str">
        <f>IF(A161="","",posicao_contratual!S161)</f>
        <v/>
      </c>
      <c r="AM161" s="147" t="str">
        <f>IF(A161="","",posicao_contratual!W161)</f>
        <v/>
      </c>
      <c r="AN161" s="148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1"/>
      <c r="B162" s="82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3"/>
      <c r="D162" s="79" t="str">
        <f>IF(AND(A162="",A161&lt;&gt;"",COUNTIF(A163:$A$200,"&lt;&gt;")=0),ROUND(SUMIF($A$2:A161,"&lt;&gt;",$D$2:D161),2),IF(OR(A162="",B162="",C162=""),"",ROUND(B162*C162,2)))</f>
        <v/>
      </c>
      <c r="E162" s="84"/>
      <c r="F162" s="79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4"/>
      <c r="H162" s="79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4"/>
      <c r="J162" s="79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4"/>
      <c r="L162" s="79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5" t="str">
        <f>IF(OR(posicao_contratual!J162="",posicao_contratual!N162=""),"",ROUND(MAX(posicao_contratual!J162+posicao_contratual!H162-posicao_contratual!N162,0),2))</f>
        <v/>
      </c>
      <c r="N162" s="79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5" t="str">
        <f>IF(OR(posicao_contratual!N162="",posicao_contratual!R162=""),"",ROUND(MAX(posicao_contratual!N162+posicao_contratual!L162-posicao_contratual!R162,0),2))</f>
        <v/>
      </c>
      <c r="P162" s="79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5" t="str">
        <f>IF(OR(posicao_contratual!R162="",posicao_contratual!V162=""),"",ROUND(MAX(posicao_contratual!R162+posicao_contratual!P162-posicao_contratual!V162,0),2))</f>
        <v/>
      </c>
      <c r="R162" s="79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38"/>
      <c r="T162" s="39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86" t="str">
        <f>IF(AND(A162="",A161&lt;&gt;"",COUNTIF(A163:$A$200,"&lt;&gt;")=0),"TOTAL",IF(A162="","",posicao_contratual!X162))</f>
        <v/>
      </c>
      <c r="V162" s="86" t="str">
        <f>IF(A162="","",posicao_contratual!X162)</f>
        <v/>
      </c>
      <c r="W162" s="13"/>
      <c r="X162" s="13"/>
      <c r="Y162" s="13"/>
      <c r="Z162" s="13"/>
      <c r="AA162" s="13"/>
      <c r="AB162" s="85" t="str">
        <f>IF(OR(A162="",posicao_contratual!E162="",posicao_contratual!J162=""),"",ROUND(MAX(posicao_contratual!E162-posicao_contratual!J162,0),2))</f>
        <v/>
      </c>
      <c r="AC162" s="79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47" t="str">
        <f>IF(A162="","",posicao_contratual!E162)</f>
        <v/>
      </c>
      <c r="AE162" s="147" t="str">
        <f>IF(A162="","",posicao_contratual!I162)</f>
        <v/>
      </c>
      <c r="AF162" s="147" t="str">
        <f>IF(A162="","",posicao_contratual!M162)</f>
        <v/>
      </c>
      <c r="AG162" s="147" t="str">
        <f>IF(A162="","",posicao_contratual!Q162)</f>
        <v/>
      </c>
      <c r="AH162" s="147" t="str">
        <f>IF(A162="","",posicao_contratual!U162)</f>
        <v/>
      </c>
      <c r="AI162" s="147" t="str">
        <f>IF(A162="","",posicao_contratual!G162)</f>
        <v/>
      </c>
      <c r="AJ162" s="147" t="str">
        <f>IF(A162="","",posicao_contratual!K162)</f>
        <v/>
      </c>
      <c r="AK162" s="147" t="str">
        <f>IF(A162="","",posicao_contratual!O162)</f>
        <v/>
      </c>
      <c r="AL162" s="147" t="str">
        <f>IF(A162="","",posicao_contratual!S162)</f>
        <v/>
      </c>
      <c r="AM162" s="147" t="str">
        <f>IF(A162="","",posicao_contratual!W162)</f>
        <v/>
      </c>
      <c r="AN162" s="148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1"/>
      <c r="B163" s="82" t="str">
        <f t="shared" si="30"/>
        <v/>
      </c>
      <c r="C163" s="83"/>
      <c r="D163" s="79" t="str">
        <f>IF(AND(A163="",A162&lt;&gt;"",COUNTIF(A164:$A$200,"&lt;&gt;")=0),ROUND(SUMIF($A$2:A162,"&lt;&gt;",$D$2:D162),2),IF(OR(A163="",B163="",C163=""),"",ROUND(B163*C163,2)))</f>
        <v/>
      </c>
      <c r="E163" s="84"/>
      <c r="F163" s="79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4"/>
      <c r="H163" s="79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4"/>
      <c r="J163" s="79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4"/>
      <c r="L163" s="79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5" t="str">
        <f>IF(OR(posicao_contratual!J163="",posicao_contratual!N163=""),"",ROUND(MAX(posicao_contratual!J163+posicao_contratual!H163-posicao_contratual!N163,0),2))</f>
        <v/>
      </c>
      <c r="N163" s="79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5" t="str">
        <f>IF(OR(posicao_contratual!N163="",posicao_contratual!R163=""),"",ROUND(MAX(posicao_contratual!N163+posicao_contratual!L163-posicao_contratual!R163,0),2))</f>
        <v/>
      </c>
      <c r="P163" s="79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5" t="str">
        <f>IF(OR(posicao_contratual!R163="",posicao_contratual!V163=""),"",ROUND(MAX(posicao_contratual!R163+posicao_contratual!P163-posicao_contratual!V163,0),2))</f>
        <v/>
      </c>
      <c r="R163" s="79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38"/>
      <c r="T163" s="39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86" t="str">
        <f>IF(AND(A163="",A162&lt;&gt;"",COUNTIF(A164:$A$200,"&lt;&gt;")=0),"TOTAL",IF(A163="","",posicao_contratual!X163))</f>
        <v/>
      </c>
      <c r="V163" s="86" t="str">
        <f>IF(A163="","",posicao_contratual!X163)</f>
        <v/>
      </c>
      <c r="W163" s="13"/>
      <c r="X163" s="13"/>
      <c r="Y163" s="13"/>
      <c r="Z163" s="13"/>
      <c r="AA163" s="13"/>
      <c r="AB163" s="85" t="str">
        <f>IF(OR(A163="",posicao_contratual!E163="",posicao_contratual!J163=""),"",ROUND(MAX(posicao_contratual!E163-posicao_contratual!J163,0),2))</f>
        <v/>
      </c>
      <c r="AC163" s="79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47" t="str">
        <f>IF(A163="","",posicao_contratual!E163)</f>
        <v/>
      </c>
      <c r="AE163" s="147" t="str">
        <f>IF(A163="","",posicao_contratual!I163)</f>
        <v/>
      </c>
      <c r="AF163" s="147" t="str">
        <f>IF(A163="","",posicao_contratual!M163)</f>
        <v/>
      </c>
      <c r="AG163" s="147" t="str">
        <f>IF(A163="","",posicao_contratual!Q163)</f>
        <v/>
      </c>
      <c r="AH163" s="147" t="str">
        <f>IF(A163="","",posicao_contratual!U163)</f>
        <v/>
      </c>
      <c r="AI163" s="147" t="str">
        <f>IF(A163="","",posicao_contratual!G163)</f>
        <v/>
      </c>
      <c r="AJ163" s="147" t="str">
        <f>IF(A163="","",posicao_contratual!K163)</f>
        <v/>
      </c>
      <c r="AK163" s="147" t="str">
        <f>IF(A163="","",posicao_contratual!O163)</f>
        <v/>
      </c>
      <c r="AL163" s="147" t="str">
        <f>IF(A163="","",posicao_contratual!S163)</f>
        <v/>
      </c>
      <c r="AM163" s="147" t="str">
        <f>IF(A163="","",posicao_contratual!W163)</f>
        <v/>
      </c>
      <c r="AN163" s="148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1"/>
      <c r="B164" s="82" t="str">
        <f t="shared" si="30"/>
        <v/>
      </c>
      <c r="C164" s="83"/>
      <c r="D164" s="79" t="str">
        <f>IF(AND(A164="",A163&lt;&gt;"",COUNTIF(A165:$A$200,"&lt;&gt;")=0),ROUND(SUMIF($A$2:A163,"&lt;&gt;",$D$2:D163),2),IF(OR(A164="",B164="",C164=""),"",ROUND(B164*C164,2)))</f>
        <v/>
      </c>
      <c r="E164" s="84"/>
      <c r="F164" s="79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4"/>
      <c r="H164" s="79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4"/>
      <c r="J164" s="79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4"/>
      <c r="L164" s="79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5" t="str">
        <f>IF(OR(posicao_contratual!J164="",posicao_contratual!N164=""),"",ROUND(MAX(posicao_contratual!J164+posicao_contratual!H164-posicao_contratual!N164,0),2))</f>
        <v/>
      </c>
      <c r="N164" s="79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5" t="str">
        <f>IF(OR(posicao_contratual!N164="",posicao_contratual!R164=""),"",ROUND(MAX(posicao_contratual!N164+posicao_contratual!L164-posicao_contratual!R164,0),2))</f>
        <v/>
      </c>
      <c r="P164" s="79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5" t="str">
        <f>IF(OR(posicao_contratual!R164="",posicao_contratual!V164=""),"",ROUND(MAX(posicao_contratual!R164+posicao_contratual!P164-posicao_contratual!V164,0),2))</f>
        <v/>
      </c>
      <c r="R164" s="79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38"/>
      <c r="T164" s="39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86" t="str">
        <f>IF(AND(A164="",A163&lt;&gt;"",COUNTIF(A165:$A$200,"&lt;&gt;")=0),"TOTAL",IF(A164="","",posicao_contratual!X164))</f>
        <v/>
      </c>
      <c r="V164" s="86" t="str">
        <f>IF(A164="","",posicao_contratual!X164)</f>
        <v/>
      </c>
      <c r="W164" s="13"/>
      <c r="X164" s="13"/>
      <c r="Y164" s="13"/>
      <c r="Z164" s="13"/>
      <c r="AA164" s="13"/>
      <c r="AB164" s="85" t="str">
        <f>IF(OR(A164="",posicao_contratual!E164="",posicao_contratual!J164=""),"",ROUND(MAX(posicao_contratual!E164-posicao_contratual!J164,0),2))</f>
        <v/>
      </c>
      <c r="AC164" s="79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47" t="str">
        <f>IF(A164="","",posicao_contratual!E164)</f>
        <v/>
      </c>
      <c r="AE164" s="147" t="str">
        <f>IF(A164="","",posicao_contratual!I164)</f>
        <v/>
      </c>
      <c r="AF164" s="147" t="str">
        <f>IF(A164="","",posicao_contratual!M164)</f>
        <v/>
      </c>
      <c r="AG164" s="147" t="str">
        <f>IF(A164="","",posicao_contratual!Q164)</f>
        <v/>
      </c>
      <c r="AH164" s="147" t="str">
        <f>IF(A164="","",posicao_contratual!U164)</f>
        <v/>
      </c>
      <c r="AI164" s="147" t="str">
        <f>IF(A164="","",posicao_contratual!G164)</f>
        <v/>
      </c>
      <c r="AJ164" s="147" t="str">
        <f>IF(A164="","",posicao_contratual!K164)</f>
        <v/>
      </c>
      <c r="AK164" s="147" t="str">
        <f>IF(A164="","",posicao_contratual!O164)</f>
        <v/>
      </c>
      <c r="AL164" s="147" t="str">
        <f>IF(A164="","",posicao_contratual!S164)</f>
        <v/>
      </c>
      <c r="AM164" s="147" t="str">
        <f>IF(A164="","",posicao_contratual!W164)</f>
        <v/>
      </c>
      <c r="AN164" s="148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1"/>
      <c r="B165" s="82" t="str">
        <f t="shared" si="30"/>
        <v/>
      </c>
      <c r="C165" s="83"/>
      <c r="D165" s="79" t="str">
        <f>IF(AND(A165="",A164&lt;&gt;"",COUNTIF(A166:$A$200,"&lt;&gt;")=0),ROUND(SUMIF($A$2:A164,"&lt;&gt;",$D$2:D164),2),IF(OR(A165="",B165="",C165=""),"",ROUND(B165*C165,2)))</f>
        <v/>
      </c>
      <c r="E165" s="84"/>
      <c r="F165" s="79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4"/>
      <c r="H165" s="79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4"/>
      <c r="J165" s="79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4"/>
      <c r="L165" s="79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5" t="str">
        <f>IF(OR(posicao_contratual!J165="",posicao_contratual!N165=""),"",ROUND(MAX(posicao_contratual!J165+posicao_contratual!H165-posicao_contratual!N165,0),2))</f>
        <v/>
      </c>
      <c r="N165" s="79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5" t="str">
        <f>IF(OR(posicao_contratual!N165="",posicao_contratual!R165=""),"",ROUND(MAX(posicao_contratual!N165+posicao_contratual!L165-posicao_contratual!R165,0),2))</f>
        <v/>
      </c>
      <c r="P165" s="79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5" t="str">
        <f>IF(OR(posicao_contratual!R165="",posicao_contratual!V165=""),"",ROUND(MAX(posicao_contratual!R165+posicao_contratual!P165-posicao_contratual!V165,0),2))</f>
        <v/>
      </c>
      <c r="R165" s="79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38"/>
      <c r="T165" s="39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86" t="str">
        <f>IF(AND(A165="",A164&lt;&gt;"",COUNTIF(A166:$A$200,"&lt;&gt;")=0),"TOTAL",IF(A165="","",posicao_contratual!X165))</f>
        <v/>
      </c>
      <c r="V165" s="86" t="str">
        <f>IF(A165="","",posicao_contratual!X165)</f>
        <v/>
      </c>
      <c r="W165" s="13"/>
      <c r="X165" s="13"/>
      <c r="Y165" s="13"/>
      <c r="Z165" s="13"/>
      <c r="AA165" s="13"/>
      <c r="AB165" s="85" t="str">
        <f>IF(OR(A165="",posicao_contratual!E165="",posicao_contratual!J165=""),"",ROUND(MAX(posicao_contratual!E165-posicao_contratual!J165,0),2))</f>
        <v/>
      </c>
      <c r="AC165" s="79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47" t="str">
        <f>IF(A165="","",posicao_contratual!E165)</f>
        <v/>
      </c>
      <c r="AE165" s="147" t="str">
        <f>IF(A165="","",posicao_contratual!I165)</f>
        <v/>
      </c>
      <c r="AF165" s="147" t="str">
        <f>IF(A165="","",posicao_contratual!M165)</f>
        <v/>
      </c>
      <c r="AG165" s="147" t="str">
        <f>IF(A165="","",posicao_contratual!Q165)</f>
        <v/>
      </c>
      <c r="AH165" s="147" t="str">
        <f>IF(A165="","",posicao_contratual!U165)</f>
        <v/>
      </c>
      <c r="AI165" s="147" t="str">
        <f>IF(A165="","",posicao_contratual!G165)</f>
        <v/>
      </c>
      <c r="AJ165" s="147" t="str">
        <f>IF(A165="","",posicao_contratual!K165)</f>
        <v/>
      </c>
      <c r="AK165" s="147" t="str">
        <f>IF(A165="","",posicao_contratual!O165)</f>
        <v/>
      </c>
      <c r="AL165" s="147" t="str">
        <f>IF(A165="","",posicao_contratual!S165)</f>
        <v/>
      </c>
      <c r="AM165" s="147" t="str">
        <f>IF(A165="","",posicao_contratual!W165)</f>
        <v/>
      </c>
      <c r="AN165" s="148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1"/>
      <c r="B166" s="82" t="str">
        <f t="shared" si="30"/>
        <v/>
      </c>
      <c r="C166" s="83"/>
      <c r="D166" s="79" t="str">
        <f>IF(AND(A166="",A165&lt;&gt;"",COUNTIF(A167:$A$200,"&lt;&gt;")=0),ROUND(SUMIF($A$2:A165,"&lt;&gt;",$D$2:D165),2),IF(OR(A166="",B166="",C166=""),"",ROUND(B166*C166,2)))</f>
        <v/>
      </c>
      <c r="E166" s="84"/>
      <c r="F166" s="79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4"/>
      <c r="H166" s="79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4"/>
      <c r="J166" s="79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4"/>
      <c r="L166" s="79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5" t="str">
        <f>IF(OR(posicao_contratual!J166="",posicao_contratual!N166=""),"",ROUND(MAX(posicao_contratual!J166+posicao_contratual!H166-posicao_contratual!N166,0),2))</f>
        <v/>
      </c>
      <c r="N166" s="79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5" t="str">
        <f>IF(OR(posicao_contratual!N166="",posicao_contratual!R166=""),"",ROUND(MAX(posicao_contratual!N166+posicao_contratual!L166-posicao_contratual!R166,0),2))</f>
        <v/>
      </c>
      <c r="P166" s="79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5" t="str">
        <f>IF(OR(posicao_contratual!R166="",posicao_contratual!V166=""),"",ROUND(MAX(posicao_contratual!R166+posicao_contratual!P166-posicao_contratual!V166,0),2))</f>
        <v/>
      </c>
      <c r="R166" s="79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38"/>
      <c r="T166" s="39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86" t="str">
        <f>IF(AND(A166="",A165&lt;&gt;"",COUNTIF(A167:$A$200,"&lt;&gt;")=0),"TOTAL",IF(A166="","",posicao_contratual!X166))</f>
        <v/>
      </c>
      <c r="V166" s="86" t="str">
        <f>IF(A166="","",posicao_contratual!X166)</f>
        <v/>
      </c>
      <c r="W166" s="13"/>
      <c r="X166" s="13"/>
      <c r="Y166" s="13"/>
      <c r="Z166" s="13"/>
      <c r="AA166" s="13"/>
      <c r="AB166" s="85" t="str">
        <f>IF(OR(A166="",posicao_contratual!E166="",posicao_contratual!J166=""),"",ROUND(MAX(posicao_contratual!E166-posicao_contratual!J166,0),2))</f>
        <v/>
      </c>
      <c r="AC166" s="79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47" t="str">
        <f>IF(A166="","",posicao_contratual!E166)</f>
        <v/>
      </c>
      <c r="AE166" s="147" t="str">
        <f>IF(A166="","",posicao_contratual!I166)</f>
        <v/>
      </c>
      <c r="AF166" s="147" t="str">
        <f>IF(A166="","",posicao_contratual!M166)</f>
        <v/>
      </c>
      <c r="AG166" s="147" t="str">
        <f>IF(A166="","",posicao_contratual!Q166)</f>
        <v/>
      </c>
      <c r="AH166" s="147" t="str">
        <f>IF(A166="","",posicao_contratual!U166)</f>
        <v/>
      </c>
      <c r="AI166" s="147" t="str">
        <f>IF(A166="","",posicao_contratual!G166)</f>
        <v/>
      </c>
      <c r="AJ166" s="147" t="str">
        <f>IF(A166="","",posicao_contratual!K166)</f>
        <v/>
      </c>
      <c r="AK166" s="147" t="str">
        <f>IF(A166="","",posicao_contratual!O166)</f>
        <v/>
      </c>
      <c r="AL166" s="147" t="str">
        <f>IF(A166="","",posicao_contratual!S166)</f>
        <v/>
      </c>
      <c r="AM166" s="147" t="str">
        <f>IF(A166="","",posicao_contratual!W166)</f>
        <v/>
      </c>
      <c r="AN166" s="148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1"/>
      <c r="B167" s="82" t="str">
        <f t="shared" si="30"/>
        <v/>
      </c>
      <c r="C167" s="83"/>
      <c r="D167" s="79" t="str">
        <f>IF(AND(A167="",A166&lt;&gt;"",COUNTIF(A168:$A$200,"&lt;&gt;")=0),ROUND(SUMIF($A$2:A166,"&lt;&gt;",$D$2:D166),2),IF(OR(A167="",B167="",C167=""),"",ROUND(B167*C167,2)))</f>
        <v/>
      </c>
      <c r="E167" s="84"/>
      <c r="F167" s="79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4"/>
      <c r="H167" s="79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4"/>
      <c r="J167" s="79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4"/>
      <c r="L167" s="79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5" t="str">
        <f>IF(OR(posicao_contratual!J167="",posicao_contratual!N167=""),"",ROUND(MAX(posicao_contratual!J167+posicao_contratual!H167-posicao_contratual!N167,0),2))</f>
        <v/>
      </c>
      <c r="N167" s="79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5" t="str">
        <f>IF(OR(posicao_contratual!N167="",posicao_contratual!R167=""),"",ROUND(MAX(posicao_contratual!N167+posicao_contratual!L167-posicao_contratual!R167,0),2))</f>
        <v/>
      </c>
      <c r="P167" s="79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5" t="str">
        <f>IF(OR(posicao_contratual!R167="",posicao_contratual!V167=""),"",ROUND(MAX(posicao_contratual!R167+posicao_contratual!P167-posicao_contratual!V167,0),2))</f>
        <v/>
      </c>
      <c r="R167" s="79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38"/>
      <c r="T167" s="39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86" t="str">
        <f>IF(AND(A167="",A166&lt;&gt;"",COUNTIF(A168:$A$200,"&lt;&gt;")=0),"TOTAL",IF(A167="","",posicao_contratual!X167))</f>
        <v/>
      </c>
      <c r="V167" s="86" t="str">
        <f>IF(A167="","",posicao_contratual!X167)</f>
        <v/>
      </c>
      <c r="W167" s="13"/>
      <c r="X167" s="13"/>
      <c r="Y167" s="13"/>
      <c r="Z167" s="13"/>
      <c r="AA167" s="13"/>
      <c r="AB167" s="85" t="str">
        <f>IF(OR(A167="",posicao_contratual!E167="",posicao_contratual!J167=""),"",ROUND(MAX(posicao_contratual!E167-posicao_contratual!J167,0),2))</f>
        <v/>
      </c>
      <c r="AC167" s="79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47" t="str">
        <f>IF(A167="","",posicao_contratual!E167)</f>
        <v/>
      </c>
      <c r="AE167" s="147" t="str">
        <f>IF(A167="","",posicao_contratual!I167)</f>
        <v/>
      </c>
      <c r="AF167" s="147" t="str">
        <f>IF(A167="","",posicao_contratual!M167)</f>
        <v/>
      </c>
      <c r="AG167" s="147" t="str">
        <f>IF(A167="","",posicao_contratual!Q167)</f>
        <v/>
      </c>
      <c r="AH167" s="147" t="str">
        <f>IF(A167="","",posicao_contratual!U167)</f>
        <v/>
      </c>
      <c r="AI167" s="147" t="str">
        <f>IF(A167="","",posicao_contratual!G167)</f>
        <v/>
      </c>
      <c r="AJ167" s="147" t="str">
        <f>IF(A167="","",posicao_contratual!K167)</f>
        <v/>
      </c>
      <c r="AK167" s="147" t="str">
        <f>IF(A167="","",posicao_contratual!O167)</f>
        <v/>
      </c>
      <c r="AL167" s="147" t="str">
        <f>IF(A167="","",posicao_contratual!S167)</f>
        <v/>
      </c>
      <c r="AM167" s="147" t="str">
        <f>IF(A167="","",posicao_contratual!W167)</f>
        <v/>
      </c>
      <c r="AN167" s="148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1"/>
      <c r="B168" s="82" t="str">
        <f t="shared" si="30"/>
        <v/>
      </c>
      <c r="C168" s="83"/>
      <c r="D168" s="79" t="str">
        <f>IF(AND(A168="",A167&lt;&gt;"",COUNTIF(A169:$A$200,"&lt;&gt;")=0),ROUND(SUMIF($A$2:A167,"&lt;&gt;",$D$2:D167),2),IF(OR(A168="",B168="",C168=""),"",ROUND(B168*C168,2)))</f>
        <v/>
      </c>
      <c r="E168" s="84"/>
      <c r="F168" s="79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4"/>
      <c r="H168" s="79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4"/>
      <c r="J168" s="79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4"/>
      <c r="L168" s="79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5" t="str">
        <f>IF(OR(posicao_contratual!J168="",posicao_contratual!N168=""),"",ROUND(MAX(posicao_contratual!J168+posicao_contratual!H168-posicao_contratual!N168,0),2))</f>
        <v/>
      </c>
      <c r="N168" s="79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5" t="str">
        <f>IF(OR(posicao_contratual!N168="",posicao_contratual!R168=""),"",ROUND(MAX(posicao_contratual!N168+posicao_contratual!L168-posicao_contratual!R168,0),2))</f>
        <v/>
      </c>
      <c r="P168" s="79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5" t="str">
        <f>IF(OR(posicao_contratual!R168="",posicao_contratual!V168=""),"",ROUND(MAX(posicao_contratual!R168+posicao_contratual!P168-posicao_contratual!V168,0),2))</f>
        <v/>
      </c>
      <c r="R168" s="79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38"/>
      <c r="T168" s="39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86" t="str">
        <f>IF(AND(A168="",A167&lt;&gt;"",COUNTIF(A169:$A$200,"&lt;&gt;")=0),"TOTAL",IF(A168="","",posicao_contratual!X168))</f>
        <v/>
      </c>
      <c r="V168" s="86" t="str">
        <f>IF(A168="","",posicao_contratual!X168)</f>
        <v/>
      </c>
      <c r="W168" s="13"/>
      <c r="X168" s="13"/>
      <c r="Y168" s="13"/>
      <c r="Z168" s="13"/>
      <c r="AA168" s="13"/>
      <c r="AB168" s="85" t="str">
        <f>IF(OR(A168="",posicao_contratual!E168="",posicao_contratual!J168=""),"",ROUND(MAX(posicao_contratual!E168-posicao_contratual!J168,0),2))</f>
        <v/>
      </c>
      <c r="AC168" s="79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47" t="str">
        <f>IF(A168="","",posicao_contratual!E168)</f>
        <v/>
      </c>
      <c r="AE168" s="147" t="str">
        <f>IF(A168="","",posicao_contratual!I168)</f>
        <v/>
      </c>
      <c r="AF168" s="147" t="str">
        <f>IF(A168="","",posicao_contratual!M168)</f>
        <v/>
      </c>
      <c r="AG168" s="147" t="str">
        <f>IF(A168="","",posicao_contratual!Q168)</f>
        <v/>
      </c>
      <c r="AH168" s="147" t="str">
        <f>IF(A168="","",posicao_contratual!U168)</f>
        <v/>
      </c>
      <c r="AI168" s="147" t="str">
        <f>IF(A168="","",posicao_contratual!G168)</f>
        <v/>
      </c>
      <c r="AJ168" s="147" t="str">
        <f>IF(A168="","",posicao_contratual!K168)</f>
        <v/>
      </c>
      <c r="AK168" s="147" t="str">
        <f>IF(A168="","",posicao_contratual!O168)</f>
        <v/>
      </c>
      <c r="AL168" s="147" t="str">
        <f>IF(A168="","",posicao_contratual!S168)</f>
        <v/>
      </c>
      <c r="AM168" s="147" t="str">
        <f>IF(A168="","",posicao_contratual!W168)</f>
        <v/>
      </c>
      <c r="AN168" s="148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1"/>
      <c r="B169" s="82" t="str">
        <f t="shared" si="30"/>
        <v/>
      </c>
      <c r="C169" s="83"/>
      <c r="D169" s="79" t="str">
        <f>IF(AND(A169="",A168&lt;&gt;"",COUNTIF(A170:$A$200,"&lt;&gt;")=0),ROUND(SUMIF($A$2:A168,"&lt;&gt;",$D$2:D168),2),IF(OR(A169="",B169="",C169=""),"",ROUND(B169*C169,2)))</f>
        <v/>
      </c>
      <c r="E169" s="84"/>
      <c r="F169" s="79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4"/>
      <c r="H169" s="79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4"/>
      <c r="J169" s="79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4"/>
      <c r="L169" s="79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5" t="str">
        <f>IF(OR(posicao_contratual!J169="",posicao_contratual!N169=""),"",ROUND(MAX(posicao_contratual!J169+posicao_contratual!H169-posicao_contratual!N169,0),2))</f>
        <v/>
      </c>
      <c r="N169" s="79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5" t="str">
        <f>IF(OR(posicao_contratual!N169="",posicao_contratual!R169=""),"",ROUND(MAX(posicao_contratual!N169+posicao_contratual!L169-posicao_contratual!R169,0),2))</f>
        <v/>
      </c>
      <c r="P169" s="79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5" t="str">
        <f>IF(OR(posicao_contratual!R169="",posicao_contratual!V169=""),"",ROUND(MAX(posicao_contratual!R169+posicao_contratual!P169-posicao_contratual!V169,0),2))</f>
        <v/>
      </c>
      <c r="R169" s="79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38"/>
      <c r="T169" s="39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86" t="str">
        <f>IF(AND(A169="",A168&lt;&gt;"",COUNTIF(A170:$A$200,"&lt;&gt;")=0),"TOTAL",IF(A169="","",posicao_contratual!X169))</f>
        <v/>
      </c>
      <c r="V169" s="86" t="str">
        <f>IF(A169="","",posicao_contratual!X169)</f>
        <v/>
      </c>
      <c r="W169" s="13"/>
      <c r="X169" s="13"/>
      <c r="Y169" s="13"/>
      <c r="Z169" s="13"/>
      <c r="AA169" s="13"/>
      <c r="AB169" s="85" t="str">
        <f>IF(OR(A169="",posicao_contratual!E169="",posicao_contratual!J169=""),"",ROUND(MAX(posicao_contratual!E169-posicao_contratual!J169,0),2))</f>
        <v/>
      </c>
      <c r="AC169" s="79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47" t="str">
        <f>IF(A169="","",posicao_contratual!E169)</f>
        <v/>
      </c>
      <c r="AE169" s="147" t="str">
        <f>IF(A169="","",posicao_contratual!I169)</f>
        <v/>
      </c>
      <c r="AF169" s="147" t="str">
        <f>IF(A169="","",posicao_contratual!M169)</f>
        <v/>
      </c>
      <c r="AG169" s="147" t="str">
        <f>IF(A169="","",posicao_contratual!Q169)</f>
        <v/>
      </c>
      <c r="AH169" s="147" t="str">
        <f>IF(A169="","",posicao_contratual!U169)</f>
        <v/>
      </c>
      <c r="AI169" s="147" t="str">
        <f>IF(A169="","",posicao_contratual!G169)</f>
        <v/>
      </c>
      <c r="AJ169" s="147" t="str">
        <f>IF(A169="","",posicao_contratual!K169)</f>
        <v/>
      </c>
      <c r="AK169" s="147" t="str">
        <f>IF(A169="","",posicao_contratual!O169)</f>
        <v/>
      </c>
      <c r="AL169" s="147" t="str">
        <f>IF(A169="","",posicao_contratual!S169)</f>
        <v/>
      </c>
      <c r="AM169" s="147" t="str">
        <f>IF(A169="","",posicao_contratual!W169)</f>
        <v/>
      </c>
      <c r="AN169" s="148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1"/>
      <c r="B170" s="82" t="str">
        <f t="shared" si="30"/>
        <v/>
      </c>
      <c r="C170" s="83"/>
      <c r="D170" s="79" t="str">
        <f>IF(AND(A170="",A169&lt;&gt;"",COUNTIF(A171:$A$200,"&lt;&gt;")=0),ROUND(SUMIF($A$2:A169,"&lt;&gt;",$D$2:D169),2),IF(OR(A170="",B170="",C170=""),"",ROUND(B170*C170,2)))</f>
        <v/>
      </c>
      <c r="E170" s="84"/>
      <c r="F170" s="79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4"/>
      <c r="H170" s="79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4"/>
      <c r="J170" s="79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4"/>
      <c r="L170" s="79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5" t="str">
        <f>IF(OR(posicao_contratual!J170="",posicao_contratual!N170=""),"",ROUND(MAX(posicao_contratual!J170+posicao_contratual!H170-posicao_contratual!N170,0),2))</f>
        <v/>
      </c>
      <c r="N170" s="79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5" t="str">
        <f>IF(OR(posicao_contratual!N170="",posicao_contratual!R170=""),"",ROUND(MAX(posicao_contratual!N170+posicao_contratual!L170-posicao_contratual!R170,0),2))</f>
        <v/>
      </c>
      <c r="P170" s="79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5" t="str">
        <f>IF(OR(posicao_contratual!R170="",posicao_contratual!V170=""),"",ROUND(MAX(posicao_contratual!R170+posicao_contratual!P170-posicao_contratual!V170,0),2))</f>
        <v/>
      </c>
      <c r="R170" s="79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38"/>
      <c r="T170" s="39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86" t="str">
        <f>IF(AND(A170="",A169&lt;&gt;"",COUNTIF(A171:$A$200,"&lt;&gt;")=0),"TOTAL",IF(A170="","",posicao_contratual!X170))</f>
        <v/>
      </c>
      <c r="V170" s="86" t="str">
        <f>IF(A170="","",posicao_contratual!X170)</f>
        <v/>
      </c>
      <c r="W170" s="13"/>
      <c r="X170" s="13"/>
      <c r="Y170" s="13"/>
      <c r="Z170" s="13"/>
      <c r="AA170" s="13"/>
      <c r="AB170" s="85" t="str">
        <f>IF(OR(A170="",posicao_contratual!E170="",posicao_contratual!J170=""),"",ROUND(MAX(posicao_contratual!E170-posicao_contratual!J170,0),2))</f>
        <v/>
      </c>
      <c r="AC170" s="79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47" t="str">
        <f>IF(A170="","",posicao_contratual!E170)</f>
        <v/>
      </c>
      <c r="AE170" s="147" t="str">
        <f>IF(A170="","",posicao_contratual!I170)</f>
        <v/>
      </c>
      <c r="AF170" s="147" t="str">
        <f>IF(A170="","",posicao_contratual!M170)</f>
        <v/>
      </c>
      <c r="AG170" s="147" t="str">
        <f>IF(A170="","",posicao_contratual!Q170)</f>
        <v/>
      </c>
      <c r="AH170" s="147" t="str">
        <f>IF(A170="","",posicao_contratual!U170)</f>
        <v/>
      </c>
      <c r="AI170" s="147" t="str">
        <f>IF(A170="","",posicao_contratual!G170)</f>
        <v/>
      </c>
      <c r="AJ170" s="147" t="str">
        <f>IF(A170="","",posicao_contratual!K170)</f>
        <v/>
      </c>
      <c r="AK170" s="147" t="str">
        <f>IF(A170="","",posicao_contratual!O170)</f>
        <v/>
      </c>
      <c r="AL170" s="147" t="str">
        <f>IF(A170="","",posicao_contratual!S170)</f>
        <v/>
      </c>
      <c r="AM170" s="147" t="str">
        <f>IF(A170="","",posicao_contratual!W170)</f>
        <v/>
      </c>
      <c r="AN170" s="148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1"/>
      <c r="B171" s="82" t="str">
        <f t="shared" si="30"/>
        <v/>
      </c>
      <c r="C171" s="83"/>
      <c r="D171" s="79" t="str">
        <f>IF(AND(A171="",A170&lt;&gt;"",COUNTIF(A172:$A$200,"&lt;&gt;")=0),ROUND(SUMIF($A$2:A170,"&lt;&gt;",$D$2:D170),2),IF(OR(A171="",B171="",C171=""),"",ROUND(B171*C171,2)))</f>
        <v/>
      </c>
      <c r="E171" s="84"/>
      <c r="F171" s="79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4"/>
      <c r="H171" s="79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4"/>
      <c r="J171" s="79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4"/>
      <c r="L171" s="79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5" t="str">
        <f>IF(OR(posicao_contratual!J171="",posicao_contratual!N171=""),"",ROUND(MAX(posicao_contratual!J171+posicao_contratual!H171-posicao_contratual!N171,0),2))</f>
        <v/>
      </c>
      <c r="N171" s="79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5" t="str">
        <f>IF(OR(posicao_contratual!N171="",posicao_contratual!R171=""),"",ROUND(MAX(posicao_contratual!N171+posicao_contratual!L171-posicao_contratual!R171,0),2))</f>
        <v/>
      </c>
      <c r="P171" s="79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5" t="str">
        <f>IF(OR(posicao_contratual!R171="",posicao_contratual!V171=""),"",ROUND(MAX(posicao_contratual!R171+posicao_contratual!P171-posicao_contratual!V171,0),2))</f>
        <v/>
      </c>
      <c r="R171" s="79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38"/>
      <c r="T171" s="39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86" t="str">
        <f>IF(AND(A171="",A170&lt;&gt;"",COUNTIF(A172:$A$200,"&lt;&gt;")=0),"TOTAL",IF(A171="","",posicao_contratual!X171))</f>
        <v/>
      </c>
      <c r="V171" s="86" t="str">
        <f>IF(A171="","",posicao_contratual!X171)</f>
        <v/>
      </c>
      <c r="W171" s="13"/>
      <c r="X171" s="13"/>
      <c r="Y171" s="13"/>
      <c r="Z171" s="13"/>
      <c r="AA171" s="13"/>
      <c r="AB171" s="85" t="str">
        <f>IF(OR(A171="",posicao_contratual!E171="",posicao_contratual!J171=""),"",ROUND(MAX(posicao_contratual!E171-posicao_contratual!J171,0),2))</f>
        <v/>
      </c>
      <c r="AC171" s="79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47" t="str">
        <f>IF(A171="","",posicao_contratual!E171)</f>
        <v/>
      </c>
      <c r="AE171" s="147" t="str">
        <f>IF(A171="","",posicao_contratual!I171)</f>
        <v/>
      </c>
      <c r="AF171" s="147" t="str">
        <f>IF(A171="","",posicao_contratual!M171)</f>
        <v/>
      </c>
      <c r="AG171" s="147" t="str">
        <f>IF(A171="","",posicao_contratual!Q171)</f>
        <v/>
      </c>
      <c r="AH171" s="147" t="str">
        <f>IF(A171="","",posicao_contratual!U171)</f>
        <v/>
      </c>
      <c r="AI171" s="147" t="str">
        <f>IF(A171="","",posicao_contratual!G171)</f>
        <v/>
      </c>
      <c r="AJ171" s="147" t="str">
        <f>IF(A171="","",posicao_contratual!K171)</f>
        <v/>
      </c>
      <c r="AK171" s="147" t="str">
        <f>IF(A171="","",posicao_contratual!O171)</f>
        <v/>
      </c>
      <c r="AL171" s="147" t="str">
        <f>IF(A171="","",posicao_contratual!S171)</f>
        <v/>
      </c>
      <c r="AM171" s="147" t="str">
        <f>IF(A171="","",posicao_contratual!W171)</f>
        <v/>
      </c>
      <c r="AN171" s="148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1"/>
      <c r="B172" s="82" t="str">
        <f t="shared" si="30"/>
        <v/>
      </c>
      <c r="C172" s="83"/>
      <c r="D172" s="79" t="str">
        <f>IF(AND(A172="",A171&lt;&gt;"",COUNTIF(A173:$A$200,"&lt;&gt;")=0),ROUND(SUMIF($A$2:A171,"&lt;&gt;",$D$2:D171),2),IF(OR(A172="",B172="",C172=""),"",ROUND(B172*C172,2)))</f>
        <v/>
      </c>
      <c r="E172" s="84"/>
      <c r="F172" s="79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4"/>
      <c r="H172" s="79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4"/>
      <c r="J172" s="79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4"/>
      <c r="L172" s="79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5" t="str">
        <f>IF(OR(posicao_contratual!J172="",posicao_contratual!N172=""),"",ROUND(MAX(posicao_contratual!J172+posicao_contratual!H172-posicao_contratual!N172,0),2))</f>
        <v/>
      </c>
      <c r="N172" s="79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5" t="str">
        <f>IF(OR(posicao_contratual!N172="",posicao_contratual!R172=""),"",ROUND(MAX(posicao_contratual!N172+posicao_contratual!L172-posicao_contratual!R172,0),2))</f>
        <v/>
      </c>
      <c r="P172" s="79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5" t="str">
        <f>IF(OR(posicao_contratual!R172="",posicao_contratual!V172=""),"",ROUND(MAX(posicao_contratual!R172+posicao_contratual!P172-posicao_contratual!V172,0),2))</f>
        <v/>
      </c>
      <c r="R172" s="79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38"/>
      <c r="T172" s="39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86" t="str">
        <f>IF(AND(A172="",A171&lt;&gt;"",COUNTIF(A173:$A$200,"&lt;&gt;")=0),"TOTAL",IF(A172="","",posicao_contratual!X172))</f>
        <v/>
      </c>
      <c r="V172" s="86" t="str">
        <f>IF(A172="","",posicao_contratual!X172)</f>
        <v/>
      </c>
      <c r="W172" s="13"/>
      <c r="X172" s="13"/>
      <c r="Y172" s="13"/>
      <c r="Z172" s="13"/>
      <c r="AA172" s="13"/>
      <c r="AB172" s="85" t="str">
        <f>IF(OR(A172="",posicao_contratual!E172="",posicao_contratual!J172=""),"",ROUND(MAX(posicao_contratual!E172-posicao_contratual!J172,0),2))</f>
        <v/>
      </c>
      <c r="AC172" s="79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47" t="str">
        <f>IF(A172="","",posicao_contratual!E172)</f>
        <v/>
      </c>
      <c r="AE172" s="147" t="str">
        <f>IF(A172="","",posicao_contratual!I172)</f>
        <v/>
      </c>
      <c r="AF172" s="147" t="str">
        <f>IF(A172="","",posicao_contratual!M172)</f>
        <v/>
      </c>
      <c r="AG172" s="147" t="str">
        <f>IF(A172="","",posicao_contratual!Q172)</f>
        <v/>
      </c>
      <c r="AH172" s="147" t="str">
        <f>IF(A172="","",posicao_contratual!U172)</f>
        <v/>
      </c>
      <c r="AI172" s="147" t="str">
        <f>IF(A172="","",posicao_contratual!G172)</f>
        <v/>
      </c>
      <c r="AJ172" s="147" t="str">
        <f>IF(A172="","",posicao_contratual!K172)</f>
        <v/>
      </c>
      <c r="AK172" s="147" t="str">
        <f>IF(A172="","",posicao_contratual!O172)</f>
        <v/>
      </c>
      <c r="AL172" s="147" t="str">
        <f>IF(A172="","",posicao_contratual!S172)</f>
        <v/>
      </c>
      <c r="AM172" s="147" t="str">
        <f>IF(A172="","",posicao_contratual!W172)</f>
        <v/>
      </c>
      <c r="AN172" s="148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1"/>
      <c r="B173" s="82" t="str">
        <f t="shared" si="30"/>
        <v/>
      </c>
      <c r="C173" s="83"/>
      <c r="D173" s="79" t="str">
        <f>IF(AND(A173="",A172&lt;&gt;"",COUNTIF(A174:$A$200,"&lt;&gt;")=0),ROUND(SUMIF($A$2:A172,"&lt;&gt;",$D$2:D172),2),IF(OR(A173="",B173="",C173=""),"",ROUND(B173*C173,2)))</f>
        <v/>
      </c>
      <c r="E173" s="84"/>
      <c r="F173" s="79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4"/>
      <c r="H173" s="79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4"/>
      <c r="J173" s="79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4"/>
      <c r="L173" s="79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5" t="str">
        <f>IF(OR(posicao_contratual!J173="",posicao_contratual!N173=""),"",ROUND(MAX(posicao_contratual!J173+posicao_contratual!H173-posicao_contratual!N173,0),2))</f>
        <v/>
      </c>
      <c r="N173" s="79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5" t="str">
        <f>IF(OR(posicao_contratual!N173="",posicao_contratual!R173=""),"",ROUND(MAX(posicao_contratual!N173+posicao_contratual!L173-posicao_contratual!R173,0),2))</f>
        <v/>
      </c>
      <c r="P173" s="79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5" t="str">
        <f>IF(OR(posicao_contratual!R173="",posicao_contratual!V173=""),"",ROUND(MAX(posicao_contratual!R173+posicao_contratual!P173-posicao_contratual!V173,0),2))</f>
        <v/>
      </c>
      <c r="R173" s="79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38"/>
      <c r="T173" s="39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86" t="str">
        <f>IF(AND(A173="",A172&lt;&gt;"",COUNTIF(A174:$A$200,"&lt;&gt;")=0),"TOTAL",IF(A173="","",posicao_contratual!X173))</f>
        <v/>
      </c>
      <c r="V173" s="86" t="str">
        <f>IF(A173="","",posicao_contratual!X173)</f>
        <v/>
      </c>
      <c r="W173" s="13"/>
      <c r="X173" s="13"/>
      <c r="Y173" s="13"/>
      <c r="Z173" s="13"/>
      <c r="AA173" s="13"/>
      <c r="AB173" s="85" t="str">
        <f>IF(OR(A173="",posicao_contratual!E173="",posicao_contratual!J173=""),"",ROUND(MAX(posicao_contratual!E173-posicao_contratual!J173,0),2))</f>
        <v/>
      </c>
      <c r="AC173" s="79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47" t="str">
        <f>IF(A173="","",posicao_contratual!E173)</f>
        <v/>
      </c>
      <c r="AE173" s="147" t="str">
        <f>IF(A173="","",posicao_contratual!I173)</f>
        <v/>
      </c>
      <c r="AF173" s="147" t="str">
        <f>IF(A173="","",posicao_contratual!M173)</f>
        <v/>
      </c>
      <c r="AG173" s="147" t="str">
        <f>IF(A173="","",posicao_contratual!Q173)</f>
        <v/>
      </c>
      <c r="AH173" s="147" t="str">
        <f>IF(A173="","",posicao_contratual!U173)</f>
        <v/>
      </c>
      <c r="AI173" s="147" t="str">
        <f>IF(A173="","",posicao_contratual!G173)</f>
        <v/>
      </c>
      <c r="AJ173" s="147" t="str">
        <f>IF(A173="","",posicao_contratual!K173)</f>
        <v/>
      </c>
      <c r="AK173" s="147" t="str">
        <f>IF(A173="","",posicao_contratual!O173)</f>
        <v/>
      </c>
      <c r="AL173" s="147" t="str">
        <f>IF(A173="","",posicao_contratual!S173)</f>
        <v/>
      </c>
      <c r="AM173" s="147" t="str">
        <f>IF(A173="","",posicao_contratual!W173)</f>
        <v/>
      </c>
      <c r="AN173" s="148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1"/>
      <c r="B174" s="82" t="str">
        <f t="shared" si="30"/>
        <v/>
      </c>
      <c r="C174" s="83"/>
      <c r="D174" s="79" t="str">
        <f>IF(AND(A174="",A173&lt;&gt;"",COUNTIF(A175:$A$200,"&lt;&gt;")=0),ROUND(SUMIF($A$2:A173,"&lt;&gt;",$D$2:D173),2),IF(OR(A174="",B174="",C174=""),"",ROUND(B174*C174,2)))</f>
        <v/>
      </c>
      <c r="E174" s="84"/>
      <c r="F174" s="79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4"/>
      <c r="H174" s="79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4"/>
      <c r="J174" s="79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4"/>
      <c r="L174" s="79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5" t="str">
        <f>IF(OR(posicao_contratual!J174="",posicao_contratual!N174=""),"",ROUND(MAX(posicao_contratual!J174+posicao_contratual!H174-posicao_contratual!N174,0),2))</f>
        <v/>
      </c>
      <c r="N174" s="79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5" t="str">
        <f>IF(OR(posicao_contratual!N174="",posicao_contratual!R174=""),"",ROUND(MAX(posicao_contratual!N174+posicao_contratual!L174-posicao_contratual!R174,0),2))</f>
        <v/>
      </c>
      <c r="P174" s="79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5" t="str">
        <f>IF(OR(posicao_contratual!R174="",posicao_contratual!V174=""),"",ROUND(MAX(posicao_contratual!R174+posicao_contratual!P174-posicao_contratual!V174,0),2))</f>
        <v/>
      </c>
      <c r="R174" s="79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38"/>
      <c r="T174" s="39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86" t="str">
        <f>IF(AND(A174="",A173&lt;&gt;"",COUNTIF(A175:$A$200,"&lt;&gt;")=0),"TOTAL",IF(A174="","",posicao_contratual!X174))</f>
        <v/>
      </c>
      <c r="V174" s="86" t="str">
        <f>IF(A174="","",posicao_contratual!X174)</f>
        <v/>
      </c>
      <c r="W174" s="13"/>
      <c r="X174" s="13"/>
      <c r="Y174" s="13"/>
      <c r="Z174" s="13"/>
      <c r="AA174" s="13"/>
      <c r="AB174" s="85" t="str">
        <f>IF(OR(A174="",posicao_contratual!E174="",posicao_contratual!J174=""),"",ROUND(MAX(posicao_contratual!E174-posicao_contratual!J174,0),2))</f>
        <v/>
      </c>
      <c r="AC174" s="79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47" t="str">
        <f>IF(A174="","",posicao_contratual!E174)</f>
        <v/>
      </c>
      <c r="AE174" s="147" t="str">
        <f>IF(A174="","",posicao_contratual!I174)</f>
        <v/>
      </c>
      <c r="AF174" s="147" t="str">
        <f>IF(A174="","",posicao_contratual!M174)</f>
        <v/>
      </c>
      <c r="AG174" s="147" t="str">
        <f>IF(A174="","",posicao_contratual!Q174)</f>
        <v/>
      </c>
      <c r="AH174" s="147" t="str">
        <f>IF(A174="","",posicao_contratual!U174)</f>
        <v/>
      </c>
      <c r="AI174" s="147" t="str">
        <f>IF(A174="","",posicao_contratual!G174)</f>
        <v/>
      </c>
      <c r="AJ174" s="147" t="str">
        <f>IF(A174="","",posicao_contratual!K174)</f>
        <v/>
      </c>
      <c r="AK174" s="147" t="str">
        <f>IF(A174="","",posicao_contratual!O174)</f>
        <v/>
      </c>
      <c r="AL174" s="147" t="str">
        <f>IF(A174="","",posicao_contratual!S174)</f>
        <v/>
      </c>
      <c r="AM174" s="147" t="str">
        <f>IF(A174="","",posicao_contratual!W174)</f>
        <v/>
      </c>
      <c r="AN174" s="148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1"/>
      <c r="B175" s="82" t="str">
        <f t="shared" si="30"/>
        <v/>
      </c>
      <c r="C175" s="83"/>
      <c r="D175" s="79" t="str">
        <f>IF(AND(A175="",A174&lt;&gt;"",COUNTIF(A176:$A$200,"&lt;&gt;")=0),ROUND(SUMIF($A$2:A174,"&lt;&gt;",$D$2:D174),2),IF(OR(A175="",B175="",C175=""),"",ROUND(B175*C175,2)))</f>
        <v/>
      </c>
      <c r="E175" s="84"/>
      <c r="F175" s="79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4"/>
      <c r="H175" s="79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4"/>
      <c r="J175" s="79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4"/>
      <c r="L175" s="79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5" t="str">
        <f>IF(OR(posicao_contratual!J175="",posicao_contratual!N175=""),"",ROUND(MAX(posicao_contratual!J175+posicao_contratual!H175-posicao_contratual!N175,0),2))</f>
        <v/>
      </c>
      <c r="N175" s="79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5" t="str">
        <f>IF(OR(posicao_contratual!N175="",posicao_contratual!R175=""),"",ROUND(MAX(posicao_contratual!N175+posicao_contratual!L175-posicao_contratual!R175,0),2))</f>
        <v/>
      </c>
      <c r="P175" s="79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5" t="str">
        <f>IF(OR(posicao_contratual!R175="",posicao_contratual!V175=""),"",ROUND(MAX(posicao_contratual!R175+posicao_contratual!P175-posicao_contratual!V175,0),2))</f>
        <v/>
      </c>
      <c r="R175" s="79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38"/>
      <c r="T175" s="39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86" t="str">
        <f>IF(AND(A175="",A174&lt;&gt;"",COUNTIF(A176:$A$200,"&lt;&gt;")=0),"TOTAL",IF(A175="","",posicao_contratual!X175))</f>
        <v/>
      </c>
      <c r="V175" s="86" t="str">
        <f>IF(A175="","",posicao_contratual!X175)</f>
        <v/>
      </c>
      <c r="W175" s="13"/>
      <c r="X175" s="13"/>
      <c r="Y175" s="13"/>
      <c r="Z175" s="13"/>
      <c r="AA175" s="13"/>
      <c r="AB175" s="85" t="str">
        <f>IF(OR(A175="",posicao_contratual!E175="",posicao_contratual!J175=""),"",ROUND(MAX(posicao_contratual!E175-posicao_contratual!J175,0),2))</f>
        <v/>
      </c>
      <c r="AC175" s="79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47" t="str">
        <f>IF(A175="","",posicao_contratual!E175)</f>
        <v/>
      </c>
      <c r="AE175" s="147" t="str">
        <f>IF(A175="","",posicao_contratual!I175)</f>
        <v/>
      </c>
      <c r="AF175" s="147" t="str">
        <f>IF(A175="","",posicao_contratual!M175)</f>
        <v/>
      </c>
      <c r="AG175" s="147" t="str">
        <f>IF(A175="","",posicao_contratual!Q175)</f>
        <v/>
      </c>
      <c r="AH175" s="147" t="str">
        <f>IF(A175="","",posicao_contratual!U175)</f>
        <v/>
      </c>
      <c r="AI175" s="147" t="str">
        <f>IF(A175="","",posicao_contratual!G175)</f>
        <v/>
      </c>
      <c r="AJ175" s="147" t="str">
        <f>IF(A175="","",posicao_contratual!K175)</f>
        <v/>
      </c>
      <c r="AK175" s="147" t="str">
        <f>IF(A175="","",posicao_contratual!O175)</f>
        <v/>
      </c>
      <c r="AL175" s="147" t="str">
        <f>IF(A175="","",posicao_contratual!S175)</f>
        <v/>
      </c>
      <c r="AM175" s="147" t="str">
        <f>IF(A175="","",posicao_contratual!W175)</f>
        <v/>
      </c>
      <c r="AN175" s="148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1"/>
      <c r="B176" s="82" t="str">
        <f t="shared" si="30"/>
        <v/>
      </c>
      <c r="C176" s="83"/>
      <c r="D176" s="79" t="str">
        <f>IF(AND(A176="",A175&lt;&gt;"",COUNTIF(A177:$A$200,"&lt;&gt;")=0),ROUND(SUMIF($A$2:A175,"&lt;&gt;",$D$2:D175),2),IF(OR(A176="",B176="",C176=""),"",ROUND(B176*C176,2)))</f>
        <v/>
      </c>
      <c r="E176" s="84"/>
      <c r="F176" s="79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4"/>
      <c r="H176" s="79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4"/>
      <c r="J176" s="79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4"/>
      <c r="L176" s="79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5" t="str">
        <f>IF(OR(posicao_contratual!J176="",posicao_contratual!N176=""),"",ROUND(MAX(posicao_contratual!J176+posicao_contratual!H176-posicao_contratual!N176,0),2))</f>
        <v/>
      </c>
      <c r="N176" s="79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5" t="str">
        <f>IF(OR(posicao_contratual!N176="",posicao_contratual!R176=""),"",ROUND(MAX(posicao_contratual!N176+posicao_contratual!L176-posicao_contratual!R176,0),2))</f>
        <v/>
      </c>
      <c r="P176" s="79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5" t="str">
        <f>IF(OR(posicao_contratual!R176="",posicao_contratual!V176=""),"",ROUND(MAX(posicao_contratual!R176+posicao_contratual!P176-posicao_contratual!V176,0),2))</f>
        <v/>
      </c>
      <c r="R176" s="79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38"/>
      <c r="T176" s="39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86" t="str">
        <f>IF(AND(A176="",A175&lt;&gt;"",COUNTIF(A177:$A$200,"&lt;&gt;")=0),"TOTAL",IF(A176="","",posicao_contratual!X176))</f>
        <v/>
      </c>
      <c r="V176" s="86" t="str">
        <f>IF(A176="","",posicao_contratual!X176)</f>
        <v/>
      </c>
      <c r="W176" s="13"/>
      <c r="X176" s="13"/>
      <c r="Y176" s="13"/>
      <c r="Z176" s="13"/>
      <c r="AA176" s="13"/>
      <c r="AB176" s="85" t="str">
        <f>IF(OR(A176="",posicao_contratual!E176="",posicao_contratual!J176=""),"",ROUND(MAX(posicao_contratual!E176-posicao_contratual!J176,0),2))</f>
        <v/>
      </c>
      <c r="AC176" s="79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47" t="str">
        <f>IF(A176="","",posicao_contratual!E176)</f>
        <v/>
      </c>
      <c r="AE176" s="147" t="str">
        <f>IF(A176="","",posicao_contratual!I176)</f>
        <v/>
      </c>
      <c r="AF176" s="147" t="str">
        <f>IF(A176="","",posicao_contratual!M176)</f>
        <v/>
      </c>
      <c r="AG176" s="147" t="str">
        <f>IF(A176="","",posicao_contratual!Q176)</f>
        <v/>
      </c>
      <c r="AH176" s="147" t="str">
        <f>IF(A176="","",posicao_contratual!U176)</f>
        <v/>
      </c>
      <c r="AI176" s="147" t="str">
        <f>IF(A176="","",posicao_contratual!G176)</f>
        <v/>
      </c>
      <c r="AJ176" s="147" t="str">
        <f>IF(A176="","",posicao_contratual!K176)</f>
        <v/>
      </c>
      <c r="AK176" s="147" t="str">
        <f>IF(A176="","",posicao_contratual!O176)</f>
        <v/>
      </c>
      <c r="AL176" s="147" t="str">
        <f>IF(A176="","",posicao_contratual!S176)</f>
        <v/>
      </c>
      <c r="AM176" s="147" t="str">
        <f>IF(A176="","",posicao_contratual!W176)</f>
        <v/>
      </c>
      <c r="AN176" s="148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1"/>
      <c r="B177" s="82" t="str">
        <f t="shared" si="30"/>
        <v/>
      </c>
      <c r="C177" s="83"/>
      <c r="D177" s="79" t="str">
        <f>IF(AND(A177="",A176&lt;&gt;"",COUNTIF(A178:$A$200,"&lt;&gt;")=0),ROUND(SUMIF($A$2:A176,"&lt;&gt;",$D$2:D176),2),IF(OR(A177="",B177="",C177=""),"",ROUND(B177*C177,2)))</f>
        <v/>
      </c>
      <c r="E177" s="84"/>
      <c r="F177" s="79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4"/>
      <c r="H177" s="79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4"/>
      <c r="J177" s="79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4"/>
      <c r="L177" s="79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5" t="str">
        <f>IF(OR(posicao_contratual!J177="",posicao_contratual!N177=""),"",ROUND(MAX(posicao_contratual!J177+posicao_contratual!H177-posicao_contratual!N177,0),2))</f>
        <v/>
      </c>
      <c r="N177" s="79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5" t="str">
        <f>IF(OR(posicao_contratual!N177="",posicao_contratual!R177=""),"",ROUND(MAX(posicao_contratual!N177+posicao_contratual!L177-posicao_contratual!R177,0),2))</f>
        <v/>
      </c>
      <c r="P177" s="79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5" t="str">
        <f>IF(OR(posicao_contratual!R177="",posicao_contratual!V177=""),"",ROUND(MAX(posicao_contratual!R177+posicao_contratual!P177-posicao_contratual!V177,0),2))</f>
        <v/>
      </c>
      <c r="R177" s="79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38"/>
      <c r="T177" s="39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86" t="str">
        <f>IF(AND(A177="",A176&lt;&gt;"",COUNTIF(A178:$A$200,"&lt;&gt;")=0),"TOTAL",IF(A177="","",posicao_contratual!X177))</f>
        <v/>
      </c>
      <c r="V177" s="86" t="str">
        <f>IF(A177="","",posicao_contratual!X177)</f>
        <v/>
      </c>
      <c r="W177" s="13"/>
      <c r="X177" s="13"/>
      <c r="Y177" s="13"/>
      <c r="Z177" s="13"/>
      <c r="AA177" s="13"/>
      <c r="AB177" s="85" t="str">
        <f>IF(OR(A177="",posicao_contratual!E177="",posicao_contratual!J177=""),"",ROUND(MAX(posicao_contratual!E177-posicao_contratual!J177,0),2))</f>
        <v/>
      </c>
      <c r="AC177" s="79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47" t="str">
        <f>IF(A177="","",posicao_contratual!E177)</f>
        <v/>
      </c>
      <c r="AE177" s="147" t="str">
        <f>IF(A177="","",posicao_contratual!I177)</f>
        <v/>
      </c>
      <c r="AF177" s="147" t="str">
        <f>IF(A177="","",posicao_contratual!M177)</f>
        <v/>
      </c>
      <c r="AG177" s="147" t="str">
        <f>IF(A177="","",posicao_contratual!Q177)</f>
        <v/>
      </c>
      <c r="AH177" s="147" t="str">
        <f>IF(A177="","",posicao_contratual!U177)</f>
        <v/>
      </c>
      <c r="AI177" s="147" t="str">
        <f>IF(A177="","",posicao_contratual!G177)</f>
        <v/>
      </c>
      <c r="AJ177" s="147" t="str">
        <f>IF(A177="","",posicao_contratual!K177)</f>
        <v/>
      </c>
      <c r="AK177" s="147" t="str">
        <f>IF(A177="","",posicao_contratual!O177)</f>
        <v/>
      </c>
      <c r="AL177" s="147" t="str">
        <f>IF(A177="","",posicao_contratual!S177)</f>
        <v/>
      </c>
      <c r="AM177" s="147" t="str">
        <f>IF(A177="","",posicao_contratual!W177)</f>
        <v/>
      </c>
      <c r="AN177" s="148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1"/>
      <c r="B178" s="82" t="str">
        <f t="shared" si="30"/>
        <v/>
      </c>
      <c r="C178" s="83"/>
      <c r="D178" s="79" t="str">
        <f>IF(AND(A178="",A177&lt;&gt;"",COUNTIF(A179:$A$200,"&lt;&gt;")=0),ROUND(SUMIF($A$2:A177,"&lt;&gt;",$D$2:D177),2),IF(OR(A178="",B178="",C178=""),"",ROUND(B178*C178,2)))</f>
        <v/>
      </c>
      <c r="E178" s="84"/>
      <c r="F178" s="79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4"/>
      <c r="H178" s="79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4"/>
      <c r="J178" s="79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4"/>
      <c r="L178" s="79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5" t="str">
        <f>IF(OR(posicao_contratual!J178="",posicao_contratual!N178=""),"",ROUND(MAX(posicao_contratual!J178+posicao_contratual!H178-posicao_contratual!N178,0),2))</f>
        <v/>
      </c>
      <c r="N178" s="79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5" t="str">
        <f>IF(OR(posicao_contratual!N178="",posicao_contratual!R178=""),"",ROUND(MAX(posicao_contratual!N178+posicao_contratual!L178-posicao_contratual!R178,0),2))</f>
        <v/>
      </c>
      <c r="P178" s="79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5" t="str">
        <f>IF(OR(posicao_contratual!R178="",posicao_contratual!V178=""),"",ROUND(MAX(posicao_contratual!R178+posicao_contratual!P178-posicao_contratual!V178,0),2))</f>
        <v/>
      </c>
      <c r="R178" s="79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38"/>
      <c r="T178" s="39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86" t="str">
        <f>IF(AND(A178="",A177&lt;&gt;"",COUNTIF(A179:$A$200,"&lt;&gt;")=0),"TOTAL",IF(A178="","",posicao_contratual!X178))</f>
        <v/>
      </c>
      <c r="V178" s="86" t="str">
        <f>IF(A178="","",posicao_contratual!X178)</f>
        <v/>
      </c>
      <c r="W178" s="13"/>
      <c r="X178" s="13"/>
      <c r="Y178" s="13"/>
      <c r="Z178" s="13"/>
      <c r="AA178" s="13"/>
      <c r="AB178" s="85" t="str">
        <f>IF(OR(A178="",posicao_contratual!E178="",posicao_contratual!J178=""),"",ROUND(MAX(posicao_contratual!E178-posicao_contratual!J178,0),2))</f>
        <v/>
      </c>
      <c r="AC178" s="79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47" t="str">
        <f>IF(A178="","",posicao_contratual!E178)</f>
        <v/>
      </c>
      <c r="AE178" s="147" t="str">
        <f>IF(A178="","",posicao_contratual!I178)</f>
        <v/>
      </c>
      <c r="AF178" s="147" t="str">
        <f>IF(A178="","",posicao_contratual!M178)</f>
        <v/>
      </c>
      <c r="AG178" s="147" t="str">
        <f>IF(A178="","",posicao_contratual!Q178)</f>
        <v/>
      </c>
      <c r="AH178" s="147" t="str">
        <f>IF(A178="","",posicao_contratual!U178)</f>
        <v/>
      </c>
      <c r="AI178" s="147" t="str">
        <f>IF(A178="","",posicao_contratual!G178)</f>
        <v/>
      </c>
      <c r="AJ178" s="147" t="str">
        <f>IF(A178="","",posicao_contratual!K178)</f>
        <v/>
      </c>
      <c r="AK178" s="147" t="str">
        <f>IF(A178="","",posicao_contratual!O178)</f>
        <v/>
      </c>
      <c r="AL178" s="147" t="str">
        <f>IF(A178="","",posicao_contratual!S178)</f>
        <v/>
      </c>
      <c r="AM178" s="147" t="str">
        <f>IF(A178="","",posicao_contratual!W178)</f>
        <v/>
      </c>
      <c r="AN178" s="148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1"/>
      <c r="B179" s="82" t="str">
        <f t="shared" si="30"/>
        <v/>
      </c>
      <c r="C179" s="83"/>
      <c r="D179" s="79" t="str">
        <f>IF(AND(A179="",A178&lt;&gt;"",COUNTIF(A180:$A$200,"&lt;&gt;")=0),ROUND(SUMIF($A$2:A178,"&lt;&gt;",$D$2:D178),2),IF(OR(A179="",B179="",C179=""),"",ROUND(B179*C179,2)))</f>
        <v/>
      </c>
      <c r="E179" s="84"/>
      <c r="F179" s="79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4"/>
      <c r="H179" s="79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4"/>
      <c r="J179" s="79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4"/>
      <c r="L179" s="79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5" t="str">
        <f>IF(OR(posicao_contratual!J179="",posicao_contratual!N179=""),"",ROUND(MAX(posicao_contratual!J179+posicao_contratual!H179-posicao_contratual!N179,0),2))</f>
        <v/>
      </c>
      <c r="N179" s="79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5" t="str">
        <f>IF(OR(posicao_contratual!N179="",posicao_contratual!R179=""),"",ROUND(MAX(posicao_contratual!N179+posicao_contratual!L179-posicao_contratual!R179,0),2))</f>
        <v/>
      </c>
      <c r="P179" s="79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5" t="str">
        <f>IF(OR(posicao_contratual!R179="",posicao_contratual!V179=""),"",ROUND(MAX(posicao_contratual!R179+posicao_contratual!P179-posicao_contratual!V179,0),2))</f>
        <v/>
      </c>
      <c r="R179" s="79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38"/>
      <c r="T179" s="39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86" t="str">
        <f>IF(AND(A179="",A178&lt;&gt;"",COUNTIF(A180:$A$200,"&lt;&gt;")=0),"TOTAL",IF(A179="","",posicao_contratual!X179))</f>
        <v/>
      </c>
      <c r="V179" s="86" t="str">
        <f>IF(A179="","",posicao_contratual!X179)</f>
        <v/>
      </c>
      <c r="W179" s="13"/>
      <c r="X179" s="13"/>
      <c r="Y179" s="13"/>
      <c r="Z179" s="13"/>
      <c r="AA179" s="13"/>
      <c r="AB179" s="85" t="str">
        <f>IF(OR(A179="",posicao_contratual!E179="",posicao_contratual!J179=""),"",ROUND(MAX(posicao_contratual!E179-posicao_contratual!J179,0),2))</f>
        <v/>
      </c>
      <c r="AC179" s="79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47" t="str">
        <f>IF(A179="","",posicao_contratual!E179)</f>
        <v/>
      </c>
      <c r="AE179" s="147" t="str">
        <f>IF(A179="","",posicao_contratual!I179)</f>
        <v/>
      </c>
      <c r="AF179" s="147" t="str">
        <f>IF(A179="","",posicao_contratual!M179)</f>
        <v/>
      </c>
      <c r="AG179" s="147" t="str">
        <f>IF(A179="","",posicao_contratual!Q179)</f>
        <v/>
      </c>
      <c r="AH179" s="147" t="str">
        <f>IF(A179="","",posicao_contratual!U179)</f>
        <v/>
      </c>
      <c r="AI179" s="147" t="str">
        <f>IF(A179="","",posicao_contratual!G179)</f>
        <v/>
      </c>
      <c r="AJ179" s="147" t="str">
        <f>IF(A179="","",posicao_contratual!K179)</f>
        <v/>
      </c>
      <c r="AK179" s="147" t="str">
        <f>IF(A179="","",posicao_contratual!O179)</f>
        <v/>
      </c>
      <c r="AL179" s="147" t="str">
        <f>IF(A179="","",posicao_contratual!S179)</f>
        <v/>
      </c>
      <c r="AM179" s="147" t="str">
        <f>IF(A179="","",posicao_contratual!W179)</f>
        <v/>
      </c>
      <c r="AN179" s="148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1"/>
      <c r="B180" s="82" t="str">
        <f t="shared" si="30"/>
        <v/>
      </c>
      <c r="C180" s="83"/>
      <c r="D180" s="79" t="str">
        <f>IF(AND(A180="",A179&lt;&gt;"",COUNTIF(A181:$A$200,"&lt;&gt;")=0),ROUND(SUMIF($A$2:A179,"&lt;&gt;",$D$2:D179),2),IF(OR(A180="",B180="",C180=""),"",ROUND(B180*C180,2)))</f>
        <v/>
      </c>
      <c r="E180" s="84"/>
      <c r="F180" s="79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4"/>
      <c r="H180" s="79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4"/>
      <c r="J180" s="79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4"/>
      <c r="L180" s="79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5" t="str">
        <f>IF(OR(posicao_contratual!J180="",posicao_contratual!N180=""),"",ROUND(MAX(posicao_contratual!J180+posicao_contratual!H180-posicao_contratual!N180,0),2))</f>
        <v/>
      </c>
      <c r="N180" s="79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5" t="str">
        <f>IF(OR(posicao_contratual!N180="",posicao_contratual!R180=""),"",ROUND(MAX(posicao_contratual!N180+posicao_contratual!L180-posicao_contratual!R180,0),2))</f>
        <v/>
      </c>
      <c r="P180" s="79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5" t="str">
        <f>IF(OR(posicao_contratual!R180="",posicao_contratual!V180=""),"",ROUND(MAX(posicao_contratual!R180+posicao_contratual!P180-posicao_contratual!V180,0),2))</f>
        <v/>
      </c>
      <c r="R180" s="79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38"/>
      <c r="T180" s="39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86" t="str">
        <f>IF(AND(A180="",A179&lt;&gt;"",COUNTIF(A181:$A$200,"&lt;&gt;")=0),"TOTAL",IF(A180="","",posicao_contratual!X180))</f>
        <v/>
      </c>
      <c r="V180" s="86" t="str">
        <f>IF(A180="","",posicao_contratual!X180)</f>
        <v/>
      </c>
      <c r="W180" s="13"/>
      <c r="X180" s="13"/>
      <c r="Y180" s="13"/>
      <c r="Z180" s="13"/>
      <c r="AA180" s="13"/>
      <c r="AB180" s="85" t="str">
        <f>IF(OR(A180="",posicao_contratual!E180="",posicao_contratual!J180=""),"",ROUND(MAX(posicao_contratual!E180-posicao_contratual!J180,0),2))</f>
        <v/>
      </c>
      <c r="AC180" s="79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47" t="str">
        <f>IF(A180="","",posicao_contratual!E180)</f>
        <v/>
      </c>
      <c r="AE180" s="147" t="str">
        <f>IF(A180="","",posicao_contratual!I180)</f>
        <v/>
      </c>
      <c r="AF180" s="147" t="str">
        <f>IF(A180="","",posicao_contratual!M180)</f>
        <v/>
      </c>
      <c r="AG180" s="147" t="str">
        <f>IF(A180="","",posicao_contratual!Q180)</f>
        <v/>
      </c>
      <c r="AH180" s="147" t="str">
        <f>IF(A180="","",posicao_contratual!U180)</f>
        <v/>
      </c>
      <c r="AI180" s="147" t="str">
        <f>IF(A180="","",posicao_contratual!G180)</f>
        <v/>
      </c>
      <c r="AJ180" s="147" t="str">
        <f>IF(A180="","",posicao_contratual!K180)</f>
        <v/>
      </c>
      <c r="AK180" s="147" t="str">
        <f>IF(A180="","",posicao_contratual!O180)</f>
        <v/>
      </c>
      <c r="AL180" s="147" t="str">
        <f>IF(A180="","",posicao_contratual!S180)</f>
        <v/>
      </c>
      <c r="AM180" s="147" t="str">
        <f>IF(A180="","",posicao_contratual!W180)</f>
        <v/>
      </c>
      <c r="AN180" s="148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1"/>
      <c r="B181" s="82" t="str">
        <f t="shared" si="30"/>
        <v/>
      </c>
      <c r="C181" s="83"/>
      <c r="D181" s="79" t="str">
        <f>IF(AND(A181="",A180&lt;&gt;"",COUNTIF(A182:$A$200,"&lt;&gt;")=0),ROUND(SUMIF($A$2:A180,"&lt;&gt;",$D$2:D180),2),IF(OR(A181="",B181="",C181=""),"",ROUND(B181*C181,2)))</f>
        <v/>
      </c>
      <c r="E181" s="84"/>
      <c r="F181" s="79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4"/>
      <c r="H181" s="79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4"/>
      <c r="J181" s="79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4"/>
      <c r="L181" s="79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5" t="str">
        <f>IF(OR(posicao_contratual!J181="",posicao_contratual!N181=""),"",ROUND(MAX(posicao_contratual!J181+posicao_contratual!H181-posicao_contratual!N181,0),2))</f>
        <v/>
      </c>
      <c r="N181" s="79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5" t="str">
        <f>IF(OR(posicao_contratual!N181="",posicao_contratual!R181=""),"",ROUND(MAX(posicao_contratual!N181+posicao_contratual!L181-posicao_contratual!R181,0),2))</f>
        <v/>
      </c>
      <c r="P181" s="79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5" t="str">
        <f>IF(OR(posicao_contratual!R181="",posicao_contratual!V181=""),"",ROUND(MAX(posicao_contratual!R181+posicao_contratual!P181-posicao_contratual!V181,0),2))</f>
        <v/>
      </c>
      <c r="R181" s="79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38"/>
      <c r="T181" s="39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86" t="str">
        <f>IF(AND(A181="",A180&lt;&gt;"",COUNTIF(A182:$A$200,"&lt;&gt;")=0),"TOTAL",IF(A181="","",posicao_contratual!X181))</f>
        <v/>
      </c>
      <c r="V181" s="86" t="str">
        <f>IF(A181="","",posicao_contratual!X181)</f>
        <v/>
      </c>
      <c r="W181" s="13"/>
      <c r="X181" s="13"/>
      <c r="Y181" s="13"/>
      <c r="Z181" s="13"/>
      <c r="AA181" s="13"/>
      <c r="AB181" s="85" t="str">
        <f>IF(OR(A181="",posicao_contratual!E181="",posicao_contratual!J181=""),"",ROUND(MAX(posicao_contratual!E181-posicao_contratual!J181,0),2))</f>
        <v/>
      </c>
      <c r="AC181" s="79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47" t="str">
        <f>IF(A181="","",posicao_contratual!E181)</f>
        <v/>
      </c>
      <c r="AE181" s="147" t="str">
        <f>IF(A181="","",posicao_contratual!I181)</f>
        <v/>
      </c>
      <c r="AF181" s="147" t="str">
        <f>IF(A181="","",posicao_contratual!M181)</f>
        <v/>
      </c>
      <c r="AG181" s="147" t="str">
        <f>IF(A181="","",posicao_contratual!Q181)</f>
        <v/>
      </c>
      <c r="AH181" s="147" t="str">
        <f>IF(A181="","",posicao_contratual!U181)</f>
        <v/>
      </c>
      <c r="AI181" s="147" t="str">
        <f>IF(A181="","",posicao_contratual!G181)</f>
        <v/>
      </c>
      <c r="AJ181" s="147" t="str">
        <f>IF(A181="","",posicao_contratual!K181)</f>
        <v/>
      </c>
      <c r="AK181" s="147" t="str">
        <f>IF(A181="","",posicao_contratual!O181)</f>
        <v/>
      </c>
      <c r="AL181" s="147" t="str">
        <f>IF(A181="","",posicao_contratual!S181)</f>
        <v/>
      </c>
      <c r="AM181" s="147" t="str">
        <f>IF(A181="","",posicao_contratual!W181)</f>
        <v/>
      </c>
      <c r="AN181" s="148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1"/>
      <c r="B182" s="82" t="str">
        <f t="shared" si="30"/>
        <v/>
      </c>
      <c r="C182" s="83"/>
      <c r="D182" s="79" t="str">
        <f>IF(AND(A182="",A181&lt;&gt;"",COUNTIF(A183:$A$200,"&lt;&gt;")=0),ROUND(SUMIF($A$2:A181,"&lt;&gt;",$D$2:D181),2),IF(OR(A182="",B182="",C182=""),"",ROUND(B182*C182,2)))</f>
        <v/>
      </c>
      <c r="E182" s="84"/>
      <c r="F182" s="79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4"/>
      <c r="H182" s="79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4"/>
      <c r="J182" s="79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4"/>
      <c r="L182" s="79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5" t="str">
        <f>IF(OR(posicao_contratual!J182="",posicao_contratual!N182=""),"",ROUND(MAX(posicao_contratual!J182+posicao_contratual!H182-posicao_contratual!N182,0),2))</f>
        <v/>
      </c>
      <c r="N182" s="79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5" t="str">
        <f>IF(OR(posicao_contratual!N182="",posicao_contratual!R182=""),"",ROUND(MAX(posicao_contratual!N182+posicao_contratual!L182-posicao_contratual!R182,0),2))</f>
        <v/>
      </c>
      <c r="P182" s="79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5" t="str">
        <f>IF(OR(posicao_contratual!R182="",posicao_contratual!V182=""),"",ROUND(MAX(posicao_contratual!R182+posicao_contratual!P182-posicao_contratual!V182,0),2))</f>
        <v/>
      </c>
      <c r="R182" s="79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38"/>
      <c r="T182" s="39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86" t="str">
        <f>IF(AND(A182="",A181&lt;&gt;"",COUNTIF(A183:$A$200,"&lt;&gt;")=0),"TOTAL",IF(A182="","",posicao_contratual!X182))</f>
        <v/>
      </c>
      <c r="V182" s="86" t="str">
        <f>IF(A182="","",posicao_contratual!X182)</f>
        <v/>
      </c>
      <c r="W182" s="13"/>
      <c r="X182" s="13"/>
      <c r="Y182" s="13"/>
      <c r="Z182" s="13"/>
      <c r="AA182" s="13"/>
      <c r="AB182" s="85" t="str">
        <f>IF(OR(A182="",posicao_contratual!E182="",posicao_contratual!J182=""),"",ROUND(MAX(posicao_contratual!E182-posicao_contratual!J182,0),2))</f>
        <v/>
      </c>
      <c r="AC182" s="79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47" t="str">
        <f>IF(A182="","",posicao_contratual!E182)</f>
        <v/>
      </c>
      <c r="AE182" s="147" t="str">
        <f>IF(A182="","",posicao_contratual!I182)</f>
        <v/>
      </c>
      <c r="AF182" s="147" t="str">
        <f>IF(A182="","",posicao_contratual!M182)</f>
        <v/>
      </c>
      <c r="AG182" s="147" t="str">
        <f>IF(A182="","",posicao_contratual!Q182)</f>
        <v/>
      </c>
      <c r="AH182" s="147" t="str">
        <f>IF(A182="","",posicao_contratual!U182)</f>
        <v/>
      </c>
      <c r="AI182" s="147" t="str">
        <f>IF(A182="","",posicao_contratual!G182)</f>
        <v/>
      </c>
      <c r="AJ182" s="147" t="str">
        <f>IF(A182="","",posicao_contratual!K182)</f>
        <v/>
      </c>
      <c r="AK182" s="147" t="str">
        <f>IF(A182="","",posicao_contratual!O182)</f>
        <v/>
      </c>
      <c r="AL182" s="147" t="str">
        <f>IF(A182="","",posicao_contratual!S182)</f>
        <v/>
      </c>
      <c r="AM182" s="147" t="str">
        <f>IF(A182="","",posicao_contratual!W182)</f>
        <v/>
      </c>
      <c r="AN182" s="148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1"/>
      <c r="B183" s="82" t="str">
        <f t="shared" si="30"/>
        <v/>
      </c>
      <c r="C183" s="83"/>
      <c r="D183" s="79" t="str">
        <f>IF(AND(A183="",A182&lt;&gt;"",COUNTIF(A184:$A$200,"&lt;&gt;")=0),ROUND(SUMIF($A$2:A182,"&lt;&gt;",$D$2:D182),2),IF(OR(A183="",B183="",C183=""),"",ROUND(B183*C183,2)))</f>
        <v/>
      </c>
      <c r="E183" s="84"/>
      <c r="F183" s="79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4"/>
      <c r="H183" s="79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4"/>
      <c r="J183" s="79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4"/>
      <c r="L183" s="79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5" t="str">
        <f>IF(OR(posicao_contratual!J183="",posicao_contratual!N183=""),"",ROUND(MAX(posicao_contratual!J183+posicao_contratual!H183-posicao_contratual!N183,0),2))</f>
        <v/>
      </c>
      <c r="N183" s="79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5" t="str">
        <f>IF(OR(posicao_contratual!N183="",posicao_contratual!R183=""),"",ROUND(MAX(posicao_contratual!N183+posicao_contratual!L183-posicao_contratual!R183,0),2))</f>
        <v/>
      </c>
      <c r="P183" s="79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5" t="str">
        <f>IF(OR(posicao_contratual!R183="",posicao_contratual!V183=""),"",ROUND(MAX(posicao_contratual!R183+posicao_contratual!P183-posicao_contratual!V183,0),2))</f>
        <v/>
      </c>
      <c r="R183" s="79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38"/>
      <c r="T183" s="39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86" t="str">
        <f>IF(AND(A183="",A182&lt;&gt;"",COUNTIF(A184:$A$200,"&lt;&gt;")=0),"TOTAL",IF(A183="","",posicao_contratual!X183))</f>
        <v/>
      </c>
      <c r="V183" s="86" t="str">
        <f>IF(A183="","",posicao_contratual!X183)</f>
        <v/>
      </c>
      <c r="W183" s="13"/>
      <c r="X183" s="13"/>
      <c r="Y183" s="13"/>
      <c r="Z183" s="13"/>
      <c r="AA183" s="13"/>
      <c r="AB183" s="85" t="str">
        <f>IF(OR(A183="",posicao_contratual!E183="",posicao_contratual!J183=""),"",ROUND(MAX(posicao_contratual!E183-posicao_contratual!J183,0),2))</f>
        <v/>
      </c>
      <c r="AC183" s="79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47" t="str">
        <f>IF(A183="","",posicao_contratual!E183)</f>
        <v/>
      </c>
      <c r="AE183" s="147" t="str">
        <f>IF(A183="","",posicao_contratual!I183)</f>
        <v/>
      </c>
      <c r="AF183" s="147" t="str">
        <f>IF(A183="","",posicao_contratual!M183)</f>
        <v/>
      </c>
      <c r="AG183" s="147" t="str">
        <f>IF(A183="","",posicao_contratual!Q183)</f>
        <v/>
      </c>
      <c r="AH183" s="147" t="str">
        <f>IF(A183="","",posicao_contratual!U183)</f>
        <v/>
      </c>
      <c r="AI183" s="147" t="str">
        <f>IF(A183="","",posicao_contratual!G183)</f>
        <v/>
      </c>
      <c r="AJ183" s="147" t="str">
        <f>IF(A183="","",posicao_contratual!K183)</f>
        <v/>
      </c>
      <c r="AK183" s="147" t="str">
        <f>IF(A183="","",posicao_contratual!O183)</f>
        <v/>
      </c>
      <c r="AL183" s="147" t="str">
        <f>IF(A183="","",posicao_contratual!S183)</f>
        <v/>
      </c>
      <c r="AM183" s="147" t="str">
        <f>IF(A183="","",posicao_contratual!W183)</f>
        <v/>
      </c>
      <c r="AN183" s="148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1"/>
      <c r="B184" s="82" t="str">
        <f t="shared" si="30"/>
        <v/>
      </c>
      <c r="C184" s="83"/>
      <c r="D184" s="79" t="str">
        <f>IF(AND(A184="",A183&lt;&gt;"",COUNTIF(A185:$A$200,"&lt;&gt;")=0),ROUND(SUMIF($A$2:A183,"&lt;&gt;",$D$2:D183),2),IF(OR(A184="",B184="",C184=""),"",ROUND(B184*C184,2)))</f>
        <v/>
      </c>
      <c r="E184" s="84"/>
      <c r="F184" s="79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4"/>
      <c r="H184" s="79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4"/>
      <c r="J184" s="79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4"/>
      <c r="L184" s="79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5" t="str">
        <f>IF(OR(posicao_contratual!J184="",posicao_contratual!N184=""),"",ROUND(MAX(posicao_contratual!J184+posicao_contratual!H184-posicao_contratual!N184,0),2))</f>
        <v/>
      </c>
      <c r="N184" s="79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5" t="str">
        <f>IF(OR(posicao_contratual!N184="",posicao_contratual!R184=""),"",ROUND(MAX(posicao_contratual!N184+posicao_contratual!L184-posicao_contratual!R184,0),2))</f>
        <v/>
      </c>
      <c r="P184" s="79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5" t="str">
        <f>IF(OR(posicao_contratual!R184="",posicao_contratual!V184=""),"",ROUND(MAX(posicao_contratual!R184+posicao_contratual!P184-posicao_contratual!V184,0),2))</f>
        <v/>
      </c>
      <c r="R184" s="79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38"/>
      <c r="T184" s="39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86" t="str">
        <f>IF(AND(A184="",A183&lt;&gt;"",COUNTIF(A185:$A$200,"&lt;&gt;")=0),"TOTAL",IF(A184="","",posicao_contratual!X184))</f>
        <v/>
      </c>
      <c r="V184" s="86" t="str">
        <f>IF(A184="","",posicao_contratual!X184)</f>
        <v/>
      </c>
      <c r="W184" s="13"/>
      <c r="X184" s="13"/>
      <c r="Y184" s="13"/>
      <c r="Z184" s="13"/>
      <c r="AA184" s="13"/>
      <c r="AB184" s="85" t="str">
        <f>IF(OR(A184="",posicao_contratual!E184="",posicao_contratual!J184=""),"",ROUND(MAX(posicao_contratual!E184-posicao_contratual!J184,0),2))</f>
        <v/>
      </c>
      <c r="AC184" s="79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47" t="str">
        <f>IF(A184="","",posicao_contratual!E184)</f>
        <v/>
      </c>
      <c r="AE184" s="147" t="str">
        <f>IF(A184="","",posicao_contratual!I184)</f>
        <v/>
      </c>
      <c r="AF184" s="147" t="str">
        <f>IF(A184="","",posicao_contratual!M184)</f>
        <v/>
      </c>
      <c r="AG184" s="147" t="str">
        <f>IF(A184="","",posicao_contratual!Q184)</f>
        <v/>
      </c>
      <c r="AH184" s="147" t="str">
        <f>IF(A184="","",posicao_contratual!U184)</f>
        <v/>
      </c>
      <c r="AI184" s="147" t="str">
        <f>IF(A184="","",posicao_contratual!G184)</f>
        <v/>
      </c>
      <c r="AJ184" s="147" t="str">
        <f>IF(A184="","",posicao_contratual!K184)</f>
        <v/>
      </c>
      <c r="AK184" s="147" t="str">
        <f>IF(A184="","",posicao_contratual!O184)</f>
        <v/>
      </c>
      <c r="AL184" s="147" t="str">
        <f>IF(A184="","",posicao_contratual!S184)</f>
        <v/>
      </c>
      <c r="AM184" s="147" t="str">
        <f>IF(A184="","",posicao_contratual!W184)</f>
        <v/>
      </c>
      <c r="AN184" s="148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1"/>
      <c r="B185" s="82" t="str">
        <f t="shared" si="30"/>
        <v/>
      </c>
      <c r="C185" s="83"/>
      <c r="D185" s="79" t="str">
        <f>IF(AND(A185="",A184&lt;&gt;"",COUNTIF(A186:$A$200,"&lt;&gt;")=0),ROUND(SUMIF($A$2:A184,"&lt;&gt;",$D$2:D184),2),IF(OR(A185="",B185="",C185=""),"",ROUND(B185*C185,2)))</f>
        <v/>
      </c>
      <c r="E185" s="84"/>
      <c r="F185" s="79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4"/>
      <c r="H185" s="79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4"/>
      <c r="J185" s="79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4"/>
      <c r="L185" s="79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5" t="str">
        <f>IF(OR(posicao_contratual!J185="",posicao_contratual!N185=""),"",ROUND(MAX(posicao_contratual!J185+posicao_contratual!H185-posicao_contratual!N185,0),2))</f>
        <v/>
      </c>
      <c r="N185" s="79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5" t="str">
        <f>IF(OR(posicao_contratual!N185="",posicao_contratual!R185=""),"",ROUND(MAX(posicao_contratual!N185+posicao_contratual!L185-posicao_contratual!R185,0),2))</f>
        <v/>
      </c>
      <c r="P185" s="79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5" t="str">
        <f>IF(OR(posicao_contratual!R185="",posicao_contratual!V185=""),"",ROUND(MAX(posicao_contratual!R185+posicao_contratual!P185-posicao_contratual!V185,0),2))</f>
        <v/>
      </c>
      <c r="R185" s="79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38"/>
      <c r="T185" s="39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86" t="str">
        <f>IF(AND(A185="",A184&lt;&gt;"",COUNTIF(A186:$A$200,"&lt;&gt;")=0),"TOTAL",IF(A185="","",posicao_contratual!X185))</f>
        <v/>
      </c>
      <c r="V185" s="86" t="str">
        <f>IF(A185="","",posicao_contratual!X185)</f>
        <v/>
      </c>
      <c r="W185" s="13"/>
      <c r="X185" s="13"/>
      <c r="Y185" s="13"/>
      <c r="Z185" s="13"/>
      <c r="AA185" s="13"/>
      <c r="AB185" s="85" t="str">
        <f>IF(OR(A185="",posicao_contratual!E185="",posicao_contratual!J185=""),"",ROUND(MAX(posicao_contratual!E185-posicao_contratual!J185,0),2))</f>
        <v/>
      </c>
      <c r="AC185" s="79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47" t="str">
        <f>IF(A185="","",posicao_contratual!E185)</f>
        <v/>
      </c>
      <c r="AE185" s="147" t="str">
        <f>IF(A185="","",posicao_contratual!I185)</f>
        <v/>
      </c>
      <c r="AF185" s="147" t="str">
        <f>IF(A185="","",posicao_contratual!M185)</f>
        <v/>
      </c>
      <c r="AG185" s="147" t="str">
        <f>IF(A185="","",posicao_contratual!Q185)</f>
        <v/>
      </c>
      <c r="AH185" s="147" t="str">
        <f>IF(A185="","",posicao_contratual!U185)</f>
        <v/>
      </c>
      <c r="AI185" s="147" t="str">
        <f>IF(A185="","",posicao_contratual!G185)</f>
        <v/>
      </c>
      <c r="AJ185" s="147" t="str">
        <f>IF(A185="","",posicao_contratual!K185)</f>
        <v/>
      </c>
      <c r="AK185" s="147" t="str">
        <f>IF(A185="","",posicao_contratual!O185)</f>
        <v/>
      </c>
      <c r="AL185" s="147" t="str">
        <f>IF(A185="","",posicao_contratual!S185)</f>
        <v/>
      </c>
      <c r="AM185" s="147" t="str">
        <f>IF(A185="","",posicao_contratual!W185)</f>
        <v/>
      </c>
      <c r="AN185" s="148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1"/>
      <c r="B186" s="82" t="str">
        <f t="shared" si="30"/>
        <v/>
      </c>
      <c r="C186" s="83"/>
      <c r="D186" s="79" t="str">
        <f>IF(AND(A186="",A185&lt;&gt;"",COUNTIF(A187:$A$200,"&lt;&gt;")=0),ROUND(SUMIF($A$2:A185,"&lt;&gt;",$D$2:D185),2),IF(OR(A186="",B186="",C186=""),"",ROUND(B186*C186,2)))</f>
        <v/>
      </c>
      <c r="E186" s="84"/>
      <c r="F186" s="79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4"/>
      <c r="H186" s="79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4"/>
      <c r="J186" s="79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4"/>
      <c r="L186" s="79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5" t="str">
        <f>IF(OR(posicao_contratual!J186="",posicao_contratual!N186=""),"",ROUND(MAX(posicao_contratual!J186+posicao_contratual!H186-posicao_contratual!N186,0),2))</f>
        <v/>
      </c>
      <c r="N186" s="79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5" t="str">
        <f>IF(OR(posicao_contratual!N186="",posicao_contratual!R186=""),"",ROUND(MAX(posicao_contratual!N186+posicao_contratual!L186-posicao_contratual!R186,0),2))</f>
        <v/>
      </c>
      <c r="P186" s="79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5" t="str">
        <f>IF(OR(posicao_contratual!R186="",posicao_contratual!V186=""),"",ROUND(MAX(posicao_contratual!R186+posicao_contratual!P186-posicao_contratual!V186,0),2))</f>
        <v/>
      </c>
      <c r="R186" s="79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38"/>
      <c r="T186" s="39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86" t="str">
        <f>IF(AND(A186="",A185&lt;&gt;"",COUNTIF(A187:$A$200,"&lt;&gt;")=0),"TOTAL",IF(A186="","",posicao_contratual!X186))</f>
        <v/>
      </c>
      <c r="V186" s="86" t="str">
        <f>IF(A186="","",posicao_contratual!X186)</f>
        <v/>
      </c>
      <c r="W186" s="13"/>
      <c r="X186" s="13"/>
      <c r="Y186" s="13"/>
      <c r="Z186" s="13"/>
      <c r="AA186" s="13"/>
      <c r="AB186" s="85" t="str">
        <f>IF(OR(A186="",posicao_contratual!E186="",posicao_contratual!J186=""),"",ROUND(MAX(posicao_contratual!E186-posicao_contratual!J186,0),2))</f>
        <v/>
      </c>
      <c r="AC186" s="79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47" t="str">
        <f>IF(A186="","",posicao_contratual!E186)</f>
        <v/>
      </c>
      <c r="AE186" s="147" t="str">
        <f>IF(A186="","",posicao_contratual!I186)</f>
        <v/>
      </c>
      <c r="AF186" s="147" t="str">
        <f>IF(A186="","",posicao_contratual!M186)</f>
        <v/>
      </c>
      <c r="AG186" s="147" t="str">
        <f>IF(A186="","",posicao_contratual!Q186)</f>
        <v/>
      </c>
      <c r="AH186" s="147" t="str">
        <f>IF(A186="","",posicao_contratual!U186)</f>
        <v/>
      </c>
      <c r="AI186" s="147" t="str">
        <f>IF(A186="","",posicao_contratual!G186)</f>
        <v/>
      </c>
      <c r="AJ186" s="147" t="str">
        <f>IF(A186="","",posicao_contratual!K186)</f>
        <v/>
      </c>
      <c r="AK186" s="147" t="str">
        <f>IF(A186="","",posicao_contratual!O186)</f>
        <v/>
      </c>
      <c r="AL186" s="147" t="str">
        <f>IF(A186="","",posicao_contratual!S186)</f>
        <v/>
      </c>
      <c r="AM186" s="147" t="str">
        <f>IF(A186="","",posicao_contratual!W186)</f>
        <v/>
      </c>
      <c r="AN186" s="148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1"/>
      <c r="B187" s="82" t="str">
        <f t="shared" si="30"/>
        <v/>
      </c>
      <c r="C187" s="83"/>
      <c r="D187" s="79" t="str">
        <f>IF(AND(A187="",A186&lt;&gt;"",COUNTIF(A188:$A$200,"&lt;&gt;")=0),ROUND(SUMIF($A$2:A186,"&lt;&gt;",$D$2:D186),2),IF(OR(A187="",B187="",C187=""),"",ROUND(B187*C187,2)))</f>
        <v/>
      </c>
      <c r="E187" s="84"/>
      <c r="F187" s="79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4"/>
      <c r="H187" s="79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4"/>
      <c r="J187" s="79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4"/>
      <c r="L187" s="79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5" t="str">
        <f>IF(OR(posicao_contratual!J187="",posicao_contratual!N187=""),"",ROUND(MAX(posicao_contratual!J187+posicao_contratual!H187-posicao_contratual!N187,0),2))</f>
        <v/>
      </c>
      <c r="N187" s="79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5" t="str">
        <f>IF(OR(posicao_contratual!N187="",posicao_contratual!R187=""),"",ROUND(MAX(posicao_contratual!N187+posicao_contratual!L187-posicao_contratual!R187,0),2))</f>
        <v/>
      </c>
      <c r="P187" s="79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5" t="str">
        <f>IF(OR(posicao_contratual!R187="",posicao_contratual!V187=""),"",ROUND(MAX(posicao_contratual!R187+posicao_contratual!P187-posicao_contratual!V187,0),2))</f>
        <v/>
      </c>
      <c r="R187" s="79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38"/>
      <c r="T187" s="39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86" t="str">
        <f>IF(AND(A187="",A186&lt;&gt;"",COUNTIF(A188:$A$200,"&lt;&gt;")=0),"TOTAL",IF(A187="","",posicao_contratual!X187))</f>
        <v/>
      </c>
      <c r="V187" s="86" t="str">
        <f>IF(A187="","",posicao_contratual!X187)</f>
        <v/>
      </c>
      <c r="W187" s="13"/>
      <c r="X187" s="13"/>
      <c r="Y187" s="13"/>
      <c r="Z187" s="13"/>
      <c r="AA187" s="13"/>
      <c r="AB187" s="85" t="str">
        <f>IF(OR(A187="",posicao_contratual!E187="",posicao_contratual!J187=""),"",ROUND(MAX(posicao_contratual!E187-posicao_contratual!J187,0),2))</f>
        <v/>
      </c>
      <c r="AC187" s="79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47" t="str">
        <f>IF(A187="","",posicao_contratual!E187)</f>
        <v/>
      </c>
      <c r="AE187" s="147" t="str">
        <f>IF(A187="","",posicao_contratual!I187)</f>
        <v/>
      </c>
      <c r="AF187" s="147" t="str">
        <f>IF(A187="","",posicao_contratual!M187)</f>
        <v/>
      </c>
      <c r="AG187" s="147" t="str">
        <f>IF(A187="","",posicao_contratual!Q187)</f>
        <v/>
      </c>
      <c r="AH187" s="147" t="str">
        <f>IF(A187="","",posicao_contratual!U187)</f>
        <v/>
      </c>
      <c r="AI187" s="147" t="str">
        <f>IF(A187="","",posicao_contratual!G187)</f>
        <v/>
      </c>
      <c r="AJ187" s="147" t="str">
        <f>IF(A187="","",posicao_contratual!K187)</f>
        <v/>
      </c>
      <c r="AK187" s="147" t="str">
        <f>IF(A187="","",posicao_contratual!O187)</f>
        <v/>
      </c>
      <c r="AL187" s="147" t="str">
        <f>IF(A187="","",posicao_contratual!S187)</f>
        <v/>
      </c>
      <c r="AM187" s="147" t="str">
        <f>IF(A187="","",posicao_contratual!W187)</f>
        <v/>
      </c>
      <c r="AN187" s="148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1"/>
      <c r="B188" s="82" t="str">
        <f t="shared" si="30"/>
        <v/>
      </c>
      <c r="C188" s="83"/>
      <c r="D188" s="79" t="str">
        <f>IF(AND(A188="",A187&lt;&gt;"",COUNTIF(A189:$A$200,"&lt;&gt;")=0),ROUND(SUMIF($A$2:A187,"&lt;&gt;",$D$2:D187),2),IF(OR(A188="",B188="",C188=""),"",ROUND(B188*C188,2)))</f>
        <v/>
      </c>
      <c r="E188" s="84"/>
      <c r="F188" s="79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4"/>
      <c r="H188" s="79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4"/>
      <c r="J188" s="79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4"/>
      <c r="L188" s="79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5" t="str">
        <f>IF(OR(posicao_contratual!J188="",posicao_contratual!N188=""),"",ROUND(MAX(posicao_contratual!J188+posicao_contratual!H188-posicao_contratual!N188,0),2))</f>
        <v/>
      </c>
      <c r="N188" s="79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5" t="str">
        <f>IF(OR(posicao_contratual!N188="",posicao_contratual!R188=""),"",ROUND(MAX(posicao_contratual!N188+posicao_contratual!L188-posicao_contratual!R188,0),2))</f>
        <v/>
      </c>
      <c r="P188" s="79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5" t="str">
        <f>IF(OR(posicao_contratual!R188="",posicao_contratual!V188=""),"",ROUND(MAX(posicao_contratual!R188+posicao_contratual!P188-posicao_contratual!V188,0),2))</f>
        <v/>
      </c>
      <c r="R188" s="79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38"/>
      <c r="T188" s="39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86" t="str">
        <f>IF(AND(A188="",A187&lt;&gt;"",COUNTIF(A189:$A$200,"&lt;&gt;")=0),"TOTAL",IF(A188="","",posicao_contratual!X188))</f>
        <v/>
      </c>
      <c r="V188" s="86" t="str">
        <f>IF(A188="","",posicao_contratual!X188)</f>
        <v/>
      </c>
      <c r="W188" s="13"/>
      <c r="X188" s="13"/>
      <c r="Y188" s="13"/>
      <c r="Z188" s="13"/>
      <c r="AA188" s="13"/>
      <c r="AB188" s="85" t="str">
        <f>IF(OR(A188="",posicao_contratual!E188="",posicao_contratual!J188=""),"",ROUND(MAX(posicao_contratual!E188-posicao_contratual!J188,0),2))</f>
        <v/>
      </c>
      <c r="AC188" s="79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47" t="str">
        <f>IF(A188="","",posicao_contratual!E188)</f>
        <v/>
      </c>
      <c r="AE188" s="147" t="str">
        <f>IF(A188="","",posicao_contratual!I188)</f>
        <v/>
      </c>
      <c r="AF188" s="147" t="str">
        <f>IF(A188="","",posicao_contratual!M188)</f>
        <v/>
      </c>
      <c r="AG188" s="147" t="str">
        <f>IF(A188="","",posicao_contratual!Q188)</f>
        <v/>
      </c>
      <c r="AH188" s="147" t="str">
        <f>IF(A188="","",posicao_contratual!U188)</f>
        <v/>
      </c>
      <c r="AI188" s="147" t="str">
        <f>IF(A188="","",posicao_contratual!G188)</f>
        <v/>
      </c>
      <c r="AJ188" s="147" t="str">
        <f>IF(A188="","",posicao_contratual!K188)</f>
        <v/>
      </c>
      <c r="AK188" s="147" t="str">
        <f>IF(A188="","",posicao_contratual!O188)</f>
        <v/>
      </c>
      <c r="AL188" s="147" t="str">
        <f>IF(A188="","",posicao_contratual!S188)</f>
        <v/>
      </c>
      <c r="AM188" s="147" t="str">
        <f>IF(A188="","",posicao_contratual!W188)</f>
        <v/>
      </c>
      <c r="AN188" s="148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1"/>
      <c r="B189" s="82" t="str">
        <f t="shared" si="30"/>
        <v/>
      </c>
      <c r="C189" s="83"/>
      <c r="D189" s="79" t="str">
        <f>IF(AND(A189="",A188&lt;&gt;"",COUNTIF(A190:$A$200,"&lt;&gt;")=0),ROUND(SUMIF($A$2:A188,"&lt;&gt;",$D$2:D188),2),IF(OR(A189="",B189="",C189=""),"",ROUND(B189*C189,2)))</f>
        <v/>
      </c>
      <c r="E189" s="84"/>
      <c r="F189" s="79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4"/>
      <c r="H189" s="79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4"/>
      <c r="J189" s="79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4"/>
      <c r="L189" s="79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5" t="str">
        <f>IF(OR(posicao_contratual!J189="",posicao_contratual!N189=""),"",ROUND(MAX(posicao_contratual!J189+posicao_contratual!H189-posicao_contratual!N189,0),2))</f>
        <v/>
      </c>
      <c r="N189" s="79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5" t="str">
        <f>IF(OR(posicao_contratual!N189="",posicao_contratual!R189=""),"",ROUND(MAX(posicao_contratual!N189+posicao_contratual!L189-posicao_contratual!R189,0),2))</f>
        <v/>
      </c>
      <c r="P189" s="79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5" t="str">
        <f>IF(OR(posicao_contratual!R189="",posicao_contratual!V189=""),"",ROUND(MAX(posicao_contratual!R189+posicao_contratual!P189-posicao_contratual!V189,0),2))</f>
        <v/>
      </c>
      <c r="R189" s="79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38"/>
      <c r="T189" s="39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86" t="str">
        <f>IF(AND(A189="",A188&lt;&gt;"",COUNTIF(A190:$A$200,"&lt;&gt;")=0),"TOTAL",IF(A189="","",posicao_contratual!X189))</f>
        <v/>
      </c>
      <c r="V189" s="86" t="str">
        <f>IF(A189="","",posicao_contratual!X189)</f>
        <v/>
      </c>
      <c r="W189" s="13"/>
      <c r="X189" s="13"/>
      <c r="Y189" s="13"/>
      <c r="Z189" s="13"/>
      <c r="AA189" s="13"/>
      <c r="AB189" s="85" t="str">
        <f>IF(OR(A189="",posicao_contratual!E189="",posicao_contratual!J189=""),"",ROUND(MAX(posicao_contratual!E189-posicao_contratual!J189,0),2))</f>
        <v/>
      </c>
      <c r="AC189" s="79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47" t="str">
        <f>IF(A189="","",posicao_contratual!E189)</f>
        <v/>
      </c>
      <c r="AE189" s="147" t="str">
        <f>IF(A189="","",posicao_contratual!I189)</f>
        <v/>
      </c>
      <c r="AF189" s="147" t="str">
        <f>IF(A189="","",posicao_contratual!M189)</f>
        <v/>
      </c>
      <c r="AG189" s="147" t="str">
        <f>IF(A189="","",posicao_contratual!Q189)</f>
        <v/>
      </c>
      <c r="AH189" s="147" t="str">
        <f>IF(A189="","",posicao_contratual!U189)</f>
        <v/>
      </c>
      <c r="AI189" s="147" t="str">
        <f>IF(A189="","",posicao_contratual!G189)</f>
        <v/>
      </c>
      <c r="AJ189" s="147" t="str">
        <f>IF(A189="","",posicao_contratual!K189)</f>
        <v/>
      </c>
      <c r="AK189" s="147" t="str">
        <f>IF(A189="","",posicao_contratual!O189)</f>
        <v/>
      </c>
      <c r="AL189" s="147" t="str">
        <f>IF(A189="","",posicao_contratual!S189)</f>
        <v/>
      </c>
      <c r="AM189" s="147" t="str">
        <f>IF(A189="","",posicao_contratual!W189)</f>
        <v/>
      </c>
      <c r="AN189" s="148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1"/>
      <c r="B190" s="82" t="str">
        <f t="shared" si="30"/>
        <v/>
      </c>
      <c r="C190" s="83"/>
      <c r="D190" s="79" t="str">
        <f>IF(AND(A190="",A189&lt;&gt;"",COUNTIF(A191:$A$200,"&lt;&gt;")=0),ROUND(SUMIF($A$2:A189,"&lt;&gt;",$D$2:D189),2),IF(OR(A190="",B190="",C190=""),"",ROUND(B190*C190,2)))</f>
        <v/>
      </c>
      <c r="E190" s="84"/>
      <c r="F190" s="79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4"/>
      <c r="H190" s="79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4"/>
      <c r="J190" s="79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4"/>
      <c r="L190" s="79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5" t="str">
        <f>IF(OR(posicao_contratual!J190="",posicao_contratual!N190=""),"",ROUND(MAX(posicao_contratual!J190+posicao_contratual!H190-posicao_contratual!N190,0),2))</f>
        <v/>
      </c>
      <c r="N190" s="79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5" t="str">
        <f>IF(OR(posicao_contratual!N190="",posicao_contratual!R190=""),"",ROUND(MAX(posicao_contratual!N190+posicao_contratual!L190-posicao_contratual!R190,0),2))</f>
        <v/>
      </c>
      <c r="P190" s="79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5" t="str">
        <f>IF(OR(posicao_contratual!R190="",posicao_contratual!V190=""),"",ROUND(MAX(posicao_contratual!R190+posicao_contratual!P190-posicao_contratual!V190,0),2))</f>
        <v/>
      </c>
      <c r="R190" s="79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38"/>
      <c r="T190" s="39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86" t="str">
        <f>IF(AND(A190="",A189&lt;&gt;"",COUNTIF(A191:$A$200,"&lt;&gt;")=0),"TOTAL",IF(A190="","",posicao_contratual!X190))</f>
        <v/>
      </c>
      <c r="V190" s="86" t="str">
        <f>IF(A190="","",posicao_contratual!X190)</f>
        <v/>
      </c>
      <c r="W190" s="13"/>
      <c r="X190" s="13"/>
      <c r="Y190" s="13"/>
      <c r="Z190" s="13"/>
      <c r="AA190" s="13"/>
      <c r="AB190" s="85" t="str">
        <f>IF(OR(A190="",posicao_contratual!E190="",posicao_contratual!J190=""),"",ROUND(MAX(posicao_contratual!E190-posicao_contratual!J190,0),2))</f>
        <v/>
      </c>
      <c r="AC190" s="79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47" t="str">
        <f>IF(A190="","",posicao_contratual!E190)</f>
        <v/>
      </c>
      <c r="AE190" s="147" t="str">
        <f>IF(A190="","",posicao_contratual!I190)</f>
        <v/>
      </c>
      <c r="AF190" s="147" t="str">
        <f>IF(A190="","",posicao_contratual!M190)</f>
        <v/>
      </c>
      <c r="AG190" s="147" t="str">
        <f>IF(A190="","",posicao_contratual!Q190)</f>
        <v/>
      </c>
      <c r="AH190" s="147" t="str">
        <f>IF(A190="","",posicao_contratual!U190)</f>
        <v/>
      </c>
      <c r="AI190" s="147" t="str">
        <f>IF(A190="","",posicao_contratual!G190)</f>
        <v/>
      </c>
      <c r="AJ190" s="147" t="str">
        <f>IF(A190="","",posicao_contratual!K190)</f>
        <v/>
      </c>
      <c r="AK190" s="147" t="str">
        <f>IF(A190="","",posicao_contratual!O190)</f>
        <v/>
      </c>
      <c r="AL190" s="147" t="str">
        <f>IF(A190="","",posicao_contratual!S190)</f>
        <v/>
      </c>
      <c r="AM190" s="147" t="str">
        <f>IF(A190="","",posicao_contratual!W190)</f>
        <v/>
      </c>
      <c r="AN190" s="148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1"/>
      <c r="B191" s="82" t="str">
        <f t="shared" si="30"/>
        <v/>
      </c>
      <c r="C191" s="83"/>
      <c r="D191" s="79" t="str">
        <f>IF(AND(A191="",A190&lt;&gt;"",COUNTIF(A192:$A$200,"&lt;&gt;")=0),ROUND(SUMIF($A$2:A190,"&lt;&gt;",$D$2:D190),2),IF(OR(A191="",B191="",C191=""),"",ROUND(B191*C191,2)))</f>
        <v/>
      </c>
      <c r="E191" s="84"/>
      <c r="F191" s="79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4"/>
      <c r="H191" s="79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4"/>
      <c r="J191" s="79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4"/>
      <c r="L191" s="79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5" t="str">
        <f>IF(OR(posicao_contratual!J191="",posicao_contratual!N191=""),"",ROUND(MAX(posicao_contratual!J191+posicao_contratual!H191-posicao_contratual!N191,0),2))</f>
        <v/>
      </c>
      <c r="N191" s="79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5" t="str">
        <f>IF(OR(posicao_contratual!N191="",posicao_contratual!R191=""),"",ROUND(MAX(posicao_contratual!N191+posicao_contratual!L191-posicao_contratual!R191,0),2))</f>
        <v/>
      </c>
      <c r="P191" s="79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5" t="str">
        <f>IF(OR(posicao_contratual!R191="",posicao_contratual!V191=""),"",ROUND(MAX(posicao_contratual!R191+posicao_contratual!P191-posicao_contratual!V191,0),2))</f>
        <v/>
      </c>
      <c r="R191" s="79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38"/>
      <c r="T191" s="39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86" t="str">
        <f>IF(AND(A191="",A190&lt;&gt;"",COUNTIF(A192:$A$200,"&lt;&gt;")=0),"TOTAL",IF(A191="","",posicao_contratual!X191))</f>
        <v/>
      </c>
      <c r="V191" s="86" t="str">
        <f>IF(A191="","",posicao_contratual!X191)</f>
        <v/>
      </c>
      <c r="W191" s="13"/>
      <c r="X191" s="13"/>
      <c r="Y191" s="13"/>
      <c r="Z191" s="13"/>
      <c r="AA191" s="13"/>
      <c r="AB191" s="85" t="str">
        <f>IF(OR(A191="",posicao_contratual!E191="",posicao_contratual!J191=""),"",ROUND(MAX(posicao_contratual!E191-posicao_contratual!J191,0),2))</f>
        <v/>
      </c>
      <c r="AC191" s="79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47" t="str">
        <f>IF(A191="","",posicao_contratual!E191)</f>
        <v/>
      </c>
      <c r="AE191" s="147" t="str">
        <f>IF(A191="","",posicao_contratual!I191)</f>
        <v/>
      </c>
      <c r="AF191" s="147" t="str">
        <f>IF(A191="","",posicao_contratual!M191)</f>
        <v/>
      </c>
      <c r="AG191" s="147" t="str">
        <f>IF(A191="","",posicao_contratual!Q191)</f>
        <v/>
      </c>
      <c r="AH191" s="147" t="str">
        <f>IF(A191="","",posicao_contratual!U191)</f>
        <v/>
      </c>
      <c r="AI191" s="147" t="str">
        <f>IF(A191="","",posicao_contratual!G191)</f>
        <v/>
      </c>
      <c r="AJ191" s="147" t="str">
        <f>IF(A191="","",posicao_contratual!K191)</f>
        <v/>
      </c>
      <c r="AK191" s="147" t="str">
        <f>IF(A191="","",posicao_contratual!O191)</f>
        <v/>
      </c>
      <c r="AL191" s="147" t="str">
        <f>IF(A191="","",posicao_contratual!S191)</f>
        <v/>
      </c>
      <c r="AM191" s="147" t="str">
        <f>IF(A191="","",posicao_contratual!W191)</f>
        <v/>
      </c>
      <c r="AN191" s="148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1"/>
      <c r="B192" s="82" t="str">
        <f t="shared" si="30"/>
        <v/>
      </c>
      <c r="C192" s="83"/>
      <c r="D192" s="79" t="str">
        <f>IF(AND(A192="",A191&lt;&gt;"",COUNTIF(A193:$A$200,"&lt;&gt;")=0),ROUND(SUMIF($A$2:A191,"&lt;&gt;",$D$2:D191),2),IF(OR(A192="",B192="",C192=""),"",ROUND(B192*C192,2)))</f>
        <v/>
      </c>
      <c r="E192" s="84"/>
      <c r="F192" s="79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4"/>
      <c r="H192" s="79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4"/>
      <c r="J192" s="79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4"/>
      <c r="L192" s="79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5" t="str">
        <f>IF(OR(posicao_contratual!J192="",posicao_contratual!N192=""),"",ROUND(MAX(posicao_contratual!J192+posicao_contratual!H192-posicao_contratual!N192,0),2))</f>
        <v/>
      </c>
      <c r="N192" s="79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5" t="str">
        <f>IF(OR(posicao_contratual!N192="",posicao_contratual!R192=""),"",ROUND(MAX(posicao_contratual!N192+posicao_contratual!L192-posicao_contratual!R192,0),2))</f>
        <v/>
      </c>
      <c r="P192" s="79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5" t="str">
        <f>IF(OR(posicao_contratual!R192="",posicao_contratual!V192=""),"",ROUND(MAX(posicao_contratual!R192+posicao_contratual!P192-posicao_contratual!V192,0),2))</f>
        <v/>
      </c>
      <c r="R192" s="79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38"/>
      <c r="T192" s="39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86" t="str">
        <f>IF(AND(A192="",A191&lt;&gt;"",COUNTIF(A193:$A$200,"&lt;&gt;")=0),"TOTAL",IF(A192="","",posicao_contratual!X192))</f>
        <v/>
      </c>
      <c r="V192" s="86" t="str">
        <f>IF(A192="","",posicao_contratual!X192)</f>
        <v/>
      </c>
      <c r="W192" s="13"/>
      <c r="X192" s="13"/>
      <c r="Y192" s="13"/>
      <c r="Z192" s="13"/>
      <c r="AA192" s="13"/>
      <c r="AB192" s="85" t="str">
        <f>IF(OR(A192="",posicao_contratual!E192="",posicao_contratual!J192=""),"",ROUND(MAX(posicao_contratual!E192-posicao_contratual!J192,0),2))</f>
        <v/>
      </c>
      <c r="AC192" s="79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47" t="str">
        <f>IF(A192="","",posicao_contratual!E192)</f>
        <v/>
      </c>
      <c r="AE192" s="147" t="str">
        <f>IF(A192="","",posicao_contratual!I192)</f>
        <v/>
      </c>
      <c r="AF192" s="147" t="str">
        <f>IF(A192="","",posicao_contratual!M192)</f>
        <v/>
      </c>
      <c r="AG192" s="147" t="str">
        <f>IF(A192="","",posicao_contratual!Q192)</f>
        <v/>
      </c>
      <c r="AH192" s="147" t="str">
        <f>IF(A192="","",posicao_contratual!U192)</f>
        <v/>
      </c>
      <c r="AI192" s="147" t="str">
        <f>IF(A192="","",posicao_contratual!G192)</f>
        <v/>
      </c>
      <c r="AJ192" s="147" t="str">
        <f>IF(A192="","",posicao_contratual!K192)</f>
        <v/>
      </c>
      <c r="AK192" s="147" t="str">
        <f>IF(A192="","",posicao_contratual!O192)</f>
        <v/>
      </c>
      <c r="AL192" s="147" t="str">
        <f>IF(A192="","",posicao_contratual!S192)</f>
        <v/>
      </c>
      <c r="AM192" s="147" t="str">
        <f>IF(A192="","",posicao_contratual!W192)</f>
        <v/>
      </c>
      <c r="AN192" s="148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1"/>
      <c r="B193" s="82" t="str">
        <f t="shared" si="30"/>
        <v/>
      </c>
      <c r="C193" s="83"/>
      <c r="D193" s="79" t="str">
        <f>IF(AND(A193="",A192&lt;&gt;"",COUNTIF(A194:$A$200,"&lt;&gt;")=0),ROUND(SUMIF($A$2:A192,"&lt;&gt;",$D$2:D192),2),IF(OR(A193="",B193="",C193=""),"",ROUND(B193*C193,2)))</f>
        <v/>
      </c>
      <c r="E193" s="84"/>
      <c r="F193" s="79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4"/>
      <c r="H193" s="79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4"/>
      <c r="J193" s="79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4"/>
      <c r="L193" s="79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5" t="str">
        <f>IF(OR(posicao_contratual!J193="",posicao_contratual!N193=""),"",ROUND(MAX(posicao_contratual!J193+posicao_contratual!H193-posicao_contratual!N193,0),2))</f>
        <v/>
      </c>
      <c r="N193" s="79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5" t="str">
        <f>IF(OR(posicao_contratual!N193="",posicao_contratual!R193=""),"",ROUND(MAX(posicao_contratual!N193+posicao_contratual!L193-posicao_contratual!R193,0),2))</f>
        <v/>
      </c>
      <c r="P193" s="79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5" t="str">
        <f>IF(OR(posicao_contratual!R193="",posicao_contratual!V193=""),"",ROUND(MAX(posicao_contratual!R193+posicao_contratual!P193-posicao_contratual!V193,0),2))</f>
        <v/>
      </c>
      <c r="R193" s="79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38"/>
      <c r="T193" s="39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86" t="str">
        <f>IF(AND(A193="",A192&lt;&gt;"",COUNTIF(A194:$A$200,"&lt;&gt;")=0),"TOTAL",IF(A193="","",posicao_contratual!X193))</f>
        <v/>
      </c>
      <c r="V193" s="86" t="str">
        <f>IF(A193="","",posicao_contratual!X193)</f>
        <v/>
      </c>
      <c r="W193" s="13"/>
      <c r="X193" s="13"/>
      <c r="Y193" s="13"/>
      <c r="Z193" s="13"/>
      <c r="AA193" s="13"/>
      <c r="AB193" s="85" t="str">
        <f>IF(OR(A193="",posicao_contratual!E193="",posicao_contratual!J193=""),"",ROUND(MAX(posicao_contratual!E193-posicao_contratual!J193,0),2))</f>
        <v/>
      </c>
      <c r="AC193" s="79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47" t="str">
        <f>IF(A193="","",posicao_contratual!E193)</f>
        <v/>
      </c>
      <c r="AE193" s="147" t="str">
        <f>IF(A193="","",posicao_contratual!I193)</f>
        <v/>
      </c>
      <c r="AF193" s="147" t="str">
        <f>IF(A193="","",posicao_contratual!M193)</f>
        <v/>
      </c>
      <c r="AG193" s="147" t="str">
        <f>IF(A193="","",posicao_contratual!Q193)</f>
        <v/>
      </c>
      <c r="AH193" s="147" t="str">
        <f>IF(A193="","",posicao_contratual!U193)</f>
        <v/>
      </c>
      <c r="AI193" s="147" t="str">
        <f>IF(A193="","",posicao_contratual!G193)</f>
        <v/>
      </c>
      <c r="AJ193" s="147" t="str">
        <f>IF(A193="","",posicao_contratual!K193)</f>
        <v/>
      </c>
      <c r="AK193" s="147" t="str">
        <f>IF(A193="","",posicao_contratual!O193)</f>
        <v/>
      </c>
      <c r="AL193" s="147" t="str">
        <f>IF(A193="","",posicao_contratual!S193)</f>
        <v/>
      </c>
      <c r="AM193" s="147" t="str">
        <f>IF(A193="","",posicao_contratual!W193)</f>
        <v/>
      </c>
      <c r="AN193" s="148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1"/>
      <c r="B194" s="82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3"/>
      <c r="D194" s="79" t="str">
        <f>IF(AND(A194="",A193&lt;&gt;"",COUNTIF(A195:$A$200,"&lt;&gt;")=0),ROUND(SUMIF($A$2:A193,"&lt;&gt;",$D$2:D193),2),IF(OR(A194="",B194="",C194=""),"",ROUND(B194*C194,2)))</f>
        <v/>
      </c>
      <c r="E194" s="84"/>
      <c r="F194" s="79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4"/>
      <c r="H194" s="79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4"/>
      <c r="J194" s="79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4"/>
      <c r="L194" s="79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5" t="str">
        <f>IF(OR(posicao_contratual!J194="",posicao_contratual!N194=""),"",ROUND(MAX(posicao_contratual!J194+posicao_contratual!H194-posicao_contratual!N194,0),2))</f>
        <v/>
      </c>
      <c r="N194" s="79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5" t="str">
        <f>IF(OR(posicao_contratual!N194="",posicao_contratual!R194=""),"",ROUND(MAX(posicao_contratual!N194+posicao_contratual!L194-posicao_contratual!R194,0),2))</f>
        <v/>
      </c>
      <c r="P194" s="79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5" t="str">
        <f>IF(OR(posicao_contratual!R194="",posicao_contratual!V194=""),"",ROUND(MAX(posicao_contratual!R194+posicao_contratual!P194-posicao_contratual!V194,0),2))</f>
        <v/>
      </c>
      <c r="R194" s="79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38"/>
      <c r="T194" s="39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86" t="str">
        <f>IF(AND(A194="",A193&lt;&gt;"",COUNTIF(A195:$A$200,"&lt;&gt;")=0),"TOTAL",IF(A194="","",posicao_contratual!X194))</f>
        <v/>
      </c>
      <c r="V194" s="86" t="str">
        <f>IF(A194="","",posicao_contratual!X194)</f>
        <v/>
      </c>
      <c r="W194" s="13"/>
      <c r="X194" s="13"/>
      <c r="Y194" s="13"/>
      <c r="Z194" s="13"/>
      <c r="AA194" s="13"/>
      <c r="AB194" s="85" t="str">
        <f>IF(OR(A194="",posicao_contratual!E194="",posicao_contratual!J194=""),"",ROUND(MAX(posicao_contratual!E194-posicao_contratual!J194,0),2))</f>
        <v/>
      </c>
      <c r="AC194" s="79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47" t="str">
        <f>IF(A194="","",posicao_contratual!E194)</f>
        <v/>
      </c>
      <c r="AE194" s="147" t="str">
        <f>IF(A194="","",posicao_contratual!I194)</f>
        <v/>
      </c>
      <c r="AF194" s="147" t="str">
        <f>IF(A194="","",posicao_contratual!M194)</f>
        <v/>
      </c>
      <c r="AG194" s="147" t="str">
        <f>IF(A194="","",posicao_contratual!Q194)</f>
        <v/>
      </c>
      <c r="AH194" s="147" t="str">
        <f>IF(A194="","",posicao_contratual!U194)</f>
        <v/>
      </c>
      <c r="AI194" s="147" t="str">
        <f>IF(A194="","",posicao_contratual!G194)</f>
        <v/>
      </c>
      <c r="AJ194" s="147" t="str">
        <f>IF(A194="","",posicao_contratual!K194)</f>
        <v/>
      </c>
      <c r="AK194" s="147" t="str">
        <f>IF(A194="","",posicao_contratual!O194)</f>
        <v/>
      </c>
      <c r="AL194" s="147" t="str">
        <f>IF(A194="","",posicao_contratual!S194)</f>
        <v/>
      </c>
      <c r="AM194" s="147" t="str">
        <f>IF(A194="","",posicao_contratual!W194)</f>
        <v/>
      </c>
      <c r="AN194" s="148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1"/>
      <c r="B195" s="82" t="str">
        <f t="shared" si="36"/>
        <v/>
      </c>
      <c r="C195" s="83"/>
      <c r="D195" s="79" t="str">
        <f>IF(AND(A195="",A194&lt;&gt;"",COUNTIF(A196:$A$200,"&lt;&gt;")=0),ROUND(SUMIF($A$2:A194,"&lt;&gt;",$D$2:D194),2),IF(OR(A195="",B195="",C195=""),"",ROUND(B195*C195,2)))</f>
        <v/>
      </c>
      <c r="E195" s="84"/>
      <c r="F195" s="79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4"/>
      <c r="H195" s="79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4"/>
      <c r="J195" s="79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4"/>
      <c r="L195" s="79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5" t="str">
        <f>IF(OR(posicao_contratual!J195="",posicao_contratual!N195=""),"",ROUND(MAX(posicao_contratual!J195+posicao_contratual!H195-posicao_contratual!N195,0),2))</f>
        <v/>
      </c>
      <c r="N195" s="79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5" t="str">
        <f>IF(OR(posicao_contratual!N195="",posicao_contratual!R195=""),"",ROUND(MAX(posicao_contratual!N195+posicao_contratual!L195-posicao_contratual!R195,0),2))</f>
        <v/>
      </c>
      <c r="P195" s="79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5" t="str">
        <f>IF(OR(posicao_contratual!R195="",posicao_contratual!V195=""),"",ROUND(MAX(posicao_contratual!R195+posicao_contratual!P195-posicao_contratual!V195,0),2))</f>
        <v/>
      </c>
      <c r="R195" s="79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38"/>
      <c r="T195" s="39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86" t="str">
        <f>IF(AND(A195="",A194&lt;&gt;"",COUNTIF(A196:$A$200,"&lt;&gt;")=0),"TOTAL",IF(A195="","",posicao_contratual!X195))</f>
        <v/>
      </c>
      <c r="V195" s="86" t="str">
        <f>IF(A195="","",posicao_contratual!X195)</f>
        <v/>
      </c>
      <c r="W195" s="13"/>
      <c r="X195" s="13"/>
      <c r="Y195" s="13"/>
      <c r="Z195" s="13"/>
      <c r="AA195" s="13"/>
      <c r="AB195" s="85" t="str">
        <f>IF(OR(A195="",posicao_contratual!E195="",posicao_contratual!J195=""),"",ROUND(MAX(posicao_contratual!E195-posicao_contratual!J195,0),2))</f>
        <v/>
      </c>
      <c r="AC195" s="79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47" t="str">
        <f>IF(A195="","",posicao_contratual!E195)</f>
        <v/>
      </c>
      <c r="AE195" s="147" t="str">
        <f>IF(A195="","",posicao_contratual!I195)</f>
        <v/>
      </c>
      <c r="AF195" s="147" t="str">
        <f>IF(A195="","",posicao_contratual!M195)</f>
        <v/>
      </c>
      <c r="AG195" s="147" t="str">
        <f>IF(A195="","",posicao_contratual!Q195)</f>
        <v/>
      </c>
      <c r="AH195" s="147" t="str">
        <f>IF(A195="","",posicao_contratual!U195)</f>
        <v/>
      </c>
      <c r="AI195" s="147" t="str">
        <f>IF(A195="","",posicao_contratual!G195)</f>
        <v/>
      </c>
      <c r="AJ195" s="147" t="str">
        <f>IF(A195="","",posicao_contratual!K195)</f>
        <v/>
      </c>
      <c r="AK195" s="147" t="str">
        <f>IF(A195="","",posicao_contratual!O195)</f>
        <v/>
      </c>
      <c r="AL195" s="147" t="str">
        <f>IF(A195="","",posicao_contratual!S195)</f>
        <v/>
      </c>
      <c r="AM195" s="147" t="str">
        <f>IF(A195="","",posicao_contratual!W195)</f>
        <v/>
      </c>
      <c r="AN195" s="148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1"/>
      <c r="B196" s="82" t="str">
        <f t="shared" si="36"/>
        <v/>
      </c>
      <c r="C196" s="83"/>
      <c r="D196" s="79" t="str">
        <f>IF(AND(A196="",A195&lt;&gt;"",COUNTIF(A197:$A$200,"&lt;&gt;")=0),ROUND(SUMIF($A$2:A195,"&lt;&gt;",$D$2:D195),2),IF(OR(A196="",B196="",C196=""),"",ROUND(B196*C196,2)))</f>
        <v/>
      </c>
      <c r="E196" s="84"/>
      <c r="F196" s="79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4"/>
      <c r="H196" s="79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4"/>
      <c r="J196" s="79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4"/>
      <c r="L196" s="79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5" t="str">
        <f>IF(OR(posicao_contratual!J196="",posicao_contratual!N196=""),"",ROUND(MAX(posicao_contratual!J196+posicao_contratual!H196-posicao_contratual!N196,0),2))</f>
        <v/>
      </c>
      <c r="N196" s="79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5" t="str">
        <f>IF(OR(posicao_contratual!N196="",posicao_contratual!R196=""),"",ROUND(MAX(posicao_contratual!N196+posicao_contratual!L196-posicao_contratual!R196,0),2))</f>
        <v/>
      </c>
      <c r="P196" s="79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5" t="str">
        <f>IF(OR(posicao_contratual!R196="",posicao_contratual!V196=""),"",ROUND(MAX(posicao_contratual!R196+posicao_contratual!P196-posicao_contratual!V196,0),2))</f>
        <v/>
      </c>
      <c r="R196" s="79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38"/>
      <c r="T196" s="39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86" t="str">
        <f>IF(AND(A196="",A195&lt;&gt;"",COUNTIF(A197:$A$200,"&lt;&gt;")=0),"TOTAL",IF(A196="","",posicao_contratual!X196))</f>
        <v/>
      </c>
      <c r="V196" s="86" t="str">
        <f>IF(A196="","",posicao_contratual!X196)</f>
        <v/>
      </c>
      <c r="W196" s="13"/>
      <c r="X196" s="13"/>
      <c r="Y196" s="13"/>
      <c r="Z196" s="13"/>
      <c r="AA196" s="13"/>
      <c r="AB196" s="85" t="str">
        <f>IF(OR(A196="",posicao_contratual!E196="",posicao_contratual!J196=""),"",ROUND(MAX(posicao_contratual!E196-posicao_contratual!J196,0),2))</f>
        <v/>
      </c>
      <c r="AC196" s="79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47" t="str">
        <f>IF(A196="","",posicao_contratual!E196)</f>
        <v/>
      </c>
      <c r="AE196" s="147" t="str">
        <f>IF(A196="","",posicao_contratual!I196)</f>
        <v/>
      </c>
      <c r="AF196" s="147" t="str">
        <f>IF(A196="","",posicao_contratual!M196)</f>
        <v/>
      </c>
      <c r="AG196" s="147" t="str">
        <f>IF(A196="","",posicao_contratual!Q196)</f>
        <v/>
      </c>
      <c r="AH196" s="147" t="str">
        <f>IF(A196="","",posicao_contratual!U196)</f>
        <v/>
      </c>
      <c r="AI196" s="147" t="str">
        <f>IF(A196="","",posicao_contratual!G196)</f>
        <v/>
      </c>
      <c r="AJ196" s="147" t="str">
        <f>IF(A196="","",posicao_contratual!K196)</f>
        <v/>
      </c>
      <c r="AK196" s="147" t="str">
        <f>IF(A196="","",posicao_contratual!O196)</f>
        <v/>
      </c>
      <c r="AL196" s="147" t="str">
        <f>IF(A196="","",posicao_contratual!S196)</f>
        <v/>
      </c>
      <c r="AM196" s="147" t="str">
        <f>IF(A196="","",posicao_contratual!W196)</f>
        <v/>
      </c>
      <c r="AN196" s="148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1"/>
      <c r="B197" s="82" t="str">
        <f t="shared" si="36"/>
        <v/>
      </c>
      <c r="C197" s="83"/>
      <c r="D197" s="79" t="str">
        <f>IF(AND(A197="",A196&lt;&gt;"",COUNTIF(A198:$A$200,"&lt;&gt;")=0),ROUND(SUMIF($A$2:A196,"&lt;&gt;",$D$2:D196),2),IF(OR(A197="",B197="",C197=""),"",ROUND(B197*C197,2)))</f>
        <v/>
      </c>
      <c r="E197" s="84"/>
      <c r="F197" s="79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4"/>
      <c r="H197" s="79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4"/>
      <c r="J197" s="79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4"/>
      <c r="L197" s="79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5" t="str">
        <f>IF(OR(posicao_contratual!J197="",posicao_contratual!N197=""),"",ROUND(MAX(posicao_contratual!J197+posicao_contratual!H197-posicao_contratual!N197,0),2))</f>
        <v/>
      </c>
      <c r="N197" s="79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5" t="str">
        <f>IF(OR(posicao_contratual!N197="",posicao_contratual!R197=""),"",ROUND(MAX(posicao_contratual!N197+posicao_contratual!L197-posicao_contratual!R197,0),2))</f>
        <v/>
      </c>
      <c r="P197" s="79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5" t="str">
        <f>IF(OR(posicao_contratual!R197="",posicao_contratual!V197=""),"",ROUND(MAX(posicao_contratual!R197+posicao_contratual!P197-posicao_contratual!V197,0),2))</f>
        <v/>
      </c>
      <c r="R197" s="79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38"/>
      <c r="T197" s="39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86" t="str">
        <f>IF(AND(A197="",A196&lt;&gt;"",COUNTIF(A198:$A$200,"&lt;&gt;")=0),"TOTAL",IF(A197="","",posicao_contratual!X197))</f>
        <v/>
      </c>
      <c r="V197" s="86" t="str">
        <f>IF(A197="","",posicao_contratual!X197)</f>
        <v/>
      </c>
      <c r="W197" s="13"/>
      <c r="X197" s="13"/>
      <c r="Y197" s="13"/>
      <c r="Z197" s="13"/>
      <c r="AA197" s="13"/>
      <c r="AB197" s="85" t="str">
        <f>IF(OR(A197="",posicao_contratual!E197="",posicao_contratual!J197=""),"",ROUND(MAX(posicao_contratual!E197-posicao_contratual!J197,0),2))</f>
        <v/>
      </c>
      <c r="AC197" s="79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47" t="str">
        <f>IF(A197="","",posicao_contratual!E197)</f>
        <v/>
      </c>
      <c r="AE197" s="147" t="str">
        <f>IF(A197="","",posicao_contratual!I197)</f>
        <v/>
      </c>
      <c r="AF197" s="147" t="str">
        <f>IF(A197="","",posicao_contratual!M197)</f>
        <v/>
      </c>
      <c r="AG197" s="147" t="str">
        <f>IF(A197="","",posicao_contratual!Q197)</f>
        <v/>
      </c>
      <c r="AH197" s="147" t="str">
        <f>IF(A197="","",posicao_contratual!U197)</f>
        <v/>
      </c>
      <c r="AI197" s="147" t="str">
        <f>IF(A197="","",posicao_contratual!G197)</f>
        <v/>
      </c>
      <c r="AJ197" s="147" t="str">
        <f>IF(A197="","",posicao_contratual!K197)</f>
        <v/>
      </c>
      <c r="AK197" s="147" t="str">
        <f>IF(A197="","",posicao_contratual!O197)</f>
        <v/>
      </c>
      <c r="AL197" s="147" t="str">
        <f>IF(A197="","",posicao_contratual!S197)</f>
        <v/>
      </c>
      <c r="AM197" s="147" t="str">
        <f>IF(A197="","",posicao_contratual!W197)</f>
        <v/>
      </c>
      <c r="AN197" s="148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1"/>
      <c r="B198" s="82" t="str">
        <f t="shared" si="36"/>
        <v/>
      </c>
      <c r="C198" s="83"/>
      <c r="D198" s="79" t="str">
        <f>IF(AND(A198="",A197&lt;&gt;"",COUNTIF(A199:$A$200,"&lt;&gt;")=0),ROUND(SUMIF($A$2:A197,"&lt;&gt;",$D$2:D197),2),IF(OR(A198="",B198="",C198=""),"",ROUND(B198*C198,2)))</f>
        <v/>
      </c>
      <c r="E198" s="84"/>
      <c r="F198" s="79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4"/>
      <c r="H198" s="79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4"/>
      <c r="J198" s="79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4"/>
      <c r="L198" s="79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5" t="str">
        <f>IF(OR(posicao_contratual!J198="",posicao_contratual!N198=""),"",ROUND(MAX(posicao_contratual!J198+posicao_contratual!H198-posicao_contratual!N198,0),2))</f>
        <v/>
      </c>
      <c r="N198" s="79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5" t="str">
        <f>IF(OR(posicao_contratual!N198="",posicao_contratual!R198=""),"",ROUND(MAX(posicao_contratual!N198+posicao_contratual!L198-posicao_contratual!R198,0),2))</f>
        <v/>
      </c>
      <c r="P198" s="79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5" t="str">
        <f>IF(OR(posicao_contratual!R198="",posicao_contratual!V198=""),"",ROUND(MAX(posicao_contratual!R198+posicao_contratual!P198-posicao_contratual!V198,0),2))</f>
        <v/>
      </c>
      <c r="R198" s="79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38"/>
      <c r="T198" s="39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86" t="str">
        <f>IF(AND(A198="",A197&lt;&gt;"",COUNTIF(A199:$A$200,"&lt;&gt;")=0),"TOTAL",IF(A198="","",posicao_contratual!X198))</f>
        <v/>
      </c>
      <c r="V198" s="86" t="str">
        <f>IF(A198="","",posicao_contratual!X198)</f>
        <v/>
      </c>
      <c r="W198" s="13"/>
      <c r="X198" s="13"/>
      <c r="Y198" s="13"/>
      <c r="Z198" s="13"/>
      <c r="AA198" s="13"/>
      <c r="AB198" s="85" t="str">
        <f>IF(OR(A198="",posicao_contratual!E198="",posicao_contratual!J198=""),"",ROUND(MAX(posicao_contratual!E198-posicao_contratual!J198,0),2))</f>
        <v/>
      </c>
      <c r="AC198" s="79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47" t="str">
        <f>IF(A198="","",posicao_contratual!E198)</f>
        <v/>
      </c>
      <c r="AE198" s="147" t="str">
        <f>IF(A198="","",posicao_contratual!I198)</f>
        <v/>
      </c>
      <c r="AF198" s="147" t="str">
        <f>IF(A198="","",posicao_contratual!M198)</f>
        <v/>
      </c>
      <c r="AG198" s="147" t="str">
        <f>IF(A198="","",posicao_contratual!Q198)</f>
        <v/>
      </c>
      <c r="AH198" s="147" t="str">
        <f>IF(A198="","",posicao_contratual!U198)</f>
        <v/>
      </c>
      <c r="AI198" s="147" t="str">
        <f>IF(A198="","",posicao_contratual!G198)</f>
        <v/>
      </c>
      <c r="AJ198" s="147" t="str">
        <f>IF(A198="","",posicao_contratual!K198)</f>
        <v/>
      </c>
      <c r="AK198" s="147" t="str">
        <f>IF(A198="","",posicao_contratual!O198)</f>
        <v/>
      </c>
      <c r="AL198" s="147" t="str">
        <f>IF(A198="","",posicao_contratual!S198)</f>
        <v/>
      </c>
      <c r="AM198" s="147" t="str">
        <f>IF(A198="","",posicao_contratual!W198)</f>
        <v/>
      </c>
      <c r="AN198" s="148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1"/>
      <c r="B199" s="82" t="str">
        <f t="shared" si="36"/>
        <v/>
      </c>
      <c r="C199" s="83"/>
      <c r="D199" s="79" t="str">
        <f>IF(AND(A199="",A198&lt;&gt;"",COUNTIF(A200:$A$200,"&lt;&gt;")=0),ROUND(SUMIF($A$2:A198,"&lt;&gt;",$D$2:D198),2),IF(OR(A199="",B199="",C199=""),"",ROUND(B199*C199,2)))</f>
        <v/>
      </c>
      <c r="E199" s="84"/>
      <c r="F199" s="79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4"/>
      <c r="H199" s="79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4"/>
      <c r="J199" s="79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4"/>
      <c r="L199" s="79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5" t="str">
        <f>IF(OR(posicao_contratual!J199="",posicao_contratual!N199=""),"",ROUND(MAX(posicao_contratual!J199+posicao_contratual!H199-posicao_contratual!N199,0),2))</f>
        <v/>
      </c>
      <c r="N199" s="79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5" t="str">
        <f>IF(OR(posicao_contratual!N199="",posicao_contratual!R199=""),"",ROUND(MAX(posicao_contratual!N199+posicao_contratual!L199-posicao_contratual!R199,0),2))</f>
        <v/>
      </c>
      <c r="P199" s="79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5" t="str">
        <f>IF(OR(posicao_contratual!R199="",posicao_contratual!V199=""),"",ROUND(MAX(posicao_contratual!R199+posicao_contratual!P199-posicao_contratual!V199,0),2))</f>
        <v/>
      </c>
      <c r="R199" s="79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38"/>
      <c r="T199" s="39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86" t="str">
        <f>IF(AND(A199="",A198&lt;&gt;"",COUNTIF(A200:$A$200,"&lt;&gt;")=0),"TOTAL",IF(A199="","",posicao_contratual!X199))</f>
        <v/>
      </c>
      <c r="V199" s="86" t="str">
        <f>IF(A199="","",posicao_contratual!X199)</f>
        <v/>
      </c>
      <c r="W199" s="13"/>
      <c r="X199" s="13"/>
      <c r="Y199" s="13"/>
      <c r="Z199" s="13"/>
      <c r="AA199" s="13"/>
      <c r="AB199" s="85" t="str">
        <f>IF(OR(A199="",posicao_contratual!E199="",posicao_contratual!J199=""),"",ROUND(MAX(posicao_contratual!E199-posicao_contratual!J199,0),2))</f>
        <v/>
      </c>
      <c r="AC199" s="79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47" t="str">
        <f>IF(A199="","",posicao_contratual!E199)</f>
        <v/>
      </c>
      <c r="AE199" s="147" t="str">
        <f>IF(A199="","",posicao_contratual!I199)</f>
        <v/>
      </c>
      <c r="AF199" s="147" t="str">
        <f>IF(A199="","",posicao_contratual!M199)</f>
        <v/>
      </c>
      <c r="AG199" s="147" t="str">
        <f>IF(A199="","",posicao_contratual!Q199)</f>
        <v/>
      </c>
      <c r="AH199" s="147" t="str">
        <f>IF(A199="","",posicao_contratual!U199)</f>
        <v/>
      </c>
      <c r="AI199" s="147" t="str">
        <f>IF(A199="","",posicao_contratual!G199)</f>
        <v/>
      </c>
      <c r="AJ199" s="147" t="str">
        <f>IF(A199="","",posicao_contratual!K199)</f>
        <v/>
      </c>
      <c r="AK199" s="147" t="str">
        <f>IF(A199="","",posicao_contratual!O199)</f>
        <v/>
      </c>
      <c r="AL199" s="147" t="str">
        <f>IF(A199="","",posicao_contratual!S199)</f>
        <v/>
      </c>
      <c r="AM199" s="147" t="str">
        <f>IF(A199="","",posicao_contratual!W199)</f>
        <v/>
      </c>
      <c r="AN199" s="148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1"/>
      <c r="B200" s="82" t="str">
        <f t="shared" si="36"/>
        <v/>
      </c>
      <c r="C200" s="83"/>
      <c r="D200" s="79" t="str">
        <f>IF(AND(A200="",A199&lt;&gt;"",COUNTIF(A$200:$A201,"&lt;&gt;")=0),ROUND(SUMIF($A$2:A199,"&lt;&gt;",$D$2:D199),2),IF(OR(A200="",B200="",C200=""),"",ROUND(B200*C200,2)))</f>
        <v/>
      </c>
      <c r="E200" s="84"/>
      <c r="F200" s="79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4"/>
      <c r="H200" s="79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4"/>
      <c r="J200" s="79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4"/>
      <c r="L200" s="79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5" t="str">
        <f>IF(OR(posicao_contratual!J200="",posicao_contratual!N200=""),"",ROUND(MAX(posicao_contratual!J200+posicao_contratual!H200-posicao_contratual!N200,0),2))</f>
        <v/>
      </c>
      <c r="N200" s="79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5" t="str">
        <f>IF(OR(posicao_contratual!N200="",posicao_contratual!R200=""),"",ROUND(MAX(posicao_contratual!N200+posicao_contratual!L200-posicao_contratual!R200,0),2))</f>
        <v/>
      </c>
      <c r="P200" s="79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5" t="str">
        <f>IF(OR(posicao_contratual!R200="",posicao_contratual!V200=""),"",ROUND(MAX(posicao_contratual!R200+posicao_contratual!P200-posicao_contratual!V200,0),2))</f>
        <v/>
      </c>
      <c r="R200" s="79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38"/>
      <c r="T200" s="39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86" t="str">
        <f>IF(AND(A200="",A199&lt;&gt;"",COUNTIF(A$200:$A201,"&lt;&gt;")=0),"TOTAL",IF(A200="","",posicao_contratual!X200))</f>
        <v/>
      </c>
      <c r="V200" s="86" t="str">
        <f>IF(A200="","",posicao_contratual!X200)</f>
        <v/>
      </c>
      <c r="W200" s="13"/>
      <c r="X200" s="13"/>
      <c r="Y200" s="13"/>
      <c r="Z200" s="13"/>
      <c r="AA200" s="13"/>
      <c r="AB200" s="85" t="str">
        <f>IF(OR(A200="",posicao_contratual!E200="",posicao_contratual!J200=""),"",ROUND(MAX(posicao_contratual!E200-posicao_contratual!J200,0),2))</f>
        <v/>
      </c>
      <c r="AC200" s="79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47" t="str">
        <f>IF(A200="","",posicao_contratual!E200)</f>
        <v/>
      </c>
      <c r="AE200" s="147" t="str">
        <f>IF(A200="","",posicao_contratual!I200)</f>
        <v/>
      </c>
      <c r="AF200" s="147" t="str">
        <f>IF(A200="","",posicao_contratual!M200)</f>
        <v/>
      </c>
      <c r="AG200" s="147" t="str">
        <f>IF(A200="","",posicao_contratual!Q200)</f>
        <v/>
      </c>
      <c r="AH200" s="147" t="str">
        <f>IF(A200="","",posicao_contratual!U200)</f>
        <v/>
      </c>
      <c r="AI200" s="147" t="str">
        <f>IF(A200="","",posicao_contratual!G200)</f>
        <v/>
      </c>
      <c r="AJ200" s="147" t="str">
        <f>IF(A200="","",posicao_contratual!K200)</f>
        <v/>
      </c>
      <c r="AK200" s="147" t="str">
        <f>IF(A200="","",posicao_contratual!O200)</f>
        <v/>
      </c>
      <c r="AL200" s="147" t="str">
        <f>IF(A200="","",posicao_contratual!S200)</f>
        <v/>
      </c>
      <c r="AM200" s="147" t="str">
        <f>IF(A200="","",posicao_contratual!W200)</f>
        <v/>
      </c>
      <c r="AN200" s="148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86" t="str">
        <f>IF($A$200&lt;&gt;"",ROUND(SUMIF($A$2:$A$200,"&lt;&gt;",$D$2:$D$200),2),"")</f>
        <v/>
      </c>
      <c r="E201" s="25"/>
      <c r="F201" s="86" t="str">
        <f>IF($A$200&lt;&gt;"",IF(COUNT(F$2:F$200)=0,"",ROUND(SUMIF($A$2:$A$200,"&lt;&gt;",F$2:F$200),2)),"")</f>
        <v/>
      </c>
      <c r="G201" s="25"/>
      <c r="H201" s="86" t="str">
        <f>IF($A$200&lt;&gt;"",IF(COUNT(H$2:H$200)=0,"",ROUND(SUMIF($A$2:$A$200,"&lt;&gt;",H$2:H$200),2)),"")</f>
        <v/>
      </c>
      <c r="I201" s="25"/>
      <c r="J201" s="86" t="str">
        <f>IF($A$200&lt;&gt;"",IF(COUNT(J$2:J$200)=0,"",ROUND(SUMIF($A$2:$A$200,"&lt;&gt;",J$2:J$200),2)),"")</f>
        <v/>
      </c>
      <c r="K201" s="25"/>
      <c r="L201" s="86" t="str">
        <f>IF($A$200&lt;&gt;"",IF(COUNT(L$2:L$200)=0,"",ROUND(SUMIF($A$2:$A$200,"&lt;&gt;",L$2:L$200),2)),"")</f>
        <v/>
      </c>
      <c r="M201" s="25"/>
      <c r="N201" s="86" t="str">
        <f>IF($A$200&lt;&gt;"",IF(COUNT(N$2:N$200)=0,"",ROUND(SUMIF($A$2:$A$200,"&lt;&gt;",N$2:N$200),2)),"")</f>
        <v/>
      </c>
      <c r="O201" s="16"/>
      <c r="P201" s="86" t="str">
        <f>IF($A$200&lt;&gt;"",IF(COUNT(P$2:P$200)=0,"",ROUND(SUMIF($A$2:$A$200,"&lt;&gt;",P$2:P$200),2)),"")</f>
        <v/>
      </c>
      <c r="Q201" s="24"/>
      <c r="R201" s="86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86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0">
    <cfRule type="expression" dxfId="106" priority="19" stopIfTrue="1">
      <formula>AND(LEN(TRIM($A2))=4,LEFT(TRIM($A2),1)="N",ISNUMBER(--MID(TRIM($A2),2,3)),ISERROR(FIND(".",$A2)),ISERROR(FIND(",",$A2)),ISERROR(FIND("-",$A2)),ISERROR(FIND("+",$A2)),ISERROR(SEARCH("E",$A2,2)),ISERROR(FIND(" ",TRIM($A2))))</formula>
    </cfRule>
  </conditionalFormatting>
  <conditionalFormatting sqref="A2:AC201">
    <cfRule type="expression" dxfId="105" priority="2">
      <formula>$U2="TOTAL"</formula>
    </cfRule>
  </conditionalFormatting>
  <conditionalFormatting sqref="E2:E201">
    <cfRule type="expression" dxfId="104" priority="3" stopIfTrue="1">
      <formula>AND($A2&lt;&gt;"",ISNUMBER($BI2),$BI2&gt;1)</formula>
    </cfRule>
    <cfRule type="expression" dxfId="103" priority="3">
      <formula>AND($A2&lt;&gt;"",ISNUMBER(E2),E2&gt;0)</formula>
    </cfRule>
    <cfRule type="expression" dxfId="102" priority="4">
      <formula>AND($A2&lt;&gt;"",E2=0)</formula>
    </cfRule>
    <cfRule type="expression" dxfId="101" priority="5">
      <formula>AND($A2&lt;&gt;"",E2="",OR(NOT(ISNUMBER($BI2)),$BI2&lt;=1))</formula>
    </cfRule>
  </conditionalFormatting>
  <conditionalFormatting sqref="G2:G201">
    <cfRule type="expression" dxfId="100" priority="6" stopIfTrue="1">
      <formula>AND($A2&lt;&gt;"",ISNUMBER($BI2),$BI2&gt;2)</formula>
    </cfRule>
    <cfRule type="expression" dxfId="99" priority="7">
      <formula>AND($A2&lt;&gt;"",ISNUMBER(G2),G2&gt;0)</formula>
    </cfRule>
    <cfRule type="expression" dxfId="98" priority="8">
      <formula>AND($A2&lt;&gt;"",G2=0)</formula>
    </cfRule>
    <cfRule type="expression" dxfId="97" priority="9">
      <formula>AND($A2&lt;&gt;"",G2="",OR(NOT(ISNUMBER($BI2)),$BI2&lt;=2))</formula>
    </cfRule>
  </conditionalFormatting>
  <conditionalFormatting sqref="I2:I201">
    <cfRule type="expression" dxfId="96" priority="10" stopIfTrue="1">
      <formula>AND($A2&lt;&gt;"",ISNUMBER($BI2),$BI2&gt;3)</formula>
    </cfRule>
    <cfRule type="expression" dxfId="95" priority="11">
      <formula>AND($A2&lt;&gt;"",ISNUMBER(I2),I2&gt;0)</formula>
    </cfRule>
    <cfRule type="expression" dxfId="94" priority="12">
      <formula>AND($A2&lt;&gt;"",I2=0)</formula>
    </cfRule>
    <cfRule type="expression" dxfId="93" priority="13">
      <formula>AND($A2&lt;&gt;"",I2="",OR(NOT(ISNUMBER($BI2)),$BI2&lt;=3))</formula>
    </cfRule>
  </conditionalFormatting>
  <conditionalFormatting sqref="K2:K201">
    <cfRule type="expression" dxfId="92" priority="14" stopIfTrue="1">
      <formula>AND($A2&lt;&gt;"",ISNUMBER($BI2),$BI2&gt;4)</formula>
    </cfRule>
    <cfRule type="expression" dxfId="91" priority="15">
      <formula>AND($A2&lt;&gt;"",ISNUMBER(K2),K2&gt;0)</formula>
    </cfRule>
    <cfRule type="expression" dxfId="90" priority="16">
      <formula>AND($A2&lt;&gt;"",K2=0)</formula>
    </cfRule>
    <cfRule type="expression" dxfId="89" priority="17">
      <formula>AND($A2&lt;&gt;"",K2="",OR(NOT(ISNUMBER($BI2)),$BI2&lt;=4))</formula>
    </cfRule>
  </conditionalFormatting>
  <dataValidations count="3">
    <dataValidation allowBlank="1" showInputMessage="1" showErrorMessage="1" promptTitle="ITEM NOVO POR ADITIVO" prompt="Cadastre o item aqui PRIMEIRO (ex.: N001), com quantidade-base original = 0 e o VU de inclusão. A quantidade do item nasce na aba aditivos._x000a_N001 = código do item | 0 = quantidade-base original._x000a_Item do contrato: código normal." sqref="A2:A200" xr:uid="{B4BC3679-8EF3-45E6-9FAD-F0C57884B5E1}"/>
    <dataValidation allowBlank="1" showInputMessage="1" showErrorMessage="1" promptTitle="QUANTIDADE-BASE ORIGINAL" prompt="Item do contrato: quantidade original contratada._x000a_Item novo por aditivo: 0 (com N001, N002... o 0 aparece sozinho). Não some aqui a quantidade do aditivo: ela é lançada na aba aditivos." sqref="B2:B200" xr:uid="{29184614-1DDC-4AAD-8F0A-04820D1C70DC}"/>
    <dataValidation allowBlank="1" showInputMessage="1" showErrorMessage="1" promptTitle="VALOR UNITÁRIO ORIGINAL/BASE" prompt="Item do contrato: VU original do contrato._x000a_Item novo por aditivo: VU do item no momento em que foi incluído no contrato." sqref="C2:C200" xr:uid="{27541C0E-D1B8-4DD0-A9CE-5C576517167B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AG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  <col min="24" max="24" width="16.26953125" customWidth="1"/>
    <col min="25" max="25" width="26.7265625" customWidth="1"/>
    <col min="26" max="26" width="16.6328125" customWidth="1"/>
    <col min="27" max="27" width="26.7265625" customWidth="1"/>
    <col min="28" max="28" width="34.1796875" customWidth="1"/>
    <col min="29" max="29" width="16.6328125" customWidth="1"/>
    <col min="30" max="30" width="21.54296875" customWidth="1"/>
    <col min="31" max="31" width="33" customWidth="1"/>
    <col min="32" max="32" width="21.54296875" customWidth="1"/>
    <col min="33" max="33" width="42.6328125" customWidth="1"/>
  </cols>
  <sheetData>
    <row r="1" spans="1:33" ht="30" customHeight="1" x14ac:dyDescent="0.35">
      <c r="A1" s="40" t="s">
        <v>19</v>
      </c>
      <c r="B1" s="41" t="s">
        <v>104</v>
      </c>
      <c r="C1" s="42" t="s">
        <v>20</v>
      </c>
      <c r="D1" s="42" t="s">
        <v>65</v>
      </c>
      <c r="E1" s="43" t="s">
        <v>105</v>
      </c>
      <c r="F1" s="44" t="s">
        <v>106</v>
      </c>
      <c r="G1" s="45" t="s">
        <v>107</v>
      </c>
      <c r="H1" s="46" t="s">
        <v>108</v>
      </c>
      <c r="I1" s="43" t="s">
        <v>109</v>
      </c>
      <c r="J1" s="44" t="s">
        <v>110</v>
      </c>
      <c r="K1" s="45" t="s">
        <v>111</v>
      </c>
      <c r="L1" s="46" t="s">
        <v>112</v>
      </c>
      <c r="M1" s="43" t="s">
        <v>113</v>
      </c>
      <c r="N1" s="44" t="s">
        <v>114</v>
      </c>
      <c r="O1" s="41" t="s">
        <v>115</v>
      </c>
      <c r="P1" s="42" t="s">
        <v>116</v>
      </c>
      <c r="Q1" s="47" t="s">
        <v>66</v>
      </c>
      <c r="R1" s="48" t="s">
        <v>32</v>
      </c>
      <c r="S1" s="48" t="s">
        <v>31</v>
      </c>
      <c r="T1" s="48" t="s">
        <v>68</v>
      </c>
      <c r="U1" s="48" t="s">
        <v>36</v>
      </c>
      <c r="V1" s="13" t="s">
        <v>463</v>
      </c>
      <c r="W1" s="232"/>
      <c r="X1" s="477" t="s">
        <v>547</v>
      </c>
      <c r="Y1" s="477" t="s">
        <v>548</v>
      </c>
      <c r="Z1" s="478" t="s">
        <v>549</v>
      </c>
      <c r="AA1" s="478" t="s">
        <v>550</v>
      </c>
      <c r="AB1" s="477" t="s">
        <v>551</v>
      </c>
      <c r="AC1" s="477" t="s">
        <v>552</v>
      </c>
      <c r="AD1" s="477" t="s">
        <v>553</v>
      </c>
      <c r="AE1" s="477" t="s">
        <v>554</v>
      </c>
      <c r="AF1" s="477" t="s">
        <v>555</v>
      </c>
      <c r="AG1" s="477" t="s">
        <v>556</v>
      </c>
    </row>
    <row r="2" spans="1:33" x14ac:dyDescent="0.35">
      <c r="A2" s="93"/>
      <c r="B2" s="94"/>
      <c r="C2" s="95"/>
      <c r="D2" s="79" t="str">
        <f t="shared" ref="D2:D33" si="0">IF(OR(A2="",B2="",C2=""),"",ROUND(B2*C2,2))</f>
        <v/>
      </c>
      <c r="E2" s="94"/>
      <c r="F2" s="79" t="str">
        <f t="shared" ref="F2:F33" si="1">IF(OR(A2="",E2="",C2="",NOT(ISNUMBER($U$2))),"",ROUND(E2*C2*$U$2,2))</f>
        <v/>
      </c>
      <c r="G2" s="94"/>
      <c r="H2" s="79" t="str">
        <f t="shared" ref="H2:H33" si="2">IF(OR(A2="",G2="",C2="",NOT(ISNUMBER($U$3))),"",ROUND(G2*C2*$U$3,2))</f>
        <v/>
      </c>
      <c r="I2" s="94"/>
      <c r="J2" s="79" t="str">
        <f t="shared" ref="J2:J33" si="3">IF(OR(A2="",I2="",C2="",NOT(ISNUMBER($U$4))),"",ROUND(I2*C2*$U$4,2))</f>
        <v/>
      </c>
      <c r="K2" s="94"/>
      <c r="L2" s="79" t="str">
        <f t="shared" ref="L2:L33" si="4">IF(OR(A2="",K2="",C2="",NOT(ISNUMBER($U$5))),"",ROUND(K2*C2*$U$5,2))</f>
        <v/>
      </c>
      <c r="M2" s="94"/>
      <c r="N2" s="79" t="str">
        <f t="shared" ref="N2:N33" si="5">IF(OR(A2="",M2="",C2="",NOT(ISNUMBER($U$6))),"",ROUND(M2*C2*$U$6,2))</f>
        <v/>
      </c>
      <c r="O2" s="85" t="str">
        <f t="shared" ref="O2:O33" si="6">IF(A2="","",SUM(E2,G2,I2,K2,M2))</f>
        <v/>
      </c>
      <c r="P2" s="79" t="str">
        <f t="shared" ref="P2:P33" si="7">IF(A2="","",SUM(F2,H2,J2,L2,N2))</f>
        <v/>
      </c>
      <c r="Q2" s="184" t="str">
        <f t="shared" ref="Q2:Q33" si="8">IF(A2="","",IF(O2&gt;B2,"DIVERGENCIA: CONSUMO MAIOR QUE CONTRATADO","OK"))</f>
        <v/>
      </c>
      <c r="R2" s="23" t="s">
        <v>21</v>
      </c>
      <c r="S2" s="96">
        <f>parametros!$A$2</f>
        <v>0</v>
      </c>
      <c r="T2" s="97" t="str">
        <f>IF(ISNUMBER(parametros!$E$2),parametros!$E$2,"")</f>
        <v/>
      </c>
      <c r="U2" s="98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214"/>
      <c r="X2" s="474" t="s">
        <v>21</v>
      </c>
      <c r="Y2" s="479" t="str">
        <f>IF(COUNT($E$2:$E$200)=0,"",IF(OR(NOT(ISNUMBER(parametros!$F2)),NOT(ISNUMBER($AD2)),$AD2=0),"",ROUND(SUMPRODUCT($E$2:$E$200,$C$2:$C$200)*parametros!$F2/$AD2,2)))</f>
        <v/>
      </c>
      <c r="Z2" s="475"/>
      <c r="AA2" s="480"/>
      <c r="AB2" s="479" t="str">
        <f>IF($AG2&lt;&gt;"AJUSTE APLICADO","",IF($Z2="Valor pago",ROUND($AA2,2),ROUND($Y2-$AA2,2)))</f>
        <v/>
      </c>
      <c r="AC2" s="479" t="str">
        <f>IF($AG2&lt;&gt;"AJUSTE APLICADO","",ROUND($Y2-$AB2,2))</f>
        <v/>
      </c>
      <c r="AD2" s="481">
        <f>IF(ISNUMBER(parametros!$D11),parametros!$D11,"")</f>
        <v>1</v>
      </c>
      <c r="AE2" s="479" t="str">
        <f>IF($AG2&lt;&gt;"AJUSTE APLICADO","",ROUND($AB2*$AD2,2))</f>
        <v/>
      </c>
      <c r="AF2" s="479" t="str">
        <f>IF($AG2&lt;&gt;"AJUSTE APLICADO","",ROUND($AE2-$AB2,2))</f>
        <v/>
      </c>
      <c r="AG2" s="476" t="str">
        <f>IF(AND($Z2="",$AA2=""),"",IF($Z2="","REVISAR: VALOR INFORMADO SEM TIPO DE AJUSTE",IF(AND($Z2&lt;&gt;"Valor pago",$Z2&lt;&gt;"Glosa"),"REVISAR: TIPO DE AJUSTE INVALIDO",IF($AA2="","REVISAR: TIPO DE AJUSTE SEM VALOR",IF(NOT(ISNUMBER($AA2)),"REVISAR: VALOR INFORMADO NAO NUMERICO",IF($AA2&lt;0,IF($Z2="Glosa","REVISAR: GLOSA NEGATIVA","REVISAR: VALOR PAGO NEGATIVO"),IF(NOT(ISNUMBER($AD2)),"REVISAR: CICLO FORA DA APURACAO OU SEM FATOR NOVO",IF(NOT(ISNUMBER($Y2)),"REVISAR: SEM EXECUCAO CALCULADA NO CICLO",IF(ROUND($AA2,2)&gt;ROUND($Y2,2),IF($Z2="Glosa","REVISAR: GLOSA MAIOR QUE O CALCULADO","REVISAR: VALOR PAGO MAIOR QUE O CALCULADO"),"AJUSTE APLICADO")))))))))</f>
        <v/>
      </c>
    </row>
    <row r="3" spans="1:33" x14ac:dyDescent="0.35">
      <c r="A3" s="93"/>
      <c r="B3" s="94"/>
      <c r="C3" s="95"/>
      <c r="D3" s="79" t="str">
        <f t="shared" si="0"/>
        <v/>
      </c>
      <c r="E3" s="94"/>
      <c r="F3" s="79" t="str">
        <f t="shared" si="1"/>
        <v/>
      </c>
      <c r="G3" s="94"/>
      <c r="H3" s="79" t="str">
        <f t="shared" si="2"/>
        <v/>
      </c>
      <c r="I3" s="94"/>
      <c r="J3" s="79" t="str">
        <f t="shared" si="3"/>
        <v/>
      </c>
      <c r="K3" s="94"/>
      <c r="L3" s="79" t="str">
        <f t="shared" si="4"/>
        <v/>
      </c>
      <c r="M3" s="94"/>
      <c r="N3" s="79" t="str">
        <f t="shared" si="5"/>
        <v/>
      </c>
      <c r="O3" s="85" t="str">
        <f t="shared" si="6"/>
        <v/>
      </c>
      <c r="P3" s="79" t="str">
        <f t="shared" si="7"/>
        <v/>
      </c>
      <c r="Q3" s="184" t="str">
        <f t="shared" si="8"/>
        <v/>
      </c>
      <c r="R3" s="23" t="s">
        <v>22</v>
      </c>
      <c r="S3" s="96">
        <f>parametros!$A$3</f>
        <v>0</v>
      </c>
      <c r="T3" s="97" t="str">
        <f>IF(ISNUMBER(parametros!$E$3),parametros!$E$3,"")</f>
        <v/>
      </c>
      <c r="U3" s="98" t="str">
        <f>IF(ISNUMBER(parametros!$F$3),parametros!$F$3,"")</f>
        <v/>
      </c>
      <c r="V3" s="14" t="str">
        <f t="shared" si="9"/>
        <v/>
      </c>
      <c r="W3" s="214"/>
      <c r="X3" s="474" t="s">
        <v>22</v>
      </c>
      <c r="Y3" s="479" t="str">
        <f>IF(COUNT($G$2:$G$200)=0,"",IF(OR(NOT(ISNUMBER(parametros!$F3)),NOT(ISNUMBER($AD3)),$AD3=0),"",ROUND(SUMPRODUCT($G$2:$G$200,$C$2:$C$200)*parametros!$F3/$AD3,2)))</f>
        <v/>
      </c>
      <c r="Z3" s="475"/>
      <c r="AA3" s="480"/>
      <c r="AB3" s="479" t="str">
        <f>IF($AG3&lt;&gt;"AJUSTE APLICADO","",IF($Z3="Valor pago",ROUND($AA3,2),ROUND($Y3-$AA3,2)))</f>
        <v/>
      </c>
      <c r="AC3" s="479" t="str">
        <f>IF($AG3&lt;&gt;"AJUSTE APLICADO","",ROUND($Y3-$AB3,2))</f>
        <v/>
      </c>
      <c r="AD3" s="481" t="str">
        <f>IF(ISNUMBER(parametros!$D12),parametros!$D12,"")</f>
        <v/>
      </c>
      <c r="AE3" s="479" t="str">
        <f>IF($AG3&lt;&gt;"AJUSTE APLICADO","",ROUND($AB3*$AD3,2))</f>
        <v/>
      </c>
      <c r="AF3" s="479" t="str">
        <f>IF($AG3&lt;&gt;"AJUSTE APLICADO","",ROUND($AE3-$AB3,2))</f>
        <v/>
      </c>
      <c r="AG3" s="476" t="str">
        <f>IF(AND($Z3="",$AA3=""),"",IF($Z3="","REVISAR: VALOR INFORMADO SEM TIPO DE AJUSTE",IF(AND($Z3&lt;&gt;"Valor pago",$Z3&lt;&gt;"Glosa"),"REVISAR: TIPO DE AJUSTE INVALIDO",IF($AA3="","REVISAR: TIPO DE AJUSTE SEM VALOR",IF(NOT(ISNUMBER($AA3)),"REVISAR: VALOR INFORMADO NAO NUMERICO",IF($AA3&lt;0,IF($Z3="Glosa","REVISAR: GLOSA NEGATIVA","REVISAR: VALOR PAGO NEGATIVO"),IF(NOT(ISNUMBER($AD3)),"REVISAR: CICLO FORA DA APURACAO OU SEM FATOR NOVO",IF(NOT(ISNUMBER($Y3)),"REVISAR: SEM EXECUCAO CALCULADA NO CICLO",IF(ROUND($AA3,2)&gt;ROUND($Y3,2),IF($Z3="Glosa","REVISAR: GLOSA MAIOR QUE O CALCULADO","REVISAR: VALOR PAGO MAIOR QUE O CALCULADO"),"AJUSTE APLICADO")))))))))</f>
        <v/>
      </c>
    </row>
    <row r="4" spans="1:33" x14ac:dyDescent="0.35">
      <c r="A4" s="93"/>
      <c r="B4" s="94"/>
      <c r="C4" s="95"/>
      <c r="D4" s="79" t="str">
        <f t="shared" si="0"/>
        <v/>
      </c>
      <c r="E4" s="94"/>
      <c r="F4" s="79" t="str">
        <f t="shared" si="1"/>
        <v/>
      </c>
      <c r="G4" s="94"/>
      <c r="H4" s="79" t="str">
        <f t="shared" si="2"/>
        <v/>
      </c>
      <c r="I4" s="94"/>
      <c r="J4" s="79" t="str">
        <f t="shared" si="3"/>
        <v/>
      </c>
      <c r="K4" s="94"/>
      <c r="L4" s="79" t="str">
        <f t="shared" si="4"/>
        <v/>
      </c>
      <c r="M4" s="94"/>
      <c r="N4" s="79" t="str">
        <f t="shared" si="5"/>
        <v/>
      </c>
      <c r="O4" s="85" t="str">
        <f t="shared" si="6"/>
        <v/>
      </c>
      <c r="P4" s="79" t="str">
        <f t="shared" si="7"/>
        <v/>
      </c>
      <c r="Q4" s="184" t="str">
        <f t="shared" si="8"/>
        <v/>
      </c>
      <c r="R4" s="23" t="s">
        <v>23</v>
      </c>
      <c r="S4" s="96">
        <f>parametros!$A$4</f>
        <v>0</v>
      </c>
      <c r="T4" s="97" t="str">
        <f>IF(ISNUMBER(parametros!$E$4),parametros!$E$4,"")</f>
        <v/>
      </c>
      <c r="U4" s="98" t="str">
        <f>IF(ISNUMBER(parametros!$F$4),parametros!$F$4,"")</f>
        <v/>
      </c>
      <c r="V4" s="14" t="str">
        <f t="shared" si="9"/>
        <v/>
      </c>
      <c r="W4" s="214"/>
      <c r="X4" s="474" t="s">
        <v>23</v>
      </c>
      <c r="Y4" s="479" t="str">
        <f>IF(COUNT($I$2:$I$200)=0,"",IF(OR(NOT(ISNUMBER(parametros!$F4)),NOT(ISNUMBER($AD4)),$AD4=0),"",ROUND(SUMPRODUCT($I$2:$I$200,$C$2:$C$200)*parametros!$F4/$AD4,2)))</f>
        <v/>
      </c>
      <c r="Z4" s="475"/>
      <c r="AA4" s="480"/>
      <c r="AB4" s="479" t="str">
        <f>IF($AG4&lt;&gt;"AJUSTE APLICADO","",IF($Z4="Valor pago",ROUND($AA4,2),ROUND($Y4-$AA4,2)))</f>
        <v/>
      </c>
      <c r="AC4" s="479" t="str">
        <f>IF($AG4&lt;&gt;"AJUSTE APLICADO","",ROUND($Y4-$AB4,2))</f>
        <v/>
      </c>
      <c r="AD4" s="481" t="str">
        <f>IF(ISNUMBER(parametros!$D13),parametros!$D13,"")</f>
        <v/>
      </c>
      <c r="AE4" s="479" t="str">
        <f>IF($AG4&lt;&gt;"AJUSTE APLICADO","",ROUND($AB4*$AD4,2))</f>
        <v/>
      </c>
      <c r="AF4" s="479" t="str">
        <f>IF($AG4&lt;&gt;"AJUSTE APLICADO","",ROUND($AE4-$AB4,2))</f>
        <v/>
      </c>
      <c r="AG4" s="476" t="str">
        <f>IF(AND($Z4="",$AA4=""),"",IF($Z4="","REVISAR: VALOR INFORMADO SEM TIPO DE AJUSTE",IF(AND($Z4&lt;&gt;"Valor pago",$Z4&lt;&gt;"Glosa"),"REVISAR: TIPO DE AJUSTE INVALIDO",IF($AA4="","REVISAR: TIPO DE AJUSTE SEM VALOR",IF(NOT(ISNUMBER($AA4)),"REVISAR: VALOR INFORMADO NAO NUMERICO",IF($AA4&lt;0,IF($Z4="Glosa","REVISAR: GLOSA NEGATIVA","REVISAR: VALOR PAGO NEGATIVO"),IF(NOT(ISNUMBER($AD4)),"REVISAR: CICLO FORA DA APURACAO OU SEM FATOR NOVO",IF(NOT(ISNUMBER($Y4)),"REVISAR: SEM EXECUCAO CALCULADA NO CICLO",IF(ROUND($AA4,2)&gt;ROUND($Y4,2),IF($Z4="Glosa","REVISAR: GLOSA MAIOR QUE O CALCULADO","REVISAR: VALOR PAGO MAIOR QUE O CALCULADO"),"AJUSTE APLICADO")))))))))</f>
        <v/>
      </c>
    </row>
    <row r="5" spans="1:33" x14ac:dyDescent="0.35">
      <c r="A5" s="93"/>
      <c r="B5" s="94"/>
      <c r="C5" s="95"/>
      <c r="D5" s="79" t="str">
        <f t="shared" si="0"/>
        <v/>
      </c>
      <c r="E5" s="94"/>
      <c r="F5" s="79" t="str">
        <f t="shared" si="1"/>
        <v/>
      </c>
      <c r="G5" s="94"/>
      <c r="H5" s="79" t="str">
        <f t="shared" si="2"/>
        <v/>
      </c>
      <c r="I5" s="94"/>
      <c r="J5" s="79" t="str">
        <f t="shared" si="3"/>
        <v/>
      </c>
      <c r="K5" s="94"/>
      <c r="L5" s="79" t="str">
        <f t="shared" si="4"/>
        <v/>
      </c>
      <c r="M5" s="94"/>
      <c r="N5" s="79" t="str">
        <f t="shared" si="5"/>
        <v/>
      </c>
      <c r="O5" s="85" t="str">
        <f t="shared" si="6"/>
        <v/>
      </c>
      <c r="P5" s="79" t="str">
        <f t="shared" si="7"/>
        <v/>
      </c>
      <c r="Q5" s="184" t="str">
        <f t="shared" si="8"/>
        <v/>
      </c>
      <c r="R5" s="23" t="s">
        <v>24</v>
      </c>
      <c r="S5" s="96">
        <f>parametros!$A$5</f>
        <v>0</v>
      </c>
      <c r="T5" s="97" t="str">
        <f>IF(ISNUMBER(parametros!$E$5),parametros!$E$5,"")</f>
        <v/>
      </c>
      <c r="U5" s="98" t="str">
        <f>IF(ISNUMBER(parametros!$F$5),parametros!$F$5,"")</f>
        <v/>
      </c>
      <c r="V5" s="14" t="str">
        <f t="shared" si="9"/>
        <v/>
      </c>
      <c r="W5" s="214"/>
      <c r="X5" s="474" t="s">
        <v>24</v>
      </c>
      <c r="Y5" s="479" t="str">
        <f>IF(COUNT($K$2:$K$200)=0,"",IF(OR(NOT(ISNUMBER(parametros!$F5)),NOT(ISNUMBER($AD5)),$AD5=0),"",ROUND(SUMPRODUCT($K$2:$K$200,$C$2:$C$200)*parametros!$F5/$AD5,2)))</f>
        <v/>
      </c>
      <c r="Z5" s="475"/>
      <c r="AA5" s="480"/>
      <c r="AB5" s="479" t="str">
        <f>IF($AG5&lt;&gt;"AJUSTE APLICADO","",IF($Z5="Valor pago",ROUND($AA5,2),ROUND($Y5-$AA5,2)))</f>
        <v/>
      </c>
      <c r="AC5" s="479" t="str">
        <f>IF($AG5&lt;&gt;"AJUSTE APLICADO","",ROUND($Y5-$AB5,2))</f>
        <v/>
      </c>
      <c r="AD5" s="481" t="str">
        <f>IF(ISNUMBER(parametros!$D14),parametros!$D14,"")</f>
        <v/>
      </c>
      <c r="AE5" s="479" t="str">
        <f>IF($AG5&lt;&gt;"AJUSTE APLICADO","",ROUND($AB5*$AD5,2))</f>
        <v/>
      </c>
      <c r="AF5" s="479" t="str">
        <f>IF($AG5&lt;&gt;"AJUSTE APLICADO","",ROUND($AE5-$AB5,2))</f>
        <v/>
      </c>
      <c r="AG5" s="476" t="str">
        <f>IF(AND($Z5="",$AA5=""),"",IF($Z5="","REVISAR: VALOR INFORMADO SEM TIPO DE AJUSTE",IF(AND($Z5&lt;&gt;"Valor pago",$Z5&lt;&gt;"Glosa"),"REVISAR: TIPO DE AJUSTE INVALIDO",IF($AA5="","REVISAR: TIPO DE AJUSTE SEM VALOR",IF(NOT(ISNUMBER($AA5)),"REVISAR: VALOR INFORMADO NAO NUMERICO",IF($AA5&lt;0,IF($Z5="Glosa","REVISAR: GLOSA NEGATIVA","REVISAR: VALOR PAGO NEGATIVO"),IF(NOT(ISNUMBER($AD5)),"REVISAR: CICLO FORA DA APURACAO OU SEM FATOR NOVO",IF(NOT(ISNUMBER($Y5)),"REVISAR: SEM EXECUCAO CALCULADA NO CICLO",IF(ROUND($AA5,2)&gt;ROUND($Y5,2),IF($Z5="Glosa","REVISAR: GLOSA MAIOR QUE O CALCULADO","REVISAR: VALOR PAGO MAIOR QUE O CALCULADO"),"AJUSTE APLICADO")))))))))</f>
        <v/>
      </c>
    </row>
    <row r="6" spans="1:33" x14ac:dyDescent="0.35">
      <c r="A6" s="93"/>
      <c r="B6" s="94"/>
      <c r="C6" s="95"/>
      <c r="D6" s="79" t="str">
        <f t="shared" si="0"/>
        <v/>
      </c>
      <c r="E6" s="94"/>
      <c r="F6" s="79" t="str">
        <f t="shared" si="1"/>
        <v/>
      </c>
      <c r="G6" s="94"/>
      <c r="H6" s="79" t="str">
        <f t="shared" si="2"/>
        <v/>
      </c>
      <c r="I6" s="94"/>
      <c r="J6" s="79" t="str">
        <f t="shared" si="3"/>
        <v/>
      </c>
      <c r="K6" s="94"/>
      <c r="L6" s="79" t="str">
        <f t="shared" si="4"/>
        <v/>
      </c>
      <c r="M6" s="94"/>
      <c r="N6" s="79" t="str">
        <f t="shared" si="5"/>
        <v/>
      </c>
      <c r="O6" s="85" t="str">
        <f t="shared" si="6"/>
        <v/>
      </c>
      <c r="P6" s="79" t="str">
        <f t="shared" si="7"/>
        <v/>
      </c>
      <c r="Q6" s="184" t="str">
        <f t="shared" si="8"/>
        <v/>
      </c>
      <c r="R6" s="23" t="s">
        <v>25</v>
      </c>
      <c r="S6" s="96">
        <f>parametros!$A$6</f>
        <v>0</v>
      </c>
      <c r="T6" s="97" t="str">
        <f>IF(ISNUMBER(parametros!$E$6),parametros!$E$6,"")</f>
        <v/>
      </c>
      <c r="U6" s="98" t="str">
        <f>IF(ISNUMBER(parametros!$F$6),parametros!$F$6,"")</f>
        <v/>
      </c>
      <c r="V6" s="14" t="str">
        <f t="shared" si="9"/>
        <v/>
      </c>
      <c r="W6" s="214"/>
      <c r="X6" s="474" t="s">
        <v>25</v>
      </c>
      <c r="Y6" s="479" t="str">
        <f>IF(COUNT($M$2:$M$200)=0,"",IF(OR(NOT(ISNUMBER(parametros!$F6)),NOT(ISNUMBER($AD6)),$AD6=0),"",ROUND(SUMPRODUCT($M$2:$M$200,$C$2:$C$200)*parametros!$F6/$AD6,2)))</f>
        <v/>
      </c>
      <c r="Z6" s="475"/>
      <c r="AA6" s="480"/>
      <c r="AB6" s="479" t="str">
        <f>IF($AG6&lt;&gt;"AJUSTE APLICADO","",IF($Z6="Valor pago",ROUND($AA6,2),ROUND($Y6-$AA6,2)))</f>
        <v/>
      </c>
      <c r="AC6" s="479" t="str">
        <f>IF($AG6&lt;&gt;"AJUSTE APLICADO","",ROUND($Y6-$AB6,2))</f>
        <v/>
      </c>
      <c r="AD6" s="481" t="str">
        <f>IF(ISNUMBER(parametros!$D15),parametros!$D15,"")</f>
        <v/>
      </c>
      <c r="AE6" s="479" t="str">
        <f>IF($AG6&lt;&gt;"AJUSTE APLICADO","",ROUND($AB6*$AD6,2))</f>
        <v/>
      </c>
      <c r="AF6" s="479" t="str">
        <f>IF($AG6&lt;&gt;"AJUSTE APLICADO","",ROUND($AE6-$AB6,2))</f>
        <v/>
      </c>
      <c r="AG6" s="476" t="str">
        <f>IF(AND($Z6="",$AA6=""),"",IF($Z6="","REVISAR: VALOR INFORMADO SEM TIPO DE AJUSTE",IF(AND($Z6&lt;&gt;"Valor pago",$Z6&lt;&gt;"Glosa"),"REVISAR: TIPO DE AJUSTE INVALIDO",IF($AA6="","REVISAR: TIPO DE AJUSTE SEM VALOR",IF(NOT(ISNUMBER($AA6)),"REVISAR: VALOR INFORMADO NAO NUMERICO",IF($AA6&lt;0,IF($Z6="Glosa","REVISAR: GLOSA NEGATIVA","REVISAR: VALOR PAGO NEGATIVO"),IF(NOT(ISNUMBER($AD6)),"REVISAR: CICLO FORA DA APURACAO OU SEM FATOR NOVO",IF(NOT(ISNUMBER($Y6)),"REVISAR: SEM EXECUCAO CALCULADA NO CICLO",IF(ROUND($AA6,2)&gt;ROUND($Y6,2),IF($Z6="Glosa","REVISAR: GLOSA MAIOR QUE O CALCULADO","REVISAR: VALOR PAGO MAIOR QUE O CALCULADO"),"AJUSTE APLICADO")))))))))</f>
        <v/>
      </c>
    </row>
    <row r="7" spans="1:33" x14ac:dyDescent="0.35">
      <c r="A7" s="93"/>
      <c r="B7" s="94"/>
      <c r="C7" s="95"/>
      <c r="D7" s="79" t="str">
        <f t="shared" si="0"/>
        <v/>
      </c>
      <c r="E7" s="94"/>
      <c r="F7" s="79" t="str">
        <f t="shared" si="1"/>
        <v/>
      </c>
      <c r="G7" s="94"/>
      <c r="H7" s="79" t="str">
        <f t="shared" si="2"/>
        <v/>
      </c>
      <c r="I7" s="94"/>
      <c r="J7" s="79" t="str">
        <f t="shared" si="3"/>
        <v/>
      </c>
      <c r="K7" s="94"/>
      <c r="L7" s="79" t="str">
        <f t="shared" si="4"/>
        <v/>
      </c>
      <c r="M7" s="94"/>
      <c r="N7" s="79" t="str">
        <f t="shared" si="5"/>
        <v/>
      </c>
      <c r="O7" s="85" t="str">
        <f t="shared" si="6"/>
        <v/>
      </c>
      <c r="P7" s="79" t="str">
        <f t="shared" si="7"/>
        <v/>
      </c>
      <c r="Q7" s="184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33" ht="20" customHeight="1" x14ac:dyDescent="0.35">
      <c r="A8" s="93"/>
      <c r="B8" s="94"/>
      <c r="C8" s="95"/>
      <c r="D8" s="79" t="str">
        <f t="shared" si="0"/>
        <v/>
      </c>
      <c r="E8" s="94"/>
      <c r="F8" s="79" t="str">
        <f t="shared" si="1"/>
        <v/>
      </c>
      <c r="G8" s="94"/>
      <c r="H8" s="79" t="str">
        <f t="shared" si="2"/>
        <v/>
      </c>
      <c r="I8" s="94"/>
      <c r="J8" s="79" t="str">
        <f t="shared" si="3"/>
        <v/>
      </c>
      <c r="K8" s="94"/>
      <c r="L8" s="79" t="str">
        <f t="shared" si="4"/>
        <v/>
      </c>
      <c r="M8" s="94"/>
      <c r="N8" s="79" t="str">
        <f t="shared" si="5"/>
        <v/>
      </c>
      <c r="O8" s="85" t="str">
        <f t="shared" si="6"/>
        <v/>
      </c>
      <c r="P8" s="79" t="str">
        <f t="shared" si="7"/>
        <v/>
      </c>
      <c r="Q8" s="184" t="str">
        <f t="shared" si="8"/>
        <v/>
      </c>
      <c r="R8" s="14"/>
      <c r="S8" s="14"/>
      <c r="T8" s="14"/>
      <c r="U8" s="14"/>
      <c r="V8" s="14" t="str">
        <f t="shared" si="9"/>
        <v/>
      </c>
      <c r="W8" s="214"/>
      <c r="X8" s="495" t="s">
        <v>739</v>
      </c>
      <c r="Y8" s="495"/>
      <c r="Z8" s="495"/>
      <c r="AA8" s="495"/>
      <c r="AB8" s="495"/>
      <c r="AC8" s="495"/>
      <c r="AD8" s="495"/>
      <c r="AE8" s="495"/>
      <c r="AF8" s="495"/>
      <c r="AG8" s="495"/>
    </row>
    <row r="9" spans="1:33" ht="33" customHeight="1" x14ac:dyDescent="0.35">
      <c r="A9" s="93"/>
      <c r="B9" s="94"/>
      <c r="C9" s="95"/>
      <c r="D9" s="79" t="str">
        <f t="shared" si="0"/>
        <v/>
      </c>
      <c r="E9" s="94"/>
      <c r="F9" s="79" t="str">
        <f t="shared" si="1"/>
        <v/>
      </c>
      <c r="G9" s="94"/>
      <c r="H9" s="79" t="str">
        <f t="shared" si="2"/>
        <v/>
      </c>
      <c r="I9" s="94"/>
      <c r="J9" s="79" t="str">
        <f t="shared" si="3"/>
        <v/>
      </c>
      <c r="K9" s="94"/>
      <c r="L9" s="79" t="str">
        <f t="shared" si="4"/>
        <v/>
      </c>
      <c r="M9" s="94"/>
      <c r="N9" s="79" t="str">
        <f t="shared" si="5"/>
        <v/>
      </c>
      <c r="O9" s="85" t="str">
        <f t="shared" si="6"/>
        <v/>
      </c>
      <c r="P9" s="79" t="str">
        <f t="shared" si="7"/>
        <v/>
      </c>
      <c r="Q9" s="184" t="str">
        <f t="shared" si="8"/>
        <v/>
      </c>
      <c r="R9" s="14"/>
      <c r="S9" s="14"/>
      <c r="T9" s="14"/>
      <c r="U9" s="14"/>
      <c r="V9" s="14" t="str">
        <f t="shared" si="9"/>
        <v/>
      </c>
      <c r="W9" s="214"/>
      <c r="X9" s="494" t="s">
        <v>738</v>
      </c>
      <c r="Y9" s="494"/>
      <c r="Z9" s="494"/>
      <c r="AA9" s="494"/>
      <c r="AB9" s="494"/>
      <c r="AC9" s="494"/>
      <c r="AD9" s="494"/>
      <c r="AE9" s="494"/>
      <c r="AF9" s="494"/>
      <c r="AG9" s="494"/>
    </row>
    <row r="10" spans="1:33" ht="18.5" customHeight="1" x14ac:dyDescent="0.35">
      <c r="A10" s="93"/>
      <c r="B10" s="94"/>
      <c r="C10" s="95"/>
      <c r="D10" s="79" t="str">
        <f t="shared" si="0"/>
        <v/>
      </c>
      <c r="E10" s="94"/>
      <c r="F10" s="79" t="str">
        <f t="shared" si="1"/>
        <v/>
      </c>
      <c r="G10" s="94"/>
      <c r="H10" s="79" t="str">
        <f t="shared" si="2"/>
        <v/>
      </c>
      <c r="I10" s="94"/>
      <c r="J10" s="79" t="str">
        <f t="shared" si="3"/>
        <v/>
      </c>
      <c r="K10" s="94"/>
      <c r="L10" s="79" t="str">
        <f t="shared" si="4"/>
        <v/>
      </c>
      <c r="M10" s="94"/>
      <c r="N10" s="79" t="str">
        <f t="shared" si="5"/>
        <v/>
      </c>
      <c r="O10" s="85" t="str">
        <f t="shared" si="6"/>
        <v/>
      </c>
      <c r="P10" s="79" t="str">
        <f t="shared" si="7"/>
        <v/>
      </c>
      <c r="Q10" s="184" t="str">
        <f t="shared" si="8"/>
        <v/>
      </c>
      <c r="R10" s="14"/>
      <c r="S10" s="14"/>
      <c r="T10" s="14"/>
      <c r="U10" s="14"/>
      <c r="V10" s="14" t="str">
        <f t="shared" si="9"/>
        <v/>
      </c>
      <c r="W10" s="214"/>
      <c r="X10" s="494" t="s">
        <v>557</v>
      </c>
      <c r="Y10" s="494"/>
      <c r="Z10" s="494"/>
      <c r="AA10" s="494"/>
      <c r="AB10" s="494"/>
      <c r="AC10" s="494"/>
      <c r="AD10" s="494"/>
      <c r="AE10" s="494"/>
      <c r="AF10" s="494"/>
      <c r="AG10" s="494"/>
    </row>
    <row r="11" spans="1:33" ht="33" customHeight="1" x14ac:dyDescent="0.35">
      <c r="A11" s="93"/>
      <c r="B11" s="94"/>
      <c r="C11" s="95"/>
      <c r="D11" s="79" t="str">
        <f t="shared" si="0"/>
        <v/>
      </c>
      <c r="E11" s="94"/>
      <c r="F11" s="79" t="str">
        <f t="shared" si="1"/>
        <v/>
      </c>
      <c r="G11" s="94"/>
      <c r="H11" s="79" t="str">
        <f t="shared" si="2"/>
        <v/>
      </c>
      <c r="I11" s="94"/>
      <c r="J11" s="79" t="str">
        <f t="shared" si="3"/>
        <v/>
      </c>
      <c r="K11" s="94"/>
      <c r="L11" s="79" t="str">
        <f t="shared" si="4"/>
        <v/>
      </c>
      <c r="M11" s="94"/>
      <c r="N11" s="79" t="str">
        <f t="shared" si="5"/>
        <v/>
      </c>
      <c r="O11" s="85" t="str">
        <f t="shared" si="6"/>
        <v/>
      </c>
      <c r="P11" s="79" t="str">
        <f t="shared" si="7"/>
        <v/>
      </c>
      <c r="Q11" s="184" t="str">
        <f t="shared" si="8"/>
        <v/>
      </c>
      <c r="R11" s="14"/>
      <c r="S11" s="14"/>
      <c r="T11" s="14"/>
      <c r="U11" s="14"/>
      <c r="V11" s="14" t="str">
        <f t="shared" si="9"/>
        <v/>
      </c>
      <c r="W11" s="214"/>
      <c r="X11" s="494" t="s">
        <v>558</v>
      </c>
      <c r="Y11" s="494"/>
      <c r="Z11" s="494"/>
      <c r="AA11" s="494"/>
      <c r="AB11" s="494"/>
      <c r="AC11" s="494"/>
      <c r="AD11" s="494"/>
      <c r="AE11" s="494"/>
      <c r="AF11" s="494"/>
      <c r="AG11" s="494"/>
    </row>
    <row r="12" spans="1:33" ht="33" customHeight="1" x14ac:dyDescent="0.35">
      <c r="A12" s="93"/>
      <c r="B12" s="94"/>
      <c r="C12" s="95"/>
      <c r="D12" s="79" t="str">
        <f t="shared" si="0"/>
        <v/>
      </c>
      <c r="E12" s="94"/>
      <c r="F12" s="79" t="str">
        <f t="shared" si="1"/>
        <v/>
      </c>
      <c r="G12" s="94"/>
      <c r="H12" s="79" t="str">
        <f t="shared" si="2"/>
        <v/>
      </c>
      <c r="I12" s="94"/>
      <c r="J12" s="79" t="str">
        <f t="shared" si="3"/>
        <v/>
      </c>
      <c r="K12" s="94"/>
      <c r="L12" s="79" t="str">
        <f t="shared" si="4"/>
        <v/>
      </c>
      <c r="M12" s="94"/>
      <c r="N12" s="79" t="str">
        <f t="shared" si="5"/>
        <v/>
      </c>
      <c r="O12" s="85" t="str">
        <f t="shared" si="6"/>
        <v/>
      </c>
      <c r="P12" s="79" t="str">
        <f t="shared" si="7"/>
        <v/>
      </c>
      <c r="Q12" s="184" t="str">
        <f t="shared" si="8"/>
        <v/>
      </c>
      <c r="R12" s="14"/>
      <c r="S12" s="14"/>
      <c r="T12" s="14"/>
      <c r="U12" s="14"/>
      <c r="V12" s="14" t="str">
        <f t="shared" si="9"/>
        <v/>
      </c>
      <c r="W12" s="214"/>
      <c r="X12" s="494" t="s">
        <v>559</v>
      </c>
      <c r="Y12" s="494"/>
      <c r="Z12" s="494"/>
      <c r="AA12" s="494"/>
      <c r="AB12" s="494"/>
      <c r="AC12" s="494"/>
      <c r="AD12" s="494"/>
      <c r="AE12" s="494"/>
      <c r="AF12" s="494"/>
      <c r="AG12" s="494"/>
    </row>
    <row r="13" spans="1:33" ht="18.5" customHeight="1" x14ac:dyDescent="0.35">
      <c r="A13" s="93"/>
      <c r="B13" s="94"/>
      <c r="C13" s="95"/>
      <c r="D13" s="79" t="str">
        <f t="shared" si="0"/>
        <v/>
      </c>
      <c r="E13" s="94"/>
      <c r="F13" s="79" t="str">
        <f t="shared" si="1"/>
        <v/>
      </c>
      <c r="G13" s="94"/>
      <c r="H13" s="79" t="str">
        <f t="shared" si="2"/>
        <v/>
      </c>
      <c r="I13" s="94"/>
      <c r="J13" s="79" t="str">
        <f t="shared" si="3"/>
        <v/>
      </c>
      <c r="K13" s="94"/>
      <c r="L13" s="79" t="str">
        <f t="shared" si="4"/>
        <v/>
      </c>
      <c r="M13" s="94"/>
      <c r="N13" s="79" t="str">
        <f t="shared" si="5"/>
        <v/>
      </c>
      <c r="O13" s="85" t="str">
        <f t="shared" si="6"/>
        <v/>
      </c>
      <c r="P13" s="79" t="str">
        <f t="shared" si="7"/>
        <v/>
      </c>
      <c r="Q13" s="184" t="str">
        <f t="shared" si="8"/>
        <v/>
      </c>
      <c r="R13" s="14"/>
      <c r="S13" s="14"/>
      <c r="T13" s="14"/>
      <c r="U13" s="14"/>
      <c r="V13" s="14" t="str">
        <f t="shared" si="9"/>
        <v/>
      </c>
      <c r="W13" s="214"/>
      <c r="X13" s="494" t="s">
        <v>560</v>
      </c>
      <c r="Y13" s="494"/>
      <c r="Z13" s="494"/>
      <c r="AA13" s="494"/>
      <c r="AB13" s="494"/>
      <c r="AC13" s="494"/>
      <c r="AD13" s="494"/>
      <c r="AE13" s="494"/>
      <c r="AF13" s="494"/>
      <c r="AG13" s="494"/>
    </row>
    <row r="14" spans="1:33" x14ac:dyDescent="0.35">
      <c r="A14" s="93"/>
      <c r="B14" s="94"/>
      <c r="C14" s="95"/>
      <c r="D14" s="79" t="str">
        <f t="shared" si="0"/>
        <v/>
      </c>
      <c r="E14" s="94"/>
      <c r="F14" s="79" t="str">
        <f t="shared" si="1"/>
        <v/>
      </c>
      <c r="G14" s="94"/>
      <c r="H14" s="79" t="str">
        <f t="shared" si="2"/>
        <v/>
      </c>
      <c r="I14" s="94"/>
      <c r="J14" s="79" t="str">
        <f t="shared" si="3"/>
        <v/>
      </c>
      <c r="K14" s="94"/>
      <c r="L14" s="79" t="str">
        <f t="shared" si="4"/>
        <v/>
      </c>
      <c r="M14" s="94"/>
      <c r="N14" s="79" t="str">
        <f t="shared" si="5"/>
        <v/>
      </c>
      <c r="O14" s="85" t="str">
        <f t="shared" si="6"/>
        <v/>
      </c>
      <c r="P14" s="79" t="str">
        <f t="shared" si="7"/>
        <v/>
      </c>
      <c r="Q14" s="184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33" x14ac:dyDescent="0.35">
      <c r="A15" s="93"/>
      <c r="B15" s="94"/>
      <c r="C15" s="95"/>
      <c r="D15" s="79" t="str">
        <f t="shared" si="0"/>
        <v/>
      </c>
      <c r="E15" s="94"/>
      <c r="F15" s="79" t="str">
        <f t="shared" si="1"/>
        <v/>
      </c>
      <c r="G15" s="94"/>
      <c r="H15" s="79" t="str">
        <f t="shared" si="2"/>
        <v/>
      </c>
      <c r="I15" s="94"/>
      <c r="J15" s="79" t="str">
        <f t="shared" si="3"/>
        <v/>
      </c>
      <c r="K15" s="94"/>
      <c r="L15" s="79" t="str">
        <f t="shared" si="4"/>
        <v/>
      </c>
      <c r="M15" s="94"/>
      <c r="N15" s="79" t="str">
        <f t="shared" si="5"/>
        <v/>
      </c>
      <c r="O15" s="85" t="str">
        <f t="shared" si="6"/>
        <v/>
      </c>
      <c r="P15" s="79" t="str">
        <f t="shared" si="7"/>
        <v/>
      </c>
      <c r="Q15" s="184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33" x14ac:dyDescent="0.35">
      <c r="A16" s="93"/>
      <c r="B16" s="94"/>
      <c r="C16" s="95"/>
      <c r="D16" s="79" t="str">
        <f t="shared" si="0"/>
        <v/>
      </c>
      <c r="E16" s="94"/>
      <c r="F16" s="79" t="str">
        <f t="shared" si="1"/>
        <v/>
      </c>
      <c r="G16" s="94"/>
      <c r="H16" s="79" t="str">
        <f t="shared" si="2"/>
        <v/>
      </c>
      <c r="I16" s="94"/>
      <c r="J16" s="79" t="str">
        <f t="shared" si="3"/>
        <v/>
      </c>
      <c r="K16" s="94"/>
      <c r="L16" s="79" t="str">
        <f t="shared" si="4"/>
        <v/>
      </c>
      <c r="M16" s="94"/>
      <c r="N16" s="79" t="str">
        <f t="shared" si="5"/>
        <v/>
      </c>
      <c r="O16" s="85" t="str">
        <f t="shared" si="6"/>
        <v/>
      </c>
      <c r="P16" s="79" t="str">
        <f t="shared" si="7"/>
        <v/>
      </c>
      <c r="Q16" s="184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3"/>
      <c r="B17" s="94"/>
      <c r="C17" s="95"/>
      <c r="D17" s="79" t="str">
        <f t="shared" si="0"/>
        <v/>
      </c>
      <c r="E17" s="94"/>
      <c r="F17" s="79" t="str">
        <f t="shared" si="1"/>
        <v/>
      </c>
      <c r="G17" s="94"/>
      <c r="H17" s="79" t="str">
        <f t="shared" si="2"/>
        <v/>
      </c>
      <c r="I17" s="94"/>
      <c r="J17" s="79" t="str">
        <f t="shared" si="3"/>
        <v/>
      </c>
      <c r="K17" s="94"/>
      <c r="L17" s="79" t="str">
        <f t="shared" si="4"/>
        <v/>
      </c>
      <c r="M17" s="94"/>
      <c r="N17" s="79" t="str">
        <f t="shared" si="5"/>
        <v/>
      </c>
      <c r="O17" s="85" t="str">
        <f t="shared" si="6"/>
        <v/>
      </c>
      <c r="P17" s="79" t="str">
        <f t="shared" si="7"/>
        <v/>
      </c>
      <c r="Q17" s="184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3"/>
      <c r="B18" s="94"/>
      <c r="C18" s="95"/>
      <c r="D18" s="79" t="str">
        <f t="shared" si="0"/>
        <v/>
      </c>
      <c r="E18" s="94"/>
      <c r="F18" s="79" t="str">
        <f t="shared" si="1"/>
        <v/>
      </c>
      <c r="G18" s="94"/>
      <c r="H18" s="79" t="str">
        <f t="shared" si="2"/>
        <v/>
      </c>
      <c r="I18" s="94"/>
      <c r="J18" s="79" t="str">
        <f t="shared" si="3"/>
        <v/>
      </c>
      <c r="K18" s="94"/>
      <c r="L18" s="79" t="str">
        <f t="shared" si="4"/>
        <v/>
      </c>
      <c r="M18" s="94"/>
      <c r="N18" s="79" t="str">
        <f t="shared" si="5"/>
        <v/>
      </c>
      <c r="O18" s="85" t="str">
        <f t="shared" si="6"/>
        <v/>
      </c>
      <c r="P18" s="79" t="str">
        <f t="shared" si="7"/>
        <v/>
      </c>
      <c r="Q18" s="184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3"/>
      <c r="B19" s="94"/>
      <c r="C19" s="95"/>
      <c r="D19" s="79" t="str">
        <f t="shared" si="0"/>
        <v/>
      </c>
      <c r="E19" s="94"/>
      <c r="F19" s="79" t="str">
        <f t="shared" si="1"/>
        <v/>
      </c>
      <c r="G19" s="94"/>
      <c r="H19" s="79" t="str">
        <f t="shared" si="2"/>
        <v/>
      </c>
      <c r="I19" s="94"/>
      <c r="J19" s="79" t="str">
        <f t="shared" si="3"/>
        <v/>
      </c>
      <c r="K19" s="94"/>
      <c r="L19" s="79" t="str">
        <f t="shared" si="4"/>
        <v/>
      </c>
      <c r="M19" s="94"/>
      <c r="N19" s="79" t="str">
        <f t="shared" si="5"/>
        <v/>
      </c>
      <c r="O19" s="85" t="str">
        <f t="shared" si="6"/>
        <v/>
      </c>
      <c r="P19" s="79" t="str">
        <f t="shared" si="7"/>
        <v/>
      </c>
      <c r="Q19" s="184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3"/>
      <c r="B20" s="94"/>
      <c r="C20" s="95"/>
      <c r="D20" s="79" t="str">
        <f t="shared" si="0"/>
        <v/>
      </c>
      <c r="E20" s="94"/>
      <c r="F20" s="79" t="str">
        <f t="shared" si="1"/>
        <v/>
      </c>
      <c r="G20" s="94"/>
      <c r="H20" s="79" t="str">
        <f t="shared" si="2"/>
        <v/>
      </c>
      <c r="I20" s="94"/>
      <c r="J20" s="79" t="str">
        <f t="shared" si="3"/>
        <v/>
      </c>
      <c r="K20" s="94"/>
      <c r="L20" s="79" t="str">
        <f t="shared" si="4"/>
        <v/>
      </c>
      <c r="M20" s="94"/>
      <c r="N20" s="79" t="str">
        <f t="shared" si="5"/>
        <v/>
      </c>
      <c r="O20" s="85" t="str">
        <f t="shared" si="6"/>
        <v/>
      </c>
      <c r="P20" s="79" t="str">
        <f t="shared" si="7"/>
        <v/>
      </c>
      <c r="Q20" s="184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3"/>
      <c r="B21" s="94"/>
      <c r="C21" s="95"/>
      <c r="D21" s="79" t="str">
        <f t="shared" si="0"/>
        <v/>
      </c>
      <c r="E21" s="94"/>
      <c r="F21" s="79" t="str">
        <f t="shared" si="1"/>
        <v/>
      </c>
      <c r="G21" s="94"/>
      <c r="H21" s="79" t="str">
        <f t="shared" si="2"/>
        <v/>
      </c>
      <c r="I21" s="94"/>
      <c r="J21" s="79" t="str">
        <f t="shared" si="3"/>
        <v/>
      </c>
      <c r="K21" s="94"/>
      <c r="L21" s="79" t="str">
        <f t="shared" si="4"/>
        <v/>
      </c>
      <c r="M21" s="94"/>
      <c r="N21" s="79" t="str">
        <f t="shared" si="5"/>
        <v/>
      </c>
      <c r="O21" s="85" t="str">
        <f t="shared" si="6"/>
        <v/>
      </c>
      <c r="P21" s="79" t="str">
        <f t="shared" si="7"/>
        <v/>
      </c>
      <c r="Q21" s="184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3"/>
      <c r="B22" s="94"/>
      <c r="C22" s="95"/>
      <c r="D22" s="79" t="str">
        <f t="shared" si="0"/>
        <v/>
      </c>
      <c r="E22" s="94"/>
      <c r="F22" s="79" t="str">
        <f t="shared" si="1"/>
        <v/>
      </c>
      <c r="G22" s="94"/>
      <c r="H22" s="79" t="str">
        <f t="shared" si="2"/>
        <v/>
      </c>
      <c r="I22" s="94"/>
      <c r="J22" s="79" t="str">
        <f t="shared" si="3"/>
        <v/>
      </c>
      <c r="K22" s="94"/>
      <c r="L22" s="79" t="str">
        <f t="shared" si="4"/>
        <v/>
      </c>
      <c r="M22" s="94"/>
      <c r="N22" s="79" t="str">
        <f t="shared" si="5"/>
        <v/>
      </c>
      <c r="O22" s="85" t="str">
        <f t="shared" si="6"/>
        <v/>
      </c>
      <c r="P22" s="79" t="str">
        <f t="shared" si="7"/>
        <v/>
      </c>
      <c r="Q22" s="184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3"/>
      <c r="B23" s="94"/>
      <c r="C23" s="95"/>
      <c r="D23" s="79" t="str">
        <f t="shared" si="0"/>
        <v/>
      </c>
      <c r="E23" s="94"/>
      <c r="F23" s="79" t="str">
        <f t="shared" si="1"/>
        <v/>
      </c>
      <c r="G23" s="94"/>
      <c r="H23" s="79" t="str">
        <f t="shared" si="2"/>
        <v/>
      </c>
      <c r="I23" s="94"/>
      <c r="J23" s="79" t="str">
        <f t="shared" si="3"/>
        <v/>
      </c>
      <c r="K23" s="94"/>
      <c r="L23" s="79" t="str">
        <f t="shared" si="4"/>
        <v/>
      </c>
      <c r="M23" s="94"/>
      <c r="N23" s="79" t="str">
        <f t="shared" si="5"/>
        <v/>
      </c>
      <c r="O23" s="85" t="str">
        <f t="shared" si="6"/>
        <v/>
      </c>
      <c r="P23" s="79" t="str">
        <f t="shared" si="7"/>
        <v/>
      </c>
      <c r="Q23" s="184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3"/>
      <c r="B24" s="94"/>
      <c r="C24" s="95"/>
      <c r="D24" s="79" t="str">
        <f t="shared" si="0"/>
        <v/>
      </c>
      <c r="E24" s="94"/>
      <c r="F24" s="79" t="str">
        <f t="shared" si="1"/>
        <v/>
      </c>
      <c r="G24" s="94"/>
      <c r="H24" s="79" t="str">
        <f t="shared" si="2"/>
        <v/>
      </c>
      <c r="I24" s="94"/>
      <c r="J24" s="79" t="str">
        <f t="shared" si="3"/>
        <v/>
      </c>
      <c r="K24" s="94"/>
      <c r="L24" s="79" t="str">
        <f t="shared" si="4"/>
        <v/>
      </c>
      <c r="M24" s="94"/>
      <c r="N24" s="79" t="str">
        <f t="shared" si="5"/>
        <v/>
      </c>
      <c r="O24" s="85" t="str">
        <f t="shared" si="6"/>
        <v/>
      </c>
      <c r="P24" s="79" t="str">
        <f t="shared" si="7"/>
        <v/>
      </c>
      <c r="Q24" s="184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3"/>
      <c r="B25" s="94"/>
      <c r="C25" s="95"/>
      <c r="D25" s="79" t="str">
        <f t="shared" si="0"/>
        <v/>
      </c>
      <c r="E25" s="94"/>
      <c r="F25" s="79" t="str">
        <f t="shared" si="1"/>
        <v/>
      </c>
      <c r="G25" s="94"/>
      <c r="H25" s="79" t="str">
        <f t="shared" si="2"/>
        <v/>
      </c>
      <c r="I25" s="94"/>
      <c r="J25" s="79" t="str">
        <f t="shared" si="3"/>
        <v/>
      </c>
      <c r="K25" s="94"/>
      <c r="L25" s="79" t="str">
        <f t="shared" si="4"/>
        <v/>
      </c>
      <c r="M25" s="94"/>
      <c r="N25" s="79" t="str">
        <f t="shared" si="5"/>
        <v/>
      </c>
      <c r="O25" s="85" t="str">
        <f t="shared" si="6"/>
        <v/>
      </c>
      <c r="P25" s="79" t="str">
        <f t="shared" si="7"/>
        <v/>
      </c>
      <c r="Q25" s="184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3"/>
      <c r="B26" s="94"/>
      <c r="C26" s="95"/>
      <c r="D26" s="79" t="str">
        <f t="shared" si="0"/>
        <v/>
      </c>
      <c r="E26" s="94"/>
      <c r="F26" s="79" t="str">
        <f t="shared" si="1"/>
        <v/>
      </c>
      <c r="G26" s="94"/>
      <c r="H26" s="79" t="str">
        <f t="shared" si="2"/>
        <v/>
      </c>
      <c r="I26" s="94"/>
      <c r="J26" s="79" t="str">
        <f t="shared" si="3"/>
        <v/>
      </c>
      <c r="K26" s="94"/>
      <c r="L26" s="79" t="str">
        <f t="shared" si="4"/>
        <v/>
      </c>
      <c r="M26" s="94"/>
      <c r="N26" s="79" t="str">
        <f t="shared" si="5"/>
        <v/>
      </c>
      <c r="O26" s="85" t="str">
        <f t="shared" si="6"/>
        <v/>
      </c>
      <c r="P26" s="79" t="str">
        <f t="shared" si="7"/>
        <v/>
      </c>
      <c r="Q26" s="184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3"/>
      <c r="B27" s="94"/>
      <c r="C27" s="95"/>
      <c r="D27" s="79" t="str">
        <f t="shared" si="0"/>
        <v/>
      </c>
      <c r="E27" s="94"/>
      <c r="F27" s="79" t="str">
        <f t="shared" si="1"/>
        <v/>
      </c>
      <c r="G27" s="94"/>
      <c r="H27" s="79" t="str">
        <f t="shared" si="2"/>
        <v/>
      </c>
      <c r="I27" s="94"/>
      <c r="J27" s="79" t="str">
        <f t="shared" si="3"/>
        <v/>
      </c>
      <c r="K27" s="94"/>
      <c r="L27" s="79" t="str">
        <f t="shared" si="4"/>
        <v/>
      </c>
      <c r="M27" s="94"/>
      <c r="N27" s="79" t="str">
        <f t="shared" si="5"/>
        <v/>
      </c>
      <c r="O27" s="85" t="str">
        <f t="shared" si="6"/>
        <v/>
      </c>
      <c r="P27" s="79" t="str">
        <f t="shared" si="7"/>
        <v/>
      </c>
      <c r="Q27" s="184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3"/>
      <c r="B28" s="94"/>
      <c r="C28" s="95"/>
      <c r="D28" s="79" t="str">
        <f t="shared" si="0"/>
        <v/>
      </c>
      <c r="E28" s="94"/>
      <c r="F28" s="79" t="str">
        <f t="shared" si="1"/>
        <v/>
      </c>
      <c r="G28" s="94"/>
      <c r="H28" s="79" t="str">
        <f t="shared" si="2"/>
        <v/>
      </c>
      <c r="I28" s="94"/>
      <c r="J28" s="79" t="str">
        <f t="shared" si="3"/>
        <v/>
      </c>
      <c r="K28" s="94"/>
      <c r="L28" s="79" t="str">
        <f t="shared" si="4"/>
        <v/>
      </c>
      <c r="M28" s="94"/>
      <c r="N28" s="79" t="str">
        <f t="shared" si="5"/>
        <v/>
      </c>
      <c r="O28" s="85" t="str">
        <f t="shared" si="6"/>
        <v/>
      </c>
      <c r="P28" s="79" t="str">
        <f t="shared" si="7"/>
        <v/>
      </c>
      <c r="Q28" s="184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3"/>
      <c r="B29" s="94"/>
      <c r="C29" s="95"/>
      <c r="D29" s="79" t="str">
        <f t="shared" si="0"/>
        <v/>
      </c>
      <c r="E29" s="94"/>
      <c r="F29" s="79" t="str">
        <f t="shared" si="1"/>
        <v/>
      </c>
      <c r="G29" s="94"/>
      <c r="H29" s="79" t="str">
        <f t="shared" si="2"/>
        <v/>
      </c>
      <c r="I29" s="94"/>
      <c r="J29" s="79" t="str">
        <f t="shared" si="3"/>
        <v/>
      </c>
      <c r="K29" s="94"/>
      <c r="L29" s="79" t="str">
        <f t="shared" si="4"/>
        <v/>
      </c>
      <c r="M29" s="94"/>
      <c r="N29" s="79" t="str">
        <f t="shared" si="5"/>
        <v/>
      </c>
      <c r="O29" s="85" t="str">
        <f t="shared" si="6"/>
        <v/>
      </c>
      <c r="P29" s="79" t="str">
        <f t="shared" si="7"/>
        <v/>
      </c>
      <c r="Q29" s="184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3"/>
      <c r="B30" s="94"/>
      <c r="C30" s="95"/>
      <c r="D30" s="79" t="str">
        <f t="shared" si="0"/>
        <v/>
      </c>
      <c r="E30" s="94"/>
      <c r="F30" s="79" t="str">
        <f t="shared" si="1"/>
        <v/>
      </c>
      <c r="G30" s="94"/>
      <c r="H30" s="79" t="str">
        <f t="shared" si="2"/>
        <v/>
      </c>
      <c r="I30" s="94"/>
      <c r="J30" s="79" t="str">
        <f t="shared" si="3"/>
        <v/>
      </c>
      <c r="K30" s="94"/>
      <c r="L30" s="79" t="str">
        <f t="shared" si="4"/>
        <v/>
      </c>
      <c r="M30" s="94"/>
      <c r="N30" s="79" t="str">
        <f t="shared" si="5"/>
        <v/>
      </c>
      <c r="O30" s="85" t="str">
        <f t="shared" si="6"/>
        <v/>
      </c>
      <c r="P30" s="79" t="str">
        <f t="shared" si="7"/>
        <v/>
      </c>
      <c r="Q30" s="184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3"/>
      <c r="B31" s="94"/>
      <c r="C31" s="95"/>
      <c r="D31" s="79" t="str">
        <f t="shared" si="0"/>
        <v/>
      </c>
      <c r="E31" s="94"/>
      <c r="F31" s="79" t="str">
        <f t="shared" si="1"/>
        <v/>
      </c>
      <c r="G31" s="94"/>
      <c r="H31" s="79" t="str">
        <f t="shared" si="2"/>
        <v/>
      </c>
      <c r="I31" s="94"/>
      <c r="J31" s="79" t="str">
        <f t="shared" si="3"/>
        <v/>
      </c>
      <c r="K31" s="94"/>
      <c r="L31" s="79" t="str">
        <f t="shared" si="4"/>
        <v/>
      </c>
      <c r="M31" s="94"/>
      <c r="N31" s="79" t="str">
        <f t="shared" si="5"/>
        <v/>
      </c>
      <c r="O31" s="85" t="str">
        <f t="shared" si="6"/>
        <v/>
      </c>
      <c r="P31" s="79" t="str">
        <f t="shared" si="7"/>
        <v/>
      </c>
      <c r="Q31" s="184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3"/>
      <c r="B32" s="94"/>
      <c r="C32" s="95"/>
      <c r="D32" s="79" t="str">
        <f t="shared" si="0"/>
        <v/>
      </c>
      <c r="E32" s="94"/>
      <c r="F32" s="79" t="str">
        <f t="shared" si="1"/>
        <v/>
      </c>
      <c r="G32" s="94"/>
      <c r="H32" s="79" t="str">
        <f t="shared" si="2"/>
        <v/>
      </c>
      <c r="I32" s="94"/>
      <c r="J32" s="79" t="str">
        <f t="shared" si="3"/>
        <v/>
      </c>
      <c r="K32" s="94"/>
      <c r="L32" s="79" t="str">
        <f t="shared" si="4"/>
        <v/>
      </c>
      <c r="M32" s="94"/>
      <c r="N32" s="79" t="str">
        <f t="shared" si="5"/>
        <v/>
      </c>
      <c r="O32" s="85" t="str">
        <f t="shared" si="6"/>
        <v/>
      </c>
      <c r="P32" s="79" t="str">
        <f t="shared" si="7"/>
        <v/>
      </c>
      <c r="Q32" s="184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3"/>
      <c r="B33" s="94"/>
      <c r="C33" s="95"/>
      <c r="D33" s="79" t="str">
        <f t="shared" si="0"/>
        <v/>
      </c>
      <c r="E33" s="94"/>
      <c r="F33" s="79" t="str">
        <f t="shared" si="1"/>
        <v/>
      </c>
      <c r="G33" s="94"/>
      <c r="H33" s="79" t="str">
        <f t="shared" si="2"/>
        <v/>
      </c>
      <c r="I33" s="94"/>
      <c r="J33" s="79" t="str">
        <f t="shared" si="3"/>
        <v/>
      </c>
      <c r="K33" s="94"/>
      <c r="L33" s="79" t="str">
        <f t="shared" si="4"/>
        <v/>
      </c>
      <c r="M33" s="94"/>
      <c r="N33" s="79" t="str">
        <f t="shared" si="5"/>
        <v/>
      </c>
      <c r="O33" s="85" t="str">
        <f t="shared" si="6"/>
        <v/>
      </c>
      <c r="P33" s="79" t="str">
        <f t="shared" si="7"/>
        <v/>
      </c>
      <c r="Q33" s="184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3"/>
      <c r="B34" s="94"/>
      <c r="C34" s="95"/>
      <c r="D34" s="79" t="str">
        <f t="shared" ref="D34:D65" si="10">IF(OR(A34="",B34="",C34=""),"",ROUND(B34*C34,2))</f>
        <v/>
      </c>
      <c r="E34" s="94"/>
      <c r="F34" s="79" t="str">
        <f t="shared" ref="F34:F65" si="11">IF(OR(A34="",E34="",C34="",NOT(ISNUMBER($U$2))),"",ROUND(E34*C34*$U$2,2))</f>
        <v/>
      </c>
      <c r="G34" s="94"/>
      <c r="H34" s="79" t="str">
        <f t="shared" ref="H34:H65" si="12">IF(OR(A34="",G34="",C34="",NOT(ISNUMBER($U$3))),"",ROUND(G34*C34*$U$3,2))</f>
        <v/>
      </c>
      <c r="I34" s="94"/>
      <c r="J34" s="79" t="str">
        <f t="shared" ref="J34:J65" si="13">IF(OR(A34="",I34="",C34="",NOT(ISNUMBER($U$4))),"",ROUND(I34*C34*$U$4,2))</f>
        <v/>
      </c>
      <c r="K34" s="94"/>
      <c r="L34" s="79" t="str">
        <f t="shared" ref="L34:L65" si="14">IF(OR(A34="",K34="",C34="",NOT(ISNUMBER($U$5))),"",ROUND(K34*C34*$U$5,2))</f>
        <v/>
      </c>
      <c r="M34" s="94"/>
      <c r="N34" s="79" t="str">
        <f t="shared" ref="N34:N65" si="15">IF(OR(A34="",M34="",C34="",NOT(ISNUMBER($U$6))),"",ROUND(M34*C34*$U$6,2))</f>
        <v/>
      </c>
      <c r="O34" s="85" t="str">
        <f t="shared" ref="O34:O65" si="16">IF(A34="","",SUM(E34,G34,I34,K34,M34))</f>
        <v/>
      </c>
      <c r="P34" s="79" t="str">
        <f t="shared" ref="P34:P65" si="17">IF(A34="","",SUM(F34,H34,J34,L34,N34))</f>
        <v/>
      </c>
      <c r="Q34" s="184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3"/>
      <c r="B35" s="94"/>
      <c r="C35" s="95"/>
      <c r="D35" s="79" t="str">
        <f t="shared" si="10"/>
        <v/>
      </c>
      <c r="E35" s="94"/>
      <c r="F35" s="79" t="str">
        <f t="shared" si="11"/>
        <v/>
      </c>
      <c r="G35" s="94"/>
      <c r="H35" s="79" t="str">
        <f t="shared" si="12"/>
        <v/>
      </c>
      <c r="I35" s="94"/>
      <c r="J35" s="79" t="str">
        <f t="shared" si="13"/>
        <v/>
      </c>
      <c r="K35" s="94"/>
      <c r="L35" s="79" t="str">
        <f t="shared" si="14"/>
        <v/>
      </c>
      <c r="M35" s="94"/>
      <c r="N35" s="79" t="str">
        <f t="shared" si="15"/>
        <v/>
      </c>
      <c r="O35" s="85" t="str">
        <f t="shared" si="16"/>
        <v/>
      </c>
      <c r="P35" s="79" t="str">
        <f t="shared" si="17"/>
        <v/>
      </c>
      <c r="Q35" s="184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3"/>
      <c r="B36" s="94"/>
      <c r="C36" s="95"/>
      <c r="D36" s="79" t="str">
        <f t="shared" si="10"/>
        <v/>
      </c>
      <c r="E36" s="94"/>
      <c r="F36" s="79" t="str">
        <f t="shared" si="11"/>
        <v/>
      </c>
      <c r="G36" s="94"/>
      <c r="H36" s="79" t="str">
        <f t="shared" si="12"/>
        <v/>
      </c>
      <c r="I36" s="94"/>
      <c r="J36" s="79" t="str">
        <f t="shared" si="13"/>
        <v/>
      </c>
      <c r="K36" s="94"/>
      <c r="L36" s="79" t="str">
        <f t="shared" si="14"/>
        <v/>
      </c>
      <c r="M36" s="94"/>
      <c r="N36" s="79" t="str">
        <f t="shared" si="15"/>
        <v/>
      </c>
      <c r="O36" s="85" t="str">
        <f t="shared" si="16"/>
        <v/>
      </c>
      <c r="P36" s="79" t="str">
        <f t="shared" si="17"/>
        <v/>
      </c>
      <c r="Q36" s="184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3"/>
      <c r="B37" s="94"/>
      <c r="C37" s="95"/>
      <c r="D37" s="79" t="str">
        <f t="shared" si="10"/>
        <v/>
      </c>
      <c r="E37" s="94"/>
      <c r="F37" s="79" t="str">
        <f t="shared" si="11"/>
        <v/>
      </c>
      <c r="G37" s="94"/>
      <c r="H37" s="79" t="str">
        <f t="shared" si="12"/>
        <v/>
      </c>
      <c r="I37" s="94"/>
      <c r="J37" s="79" t="str">
        <f t="shared" si="13"/>
        <v/>
      </c>
      <c r="K37" s="94"/>
      <c r="L37" s="79" t="str">
        <f t="shared" si="14"/>
        <v/>
      </c>
      <c r="M37" s="94"/>
      <c r="N37" s="79" t="str">
        <f t="shared" si="15"/>
        <v/>
      </c>
      <c r="O37" s="85" t="str">
        <f t="shared" si="16"/>
        <v/>
      </c>
      <c r="P37" s="79" t="str">
        <f t="shared" si="17"/>
        <v/>
      </c>
      <c r="Q37" s="184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3"/>
      <c r="B38" s="94"/>
      <c r="C38" s="95"/>
      <c r="D38" s="79" t="str">
        <f t="shared" si="10"/>
        <v/>
      </c>
      <c r="E38" s="94"/>
      <c r="F38" s="79" t="str">
        <f t="shared" si="11"/>
        <v/>
      </c>
      <c r="G38" s="94"/>
      <c r="H38" s="79" t="str">
        <f t="shared" si="12"/>
        <v/>
      </c>
      <c r="I38" s="94"/>
      <c r="J38" s="79" t="str">
        <f t="shared" si="13"/>
        <v/>
      </c>
      <c r="K38" s="94"/>
      <c r="L38" s="79" t="str">
        <f t="shared" si="14"/>
        <v/>
      </c>
      <c r="M38" s="94"/>
      <c r="N38" s="79" t="str">
        <f t="shared" si="15"/>
        <v/>
      </c>
      <c r="O38" s="85" t="str">
        <f t="shared" si="16"/>
        <v/>
      </c>
      <c r="P38" s="79" t="str">
        <f t="shared" si="17"/>
        <v/>
      </c>
      <c r="Q38" s="184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3"/>
      <c r="B39" s="94"/>
      <c r="C39" s="95"/>
      <c r="D39" s="79" t="str">
        <f t="shared" si="10"/>
        <v/>
      </c>
      <c r="E39" s="94"/>
      <c r="F39" s="79" t="str">
        <f t="shared" si="11"/>
        <v/>
      </c>
      <c r="G39" s="94"/>
      <c r="H39" s="79" t="str">
        <f t="shared" si="12"/>
        <v/>
      </c>
      <c r="I39" s="94"/>
      <c r="J39" s="79" t="str">
        <f t="shared" si="13"/>
        <v/>
      </c>
      <c r="K39" s="94"/>
      <c r="L39" s="79" t="str">
        <f t="shared" si="14"/>
        <v/>
      </c>
      <c r="M39" s="94"/>
      <c r="N39" s="79" t="str">
        <f t="shared" si="15"/>
        <v/>
      </c>
      <c r="O39" s="85" t="str">
        <f t="shared" si="16"/>
        <v/>
      </c>
      <c r="P39" s="79" t="str">
        <f t="shared" si="17"/>
        <v/>
      </c>
      <c r="Q39" s="184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3"/>
      <c r="B40" s="94"/>
      <c r="C40" s="95"/>
      <c r="D40" s="79" t="str">
        <f t="shared" si="10"/>
        <v/>
      </c>
      <c r="E40" s="94"/>
      <c r="F40" s="79" t="str">
        <f t="shared" si="11"/>
        <v/>
      </c>
      <c r="G40" s="94"/>
      <c r="H40" s="79" t="str">
        <f t="shared" si="12"/>
        <v/>
      </c>
      <c r="I40" s="94"/>
      <c r="J40" s="79" t="str">
        <f t="shared" si="13"/>
        <v/>
      </c>
      <c r="K40" s="94"/>
      <c r="L40" s="79" t="str">
        <f t="shared" si="14"/>
        <v/>
      </c>
      <c r="M40" s="94"/>
      <c r="N40" s="79" t="str">
        <f t="shared" si="15"/>
        <v/>
      </c>
      <c r="O40" s="85" t="str">
        <f t="shared" si="16"/>
        <v/>
      </c>
      <c r="P40" s="79" t="str">
        <f t="shared" si="17"/>
        <v/>
      </c>
      <c r="Q40" s="184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3"/>
      <c r="B41" s="94"/>
      <c r="C41" s="95"/>
      <c r="D41" s="79" t="str">
        <f t="shared" si="10"/>
        <v/>
      </c>
      <c r="E41" s="94"/>
      <c r="F41" s="79" t="str">
        <f t="shared" si="11"/>
        <v/>
      </c>
      <c r="G41" s="94"/>
      <c r="H41" s="79" t="str">
        <f t="shared" si="12"/>
        <v/>
      </c>
      <c r="I41" s="94"/>
      <c r="J41" s="79" t="str">
        <f t="shared" si="13"/>
        <v/>
      </c>
      <c r="K41" s="94"/>
      <c r="L41" s="79" t="str">
        <f t="shared" si="14"/>
        <v/>
      </c>
      <c r="M41" s="94"/>
      <c r="N41" s="79" t="str">
        <f t="shared" si="15"/>
        <v/>
      </c>
      <c r="O41" s="85" t="str">
        <f t="shared" si="16"/>
        <v/>
      </c>
      <c r="P41" s="79" t="str">
        <f t="shared" si="17"/>
        <v/>
      </c>
      <c r="Q41" s="184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3"/>
      <c r="B42" s="94"/>
      <c r="C42" s="95"/>
      <c r="D42" s="79" t="str">
        <f t="shared" si="10"/>
        <v/>
      </c>
      <c r="E42" s="94"/>
      <c r="F42" s="79" t="str">
        <f t="shared" si="11"/>
        <v/>
      </c>
      <c r="G42" s="94"/>
      <c r="H42" s="79" t="str">
        <f t="shared" si="12"/>
        <v/>
      </c>
      <c r="I42" s="94"/>
      <c r="J42" s="79" t="str">
        <f t="shared" si="13"/>
        <v/>
      </c>
      <c r="K42" s="94"/>
      <c r="L42" s="79" t="str">
        <f t="shared" si="14"/>
        <v/>
      </c>
      <c r="M42" s="94"/>
      <c r="N42" s="79" t="str">
        <f t="shared" si="15"/>
        <v/>
      </c>
      <c r="O42" s="85" t="str">
        <f t="shared" si="16"/>
        <v/>
      </c>
      <c r="P42" s="79" t="str">
        <f t="shared" si="17"/>
        <v/>
      </c>
      <c r="Q42" s="184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3"/>
      <c r="B43" s="94"/>
      <c r="C43" s="95"/>
      <c r="D43" s="79" t="str">
        <f t="shared" si="10"/>
        <v/>
      </c>
      <c r="E43" s="94"/>
      <c r="F43" s="79" t="str">
        <f t="shared" si="11"/>
        <v/>
      </c>
      <c r="G43" s="94"/>
      <c r="H43" s="79" t="str">
        <f t="shared" si="12"/>
        <v/>
      </c>
      <c r="I43" s="94"/>
      <c r="J43" s="79" t="str">
        <f t="shared" si="13"/>
        <v/>
      </c>
      <c r="K43" s="94"/>
      <c r="L43" s="79" t="str">
        <f t="shared" si="14"/>
        <v/>
      </c>
      <c r="M43" s="94"/>
      <c r="N43" s="79" t="str">
        <f t="shared" si="15"/>
        <v/>
      </c>
      <c r="O43" s="85" t="str">
        <f t="shared" si="16"/>
        <v/>
      </c>
      <c r="P43" s="79" t="str">
        <f t="shared" si="17"/>
        <v/>
      </c>
      <c r="Q43" s="184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3"/>
      <c r="B44" s="94"/>
      <c r="C44" s="95"/>
      <c r="D44" s="79" t="str">
        <f t="shared" si="10"/>
        <v/>
      </c>
      <c r="E44" s="94"/>
      <c r="F44" s="79" t="str">
        <f t="shared" si="11"/>
        <v/>
      </c>
      <c r="G44" s="94"/>
      <c r="H44" s="79" t="str">
        <f t="shared" si="12"/>
        <v/>
      </c>
      <c r="I44" s="94"/>
      <c r="J44" s="79" t="str">
        <f t="shared" si="13"/>
        <v/>
      </c>
      <c r="K44" s="94"/>
      <c r="L44" s="79" t="str">
        <f t="shared" si="14"/>
        <v/>
      </c>
      <c r="M44" s="94"/>
      <c r="N44" s="79" t="str">
        <f t="shared" si="15"/>
        <v/>
      </c>
      <c r="O44" s="85" t="str">
        <f t="shared" si="16"/>
        <v/>
      </c>
      <c r="P44" s="79" t="str">
        <f t="shared" si="17"/>
        <v/>
      </c>
      <c r="Q44" s="184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3"/>
      <c r="B45" s="94"/>
      <c r="C45" s="95"/>
      <c r="D45" s="79" t="str">
        <f t="shared" si="10"/>
        <v/>
      </c>
      <c r="E45" s="94"/>
      <c r="F45" s="79" t="str">
        <f t="shared" si="11"/>
        <v/>
      </c>
      <c r="G45" s="94"/>
      <c r="H45" s="79" t="str">
        <f t="shared" si="12"/>
        <v/>
      </c>
      <c r="I45" s="94"/>
      <c r="J45" s="79" t="str">
        <f t="shared" si="13"/>
        <v/>
      </c>
      <c r="K45" s="94"/>
      <c r="L45" s="79" t="str">
        <f t="shared" si="14"/>
        <v/>
      </c>
      <c r="M45" s="94"/>
      <c r="N45" s="79" t="str">
        <f t="shared" si="15"/>
        <v/>
      </c>
      <c r="O45" s="85" t="str">
        <f t="shared" si="16"/>
        <v/>
      </c>
      <c r="P45" s="79" t="str">
        <f t="shared" si="17"/>
        <v/>
      </c>
      <c r="Q45" s="184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3"/>
      <c r="B46" s="94"/>
      <c r="C46" s="95"/>
      <c r="D46" s="79" t="str">
        <f t="shared" si="10"/>
        <v/>
      </c>
      <c r="E46" s="94"/>
      <c r="F46" s="79" t="str">
        <f t="shared" si="11"/>
        <v/>
      </c>
      <c r="G46" s="94"/>
      <c r="H46" s="79" t="str">
        <f t="shared" si="12"/>
        <v/>
      </c>
      <c r="I46" s="94"/>
      <c r="J46" s="79" t="str">
        <f t="shared" si="13"/>
        <v/>
      </c>
      <c r="K46" s="94"/>
      <c r="L46" s="79" t="str">
        <f t="shared" si="14"/>
        <v/>
      </c>
      <c r="M46" s="94"/>
      <c r="N46" s="79" t="str">
        <f t="shared" si="15"/>
        <v/>
      </c>
      <c r="O46" s="85" t="str">
        <f t="shared" si="16"/>
        <v/>
      </c>
      <c r="P46" s="79" t="str">
        <f t="shared" si="17"/>
        <v/>
      </c>
      <c r="Q46" s="184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3"/>
      <c r="B47" s="94"/>
      <c r="C47" s="95"/>
      <c r="D47" s="79" t="str">
        <f t="shared" si="10"/>
        <v/>
      </c>
      <c r="E47" s="94"/>
      <c r="F47" s="79" t="str">
        <f t="shared" si="11"/>
        <v/>
      </c>
      <c r="G47" s="94"/>
      <c r="H47" s="79" t="str">
        <f t="shared" si="12"/>
        <v/>
      </c>
      <c r="I47" s="94"/>
      <c r="J47" s="79" t="str">
        <f t="shared" si="13"/>
        <v/>
      </c>
      <c r="K47" s="94"/>
      <c r="L47" s="79" t="str">
        <f t="shared" si="14"/>
        <v/>
      </c>
      <c r="M47" s="94"/>
      <c r="N47" s="79" t="str">
        <f t="shared" si="15"/>
        <v/>
      </c>
      <c r="O47" s="85" t="str">
        <f t="shared" si="16"/>
        <v/>
      </c>
      <c r="P47" s="79" t="str">
        <f t="shared" si="17"/>
        <v/>
      </c>
      <c r="Q47" s="184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3"/>
      <c r="B48" s="94"/>
      <c r="C48" s="95"/>
      <c r="D48" s="79" t="str">
        <f t="shared" si="10"/>
        <v/>
      </c>
      <c r="E48" s="94"/>
      <c r="F48" s="79" t="str">
        <f t="shared" si="11"/>
        <v/>
      </c>
      <c r="G48" s="94"/>
      <c r="H48" s="79" t="str">
        <f t="shared" si="12"/>
        <v/>
      </c>
      <c r="I48" s="94"/>
      <c r="J48" s="79" t="str">
        <f t="shared" si="13"/>
        <v/>
      </c>
      <c r="K48" s="94"/>
      <c r="L48" s="79" t="str">
        <f t="shared" si="14"/>
        <v/>
      </c>
      <c r="M48" s="94"/>
      <c r="N48" s="79" t="str">
        <f t="shared" si="15"/>
        <v/>
      </c>
      <c r="O48" s="85" t="str">
        <f t="shared" si="16"/>
        <v/>
      </c>
      <c r="P48" s="79" t="str">
        <f t="shared" si="17"/>
        <v/>
      </c>
      <c r="Q48" s="184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3"/>
      <c r="B49" s="94"/>
      <c r="C49" s="95"/>
      <c r="D49" s="79" t="str">
        <f t="shared" si="10"/>
        <v/>
      </c>
      <c r="E49" s="94"/>
      <c r="F49" s="79" t="str">
        <f t="shared" si="11"/>
        <v/>
      </c>
      <c r="G49" s="94"/>
      <c r="H49" s="79" t="str">
        <f t="shared" si="12"/>
        <v/>
      </c>
      <c r="I49" s="94"/>
      <c r="J49" s="79" t="str">
        <f t="shared" si="13"/>
        <v/>
      </c>
      <c r="K49" s="94"/>
      <c r="L49" s="79" t="str">
        <f t="shared" si="14"/>
        <v/>
      </c>
      <c r="M49" s="94"/>
      <c r="N49" s="79" t="str">
        <f t="shared" si="15"/>
        <v/>
      </c>
      <c r="O49" s="85" t="str">
        <f t="shared" si="16"/>
        <v/>
      </c>
      <c r="P49" s="79" t="str">
        <f t="shared" si="17"/>
        <v/>
      </c>
      <c r="Q49" s="184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3"/>
      <c r="B50" s="94"/>
      <c r="C50" s="95"/>
      <c r="D50" s="79" t="str">
        <f t="shared" si="10"/>
        <v/>
      </c>
      <c r="E50" s="94"/>
      <c r="F50" s="79" t="str">
        <f t="shared" si="11"/>
        <v/>
      </c>
      <c r="G50" s="94"/>
      <c r="H50" s="79" t="str">
        <f t="shared" si="12"/>
        <v/>
      </c>
      <c r="I50" s="94"/>
      <c r="J50" s="79" t="str">
        <f t="shared" si="13"/>
        <v/>
      </c>
      <c r="K50" s="94"/>
      <c r="L50" s="79" t="str">
        <f t="shared" si="14"/>
        <v/>
      </c>
      <c r="M50" s="94"/>
      <c r="N50" s="79" t="str">
        <f t="shared" si="15"/>
        <v/>
      </c>
      <c r="O50" s="85" t="str">
        <f t="shared" si="16"/>
        <v/>
      </c>
      <c r="P50" s="79" t="str">
        <f t="shared" si="17"/>
        <v/>
      </c>
      <c r="Q50" s="184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3"/>
      <c r="B51" s="94"/>
      <c r="C51" s="95"/>
      <c r="D51" s="79" t="str">
        <f t="shared" si="10"/>
        <v/>
      </c>
      <c r="E51" s="94"/>
      <c r="F51" s="79" t="str">
        <f t="shared" si="11"/>
        <v/>
      </c>
      <c r="G51" s="94"/>
      <c r="H51" s="79" t="str">
        <f t="shared" si="12"/>
        <v/>
      </c>
      <c r="I51" s="94"/>
      <c r="J51" s="79" t="str">
        <f t="shared" si="13"/>
        <v/>
      </c>
      <c r="K51" s="94"/>
      <c r="L51" s="79" t="str">
        <f t="shared" si="14"/>
        <v/>
      </c>
      <c r="M51" s="94"/>
      <c r="N51" s="79" t="str">
        <f t="shared" si="15"/>
        <v/>
      </c>
      <c r="O51" s="85" t="str">
        <f t="shared" si="16"/>
        <v/>
      </c>
      <c r="P51" s="79" t="str">
        <f t="shared" si="17"/>
        <v/>
      </c>
      <c r="Q51" s="184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3"/>
      <c r="B52" s="94"/>
      <c r="C52" s="95"/>
      <c r="D52" s="79" t="str">
        <f t="shared" si="10"/>
        <v/>
      </c>
      <c r="E52" s="94"/>
      <c r="F52" s="79" t="str">
        <f t="shared" si="11"/>
        <v/>
      </c>
      <c r="G52" s="94"/>
      <c r="H52" s="79" t="str">
        <f t="shared" si="12"/>
        <v/>
      </c>
      <c r="I52" s="94"/>
      <c r="J52" s="79" t="str">
        <f t="shared" si="13"/>
        <v/>
      </c>
      <c r="K52" s="94"/>
      <c r="L52" s="79" t="str">
        <f t="shared" si="14"/>
        <v/>
      </c>
      <c r="M52" s="94"/>
      <c r="N52" s="79" t="str">
        <f t="shared" si="15"/>
        <v/>
      </c>
      <c r="O52" s="85" t="str">
        <f t="shared" si="16"/>
        <v/>
      </c>
      <c r="P52" s="79" t="str">
        <f t="shared" si="17"/>
        <v/>
      </c>
      <c r="Q52" s="184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3"/>
      <c r="B53" s="94"/>
      <c r="C53" s="95"/>
      <c r="D53" s="79" t="str">
        <f t="shared" si="10"/>
        <v/>
      </c>
      <c r="E53" s="94"/>
      <c r="F53" s="79" t="str">
        <f t="shared" si="11"/>
        <v/>
      </c>
      <c r="G53" s="94"/>
      <c r="H53" s="79" t="str">
        <f t="shared" si="12"/>
        <v/>
      </c>
      <c r="I53" s="94"/>
      <c r="J53" s="79" t="str">
        <f t="shared" si="13"/>
        <v/>
      </c>
      <c r="K53" s="94"/>
      <c r="L53" s="79" t="str">
        <f t="shared" si="14"/>
        <v/>
      </c>
      <c r="M53" s="94"/>
      <c r="N53" s="79" t="str">
        <f t="shared" si="15"/>
        <v/>
      </c>
      <c r="O53" s="85" t="str">
        <f t="shared" si="16"/>
        <v/>
      </c>
      <c r="P53" s="79" t="str">
        <f t="shared" si="17"/>
        <v/>
      </c>
      <c r="Q53" s="184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3"/>
      <c r="B54" s="94"/>
      <c r="C54" s="95"/>
      <c r="D54" s="79" t="str">
        <f t="shared" si="10"/>
        <v/>
      </c>
      <c r="E54" s="94"/>
      <c r="F54" s="79" t="str">
        <f t="shared" si="11"/>
        <v/>
      </c>
      <c r="G54" s="94"/>
      <c r="H54" s="79" t="str">
        <f t="shared" si="12"/>
        <v/>
      </c>
      <c r="I54" s="94"/>
      <c r="J54" s="79" t="str">
        <f t="shared" si="13"/>
        <v/>
      </c>
      <c r="K54" s="94"/>
      <c r="L54" s="79" t="str">
        <f t="shared" si="14"/>
        <v/>
      </c>
      <c r="M54" s="94"/>
      <c r="N54" s="79" t="str">
        <f t="shared" si="15"/>
        <v/>
      </c>
      <c r="O54" s="85" t="str">
        <f t="shared" si="16"/>
        <v/>
      </c>
      <c r="P54" s="79" t="str">
        <f t="shared" si="17"/>
        <v/>
      </c>
      <c r="Q54" s="184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3"/>
      <c r="B55" s="94"/>
      <c r="C55" s="95"/>
      <c r="D55" s="79" t="str">
        <f t="shared" si="10"/>
        <v/>
      </c>
      <c r="E55" s="94"/>
      <c r="F55" s="79" t="str">
        <f t="shared" si="11"/>
        <v/>
      </c>
      <c r="G55" s="94"/>
      <c r="H55" s="79" t="str">
        <f t="shared" si="12"/>
        <v/>
      </c>
      <c r="I55" s="94"/>
      <c r="J55" s="79" t="str">
        <f t="shared" si="13"/>
        <v/>
      </c>
      <c r="K55" s="94"/>
      <c r="L55" s="79" t="str">
        <f t="shared" si="14"/>
        <v/>
      </c>
      <c r="M55" s="94"/>
      <c r="N55" s="79" t="str">
        <f t="shared" si="15"/>
        <v/>
      </c>
      <c r="O55" s="85" t="str">
        <f t="shared" si="16"/>
        <v/>
      </c>
      <c r="P55" s="79" t="str">
        <f t="shared" si="17"/>
        <v/>
      </c>
      <c r="Q55" s="184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3"/>
      <c r="B56" s="94"/>
      <c r="C56" s="95"/>
      <c r="D56" s="79" t="str">
        <f t="shared" si="10"/>
        <v/>
      </c>
      <c r="E56" s="94"/>
      <c r="F56" s="79" t="str">
        <f t="shared" si="11"/>
        <v/>
      </c>
      <c r="G56" s="94"/>
      <c r="H56" s="79" t="str">
        <f t="shared" si="12"/>
        <v/>
      </c>
      <c r="I56" s="94"/>
      <c r="J56" s="79" t="str">
        <f t="shared" si="13"/>
        <v/>
      </c>
      <c r="K56" s="94"/>
      <c r="L56" s="79" t="str">
        <f t="shared" si="14"/>
        <v/>
      </c>
      <c r="M56" s="94"/>
      <c r="N56" s="79" t="str">
        <f t="shared" si="15"/>
        <v/>
      </c>
      <c r="O56" s="85" t="str">
        <f t="shared" si="16"/>
        <v/>
      </c>
      <c r="P56" s="79" t="str">
        <f t="shared" si="17"/>
        <v/>
      </c>
      <c r="Q56" s="184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3"/>
      <c r="B57" s="94"/>
      <c r="C57" s="95"/>
      <c r="D57" s="79" t="str">
        <f t="shared" si="10"/>
        <v/>
      </c>
      <c r="E57" s="94"/>
      <c r="F57" s="79" t="str">
        <f t="shared" si="11"/>
        <v/>
      </c>
      <c r="G57" s="94"/>
      <c r="H57" s="79" t="str">
        <f t="shared" si="12"/>
        <v/>
      </c>
      <c r="I57" s="94"/>
      <c r="J57" s="79" t="str">
        <f t="shared" si="13"/>
        <v/>
      </c>
      <c r="K57" s="94"/>
      <c r="L57" s="79" t="str">
        <f t="shared" si="14"/>
        <v/>
      </c>
      <c r="M57" s="94"/>
      <c r="N57" s="79" t="str">
        <f t="shared" si="15"/>
        <v/>
      </c>
      <c r="O57" s="85" t="str">
        <f t="shared" si="16"/>
        <v/>
      </c>
      <c r="P57" s="79" t="str">
        <f t="shared" si="17"/>
        <v/>
      </c>
      <c r="Q57" s="184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3"/>
      <c r="B58" s="94"/>
      <c r="C58" s="95"/>
      <c r="D58" s="79" t="str">
        <f t="shared" si="10"/>
        <v/>
      </c>
      <c r="E58" s="94"/>
      <c r="F58" s="79" t="str">
        <f t="shared" si="11"/>
        <v/>
      </c>
      <c r="G58" s="94"/>
      <c r="H58" s="79" t="str">
        <f t="shared" si="12"/>
        <v/>
      </c>
      <c r="I58" s="94"/>
      <c r="J58" s="79" t="str">
        <f t="shared" si="13"/>
        <v/>
      </c>
      <c r="K58" s="94"/>
      <c r="L58" s="79" t="str">
        <f t="shared" si="14"/>
        <v/>
      </c>
      <c r="M58" s="94"/>
      <c r="N58" s="79" t="str">
        <f t="shared" si="15"/>
        <v/>
      </c>
      <c r="O58" s="85" t="str">
        <f t="shared" si="16"/>
        <v/>
      </c>
      <c r="P58" s="79" t="str">
        <f t="shared" si="17"/>
        <v/>
      </c>
      <c r="Q58" s="184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3"/>
      <c r="B59" s="94"/>
      <c r="C59" s="95"/>
      <c r="D59" s="79" t="str">
        <f t="shared" si="10"/>
        <v/>
      </c>
      <c r="E59" s="94"/>
      <c r="F59" s="79" t="str">
        <f t="shared" si="11"/>
        <v/>
      </c>
      <c r="G59" s="94"/>
      <c r="H59" s="79" t="str">
        <f t="shared" si="12"/>
        <v/>
      </c>
      <c r="I59" s="94"/>
      <c r="J59" s="79" t="str">
        <f t="shared" si="13"/>
        <v/>
      </c>
      <c r="K59" s="94"/>
      <c r="L59" s="79" t="str">
        <f t="shared" si="14"/>
        <v/>
      </c>
      <c r="M59" s="94"/>
      <c r="N59" s="79" t="str">
        <f t="shared" si="15"/>
        <v/>
      </c>
      <c r="O59" s="85" t="str">
        <f t="shared" si="16"/>
        <v/>
      </c>
      <c r="P59" s="79" t="str">
        <f t="shared" si="17"/>
        <v/>
      </c>
      <c r="Q59" s="184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3"/>
      <c r="B60" s="94"/>
      <c r="C60" s="95"/>
      <c r="D60" s="79" t="str">
        <f t="shared" si="10"/>
        <v/>
      </c>
      <c r="E60" s="94"/>
      <c r="F60" s="79" t="str">
        <f t="shared" si="11"/>
        <v/>
      </c>
      <c r="G60" s="94"/>
      <c r="H60" s="79" t="str">
        <f t="shared" si="12"/>
        <v/>
      </c>
      <c r="I60" s="94"/>
      <c r="J60" s="79" t="str">
        <f t="shared" si="13"/>
        <v/>
      </c>
      <c r="K60" s="94"/>
      <c r="L60" s="79" t="str">
        <f t="shared" si="14"/>
        <v/>
      </c>
      <c r="M60" s="94"/>
      <c r="N60" s="79" t="str">
        <f t="shared" si="15"/>
        <v/>
      </c>
      <c r="O60" s="85" t="str">
        <f t="shared" si="16"/>
        <v/>
      </c>
      <c r="P60" s="79" t="str">
        <f t="shared" si="17"/>
        <v/>
      </c>
      <c r="Q60" s="184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3"/>
      <c r="B61" s="94"/>
      <c r="C61" s="95"/>
      <c r="D61" s="79" t="str">
        <f t="shared" si="10"/>
        <v/>
      </c>
      <c r="E61" s="94"/>
      <c r="F61" s="79" t="str">
        <f t="shared" si="11"/>
        <v/>
      </c>
      <c r="G61" s="94"/>
      <c r="H61" s="79" t="str">
        <f t="shared" si="12"/>
        <v/>
      </c>
      <c r="I61" s="94"/>
      <c r="J61" s="79" t="str">
        <f t="shared" si="13"/>
        <v/>
      </c>
      <c r="K61" s="94"/>
      <c r="L61" s="79" t="str">
        <f t="shared" si="14"/>
        <v/>
      </c>
      <c r="M61" s="94"/>
      <c r="N61" s="79" t="str">
        <f t="shared" si="15"/>
        <v/>
      </c>
      <c r="O61" s="85" t="str">
        <f t="shared" si="16"/>
        <v/>
      </c>
      <c r="P61" s="79" t="str">
        <f t="shared" si="17"/>
        <v/>
      </c>
      <c r="Q61" s="184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3"/>
      <c r="B62" s="94"/>
      <c r="C62" s="95"/>
      <c r="D62" s="79" t="str">
        <f t="shared" si="10"/>
        <v/>
      </c>
      <c r="E62" s="94"/>
      <c r="F62" s="79" t="str">
        <f t="shared" si="11"/>
        <v/>
      </c>
      <c r="G62" s="94"/>
      <c r="H62" s="79" t="str">
        <f t="shared" si="12"/>
        <v/>
      </c>
      <c r="I62" s="94"/>
      <c r="J62" s="79" t="str">
        <f t="shared" si="13"/>
        <v/>
      </c>
      <c r="K62" s="94"/>
      <c r="L62" s="79" t="str">
        <f t="shared" si="14"/>
        <v/>
      </c>
      <c r="M62" s="94"/>
      <c r="N62" s="79" t="str">
        <f t="shared" si="15"/>
        <v/>
      </c>
      <c r="O62" s="85" t="str">
        <f t="shared" si="16"/>
        <v/>
      </c>
      <c r="P62" s="79" t="str">
        <f t="shared" si="17"/>
        <v/>
      </c>
      <c r="Q62" s="184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3"/>
      <c r="B63" s="94"/>
      <c r="C63" s="95"/>
      <c r="D63" s="79" t="str">
        <f t="shared" si="10"/>
        <v/>
      </c>
      <c r="E63" s="94"/>
      <c r="F63" s="79" t="str">
        <f t="shared" si="11"/>
        <v/>
      </c>
      <c r="G63" s="94"/>
      <c r="H63" s="79" t="str">
        <f t="shared" si="12"/>
        <v/>
      </c>
      <c r="I63" s="94"/>
      <c r="J63" s="79" t="str">
        <f t="shared" si="13"/>
        <v/>
      </c>
      <c r="K63" s="94"/>
      <c r="L63" s="79" t="str">
        <f t="shared" si="14"/>
        <v/>
      </c>
      <c r="M63" s="94"/>
      <c r="N63" s="79" t="str">
        <f t="shared" si="15"/>
        <v/>
      </c>
      <c r="O63" s="85" t="str">
        <f t="shared" si="16"/>
        <v/>
      </c>
      <c r="P63" s="79" t="str">
        <f t="shared" si="17"/>
        <v/>
      </c>
      <c r="Q63" s="184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3"/>
      <c r="B64" s="94"/>
      <c r="C64" s="95"/>
      <c r="D64" s="79" t="str">
        <f t="shared" si="10"/>
        <v/>
      </c>
      <c r="E64" s="94"/>
      <c r="F64" s="79" t="str">
        <f t="shared" si="11"/>
        <v/>
      </c>
      <c r="G64" s="94"/>
      <c r="H64" s="79" t="str">
        <f t="shared" si="12"/>
        <v/>
      </c>
      <c r="I64" s="94"/>
      <c r="J64" s="79" t="str">
        <f t="shared" si="13"/>
        <v/>
      </c>
      <c r="K64" s="94"/>
      <c r="L64" s="79" t="str">
        <f t="shared" si="14"/>
        <v/>
      </c>
      <c r="M64" s="94"/>
      <c r="N64" s="79" t="str">
        <f t="shared" si="15"/>
        <v/>
      </c>
      <c r="O64" s="85" t="str">
        <f t="shared" si="16"/>
        <v/>
      </c>
      <c r="P64" s="79" t="str">
        <f t="shared" si="17"/>
        <v/>
      </c>
      <c r="Q64" s="184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3"/>
      <c r="B65" s="94"/>
      <c r="C65" s="95"/>
      <c r="D65" s="79" t="str">
        <f t="shared" si="10"/>
        <v/>
      </c>
      <c r="E65" s="94"/>
      <c r="F65" s="79" t="str">
        <f t="shared" si="11"/>
        <v/>
      </c>
      <c r="G65" s="94"/>
      <c r="H65" s="79" t="str">
        <f t="shared" si="12"/>
        <v/>
      </c>
      <c r="I65" s="94"/>
      <c r="J65" s="79" t="str">
        <f t="shared" si="13"/>
        <v/>
      </c>
      <c r="K65" s="94"/>
      <c r="L65" s="79" t="str">
        <f t="shared" si="14"/>
        <v/>
      </c>
      <c r="M65" s="94"/>
      <c r="N65" s="79" t="str">
        <f t="shared" si="15"/>
        <v/>
      </c>
      <c r="O65" s="85" t="str">
        <f t="shared" si="16"/>
        <v/>
      </c>
      <c r="P65" s="79" t="str">
        <f t="shared" si="17"/>
        <v/>
      </c>
      <c r="Q65" s="184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3"/>
      <c r="B66" s="94"/>
      <c r="C66" s="95"/>
      <c r="D66" s="79" t="str">
        <f t="shared" ref="D66:D97" si="20">IF(OR(A66="",B66="",C66=""),"",ROUND(B66*C66,2))</f>
        <v/>
      </c>
      <c r="E66" s="94"/>
      <c r="F66" s="79" t="str">
        <f t="shared" ref="F66:F97" si="21">IF(OR(A66="",E66="",C66="",NOT(ISNUMBER($U$2))),"",ROUND(E66*C66*$U$2,2))</f>
        <v/>
      </c>
      <c r="G66" s="94"/>
      <c r="H66" s="79" t="str">
        <f t="shared" ref="H66:H97" si="22">IF(OR(A66="",G66="",C66="",NOT(ISNUMBER($U$3))),"",ROUND(G66*C66*$U$3,2))</f>
        <v/>
      </c>
      <c r="I66" s="94"/>
      <c r="J66" s="79" t="str">
        <f t="shared" ref="J66:J97" si="23">IF(OR(A66="",I66="",C66="",NOT(ISNUMBER($U$4))),"",ROUND(I66*C66*$U$4,2))</f>
        <v/>
      </c>
      <c r="K66" s="94"/>
      <c r="L66" s="79" t="str">
        <f t="shared" ref="L66:L97" si="24">IF(OR(A66="",K66="",C66="",NOT(ISNUMBER($U$5))),"",ROUND(K66*C66*$U$5,2))</f>
        <v/>
      </c>
      <c r="M66" s="94"/>
      <c r="N66" s="79" t="str">
        <f t="shared" ref="N66:N97" si="25">IF(OR(A66="",M66="",C66="",NOT(ISNUMBER($U$6))),"",ROUND(M66*C66*$U$6,2))</f>
        <v/>
      </c>
      <c r="O66" s="85" t="str">
        <f t="shared" ref="O66:O97" si="26">IF(A66="","",SUM(E66,G66,I66,K66,M66))</f>
        <v/>
      </c>
      <c r="P66" s="79" t="str">
        <f t="shared" ref="P66:P97" si="27">IF(A66="","",SUM(F66,H66,J66,L66,N66))</f>
        <v/>
      </c>
      <c r="Q66" s="184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3"/>
      <c r="B67" s="94"/>
      <c r="C67" s="95"/>
      <c r="D67" s="79" t="str">
        <f t="shared" si="20"/>
        <v/>
      </c>
      <c r="E67" s="94"/>
      <c r="F67" s="79" t="str">
        <f t="shared" si="21"/>
        <v/>
      </c>
      <c r="G67" s="94"/>
      <c r="H67" s="79" t="str">
        <f t="shared" si="22"/>
        <v/>
      </c>
      <c r="I67" s="94"/>
      <c r="J67" s="79" t="str">
        <f t="shared" si="23"/>
        <v/>
      </c>
      <c r="K67" s="94"/>
      <c r="L67" s="79" t="str">
        <f t="shared" si="24"/>
        <v/>
      </c>
      <c r="M67" s="94"/>
      <c r="N67" s="79" t="str">
        <f t="shared" si="25"/>
        <v/>
      </c>
      <c r="O67" s="85" t="str">
        <f t="shared" si="26"/>
        <v/>
      </c>
      <c r="P67" s="79" t="str">
        <f t="shared" si="27"/>
        <v/>
      </c>
      <c r="Q67" s="184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3"/>
      <c r="B68" s="94"/>
      <c r="C68" s="95"/>
      <c r="D68" s="79" t="str">
        <f t="shared" si="20"/>
        <v/>
      </c>
      <c r="E68" s="94"/>
      <c r="F68" s="79" t="str">
        <f t="shared" si="21"/>
        <v/>
      </c>
      <c r="G68" s="94"/>
      <c r="H68" s="79" t="str">
        <f t="shared" si="22"/>
        <v/>
      </c>
      <c r="I68" s="94"/>
      <c r="J68" s="79" t="str">
        <f t="shared" si="23"/>
        <v/>
      </c>
      <c r="K68" s="94"/>
      <c r="L68" s="79" t="str">
        <f t="shared" si="24"/>
        <v/>
      </c>
      <c r="M68" s="94"/>
      <c r="N68" s="79" t="str">
        <f t="shared" si="25"/>
        <v/>
      </c>
      <c r="O68" s="85" t="str">
        <f t="shared" si="26"/>
        <v/>
      </c>
      <c r="P68" s="79" t="str">
        <f t="shared" si="27"/>
        <v/>
      </c>
      <c r="Q68" s="184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3"/>
      <c r="B69" s="94"/>
      <c r="C69" s="95"/>
      <c r="D69" s="79" t="str">
        <f t="shared" si="20"/>
        <v/>
      </c>
      <c r="E69" s="94"/>
      <c r="F69" s="79" t="str">
        <f t="shared" si="21"/>
        <v/>
      </c>
      <c r="G69" s="94"/>
      <c r="H69" s="79" t="str">
        <f t="shared" si="22"/>
        <v/>
      </c>
      <c r="I69" s="94"/>
      <c r="J69" s="79" t="str">
        <f t="shared" si="23"/>
        <v/>
      </c>
      <c r="K69" s="94"/>
      <c r="L69" s="79" t="str">
        <f t="shared" si="24"/>
        <v/>
      </c>
      <c r="M69" s="94"/>
      <c r="N69" s="79" t="str">
        <f t="shared" si="25"/>
        <v/>
      </c>
      <c r="O69" s="85" t="str">
        <f t="shared" si="26"/>
        <v/>
      </c>
      <c r="P69" s="79" t="str">
        <f t="shared" si="27"/>
        <v/>
      </c>
      <c r="Q69" s="184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3"/>
      <c r="B70" s="94"/>
      <c r="C70" s="95"/>
      <c r="D70" s="79" t="str">
        <f t="shared" si="20"/>
        <v/>
      </c>
      <c r="E70" s="94"/>
      <c r="F70" s="79" t="str">
        <f t="shared" si="21"/>
        <v/>
      </c>
      <c r="G70" s="94"/>
      <c r="H70" s="79" t="str">
        <f t="shared" si="22"/>
        <v/>
      </c>
      <c r="I70" s="94"/>
      <c r="J70" s="79" t="str">
        <f t="shared" si="23"/>
        <v/>
      </c>
      <c r="K70" s="94"/>
      <c r="L70" s="79" t="str">
        <f t="shared" si="24"/>
        <v/>
      </c>
      <c r="M70" s="94"/>
      <c r="N70" s="79" t="str">
        <f t="shared" si="25"/>
        <v/>
      </c>
      <c r="O70" s="85" t="str">
        <f t="shared" si="26"/>
        <v/>
      </c>
      <c r="P70" s="79" t="str">
        <f t="shared" si="27"/>
        <v/>
      </c>
      <c r="Q70" s="184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3"/>
      <c r="B71" s="94"/>
      <c r="C71" s="95"/>
      <c r="D71" s="79" t="str">
        <f t="shared" si="20"/>
        <v/>
      </c>
      <c r="E71" s="94"/>
      <c r="F71" s="79" t="str">
        <f t="shared" si="21"/>
        <v/>
      </c>
      <c r="G71" s="94"/>
      <c r="H71" s="79" t="str">
        <f t="shared" si="22"/>
        <v/>
      </c>
      <c r="I71" s="94"/>
      <c r="J71" s="79" t="str">
        <f t="shared" si="23"/>
        <v/>
      </c>
      <c r="K71" s="94"/>
      <c r="L71" s="79" t="str">
        <f t="shared" si="24"/>
        <v/>
      </c>
      <c r="M71" s="94"/>
      <c r="N71" s="79" t="str">
        <f t="shared" si="25"/>
        <v/>
      </c>
      <c r="O71" s="85" t="str">
        <f t="shared" si="26"/>
        <v/>
      </c>
      <c r="P71" s="79" t="str">
        <f t="shared" si="27"/>
        <v/>
      </c>
      <c r="Q71" s="184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3"/>
      <c r="B72" s="94"/>
      <c r="C72" s="95"/>
      <c r="D72" s="79" t="str">
        <f t="shared" si="20"/>
        <v/>
      </c>
      <c r="E72" s="94"/>
      <c r="F72" s="79" t="str">
        <f t="shared" si="21"/>
        <v/>
      </c>
      <c r="G72" s="94"/>
      <c r="H72" s="79" t="str">
        <f t="shared" si="22"/>
        <v/>
      </c>
      <c r="I72" s="94"/>
      <c r="J72" s="79" t="str">
        <f t="shared" si="23"/>
        <v/>
      </c>
      <c r="K72" s="94"/>
      <c r="L72" s="79" t="str">
        <f t="shared" si="24"/>
        <v/>
      </c>
      <c r="M72" s="94"/>
      <c r="N72" s="79" t="str">
        <f t="shared" si="25"/>
        <v/>
      </c>
      <c r="O72" s="85" t="str">
        <f t="shared" si="26"/>
        <v/>
      </c>
      <c r="P72" s="79" t="str">
        <f t="shared" si="27"/>
        <v/>
      </c>
      <c r="Q72" s="184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3"/>
      <c r="B73" s="94"/>
      <c r="C73" s="95"/>
      <c r="D73" s="79" t="str">
        <f t="shared" si="20"/>
        <v/>
      </c>
      <c r="E73" s="94"/>
      <c r="F73" s="79" t="str">
        <f t="shared" si="21"/>
        <v/>
      </c>
      <c r="G73" s="94"/>
      <c r="H73" s="79" t="str">
        <f t="shared" si="22"/>
        <v/>
      </c>
      <c r="I73" s="94"/>
      <c r="J73" s="79" t="str">
        <f t="shared" si="23"/>
        <v/>
      </c>
      <c r="K73" s="94"/>
      <c r="L73" s="79" t="str">
        <f t="shared" si="24"/>
        <v/>
      </c>
      <c r="M73" s="94"/>
      <c r="N73" s="79" t="str">
        <f t="shared" si="25"/>
        <v/>
      </c>
      <c r="O73" s="85" t="str">
        <f t="shared" si="26"/>
        <v/>
      </c>
      <c r="P73" s="79" t="str">
        <f t="shared" si="27"/>
        <v/>
      </c>
      <c r="Q73" s="184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3"/>
      <c r="B74" s="94"/>
      <c r="C74" s="95"/>
      <c r="D74" s="79" t="str">
        <f t="shared" si="20"/>
        <v/>
      </c>
      <c r="E74" s="94"/>
      <c r="F74" s="79" t="str">
        <f t="shared" si="21"/>
        <v/>
      </c>
      <c r="G74" s="94"/>
      <c r="H74" s="79" t="str">
        <f t="shared" si="22"/>
        <v/>
      </c>
      <c r="I74" s="94"/>
      <c r="J74" s="79" t="str">
        <f t="shared" si="23"/>
        <v/>
      </c>
      <c r="K74" s="94"/>
      <c r="L74" s="79" t="str">
        <f t="shared" si="24"/>
        <v/>
      </c>
      <c r="M74" s="94"/>
      <c r="N74" s="79" t="str">
        <f t="shared" si="25"/>
        <v/>
      </c>
      <c r="O74" s="85" t="str">
        <f t="shared" si="26"/>
        <v/>
      </c>
      <c r="P74" s="79" t="str">
        <f t="shared" si="27"/>
        <v/>
      </c>
      <c r="Q74" s="184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3"/>
      <c r="B75" s="94"/>
      <c r="C75" s="95"/>
      <c r="D75" s="79" t="str">
        <f t="shared" si="20"/>
        <v/>
      </c>
      <c r="E75" s="94"/>
      <c r="F75" s="79" t="str">
        <f t="shared" si="21"/>
        <v/>
      </c>
      <c r="G75" s="94"/>
      <c r="H75" s="79" t="str">
        <f t="shared" si="22"/>
        <v/>
      </c>
      <c r="I75" s="94"/>
      <c r="J75" s="79" t="str">
        <f t="shared" si="23"/>
        <v/>
      </c>
      <c r="K75" s="94"/>
      <c r="L75" s="79" t="str">
        <f t="shared" si="24"/>
        <v/>
      </c>
      <c r="M75" s="94"/>
      <c r="N75" s="79" t="str">
        <f t="shared" si="25"/>
        <v/>
      </c>
      <c r="O75" s="85" t="str">
        <f t="shared" si="26"/>
        <v/>
      </c>
      <c r="P75" s="79" t="str">
        <f t="shared" si="27"/>
        <v/>
      </c>
      <c r="Q75" s="184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3"/>
      <c r="B76" s="94"/>
      <c r="C76" s="95"/>
      <c r="D76" s="79" t="str">
        <f t="shared" si="20"/>
        <v/>
      </c>
      <c r="E76" s="94"/>
      <c r="F76" s="79" t="str">
        <f t="shared" si="21"/>
        <v/>
      </c>
      <c r="G76" s="94"/>
      <c r="H76" s="79" t="str">
        <f t="shared" si="22"/>
        <v/>
      </c>
      <c r="I76" s="94"/>
      <c r="J76" s="79" t="str">
        <f t="shared" si="23"/>
        <v/>
      </c>
      <c r="K76" s="94"/>
      <c r="L76" s="79" t="str">
        <f t="shared" si="24"/>
        <v/>
      </c>
      <c r="M76" s="94"/>
      <c r="N76" s="79" t="str">
        <f t="shared" si="25"/>
        <v/>
      </c>
      <c r="O76" s="85" t="str">
        <f t="shared" si="26"/>
        <v/>
      </c>
      <c r="P76" s="79" t="str">
        <f t="shared" si="27"/>
        <v/>
      </c>
      <c r="Q76" s="184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3"/>
      <c r="B77" s="94"/>
      <c r="C77" s="95"/>
      <c r="D77" s="79" t="str">
        <f t="shared" si="20"/>
        <v/>
      </c>
      <c r="E77" s="94"/>
      <c r="F77" s="79" t="str">
        <f t="shared" si="21"/>
        <v/>
      </c>
      <c r="G77" s="94"/>
      <c r="H77" s="79" t="str">
        <f t="shared" si="22"/>
        <v/>
      </c>
      <c r="I77" s="94"/>
      <c r="J77" s="79" t="str">
        <f t="shared" si="23"/>
        <v/>
      </c>
      <c r="K77" s="94"/>
      <c r="L77" s="79" t="str">
        <f t="shared" si="24"/>
        <v/>
      </c>
      <c r="M77" s="94"/>
      <c r="N77" s="79" t="str">
        <f t="shared" si="25"/>
        <v/>
      </c>
      <c r="O77" s="85" t="str">
        <f t="shared" si="26"/>
        <v/>
      </c>
      <c r="P77" s="79" t="str">
        <f t="shared" si="27"/>
        <v/>
      </c>
      <c r="Q77" s="184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3"/>
      <c r="B78" s="94"/>
      <c r="C78" s="95"/>
      <c r="D78" s="79" t="str">
        <f t="shared" si="20"/>
        <v/>
      </c>
      <c r="E78" s="94"/>
      <c r="F78" s="79" t="str">
        <f t="shared" si="21"/>
        <v/>
      </c>
      <c r="G78" s="94"/>
      <c r="H78" s="79" t="str">
        <f t="shared" si="22"/>
        <v/>
      </c>
      <c r="I78" s="94"/>
      <c r="J78" s="79" t="str">
        <f t="shared" si="23"/>
        <v/>
      </c>
      <c r="K78" s="94"/>
      <c r="L78" s="79" t="str">
        <f t="shared" si="24"/>
        <v/>
      </c>
      <c r="M78" s="94"/>
      <c r="N78" s="79" t="str">
        <f t="shared" si="25"/>
        <v/>
      </c>
      <c r="O78" s="85" t="str">
        <f t="shared" si="26"/>
        <v/>
      </c>
      <c r="P78" s="79" t="str">
        <f t="shared" si="27"/>
        <v/>
      </c>
      <c r="Q78" s="184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3"/>
      <c r="B79" s="94"/>
      <c r="C79" s="95"/>
      <c r="D79" s="79" t="str">
        <f t="shared" si="20"/>
        <v/>
      </c>
      <c r="E79" s="94"/>
      <c r="F79" s="79" t="str">
        <f t="shared" si="21"/>
        <v/>
      </c>
      <c r="G79" s="94"/>
      <c r="H79" s="79" t="str">
        <f t="shared" si="22"/>
        <v/>
      </c>
      <c r="I79" s="94"/>
      <c r="J79" s="79" t="str">
        <f t="shared" si="23"/>
        <v/>
      </c>
      <c r="K79" s="94"/>
      <c r="L79" s="79" t="str">
        <f t="shared" si="24"/>
        <v/>
      </c>
      <c r="M79" s="94"/>
      <c r="N79" s="79" t="str">
        <f t="shared" si="25"/>
        <v/>
      </c>
      <c r="O79" s="85" t="str">
        <f t="shared" si="26"/>
        <v/>
      </c>
      <c r="P79" s="79" t="str">
        <f t="shared" si="27"/>
        <v/>
      </c>
      <c r="Q79" s="184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3"/>
      <c r="B80" s="94"/>
      <c r="C80" s="95"/>
      <c r="D80" s="79" t="str">
        <f t="shared" si="20"/>
        <v/>
      </c>
      <c r="E80" s="94"/>
      <c r="F80" s="79" t="str">
        <f t="shared" si="21"/>
        <v/>
      </c>
      <c r="G80" s="94"/>
      <c r="H80" s="79" t="str">
        <f t="shared" si="22"/>
        <v/>
      </c>
      <c r="I80" s="94"/>
      <c r="J80" s="79" t="str">
        <f t="shared" si="23"/>
        <v/>
      </c>
      <c r="K80" s="94"/>
      <c r="L80" s="79" t="str">
        <f t="shared" si="24"/>
        <v/>
      </c>
      <c r="M80" s="94"/>
      <c r="N80" s="79" t="str">
        <f t="shared" si="25"/>
        <v/>
      </c>
      <c r="O80" s="85" t="str">
        <f t="shared" si="26"/>
        <v/>
      </c>
      <c r="P80" s="79" t="str">
        <f t="shared" si="27"/>
        <v/>
      </c>
      <c r="Q80" s="184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3"/>
      <c r="B81" s="94"/>
      <c r="C81" s="95"/>
      <c r="D81" s="79" t="str">
        <f t="shared" si="20"/>
        <v/>
      </c>
      <c r="E81" s="94"/>
      <c r="F81" s="79" t="str">
        <f t="shared" si="21"/>
        <v/>
      </c>
      <c r="G81" s="94"/>
      <c r="H81" s="79" t="str">
        <f t="shared" si="22"/>
        <v/>
      </c>
      <c r="I81" s="94"/>
      <c r="J81" s="79" t="str">
        <f t="shared" si="23"/>
        <v/>
      </c>
      <c r="K81" s="94"/>
      <c r="L81" s="79" t="str">
        <f t="shared" si="24"/>
        <v/>
      </c>
      <c r="M81" s="94"/>
      <c r="N81" s="79" t="str">
        <f t="shared" si="25"/>
        <v/>
      </c>
      <c r="O81" s="85" t="str">
        <f t="shared" si="26"/>
        <v/>
      </c>
      <c r="P81" s="79" t="str">
        <f t="shared" si="27"/>
        <v/>
      </c>
      <c r="Q81" s="184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3"/>
      <c r="B82" s="94"/>
      <c r="C82" s="95"/>
      <c r="D82" s="79" t="str">
        <f t="shared" si="20"/>
        <v/>
      </c>
      <c r="E82" s="94"/>
      <c r="F82" s="79" t="str">
        <f t="shared" si="21"/>
        <v/>
      </c>
      <c r="G82" s="94"/>
      <c r="H82" s="79" t="str">
        <f t="shared" si="22"/>
        <v/>
      </c>
      <c r="I82" s="94"/>
      <c r="J82" s="79" t="str">
        <f t="shared" si="23"/>
        <v/>
      </c>
      <c r="K82" s="94"/>
      <c r="L82" s="79" t="str">
        <f t="shared" si="24"/>
        <v/>
      </c>
      <c r="M82" s="94"/>
      <c r="N82" s="79" t="str">
        <f t="shared" si="25"/>
        <v/>
      </c>
      <c r="O82" s="85" t="str">
        <f t="shared" si="26"/>
        <v/>
      </c>
      <c r="P82" s="79" t="str">
        <f t="shared" si="27"/>
        <v/>
      </c>
      <c r="Q82" s="184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3"/>
      <c r="B83" s="94"/>
      <c r="C83" s="95"/>
      <c r="D83" s="79" t="str">
        <f t="shared" si="20"/>
        <v/>
      </c>
      <c r="E83" s="94"/>
      <c r="F83" s="79" t="str">
        <f t="shared" si="21"/>
        <v/>
      </c>
      <c r="G83" s="94"/>
      <c r="H83" s="79" t="str">
        <f t="shared" si="22"/>
        <v/>
      </c>
      <c r="I83" s="94"/>
      <c r="J83" s="79" t="str">
        <f t="shared" si="23"/>
        <v/>
      </c>
      <c r="K83" s="94"/>
      <c r="L83" s="79" t="str">
        <f t="shared" si="24"/>
        <v/>
      </c>
      <c r="M83" s="94"/>
      <c r="N83" s="79" t="str">
        <f t="shared" si="25"/>
        <v/>
      </c>
      <c r="O83" s="85" t="str">
        <f t="shared" si="26"/>
        <v/>
      </c>
      <c r="P83" s="79" t="str">
        <f t="shared" si="27"/>
        <v/>
      </c>
      <c r="Q83" s="184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3"/>
      <c r="B84" s="94"/>
      <c r="C84" s="95"/>
      <c r="D84" s="79" t="str">
        <f t="shared" si="20"/>
        <v/>
      </c>
      <c r="E84" s="94"/>
      <c r="F84" s="79" t="str">
        <f t="shared" si="21"/>
        <v/>
      </c>
      <c r="G84" s="94"/>
      <c r="H84" s="79" t="str">
        <f t="shared" si="22"/>
        <v/>
      </c>
      <c r="I84" s="94"/>
      <c r="J84" s="79" t="str">
        <f t="shared" si="23"/>
        <v/>
      </c>
      <c r="K84" s="94"/>
      <c r="L84" s="79" t="str">
        <f t="shared" si="24"/>
        <v/>
      </c>
      <c r="M84" s="94"/>
      <c r="N84" s="79" t="str">
        <f t="shared" si="25"/>
        <v/>
      </c>
      <c r="O84" s="85" t="str">
        <f t="shared" si="26"/>
        <v/>
      </c>
      <c r="P84" s="79" t="str">
        <f t="shared" si="27"/>
        <v/>
      </c>
      <c r="Q84" s="184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3"/>
      <c r="B85" s="94"/>
      <c r="C85" s="95"/>
      <c r="D85" s="79" t="str">
        <f t="shared" si="20"/>
        <v/>
      </c>
      <c r="E85" s="94"/>
      <c r="F85" s="79" t="str">
        <f t="shared" si="21"/>
        <v/>
      </c>
      <c r="G85" s="94"/>
      <c r="H85" s="79" t="str">
        <f t="shared" si="22"/>
        <v/>
      </c>
      <c r="I85" s="94"/>
      <c r="J85" s="79" t="str">
        <f t="shared" si="23"/>
        <v/>
      </c>
      <c r="K85" s="94"/>
      <c r="L85" s="79" t="str">
        <f t="shared" si="24"/>
        <v/>
      </c>
      <c r="M85" s="94"/>
      <c r="N85" s="79" t="str">
        <f t="shared" si="25"/>
        <v/>
      </c>
      <c r="O85" s="85" t="str">
        <f t="shared" si="26"/>
        <v/>
      </c>
      <c r="P85" s="79" t="str">
        <f t="shared" si="27"/>
        <v/>
      </c>
      <c r="Q85" s="184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3"/>
      <c r="B86" s="94"/>
      <c r="C86" s="95"/>
      <c r="D86" s="79" t="str">
        <f t="shared" si="20"/>
        <v/>
      </c>
      <c r="E86" s="94"/>
      <c r="F86" s="79" t="str">
        <f t="shared" si="21"/>
        <v/>
      </c>
      <c r="G86" s="94"/>
      <c r="H86" s="79" t="str">
        <f t="shared" si="22"/>
        <v/>
      </c>
      <c r="I86" s="94"/>
      <c r="J86" s="79" t="str">
        <f t="shared" si="23"/>
        <v/>
      </c>
      <c r="K86" s="94"/>
      <c r="L86" s="79" t="str">
        <f t="shared" si="24"/>
        <v/>
      </c>
      <c r="M86" s="94"/>
      <c r="N86" s="79" t="str">
        <f t="shared" si="25"/>
        <v/>
      </c>
      <c r="O86" s="85" t="str">
        <f t="shared" si="26"/>
        <v/>
      </c>
      <c r="P86" s="79" t="str">
        <f t="shared" si="27"/>
        <v/>
      </c>
      <c r="Q86" s="184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3"/>
      <c r="B87" s="94"/>
      <c r="C87" s="95"/>
      <c r="D87" s="79" t="str">
        <f t="shared" si="20"/>
        <v/>
      </c>
      <c r="E87" s="94"/>
      <c r="F87" s="79" t="str">
        <f t="shared" si="21"/>
        <v/>
      </c>
      <c r="G87" s="94"/>
      <c r="H87" s="79" t="str">
        <f t="shared" si="22"/>
        <v/>
      </c>
      <c r="I87" s="94"/>
      <c r="J87" s="79" t="str">
        <f t="shared" si="23"/>
        <v/>
      </c>
      <c r="K87" s="94"/>
      <c r="L87" s="79" t="str">
        <f t="shared" si="24"/>
        <v/>
      </c>
      <c r="M87" s="94"/>
      <c r="N87" s="79" t="str">
        <f t="shared" si="25"/>
        <v/>
      </c>
      <c r="O87" s="85" t="str">
        <f t="shared" si="26"/>
        <v/>
      </c>
      <c r="P87" s="79" t="str">
        <f t="shared" si="27"/>
        <v/>
      </c>
      <c r="Q87" s="184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3"/>
      <c r="B88" s="94"/>
      <c r="C88" s="95"/>
      <c r="D88" s="79" t="str">
        <f t="shared" si="20"/>
        <v/>
      </c>
      <c r="E88" s="94"/>
      <c r="F88" s="79" t="str">
        <f t="shared" si="21"/>
        <v/>
      </c>
      <c r="G88" s="94"/>
      <c r="H88" s="79" t="str">
        <f t="shared" si="22"/>
        <v/>
      </c>
      <c r="I88" s="94"/>
      <c r="J88" s="79" t="str">
        <f t="shared" si="23"/>
        <v/>
      </c>
      <c r="K88" s="94"/>
      <c r="L88" s="79" t="str">
        <f t="shared" si="24"/>
        <v/>
      </c>
      <c r="M88" s="94"/>
      <c r="N88" s="79" t="str">
        <f t="shared" si="25"/>
        <v/>
      </c>
      <c r="O88" s="85" t="str">
        <f t="shared" si="26"/>
        <v/>
      </c>
      <c r="P88" s="79" t="str">
        <f t="shared" si="27"/>
        <v/>
      </c>
      <c r="Q88" s="184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3"/>
      <c r="B89" s="94"/>
      <c r="C89" s="95"/>
      <c r="D89" s="79" t="str">
        <f t="shared" si="20"/>
        <v/>
      </c>
      <c r="E89" s="94"/>
      <c r="F89" s="79" t="str">
        <f t="shared" si="21"/>
        <v/>
      </c>
      <c r="G89" s="94"/>
      <c r="H89" s="79" t="str">
        <f t="shared" si="22"/>
        <v/>
      </c>
      <c r="I89" s="94"/>
      <c r="J89" s="79" t="str">
        <f t="shared" si="23"/>
        <v/>
      </c>
      <c r="K89" s="94"/>
      <c r="L89" s="79" t="str">
        <f t="shared" si="24"/>
        <v/>
      </c>
      <c r="M89" s="94"/>
      <c r="N89" s="79" t="str">
        <f t="shared" si="25"/>
        <v/>
      </c>
      <c r="O89" s="85" t="str">
        <f t="shared" si="26"/>
        <v/>
      </c>
      <c r="P89" s="79" t="str">
        <f t="shared" si="27"/>
        <v/>
      </c>
      <c r="Q89" s="184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3"/>
      <c r="B90" s="94"/>
      <c r="C90" s="95"/>
      <c r="D90" s="79" t="str">
        <f t="shared" si="20"/>
        <v/>
      </c>
      <c r="E90" s="94"/>
      <c r="F90" s="79" t="str">
        <f t="shared" si="21"/>
        <v/>
      </c>
      <c r="G90" s="94"/>
      <c r="H90" s="79" t="str">
        <f t="shared" si="22"/>
        <v/>
      </c>
      <c r="I90" s="94"/>
      <c r="J90" s="79" t="str">
        <f t="shared" si="23"/>
        <v/>
      </c>
      <c r="K90" s="94"/>
      <c r="L90" s="79" t="str">
        <f t="shared" si="24"/>
        <v/>
      </c>
      <c r="M90" s="94"/>
      <c r="N90" s="79" t="str">
        <f t="shared" si="25"/>
        <v/>
      </c>
      <c r="O90" s="85" t="str">
        <f t="shared" si="26"/>
        <v/>
      </c>
      <c r="P90" s="79" t="str">
        <f t="shared" si="27"/>
        <v/>
      </c>
      <c r="Q90" s="184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3"/>
      <c r="B91" s="94"/>
      <c r="C91" s="95"/>
      <c r="D91" s="79" t="str">
        <f t="shared" si="20"/>
        <v/>
      </c>
      <c r="E91" s="94"/>
      <c r="F91" s="79" t="str">
        <f t="shared" si="21"/>
        <v/>
      </c>
      <c r="G91" s="94"/>
      <c r="H91" s="79" t="str">
        <f t="shared" si="22"/>
        <v/>
      </c>
      <c r="I91" s="94"/>
      <c r="J91" s="79" t="str">
        <f t="shared" si="23"/>
        <v/>
      </c>
      <c r="K91" s="94"/>
      <c r="L91" s="79" t="str">
        <f t="shared" si="24"/>
        <v/>
      </c>
      <c r="M91" s="94"/>
      <c r="N91" s="79" t="str">
        <f t="shared" si="25"/>
        <v/>
      </c>
      <c r="O91" s="85" t="str">
        <f t="shared" si="26"/>
        <v/>
      </c>
      <c r="P91" s="79" t="str">
        <f t="shared" si="27"/>
        <v/>
      </c>
      <c r="Q91" s="184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3"/>
      <c r="B92" s="94"/>
      <c r="C92" s="95"/>
      <c r="D92" s="79" t="str">
        <f t="shared" si="20"/>
        <v/>
      </c>
      <c r="E92" s="94"/>
      <c r="F92" s="79" t="str">
        <f t="shared" si="21"/>
        <v/>
      </c>
      <c r="G92" s="94"/>
      <c r="H92" s="79" t="str">
        <f t="shared" si="22"/>
        <v/>
      </c>
      <c r="I92" s="94"/>
      <c r="J92" s="79" t="str">
        <f t="shared" si="23"/>
        <v/>
      </c>
      <c r="K92" s="94"/>
      <c r="L92" s="79" t="str">
        <f t="shared" si="24"/>
        <v/>
      </c>
      <c r="M92" s="94"/>
      <c r="N92" s="79" t="str">
        <f t="shared" si="25"/>
        <v/>
      </c>
      <c r="O92" s="85" t="str">
        <f t="shared" si="26"/>
        <v/>
      </c>
      <c r="P92" s="79" t="str">
        <f t="shared" si="27"/>
        <v/>
      </c>
      <c r="Q92" s="184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3"/>
      <c r="B93" s="94"/>
      <c r="C93" s="95"/>
      <c r="D93" s="79" t="str">
        <f t="shared" si="20"/>
        <v/>
      </c>
      <c r="E93" s="94"/>
      <c r="F93" s="79" t="str">
        <f t="shared" si="21"/>
        <v/>
      </c>
      <c r="G93" s="94"/>
      <c r="H93" s="79" t="str">
        <f t="shared" si="22"/>
        <v/>
      </c>
      <c r="I93" s="94"/>
      <c r="J93" s="79" t="str">
        <f t="shared" si="23"/>
        <v/>
      </c>
      <c r="K93" s="94"/>
      <c r="L93" s="79" t="str">
        <f t="shared" si="24"/>
        <v/>
      </c>
      <c r="M93" s="94"/>
      <c r="N93" s="79" t="str">
        <f t="shared" si="25"/>
        <v/>
      </c>
      <c r="O93" s="85" t="str">
        <f t="shared" si="26"/>
        <v/>
      </c>
      <c r="P93" s="79" t="str">
        <f t="shared" si="27"/>
        <v/>
      </c>
      <c r="Q93" s="184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3"/>
      <c r="B94" s="94"/>
      <c r="C94" s="95"/>
      <c r="D94" s="79" t="str">
        <f t="shared" si="20"/>
        <v/>
      </c>
      <c r="E94" s="94"/>
      <c r="F94" s="79" t="str">
        <f t="shared" si="21"/>
        <v/>
      </c>
      <c r="G94" s="94"/>
      <c r="H94" s="79" t="str">
        <f t="shared" si="22"/>
        <v/>
      </c>
      <c r="I94" s="94"/>
      <c r="J94" s="79" t="str">
        <f t="shared" si="23"/>
        <v/>
      </c>
      <c r="K94" s="94"/>
      <c r="L94" s="79" t="str">
        <f t="shared" si="24"/>
        <v/>
      </c>
      <c r="M94" s="94"/>
      <c r="N94" s="79" t="str">
        <f t="shared" si="25"/>
        <v/>
      </c>
      <c r="O94" s="85" t="str">
        <f t="shared" si="26"/>
        <v/>
      </c>
      <c r="P94" s="79" t="str">
        <f t="shared" si="27"/>
        <v/>
      </c>
      <c r="Q94" s="184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3"/>
      <c r="B95" s="94"/>
      <c r="C95" s="95"/>
      <c r="D95" s="79" t="str">
        <f t="shared" si="20"/>
        <v/>
      </c>
      <c r="E95" s="94"/>
      <c r="F95" s="79" t="str">
        <f t="shared" si="21"/>
        <v/>
      </c>
      <c r="G95" s="94"/>
      <c r="H95" s="79" t="str">
        <f t="shared" si="22"/>
        <v/>
      </c>
      <c r="I95" s="94"/>
      <c r="J95" s="79" t="str">
        <f t="shared" si="23"/>
        <v/>
      </c>
      <c r="K95" s="94"/>
      <c r="L95" s="79" t="str">
        <f t="shared" si="24"/>
        <v/>
      </c>
      <c r="M95" s="94"/>
      <c r="N95" s="79" t="str">
        <f t="shared" si="25"/>
        <v/>
      </c>
      <c r="O95" s="85" t="str">
        <f t="shared" si="26"/>
        <v/>
      </c>
      <c r="P95" s="79" t="str">
        <f t="shared" si="27"/>
        <v/>
      </c>
      <c r="Q95" s="184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3"/>
      <c r="B96" s="94"/>
      <c r="C96" s="95"/>
      <c r="D96" s="79" t="str">
        <f t="shared" si="20"/>
        <v/>
      </c>
      <c r="E96" s="94"/>
      <c r="F96" s="79" t="str">
        <f t="shared" si="21"/>
        <v/>
      </c>
      <c r="G96" s="94"/>
      <c r="H96" s="79" t="str">
        <f t="shared" si="22"/>
        <v/>
      </c>
      <c r="I96" s="94"/>
      <c r="J96" s="79" t="str">
        <f t="shared" si="23"/>
        <v/>
      </c>
      <c r="K96" s="94"/>
      <c r="L96" s="79" t="str">
        <f t="shared" si="24"/>
        <v/>
      </c>
      <c r="M96" s="94"/>
      <c r="N96" s="79" t="str">
        <f t="shared" si="25"/>
        <v/>
      </c>
      <c r="O96" s="85" t="str">
        <f t="shared" si="26"/>
        <v/>
      </c>
      <c r="P96" s="79" t="str">
        <f t="shared" si="27"/>
        <v/>
      </c>
      <c r="Q96" s="184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3"/>
      <c r="B97" s="94"/>
      <c r="C97" s="95"/>
      <c r="D97" s="79" t="str">
        <f t="shared" si="20"/>
        <v/>
      </c>
      <c r="E97" s="94"/>
      <c r="F97" s="79" t="str">
        <f t="shared" si="21"/>
        <v/>
      </c>
      <c r="G97" s="94"/>
      <c r="H97" s="79" t="str">
        <f t="shared" si="22"/>
        <v/>
      </c>
      <c r="I97" s="94"/>
      <c r="J97" s="79" t="str">
        <f t="shared" si="23"/>
        <v/>
      </c>
      <c r="K97" s="94"/>
      <c r="L97" s="79" t="str">
        <f t="shared" si="24"/>
        <v/>
      </c>
      <c r="M97" s="94"/>
      <c r="N97" s="79" t="str">
        <f t="shared" si="25"/>
        <v/>
      </c>
      <c r="O97" s="85" t="str">
        <f t="shared" si="26"/>
        <v/>
      </c>
      <c r="P97" s="79" t="str">
        <f t="shared" si="27"/>
        <v/>
      </c>
      <c r="Q97" s="184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3"/>
      <c r="B98" s="94"/>
      <c r="C98" s="95"/>
      <c r="D98" s="79" t="str">
        <f t="shared" ref="D98:D129" si="30">IF(OR(A98="",B98="",C98=""),"",ROUND(B98*C98,2))</f>
        <v/>
      </c>
      <c r="E98" s="94"/>
      <c r="F98" s="79" t="str">
        <f t="shared" ref="F98:F129" si="31">IF(OR(A98="",E98="",C98="",NOT(ISNUMBER($U$2))),"",ROUND(E98*C98*$U$2,2))</f>
        <v/>
      </c>
      <c r="G98" s="94"/>
      <c r="H98" s="79" t="str">
        <f t="shared" ref="H98:H129" si="32">IF(OR(A98="",G98="",C98="",NOT(ISNUMBER($U$3))),"",ROUND(G98*C98*$U$3,2))</f>
        <v/>
      </c>
      <c r="I98" s="94"/>
      <c r="J98" s="79" t="str">
        <f t="shared" ref="J98:J129" si="33">IF(OR(A98="",I98="",C98="",NOT(ISNUMBER($U$4))),"",ROUND(I98*C98*$U$4,2))</f>
        <v/>
      </c>
      <c r="K98" s="94"/>
      <c r="L98" s="79" t="str">
        <f t="shared" ref="L98:L129" si="34">IF(OR(A98="",K98="",C98="",NOT(ISNUMBER($U$5))),"",ROUND(K98*C98*$U$5,2))</f>
        <v/>
      </c>
      <c r="M98" s="94"/>
      <c r="N98" s="79" t="str">
        <f t="shared" ref="N98:N129" si="35">IF(OR(A98="",M98="",C98="",NOT(ISNUMBER($U$6))),"",ROUND(M98*C98*$U$6,2))</f>
        <v/>
      </c>
      <c r="O98" s="85" t="str">
        <f t="shared" ref="O98:O129" si="36">IF(A98="","",SUM(E98,G98,I98,K98,M98))</f>
        <v/>
      </c>
      <c r="P98" s="79" t="str">
        <f t="shared" ref="P98:P129" si="37">IF(A98="","",SUM(F98,H98,J98,L98,N98))</f>
        <v/>
      </c>
      <c r="Q98" s="184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3"/>
      <c r="B99" s="94"/>
      <c r="C99" s="95"/>
      <c r="D99" s="79" t="str">
        <f t="shared" si="30"/>
        <v/>
      </c>
      <c r="E99" s="94"/>
      <c r="F99" s="79" t="str">
        <f t="shared" si="31"/>
        <v/>
      </c>
      <c r="G99" s="94"/>
      <c r="H99" s="79" t="str">
        <f t="shared" si="32"/>
        <v/>
      </c>
      <c r="I99" s="94"/>
      <c r="J99" s="79" t="str">
        <f t="shared" si="33"/>
        <v/>
      </c>
      <c r="K99" s="94"/>
      <c r="L99" s="79" t="str">
        <f t="shared" si="34"/>
        <v/>
      </c>
      <c r="M99" s="94"/>
      <c r="N99" s="79" t="str">
        <f t="shared" si="35"/>
        <v/>
      </c>
      <c r="O99" s="85" t="str">
        <f t="shared" si="36"/>
        <v/>
      </c>
      <c r="P99" s="79" t="str">
        <f t="shared" si="37"/>
        <v/>
      </c>
      <c r="Q99" s="184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3"/>
      <c r="B100" s="94"/>
      <c r="C100" s="95"/>
      <c r="D100" s="79" t="str">
        <f t="shared" si="30"/>
        <v/>
      </c>
      <c r="E100" s="94"/>
      <c r="F100" s="79" t="str">
        <f t="shared" si="31"/>
        <v/>
      </c>
      <c r="G100" s="94"/>
      <c r="H100" s="79" t="str">
        <f t="shared" si="32"/>
        <v/>
      </c>
      <c r="I100" s="94"/>
      <c r="J100" s="79" t="str">
        <f t="shared" si="33"/>
        <v/>
      </c>
      <c r="K100" s="94"/>
      <c r="L100" s="79" t="str">
        <f t="shared" si="34"/>
        <v/>
      </c>
      <c r="M100" s="94"/>
      <c r="N100" s="79" t="str">
        <f t="shared" si="35"/>
        <v/>
      </c>
      <c r="O100" s="85" t="str">
        <f t="shared" si="36"/>
        <v/>
      </c>
      <c r="P100" s="79" t="str">
        <f t="shared" si="37"/>
        <v/>
      </c>
      <c r="Q100" s="184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3"/>
      <c r="B101" s="94"/>
      <c r="C101" s="95"/>
      <c r="D101" s="79" t="str">
        <f t="shared" si="30"/>
        <v/>
      </c>
      <c r="E101" s="94"/>
      <c r="F101" s="79" t="str">
        <f t="shared" si="31"/>
        <v/>
      </c>
      <c r="G101" s="94"/>
      <c r="H101" s="79" t="str">
        <f t="shared" si="32"/>
        <v/>
      </c>
      <c r="I101" s="94"/>
      <c r="J101" s="79" t="str">
        <f t="shared" si="33"/>
        <v/>
      </c>
      <c r="K101" s="94"/>
      <c r="L101" s="79" t="str">
        <f t="shared" si="34"/>
        <v/>
      </c>
      <c r="M101" s="94"/>
      <c r="N101" s="79" t="str">
        <f t="shared" si="35"/>
        <v/>
      </c>
      <c r="O101" s="85" t="str">
        <f t="shared" si="36"/>
        <v/>
      </c>
      <c r="P101" s="79" t="str">
        <f t="shared" si="37"/>
        <v/>
      </c>
      <c r="Q101" s="184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3"/>
      <c r="B102" s="94"/>
      <c r="C102" s="95"/>
      <c r="D102" s="79" t="str">
        <f t="shared" si="30"/>
        <v/>
      </c>
      <c r="E102" s="94"/>
      <c r="F102" s="79" t="str">
        <f t="shared" si="31"/>
        <v/>
      </c>
      <c r="G102" s="94"/>
      <c r="H102" s="79" t="str">
        <f t="shared" si="32"/>
        <v/>
      </c>
      <c r="I102" s="94"/>
      <c r="J102" s="79" t="str">
        <f t="shared" si="33"/>
        <v/>
      </c>
      <c r="K102" s="94"/>
      <c r="L102" s="79" t="str">
        <f t="shared" si="34"/>
        <v/>
      </c>
      <c r="M102" s="94"/>
      <c r="N102" s="79" t="str">
        <f t="shared" si="35"/>
        <v/>
      </c>
      <c r="O102" s="85" t="str">
        <f t="shared" si="36"/>
        <v/>
      </c>
      <c r="P102" s="79" t="str">
        <f t="shared" si="37"/>
        <v/>
      </c>
      <c r="Q102" s="184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3"/>
      <c r="B103" s="94"/>
      <c r="C103" s="95"/>
      <c r="D103" s="79" t="str">
        <f t="shared" si="30"/>
        <v/>
      </c>
      <c r="E103" s="94"/>
      <c r="F103" s="79" t="str">
        <f t="shared" si="31"/>
        <v/>
      </c>
      <c r="G103" s="94"/>
      <c r="H103" s="79" t="str">
        <f t="shared" si="32"/>
        <v/>
      </c>
      <c r="I103" s="94"/>
      <c r="J103" s="79" t="str">
        <f t="shared" si="33"/>
        <v/>
      </c>
      <c r="K103" s="94"/>
      <c r="L103" s="79" t="str">
        <f t="shared" si="34"/>
        <v/>
      </c>
      <c r="M103" s="94"/>
      <c r="N103" s="79" t="str">
        <f t="shared" si="35"/>
        <v/>
      </c>
      <c r="O103" s="85" t="str">
        <f t="shared" si="36"/>
        <v/>
      </c>
      <c r="P103" s="79" t="str">
        <f t="shared" si="37"/>
        <v/>
      </c>
      <c r="Q103" s="184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3"/>
      <c r="B104" s="94"/>
      <c r="C104" s="95"/>
      <c r="D104" s="79" t="str">
        <f t="shared" si="30"/>
        <v/>
      </c>
      <c r="E104" s="94"/>
      <c r="F104" s="79" t="str">
        <f t="shared" si="31"/>
        <v/>
      </c>
      <c r="G104" s="94"/>
      <c r="H104" s="79" t="str">
        <f t="shared" si="32"/>
        <v/>
      </c>
      <c r="I104" s="94"/>
      <c r="J104" s="79" t="str">
        <f t="shared" si="33"/>
        <v/>
      </c>
      <c r="K104" s="94"/>
      <c r="L104" s="79" t="str">
        <f t="shared" si="34"/>
        <v/>
      </c>
      <c r="M104" s="94"/>
      <c r="N104" s="79" t="str">
        <f t="shared" si="35"/>
        <v/>
      </c>
      <c r="O104" s="85" t="str">
        <f t="shared" si="36"/>
        <v/>
      </c>
      <c r="P104" s="79" t="str">
        <f t="shared" si="37"/>
        <v/>
      </c>
      <c r="Q104" s="184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3"/>
      <c r="B105" s="94"/>
      <c r="C105" s="95"/>
      <c r="D105" s="79" t="str">
        <f t="shared" si="30"/>
        <v/>
      </c>
      <c r="E105" s="94"/>
      <c r="F105" s="79" t="str">
        <f t="shared" si="31"/>
        <v/>
      </c>
      <c r="G105" s="94"/>
      <c r="H105" s="79" t="str">
        <f t="shared" si="32"/>
        <v/>
      </c>
      <c r="I105" s="94"/>
      <c r="J105" s="79" t="str">
        <f t="shared" si="33"/>
        <v/>
      </c>
      <c r="K105" s="94"/>
      <c r="L105" s="79" t="str">
        <f t="shared" si="34"/>
        <v/>
      </c>
      <c r="M105" s="94"/>
      <c r="N105" s="79" t="str">
        <f t="shared" si="35"/>
        <v/>
      </c>
      <c r="O105" s="85" t="str">
        <f t="shared" si="36"/>
        <v/>
      </c>
      <c r="P105" s="79" t="str">
        <f t="shared" si="37"/>
        <v/>
      </c>
      <c r="Q105" s="184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3"/>
      <c r="B106" s="94"/>
      <c r="C106" s="95"/>
      <c r="D106" s="79" t="str">
        <f t="shared" si="30"/>
        <v/>
      </c>
      <c r="E106" s="94"/>
      <c r="F106" s="79" t="str">
        <f t="shared" si="31"/>
        <v/>
      </c>
      <c r="G106" s="94"/>
      <c r="H106" s="79" t="str">
        <f t="shared" si="32"/>
        <v/>
      </c>
      <c r="I106" s="94"/>
      <c r="J106" s="79" t="str">
        <f t="shared" si="33"/>
        <v/>
      </c>
      <c r="K106" s="94"/>
      <c r="L106" s="79" t="str">
        <f t="shared" si="34"/>
        <v/>
      </c>
      <c r="M106" s="94"/>
      <c r="N106" s="79" t="str">
        <f t="shared" si="35"/>
        <v/>
      </c>
      <c r="O106" s="85" t="str">
        <f t="shared" si="36"/>
        <v/>
      </c>
      <c r="P106" s="79" t="str">
        <f t="shared" si="37"/>
        <v/>
      </c>
      <c r="Q106" s="184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3"/>
      <c r="B107" s="94"/>
      <c r="C107" s="95"/>
      <c r="D107" s="79" t="str">
        <f t="shared" si="30"/>
        <v/>
      </c>
      <c r="E107" s="94"/>
      <c r="F107" s="79" t="str">
        <f t="shared" si="31"/>
        <v/>
      </c>
      <c r="G107" s="94"/>
      <c r="H107" s="79" t="str">
        <f t="shared" si="32"/>
        <v/>
      </c>
      <c r="I107" s="94"/>
      <c r="J107" s="79" t="str">
        <f t="shared" si="33"/>
        <v/>
      </c>
      <c r="K107" s="94"/>
      <c r="L107" s="79" t="str">
        <f t="shared" si="34"/>
        <v/>
      </c>
      <c r="M107" s="94"/>
      <c r="N107" s="79" t="str">
        <f t="shared" si="35"/>
        <v/>
      </c>
      <c r="O107" s="85" t="str">
        <f t="shared" si="36"/>
        <v/>
      </c>
      <c r="P107" s="79" t="str">
        <f t="shared" si="37"/>
        <v/>
      </c>
      <c r="Q107" s="184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3"/>
      <c r="B108" s="94"/>
      <c r="C108" s="95"/>
      <c r="D108" s="79" t="str">
        <f t="shared" si="30"/>
        <v/>
      </c>
      <c r="E108" s="94"/>
      <c r="F108" s="79" t="str">
        <f t="shared" si="31"/>
        <v/>
      </c>
      <c r="G108" s="94"/>
      <c r="H108" s="79" t="str">
        <f t="shared" si="32"/>
        <v/>
      </c>
      <c r="I108" s="94"/>
      <c r="J108" s="79" t="str">
        <f t="shared" si="33"/>
        <v/>
      </c>
      <c r="K108" s="94"/>
      <c r="L108" s="79" t="str">
        <f t="shared" si="34"/>
        <v/>
      </c>
      <c r="M108" s="94"/>
      <c r="N108" s="79" t="str">
        <f t="shared" si="35"/>
        <v/>
      </c>
      <c r="O108" s="85" t="str">
        <f t="shared" si="36"/>
        <v/>
      </c>
      <c r="P108" s="79" t="str">
        <f t="shared" si="37"/>
        <v/>
      </c>
      <c r="Q108" s="184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3"/>
      <c r="B109" s="94"/>
      <c r="C109" s="95"/>
      <c r="D109" s="79" t="str">
        <f t="shared" si="30"/>
        <v/>
      </c>
      <c r="E109" s="94"/>
      <c r="F109" s="79" t="str">
        <f t="shared" si="31"/>
        <v/>
      </c>
      <c r="G109" s="94"/>
      <c r="H109" s="79" t="str">
        <f t="shared" si="32"/>
        <v/>
      </c>
      <c r="I109" s="94"/>
      <c r="J109" s="79" t="str">
        <f t="shared" si="33"/>
        <v/>
      </c>
      <c r="K109" s="94"/>
      <c r="L109" s="79" t="str">
        <f t="shared" si="34"/>
        <v/>
      </c>
      <c r="M109" s="94"/>
      <c r="N109" s="79" t="str">
        <f t="shared" si="35"/>
        <v/>
      </c>
      <c r="O109" s="85" t="str">
        <f t="shared" si="36"/>
        <v/>
      </c>
      <c r="P109" s="79" t="str">
        <f t="shared" si="37"/>
        <v/>
      </c>
      <c r="Q109" s="184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3"/>
      <c r="B110" s="94"/>
      <c r="C110" s="95"/>
      <c r="D110" s="79" t="str">
        <f t="shared" si="30"/>
        <v/>
      </c>
      <c r="E110" s="94"/>
      <c r="F110" s="79" t="str">
        <f t="shared" si="31"/>
        <v/>
      </c>
      <c r="G110" s="94"/>
      <c r="H110" s="79" t="str">
        <f t="shared" si="32"/>
        <v/>
      </c>
      <c r="I110" s="94"/>
      <c r="J110" s="79" t="str">
        <f t="shared" si="33"/>
        <v/>
      </c>
      <c r="K110" s="94"/>
      <c r="L110" s="79" t="str">
        <f t="shared" si="34"/>
        <v/>
      </c>
      <c r="M110" s="94"/>
      <c r="N110" s="79" t="str">
        <f t="shared" si="35"/>
        <v/>
      </c>
      <c r="O110" s="85" t="str">
        <f t="shared" si="36"/>
        <v/>
      </c>
      <c r="P110" s="79" t="str">
        <f t="shared" si="37"/>
        <v/>
      </c>
      <c r="Q110" s="184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3"/>
      <c r="B111" s="94"/>
      <c r="C111" s="95"/>
      <c r="D111" s="79" t="str">
        <f t="shared" si="30"/>
        <v/>
      </c>
      <c r="E111" s="94"/>
      <c r="F111" s="79" t="str">
        <f t="shared" si="31"/>
        <v/>
      </c>
      <c r="G111" s="94"/>
      <c r="H111" s="79" t="str">
        <f t="shared" si="32"/>
        <v/>
      </c>
      <c r="I111" s="94"/>
      <c r="J111" s="79" t="str">
        <f t="shared" si="33"/>
        <v/>
      </c>
      <c r="K111" s="94"/>
      <c r="L111" s="79" t="str">
        <f t="shared" si="34"/>
        <v/>
      </c>
      <c r="M111" s="94"/>
      <c r="N111" s="79" t="str">
        <f t="shared" si="35"/>
        <v/>
      </c>
      <c r="O111" s="85" t="str">
        <f t="shared" si="36"/>
        <v/>
      </c>
      <c r="P111" s="79" t="str">
        <f t="shared" si="37"/>
        <v/>
      </c>
      <c r="Q111" s="184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3"/>
      <c r="B112" s="94"/>
      <c r="C112" s="95"/>
      <c r="D112" s="79" t="str">
        <f t="shared" si="30"/>
        <v/>
      </c>
      <c r="E112" s="94"/>
      <c r="F112" s="79" t="str">
        <f t="shared" si="31"/>
        <v/>
      </c>
      <c r="G112" s="94"/>
      <c r="H112" s="79" t="str">
        <f t="shared" si="32"/>
        <v/>
      </c>
      <c r="I112" s="94"/>
      <c r="J112" s="79" t="str">
        <f t="shared" si="33"/>
        <v/>
      </c>
      <c r="K112" s="94"/>
      <c r="L112" s="79" t="str">
        <f t="shared" si="34"/>
        <v/>
      </c>
      <c r="M112" s="94"/>
      <c r="N112" s="79" t="str">
        <f t="shared" si="35"/>
        <v/>
      </c>
      <c r="O112" s="85" t="str">
        <f t="shared" si="36"/>
        <v/>
      </c>
      <c r="P112" s="79" t="str">
        <f t="shared" si="37"/>
        <v/>
      </c>
      <c r="Q112" s="184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3"/>
      <c r="B113" s="94"/>
      <c r="C113" s="95"/>
      <c r="D113" s="79" t="str">
        <f t="shared" si="30"/>
        <v/>
      </c>
      <c r="E113" s="94"/>
      <c r="F113" s="79" t="str">
        <f t="shared" si="31"/>
        <v/>
      </c>
      <c r="G113" s="94"/>
      <c r="H113" s="79" t="str">
        <f t="shared" si="32"/>
        <v/>
      </c>
      <c r="I113" s="94"/>
      <c r="J113" s="79" t="str">
        <f t="shared" si="33"/>
        <v/>
      </c>
      <c r="K113" s="94"/>
      <c r="L113" s="79" t="str">
        <f t="shared" si="34"/>
        <v/>
      </c>
      <c r="M113" s="94"/>
      <c r="N113" s="79" t="str">
        <f t="shared" si="35"/>
        <v/>
      </c>
      <c r="O113" s="85" t="str">
        <f t="shared" si="36"/>
        <v/>
      </c>
      <c r="P113" s="79" t="str">
        <f t="shared" si="37"/>
        <v/>
      </c>
      <c r="Q113" s="184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3"/>
      <c r="B114" s="94"/>
      <c r="C114" s="95"/>
      <c r="D114" s="79" t="str">
        <f t="shared" si="30"/>
        <v/>
      </c>
      <c r="E114" s="94"/>
      <c r="F114" s="79" t="str">
        <f t="shared" si="31"/>
        <v/>
      </c>
      <c r="G114" s="94"/>
      <c r="H114" s="79" t="str">
        <f t="shared" si="32"/>
        <v/>
      </c>
      <c r="I114" s="94"/>
      <c r="J114" s="79" t="str">
        <f t="shared" si="33"/>
        <v/>
      </c>
      <c r="K114" s="94"/>
      <c r="L114" s="79" t="str">
        <f t="shared" si="34"/>
        <v/>
      </c>
      <c r="M114" s="94"/>
      <c r="N114" s="79" t="str">
        <f t="shared" si="35"/>
        <v/>
      </c>
      <c r="O114" s="85" t="str">
        <f t="shared" si="36"/>
        <v/>
      </c>
      <c r="P114" s="79" t="str">
        <f t="shared" si="37"/>
        <v/>
      </c>
      <c r="Q114" s="184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3"/>
      <c r="B115" s="94"/>
      <c r="C115" s="95"/>
      <c r="D115" s="79" t="str">
        <f t="shared" si="30"/>
        <v/>
      </c>
      <c r="E115" s="94"/>
      <c r="F115" s="79" t="str">
        <f t="shared" si="31"/>
        <v/>
      </c>
      <c r="G115" s="94"/>
      <c r="H115" s="79" t="str">
        <f t="shared" si="32"/>
        <v/>
      </c>
      <c r="I115" s="94"/>
      <c r="J115" s="79" t="str">
        <f t="shared" si="33"/>
        <v/>
      </c>
      <c r="K115" s="94"/>
      <c r="L115" s="79" t="str">
        <f t="shared" si="34"/>
        <v/>
      </c>
      <c r="M115" s="94"/>
      <c r="N115" s="79" t="str">
        <f t="shared" si="35"/>
        <v/>
      </c>
      <c r="O115" s="85" t="str">
        <f t="shared" si="36"/>
        <v/>
      </c>
      <c r="P115" s="79" t="str">
        <f t="shared" si="37"/>
        <v/>
      </c>
      <c r="Q115" s="184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3"/>
      <c r="B116" s="94"/>
      <c r="C116" s="95"/>
      <c r="D116" s="79" t="str">
        <f t="shared" si="30"/>
        <v/>
      </c>
      <c r="E116" s="94"/>
      <c r="F116" s="79" t="str">
        <f t="shared" si="31"/>
        <v/>
      </c>
      <c r="G116" s="94"/>
      <c r="H116" s="79" t="str">
        <f t="shared" si="32"/>
        <v/>
      </c>
      <c r="I116" s="94"/>
      <c r="J116" s="79" t="str">
        <f t="shared" si="33"/>
        <v/>
      </c>
      <c r="K116" s="94"/>
      <c r="L116" s="79" t="str">
        <f t="shared" si="34"/>
        <v/>
      </c>
      <c r="M116" s="94"/>
      <c r="N116" s="79" t="str">
        <f t="shared" si="35"/>
        <v/>
      </c>
      <c r="O116" s="85" t="str">
        <f t="shared" si="36"/>
        <v/>
      </c>
      <c r="P116" s="79" t="str">
        <f t="shared" si="37"/>
        <v/>
      </c>
      <c r="Q116" s="184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3"/>
      <c r="B117" s="94"/>
      <c r="C117" s="95"/>
      <c r="D117" s="79" t="str">
        <f t="shared" si="30"/>
        <v/>
      </c>
      <c r="E117" s="94"/>
      <c r="F117" s="79" t="str">
        <f t="shared" si="31"/>
        <v/>
      </c>
      <c r="G117" s="94"/>
      <c r="H117" s="79" t="str">
        <f t="shared" si="32"/>
        <v/>
      </c>
      <c r="I117" s="94"/>
      <c r="J117" s="79" t="str">
        <f t="shared" si="33"/>
        <v/>
      </c>
      <c r="K117" s="94"/>
      <c r="L117" s="79" t="str">
        <f t="shared" si="34"/>
        <v/>
      </c>
      <c r="M117" s="94"/>
      <c r="N117" s="79" t="str">
        <f t="shared" si="35"/>
        <v/>
      </c>
      <c r="O117" s="85" t="str">
        <f t="shared" si="36"/>
        <v/>
      </c>
      <c r="P117" s="79" t="str">
        <f t="shared" si="37"/>
        <v/>
      </c>
      <c r="Q117" s="184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3"/>
      <c r="B118" s="94"/>
      <c r="C118" s="95"/>
      <c r="D118" s="79" t="str">
        <f t="shared" si="30"/>
        <v/>
      </c>
      <c r="E118" s="94"/>
      <c r="F118" s="79" t="str">
        <f t="shared" si="31"/>
        <v/>
      </c>
      <c r="G118" s="94"/>
      <c r="H118" s="79" t="str">
        <f t="shared" si="32"/>
        <v/>
      </c>
      <c r="I118" s="94"/>
      <c r="J118" s="79" t="str">
        <f t="shared" si="33"/>
        <v/>
      </c>
      <c r="K118" s="94"/>
      <c r="L118" s="79" t="str">
        <f t="shared" si="34"/>
        <v/>
      </c>
      <c r="M118" s="94"/>
      <c r="N118" s="79" t="str">
        <f t="shared" si="35"/>
        <v/>
      </c>
      <c r="O118" s="85" t="str">
        <f t="shared" si="36"/>
        <v/>
      </c>
      <c r="P118" s="79" t="str">
        <f t="shared" si="37"/>
        <v/>
      </c>
      <c r="Q118" s="184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3"/>
      <c r="B119" s="94"/>
      <c r="C119" s="95"/>
      <c r="D119" s="79" t="str">
        <f t="shared" si="30"/>
        <v/>
      </c>
      <c r="E119" s="94"/>
      <c r="F119" s="79" t="str">
        <f t="shared" si="31"/>
        <v/>
      </c>
      <c r="G119" s="94"/>
      <c r="H119" s="79" t="str">
        <f t="shared" si="32"/>
        <v/>
      </c>
      <c r="I119" s="94"/>
      <c r="J119" s="79" t="str">
        <f t="shared" si="33"/>
        <v/>
      </c>
      <c r="K119" s="94"/>
      <c r="L119" s="79" t="str">
        <f t="shared" si="34"/>
        <v/>
      </c>
      <c r="M119" s="94"/>
      <c r="N119" s="79" t="str">
        <f t="shared" si="35"/>
        <v/>
      </c>
      <c r="O119" s="85" t="str">
        <f t="shared" si="36"/>
        <v/>
      </c>
      <c r="P119" s="79" t="str">
        <f t="shared" si="37"/>
        <v/>
      </c>
      <c r="Q119" s="184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3"/>
      <c r="B120" s="94"/>
      <c r="C120" s="95"/>
      <c r="D120" s="79" t="str">
        <f t="shared" si="30"/>
        <v/>
      </c>
      <c r="E120" s="94"/>
      <c r="F120" s="79" t="str">
        <f t="shared" si="31"/>
        <v/>
      </c>
      <c r="G120" s="94"/>
      <c r="H120" s="79" t="str">
        <f t="shared" si="32"/>
        <v/>
      </c>
      <c r="I120" s="94"/>
      <c r="J120" s="79" t="str">
        <f t="shared" si="33"/>
        <v/>
      </c>
      <c r="K120" s="94"/>
      <c r="L120" s="79" t="str">
        <f t="shared" si="34"/>
        <v/>
      </c>
      <c r="M120" s="94"/>
      <c r="N120" s="79" t="str">
        <f t="shared" si="35"/>
        <v/>
      </c>
      <c r="O120" s="85" t="str">
        <f t="shared" si="36"/>
        <v/>
      </c>
      <c r="P120" s="79" t="str">
        <f t="shared" si="37"/>
        <v/>
      </c>
      <c r="Q120" s="184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3"/>
      <c r="B121" s="94"/>
      <c r="C121" s="95"/>
      <c r="D121" s="79" t="str">
        <f t="shared" si="30"/>
        <v/>
      </c>
      <c r="E121" s="94"/>
      <c r="F121" s="79" t="str">
        <f t="shared" si="31"/>
        <v/>
      </c>
      <c r="G121" s="94"/>
      <c r="H121" s="79" t="str">
        <f t="shared" si="32"/>
        <v/>
      </c>
      <c r="I121" s="94"/>
      <c r="J121" s="79" t="str">
        <f t="shared" si="33"/>
        <v/>
      </c>
      <c r="K121" s="94"/>
      <c r="L121" s="79" t="str">
        <f t="shared" si="34"/>
        <v/>
      </c>
      <c r="M121" s="94"/>
      <c r="N121" s="79" t="str">
        <f t="shared" si="35"/>
        <v/>
      </c>
      <c r="O121" s="85" t="str">
        <f t="shared" si="36"/>
        <v/>
      </c>
      <c r="P121" s="79" t="str">
        <f t="shared" si="37"/>
        <v/>
      </c>
      <c r="Q121" s="184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3"/>
      <c r="B122" s="94"/>
      <c r="C122" s="95"/>
      <c r="D122" s="79" t="str">
        <f t="shared" si="30"/>
        <v/>
      </c>
      <c r="E122" s="94"/>
      <c r="F122" s="79" t="str">
        <f t="shared" si="31"/>
        <v/>
      </c>
      <c r="G122" s="94"/>
      <c r="H122" s="79" t="str">
        <f t="shared" si="32"/>
        <v/>
      </c>
      <c r="I122" s="94"/>
      <c r="J122" s="79" t="str">
        <f t="shared" si="33"/>
        <v/>
      </c>
      <c r="K122" s="94"/>
      <c r="L122" s="79" t="str">
        <f t="shared" si="34"/>
        <v/>
      </c>
      <c r="M122" s="94"/>
      <c r="N122" s="79" t="str">
        <f t="shared" si="35"/>
        <v/>
      </c>
      <c r="O122" s="85" t="str">
        <f t="shared" si="36"/>
        <v/>
      </c>
      <c r="P122" s="79" t="str">
        <f t="shared" si="37"/>
        <v/>
      </c>
      <c r="Q122" s="184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3"/>
      <c r="B123" s="94"/>
      <c r="C123" s="95"/>
      <c r="D123" s="79" t="str">
        <f t="shared" si="30"/>
        <v/>
      </c>
      <c r="E123" s="94"/>
      <c r="F123" s="79" t="str">
        <f t="shared" si="31"/>
        <v/>
      </c>
      <c r="G123" s="94"/>
      <c r="H123" s="79" t="str">
        <f t="shared" si="32"/>
        <v/>
      </c>
      <c r="I123" s="94"/>
      <c r="J123" s="79" t="str">
        <f t="shared" si="33"/>
        <v/>
      </c>
      <c r="K123" s="94"/>
      <c r="L123" s="79" t="str">
        <f t="shared" si="34"/>
        <v/>
      </c>
      <c r="M123" s="94"/>
      <c r="N123" s="79" t="str">
        <f t="shared" si="35"/>
        <v/>
      </c>
      <c r="O123" s="85" t="str">
        <f t="shared" si="36"/>
        <v/>
      </c>
      <c r="P123" s="79" t="str">
        <f t="shared" si="37"/>
        <v/>
      </c>
      <c r="Q123" s="184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3"/>
      <c r="B124" s="94"/>
      <c r="C124" s="95"/>
      <c r="D124" s="79" t="str">
        <f t="shared" si="30"/>
        <v/>
      </c>
      <c r="E124" s="94"/>
      <c r="F124" s="79" t="str">
        <f t="shared" si="31"/>
        <v/>
      </c>
      <c r="G124" s="94"/>
      <c r="H124" s="79" t="str">
        <f t="shared" si="32"/>
        <v/>
      </c>
      <c r="I124" s="94"/>
      <c r="J124" s="79" t="str">
        <f t="shared" si="33"/>
        <v/>
      </c>
      <c r="K124" s="94"/>
      <c r="L124" s="79" t="str">
        <f t="shared" si="34"/>
        <v/>
      </c>
      <c r="M124" s="94"/>
      <c r="N124" s="79" t="str">
        <f t="shared" si="35"/>
        <v/>
      </c>
      <c r="O124" s="85" t="str">
        <f t="shared" si="36"/>
        <v/>
      </c>
      <c r="P124" s="79" t="str">
        <f t="shared" si="37"/>
        <v/>
      </c>
      <c r="Q124" s="184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3"/>
      <c r="B125" s="94"/>
      <c r="C125" s="95"/>
      <c r="D125" s="79" t="str">
        <f t="shared" si="30"/>
        <v/>
      </c>
      <c r="E125" s="94"/>
      <c r="F125" s="79" t="str">
        <f t="shared" si="31"/>
        <v/>
      </c>
      <c r="G125" s="94"/>
      <c r="H125" s="79" t="str">
        <f t="shared" si="32"/>
        <v/>
      </c>
      <c r="I125" s="94"/>
      <c r="J125" s="79" t="str">
        <f t="shared" si="33"/>
        <v/>
      </c>
      <c r="K125" s="94"/>
      <c r="L125" s="79" t="str">
        <f t="shared" si="34"/>
        <v/>
      </c>
      <c r="M125" s="94"/>
      <c r="N125" s="79" t="str">
        <f t="shared" si="35"/>
        <v/>
      </c>
      <c r="O125" s="85" t="str">
        <f t="shared" si="36"/>
        <v/>
      </c>
      <c r="P125" s="79" t="str">
        <f t="shared" si="37"/>
        <v/>
      </c>
      <c r="Q125" s="184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3"/>
      <c r="B126" s="94"/>
      <c r="C126" s="95"/>
      <c r="D126" s="79" t="str">
        <f t="shared" si="30"/>
        <v/>
      </c>
      <c r="E126" s="94"/>
      <c r="F126" s="79" t="str">
        <f t="shared" si="31"/>
        <v/>
      </c>
      <c r="G126" s="94"/>
      <c r="H126" s="79" t="str">
        <f t="shared" si="32"/>
        <v/>
      </c>
      <c r="I126" s="94"/>
      <c r="J126" s="79" t="str">
        <f t="shared" si="33"/>
        <v/>
      </c>
      <c r="K126" s="94"/>
      <c r="L126" s="79" t="str">
        <f t="shared" si="34"/>
        <v/>
      </c>
      <c r="M126" s="94"/>
      <c r="N126" s="79" t="str">
        <f t="shared" si="35"/>
        <v/>
      </c>
      <c r="O126" s="85" t="str">
        <f t="shared" si="36"/>
        <v/>
      </c>
      <c r="P126" s="79" t="str">
        <f t="shared" si="37"/>
        <v/>
      </c>
      <c r="Q126" s="184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3"/>
      <c r="B127" s="94"/>
      <c r="C127" s="95"/>
      <c r="D127" s="79" t="str">
        <f t="shared" si="30"/>
        <v/>
      </c>
      <c r="E127" s="94"/>
      <c r="F127" s="79" t="str">
        <f t="shared" si="31"/>
        <v/>
      </c>
      <c r="G127" s="94"/>
      <c r="H127" s="79" t="str">
        <f t="shared" si="32"/>
        <v/>
      </c>
      <c r="I127" s="94"/>
      <c r="J127" s="79" t="str">
        <f t="shared" si="33"/>
        <v/>
      </c>
      <c r="K127" s="94"/>
      <c r="L127" s="79" t="str">
        <f t="shared" si="34"/>
        <v/>
      </c>
      <c r="M127" s="94"/>
      <c r="N127" s="79" t="str">
        <f t="shared" si="35"/>
        <v/>
      </c>
      <c r="O127" s="85" t="str">
        <f t="shared" si="36"/>
        <v/>
      </c>
      <c r="P127" s="79" t="str">
        <f t="shared" si="37"/>
        <v/>
      </c>
      <c r="Q127" s="184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3"/>
      <c r="B128" s="94"/>
      <c r="C128" s="95"/>
      <c r="D128" s="79" t="str">
        <f t="shared" si="30"/>
        <v/>
      </c>
      <c r="E128" s="94"/>
      <c r="F128" s="79" t="str">
        <f t="shared" si="31"/>
        <v/>
      </c>
      <c r="G128" s="94"/>
      <c r="H128" s="79" t="str">
        <f t="shared" si="32"/>
        <v/>
      </c>
      <c r="I128" s="94"/>
      <c r="J128" s="79" t="str">
        <f t="shared" si="33"/>
        <v/>
      </c>
      <c r="K128" s="94"/>
      <c r="L128" s="79" t="str">
        <f t="shared" si="34"/>
        <v/>
      </c>
      <c r="M128" s="94"/>
      <c r="N128" s="79" t="str">
        <f t="shared" si="35"/>
        <v/>
      </c>
      <c r="O128" s="85" t="str">
        <f t="shared" si="36"/>
        <v/>
      </c>
      <c r="P128" s="79" t="str">
        <f t="shared" si="37"/>
        <v/>
      </c>
      <c r="Q128" s="184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3"/>
      <c r="B129" s="94"/>
      <c r="C129" s="95"/>
      <c r="D129" s="79" t="str">
        <f t="shared" si="30"/>
        <v/>
      </c>
      <c r="E129" s="94"/>
      <c r="F129" s="79" t="str">
        <f t="shared" si="31"/>
        <v/>
      </c>
      <c r="G129" s="94"/>
      <c r="H129" s="79" t="str">
        <f t="shared" si="32"/>
        <v/>
      </c>
      <c r="I129" s="94"/>
      <c r="J129" s="79" t="str">
        <f t="shared" si="33"/>
        <v/>
      </c>
      <c r="K129" s="94"/>
      <c r="L129" s="79" t="str">
        <f t="shared" si="34"/>
        <v/>
      </c>
      <c r="M129" s="94"/>
      <c r="N129" s="79" t="str">
        <f t="shared" si="35"/>
        <v/>
      </c>
      <c r="O129" s="85" t="str">
        <f t="shared" si="36"/>
        <v/>
      </c>
      <c r="P129" s="79" t="str">
        <f t="shared" si="37"/>
        <v/>
      </c>
      <c r="Q129" s="184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3"/>
      <c r="B130" s="94"/>
      <c r="C130" s="95"/>
      <c r="D130" s="79" t="str">
        <f t="shared" ref="D130:D161" si="40">IF(OR(A130="",B130="",C130=""),"",ROUND(B130*C130,2))</f>
        <v/>
      </c>
      <c r="E130" s="94"/>
      <c r="F130" s="79" t="str">
        <f t="shared" ref="F130:F161" si="41">IF(OR(A130="",E130="",C130="",NOT(ISNUMBER($U$2))),"",ROUND(E130*C130*$U$2,2))</f>
        <v/>
      </c>
      <c r="G130" s="94"/>
      <c r="H130" s="79" t="str">
        <f t="shared" ref="H130:H161" si="42">IF(OR(A130="",G130="",C130="",NOT(ISNUMBER($U$3))),"",ROUND(G130*C130*$U$3,2))</f>
        <v/>
      </c>
      <c r="I130" s="94"/>
      <c r="J130" s="79" t="str">
        <f t="shared" ref="J130:J161" si="43">IF(OR(A130="",I130="",C130="",NOT(ISNUMBER($U$4))),"",ROUND(I130*C130*$U$4,2))</f>
        <v/>
      </c>
      <c r="K130" s="94"/>
      <c r="L130" s="79" t="str">
        <f t="shared" ref="L130:L161" si="44">IF(OR(A130="",K130="",C130="",NOT(ISNUMBER($U$5))),"",ROUND(K130*C130*$U$5,2))</f>
        <v/>
      </c>
      <c r="M130" s="94"/>
      <c r="N130" s="79" t="str">
        <f t="shared" ref="N130:N161" si="45">IF(OR(A130="",M130="",C130="",NOT(ISNUMBER($U$6))),"",ROUND(M130*C130*$U$6,2))</f>
        <v/>
      </c>
      <c r="O130" s="85" t="str">
        <f t="shared" ref="O130:O161" si="46">IF(A130="","",SUM(E130,G130,I130,K130,M130))</f>
        <v/>
      </c>
      <c r="P130" s="79" t="str">
        <f t="shared" ref="P130:P161" si="47">IF(A130="","",SUM(F130,H130,J130,L130,N130))</f>
        <v/>
      </c>
      <c r="Q130" s="184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3"/>
      <c r="B131" s="94"/>
      <c r="C131" s="95"/>
      <c r="D131" s="79" t="str">
        <f t="shared" si="40"/>
        <v/>
      </c>
      <c r="E131" s="94"/>
      <c r="F131" s="79" t="str">
        <f t="shared" si="41"/>
        <v/>
      </c>
      <c r="G131" s="94"/>
      <c r="H131" s="79" t="str">
        <f t="shared" si="42"/>
        <v/>
      </c>
      <c r="I131" s="94"/>
      <c r="J131" s="79" t="str">
        <f t="shared" si="43"/>
        <v/>
      </c>
      <c r="K131" s="94"/>
      <c r="L131" s="79" t="str">
        <f t="shared" si="44"/>
        <v/>
      </c>
      <c r="M131" s="94"/>
      <c r="N131" s="79" t="str">
        <f t="shared" si="45"/>
        <v/>
      </c>
      <c r="O131" s="85" t="str">
        <f t="shared" si="46"/>
        <v/>
      </c>
      <c r="P131" s="79" t="str">
        <f t="shared" si="47"/>
        <v/>
      </c>
      <c r="Q131" s="184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3"/>
      <c r="B132" s="94"/>
      <c r="C132" s="95"/>
      <c r="D132" s="79" t="str">
        <f t="shared" si="40"/>
        <v/>
      </c>
      <c r="E132" s="94"/>
      <c r="F132" s="79" t="str">
        <f t="shared" si="41"/>
        <v/>
      </c>
      <c r="G132" s="94"/>
      <c r="H132" s="79" t="str">
        <f t="shared" si="42"/>
        <v/>
      </c>
      <c r="I132" s="94"/>
      <c r="J132" s="79" t="str">
        <f t="shared" si="43"/>
        <v/>
      </c>
      <c r="K132" s="94"/>
      <c r="L132" s="79" t="str">
        <f t="shared" si="44"/>
        <v/>
      </c>
      <c r="M132" s="94"/>
      <c r="N132" s="79" t="str">
        <f t="shared" si="45"/>
        <v/>
      </c>
      <c r="O132" s="85" t="str">
        <f t="shared" si="46"/>
        <v/>
      </c>
      <c r="P132" s="79" t="str">
        <f t="shared" si="47"/>
        <v/>
      </c>
      <c r="Q132" s="184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3"/>
      <c r="B133" s="94"/>
      <c r="C133" s="95"/>
      <c r="D133" s="79" t="str">
        <f t="shared" si="40"/>
        <v/>
      </c>
      <c r="E133" s="94"/>
      <c r="F133" s="79" t="str">
        <f t="shared" si="41"/>
        <v/>
      </c>
      <c r="G133" s="94"/>
      <c r="H133" s="79" t="str">
        <f t="shared" si="42"/>
        <v/>
      </c>
      <c r="I133" s="94"/>
      <c r="J133" s="79" t="str">
        <f t="shared" si="43"/>
        <v/>
      </c>
      <c r="K133" s="94"/>
      <c r="L133" s="79" t="str">
        <f t="shared" si="44"/>
        <v/>
      </c>
      <c r="M133" s="94"/>
      <c r="N133" s="79" t="str">
        <f t="shared" si="45"/>
        <v/>
      </c>
      <c r="O133" s="85" t="str">
        <f t="shared" si="46"/>
        <v/>
      </c>
      <c r="P133" s="79" t="str">
        <f t="shared" si="47"/>
        <v/>
      </c>
      <c r="Q133" s="184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3"/>
      <c r="B134" s="94"/>
      <c r="C134" s="95"/>
      <c r="D134" s="79" t="str">
        <f t="shared" si="40"/>
        <v/>
      </c>
      <c r="E134" s="94"/>
      <c r="F134" s="79" t="str">
        <f t="shared" si="41"/>
        <v/>
      </c>
      <c r="G134" s="94"/>
      <c r="H134" s="79" t="str">
        <f t="shared" si="42"/>
        <v/>
      </c>
      <c r="I134" s="94"/>
      <c r="J134" s="79" t="str">
        <f t="shared" si="43"/>
        <v/>
      </c>
      <c r="K134" s="94"/>
      <c r="L134" s="79" t="str">
        <f t="shared" si="44"/>
        <v/>
      </c>
      <c r="M134" s="94"/>
      <c r="N134" s="79" t="str">
        <f t="shared" si="45"/>
        <v/>
      </c>
      <c r="O134" s="85" t="str">
        <f t="shared" si="46"/>
        <v/>
      </c>
      <c r="P134" s="79" t="str">
        <f t="shared" si="47"/>
        <v/>
      </c>
      <c r="Q134" s="184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3"/>
      <c r="B135" s="94"/>
      <c r="C135" s="95"/>
      <c r="D135" s="79" t="str">
        <f t="shared" si="40"/>
        <v/>
      </c>
      <c r="E135" s="94"/>
      <c r="F135" s="79" t="str">
        <f t="shared" si="41"/>
        <v/>
      </c>
      <c r="G135" s="94"/>
      <c r="H135" s="79" t="str">
        <f t="shared" si="42"/>
        <v/>
      </c>
      <c r="I135" s="94"/>
      <c r="J135" s="79" t="str">
        <f t="shared" si="43"/>
        <v/>
      </c>
      <c r="K135" s="94"/>
      <c r="L135" s="79" t="str">
        <f t="shared" si="44"/>
        <v/>
      </c>
      <c r="M135" s="94"/>
      <c r="N135" s="79" t="str">
        <f t="shared" si="45"/>
        <v/>
      </c>
      <c r="O135" s="85" t="str">
        <f t="shared" si="46"/>
        <v/>
      </c>
      <c r="P135" s="79" t="str">
        <f t="shared" si="47"/>
        <v/>
      </c>
      <c r="Q135" s="184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3"/>
      <c r="B136" s="94"/>
      <c r="C136" s="95"/>
      <c r="D136" s="79" t="str">
        <f t="shared" si="40"/>
        <v/>
      </c>
      <c r="E136" s="94"/>
      <c r="F136" s="79" t="str">
        <f t="shared" si="41"/>
        <v/>
      </c>
      <c r="G136" s="94"/>
      <c r="H136" s="79" t="str">
        <f t="shared" si="42"/>
        <v/>
      </c>
      <c r="I136" s="94"/>
      <c r="J136" s="79" t="str">
        <f t="shared" si="43"/>
        <v/>
      </c>
      <c r="K136" s="94"/>
      <c r="L136" s="79" t="str">
        <f t="shared" si="44"/>
        <v/>
      </c>
      <c r="M136" s="94"/>
      <c r="N136" s="79" t="str">
        <f t="shared" si="45"/>
        <v/>
      </c>
      <c r="O136" s="85" t="str">
        <f t="shared" si="46"/>
        <v/>
      </c>
      <c r="P136" s="79" t="str">
        <f t="shared" si="47"/>
        <v/>
      </c>
      <c r="Q136" s="184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3"/>
      <c r="B137" s="94"/>
      <c r="C137" s="95"/>
      <c r="D137" s="79" t="str">
        <f t="shared" si="40"/>
        <v/>
      </c>
      <c r="E137" s="94"/>
      <c r="F137" s="79" t="str">
        <f t="shared" si="41"/>
        <v/>
      </c>
      <c r="G137" s="94"/>
      <c r="H137" s="79" t="str">
        <f t="shared" si="42"/>
        <v/>
      </c>
      <c r="I137" s="94"/>
      <c r="J137" s="79" t="str">
        <f t="shared" si="43"/>
        <v/>
      </c>
      <c r="K137" s="94"/>
      <c r="L137" s="79" t="str">
        <f t="shared" si="44"/>
        <v/>
      </c>
      <c r="M137" s="94"/>
      <c r="N137" s="79" t="str">
        <f t="shared" si="45"/>
        <v/>
      </c>
      <c r="O137" s="85" t="str">
        <f t="shared" si="46"/>
        <v/>
      </c>
      <c r="P137" s="79" t="str">
        <f t="shared" si="47"/>
        <v/>
      </c>
      <c r="Q137" s="184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3"/>
      <c r="B138" s="94"/>
      <c r="C138" s="95"/>
      <c r="D138" s="79" t="str">
        <f t="shared" si="40"/>
        <v/>
      </c>
      <c r="E138" s="94"/>
      <c r="F138" s="79" t="str">
        <f t="shared" si="41"/>
        <v/>
      </c>
      <c r="G138" s="94"/>
      <c r="H138" s="79" t="str">
        <f t="shared" si="42"/>
        <v/>
      </c>
      <c r="I138" s="94"/>
      <c r="J138" s="79" t="str">
        <f t="shared" si="43"/>
        <v/>
      </c>
      <c r="K138" s="94"/>
      <c r="L138" s="79" t="str">
        <f t="shared" si="44"/>
        <v/>
      </c>
      <c r="M138" s="94"/>
      <c r="N138" s="79" t="str">
        <f t="shared" si="45"/>
        <v/>
      </c>
      <c r="O138" s="85" t="str">
        <f t="shared" si="46"/>
        <v/>
      </c>
      <c r="P138" s="79" t="str">
        <f t="shared" si="47"/>
        <v/>
      </c>
      <c r="Q138" s="184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3"/>
      <c r="B139" s="94"/>
      <c r="C139" s="95"/>
      <c r="D139" s="79" t="str">
        <f t="shared" si="40"/>
        <v/>
      </c>
      <c r="E139" s="94"/>
      <c r="F139" s="79" t="str">
        <f t="shared" si="41"/>
        <v/>
      </c>
      <c r="G139" s="94"/>
      <c r="H139" s="79" t="str">
        <f t="shared" si="42"/>
        <v/>
      </c>
      <c r="I139" s="94"/>
      <c r="J139" s="79" t="str">
        <f t="shared" si="43"/>
        <v/>
      </c>
      <c r="K139" s="94"/>
      <c r="L139" s="79" t="str">
        <f t="shared" si="44"/>
        <v/>
      </c>
      <c r="M139" s="94"/>
      <c r="N139" s="79" t="str">
        <f t="shared" si="45"/>
        <v/>
      </c>
      <c r="O139" s="85" t="str">
        <f t="shared" si="46"/>
        <v/>
      </c>
      <c r="P139" s="79" t="str">
        <f t="shared" si="47"/>
        <v/>
      </c>
      <c r="Q139" s="184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3"/>
      <c r="B140" s="94"/>
      <c r="C140" s="95"/>
      <c r="D140" s="79" t="str">
        <f t="shared" si="40"/>
        <v/>
      </c>
      <c r="E140" s="94"/>
      <c r="F140" s="79" t="str">
        <f t="shared" si="41"/>
        <v/>
      </c>
      <c r="G140" s="94"/>
      <c r="H140" s="79" t="str">
        <f t="shared" si="42"/>
        <v/>
      </c>
      <c r="I140" s="94"/>
      <c r="J140" s="79" t="str">
        <f t="shared" si="43"/>
        <v/>
      </c>
      <c r="K140" s="94"/>
      <c r="L140" s="79" t="str">
        <f t="shared" si="44"/>
        <v/>
      </c>
      <c r="M140" s="94"/>
      <c r="N140" s="79" t="str">
        <f t="shared" si="45"/>
        <v/>
      </c>
      <c r="O140" s="85" t="str">
        <f t="shared" si="46"/>
        <v/>
      </c>
      <c r="P140" s="79" t="str">
        <f t="shared" si="47"/>
        <v/>
      </c>
      <c r="Q140" s="184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3"/>
      <c r="B141" s="94"/>
      <c r="C141" s="95"/>
      <c r="D141" s="79" t="str">
        <f t="shared" si="40"/>
        <v/>
      </c>
      <c r="E141" s="94"/>
      <c r="F141" s="79" t="str">
        <f t="shared" si="41"/>
        <v/>
      </c>
      <c r="G141" s="94"/>
      <c r="H141" s="79" t="str">
        <f t="shared" si="42"/>
        <v/>
      </c>
      <c r="I141" s="94"/>
      <c r="J141" s="79" t="str">
        <f t="shared" si="43"/>
        <v/>
      </c>
      <c r="K141" s="94"/>
      <c r="L141" s="79" t="str">
        <f t="shared" si="44"/>
        <v/>
      </c>
      <c r="M141" s="94"/>
      <c r="N141" s="79" t="str">
        <f t="shared" si="45"/>
        <v/>
      </c>
      <c r="O141" s="85" t="str">
        <f t="shared" si="46"/>
        <v/>
      </c>
      <c r="P141" s="79" t="str">
        <f t="shared" si="47"/>
        <v/>
      </c>
      <c r="Q141" s="184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3"/>
      <c r="B142" s="94"/>
      <c r="C142" s="95"/>
      <c r="D142" s="79" t="str">
        <f t="shared" si="40"/>
        <v/>
      </c>
      <c r="E142" s="94"/>
      <c r="F142" s="79" t="str">
        <f t="shared" si="41"/>
        <v/>
      </c>
      <c r="G142" s="94"/>
      <c r="H142" s="79" t="str">
        <f t="shared" si="42"/>
        <v/>
      </c>
      <c r="I142" s="94"/>
      <c r="J142" s="79" t="str">
        <f t="shared" si="43"/>
        <v/>
      </c>
      <c r="K142" s="94"/>
      <c r="L142" s="79" t="str">
        <f t="shared" si="44"/>
        <v/>
      </c>
      <c r="M142" s="94"/>
      <c r="N142" s="79" t="str">
        <f t="shared" si="45"/>
        <v/>
      </c>
      <c r="O142" s="85" t="str">
        <f t="shared" si="46"/>
        <v/>
      </c>
      <c r="P142" s="79" t="str">
        <f t="shared" si="47"/>
        <v/>
      </c>
      <c r="Q142" s="184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3"/>
      <c r="B143" s="94"/>
      <c r="C143" s="95"/>
      <c r="D143" s="79" t="str">
        <f t="shared" si="40"/>
        <v/>
      </c>
      <c r="E143" s="94"/>
      <c r="F143" s="79" t="str">
        <f t="shared" si="41"/>
        <v/>
      </c>
      <c r="G143" s="94"/>
      <c r="H143" s="79" t="str">
        <f t="shared" si="42"/>
        <v/>
      </c>
      <c r="I143" s="94"/>
      <c r="J143" s="79" t="str">
        <f t="shared" si="43"/>
        <v/>
      </c>
      <c r="K143" s="94"/>
      <c r="L143" s="79" t="str">
        <f t="shared" si="44"/>
        <v/>
      </c>
      <c r="M143" s="94"/>
      <c r="N143" s="79" t="str">
        <f t="shared" si="45"/>
        <v/>
      </c>
      <c r="O143" s="85" t="str">
        <f t="shared" si="46"/>
        <v/>
      </c>
      <c r="P143" s="79" t="str">
        <f t="shared" si="47"/>
        <v/>
      </c>
      <c r="Q143" s="184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3"/>
      <c r="B144" s="94"/>
      <c r="C144" s="95"/>
      <c r="D144" s="79" t="str">
        <f t="shared" si="40"/>
        <v/>
      </c>
      <c r="E144" s="94"/>
      <c r="F144" s="79" t="str">
        <f t="shared" si="41"/>
        <v/>
      </c>
      <c r="G144" s="94"/>
      <c r="H144" s="79" t="str">
        <f t="shared" si="42"/>
        <v/>
      </c>
      <c r="I144" s="94"/>
      <c r="J144" s="79" t="str">
        <f t="shared" si="43"/>
        <v/>
      </c>
      <c r="K144" s="94"/>
      <c r="L144" s="79" t="str">
        <f t="shared" si="44"/>
        <v/>
      </c>
      <c r="M144" s="94"/>
      <c r="N144" s="79" t="str">
        <f t="shared" si="45"/>
        <v/>
      </c>
      <c r="O144" s="85" t="str">
        <f t="shared" si="46"/>
        <v/>
      </c>
      <c r="P144" s="79" t="str">
        <f t="shared" si="47"/>
        <v/>
      </c>
      <c r="Q144" s="184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3"/>
      <c r="B145" s="94"/>
      <c r="C145" s="95"/>
      <c r="D145" s="79" t="str">
        <f t="shared" si="40"/>
        <v/>
      </c>
      <c r="E145" s="94"/>
      <c r="F145" s="79" t="str">
        <f t="shared" si="41"/>
        <v/>
      </c>
      <c r="G145" s="94"/>
      <c r="H145" s="79" t="str">
        <f t="shared" si="42"/>
        <v/>
      </c>
      <c r="I145" s="94"/>
      <c r="J145" s="79" t="str">
        <f t="shared" si="43"/>
        <v/>
      </c>
      <c r="K145" s="94"/>
      <c r="L145" s="79" t="str">
        <f t="shared" si="44"/>
        <v/>
      </c>
      <c r="M145" s="94"/>
      <c r="N145" s="79" t="str">
        <f t="shared" si="45"/>
        <v/>
      </c>
      <c r="O145" s="85" t="str">
        <f t="shared" si="46"/>
        <v/>
      </c>
      <c r="P145" s="79" t="str">
        <f t="shared" si="47"/>
        <v/>
      </c>
      <c r="Q145" s="184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3"/>
      <c r="B146" s="94"/>
      <c r="C146" s="95"/>
      <c r="D146" s="79" t="str">
        <f t="shared" si="40"/>
        <v/>
      </c>
      <c r="E146" s="94"/>
      <c r="F146" s="79" t="str">
        <f t="shared" si="41"/>
        <v/>
      </c>
      <c r="G146" s="94"/>
      <c r="H146" s="79" t="str">
        <f t="shared" si="42"/>
        <v/>
      </c>
      <c r="I146" s="94"/>
      <c r="J146" s="79" t="str">
        <f t="shared" si="43"/>
        <v/>
      </c>
      <c r="K146" s="94"/>
      <c r="L146" s="79" t="str">
        <f t="shared" si="44"/>
        <v/>
      </c>
      <c r="M146" s="94"/>
      <c r="N146" s="79" t="str">
        <f t="shared" si="45"/>
        <v/>
      </c>
      <c r="O146" s="85" t="str">
        <f t="shared" si="46"/>
        <v/>
      </c>
      <c r="P146" s="79" t="str">
        <f t="shared" si="47"/>
        <v/>
      </c>
      <c r="Q146" s="184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3"/>
      <c r="B147" s="94"/>
      <c r="C147" s="95"/>
      <c r="D147" s="79" t="str">
        <f t="shared" si="40"/>
        <v/>
      </c>
      <c r="E147" s="94"/>
      <c r="F147" s="79" t="str">
        <f t="shared" si="41"/>
        <v/>
      </c>
      <c r="G147" s="94"/>
      <c r="H147" s="79" t="str">
        <f t="shared" si="42"/>
        <v/>
      </c>
      <c r="I147" s="94"/>
      <c r="J147" s="79" t="str">
        <f t="shared" si="43"/>
        <v/>
      </c>
      <c r="K147" s="94"/>
      <c r="L147" s="79" t="str">
        <f t="shared" si="44"/>
        <v/>
      </c>
      <c r="M147" s="94"/>
      <c r="N147" s="79" t="str">
        <f t="shared" si="45"/>
        <v/>
      </c>
      <c r="O147" s="85" t="str">
        <f t="shared" si="46"/>
        <v/>
      </c>
      <c r="P147" s="79" t="str">
        <f t="shared" si="47"/>
        <v/>
      </c>
      <c r="Q147" s="184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3"/>
      <c r="B148" s="94"/>
      <c r="C148" s="95"/>
      <c r="D148" s="79" t="str">
        <f t="shared" si="40"/>
        <v/>
      </c>
      <c r="E148" s="94"/>
      <c r="F148" s="79" t="str">
        <f t="shared" si="41"/>
        <v/>
      </c>
      <c r="G148" s="94"/>
      <c r="H148" s="79" t="str">
        <f t="shared" si="42"/>
        <v/>
      </c>
      <c r="I148" s="94"/>
      <c r="J148" s="79" t="str">
        <f t="shared" si="43"/>
        <v/>
      </c>
      <c r="K148" s="94"/>
      <c r="L148" s="79" t="str">
        <f t="shared" si="44"/>
        <v/>
      </c>
      <c r="M148" s="94"/>
      <c r="N148" s="79" t="str">
        <f t="shared" si="45"/>
        <v/>
      </c>
      <c r="O148" s="85" t="str">
        <f t="shared" si="46"/>
        <v/>
      </c>
      <c r="P148" s="79" t="str">
        <f t="shared" si="47"/>
        <v/>
      </c>
      <c r="Q148" s="184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3"/>
      <c r="B149" s="94"/>
      <c r="C149" s="95"/>
      <c r="D149" s="79" t="str">
        <f t="shared" si="40"/>
        <v/>
      </c>
      <c r="E149" s="94"/>
      <c r="F149" s="79" t="str">
        <f t="shared" si="41"/>
        <v/>
      </c>
      <c r="G149" s="94"/>
      <c r="H149" s="79" t="str">
        <f t="shared" si="42"/>
        <v/>
      </c>
      <c r="I149" s="94"/>
      <c r="J149" s="79" t="str">
        <f t="shared" si="43"/>
        <v/>
      </c>
      <c r="K149" s="94"/>
      <c r="L149" s="79" t="str">
        <f t="shared" si="44"/>
        <v/>
      </c>
      <c r="M149" s="94"/>
      <c r="N149" s="79" t="str">
        <f t="shared" si="45"/>
        <v/>
      </c>
      <c r="O149" s="85" t="str">
        <f t="shared" si="46"/>
        <v/>
      </c>
      <c r="P149" s="79" t="str">
        <f t="shared" si="47"/>
        <v/>
      </c>
      <c r="Q149" s="184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3"/>
      <c r="B150" s="94"/>
      <c r="C150" s="95"/>
      <c r="D150" s="79" t="str">
        <f t="shared" si="40"/>
        <v/>
      </c>
      <c r="E150" s="94"/>
      <c r="F150" s="79" t="str">
        <f t="shared" si="41"/>
        <v/>
      </c>
      <c r="G150" s="94"/>
      <c r="H150" s="79" t="str">
        <f t="shared" si="42"/>
        <v/>
      </c>
      <c r="I150" s="94"/>
      <c r="J150" s="79" t="str">
        <f t="shared" si="43"/>
        <v/>
      </c>
      <c r="K150" s="94"/>
      <c r="L150" s="79" t="str">
        <f t="shared" si="44"/>
        <v/>
      </c>
      <c r="M150" s="94"/>
      <c r="N150" s="79" t="str">
        <f t="shared" si="45"/>
        <v/>
      </c>
      <c r="O150" s="85" t="str">
        <f t="shared" si="46"/>
        <v/>
      </c>
      <c r="P150" s="79" t="str">
        <f t="shared" si="47"/>
        <v/>
      </c>
      <c r="Q150" s="184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3"/>
      <c r="B151" s="94"/>
      <c r="C151" s="95"/>
      <c r="D151" s="79" t="str">
        <f t="shared" si="40"/>
        <v/>
      </c>
      <c r="E151" s="94"/>
      <c r="F151" s="79" t="str">
        <f t="shared" si="41"/>
        <v/>
      </c>
      <c r="G151" s="94"/>
      <c r="H151" s="79" t="str">
        <f t="shared" si="42"/>
        <v/>
      </c>
      <c r="I151" s="94"/>
      <c r="J151" s="79" t="str">
        <f t="shared" si="43"/>
        <v/>
      </c>
      <c r="K151" s="94"/>
      <c r="L151" s="79" t="str">
        <f t="shared" si="44"/>
        <v/>
      </c>
      <c r="M151" s="94"/>
      <c r="N151" s="79" t="str">
        <f t="shared" si="45"/>
        <v/>
      </c>
      <c r="O151" s="85" t="str">
        <f t="shared" si="46"/>
        <v/>
      </c>
      <c r="P151" s="79" t="str">
        <f t="shared" si="47"/>
        <v/>
      </c>
      <c r="Q151" s="184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3"/>
      <c r="B152" s="94"/>
      <c r="C152" s="95"/>
      <c r="D152" s="79" t="str">
        <f t="shared" si="40"/>
        <v/>
      </c>
      <c r="E152" s="94"/>
      <c r="F152" s="79" t="str">
        <f t="shared" si="41"/>
        <v/>
      </c>
      <c r="G152" s="94"/>
      <c r="H152" s="79" t="str">
        <f t="shared" si="42"/>
        <v/>
      </c>
      <c r="I152" s="94"/>
      <c r="J152" s="79" t="str">
        <f t="shared" si="43"/>
        <v/>
      </c>
      <c r="K152" s="94"/>
      <c r="L152" s="79" t="str">
        <f t="shared" si="44"/>
        <v/>
      </c>
      <c r="M152" s="94"/>
      <c r="N152" s="79" t="str">
        <f t="shared" si="45"/>
        <v/>
      </c>
      <c r="O152" s="85" t="str">
        <f t="shared" si="46"/>
        <v/>
      </c>
      <c r="P152" s="79" t="str">
        <f t="shared" si="47"/>
        <v/>
      </c>
      <c r="Q152" s="184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3"/>
      <c r="B153" s="94"/>
      <c r="C153" s="95"/>
      <c r="D153" s="79" t="str">
        <f t="shared" si="40"/>
        <v/>
      </c>
      <c r="E153" s="94"/>
      <c r="F153" s="79" t="str">
        <f t="shared" si="41"/>
        <v/>
      </c>
      <c r="G153" s="94"/>
      <c r="H153" s="79" t="str">
        <f t="shared" si="42"/>
        <v/>
      </c>
      <c r="I153" s="94"/>
      <c r="J153" s="79" t="str">
        <f t="shared" si="43"/>
        <v/>
      </c>
      <c r="K153" s="94"/>
      <c r="L153" s="79" t="str">
        <f t="shared" si="44"/>
        <v/>
      </c>
      <c r="M153" s="94"/>
      <c r="N153" s="79" t="str">
        <f t="shared" si="45"/>
        <v/>
      </c>
      <c r="O153" s="85" t="str">
        <f t="shared" si="46"/>
        <v/>
      </c>
      <c r="P153" s="79" t="str">
        <f t="shared" si="47"/>
        <v/>
      </c>
      <c r="Q153" s="184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3"/>
      <c r="B154" s="94"/>
      <c r="C154" s="95"/>
      <c r="D154" s="79" t="str">
        <f t="shared" si="40"/>
        <v/>
      </c>
      <c r="E154" s="94"/>
      <c r="F154" s="79" t="str">
        <f t="shared" si="41"/>
        <v/>
      </c>
      <c r="G154" s="94"/>
      <c r="H154" s="79" t="str">
        <f t="shared" si="42"/>
        <v/>
      </c>
      <c r="I154" s="94"/>
      <c r="J154" s="79" t="str">
        <f t="shared" si="43"/>
        <v/>
      </c>
      <c r="K154" s="94"/>
      <c r="L154" s="79" t="str">
        <f t="shared" si="44"/>
        <v/>
      </c>
      <c r="M154" s="94"/>
      <c r="N154" s="79" t="str">
        <f t="shared" si="45"/>
        <v/>
      </c>
      <c r="O154" s="85" t="str">
        <f t="shared" si="46"/>
        <v/>
      </c>
      <c r="P154" s="79" t="str">
        <f t="shared" si="47"/>
        <v/>
      </c>
      <c r="Q154" s="184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3"/>
      <c r="B155" s="94"/>
      <c r="C155" s="95"/>
      <c r="D155" s="79" t="str">
        <f t="shared" si="40"/>
        <v/>
      </c>
      <c r="E155" s="94"/>
      <c r="F155" s="79" t="str">
        <f t="shared" si="41"/>
        <v/>
      </c>
      <c r="G155" s="94"/>
      <c r="H155" s="79" t="str">
        <f t="shared" si="42"/>
        <v/>
      </c>
      <c r="I155" s="94"/>
      <c r="J155" s="79" t="str">
        <f t="shared" si="43"/>
        <v/>
      </c>
      <c r="K155" s="94"/>
      <c r="L155" s="79" t="str">
        <f t="shared" si="44"/>
        <v/>
      </c>
      <c r="M155" s="94"/>
      <c r="N155" s="79" t="str">
        <f t="shared" si="45"/>
        <v/>
      </c>
      <c r="O155" s="85" t="str">
        <f t="shared" si="46"/>
        <v/>
      </c>
      <c r="P155" s="79" t="str">
        <f t="shared" si="47"/>
        <v/>
      </c>
      <c r="Q155" s="184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3"/>
      <c r="B156" s="94"/>
      <c r="C156" s="95"/>
      <c r="D156" s="79" t="str">
        <f t="shared" si="40"/>
        <v/>
      </c>
      <c r="E156" s="94"/>
      <c r="F156" s="79" t="str">
        <f t="shared" si="41"/>
        <v/>
      </c>
      <c r="G156" s="94"/>
      <c r="H156" s="79" t="str">
        <f t="shared" si="42"/>
        <v/>
      </c>
      <c r="I156" s="94"/>
      <c r="J156" s="79" t="str">
        <f t="shared" si="43"/>
        <v/>
      </c>
      <c r="K156" s="94"/>
      <c r="L156" s="79" t="str">
        <f t="shared" si="44"/>
        <v/>
      </c>
      <c r="M156" s="94"/>
      <c r="N156" s="79" t="str">
        <f t="shared" si="45"/>
        <v/>
      </c>
      <c r="O156" s="85" t="str">
        <f t="shared" si="46"/>
        <v/>
      </c>
      <c r="P156" s="79" t="str">
        <f t="shared" si="47"/>
        <v/>
      </c>
      <c r="Q156" s="184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3"/>
      <c r="B157" s="94"/>
      <c r="C157" s="95"/>
      <c r="D157" s="79" t="str">
        <f t="shared" si="40"/>
        <v/>
      </c>
      <c r="E157" s="94"/>
      <c r="F157" s="79" t="str">
        <f t="shared" si="41"/>
        <v/>
      </c>
      <c r="G157" s="94"/>
      <c r="H157" s="79" t="str">
        <f t="shared" si="42"/>
        <v/>
      </c>
      <c r="I157" s="94"/>
      <c r="J157" s="79" t="str">
        <f t="shared" si="43"/>
        <v/>
      </c>
      <c r="K157" s="94"/>
      <c r="L157" s="79" t="str">
        <f t="shared" si="44"/>
        <v/>
      </c>
      <c r="M157" s="94"/>
      <c r="N157" s="79" t="str">
        <f t="shared" si="45"/>
        <v/>
      </c>
      <c r="O157" s="85" t="str">
        <f t="shared" si="46"/>
        <v/>
      </c>
      <c r="P157" s="79" t="str">
        <f t="shared" si="47"/>
        <v/>
      </c>
      <c r="Q157" s="184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3"/>
      <c r="B158" s="94"/>
      <c r="C158" s="95"/>
      <c r="D158" s="79" t="str">
        <f t="shared" si="40"/>
        <v/>
      </c>
      <c r="E158" s="94"/>
      <c r="F158" s="79" t="str">
        <f t="shared" si="41"/>
        <v/>
      </c>
      <c r="G158" s="94"/>
      <c r="H158" s="79" t="str">
        <f t="shared" si="42"/>
        <v/>
      </c>
      <c r="I158" s="94"/>
      <c r="J158" s="79" t="str">
        <f t="shared" si="43"/>
        <v/>
      </c>
      <c r="K158" s="94"/>
      <c r="L158" s="79" t="str">
        <f t="shared" si="44"/>
        <v/>
      </c>
      <c r="M158" s="94"/>
      <c r="N158" s="79" t="str">
        <f t="shared" si="45"/>
        <v/>
      </c>
      <c r="O158" s="85" t="str">
        <f t="shared" si="46"/>
        <v/>
      </c>
      <c r="P158" s="79" t="str">
        <f t="shared" si="47"/>
        <v/>
      </c>
      <c r="Q158" s="184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3"/>
      <c r="B159" s="94"/>
      <c r="C159" s="95"/>
      <c r="D159" s="79" t="str">
        <f t="shared" si="40"/>
        <v/>
      </c>
      <c r="E159" s="94"/>
      <c r="F159" s="79" t="str">
        <f t="shared" si="41"/>
        <v/>
      </c>
      <c r="G159" s="94"/>
      <c r="H159" s="79" t="str">
        <f t="shared" si="42"/>
        <v/>
      </c>
      <c r="I159" s="94"/>
      <c r="J159" s="79" t="str">
        <f t="shared" si="43"/>
        <v/>
      </c>
      <c r="K159" s="94"/>
      <c r="L159" s="79" t="str">
        <f t="shared" si="44"/>
        <v/>
      </c>
      <c r="M159" s="94"/>
      <c r="N159" s="79" t="str">
        <f t="shared" si="45"/>
        <v/>
      </c>
      <c r="O159" s="85" t="str">
        <f t="shared" si="46"/>
        <v/>
      </c>
      <c r="P159" s="79" t="str">
        <f t="shared" si="47"/>
        <v/>
      </c>
      <c r="Q159" s="184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3"/>
      <c r="B160" s="94"/>
      <c r="C160" s="95"/>
      <c r="D160" s="79" t="str">
        <f t="shared" si="40"/>
        <v/>
      </c>
      <c r="E160" s="94"/>
      <c r="F160" s="79" t="str">
        <f t="shared" si="41"/>
        <v/>
      </c>
      <c r="G160" s="94"/>
      <c r="H160" s="79" t="str">
        <f t="shared" si="42"/>
        <v/>
      </c>
      <c r="I160" s="94"/>
      <c r="J160" s="79" t="str">
        <f t="shared" si="43"/>
        <v/>
      </c>
      <c r="K160" s="94"/>
      <c r="L160" s="79" t="str">
        <f t="shared" si="44"/>
        <v/>
      </c>
      <c r="M160" s="94"/>
      <c r="N160" s="79" t="str">
        <f t="shared" si="45"/>
        <v/>
      </c>
      <c r="O160" s="85" t="str">
        <f t="shared" si="46"/>
        <v/>
      </c>
      <c r="P160" s="79" t="str">
        <f t="shared" si="47"/>
        <v/>
      </c>
      <c r="Q160" s="184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3"/>
      <c r="B161" s="94"/>
      <c r="C161" s="95"/>
      <c r="D161" s="79" t="str">
        <f t="shared" si="40"/>
        <v/>
      </c>
      <c r="E161" s="94"/>
      <c r="F161" s="79" t="str">
        <f t="shared" si="41"/>
        <v/>
      </c>
      <c r="G161" s="94"/>
      <c r="H161" s="79" t="str">
        <f t="shared" si="42"/>
        <v/>
      </c>
      <c r="I161" s="94"/>
      <c r="J161" s="79" t="str">
        <f t="shared" si="43"/>
        <v/>
      </c>
      <c r="K161" s="94"/>
      <c r="L161" s="79" t="str">
        <f t="shared" si="44"/>
        <v/>
      </c>
      <c r="M161" s="94"/>
      <c r="N161" s="79" t="str">
        <f t="shared" si="45"/>
        <v/>
      </c>
      <c r="O161" s="85" t="str">
        <f t="shared" si="46"/>
        <v/>
      </c>
      <c r="P161" s="79" t="str">
        <f t="shared" si="47"/>
        <v/>
      </c>
      <c r="Q161" s="184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3"/>
      <c r="B162" s="94"/>
      <c r="C162" s="95"/>
      <c r="D162" s="79" t="str">
        <f t="shared" ref="D162:D193" si="50">IF(OR(A162="",B162="",C162=""),"",ROUND(B162*C162,2))</f>
        <v/>
      </c>
      <c r="E162" s="94"/>
      <c r="F162" s="79" t="str">
        <f t="shared" ref="F162:F193" si="51">IF(OR(A162="",E162="",C162="",NOT(ISNUMBER($U$2))),"",ROUND(E162*C162*$U$2,2))</f>
        <v/>
      </c>
      <c r="G162" s="94"/>
      <c r="H162" s="79" t="str">
        <f t="shared" ref="H162:H193" si="52">IF(OR(A162="",G162="",C162="",NOT(ISNUMBER($U$3))),"",ROUND(G162*C162*$U$3,2))</f>
        <v/>
      </c>
      <c r="I162" s="94"/>
      <c r="J162" s="79" t="str">
        <f t="shared" ref="J162:J193" si="53">IF(OR(A162="",I162="",C162="",NOT(ISNUMBER($U$4))),"",ROUND(I162*C162*$U$4,2))</f>
        <v/>
      </c>
      <c r="K162" s="94"/>
      <c r="L162" s="79" t="str">
        <f t="shared" ref="L162:L193" si="54">IF(OR(A162="",K162="",C162="",NOT(ISNUMBER($U$5))),"",ROUND(K162*C162*$U$5,2))</f>
        <v/>
      </c>
      <c r="M162" s="94"/>
      <c r="N162" s="79" t="str">
        <f t="shared" ref="N162:N193" si="55">IF(OR(A162="",M162="",C162="",NOT(ISNUMBER($U$6))),"",ROUND(M162*C162*$U$6,2))</f>
        <v/>
      </c>
      <c r="O162" s="85" t="str">
        <f t="shared" ref="O162:O193" si="56">IF(A162="","",SUM(E162,G162,I162,K162,M162))</f>
        <v/>
      </c>
      <c r="P162" s="79" t="str">
        <f t="shared" ref="P162:P193" si="57">IF(A162="","",SUM(F162,H162,J162,L162,N162))</f>
        <v/>
      </c>
      <c r="Q162" s="184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3"/>
      <c r="B163" s="94"/>
      <c r="C163" s="95"/>
      <c r="D163" s="79" t="str">
        <f t="shared" si="50"/>
        <v/>
      </c>
      <c r="E163" s="94"/>
      <c r="F163" s="79" t="str">
        <f t="shared" si="51"/>
        <v/>
      </c>
      <c r="G163" s="94"/>
      <c r="H163" s="79" t="str">
        <f t="shared" si="52"/>
        <v/>
      </c>
      <c r="I163" s="94"/>
      <c r="J163" s="79" t="str">
        <f t="shared" si="53"/>
        <v/>
      </c>
      <c r="K163" s="94"/>
      <c r="L163" s="79" t="str">
        <f t="shared" si="54"/>
        <v/>
      </c>
      <c r="M163" s="94"/>
      <c r="N163" s="79" t="str">
        <f t="shared" si="55"/>
        <v/>
      </c>
      <c r="O163" s="85" t="str">
        <f t="shared" si="56"/>
        <v/>
      </c>
      <c r="P163" s="79" t="str">
        <f t="shared" si="57"/>
        <v/>
      </c>
      <c r="Q163" s="184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3"/>
      <c r="B164" s="94"/>
      <c r="C164" s="95"/>
      <c r="D164" s="79" t="str">
        <f t="shared" si="50"/>
        <v/>
      </c>
      <c r="E164" s="94"/>
      <c r="F164" s="79" t="str">
        <f t="shared" si="51"/>
        <v/>
      </c>
      <c r="G164" s="94"/>
      <c r="H164" s="79" t="str">
        <f t="shared" si="52"/>
        <v/>
      </c>
      <c r="I164" s="94"/>
      <c r="J164" s="79" t="str">
        <f t="shared" si="53"/>
        <v/>
      </c>
      <c r="K164" s="94"/>
      <c r="L164" s="79" t="str">
        <f t="shared" si="54"/>
        <v/>
      </c>
      <c r="M164" s="94"/>
      <c r="N164" s="79" t="str">
        <f t="shared" si="55"/>
        <v/>
      </c>
      <c r="O164" s="85" t="str">
        <f t="shared" si="56"/>
        <v/>
      </c>
      <c r="P164" s="79" t="str">
        <f t="shared" si="57"/>
        <v/>
      </c>
      <c r="Q164" s="184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3"/>
      <c r="B165" s="94"/>
      <c r="C165" s="95"/>
      <c r="D165" s="79" t="str">
        <f t="shared" si="50"/>
        <v/>
      </c>
      <c r="E165" s="94"/>
      <c r="F165" s="79" t="str">
        <f t="shared" si="51"/>
        <v/>
      </c>
      <c r="G165" s="94"/>
      <c r="H165" s="79" t="str">
        <f t="shared" si="52"/>
        <v/>
      </c>
      <c r="I165" s="94"/>
      <c r="J165" s="79" t="str">
        <f t="shared" si="53"/>
        <v/>
      </c>
      <c r="K165" s="94"/>
      <c r="L165" s="79" t="str">
        <f t="shared" si="54"/>
        <v/>
      </c>
      <c r="M165" s="94"/>
      <c r="N165" s="79" t="str">
        <f t="shared" si="55"/>
        <v/>
      </c>
      <c r="O165" s="85" t="str">
        <f t="shared" si="56"/>
        <v/>
      </c>
      <c r="P165" s="79" t="str">
        <f t="shared" si="57"/>
        <v/>
      </c>
      <c r="Q165" s="184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3"/>
      <c r="B166" s="94"/>
      <c r="C166" s="95"/>
      <c r="D166" s="79" t="str">
        <f t="shared" si="50"/>
        <v/>
      </c>
      <c r="E166" s="94"/>
      <c r="F166" s="79" t="str">
        <f t="shared" si="51"/>
        <v/>
      </c>
      <c r="G166" s="94"/>
      <c r="H166" s="79" t="str">
        <f t="shared" si="52"/>
        <v/>
      </c>
      <c r="I166" s="94"/>
      <c r="J166" s="79" t="str">
        <f t="shared" si="53"/>
        <v/>
      </c>
      <c r="K166" s="94"/>
      <c r="L166" s="79" t="str">
        <f t="shared" si="54"/>
        <v/>
      </c>
      <c r="M166" s="94"/>
      <c r="N166" s="79" t="str">
        <f t="shared" si="55"/>
        <v/>
      </c>
      <c r="O166" s="85" t="str">
        <f t="shared" si="56"/>
        <v/>
      </c>
      <c r="P166" s="79" t="str">
        <f t="shared" si="57"/>
        <v/>
      </c>
      <c r="Q166" s="184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3"/>
      <c r="B167" s="94"/>
      <c r="C167" s="95"/>
      <c r="D167" s="79" t="str">
        <f t="shared" si="50"/>
        <v/>
      </c>
      <c r="E167" s="94"/>
      <c r="F167" s="79" t="str">
        <f t="shared" si="51"/>
        <v/>
      </c>
      <c r="G167" s="94"/>
      <c r="H167" s="79" t="str">
        <f t="shared" si="52"/>
        <v/>
      </c>
      <c r="I167" s="94"/>
      <c r="J167" s="79" t="str">
        <f t="shared" si="53"/>
        <v/>
      </c>
      <c r="K167" s="94"/>
      <c r="L167" s="79" t="str">
        <f t="shared" si="54"/>
        <v/>
      </c>
      <c r="M167" s="94"/>
      <c r="N167" s="79" t="str">
        <f t="shared" si="55"/>
        <v/>
      </c>
      <c r="O167" s="85" t="str">
        <f t="shared" si="56"/>
        <v/>
      </c>
      <c r="P167" s="79" t="str">
        <f t="shared" si="57"/>
        <v/>
      </c>
      <c r="Q167" s="184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3"/>
      <c r="B168" s="94"/>
      <c r="C168" s="95"/>
      <c r="D168" s="79" t="str">
        <f t="shared" si="50"/>
        <v/>
      </c>
      <c r="E168" s="94"/>
      <c r="F168" s="79" t="str">
        <f t="shared" si="51"/>
        <v/>
      </c>
      <c r="G168" s="94"/>
      <c r="H168" s="79" t="str">
        <f t="shared" si="52"/>
        <v/>
      </c>
      <c r="I168" s="94"/>
      <c r="J168" s="79" t="str">
        <f t="shared" si="53"/>
        <v/>
      </c>
      <c r="K168" s="94"/>
      <c r="L168" s="79" t="str">
        <f t="shared" si="54"/>
        <v/>
      </c>
      <c r="M168" s="94"/>
      <c r="N168" s="79" t="str">
        <f t="shared" si="55"/>
        <v/>
      </c>
      <c r="O168" s="85" t="str">
        <f t="shared" si="56"/>
        <v/>
      </c>
      <c r="P168" s="79" t="str">
        <f t="shared" si="57"/>
        <v/>
      </c>
      <c r="Q168" s="184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3"/>
      <c r="B169" s="94"/>
      <c r="C169" s="95"/>
      <c r="D169" s="79" t="str">
        <f t="shared" si="50"/>
        <v/>
      </c>
      <c r="E169" s="94"/>
      <c r="F169" s="79" t="str">
        <f t="shared" si="51"/>
        <v/>
      </c>
      <c r="G169" s="94"/>
      <c r="H169" s="79" t="str">
        <f t="shared" si="52"/>
        <v/>
      </c>
      <c r="I169" s="94"/>
      <c r="J169" s="79" t="str">
        <f t="shared" si="53"/>
        <v/>
      </c>
      <c r="K169" s="94"/>
      <c r="L169" s="79" t="str">
        <f t="shared" si="54"/>
        <v/>
      </c>
      <c r="M169" s="94"/>
      <c r="N169" s="79" t="str">
        <f t="shared" si="55"/>
        <v/>
      </c>
      <c r="O169" s="85" t="str">
        <f t="shared" si="56"/>
        <v/>
      </c>
      <c r="P169" s="79" t="str">
        <f t="shared" si="57"/>
        <v/>
      </c>
      <c r="Q169" s="184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3"/>
      <c r="B170" s="94"/>
      <c r="C170" s="95"/>
      <c r="D170" s="79" t="str">
        <f t="shared" si="50"/>
        <v/>
      </c>
      <c r="E170" s="94"/>
      <c r="F170" s="79" t="str">
        <f t="shared" si="51"/>
        <v/>
      </c>
      <c r="G170" s="94"/>
      <c r="H170" s="79" t="str">
        <f t="shared" si="52"/>
        <v/>
      </c>
      <c r="I170" s="94"/>
      <c r="J170" s="79" t="str">
        <f t="shared" si="53"/>
        <v/>
      </c>
      <c r="K170" s="94"/>
      <c r="L170" s="79" t="str">
        <f t="shared" si="54"/>
        <v/>
      </c>
      <c r="M170" s="94"/>
      <c r="N170" s="79" t="str">
        <f t="shared" si="55"/>
        <v/>
      </c>
      <c r="O170" s="85" t="str">
        <f t="shared" si="56"/>
        <v/>
      </c>
      <c r="P170" s="79" t="str">
        <f t="shared" si="57"/>
        <v/>
      </c>
      <c r="Q170" s="184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3"/>
      <c r="B171" s="94"/>
      <c r="C171" s="95"/>
      <c r="D171" s="79" t="str">
        <f t="shared" si="50"/>
        <v/>
      </c>
      <c r="E171" s="94"/>
      <c r="F171" s="79" t="str">
        <f t="shared" si="51"/>
        <v/>
      </c>
      <c r="G171" s="94"/>
      <c r="H171" s="79" t="str">
        <f t="shared" si="52"/>
        <v/>
      </c>
      <c r="I171" s="94"/>
      <c r="J171" s="79" t="str">
        <f t="shared" si="53"/>
        <v/>
      </c>
      <c r="K171" s="94"/>
      <c r="L171" s="79" t="str">
        <f t="shared" si="54"/>
        <v/>
      </c>
      <c r="M171" s="94"/>
      <c r="N171" s="79" t="str">
        <f t="shared" si="55"/>
        <v/>
      </c>
      <c r="O171" s="85" t="str">
        <f t="shared" si="56"/>
        <v/>
      </c>
      <c r="P171" s="79" t="str">
        <f t="shared" si="57"/>
        <v/>
      </c>
      <c r="Q171" s="184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3"/>
      <c r="B172" s="94"/>
      <c r="C172" s="95"/>
      <c r="D172" s="79" t="str">
        <f t="shared" si="50"/>
        <v/>
      </c>
      <c r="E172" s="94"/>
      <c r="F172" s="79" t="str">
        <f t="shared" si="51"/>
        <v/>
      </c>
      <c r="G172" s="94"/>
      <c r="H172" s="79" t="str">
        <f t="shared" si="52"/>
        <v/>
      </c>
      <c r="I172" s="94"/>
      <c r="J172" s="79" t="str">
        <f t="shared" si="53"/>
        <v/>
      </c>
      <c r="K172" s="94"/>
      <c r="L172" s="79" t="str">
        <f t="shared" si="54"/>
        <v/>
      </c>
      <c r="M172" s="94"/>
      <c r="N172" s="79" t="str">
        <f t="shared" si="55"/>
        <v/>
      </c>
      <c r="O172" s="85" t="str">
        <f t="shared" si="56"/>
        <v/>
      </c>
      <c r="P172" s="79" t="str">
        <f t="shared" si="57"/>
        <v/>
      </c>
      <c r="Q172" s="184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3"/>
      <c r="B173" s="94"/>
      <c r="C173" s="95"/>
      <c r="D173" s="79" t="str">
        <f t="shared" si="50"/>
        <v/>
      </c>
      <c r="E173" s="94"/>
      <c r="F173" s="79" t="str">
        <f t="shared" si="51"/>
        <v/>
      </c>
      <c r="G173" s="94"/>
      <c r="H173" s="79" t="str">
        <f t="shared" si="52"/>
        <v/>
      </c>
      <c r="I173" s="94"/>
      <c r="J173" s="79" t="str">
        <f t="shared" si="53"/>
        <v/>
      </c>
      <c r="K173" s="94"/>
      <c r="L173" s="79" t="str">
        <f t="shared" si="54"/>
        <v/>
      </c>
      <c r="M173" s="94"/>
      <c r="N173" s="79" t="str">
        <f t="shared" si="55"/>
        <v/>
      </c>
      <c r="O173" s="85" t="str">
        <f t="shared" si="56"/>
        <v/>
      </c>
      <c r="P173" s="79" t="str">
        <f t="shared" si="57"/>
        <v/>
      </c>
      <c r="Q173" s="184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3"/>
      <c r="B174" s="94"/>
      <c r="C174" s="95"/>
      <c r="D174" s="79" t="str">
        <f t="shared" si="50"/>
        <v/>
      </c>
      <c r="E174" s="94"/>
      <c r="F174" s="79" t="str">
        <f t="shared" si="51"/>
        <v/>
      </c>
      <c r="G174" s="94"/>
      <c r="H174" s="79" t="str">
        <f t="shared" si="52"/>
        <v/>
      </c>
      <c r="I174" s="94"/>
      <c r="J174" s="79" t="str">
        <f t="shared" si="53"/>
        <v/>
      </c>
      <c r="K174" s="94"/>
      <c r="L174" s="79" t="str">
        <f t="shared" si="54"/>
        <v/>
      </c>
      <c r="M174" s="94"/>
      <c r="N174" s="79" t="str">
        <f t="shared" si="55"/>
        <v/>
      </c>
      <c r="O174" s="85" t="str">
        <f t="shared" si="56"/>
        <v/>
      </c>
      <c r="P174" s="79" t="str">
        <f t="shared" si="57"/>
        <v/>
      </c>
      <c r="Q174" s="184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3"/>
      <c r="B175" s="94"/>
      <c r="C175" s="95"/>
      <c r="D175" s="79" t="str">
        <f t="shared" si="50"/>
        <v/>
      </c>
      <c r="E175" s="94"/>
      <c r="F175" s="79" t="str">
        <f t="shared" si="51"/>
        <v/>
      </c>
      <c r="G175" s="94"/>
      <c r="H175" s="79" t="str">
        <f t="shared" si="52"/>
        <v/>
      </c>
      <c r="I175" s="94"/>
      <c r="J175" s="79" t="str">
        <f t="shared" si="53"/>
        <v/>
      </c>
      <c r="K175" s="94"/>
      <c r="L175" s="79" t="str">
        <f t="shared" si="54"/>
        <v/>
      </c>
      <c r="M175" s="94"/>
      <c r="N175" s="79" t="str">
        <f t="shared" si="55"/>
        <v/>
      </c>
      <c r="O175" s="85" t="str">
        <f t="shared" si="56"/>
        <v/>
      </c>
      <c r="P175" s="79" t="str">
        <f t="shared" si="57"/>
        <v/>
      </c>
      <c r="Q175" s="184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3"/>
      <c r="B176" s="94"/>
      <c r="C176" s="95"/>
      <c r="D176" s="79" t="str">
        <f t="shared" si="50"/>
        <v/>
      </c>
      <c r="E176" s="94"/>
      <c r="F176" s="79" t="str">
        <f t="shared" si="51"/>
        <v/>
      </c>
      <c r="G176" s="94"/>
      <c r="H176" s="79" t="str">
        <f t="shared" si="52"/>
        <v/>
      </c>
      <c r="I176" s="94"/>
      <c r="J176" s="79" t="str">
        <f t="shared" si="53"/>
        <v/>
      </c>
      <c r="K176" s="94"/>
      <c r="L176" s="79" t="str">
        <f t="shared" si="54"/>
        <v/>
      </c>
      <c r="M176" s="94"/>
      <c r="N176" s="79" t="str">
        <f t="shared" si="55"/>
        <v/>
      </c>
      <c r="O176" s="85" t="str">
        <f t="shared" si="56"/>
        <v/>
      </c>
      <c r="P176" s="79" t="str">
        <f t="shared" si="57"/>
        <v/>
      </c>
      <c r="Q176" s="184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3"/>
      <c r="B177" s="94"/>
      <c r="C177" s="95"/>
      <c r="D177" s="79" t="str">
        <f t="shared" si="50"/>
        <v/>
      </c>
      <c r="E177" s="94"/>
      <c r="F177" s="79" t="str">
        <f t="shared" si="51"/>
        <v/>
      </c>
      <c r="G177" s="94"/>
      <c r="H177" s="79" t="str">
        <f t="shared" si="52"/>
        <v/>
      </c>
      <c r="I177" s="94"/>
      <c r="J177" s="79" t="str">
        <f t="shared" si="53"/>
        <v/>
      </c>
      <c r="K177" s="94"/>
      <c r="L177" s="79" t="str">
        <f t="shared" si="54"/>
        <v/>
      </c>
      <c r="M177" s="94"/>
      <c r="N177" s="79" t="str">
        <f t="shared" si="55"/>
        <v/>
      </c>
      <c r="O177" s="85" t="str">
        <f t="shared" si="56"/>
        <v/>
      </c>
      <c r="P177" s="79" t="str">
        <f t="shared" si="57"/>
        <v/>
      </c>
      <c r="Q177" s="184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3"/>
      <c r="B178" s="94"/>
      <c r="C178" s="95"/>
      <c r="D178" s="79" t="str">
        <f t="shared" si="50"/>
        <v/>
      </c>
      <c r="E178" s="94"/>
      <c r="F178" s="79" t="str">
        <f t="shared" si="51"/>
        <v/>
      </c>
      <c r="G178" s="94"/>
      <c r="H178" s="79" t="str">
        <f t="shared" si="52"/>
        <v/>
      </c>
      <c r="I178" s="94"/>
      <c r="J178" s="79" t="str">
        <f t="shared" si="53"/>
        <v/>
      </c>
      <c r="K178" s="94"/>
      <c r="L178" s="79" t="str">
        <f t="shared" si="54"/>
        <v/>
      </c>
      <c r="M178" s="94"/>
      <c r="N178" s="79" t="str">
        <f t="shared" si="55"/>
        <v/>
      </c>
      <c r="O178" s="85" t="str">
        <f t="shared" si="56"/>
        <v/>
      </c>
      <c r="P178" s="79" t="str">
        <f t="shared" si="57"/>
        <v/>
      </c>
      <c r="Q178" s="184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3"/>
      <c r="B179" s="94"/>
      <c r="C179" s="95"/>
      <c r="D179" s="79" t="str">
        <f t="shared" si="50"/>
        <v/>
      </c>
      <c r="E179" s="94"/>
      <c r="F179" s="79" t="str">
        <f t="shared" si="51"/>
        <v/>
      </c>
      <c r="G179" s="94"/>
      <c r="H179" s="79" t="str">
        <f t="shared" si="52"/>
        <v/>
      </c>
      <c r="I179" s="94"/>
      <c r="J179" s="79" t="str">
        <f t="shared" si="53"/>
        <v/>
      </c>
      <c r="K179" s="94"/>
      <c r="L179" s="79" t="str">
        <f t="shared" si="54"/>
        <v/>
      </c>
      <c r="M179" s="94"/>
      <c r="N179" s="79" t="str">
        <f t="shared" si="55"/>
        <v/>
      </c>
      <c r="O179" s="85" t="str">
        <f t="shared" si="56"/>
        <v/>
      </c>
      <c r="P179" s="79" t="str">
        <f t="shared" si="57"/>
        <v/>
      </c>
      <c r="Q179" s="184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3"/>
      <c r="B180" s="94"/>
      <c r="C180" s="95"/>
      <c r="D180" s="79" t="str">
        <f t="shared" si="50"/>
        <v/>
      </c>
      <c r="E180" s="94"/>
      <c r="F180" s="79" t="str">
        <f t="shared" si="51"/>
        <v/>
      </c>
      <c r="G180" s="94"/>
      <c r="H180" s="79" t="str">
        <f t="shared" si="52"/>
        <v/>
      </c>
      <c r="I180" s="94"/>
      <c r="J180" s="79" t="str">
        <f t="shared" si="53"/>
        <v/>
      </c>
      <c r="K180" s="94"/>
      <c r="L180" s="79" t="str">
        <f t="shared" si="54"/>
        <v/>
      </c>
      <c r="M180" s="94"/>
      <c r="N180" s="79" t="str">
        <f t="shared" si="55"/>
        <v/>
      </c>
      <c r="O180" s="85" t="str">
        <f t="shared" si="56"/>
        <v/>
      </c>
      <c r="P180" s="79" t="str">
        <f t="shared" si="57"/>
        <v/>
      </c>
      <c r="Q180" s="184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3"/>
      <c r="B181" s="94"/>
      <c r="C181" s="95"/>
      <c r="D181" s="79" t="str">
        <f t="shared" si="50"/>
        <v/>
      </c>
      <c r="E181" s="94"/>
      <c r="F181" s="79" t="str">
        <f t="shared" si="51"/>
        <v/>
      </c>
      <c r="G181" s="94"/>
      <c r="H181" s="79" t="str">
        <f t="shared" si="52"/>
        <v/>
      </c>
      <c r="I181" s="94"/>
      <c r="J181" s="79" t="str">
        <f t="shared" si="53"/>
        <v/>
      </c>
      <c r="K181" s="94"/>
      <c r="L181" s="79" t="str">
        <f t="shared" si="54"/>
        <v/>
      </c>
      <c r="M181" s="94"/>
      <c r="N181" s="79" t="str">
        <f t="shared" si="55"/>
        <v/>
      </c>
      <c r="O181" s="85" t="str">
        <f t="shared" si="56"/>
        <v/>
      </c>
      <c r="P181" s="79" t="str">
        <f t="shared" si="57"/>
        <v/>
      </c>
      <c r="Q181" s="184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3"/>
      <c r="B182" s="94"/>
      <c r="C182" s="95"/>
      <c r="D182" s="79" t="str">
        <f t="shared" si="50"/>
        <v/>
      </c>
      <c r="E182" s="94"/>
      <c r="F182" s="79" t="str">
        <f t="shared" si="51"/>
        <v/>
      </c>
      <c r="G182" s="94"/>
      <c r="H182" s="79" t="str">
        <f t="shared" si="52"/>
        <v/>
      </c>
      <c r="I182" s="94"/>
      <c r="J182" s="79" t="str">
        <f t="shared" si="53"/>
        <v/>
      </c>
      <c r="K182" s="94"/>
      <c r="L182" s="79" t="str">
        <f t="shared" si="54"/>
        <v/>
      </c>
      <c r="M182" s="94"/>
      <c r="N182" s="79" t="str">
        <f t="shared" si="55"/>
        <v/>
      </c>
      <c r="O182" s="85" t="str">
        <f t="shared" si="56"/>
        <v/>
      </c>
      <c r="P182" s="79" t="str">
        <f t="shared" si="57"/>
        <v/>
      </c>
      <c r="Q182" s="184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3"/>
      <c r="B183" s="94"/>
      <c r="C183" s="95"/>
      <c r="D183" s="79" t="str">
        <f t="shared" si="50"/>
        <v/>
      </c>
      <c r="E183" s="94"/>
      <c r="F183" s="79" t="str">
        <f t="shared" si="51"/>
        <v/>
      </c>
      <c r="G183" s="94"/>
      <c r="H183" s="79" t="str">
        <f t="shared" si="52"/>
        <v/>
      </c>
      <c r="I183" s="94"/>
      <c r="J183" s="79" t="str">
        <f t="shared" si="53"/>
        <v/>
      </c>
      <c r="K183" s="94"/>
      <c r="L183" s="79" t="str">
        <f t="shared" si="54"/>
        <v/>
      </c>
      <c r="M183" s="94"/>
      <c r="N183" s="79" t="str">
        <f t="shared" si="55"/>
        <v/>
      </c>
      <c r="O183" s="85" t="str">
        <f t="shared" si="56"/>
        <v/>
      </c>
      <c r="P183" s="79" t="str">
        <f t="shared" si="57"/>
        <v/>
      </c>
      <c r="Q183" s="184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3"/>
      <c r="B184" s="94"/>
      <c r="C184" s="95"/>
      <c r="D184" s="79" t="str">
        <f t="shared" si="50"/>
        <v/>
      </c>
      <c r="E184" s="94"/>
      <c r="F184" s="79" t="str">
        <f t="shared" si="51"/>
        <v/>
      </c>
      <c r="G184" s="94"/>
      <c r="H184" s="79" t="str">
        <f t="shared" si="52"/>
        <v/>
      </c>
      <c r="I184" s="94"/>
      <c r="J184" s="79" t="str">
        <f t="shared" si="53"/>
        <v/>
      </c>
      <c r="K184" s="94"/>
      <c r="L184" s="79" t="str">
        <f t="shared" si="54"/>
        <v/>
      </c>
      <c r="M184" s="94"/>
      <c r="N184" s="79" t="str">
        <f t="shared" si="55"/>
        <v/>
      </c>
      <c r="O184" s="85" t="str">
        <f t="shared" si="56"/>
        <v/>
      </c>
      <c r="P184" s="79" t="str">
        <f t="shared" si="57"/>
        <v/>
      </c>
      <c r="Q184" s="184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3"/>
      <c r="B185" s="94"/>
      <c r="C185" s="95"/>
      <c r="D185" s="79" t="str">
        <f t="shared" si="50"/>
        <v/>
      </c>
      <c r="E185" s="94"/>
      <c r="F185" s="79" t="str">
        <f t="shared" si="51"/>
        <v/>
      </c>
      <c r="G185" s="94"/>
      <c r="H185" s="79" t="str">
        <f t="shared" si="52"/>
        <v/>
      </c>
      <c r="I185" s="94"/>
      <c r="J185" s="79" t="str">
        <f t="shared" si="53"/>
        <v/>
      </c>
      <c r="K185" s="94"/>
      <c r="L185" s="79" t="str">
        <f t="shared" si="54"/>
        <v/>
      </c>
      <c r="M185" s="94"/>
      <c r="N185" s="79" t="str">
        <f t="shared" si="55"/>
        <v/>
      </c>
      <c r="O185" s="85" t="str">
        <f t="shared" si="56"/>
        <v/>
      </c>
      <c r="P185" s="79" t="str">
        <f t="shared" si="57"/>
        <v/>
      </c>
      <c r="Q185" s="184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3"/>
      <c r="B186" s="94"/>
      <c r="C186" s="95"/>
      <c r="D186" s="79" t="str">
        <f t="shared" si="50"/>
        <v/>
      </c>
      <c r="E186" s="94"/>
      <c r="F186" s="79" t="str">
        <f t="shared" si="51"/>
        <v/>
      </c>
      <c r="G186" s="94"/>
      <c r="H186" s="79" t="str">
        <f t="shared" si="52"/>
        <v/>
      </c>
      <c r="I186" s="94"/>
      <c r="J186" s="79" t="str">
        <f t="shared" si="53"/>
        <v/>
      </c>
      <c r="K186" s="94"/>
      <c r="L186" s="79" t="str">
        <f t="shared" si="54"/>
        <v/>
      </c>
      <c r="M186" s="94"/>
      <c r="N186" s="79" t="str">
        <f t="shared" si="55"/>
        <v/>
      </c>
      <c r="O186" s="85" t="str">
        <f t="shared" si="56"/>
        <v/>
      </c>
      <c r="P186" s="79" t="str">
        <f t="shared" si="57"/>
        <v/>
      </c>
      <c r="Q186" s="184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3"/>
      <c r="B187" s="94"/>
      <c r="C187" s="95"/>
      <c r="D187" s="79" t="str">
        <f t="shared" si="50"/>
        <v/>
      </c>
      <c r="E187" s="94"/>
      <c r="F187" s="79" t="str">
        <f t="shared" si="51"/>
        <v/>
      </c>
      <c r="G187" s="94"/>
      <c r="H187" s="79" t="str">
        <f t="shared" si="52"/>
        <v/>
      </c>
      <c r="I187" s="94"/>
      <c r="J187" s="79" t="str">
        <f t="shared" si="53"/>
        <v/>
      </c>
      <c r="K187" s="94"/>
      <c r="L187" s="79" t="str">
        <f t="shared" si="54"/>
        <v/>
      </c>
      <c r="M187" s="94"/>
      <c r="N187" s="79" t="str">
        <f t="shared" si="55"/>
        <v/>
      </c>
      <c r="O187" s="85" t="str">
        <f t="shared" si="56"/>
        <v/>
      </c>
      <c r="P187" s="79" t="str">
        <f t="shared" si="57"/>
        <v/>
      </c>
      <c r="Q187" s="184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3"/>
      <c r="B188" s="94"/>
      <c r="C188" s="95"/>
      <c r="D188" s="79" t="str">
        <f t="shared" si="50"/>
        <v/>
      </c>
      <c r="E188" s="94"/>
      <c r="F188" s="79" t="str">
        <f t="shared" si="51"/>
        <v/>
      </c>
      <c r="G188" s="94"/>
      <c r="H188" s="79" t="str">
        <f t="shared" si="52"/>
        <v/>
      </c>
      <c r="I188" s="94"/>
      <c r="J188" s="79" t="str">
        <f t="shared" si="53"/>
        <v/>
      </c>
      <c r="K188" s="94"/>
      <c r="L188" s="79" t="str">
        <f t="shared" si="54"/>
        <v/>
      </c>
      <c r="M188" s="94"/>
      <c r="N188" s="79" t="str">
        <f t="shared" si="55"/>
        <v/>
      </c>
      <c r="O188" s="85" t="str">
        <f t="shared" si="56"/>
        <v/>
      </c>
      <c r="P188" s="79" t="str">
        <f t="shared" si="57"/>
        <v/>
      </c>
      <c r="Q188" s="184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3"/>
      <c r="B189" s="94"/>
      <c r="C189" s="95"/>
      <c r="D189" s="79" t="str">
        <f t="shared" si="50"/>
        <v/>
      </c>
      <c r="E189" s="94"/>
      <c r="F189" s="79" t="str">
        <f t="shared" si="51"/>
        <v/>
      </c>
      <c r="G189" s="94"/>
      <c r="H189" s="79" t="str">
        <f t="shared" si="52"/>
        <v/>
      </c>
      <c r="I189" s="94"/>
      <c r="J189" s="79" t="str">
        <f t="shared" si="53"/>
        <v/>
      </c>
      <c r="K189" s="94"/>
      <c r="L189" s="79" t="str">
        <f t="shared" si="54"/>
        <v/>
      </c>
      <c r="M189" s="94"/>
      <c r="N189" s="79" t="str">
        <f t="shared" si="55"/>
        <v/>
      </c>
      <c r="O189" s="85" t="str">
        <f t="shared" si="56"/>
        <v/>
      </c>
      <c r="P189" s="79" t="str">
        <f t="shared" si="57"/>
        <v/>
      </c>
      <c r="Q189" s="184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3"/>
      <c r="B190" s="94"/>
      <c r="C190" s="95"/>
      <c r="D190" s="79" t="str">
        <f t="shared" si="50"/>
        <v/>
      </c>
      <c r="E190" s="94"/>
      <c r="F190" s="79" t="str">
        <f t="shared" si="51"/>
        <v/>
      </c>
      <c r="G190" s="94"/>
      <c r="H190" s="79" t="str">
        <f t="shared" si="52"/>
        <v/>
      </c>
      <c r="I190" s="94"/>
      <c r="J190" s="79" t="str">
        <f t="shared" si="53"/>
        <v/>
      </c>
      <c r="K190" s="94"/>
      <c r="L190" s="79" t="str">
        <f t="shared" si="54"/>
        <v/>
      </c>
      <c r="M190" s="94"/>
      <c r="N190" s="79" t="str">
        <f t="shared" si="55"/>
        <v/>
      </c>
      <c r="O190" s="85" t="str">
        <f t="shared" si="56"/>
        <v/>
      </c>
      <c r="P190" s="79" t="str">
        <f t="shared" si="57"/>
        <v/>
      </c>
      <c r="Q190" s="184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3"/>
      <c r="B191" s="94"/>
      <c r="C191" s="95"/>
      <c r="D191" s="79" t="str">
        <f t="shared" si="50"/>
        <v/>
      </c>
      <c r="E191" s="94"/>
      <c r="F191" s="79" t="str">
        <f t="shared" si="51"/>
        <v/>
      </c>
      <c r="G191" s="94"/>
      <c r="H191" s="79" t="str">
        <f t="shared" si="52"/>
        <v/>
      </c>
      <c r="I191" s="94"/>
      <c r="J191" s="79" t="str">
        <f t="shared" si="53"/>
        <v/>
      </c>
      <c r="K191" s="94"/>
      <c r="L191" s="79" t="str">
        <f t="shared" si="54"/>
        <v/>
      </c>
      <c r="M191" s="94"/>
      <c r="N191" s="79" t="str">
        <f t="shared" si="55"/>
        <v/>
      </c>
      <c r="O191" s="85" t="str">
        <f t="shared" si="56"/>
        <v/>
      </c>
      <c r="P191" s="79" t="str">
        <f t="shared" si="57"/>
        <v/>
      </c>
      <c r="Q191" s="184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3"/>
      <c r="B192" s="94"/>
      <c r="C192" s="95"/>
      <c r="D192" s="79" t="str">
        <f t="shared" si="50"/>
        <v/>
      </c>
      <c r="E192" s="94"/>
      <c r="F192" s="79" t="str">
        <f t="shared" si="51"/>
        <v/>
      </c>
      <c r="G192" s="94"/>
      <c r="H192" s="79" t="str">
        <f t="shared" si="52"/>
        <v/>
      </c>
      <c r="I192" s="94"/>
      <c r="J192" s="79" t="str">
        <f t="shared" si="53"/>
        <v/>
      </c>
      <c r="K192" s="94"/>
      <c r="L192" s="79" t="str">
        <f t="shared" si="54"/>
        <v/>
      </c>
      <c r="M192" s="94"/>
      <c r="N192" s="79" t="str">
        <f t="shared" si="55"/>
        <v/>
      </c>
      <c r="O192" s="85" t="str">
        <f t="shared" si="56"/>
        <v/>
      </c>
      <c r="P192" s="79" t="str">
        <f t="shared" si="57"/>
        <v/>
      </c>
      <c r="Q192" s="184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3"/>
      <c r="B193" s="94"/>
      <c r="C193" s="95"/>
      <c r="D193" s="79" t="str">
        <f t="shared" si="50"/>
        <v/>
      </c>
      <c r="E193" s="94"/>
      <c r="F193" s="79" t="str">
        <f t="shared" si="51"/>
        <v/>
      </c>
      <c r="G193" s="94"/>
      <c r="H193" s="79" t="str">
        <f t="shared" si="52"/>
        <v/>
      </c>
      <c r="I193" s="94"/>
      <c r="J193" s="79" t="str">
        <f t="shared" si="53"/>
        <v/>
      </c>
      <c r="K193" s="94"/>
      <c r="L193" s="79" t="str">
        <f t="shared" si="54"/>
        <v/>
      </c>
      <c r="M193" s="94"/>
      <c r="N193" s="79" t="str">
        <f t="shared" si="55"/>
        <v/>
      </c>
      <c r="O193" s="85" t="str">
        <f t="shared" si="56"/>
        <v/>
      </c>
      <c r="P193" s="79" t="str">
        <f t="shared" si="57"/>
        <v/>
      </c>
      <c r="Q193" s="184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3"/>
      <c r="B194" s="94"/>
      <c r="C194" s="95"/>
      <c r="D194" s="79" t="str">
        <f t="shared" ref="D194:D200" si="60">IF(OR(A194="",B194="",C194=""),"",ROUND(B194*C194,2))</f>
        <v/>
      </c>
      <c r="E194" s="94"/>
      <c r="F194" s="79" t="str">
        <f t="shared" ref="F194:F200" si="61">IF(OR(A194="",E194="",C194="",NOT(ISNUMBER($U$2))),"",ROUND(E194*C194*$U$2,2))</f>
        <v/>
      </c>
      <c r="G194" s="94"/>
      <c r="H194" s="79" t="str">
        <f t="shared" ref="H194:H200" si="62">IF(OR(A194="",G194="",C194="",NOT(ISNUMBER($U$3))),"",ROUND(G194*C194*$U$3,2))</f>
        <v/>
      </c>
      <c r="I194" s="94"/>
      <c r="J194" s="79" t="str">
        <f t="shared" ref="J194:J200" si="63">IF(OR(A194="",I194="",C194="",NOT(ISNUMBER($U$4))),"",ROUND(I194*C194*$U$4,2))</f>
        <v/>
      </c>
      <c r="K194" s="94"/>
      <c r="L194" s="79" t="str">
        <f t="shared" ref="L194:L200" si="64">IF(OR(A194="",K194="",C194="",NOT(ISNUMBER($U$5))),"",ROUND(K194*C194*$U$5,2))</f>
        <v/>
      </c>
      <c r="M194" s="94"/>
      <c r="N194" s="79" t="str">
        <f t="shared" ref="N194:N200" si="65">IF(OR(A194="",M194="",C194="",NOT(ISNUMBER($U$6))),"",ROUND(M194*C194*$U$6,2))</f>
        <v/>
      </c>
      <c r="O194" s="85" t="str">
        <f t="shared" ref="O194:O200" si="66">IF(A194="","",SUM(E194,G194,I194,K194,M194))</f>
        <v/>
      </c>
      <c r="P194" s="79" t="str">
        <f t="shared" ref="P194:P200" si="67">IF(A194="","",SUM(F194,H194,J194,L194,N194))</f>
        <v/>
      </c>
      <c r="Q194" s="184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3"/>
      <c r="B195" s="94"/>
      <c r="C195" s="95"/>
      <c r="D195" s="79" t="str">
        <f t="shared" si="60"/>
        <v/>
      </c>
      <c r="E195" s="94"/>
      <c r="F195" s="79" t="str">
        <f t="shared" si="61"/>
        <v/>
      </c>
      <c r="G195" s="94"/>
      <c r="H195" s="79" t="str">
        <f t="shared" si="62"/>
        <v/>
      </c>
      <c r="I195" s="94"/>
      <c r="J195" s="79" t="str">
        <f t="shared" si="63"/>
        <v/>
      </c>
      <c r="K195" s="94"/>
      <c r="L195" s="79" t="str">
        <f t="shared" si="64"/>
        <v/>
      </c>
      <c r="M195" s="94"/>
      <c r="N195" s="79" t="str">
        <f t="shared" si="65"/>
        <v/>
      </c>
      <c r="O195" s="85" t="str">
        <f t="shared" si="66"/>
        <v/>
      </c>
      <c r="P195" s="79" t="str">
        <f t="shared" si="67"/>
        <v/>
      </c>
      <c r="Q195" s="184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3"/>
      <c r="B196" s="94"/>
      <c r="C196" s="95"/>
      <c r="D196" s="79" t="str">
        <f t="shared" si="60"/>
        <v/>
      </c>
      <c r="E196" s="94"/>
      <c r="F196" s="79" t="str">
        <f t="shared" si="61"/>
        <v/>
      </c>
      <c r="G196" s="94"/>
      <c r="H196" s="79" t="str">
        <f t="shared" si="62"/>
        <v/>
      </c>
      <c r="I196" s="94"/>
      <c r="J196" s="79" t="str">
        <f t="shared" si="63"/>
        <v/>
      </c>
      <c r="K196" s="94"/>
      <c r="L196" s="79" t="str">
        <f t="shared" si="64"/>
        <v/>
      </c>
      <c r="M196" s="94"/>
      <c r="N196" s="79" t="str">
        <f t="shared" si="65"/>
        <v/>
      </c>
      <c r="O196" s="85" t="str">
        <f t="shared" si="66"/>
        <v/>
      </c>
      <c r="P196" s="79" t="str">
        <f t="shared" si="67"/>
        <v/>
      </c>
      <c r="Q196" s="184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3"/>
      <c r="B197" s="94"/>
      <c r="C197" s="95"/>
      <c r="D197" s="79" t="str">
        <f t="shared" si="60"/>
        <v/>
      </c>
      <c r="E197" s="94"/>
      <c r="F197" s="79" t="str">
        <f t="shared" si="61"/>
        <v/>
      </c>
      <c r="G197" s="94"/>
      <c r="H197" s="79" t="str">
        <f t="shared" si="62"/>
        <v/>
      </c>
      <c r="I197" s="94"/>
      <c r="J197" s="79" t="str">
        <f t="shared" si="63"/>
        <v/>
      </c>
      <c r="K197" s="94"/>
      <c r="L197" s="79" t="str">
        <f t="shared" si="64"/>
        <v/>
      </c>
      <c r="M197" s="94"/>
      <c r="N197" s="79" t="str">
        <f t="shared" si="65"/>
        <v/>
      </c>
      <c r="O197" s="85" t="str">
        <f t="shared" si="66"/>
        <v/>
      </c>
      <c r="P197" s="79" t="str">
        <f t="shared" si="67"/>
        <v/>
      </c>
      <c r="Q197" s="184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3"/>
      <c r="B198" s="94"/>
      <c r="C198" s="95"/>
      <c r="D198" s="79" t="str">
        <f t="shared" si="60"/>
        <v/>
      </c>
      <c r="E198" s="94"/>
      <c r="F198" s="79" t="str">
        <f t="shared" si="61"/>
        <v/>
      </c>
      <c r="G198" s="94"/>
      <c r="H198" s="79" t="str">
        <f t="shared" si="62"/>
        <v/>
      </c>
      <c r="I198" s="94"/>
      <c r="J198" s="79" t="str">
        <f t="shared" si="63"/>
        <v/>
      </c>
      <c r="K198" s="94"/>
      <c r="L198" s="79" t="str">
        <f t="shared" si="64"/>
        <v/>
      </c>
      <c r="M198" s="94"/>
      <c r="N198" s="79" t="str">
        <f t="shared" si="65"/>
        <v/>
      </c>
      <c r="O198" s="85" t="str">
        <f t="shared" si="66"/>
        <v/>
      </c>
      <c r="P198" s="79" t="str">
        <f t="shared" si="67"/>
        <v/>
      </c>
      <c r="Q198" s="184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3"/>
      <c r="B199" s="94"/>
      <c r="C199" s="95"/>
      <c r="D199" s="79" t="str">
        <f t="shared" si="60"/>
        <v/>
      </c>
      <c r="E199" s="94"/>
      <c r="F199" s="79" t="str">
        <f t="shared" si="61"/>
        <v/>
      </c>
      <c r="G199" s="94"/>
      <c r="H199" s="79" t="str">
        <f t="shared" si="62"/>
        <v/>
      </c>
      <c r="I199" s="94"/>
      <c r="J199" s="79" t="str">
        <f t="shared" si="63"/>
        <v/>
      </c>
      <c r="K199" s="94"/>
      <c r="L199" s="79" t="str">
        <f t="shared" si="64"/>
        <v/>
      </c>
      <c r="M199" s="94"/>
      <c r="N199" s="79" t="str">
        <f t="shared" si="65"/>
        <v/>
      </c>
      <c r="O199" s="85" t="str">
        <f t="shared" si="66"/>
        <v/>
      </c>
      <c r="P199" s="79" t="str">
        <f t="shared" si="67"/>
        <v/>
      </c>
      <c r="Q199" s="184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3"/>
      <c r="B200" s="94"/>
      <c r="C200" s="95"/>
      <c r="D200" s="79" t="str">
        <f t="shared" si="60"/>
        <v/>
      </c>
      <c r="E200" s="94"/>
      <c r="F200" s="79" t="str">
        <f t="shared" si="61"/>
        <v/>
      </c>
      <c r="G200" s="94"/>
      <c r="H200" s="79" t="str">
        <f t="shared" si="62"/>
        <v/>
      </c>
      <c r="I200" s="94"/>
      <c r="J200" s="79" t="str">
        <f t="shared" si="63"/>
        <v/>
      </c>
      <c r="K200" s="94"/>
      <c r="L200" s="79" t="str">
        <f t="shared" si="64"/>
        <v/>
      </c>
      <c r="M200" s="94"/>
      <c r="N200" s="79" t="str">
        <f t="shared" si="65"/>
        <v/>
      </c>
      <c r="O200" s="85" t="str">
        <f t="shared" si="66"/>
        <v/>
      </c>
      <c r="P200" s="79" t="str">
        <f t="shared" si="67"/>
        <v/>
      </c>
      <c r="Q200" s="184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mergeCells count="6">
    <mergeCell ref="X13:AG13"/>
    <mergeCell ref="X8:AG8"/>
    <mergeCell ref="X9:AG9"/>
    <mergeCell ref="X10:AG10"/>
    <mergeCell ref="X11:AG11"/>
    <mergeCell ref="X12:AG12"/>
  </mergeCells>
  <dataValidations count="1">
    <dataValidation type="list" allowBlank="1" showInputMessage="1" showErrorMessage="1" sqref="Z2:Z6" xr:uid="{192217E9-03EE-44AE-8A82-335C134A18CD}">
      <mc:AlternateContent xmlns:x12ac="http://schemas.microsoft.com/office/spreadsheetml/2011/1/ac" xmlns:mc="http://schemas.openxmlformats.org/markup-compatibility/2006">
        <mc:Choice Requires="x12ac">
          <x12ac:list>"Valor pago,Glosa"</x12ac:list>
        </mc:Choice>
        <mc:Fallback>
          <formula1>"Valor pago,Glosa"</formula1>
        </mc:Fallback>
      </mc:AlternateContent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58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0.6328125" customWidth="1"/>
    <col min="14" max="14" width="18.6328125" customWidth="1"/>
    <col min="15" max="15" width="16.6328125" customWidth="1"/>
    <col min="16" max="16" width="17.6328125" customWidth="1"/>
    <col min="17" max="17" width="18.6328125" customWidth="1"/>
    <col min="18" max="18" width="20.6328125" customWidth="1"/>
    <col min="19" max="20" width="18.6328125" customWidth="1"/>
    <col min="21" max="21" width="24.6328125" customWidth="1"/>
    <col min="22" max="29" width="13" hidden="1" customWidth="1"/>
  </cols>
  <sheetData>
    <row r="1" spans="1:29" ht="30" customHeight="1" x14ac:dyDescent="0.35">
      <c r="A1" s="187" t="s">
        <v>117</v>
      </c>
      <c r="B1" s="49" t="s">
        <v>118</v>
      </c>
      <c r="C1" s="49" t="s">
        <v>119</v>
      </c>
      <c r="D1" s="49" t="s">
        <v>120</v>
      </c>
      <c r="E1" s="49" t="s">
        <v>36</v>
      </c>
      <c r="F1" s="49" t="s">
        <v>60</v>
      </c>
      <c r="G1" s="32" t="s">
        <v>121</v>
      </c>
      <c r="H1" s="32" t="s">
        <v>122</v>
      </c>
      <c r="I1" s="32" t="s">
        <v>123</v>
      </c>
      <c r="J1" s="32" t="s">
        <v>124</v>
      </c>
      <c r="K1" s="32" t="s">
        <v>125</v>
      </c>
      <c r="L1" s="32" t="s">
        <v>126</v>
      </c>
      <c r="M1" s="499" t="s">
        <v>469</v>
      </c>
      <c r="N1" s="500"/>
      <c r="O1" s="500"/>
      <c r="P1" s="500"/>
      <c r="Q1" s="500"/>
      <c r="R1" s="500"/>
      <c r="S1" s="500"/>
      <c r="T1" s="501"/>
      <c r="U1" s="216" t="s">
        <v>127</v>
      </c>
      <c r="V1" s="213" t="s">
        <v>128</v>
      </c>
      <c r="W1" s="27" t="s">
        <v>129</v>
      </c>
      <c r="X1" s="27" t="s">
        <v>130</v>
      </c>
      <c r="Y1" s="27" t="s">
        <v>131</v>
      </c>
      <c r="Z1" s="27" t="s">
        <v>132</v>
      </c>
      <c r="AA1" s="27" t="s">
        <v>133</v>
      </c>
      <c r="AB1" s="27" t="s">
        <v>134</v>
      </c>
      <c r="AC1" s="27" t="s">
        <v>135</v>
      </c>
    </row>
    <row r="2" spans="1:29" ht="30" customHeight="1" x14ac:dyDescent="0.35">
      <c r="A2" s="188"/>
      <c r="B2" s="190"/>
      <c r="C2" s="99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0"/>
      <c r="E2" s="78" t="str">
        <f>IF(C2="","",IFERROR(VLOOKUP(C2,parametros!$A$11:$E$15,5,0),""))</f>
        <v/>
      </c>
      <c r="F2" s="79" t="str">
        <f t="shared" ref="F2:F65" si="0">IF(OR(D2="",E2=""),"",ROUND(D2*E2,2))</f>
        <v/>
      </c>
      <c r="G2" s="101"/>
      <c r="H2" s="91">
        <f t="shared" ref="H2:H65" si="1">IF(G2="Sim",IF(OR(F2="",D2="",L2=""),"",IF(L2="Sim",ROUND(F2-D2,2),0)),0)</f>
        <v>0</v>
      </c>
      <c r="I2" s="91" t="str">
        <f t="shared" ref="I2:I65" si="2">IF(G2="Sim",0,IF(OR(F2="",L2=""),"",F2))</f>
        <v/>
      </c>
      <c r="J2" s="91" t="str">
        <f t="shared" ref="J2:J65" si="3">IF(G2="Sim",0,IF(OR(F2="",D2="",L2=""),"",IF(L2="Sim",ROUND(F2-D2,2),0)))</f>
        <v/>
      </c>
      <c r="K2" s="92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349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348" t="s">
        <v>32</v>
      </c>
      <c r="N2" s="348" t="s">
        <v>470</v>
      </c>
      <c r="O2" s="348" t="s">
        <v>471</v>
      </c>
      <c r="P2" s="348" t="s">
        <v>472</v>
      </c>
      <c r="Q2" s="348" t="s">
        <v>473</v>
      </c>
      <c r="R2" s="348" t="s">
        <v>525</v>
      </c>
      <c r="S2" s="366" t="s">
        <v>474</v>
      </c>
      <c r="T2" s="348" t="s">
        <v>475</v>
      </c>
      <c r="U2" s="350" t="str">
        <f t="shared" ref="U2:U65" si="4">IF(OR($D2="",$H2=""),"",ROUND($D2+$H2,2))</f>
        <v/>
      </c>
      <c r="V2" s="215" t="s">
        <v>47</v>
      </c>
      <c r="W2" s="102" t="s">
        <v>136</v>
      </c>
      <c r="X2" s="102" t="s">
        <v>137</v>
      </c>
      <c r="Y2" s="103" t="s">
        <v>138</v>
      </c>
      <c r="Z2" s="103" t="s">
        <v>139</v>
      </c>
      <c r="AA2" s="103" t="s">
        <v>47</v>
      </c>
      <c r="AB2" s="103" t="s">
        <v>140</v>
      </c>
      <c r="AC2" s="104" t="s">
        <v>141</v>
      </c>
    </row>
    <row r="3" spans="1:29" ht="25.5" customHeight="1" x14ac:dyDescent="0.35">
      <c r="A3" s="188"/>
      <c r="B3" s="190"/>
      <c r="C3" s="99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0"/>
      <c r="E3" s="78" t="str">
        <f>IF(C3="","",IFERROR(VLOOKUP(C3,parametros!$A$11:$E$15,5,0),""))</f>
        <v/>
      </c>
      <c r="F3" s="79" t="str">
        <f t="shared" si="0"/>
        <v/>
      </c>
      <c r="G3" s="101"/>
      <c r="H3" s="91">
        <f t="shared" si="1"/>
        <v>0</v>
      </c>
      <c r="I3" s="91" t="str">
        <f t="shared" si="2"/>
        <v/>
      </c>
      <c r="J3" s="91" t="str">
        <f t="shared" si="3"/>
        <v/>
      </c>
      <c r="K3" s="92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349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352" t="s">
        <v>21</v>
      </c>
      <c r="N3" s="353">
        <f>COUNTIF($C$2:$C$5001,M3)</f>
        <v>0</v>
      </c>
      <c r="O3" s="354">
        <f>SUMIF($C$2:$C$5001,M3,$D$2:$D$5001)</f>
        <v>0</v>
      </c>
      <c r="P3" s="354">
        <f>SUMIF($C$2:$C$5001,M3,$F$2:$F$5001)</f>
        <v>0</v>
      </c>
      <c r="Q3" s="354">
        <f>SUMIF($C$2:$C$5001,M3,$H$2:$H$5001)</f>
        <v>0</v>
      </c>
      <c r="R3" s="354">
        <f>SUMIF($C$2:$C$5001,M3,$I$2:$I$5001)</f>
        <v>0</v>
      </c>
      <c r="S3" s="354">
        <f>SUMIF($C$2:$C$5001,M3,$J$2:$J$5001)</f>
        <v>0</v>
      </c>
      <c r="T3" s="353">
        <f>COUNTIFS($C$2:$C$5001,M3,$K$2:$K$5001,"&lt;&gt;OK",$K$2:$K$5001,"&lt;&gt;")</f>
        <v>0</v>
      </c>
      <c r="U3" s="351" t="str">
        <f t="shared" si="4"/>
        <v/>
      </c>
      <c r="V3" s="215" t="s">
        <v>47</v>
      </c>
      <c r="W3" s="102" t="s">
        <v>136</v>
      </c>
      <c r="X3" s="102" t="s">
        <v>137</v>
      </c>
      <c r="Y3" s="103" t="s">
        <v>138</v>
      </c>
      <c r="Z3" s="103" t="s">
        <v>139</v>
      </c>
      <c r="AA3" s="103" t="s">
        <v>47</v>
      </c>
      <c r="AB3" s="103" t="s">
        <v>140</v>
      </c>
      <c r="AC3" s="104" t="s">
        <v>141</v>
      </c>
    </row>
    <row r="4" spans="1:29" ht="25.5" customHeight="1" x14ac:dyDescent="0.35">
      <c r="A4" s="188"/>
      <c r="B4" s="190"/>
      <c r="C4" s="99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0"/>
      <c r="E4" s="78" t="str">
        <f>IF(C4="","",IFERROR(VLOOKUP(C4,parametros!$A$11:$E$15,5,0),""))</f>
        <v/>
      </c>
      <c r="F4" s="79" t="str">
        <f t="shared" si="0"/>
        <v/>
      </c>
      <c r="G4" s="101"/>
      <c r="H4" s="91">
        <f t="shared" si="1"/>
        <v>0</v>
      </c>
      <c r="I4" s="91" t="str">
        <f t="shared" si="2"/>
        <v/>
      </c>
      <c r="J4" s="91" t="str">
        <f t="shared" si="3"/>
        <v/>
      </c>
      <c r="K4" s="92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349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352" t="s">
        <v>22</v>
      </c>
      <c r="N4" s="353">
        <f>COUNTIF($C$2:$C$5001,M4)</f>
        <v>0</v>
      </c>
      <c r="O4" s="354">
        <f>SUMIF($C$2:$C$5001,M4,$D$2:$D$5001)</f>
        <v>0</v>
      </c>
      <c r="P4" s="354">
        <f>SUMIF($C$2:$C$5001,M4,$F$2:$F$5001)</f>
        <v>0</v>
      </c>
      <c r="Q4" s="354">
        <f>SUMIF($C$2:$C$5001,M4,$H$2:$H$5001)</f>
        <v>0</v>
      </c>
      <c r="R4" s="354">
        <f>SUMIF($C$2:$C$5001,M4,$I$2:$I$5001)</f>
        <v>0</v>
      </c>
      <c r="S4" s="354">
        <f>SUMIF($C$2:$C$5001,M4,$J$2:$J$5001)</f>
        <v>0</v>
      </c>
      <c r="T4" s="353">
        <f>COUNTIFS($C$2:$C$5001,M4,$K$2:$K$5001,"&lt;&gt;OK",$K$2:$K$5001,"&lt;&gt;")</f>
        <v>0</v>
      </c>
      <c r="U4" s="351" t="str">
        <f t="shared" si="4"/>
        <v/>
      </c>
      <c r="V4" s="215" t="s">
        <v>47</v>
      </c>
      <c r="W4" s="102" t="s">
        <v>136</v>
      </c>
      <c r="X4" s="102" t="s">
        <v>137</v>
      </c>
      <c r="Y4" s="103" t="s">
        <v>138</v>
      </c>
      <c r="Z4" s="103" t="s">
        <v>139</v>
      </c>
      <c r="AA4" s="103" t="s">
        <v>47</v>
      </c>
      <c r="AB4" s="103" t="s">
        <v>140</v>
      </c>
      <c r="AC4" s="104" t="s">
        <v>141</v>
      </c>
    </row>
    <row r="5" spans="1:29" ht="25.5" customHeight="1" x14ac:dyDescent="0.35">
      <c r="A5" s="188"/>
      <c r="B5" s="190"/>
      <c r="C5" s="99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0"/>
      <c r="E5" s="78" t="str">
        <f>IF(C5="","",IFERROR(VLOOKUP(C5,parametros!$A$11:$E$15,5,0),""))</f>
        <v/>
      </c>
      <c r="F5" s="79" t="str">
        <f t="shared" si="0"/>
        <v/>
      </c>
      <c r="G5" s="101"/>
      <c r="H5" s="91">
        <f t="shared" si="1"/>
        <v>0</v>
      </c>
      <c r="I5" s="91" t="str">
        <f t="shared" si="2"/>
        <v/>
      </c>
      <c r="J5" s="91" t="str">
        <f t="shared" si="3"/>
        <v/>
      </c>
      <c r="K5" s="92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349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352" t="s">
        <v>23</v>
      </c>
      <c r="N5" s="353">
        <f>COUNTIF($C$2:$C$5001,M5)</f>
        <v>0</v>
      </c>
      <c r="O5" s="354">
        <f>SUMIF($C$2:$C$5001,M5,$D$2:$D$5001)</f>
        <v>0</v>
      </c>
      <c r="P5" s="354">
        <f>SUMIF($C$2:$C$5001,M5,$F$2:$F$5001)</f>
        <v>0</v>
      </c>
      <c r="Q5" s="354">
        <f>SUMIF($C$2:$C$5001,M5,$H$2:$H$5001)</f>
        <v>0</v>
      </c>
      <c r="R5" s="354">
        <f>SUMIF($C$2:$C$5001,M5,$I$2:$I$5001)</f>
        <v>0</v>
      </c>
      <c r="S5" s="354">
        <f>SUMIF($C$2:$C$5001,M5,$J$2:$J$5001)</f>
        <v>0</v>
      </c>
      <c r="T5" s="353">
        <f>COUNTIFS($C$2:$C$5001,M5,$K$2:$K$5001,"&lt;&gt;OK",$K$2:$K$5001,"&lt;&gt;")</f>
        <v>0</v>
      </c>
      <c r="U5" s="351" t="str">
        <f t="shared" si="4"/>
        <v/>
      </c>
      <c r="V5" s="215" t="s">
        <v>47</v>
      </c>
      <c r="W5" s="102" t="s">
        <v>136</v>
      </c>
      <c r="X5" s="102" t="s">
        <v>137</v>
      </c>
      <c r="Y5" s="103" t="s">
        <v>138</v>
      </c>
      <c r="Z5" s="103" t="s">
        <v>139</v>
      </c>
      <c r="AA5" s="103" t="s">
        <v>47</v>
      </c>
      <c r="AB5" s="103" t="s">
        <v>140</v>
      </c>
      <c r="AC5" s="104" t="s">
        <v>141</v>
      </c>
    </row>
    <row r="6" spans="1:29" ht="25.5" customHeight="1" x14ac:dyDescent="0.35">
      <c r="A6" s="188"/>
      <c r="B6" s="190"/>
      <c r="C6" s="99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0"/>
      <c r="E6" s="78" t="str">
        <f>IF(C6="","",IFERROR(VLOOKUP(C6,parametros!$A$11:$E$15,5,0),""))</f>
        <v/>
      </c>
      <c r="F6" s="79" t="str">
        <f t="shared" si="0"/>
        <v/>
      </c>
      <c r="G6" s="101"/>
      <c r="H6" s="91">
        <f t="shared" si="1"/>
        <v>0</v>
      </c>
      <c r="I6" s="91" t="str">
        <f t="shared" si="2"/>
        <v/>
      </c>
      <c r="J6" s="91" t="str">
        <f t="shared" si="3"/>
        <v/>
      </c>
      <c r="K6" s="92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349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352" t="s">
        <v>24</v>
      </c>
      <c r="N6" s="353">
        <f>COUNTIF($C$2:$C$5001,M6)</f>
        <v>0</v>
      </c>
      <c r="O6" s="354">
        <f>SUMIF($C$2:$C$5001,M6,$D$2:$D$5001)</f>
        <v>0</v>
      </c>
      <c r="P6" s="354">
        <f>SUMIF($C$2:$C$5001,M6,$F$2:$F$5001)</f>
        <v>0</v>
      </c>
      <c r="Q6" s="354">
        <f>SUMIF($C$2:$C$5001,M6,$H$2:$H$5001)</f>
        <v>0</v>
      </c>
      <c r="R6" s="354">
        <f>SUMIF($C$2:$C$5001,M6,$I$2:$I$5001)</f>
        <v>0</v>
      </c>
      <c r="S6" s="354">
        <f>SUMIF($C$2:$C$5001,M6,$J$2:$J$5001)</f>
        <v>0</v>
      </c>
      <c r="T6" s="353">
        <f>COUNTIFS($C$2:$C$5001,M6,$K$2:$K$5001,"&lt;&gt;OK",$K$2:$K$5001,"&lt;&gt;")</f>
        <v>0</v>
      </c>
      <c r="U6" s="351" t="str">
        <f t="shared" si="4"/>
        <v/>
      </c>
      <c r="V6" s="215" t="s">
        <v>47</v>
      </c>
      <c r="W6" s="102" t="s">
        <v>136</v>
      </c>
      <c r="X6" s="102" t="s">
        <v>137</v>
      </c>
      <c r="Y6" s="103" t="s">
        <v>138</v>
      </c>
      <c r="Z6" s="103" t="s">
        <v>139</v>
      </c>
      <c r="AA6" s="103" t="s">
        <v>47</v>
      </c>
      <c r="AB6" s="103" t="s">
        <v>140</v>
      </c>
      <c r="AC6" s="104" t="s">
        <v>141</v>
      </c>
    </row>
    <row r="7" spans="1:29" ht="25.5" customHeight="1" x14ac:dyDescent="0.35">
      <c r="A7" s="188"/>
      <c r="B7" s="190"/>
      <c r="C7" s="99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0"/>
      <c r="E7" s="78" t="str">
        <f>IF(C7="","",IFERROR(VLOOKUP(C7,parametros!$A$11:$E$15,5,0),""))</f>
        <v/>
      </c>
      <c r="F7" s="79" t="str">
        <f t="shared" si="0"/>
        <v/>
      </c>
      <c r="G7" s="101"/>
      <c r="H7" s="91">
        <f t="shared" si="1"/>
        <v>0</v>
      </c>
      <c r="I7" s="91" t="str">
        <f t="shared" si="2"/>
        <v/>
      </c>
      <c r="J7" s="91" t="str">
        <f t="shared" si="3"/>
        <v/>
      </c>
      <c r="K7" s="92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349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52" t="s">
        <v>25</v>
      </c>
      <c r="N7" s="353">
        <f>COUNTIF($C$2:$C$5001,M7)</f>
        <v>0</v>
      </c>
      <c r="O7" s="354">
        <f>SUMIF($C$2:$C$5001,M7,$D$2:$D$5001)</f>
        <v>0</v>
      </c>
      <c r="P7" s="354">
        <f>SUMIF($C$2:$C$5001,M7,$F$2:$F$5001)</f>
        <v>0</v>
      </c>
      <c r="Q7" s="354">
        <f>SUMIF($C$2:$C$5001,M7,$H$2:$H$5001)</f>
        <v>0</v>
      </c>
      <c r="R7" s="354">
        <f>SUMIF($C$2:$C$5001,M7,$I$2:$I$5001)</f>
        <v>0</v>
      </c>
      <c r="S7" s="354">
        <f>SUMIF($C$2:$C$5001,M7,$J$2:$J$5001)</f>
        <v>0</v>
      </c>
      <c r="T7" s="353">
        <f>COUNTIFS($C$2:$C$5001,M7,$K$2:$K$5001,"&lt;&gt;OK",$K$2:$K$5001,"&lt;&gt;")</f>
        <v>0</v>
      </c>
      <c r="U7" s="351" t="str">
        <f t="shared" si="4"/>
        <v/>
      </c>
      <c r="V7" s="215" t="s">
        <v>47</v>
      </c>
      <c r="W7" s="102" t="s">
        <v>136</v>
      </c>
      <c r="X7" s="102" t="s">
        <v>137</v>
      </c>
      <c r="Y7" s="103" t="s">
        <v>138</v>
      </c>
      <c r="Z7" s="103" t="s">
        <v>139</v>
      </c>
      <c r="AA7" s="103" t="s">
        <v>47</v>
      </c>
      <c r="AB7" s="103" t="s">
        <v>140</v>
      </c>
      <c r="AC7" s="104" t="s">
        <v>141</v>
      </c>
    </row>
    <row r="8" spans="1:29" ht="25.5" customHeight="1" thickBot="1" x14ac:dyDescent="0.4">
      <c r="A8" s="188"/>
      <c r="B8" s="190"/>
      <c r="C8" s="99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0"/>
      <c r="E8" s="78" t="str">
        <f>IF(C8="","",IFERROR(VLOOKUP(C8,parametros!$A$11:$E$15,5,0),""))</f>
        <v/>
      </c>
      <c r="F8" s="79" t="str">
        <f t="shared" si="0"/>
        <v/>
      </c>
      <c r="G8" s="101"/>
      <c r="H8" s="91">
        <f t="shared" si="1"/>
        <v>0</v>
      </c>
      <c r="I8" s="91" t="str">
        <f t="shared" si="2"/>
        <v/>
      </c>
      <c r="J8" s="91" t="str">
        <f t="shared" si="3"/>
        <v/>
      </c>
      <c r="K8" s="92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349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375" t="s">
        <v>519</v>
      </c>
      <c r="N8" s="376">
        <f>COUNTIF($A$2:$A$5001,"&lt;&gt;")-SUM(N3:N7)</f>
        <v>0</v>
      </c>
      <c r="O8" s="377">
        <f>SUM($D$2:$D$5001)-SUM(O3:O7)</f>
        <v>0</v>
      </c>
      <c r="P8" s="377">
        <f>SUM($F$2:$F$5001)-SUM(P3:P7)</f>
        <v>0</v>
      </c>
      <c r="Q8" s="377">
        <f>SUM($H$2:$H$5001)-SUM(Q3:Q7)</f>
        <v>0</v>
      </c>
      <c r="R8" s="377">
        <f>SUM($I$2:$I$5001)-SUM(R3:R7)</f>
        <v>0</v>
      </c>
      <c r="S8" s="377">
        <f>SUM($J$2:$J$5001)-SUM(S3:S7)</f>
        <v>0</v>
      </c>
      <c r="T8" s="376">
        <f>COUNTIFS($A$2:$A$5001,"&lt;&gt;",$K$2:$K$5001,"&lt;&gt;OK",$K$2:$K$5001,"&lt;&gt;")-SUM(T3:T7)</f>
        <v>0</v>
      </c>
      <c r="U8" s="351" t="str">
        <f t="shared" si="4"/>
        <v/>
      </c>
      <c r="V8" s="215" t="s">
        <v>47</v>
      </c>
      <c r="W8" s="102" t="s">
        <v>136</v>
      </c>
      <c r="X8" s="102" t="s">
        <v>137</v>
      </c>
      <c r="Y8" s="103" t="s">
        <v>138</v>
      </c>
      <c r="Z8" s="103" t="s">
        <v>139</v>
      </c>
      <c r="AA8" s="103" t="s">
        <v>47</v>
      </c>
      <c r="AB8" s="103" t="s">
        <v>140</v>
      </c>
      <c r="AC8" s="104" t="s">
        <v>141</v>
      </c>
    </row>
    <row r="9" spans="1:29" ht="25.5" customHeight="1" x14ac:dyDescent="0.35">
      <c r="A9" s="188"/>
      <c r="B9" s="190"/>
      <c r="C9" s="99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0"/>
      <c r="E9" s="78" t="str">
        <f>IF(C9="","",IFERROR(VLOOKUP(C9,parametros!$A$11:$E$15,5,0),""))</f>
        <v/>
      </c>
      <c r="F9" s="79" t="str">
        <f t="shared" si="0"/>
        <v/>
      </c>
      <c r="G9" s="101"/>
      <c r="H9" s="91">
        <f t="shared" si="1"/>
        <v>0</v>
      </c>
      <c r="I9" s="91" t="str">
        <f t="shared" si="2"/>
        <v/>
      </c>
      <c r="J9" s="91" t="str">
        <f t="shared" si="3"/>
        <v/>
      </c>
      <c r="K9" s="92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349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378" t="s">
        <v>26</v>
      </c>
      <c r="N9" s="379">
        <f t="shared" ref="N9:T9" si="5">SUM(N3:N8)</f>
        <v>0</v>
      </c>
      <c r="O9" s="380">
        <f t="shared" si="5"/>
        <v>0</v>
      </c>
      <c r="P9" s="380">
        <f t="shared" si="5"/>
        <v>0</v>
      </c>
      <c r="Q9" s="380">
        <f t="shared" si="5"/>
        <v>0</v>
      </c>
      <c r="R9" s="380">
        <f t="shared" si="5"/>
        <v>0</v>
      </c>
      <c r="S9" s="385">
        <f t="shared" si="5"/>
        <v>0</v>
      </c>
      <c r="T9" s="381">
        <f t="shared" si="5"/>
        <v>0</v>
      </c>
      <c r="U9" s="351" t="str">
        <f t="shared" si="4"/>
        <v/>
      </c>
      <c r="V9" s="215" t="s">
        <v>47</v>
      </c>
      <c r="W9" s="102" t="s">
        <v>136</v>
      </c>
      <c r="X9" s="102" t="s">
        <v>137</v>
      </c>
      <c r="Y9" s="103" t="s">
        <v>138</v>
      </c>
      <c r="Z9" s="103" t="s">
        <v>139</v>
      </c>
      <c r="AA9" s="103" t="s">
        <v>47</v>
      </c>
      <c r="AB9" s="103" t="s">
        <v>140</v>
      </c>
      <c r="AC9" s="104" t="s">
        <v>141</v>
      </c>
    </row>
    <row r="10" spans="1:29" ht="34" customHeight="1" x14ac:dyDescent="0.35">
      <c r="A10" s="188"/>
      <c r="B10" s="190"/>
      <c r="C10" s="99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0"/>
      <c r="E10" s="78" t="str">
        <f>IF(C10="","",IFERROR(VLOOKUP(C10,parametros!$A$11:$E$15,5,0),""))</f>
        <v/>
      </c>
      <c r="F10" s="79" t="str">
        <f t="shared" si="0"/>
        <v/>
      </c>
      <c r="G10" s="101"/>
      <c r="H10" s="91">
        <f t="shared" si="1"/>
        <v>0</v>
      </c>
      <c r="I10" s="91" t="str">
        <f t="shared" si="2"/>
        <v/>
      </c>
      <c r="J10" s="91" t="str">
        <f t="shared" si="3"/>
        <v/>
      </c>
      <c r="K10" s="92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2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502" t="s">
        <v>476</v>
      </c>
      <c r="N10" s="500"/>
      <c r="O10" s="500"/>
      <c r="P10" s="500"/>
      <c r="Q10" s="500"/>
      <c r="R10" s="500"/>
      <c r="S10" s="500"/>
      <c r="T10" s="503"/>
      <c r="U10" s="217" t="str">
        <f t="shared" si="4"/>
        <v/>
      </c>
      <c r="V10" s="215" t="s">
        <v>47</v>
      </c>
      <c r="W10" s="102" t="s">
        <v>136</v>
      </c>
      <c r="X10" s="102" t="s">
        <v>137</v>
      </c>
      <c r="Y10" s="103" t="s">
        <v>138</v>
      </c>
      <c r="Z10" s="103" t="s">
        <v>139</v>
      </c>
      <c r="AA10" s="103" t="s">
        <v>47</v>
      </c>
      <c r="AB10" s="103" t="s">
        <v>140</v>
      </c>
      <c r="AC10" s="104" t="s">
        <v>141</v>
      </c>
    </row>
    <row r="11" spans="1:29" ht="34" customHeight="1" x14ac:dyDescent="0.35">
      <c r="A11" s="188"/>
      <c r="B11" s="190"/>
      <c r="C11" s="99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0"/>
      <c r="E11" s="78" t="str">
        <f>IF(C11="","",IFERROR(VLOOKUP(C11,parametros!$A$11:$E$15,5,0),""))</f>
        <v/>
      </c>
      <c r="F11" s="79" t="str">
        <f t="shared" si="0"/>
        <v/>
      </c>
      <c r="G11" s="101"/>
      <c r="H11" s="91">
        <f t="shared" si="1"/>
        <v>0</v>
      </c>
      <c r="I11" s="91" t="str">
        <f t="shared" si="2"/>
        <v/>
      </c>
      <c r="J11" s="91" t="str">
        <f t="shared" si="3"/>
        <v/>
      </c>
      <c r="K11" s="92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349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348" t="s">
        <v>291</v>
      </c>
      <c r="N11" s="348" t="s">
        <v>477</v>
      </c>
      <c r="O11" s="348" t="s">
        <v>517</v>
      </c>
      <c r="P11" s="348" t="s">
        <v>518</v>
      </c>
      <c r="Q11" s="348" t="s">
        <v>478</v>
      </c>
      <c r="R11" s="348" t="s">
        <v>526</v>
      </c>
      <c r="S11" s="366" t="s">
        <v>479</v>
      </c>
      <c r="T11" s="348" t="s">
        <v>480</v>
      </c>
      <c r="U11" s="351" t="str">
        <f t="shared" si="4"/>
        <v/>
      </c>
      <c r="V11" s="215" t="s">
        <v>47</v>
      </c>
      <c r="W11" s="102" t="s">
        <v>136</v>
      </c>
      <c r="X11" s="102" t="s">
        <v>137</v>
      </c>
      <c r="Y11" s="103" t="s">
        <v>138</v>
      </c>
      <c r="Z11" s="103" t="s">
        <v>139</v>
      </c>
      <c r="AA11" s="103" t="s">
        <v>47</v>
      </c>
      <c r="AB11" s="103" t="s">
        <v>140</v>
      </c>
      <c r="AC11" s="104" t="s">
        <v>141</v>
      </c>
    </row>
    <row r="12" spans="1:29" ht="25.5" customHeight="1" x14ac:dyDescent="0.35">
      <c r="A12" s="188"/>
      <c r="B12" s="190"/>
      <c r="C12" s="99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0"/>
      <c r="E12" s="78" t="str">
        <f>IF(C12="","",IFERROR(VLOOKUP(C12,parametros!$A$11:$E$15,5,0),""))</f>
        <v/>
      </c>
      <c r="F12" s="79" t="str">
        <f t="shared" si="0"/>
        <v/>
      </c>
      <c r="G12" s="101"/>
      <c r="H12" s="91">
        <f t="shared" si="1"/>
        <v>0</v>
      </c>
      <c r="I12" s="91" t="str">
        <f t="shared" si="2"/>
        <v/>
      </c>
      <c r="J12" s="91" t="str">
        <f t="shared" si="3"/>
        <v/>
      </c>
      <c r="K12" s="92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349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355" t="s">
        <v>21</v>
      </c>
      <c r="N12" s="355">
        <f>IF(MEMORIA_RESULTADOS!$T$31="",COUNTIFS($C$2:$C$5001,$M12,$G$2:$G$5001,"Sim"),COUNTIFS($C$2:$C$5001,$M12,$G$2:$G$5001,"Sim",$B$2:$B$5001,"&lt;="&amp;MEMORIA_RESULTADOS!$T$31))</f>
        <v>0</v>
      </c>
      <c r="O12" s="356">
        <f>IF(MEMORIA_RESULTADOS!$T$31="",SUMIFS($D$2:$D$5001,$C$2:$C$5001,$M12,$G$2:$G$5001,"Sim"),SUMIFS($D$2:$D$5001,$C$2:$C$5001,$M12,$G$2:$G$5001,"Sim",$B$2:$B$5001,"&lt;="&amp;MEMORIA_RESULTADOS!$T$31))</f>
        <v>0</v>
      </c>
      <c r="P12" s="356">
        <f>IF(MEMORIA_RESULTADOS!$T$31="",SUMIFS($U$2:$U$5001,$C$2:$C$5001,$M12,$G$2:$G$5001,"Sim"),SUMIFS($U$2:$U$5001,$C$2:$C$5001,$M12,$G$2:$G$5001,"Sim",$B$2:$B$5001,"&lt;="&amp;MEMORIA_RESULTADOS!$T$31))</f>
        <v>0</v>
      </c>
      <c r="Q12" s="356">
        <f>IF(MEMORIA_RESULTADOS!$T$31="",SUMIFS($H$2:$H$5001,$C$2:$C$5001,$M12,$G$2:$G$5001,"Sim"),SUMIFS($H$2:$H$5001,$C$2:$C$5001,$M12,$G$2:$G$5001,"Sim",$B$2:$B$5001,"&lt;="&amp;MEMORIA_RESULTADOS!$T$31))</f>
        <v>0</v>
      </c>
      <c r="R12" s="356">
        <f>IF(MEMORIA_RESULTADOS!$T$31="",SUMIFS($I$2:$I$5001,$C$2:$C$5001,$M12),SUMIFS($I$2:$I$5001,$C$2:$C$5001,$M12,$B$2:$B$5001,"&lt;="&amp;MEMORIA_RESULTADOS!$T$31))</f>
        <v>0</v>
      </c>
      <c r="S12" s="356">
        <f>IF(MEMORIA_RESULTADOS!$T$31="",SUMIFS($J$2:$J$5001,$C$2:$C$5001,$M12),SUMIFS($J$2:$J$5001,$C$2:$C$5001,$M12,$B$2:$B$5001,"&lt;="&amp;MEMORIA_RESULTADOS!$T$31))</f>
        <v>0</v>
      </c>
      <c r="T12" s="356">
        <f>IF(MEMORIA_RESULTADOS!$T$31="",0,SUMIFS($D$2:$D$5001,$C$2:$C$5001,$M12,$B$2:$B$5001,"&gt;"&amp;MEMORIA_RESULTADOS!$T$31))</f>
        <v>0</v>
      </c>
      <c r="U12" s="351" t="str">
        <f t="shared" si="4"/>
        <v/>
      </c>
      <c r="V12" s="215" t="s">
        <v>47</v>
      </c>
      <c r="W12" s="102" t="s">
        <v>136</v>
      </c>
      <c r="X12" s="102" t="s">
        <v>137</v>
      </c>
      <c r="Y12" s="103" t="s">
        <v>138</v>
      </c>
      <c r="Z12" s="103" t="s">
        <v>139</v>
      </c>
      <c r="AA12" s="103" t="s">
        <v>47</v>
      </c>
      <c r="AB12" s="103" t="s">
        <v>140</v>
      </c>
      <c r="AC12" s="104" t="s">
        <v>141</v>
      </c>
    </row>
    <row r="13" spans="1:29" ht="25.5" customHeight="1" x14ac:dyDescent="0.35">
      <c r="A13" s="188"/>
      <c r="B13" s="190"/>
      <c r="C13" s="99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0"/>
      <c r="E13" s="78" t="str">
        <f>IF(C13="","",IFERROR(VLOOKUP(C13,parametros!$A$11:$E$15,5,0),""))</f>
        <v/>
      </c>
      <c r="F13" s="79" t="str">
        <f t="shared" si="0"/>
        <v/>
      </c>
      <c r="G13" s="101"/>
      <c r="H13" s="91">
        <f t="shared" si="1"/>
        <v>0</v>
      </c>
      <c r="I13" s="91" t="str">
        <f t="shared" si="2"/>
        <v/>
      </c>
      <c r="J13" s="91" t="str">
        <f t="shared" si="3"/>
        <v/>
      </c>
      <c r="K13" s="92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349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355" t="s">
        <v>22</v>
      </c>
      <c r="N13" s="355">
        <f>IF(MEMORIA_RESULTADOS!$T$31="",COUNTIFS($C$2:$C$5001,$M13,$G$2:$G$5001,"Sim"),COUNTIFS($C$2:$C$5001,$M13,$G$2:$G$5001,"Sim",$B$2:$B$5001,"&lt;="&amp;MEMORIA_RESULTADOS!$T$31))</f>
        <v>0</v>
      </c>
      <c r="O13" s="356">
        <f>IF(MEMORIA_RESULTADOS!$T$31="",SUMIFS($D$2:$D$5001,$C$2:$C$5001,$M13,$G$2:$G$5001,"Sim"),SUMIFS($D$2:$D$5001,$C$2:$C$5001,$M13,$G$2:$G$5001,"Sim",$B$2:$B$5001,"&lt;="&amp;MEMORIA_RESULTADOS!$T$31))</f>
        <v>0</v>
      </c>
      <c r="P13" s="356">
        <f>IF(MEMORIA_RESULTADOS!$T$31="",SUMIFS($U$2:$U$5001,$C$2:$C$5001,$M13,$G$2:$G$5001,"Sim"),SUMIFS($U$2:$U$5001,$C$2:$C$5001,$M13,$G$2:$G$5001,"Sim",$B$2:$B$5001,"&lt;="&amp;MEMORIA_RESULTADOS!$T$31))</f>
        <v>0</v>
      </c>
      <c r="Q13" s="356">
        <f>IF(MEMORIA_RESULTADOS!$T$31="",SUMIFS($H$2:$H$5001,$C$2:$C$5001,$M13,$G$2:$G$5001,"Sim"),SUMIFS($H$2:$H$5001,$C$2:$C$5001,$M13,$G$2:$G$5001,"Sim",$B$2:$B$5001,"&lt;="&amp;MEMORIA_RESULTADOS!$T$31))</f>
        <v>0</v>
      </c>
      <c r="R13" s="356">
        <f>IF(MEMORIA_RESULTADOS!$T$31="",SUMIFS($I$2:$I$5001,$C$2:$C$5001,$M13),SUMIFS($I$2:$I$5001,$C$2:$C$5001,$M13,$B$2:$B$5001,"&lt;="&amp;MEMORIA_RESULTADOS!$T$31))</f>
        <v>0</v>
      </c>
      <c r="S13" s="356">
        <f>IF(MEMORIA_RESULTADOS!$T$31="",SUMIFS($J$2:$J$5001,$C$2:$C$5001,$M13),SUMIFS($J$2:$J$5001,$C$2:$C$5001,$M13,$B$2:$B$5001,"&lt;="&amp;MEMORIA_RESULTADOS!$T$31))</f>
        <v>0</v>
      </c>
      <c r="T13" s="356">
        <f>IF(MEMORIA_RESULTADOS!$T$31="",0,SUMIFS($D$2:$D$5001,$C$2:$C$5001,$M13,$B$2:$B$5001,"&gt;"&amp;MEMORIA_RESULTADOS!$T$31))</f>
        <v>0</v>
      </c>
      <c r="U13" s="351" t="str">
        <f t="shared" si="4"/>
        <v/>
      </c>
      <c r="V13" s="215" t="s">
        <v>47</v>
      </c>
      <c r="W13" s="102" t="s">
        <v>136</v>
      </c>
      <c r="X13" s="102" t="s">
        <v>137</v>
      </c>
      <c r="Y13" s="103" t="s">
        <v>138</v>
      </c>
      <c r="Z13" s="103" t="s">
        <v>139</v>
      </c>
      <c r="AA13" s="103" t="s">
        <v>47</v>
      </c>
      <c r="AB13" s="103" t="s">
        <v>140</v>
      </c>
      <c r="AC13" s="104" t="s">
        <v>141</v>
      </c>
    </row>
    <row r="14" spans="1:29" ht="25.5" customHeight="1" x14ac:dyDescent="0.35">
      <c r="A14" s="188"/>
      <c r="B14" s="190"/>
      <c r="C14" s="99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0"/>
      <c r="E14" s="78" t="str">
        <f>IF(C14="","",IFERROR(VLOOKUP(C14,parametros!$A$11:$E$15,5,0),""))</f>
        <v/>
      </c>
      <c r="F14" s="79" t="str">
        <f t="shared" si="0"/>
        <v/>
      </c>
      <c r="G14" s="101"/>
      <c r="H14" s="91">
        <f t="shared" si="1"/>
        <v>0</v>
      </c>
      <c r="I14" s="91" t="str">
        <f t="shared" si="2"/>
        <v/>
      </c>
      <c r="J14" s="91" t="str">
        <f t="shared" si="3"/>
        <v/>
      </c>
      <c r="K14" s="92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349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355" t="s">
        <v>23</v>
      </c>
      <c r="N14" s="355">
        <f>IF(MEMORIA_RESULTADOS!$T$31="",COUNTIFS($C$2:$C$5001,$M14,$G$2:$G$5001,"Sim"),COUNTIFS($C$2:$C$5001,$M14,$G$2:$G$5001,"Sim",$B$2:$B$5001,"&lt;="&amp;MEMORIA_RESULTADOS!$T$31))</f>
        <v>0</v>
      </c>
      <c r="O14" s="356">
        <f>IF(MEMORIA_RESULTADOS!$T$31="",SUMIFS($D$2:$D$5001,$C$2:$C$5001,$M14,$G$2:$G$5001,"Sim"),SUMIFS($D$2:$D$5001,$C$2:$C$5001,$M14,$G$2:$G$5001,"Sim",$B$2:$B$5001,"&lt;="&amp;MEMORIA_RESULTADOS!$T$31))</f>
        <v>0</v>
      </c>
      <c r="P14" s="356">
        <f>IF(MEMORIA_RESULTADOS!$T$31="",SUMIFS($U$2:$U$5001,$C$2:$C$5001,$M14,$G$2:$G$5001,"Sim"),SUMIFS($U$2:$U$5001,$C$2:$C$5001,$M14,$G$2:$G$5001,"Sim",$B$2:$B$5001,"&lt;="&amp;MEMORIA_RESULTADOS!$T$31))</f>
        <v>0</v>
      </c>
      <c r="Q14" s="356">
        <f>IF(MEMORIA_RESULTADOS!$T$31="",SUMIFS($H$2:$H$5001,$C$2:$C$5001,$M14,$G$2:$G$5001,"Sim"),SUMIFS($H$2:$H$5001,$C$2:$C$5001,$M14,$G$2:$G$5001,"Sim",$B$2:$B$5001,"&lt;="&amp;MEMORIA_RESULTADOS!$T$31))</f>
        <v>0</v>
      </c>
      <c r="R14" s="356">
        <f>IF(MEMORIA_RESULTADOS!$T$31="",SUMIFS($I$2:$I$5001,$C$2:$C$5001,$M14),SUMIFS($I$2:$I$5001,$C$2:$C$5001,$M14,$B$2:$B$5001,"&lt;="&amp;MEMORIA_RESULTADOS!$T$31))</f>
        <v>0</v>
      </c>
      <c r="S14" s="356">
        <f>IF(MEMORIA_RESULTADOS!$T$31="",SUMIFS($J$2:$J$5001,$C$2:$C$5001,$M14),SUMIFS($J$2:$J$5001,$C$2:$C$5001,$M14,$B$2:$B$5001,"&lt;="&amp;MEMORIA_RESULTADOS!$T$31))</f>
        <v>0</v>
      </c>
      <c r="T14" s="356">
        <f>IF(MEMORIA_RESULTADOS!$T$31="",0,SUMIFS($D$2:$D$5001,$C$2:$C$5001,$M14,$B$2:$B$5001,"&gt;"&amp;MEMORIA_RESULTADOS!$T$31))</f>
        <v>0</v>
      </c>
      <c r="U14" s="351" t="str">
        <f t="shared" si="4"/>
        <v/>
      </c>
      <c r="V14" s="215" t="s">
        <v>47</v>
      </c>
      <c r="W14" s="102" t="s">
        <v>136</v>
      </c>
      <c r="X14" s="102" t="s">
        <v>137</v>
      </c>
      <c r="Y14" s="103" t="s">
        <v>138</v>
      </c>
      <c r="Z14" s="103" t="s">
        <v>139</v>
      </c>
      <c r="AA14" s="103" t="s">
        <v>47</v>
      </c>
      <c r="AB14" s="103" t="s">
        <v>140</v>
      </c>
      <c r="AC14" s="104" t="s">
        <v>141</v>
      </c>
    </row>
    <row r="15" spans="1:29" ht="25.5" customHeight="1" x14ac:dyDescent="0.35">
      <c r="A15" s="188"/>
      <c r="B15" s="190"/>
      <c r="C15" s="99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0"/>
      <c r="E15" s="78" t="str">
        <f>IF(C15="","",IFERROR(VLOOKUP(C15,parametros!$A$11:$E$15,5,0),""))</f>
        <v/>
      </c>
      <c r="F15" s="79" t="str">
        <f t="shared" si="0"/>
        <v/>
      </c>
      <c r="G15" s="101"/>
      <c r="H15" s="91">
        <f t="shared" si="1"/>
        <v>0</v>
      </c>
      <c r="I15" s="91" t="str">
        <f t="shared" si="2"/>
        <v/>
      </c>
      <c r="J15" s="91" t="str">
        <f t="shared" si="3"/>
        <v/>
      </c>
      <c r="K15" s="92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349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355" t="s">
        <v>24</v>
      </c>
      <c r="N15" s="355">
        <f>IF(MEMORIA_RESULTADOS!$T$31="",COUNTIFS($C$2:$C$5001,$M15,$G$2:$G$5001,"Sim"),COUNTIFS($C$2:$C$5001,$M15,$G$2:$G$5001,"Sim",$B$2:$B$5001,"&lt;="&amp;MEMORIA_RESULTADOS!$T$31))</f>
        <v>0</v>
      </c>
      <c r="O15" s="356">
        <f>IF(MEMORIA_RESULTADOS!$T$31="",SUMIFS($D$2:$D$5001,$C$2:$C$5001,$M15,$G$2:$G$5001,"Sim"),SUMIFS($D$2:$D$5001,$C$2:$C$5001,$M15,$G$2:$G$5001,"Sim",$B$2:$B$5001,"&lt;="&amp;MEMORIA_RESULTADOS!$T$31))</f>
        <v>0</v>
      </c>
      <c r="P15" s="356">
        <f>IF(MEMORIA_RESULTADOS!$T$31="",SUMIFS($U$2:$U$5001,$C$2:$C$5001,$M15,$G$2:$G$5001,"Sim"),SUMIFS($U$2:$U$5001,$C$2:$C$5001,$M15,$G$2:$G$5001,"Sim",$B$2:$B$5001,"&lt;="&amp;MEMORIA_RESULTADOS!$T$31))</f>
        <v>0</v>
      </c>
      <c r="Q15" s="356">
        <f>IF(MEMORIA_RESULTADOS!$T$31="",SUMIFS($H$2:$H$5001,$C$2:$C$5001,$M15,$G$2:$G$5001,"Sim"),SUMIFS($H$2:$H$5001,$C$2:$C$5001,$M15,$G$2:$G$5001,"Sim",$B$2:$B$5001,"&lt;="&amp;MEMORIA_RESULTADOS!$T$31))</f>
        <v>0</v>
      </c>
      <c r="R15" s="356">
        <f>IF(MEMORIA_RESULTADOS!$T$31="",SUMIFS($I$2:$I$5001,$C$2:$C$5001,$M15),SUMIFS($I$2:$I$5001,$C$2:$C$5001,$M15,$B$2:$B$5001,"&lt;="&amp;MEMORIA_RESULTADOS!$T$31))</f>
        <v>0</v>
      </c>
      <c r="S15" s="356">
        <f>IF(MEMORIA_RESULTADOS!$T$31="",SUMIFS($J$2:$J$5001,$C$2:$C$5001,$M15),SUMIFS($J$2:$J$5001,$C$2:$C$5001,$M15,$B$2:$B$5001,"&lt;="&amp;MEMORIA_RESULTADOS!$T$31))</f>
        <v>0</v>
      </c>
      <c r="T15" s="356">
        <f>IF(MEMORIA_RESULTADOS!$T$31="",0,SUMIFS($D$2:$D$5001,$C$2:$C$5001,$M15,$B$2:$B$5001,"&gt;"&amp;MEMORIA_RESULTADOS!$T$31))</f>
        <v>0</v>
      </c>
      <c r="U15" s="351" t="str">
        <f t="shared" si="4"/>
        <v/>
      </c>
      <c r="V15" s="215" t="s">
        <v>47</v>
      </c>
      <c r="W15" s="102" t="s">
        <v>136</v>
      </c>
      <c r="X15" s="102" t="s">
        <v>137</v>
      </c>
      <c r="Y15" s="103" t="s">
        <v>138</v>
      </c>
      <c r="Z15" s="103" t="s">
        <v>139</v>
      </c>
      <c r="AA15" s="103" t="s">
        <v>47</v>
      </c>
      <c r="AB15" s="103" t="s">
        <v>140</v>
      </c>
      <c r="AC15" s="104" t="s">
        <v>141</v>
      </c>
    </row>
    <row r="16" spans="1:29" ht="25.5" customHeight="1" x14ac:dyDescent="0.35">
      <c r="A16" s="188"/>
      <c r="B16" s="190"/>
      <c r="C16" s="99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0"/>
      <c r="E16" s="78" t="str">
        <f>IF(C16="","",IFERROR(VLOOKUP(C16,parametros!$A$11:$E$15,5,0),""))</f>
        <v/>
      </c>
      <c r="F16" s="79" t="str">
        <f t="shared" si="0"/>
        <v/>
      </c>
      <c r="G16" s="101"/>
      <c r="H16" s="91">
        <f t="shared" si="1"/>
        <v>0</v>
      </c>
      <c r="I16" s="91" t="str">
        <f t="shared" si="2"/>
        <v/>
      </c>
      <c r="J16" s="91" t="str">
        <f t="shared" si="3"/>
        <v/>
      </c>
      <c r="K16" s="92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349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355" t="s">
        <v>25</v>
      </c>
      <c r="N16" s="355">
        <f>IF(MEMORIA_RESULTADOS!$T$31="",COUNTIFS($C$2:$C$5001,$M16,$G$2:$G$5001,"Sim"),COUNTIFS($C$2:$C$5001,$M16,$G$2:$G$5001,"Sim",$B$2:$B$5001,"&lt;="&amp;MEMORIA_RESULTADOS!$T$31))</f>
        <v>0</v>
      </c>
      <c r="O16" s="356">
        <f>IF(MEMORIA_RESULTADOS!$T$31="",SUMIFS($D$2:$D$5001,$C$2:$C$5001,$M16,$G$2:$G$5001,"Sim"),SUMIFS($D$2:$D$5001,$C$2:$C$5001,$M16,$G$2:$G$5001,"Sim",$B$2:$B$5001,"&lt;="&amp;MEMORIA_RESULTADOS!$T$31))</f>
        <v>0</v>
      </c>
      <c r="P16" s="356">
        <f>IF(MEMORIA_RESULTADOS!$T$31="",SUMIFS($U$2:$U$5001,$C$2:$C$5001,$M16,$G$2:$G$5001,"Sim"),SUMIFS($U$2:$U$5001,$C$2:$C$5001,$M16,$G$2:$G$5001,"Sim",$B$2:$B$5001,"&lt;="&amp;MEMORIA_RESULTADOS!$T$31))</f>
        <v>0</v>
      </c>
      <c r="Q16" s="356">
        <f>IF(MEMORIA_RESULTADOS!$T$31="",SUMIFS($H$2:$H$5001,$C$2:$C$5001,$M16,$G$2:$G$5001,"Sim"),SUMIFS($H$2:$H$5001,$C$2:$C$5001,$M16,$G$2:$G$5001,"Sim",$B$2:$B$5001,"&lt;="&amp;MEMORIA_RESULTADOS!$T$31))</f>
        <v>0</v>
      </c>
      <c r="R16" s="356">
        <f>IF(MEMORIA_RESULTADOS!$T$31="",SUMIFS($I$2:$I$5001,$C$2:$C$5001,$M16),SUMIFS($I$2:$I$5001,$C$2:$C$5001,$M16,$B$2:$B$5001,"&lt;="&amp;MEMORIA_RESULTADOS!$T$31))</f>
        <v>0</v>
      </c>
      <c r="S16" s="356">
        <f>IF(MEMORIA_RESULTADOS!$T$31="",SUMIFS($J$2:$J$5001,$C$2:$C$5001,$M16),SUMIFS($J$2:$J$5001,$C$2:$C$5001,$M16,$B$2:$B$5001,"&lt;="&amp;MEMORIA_RESULTADOS!$T$31))</f>
        <v>0</v>
      </c>
      <c r="T16" s="356">
        <f>IF(MEMORIA_RESULTADOS!$T$31="",0,SUMIFS($D$2:$D$5001,$C$2:$C$5001,$M16,$B$2:$B$5001,"&gt;"&amp;MEMORIA_RESULTADOS!$T$31))</f>
        <v>0</v>
      </c>
      <c r="U16" s="351" t="str">
        <f t="shared" si="4"/>
        <v/>
      </c>
      <c r="V16" s="215" t="s">
        <v>47</v>
      </c>
      <c r="W16" s="102" t="s">
        <v>136</v>
      </c>
      <c r="X16" s="102" t="s">
        <v>137</v>
      </c>
      <c r="Y16" s="103" t="s">
        <v>138</v>
      </c>
      <c r="Z16" s="103" t="s">
        <v>139</v>
      </c>
      <c r="AA16" s="103" t="s">
        <v>47</v>
      </c>
      <c r="AB16" s="103" t="s">
        <v>140</v>
      </c>
      <c r="AC16" s="104" t="s">
        <v>141</v>
      </c>
    </row>
    <row r="17" spans="1:29" ht="25.5" customHeight="1" thickBot="1" x14ac:dyDescent="0.4">
      <c r="A17" s="188"/>
      <c r="B17" s="190"/>
      <c r="C17" s="99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0"/>
      <c r="E17" s="78" t="str">
        <f>IF(C17="","",IFERROR(VLOOKUP(C17,parametros!$A$11:$E$15,5,0),""))</f>
        <v/>
      </c>
      <c r="F17" s="79" t="str">
        <f t="shared" si="0"/>
        <v/>
      </c>
      <c r="G17" s="101"/>
      <c r="H17" s="91">
        <f t="shared" si="1"/>
        <v>0</v>
      </c>
      <c r="I17" s="91" t="str">
        <f t="shared" si="2"/>
        <v/>
      </c>
      <c r="J17" s="91" t="str">
        <f t="shared" si="3"/>
        <v/>
      </c>
      <c r="K17" s="92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349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382" t="s">
        <v>519</v>
      </c>
      <c r="N17" s="367">
        <f>IF(MEMORIA_RESULTADOS!$T$31="",COUNTIF($G$2:$G$5001,"Sim")-SUM(N12:N16),COUNTIFS($G$2:$G$5001,"Sim",$B$2:$B$5001,"&lt;="&amp;MEMORIA_RESULTADOS!$T$31)-SUM(N12:N16))</f>
        <v>0</v>
      </c>
      <c r="O17" s="368">
        <f>IF(MEMORIA_RESULTADOS!$T$31="",SUMIFS($D$2:$D$5001,$G$2:$G$5001,"Sim")-SUM(O12:O16),SUMIFS($D$2:$D$5001,$G$2:$G$5001,"Sim",$B$2:$B$5001,"&lt;="&amp;MEMORIA_RESULTADOS!$T$31)-SUM(O12:O16))</f>
        <v>0</v>
      </c>
      <c r="P17" s="368">
        <f>IF(MEMORIA_RESULTADOS!$T$31="",SUMIFS($U$2:$U$5001,$G$2:$G$5001,"Sim")-SUM(P12:P16),SUMIFS($U$2:$U$5001,$G$2:$G$5001,"Sim",$B$2:$B$5001,"&lt;="&amp;MEMORIA_RESULTADOS!$T$31)-SUM(P12:P16))</f>
        <v>0</v>
      </c>
      <c r="Q17" s="368">
        <f>IF(MEMORIA_RESULTADOS!$T$31="",SUMIFS($H$2:$H$5001,$G$2:$G$5001,"Sim")-SUM(Q12:Q16),SUMIFS($H$2:$H$5001,$G$2:$G$5001,"Sim",$B$2:$B$5001,"&lt;="&amp;MEMORIA_RESULTADOS!$T$31)-SUM(Q12:Q16))</f>
        <v>0</v>
      </c>
      <c r="R17" s="368">
        <f>IF(MEMORIA_RESULTADOS!$T$31="",SUM($I$2:$I$5001)-SUM(R12:R16),SUMIFS($I$2:$I$5001,$B$2:$B$5001,"&lt;="&amp;MEMORIA_RESULTADOS!$T$31)-SUM(R12:R16))</f>
        <v>0</v>
      </c>
      <c r="S17" s="368">
        <f>IF(MEMORIA_RESULTADOS!$T$31="",SUM($J$2:$J$5001)-SUM(S12:S16),SUMIFS($J$2:$J$5001,$B$2:$B$5001,"&lt;="&amp;MEMORIA_RESULTADOS!$T$31)-SUM(S12:S16))</f>
        <v>0</v>
      </c>
      <c r="T17" s="368">
        <f>IF(MEMORIA_RESULTADOS!$T$31="",0,SUMIFS($D$2:$D$5001,$B$2:$B$5001,"&gt;"&amp;MEMORIA_RESULTADOS!$T$31)-SUM(T12:T16))</f>
        <v>0</v>
      </c>
      <c r="U17" s="351" t="str">
        <f t="shared" si="4"/>
        <v/>
      </c>
      <c r="V17" s="215" t="s">
        <v>47</v>
      </c>
      <c r="W17" s="102" t="s">
        <v>136</v>
      </c>
      <c r="X17" s="102" t="s">
        <v>137</v>
      </c>
      <c r="Y17" s="103" t="s">
        <v>138</v>
      </c>
      <c r="Z17" s="103" t="s">
        <v>139</v>
      </c>
      <c r="AA17" s="103" t="s">
        <v>47</v>
      </c>
      <c r="AB17" s="103" t="s">
        <v>140</v>
      </c>
      <c r="AC17" s="104" t="s">
        <v>141</v>
      </c>
    </row>
    <row r="18" spans="1:29" ht="25.5" customHeight="1" thickBot="1" x14ac:dyDescent="0.4">
      <c r="A18" s="188"/>
      <c r="B18" s="190"/>
      <c r="C18" s="99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0"/>
      <c r="E18" s="78" t="str">
        <f>IF(C18="","",IFERROR(VLOOKUP(C18,parametros!$A$11:$E$15,5,0),""))</f>
        <v/>
      </c>
      <c r="F18" s="79" t="str">
        <f t="shared" si="0"/>
        <v/>
      </c>
      <c r="G18" s="101"/>
      <c r="H18" s="91">
        <f t="shared" si="1"/>
        <v>0</v>
      </c>
      <c r="I18" s="91" t="str">
        <f t="shared" si="2"/>
        <v/>
      </c>
      <c r="J18" s="91" t="str">
        <f t="shared" si="3"/>
        <v/>
      </c>
      <c r="K18" s="92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349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383" t="s">
        <v>26</v>
      </c>
      <c r="N18" s="383">
        <f t="shared" ref="N18:T18" si="6">SUM(N12:N17)</f>
        <v>0</v>
      </c>
      <c r="O18" s="384">
        <f t="shared" si="6"/>
        <v>0</v>
      </c>
      <c r="P18" s="384">
        <f t="shared" si="6"/>
        <v>0</v>
      </c>
      <c r="Q18" s="384">
        <f t="shared" si="6"/>
        <v>0</v>
      </c>
      <c r="R18" s="384">
        <f t="shared" si="6"/>
        <v>0</v>
      </c>
      <c r="S18" s="386">
        <f t="shared" si="6"/>
        <v>0</v>
      </c>
      <c r="T18" s="384">
        <f t="shared" si="6"/>
        <v>0</v>
      </c>
      <c r="U18" s="351" t="str">
        <f t="shared" si="4"/>
        <v/>
      </c>
      <c r="V18" s="215" t="s">
        <v>47</v>
      </c>
      <c r="W18" s="102" t="s">
        <v>136</v>
      </c>
      <c r="X18" s="102" t="s">
        <v>137</v>
      </c>
      <c r="Y18" s="103" t="s">
        <v>138</v>
      </c>
      <c r="Z18" s="103" t="s">
        <v>139</v>
      </c>
      <c r="AA18" s="103" t="s">
        <v>47</v>
      </c>
      <c r="AB18" s="103" t="s">
        <v>140</v>
      </c>
      <c r="AC18" s="104" t="s">
        <v>141</v>
      </c>
    </row>
    <row r="19" spans="1:29" ht="32" customHeight="1" x14ac:dyDescent="0.35">
      <c r="A19" s="188"/>
      <c r="B19" s="190"/>
      <c r="C19" s="99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0"/>
      <c r="E19" s="78" t="str">
        <f>IF(C19="","",IFERROR(VLOOKUP(C19,parametros!$A$11:$E$15,5,0),""))</f>
        <v/>
      </c>
      <c r="F19" s="79" t="str">
        <f t="shared" si="0"/>
        <v/>
      </c>
      <c r="G19" s="101"/>
      <c r="H19" s="91">
        <f t="shared" si="1"/>
        <v>0</v>
      </c>
      <c r="I19" s="91" t="str">
        <f t="shared" si="2"/>
        <v/>
      </c>
      <c r="J19" s="91" t="str">
        <f t="shared" si="3"/>
        <v/>
      </c>
      <c r="K19" s="92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349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507" t="str">
        <f>"RETROATIVO CONSIDERADO NO VTA = RECONHECIDO R$ "&amp;TEXT(N($Q$18),"#.##0,00")&amp;"  +  POTENCIAL POSITIVO INCORPORADO R$ "&amp;TEXT(N(MEMORIA_RESULTADOS!$T$39),"#.##0,00")&amp;IF(N(MEMORIA_RESULTADOS!$T$47)&lt;0,"   (há ainda R$ "&amp;TEXT(-N(MEMORIA_RESULTADOS!$T$47),"#.##0,00")&amp;" de potencial negativo: permanece visível e não reduz o VTA)","   (todo o potencial positivo apurado até a data de corte integra o VTA)")</f>
        <v>RETROATIVO CONSIDERADO NO VTA = RECONHECIDO R$ 0,00  +  POTENCIAL POSITIVO INCORPORADO R$ 0,00   (todo o potencial positivo apurado até a data de corte integra o VTA)</v>
      </c>
      <c r="N19" s="507"/>
      <c r="O19" s="507"/>
      <c r="P19" s="507"/>
      <c r="Q19" s="507"/>
      <c r="R19" s="507"/>
      <c r="S19" s="508">
        <f>ROUND(N($Q$18)+N(MEMORIA_RESULTADOS!$T$39),2)</f>
        <v>0</v>
      </c>
      <c r="T19" s="508"/>
      <c r="U19" s="351" t="str">
        <f t="shared" si="4"/>
        <v/>
      </c>
      <c r="V19" s="215" t="s">
        <v>47</v>
      </c>
      <c r="W19" s="102" t="s">
        <v>136</v>
      </c>
      <c r="X19" s="102" t="s">
        <v>137</v>
      </c>
      <c r="Y19" s="103" t="s">
        <v>138</v>
      </c>
      <c r="Z19" s="103" t="s">
        <v>139</v>
      </c>
      <c r="AA19" s="103" t="s">
        <v>47</v>
      </c>
      <c r="AB19" s="103" t="s">
        <v>140</v>
      </c>
      <c r="AC19" s="104" t="s">
        <v>141</v>
      </c>
    </row>
    <row r="20" spans="1:29" ht="28" customHeight="1" x14ac:dyDescent="0.35">
      <c r="A20" s="188"/>
      <c r="B20" s="190"/>
      <c r="C20" s="99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0"/>
      <c r="E20" s="78" t="str">
        <f>IF(C20="","",IFERROR(VLOOKUP(C20,parametros!$A$11:$E$15,5,0),""))</f>
        <v/>
      </c>
      <c r="F20" s="79" t="str">
        <f t="shared" si="0"/>
        <v/>
      </c>
      <c r="G20" s="101"/>
      <c r="H20" s="91">
        <f t="shared" si="1"/>
        <v>0</v>
      </c>
      <c r="I20" s="91" t="str">
        <f t="shared" si="2"/>
        <v/>
      </c>
      <c r="J20" s="91" t="str">
        <f t="shared" si="3"/>
        <v/>
      </c>
      <c r="K20" s="92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2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504" t="s">
        <v>481</v>
      </c>
      <c r="N20" s="505"/>
      <c r="O20" s="505"/>
      <c r="P20" s="505"/>
      <c r="Q20" s="505"/>
      <c r="R20" s="505"/>
      <c r="S20" s="505"/>
      <c r="T20" s="506"/>
      <c r="U20" s="217" t="str">
        <f t="shared" si="4"/>
        <v/>
      </c>
      <c r="V20" s="215" t="s">
        <v>47</v>
      </c>
      <c r="W20" s="102" t="s">
        <v>136</v>
      </c>
      <c r="X20" s="102" t="s">
        <v>137</v>
      </c>
      <c r="Y20" s="103" t="s">
        <v>138</v>
      </c>
      <c r="Z20" s="103" t="s">
        <v>139</v>
      </c>
      <c r="AA20" s="103" t="s">
        <v>47</v>
      </c>
      <c r="AB20" s="103" t="s">
        <v>140</v>
      </c>
      <c r="AC20" s="104" t="s">
        <v>141</v>
      </c>
    </row>
    <row r="21" spans="1:29" ht="28" customHeight="1" x14ac:dyDescent="0.35">
      <c r="A21" s="188"/>
      <c r="B21" s="190"/>
      <c r="C21" s="99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0"/>
      <c r="E21" s="78" t="str">
        <f>IF(C21="","",IFERROR(VLOOKUP(C21,parametros!$A$11:$E$15,5,0),""))</f>
        <v/>
      </c>
      <c r="F21" s="79" t="str">
        <f t="shared" si="0"/>
        <v/>
      </c>
      <c r="G21" s="101"/>
      <c r="H21" s="91">
        <f t="shared" si="1"/>
        <v>0</v>
      </c>
      <c r="I21" s="91" t="str">
        <f t="shared" si="2"/>
        <v/>
      </c>
      <c r="J21" s="91" t="str">
        <f t="shared" si="3"/>
        <v/>
      </c>
      <c r="K21" s="92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2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496" t="s">
        <v>482</v>
      </c>
      <c r="N21" s="497"/>
      <c r="O21" s="497"/>
      <c r="P21" s="497"/>
      <c r="Q21" s="497"/>
      <c r="R21" s="497"/>
      <c r="S21" s="497"/>
      <c r="T21" s="498"/>
      <c r="U21" s="217" t="str">
        <f t="shared" si="4"/>
        <v/>
      </c>
      <c r="V21" s="215" t="s">
        <v>47</v>
      </c>
      <c r="W21" s="102" t="s">
        <v>136</v>
      </c>
      <c r="X21" s="102" t="s">
        <v>137</v>
      </c>
      <c r="Y21" s="103" t="s">
        <v>138</v>
      </c>
      <c r="Z21" s="103" t="s">
        <v>139</v>
      </c>
      <c r="AA21" s="103" t="s">
        <v>47</v>
      </c>
      <c r="AB21" s="103" t="s">
        <v>140</v>
      </c>
      <c r="AC21" s="104" t="s">
        <v>141</v>
      </c>
    </row>
    <row r="22" spans="1:29" ht="28" customHeight="1" x14ac:dyDescent="0.35">
      <c r="A22" s="188"/>
      <c r="B22" s="190"/>
      <c r="C22" s="99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0"/>
      <c r="E22" s="78" t="str">
        <f>IF(C22="","",IFERROR(VLOOKUP(C22,parametros!$A$11:$E$15,5,0),""))</f>
        <v/>
      </c>
      <c r="F22" s="79" t="str">
        <f t="shared" si="0"/>
        <v/>
      </c>
      <c r="G22" s="101"/>
      <c r="H22" s="91">
        <f t="shared" si="1"/>
        <v>0</v>
      </c>
      <c r="I22" s="91" t="str">
        <f t="shared" si="2"/>
        <v/>
      </c>
      <c r="J22" s="91" t="str">
        <f t="shared" si="3"/>
        <v/>
      </c>
      <c r="K22" s="92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2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496" t="s">
        <v>520</v>
      </c>
      <c r="N22" s="497"/>
      <c r="O22" s="497"/>
      <c r="P22" s="497"/>
      <c r="Q22" s="497"/>
      <c r="R22" s="497"/>
      <c r="S22" s="497"/>
      <c r="T22" s="498"/>
      <c r="U22" s="217" t="str">
        <f t="shared" si="4"/>
        <v/>
      </c>
      <c r="V22" s="215" t="s">
        <v>47</v>
      </c>
      <c r="W22" s="102" t="s">
        <v>136</v>
      </c>
      <c r="X22" s="102" t="s">
        <v>137</v>
      </c>
      <c r="Y22" s="103" t="s">
        <v>138</v>
      </c>
      <c r="Z22" s="103" t="s">
        <v>139</v>
      </c>
      <c r="AA22" s="103" t="s">
        <v>47</v>
      </c>
      <c r="AB22" s="103" t="s">
        <v>140</v>
      </c>
      <c r="AC22" s="104" t="s">
        <v>141</v>
      </c>
    </row>
    <row r="23" spans="1:29" ht="28" customHeight="1" x14ac:dyDescent="0.35">
      <c r="A23" s="188"/>
      <c r="B23" s="190"/>
      <c r="C23" s="99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0"/>
      <c r="E23" s="78" t="str">
        <f>IF(C23="","",IFERROR(VLOOKUP(C23,parametros!$A$11:$E$15,5,0),""))</f>
        <v/>
      </c>
      <c r="F23" s="79" t="str">
        <f t="shared" si="0"/>
        <v/>
      </c>
      <c r="G23" s="101"/>
      <c r="H23" s="91">
        <f t="shared" si="1"/>
        <v>0</v>
      </c>
      <c r="I23" s="91" t="str">
        <f t="shared" si="2"/>
        <v/>
      </c>
      <c r="J23" s="91" t="str">
        <f t="shared" si="3"/>
        <v/>
      </c>
      <c r="K23" s="92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2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496" t="s">
        <v>483</v>
      </c>
      <c r="N23" s="497"/>
      <c r="O23" s="497"/>
      <c r="P23" s="497"/>
      <c r="Q23" s="497"/>
      <c r="R23" s="497"/>
      <c r="S23" s="497"/>
      <c r="T23" s="498"/>
      <c r="U23" s="217" t="str">
        <f t="shared" si="4"/>
        <v/>
      </c>
      <c r="V23" s="215" t="s">
        <v>47</v>
      </c>
      <c r="W23" s="102" t="s">
        <v>136</v>
      </c>
      <c r="X23" s="102" t="s">
        <v>137</v>
      </c>
      <c r="Y23" s="103" t="s">
        <v>138</v>
      </c>
      <c r="Z23" s="103" t="s">
        <v>139</v>
      </c>
      <c r="AA23" s="103" t="s">
        <v>47</v>
      </c>
      <c r="AB23" s="103" t="s">
        <v>140</v>
      </c>
      <c r="AC23" s="104" t="s">
        <v>141</v>
      </c>
    </row>
    <row r="24" spans="1:29" ht="28" customHeight="1" x14ac:dyDescent="0.35">
      <c r="A24" s="188"/>
      <c r="B24" s="190"/>
      <c r="C24" s="99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0"/>
      <c r="E24" s="78" t="str">
        <f>IF(C24="","",IFERROR(VLOOKUP(C24,parametros!$A$11:$E$15,5,0),""))</f>
        <v/>
      </c>
      <c r="F24" s="79" t="str">
        <f t="shared" si="0"/>
        <v/>
      </c>
      <c r="G24" s="101"/>
      <c r="H24" s="91">
        <f t="shared" si="1"/>
        <v>0</v>
      </c>
      <c r="I24" s="91" t="str">
        <f t="shared" si="2"/>
        <v/>
      </c>
      <c r="J24" s="91" t="str">
        <f t="shared" si="3"/>
        <v/>
      </c>
      <c r="K24" s="92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2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496" t="s">
        <v>484</v>
      </c>
      <c r="N24" s="497"/>
      <c r="O24" s="497"/>
      <c r="P24" s="497"/>
      <c r="Q24" s="497"/>
      <c r="R24" s="497"/>
      <c r="S24" s="497"/>
      <c r="T24" s="498"/>
      <c r="U24" s="217" t="str">
        <f t="shared" si="4"/>
        <v/>
      </c>
      <c r="V24" s="215" t="s">
        <v>47</v>
      </c>
      <c r="W24" s="102" t="s">
        <v>136</v>
      </c>
      <c r="X24" s="102" t="s">
        <v>137</v>
      </c>
      <c r="Y24" s="103" t="s">
        <v>138</v>
      </c>
      <c r="Z24" s="103" t="s">
        <v>139</v>
      </c>
      <c r="AA24" s="103" t="s">
        <v>47</v>
      </c>
      <c r="AB24" s="103" t="s">
        <v>140</v>
      </c>
      <c r="AC24" s="104" t="s">
        <v>141</v>
      </c>
    </row>
    <row r="25" spans="1:29" ht="28" customHeight="1" x14ac:dyDescent="0.35">
      <c r="A25" s="188"/>
      <c r="B25" s="190"/>
      <c r="C25" s="99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0"/>
      <c r="E25" s="78" t="str">
        <f>IF(C25="","",IFERROR(VLOOKUP(C25,parametros!$A$11:$E$15,5,0),""))</f>
        <v/>
      </c>
      <c r="F25" s="79" t="str">
        <f t="shared" si="0"/>
        <v/>
      </c>
      <c r="G25" s="101"/>
      <c r="H25" s="91">
        <f t="shared" si="1"/>
        <v>0</v>
      </c>
      <c r="I25" s="91" t="str">
        <f t="shared" si="2"/>
        <v/>
      </c>
      <c r="J25" s="91" t="str">
        <f t="shared" si="3"/>
        <v/>
      </c>
      <c r="K25" s="92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2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496" t="s">
        <v>485</v>
      </c>
      <c r="N25" s="497"/>
      <c r="O25" s="497"/>
      <c r="P25" s="497"/>
      <c r="Q25" s="497"/>
      <c r="R25" s="497"/>
      <c r="S25" s="497"/>
      <c r="T25" s="498"/>
      <c r="U25" s="217" t="str">
        <f t="shared" si="4"/>
        <v/>
      </c>
      <c r="V25" s="215" t="s">
        <v>47</v>
      </c>
      <c r="W25" s="102" t="s">
        <v>136</v>
      </c>
      <c r="X25" s="102" t="s">
        <v>137</v>
      </c>
      <c r="Y25" s="103" t="s">
        <v>138</v>
      </c>
      <c r="Z25" s="103" t="s">
        <v>139</v>
      </c>
      <c r="AA25" s="103" t="s">
        <v>47</v>
      </c>
      <c r="AB25" s="103" t="s">
        <v>140</v>
      </c>
      <c r="AC25" s="104" t="s">
        <v>141</v>
      </c>
    </row>
    <row r="26" spans="1:29" ht="28" customHeight="1" x14ac:dyDescent="0.35">
      <c r="A26" s="188"/>
      <c r="B26" s="190"/>
      <c r="C26" s="99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0"/>
      <c r="E26" s="78" t="str">
        <f>IF(C26="","",IFERROR(VLOOKUP(C26,parametros!$A$11:$E$15,5,0),""))</f>
        <v/>
      </c>
      <c r="F26" s="79" t="str">
        <f t="shared" si="0"/>
        <v/>
      </c>
      <c r="G26" s="101"/>
      <c r="H26" s="91">
        <f t="shared" si="1"/>
        <v>0</v>
      </c>
      <c r="I26" s="91" t="str">
        <f t="shared" si="2"/>
        <v/>
      </c>
      <c r="J26" s="91" t="str">
        <f t="shared" si="3"/>
        <v/>
      </c>
      <c r="K26" s="92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2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496" t="s">
        <v>486</v>
      </c>
      <c r="N26" s="497"/>
      <c r="O26" s="497"/>
      <c r="P26" s="497"/>
      <c r="Q26" s="497"/>
      <c r="R26" s="497"/>
      <c r="S26" s="497"/>
      <c r="T26" s="498"/>
      <c r="U26" s="217" t="str">
        <f t="shared" si="4"/>
        <v/>
      </c>
      <c r="V26" s="215" t="s">
        <v>47</v>
      </c>
      <c r="W26" s="102" t="s">
        <v>136</v>
      </c>
      <c r="X26" s="102" t="s">
        <v>137</v>
      </c>
      <c r="Y26" s="103" t="s">
        <v>138</v>
      </c>
      <c r="Z26" s="103" t="s">
        <v>139</v>
      </c>
      <c r="AA26" s="103" t="s">
        <v>47</v>
      </c>
      <c r="AB26" s="103" t="s">
        <v>140</v>
      </c>
      <c r="AC26" s="104" t="s">
        <v>141</v>
      </c>
    </row>
    <row r="27" spans="1:29" ht="28" customHeight="1" x14ac:dyDescent="0.35">
      <c r="A27" s="188"/>
      <c r="B27" s="190"/>
      <c r="C27" s="99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0"/>
      <c r="E27" s="78" t="str">
        <f>IF(C27="","",IFERROR(VLOOKUP(C27,parametros!$A$11:$E$15,5,0),""))</f>
        <v/>
      </c>
      <c r="F27" s="79" t="str">
        <f t="shared" si="0"/>
        <v/>
      </c>
      <c r="G27" s="101"/>
      <c r="H27" s="91">
        <f t="shared" si="1"/>
        <v>0</v>
      </c>
      <c r="I27" s="91" t="str">
        <f t="shared" si="2"/>
        <v/>
      </c>
      <c r="J27" s="91" t="str">
        <f t="shared" si="3"/>
        <v/>
      </c>
      <c r="K27" s="92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2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496" t="s">
        <v>521</v>
      </c>
      <c r="N27" s="497"/>
      <c r="O27" s="497"/>
      <c r="P27" s="497"/>
      <c r="Q27" s="497"/>
      <c r="R27" s="497"/>
      <c r="S27" s="497"/>
      <c r="T27" s="498"/>
      <c r="U27" s="217" t="str">
        <f t="shared" si="4"/>
        <v/>
      </c>
      <c r="V27" s="215" t="s">
        <v>47</v>
      </c>
      <c r="W27" s="102" t="s">
        <v>136</v>
      </c>
      <c r="X27" s="102" t="s">
        <v>137</v>
      </c>
      <c r="Y27" s="103" t="s">
        <v>138</v>
      </c>
      <c r="Z27" s="103" t="s">
        <v>139</v>
      </c>
      <c r="AA27" s="103" t="s">
        <v>47</v>
      </c>
      <c r="AB27" s="103" t="s">
        <v>140</v>
      </c>
      <c r="AC27" s="104" t="s">
        <v>141</v>
      </c>
    </row>
    <row r="28" spans="1:29" ht="28" customHeight="1" x14ac:dyDescent="0.35">
      <c r="A28" s="188"/>
      <c r="B28" s="190"/>
      <c r="C28" s="99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0"/>
      <c r="E28" s="78" t="str">
        <f>IF(C28="","",IFERROR(VLOOKUP(C28,parametros!$A$11:$E$15,5,0),""))</f>
        <v/>
      </c>
      <c r="F28" s="79" t="str">
        <f t="shared" si="0"/>
        <v/>
      </c>
      <c r="G28" s="101"/>
      <c r="H28" s="91">
        <f t="shared" si="1"/>
        <v>0</v>
      </c>
      <c r="I28" s="91" t="str">
        <f t="shared" si="2"/>
        <v/>
      </c>
      <c r="J28" s="91" t="str">
        <f t="shared" si="3"/>
        <v/>
      </c>
      <c r="K28" s="92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2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496" t="s">
        <v>522</v>
      </c>
      <c r="N28" s="497"/>
      <c r="O28" s="497"/>
      <c r="P28" s="497"/>
      <c r="Q28" s="497"/>
      <c r="R28" s="497"/>
      <c r="S28" s="497"/>
      <c r="T28" s="498"/>
      <c r="U28" s="217" t="str">
        <f t="shared" si="4"/>
        <v/>
      </c>
      <c r="V28" s="215" t="s">
        <v>47</v>
      </c>
      <c r="W28" s="102" t="s">
        <v>136</v>
      </c>
      <c r="X28" s="102" t="s">
        <v>137</v>
      </c>
      <c r="Y28" s="103" t="s">
        <v>138</v>
      </c>
      <c r="Z28" s="103" t="s">
        <v>139</v>
      </c>
      <c r="AA28" s="103" t="s">
        <v>47</v>
      </c>
      <c r="AB28" s="103" t="s">
        <v>140</v>
      </c>
      <c r="AC28" s="104" t="s">
        <v>141</v>
      </c>
    </row>
    <row r="29" spans="1:29" ht="28" customHeight="1" x14ac:dyDescent="0.35">
      <c r="A29" s="188"/>
      <c r="B29" s="190"/>
      <c r="C29" s="99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0"/>
      <c r="E29" s="78" t="str">
        <f>IF(C29="","",IFERROR(VLOOKUP(C29,parametros!$A$11:$E$15,5,0),""))</f>
        <v/>
      </c>
      <c r="F29" s="79" t="str">
        <f t="shared" si="0"/>
        <v/>
      </c>
      <c r="G29" s="101"/>
      <c r="H29" s="91">
        <f t="shared" si="1"/>
        <v>0</v>
      </c>
      <c r="I29" s="91" t="str">
        <f t="shared" si="2"/>
        <v/>
      </c>
      <c r="J29" s="91" t="str">
        <f t="shared" si="3"/>
        <v/>
      </c>
      <c r="K29" s="92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2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496" t="s">
        <v>487</v>
      </c>
      <c r="N29" s="497"/>
      <c r="O29" s="497"/>
      <c r="P29" s="497"/>
      <c r="Q29" s="497"/>
      <c r="R29" s="497"/>
      <c r="S29" s="497"/>
      <c r="T29" s="498"/>
      <c r="U29" s="217" t="str">
        <f t="shared" si="4"/>
        <v/>
      </c>
      <c r="V29" s="215" t="s">
        <v>47</v>
      </c>
      <c r="W29" s="102" t="s">
        <v>136</v>
      </c>
      <c r="X29" s="102" t="s">
        <v>137</v>
      </c>
      <c r="Y29" s="103" t="s">
        <v>138</v>
      </c>
      <c r="Z29" s="103" t="s">
        <v>139</v>
      </c>
      <c r="AA29" s="103" t="s">
        <v>47</v>
      </c>
      <c r="AB29" s="103" t="s">
        <v>140</v>
      </c>
      <c r="AC29" s="104" t="s">
        <v>141</v>
      </c>
    </row>
    <row r="30" spans="1:29" ht="25.5" customHeight="1" x14ac:dyDescent="0.35">
      <c r="A30" s="188"/>
      <c r="B30" s="190"/>
      <c r="C30" s="99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0"/>
      <c r="E30" s="78" t="str">
        <f>IF(C30="","",IFERROR(VLOOKUP(C30,parametros!$A$11:$E$15,5,0),""))</f>
        <v/>
      </c>
      <c r="F30" s="79" t="str">
        <f t="shared" si="0"/>
        <v/>
      </c>
      <c r="G30" s="101"/>
      <c r="H30" s="91">
        <f t="shared" si="1"/>
        <v>0</v>
      </c>
      <c r="I30" s="91" t="str">
        <f t="shared" si="2"/>
        <v/>
      </c>
      <c r="J30" s="91" t="str">
        <f t="shared" si="3"/>
        <v/>
      </c>
      <c r="K30" s="92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2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14"/>
      <c r="U30" s="217" t="str">
        <f t="shared" si="4"/>
        <v/>
      </c>
      <c r="V30" s="215" t="s">
        <v>47</v>
      </c>
      <c r="W30" s="102" t="s">
        <v>136</v>
      </c>
      <c r="X30" s="102" t="s">
        <v>137</v>
      </c>
      <c r="Y30" s="103" t="s">
        <v>138</v>
      </c>
      <c r="Z30" s="103" t="s">
        <v>139</v>
      </c>
      <c r="AA30" s="103" t="s">
        <v>47</v>
      </c>
      <c r="AB30" s="103" t="s">
        <v>140</v>
      </c>
      <c r="AC30" s="104" t="s">
        <v>141</v>
      </c>
    </row>
    <row r="31" spans="1:29" ht="25.5" customHeight="1" x14ac:dyDescent="0.35">
      <c r="A31" s="188"/>
      <c r="B31" s="190"/>
      <c r="C31" s="99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0"/>
      <c r="E31" s="78" t="str">
        <f>IF(C31="","",IFERROR(VLOOKUP(C31,parametros!$A$11:$E$15,5,0),""))</f>
        <v/>
      </c>
      <c r="F31" s="79" t="str">
        <f t="shared" si="0"/>
        <v/>
      </c>
      <c r="G31" s="101"/>
      <c r="H31" s="91">
        <f t="shared" si="1"/>
        <v>0</v>
      </c>
      <c r="I31" s="91" t="str">
        <f t="shared" si="2"/>
        <v/>
      </c>
      <c r="J31" s="91" t="str">
        <f t="shared" si="3"/>
        <v/>
      </c>
      <c r="K31" s="92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2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14"/>
      <c r="U31" s="217" t="str">
        <f t="shared" si="4"/>
        <v/>
      </c>
      <c r="V31" s="215" t="s">
        <v>47</v>
      </c>
      <c r="W31" s="102" t="s">
        <v>136</v>
      </c>
      <c r="X31" s="102" t="s">
        <v>137</v>
      </c>
      <c r="Y31" s="103" t="s">
        <v>138</v>
      </c>
      <c r="Z31" s="103" t="s">
        <v>139</v>
      </c>
      <c r="AA31" s="103" t="s">
        <v>47</v>
      </c>
      <c r="AB31" s="103" t="s">
        <v>140</v>
      </c>
      <c r="AC31" s="104" t="s">
        <v>141</v>
      </c>
    </row>
    <row r="32" spans="1:29" ht="25.5" customHeight="1" x14ac:dyDescent="0.35">
      <c r="A32" s="188"/>
      <c r="B32" s="190"/>
      <c r="C32" s="99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0"/>
      <c r="E32" s="78" t="str">
        <f>IF(C32="","",IFERROR(VLOOKUP(C32,parametros!$A$11:$E$15,5,0),""))</f>
        <v/>
      </c>
      <c r="F32" s="79" t="str">
        <f t="shared" si="0"/>
        <v/>
      </c>
      <c r="G32" s="101"/>
      <c r="H32" s="91">
        <f t="shared" si="1"/>
        <v>0</v>
      </c>
      <c r="I32" s="91" t="str">
        <f t="shared" si="2"/>
        <v/>
      </c>
      <c r="J32" s="91" t="str">
        <f t="shared" si="3"/>
        <v/>
      </c>
      <c r="K32" s="92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2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14"/>
      <c r="U32" s="217" t="str">
        <f t="shared" si="4"/>
        <v/>
      </c>
      <c r="V32" s="215" t="s">
        <v>47</v>
      </c>
      <c r="W32" s="102" t="s">
        <v>136</v>
      </c>
      <c r="X32" s="102" t="s">
        <v>137</v>
      </c>
      <c r="Y32" s="103" t="s">
        <v>138</v>
      </c>
      <c r="Z32" s="103" t="s">
        <v>139</v>
      </c>
      <c r="AA32" s="103" t="s">
        <v>47</v>
      </c>
      <c r="AB32" s="103" t="s">
        <v>140</v>
      </c>
      <c r="AC32" s="104" t="s">
        <v>141</v>
      </c>
    </row>
    <row r="33" spans="1:29" ht="25.5" customHeight="1" x14ac:dyDescent="0.35">
      <c r="A33" s="188"/>
      <c r="B33" s="190"/>
      <c r="C33" s="99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0"/>
      <c r="E33" s="78" t="str">
        <f>IF(C33="","",IFERROR(VLOOKUP(C33,parametros!$A$11:$E$15,5,0),""))</f>
        <v/>
      </c>
      <c r="F33" s="79" t="str">
        <f t="shared" si="0"/>
        <v/>
      </c>
      <c r="G33" s="101"/>
      <c r="H33" s="91">
        <f t="shared" si="1"/>
        <v>0</v>
      </c>
      <c r="I33" s="91" t="str">
        <f t="shared" si="2"/>
        <v/>
      </c>
      <c r="J33" s="91" t="str">
        <f t="shared" si="3"/>
        <v/>
      </c>
      <c r="K33" s="92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2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14"/>
      <c r="U33" s="217" t="str">
        <f t="shared" si="4"/>
        <v/>
      </c>
      <c r="V33" s="215" t="s">
        <v>47</v>
      </c>
      <c r="W33" s="102" t="s">
        <v>136</v>
      </c>
      <c r="X33" s="102" t="s">
        <v>137</v>
      </c>
      <c r="Y33" s="103" t="s">
        <v>138</v>
      </c>
      <c r="Z33" s="103" t="s">
        <v>139</v>
      </c>
      <c r="AA33" s="103" t="s">
        <v>47</v>
      </c>
      <c r="AB33" s="103" t="s">
        <v>140</v>
      </c>
      <c r="AC33" s="104" t="s">
        <v>141</v>
      </c>
    </row>
    <row r="34" spans="1:29" ht="25.5" customHeight="1" x14ac:dyDescent="0.35">
      <c r="A34" s="188"/>
      <c r="B34" s="190"/>
      <c r="C34" s="99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0"/>
      <c r="E34" s="78" t="str">
        <f>IF(C34="","",IFERROR(VLOOKUP(C34,parametros!$A$11:$E$15,5,0),""))</f>
        <v/>
      </c>
      <c r="F34" s="79" t="str">
        <f t="shared" si="0"/>
        <v/>
      </c>
      <c r="G34" s="101"/>
      <c r="H34" s="91">
        <f t="shared" si="1"/>
        <v>0</v>
      </c>
      <c r="I34" s="91" t="str">
        <f t="shared" si="2"/>
        <v/>
      </c>
      <c r="J34" s="91" t="str">
        <f t="shared" si="3"/>
        <v/>
      </c>
      <c r="K34" s="92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2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14"/>
      <c r="U34" s="217" t="str">
        <f t="shared" si="4"/>
        <v/>
      </c>
      <c r="V34" s="215" t="s">
        <v>47</v>
      </c>
      <c r="W34" s="102" t="s">
        <v>136</v>
      </c>
      <c r="X34" s="102" t="s">
        <v>137</v>
      </c>
      <c r="Y34" s="103" t="s">
        <v>138</v>
      </c>
      <c r="Z34" s="103" t="s">
        <v>139</v>
      </c>
      <c r="AA34" s="103" t="s">
        <v>47</v>
      </c>
      <c r="AB34" s="103" t="s">
        <v>140</v>
      </c>
      <c r="AC34" s="104" t="s">
        <v>141</v>
      </c>
    </row>
    <row r="35" spans="1:29" ht="25.5" customHeight="1" x14ac:dyDescent="0.35">
      <c r="A35" s="188"/>
      <c r="B35" s="190"/>
      <c r="C35" s="99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0"/>
      <c r="E35" s="78" t="str">
        <f>IF(C35="","",IFERROR(VLOOKUP(C35,parametros!$A$11:$E$15,5,0),""))</f>
        <v/>
      </c>
      <c r="F35" s="79" t="str">
        <f t="shared" si="0"/>
        <v/>
      </c>
      <c r="G35" s="101"/>
      <c r="H35" s="91">
        <f t="shared" si="1"/>
        <v>0</v>
      </c>
      <c r="I35" s="91" t="str">
        <f t="shared" si="2"/>
        <v/>
      </c>
      <c r="J35" s="91" t="str">
        <f t="shared" si="3"/>
        <v/>
      </c>
      <c r="K35" s="92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2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14"/>
      <c r="U35" s="217" t="str">
        <f t="shared" si="4"/>
        <v/>
      </c>
      <c r="V35" s="215" t="s">
        <v>47</v>
      </c>
      <c r="W35" s="102" t="s">
        <v>136</v>
      </c>
      <c r="X35" s="102" t="s">
        <v>137</v>
      </c>
      <c r="Y35" s="103" t="s">
        <v>138</v>
      </c>
      <c r="Z35" s="103" t="s">
        <v>139</v>
      </c>
      <c r="AA35" s="103" t="s">
        <v>47</v>
      </c>
      <c r="AB35" s="103" t="s">
        <v>140</v>
      </c>
      <c r="AC35" s="104" t="s">
        <v>141</v>
      </c>
    </row>
    <row r="36" spans="1:29" ht="25.5" customHeight="1" x14ac:dyDescent="0.35">
      <c r="A36" s="188"/>
      <c r="B36" s="190"/>
      <c r="C36" s="99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0"/>
      <c r="E36" s="78" t="str">
        <f>IF(C36="","",IFERROR(VLOOKUP(C36,parametros!$A$11:$E$15,5,0),""))</f>
        <v/>
      </c>
      <c r="F36" s="79" t="str">
        <f t="shared" si="0"/>
        <v/>
      </c>
      <c r="G36" s="101"/>
      <c r="H36" s="91">
        <f t="shared" si="1"/>
        <v>0</v>
      </c>
      <c r="I36" s="91" t="str">
        <f t="shared" si="2"/>
        <v/>
      </c>
      <c r="J36" s="91" t="str">
        <f t="shared" si="3"/>
        <v/>
      </c>
      <c r="K36" s="92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2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14"/>
      <c r="U36" s="217" t="str">
        <f t="shared" si="4"/>
        <v/>
      </c>
      <c r="V36" s="215" t="s">
        <v>47</v>
      </c>
      <c r="W36" s="102" t="s">
        <v>136</v>
      </c>
      <c r="X36" s="102" t="s">
        <v>137</v>
      </c>
      <c r="Y36" s="103" t="s">
        <v>138</v>
      </c>
      <c r="Z36" s="103" t="s">
        <v>139</v>
      </c>
      <c r="AA36" s="103" t="s">
        <v>47</v>
      </c>
      <c r="AB36" s="103" t="s">
        <v>140</v>
      </c>
      <c r="AC36" s="104" t="s">
        <v>141</v>
      </c>
    </row>
    <row r="37" spans="1:29" ht="25.5" customHeight="1" x14ac:dyDescent="0.35">
      <c r="A37" s="188"/>
      <c r="B37" s="190"/>
      <c r="C37" s="99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0"/>
      <c r="E37" s="78" t="str">
        <f>IF(C37="","",IFERROR(VLOOKUP(C37,parametros!$A$11:$E$15,5,0),""))</f>
        <v/>
      </c>
      <c r="F37" s="79" t="str">
        <f t="shared" si="0"/>
        <v/>
      </c>
      <c r="G37" s="101"/>
      <c r="H37" s="91">
        <f t="shared" si="1"/>
        <v>0</v>
      </c>
      <c r="I37" s="91" t="str">
        <f t="shared" si="2"/>
        <v/>
      </c>
      <c r="J37" s="91" t="str">
        <f t="shared" si="3"/>
        <v/>
      </c>
      <c r="K37" s="92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2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14"/>
      <c r="U37" s="217" t="str">
        <f t="shared" si="4"/>
        <v/>
      </c>
      <c r="V37" s="215" t="s">
        <v>47</v>
      </c>
      <c r="W37" s="102" t="s">
        <v>136</v>
      </c>
      <c r="X37" s="102" t="s">
        <v>137</v>
      </c>
      <c r="Y37" s="103" t="s">
        <v>138</v>
      </c>
      <c r="Z37" s="103" t="s">
        <v>139</v>
      </c>
      <c r="AA37" s="103" t="s">
        <v>47</v>
      </c>
      <c r="AB37" s="103" t="s">
        <v>140</v>
      </c>
      <c r="AC37" s="104" t="s">
        <v>141</v>
      </c>
    </row>
    <row r="38" spans="1:29" ht="25.5" customHeight="1" x14ac:dyDescent="0.35">
      <c r="A38" s="188"/>
      <c r="B38" s="190"/>
      <c r="C38" s="99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0"/>
      <c r="E38" s="78" t="str">
        <f>IF(C38="","",IFERROR(VLOOKUP(C38,parametros!$A$11:$E$15,5,0),""))</f>
        <v/>
      </c>
      <c r="F38" s="79" t="str">
        <f t="shared" si="0"/>
        <v/>
      </c>
      <c r="G38" s="101"/>
      <c r="H38" s="91">
        <f t="shared" si="1"/>
        <v>0</v>
      </c>
      <c r="I38" s="91" t="str">
        <f t="shared" si="2"/>
        <v/>
      </c>
      <c r="J38" s="91" t="str">
        <f t="shared" si="3"/>
        <v/>
      </c>
      <c r="K38" s="92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2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14"/>
      <c r="U38" s="217" t="str">
        <f t="shared" si="4"/>
        <v/>
      </c>
      <c r="V38" s="215" t="s">
        <v>47</v>
      </c>
      <c r="W38" s="102" t="s">
        <v>136</v>
      </c>
      <c r="X38" s="102" t="s">
        <v>137</v>
      </c>
      <c r="Y38" s="103" t="s">
        <v>138</v>
      </c>
      <c r="Z38" s="103" t="s">
        <v>139</v>
      </c>
      <c r="AA38" s="103" t="s">
        <v>47</v>
      </c>
      <c r="AB38" s="103" t="s">
        <v>140</v>
      </c>
      <c r="AC38" s="104" t="s">
        <v>141</v>
      </c>
    </row>
    <row r="39" spans="1:29" ht="25.5" customHeight="1" x14ac:dyDescent="0.35">
      <c r="A39" s="188"/>
      <c r="B39" s="190"/>
      <c r="C39" s="99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0"/>
      <c r="E39" s="78" t="str">
        <f>IF(C39="","",IFERROR(VLOOKUP(C39,parametros!$A$11:$E$15,5,0),""))</f>
        <v/>
      </c>
      <c r="F39" s="79" t="str">
        <f t="shared" si="0"/>
        <v/>
      </c>
      <c r="G39" s="101"/>
      <c r="H39" s="91">
        <f t="shared" si="1"/>
        <v>0</v>
      </c>
      <c r="I39" s="91" t="str">
        <f t="shared" si="2"/>
        <v/>
      </c>
      <c r="J39" s="91" t="str">
        <f t="shared" si="3"/>
        <v/>
      </c>
      <c r="K39" s="92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2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14"/>
      <c r="U39" s="217" t="str">
        <f t="shared" si="4"/>
        <v/>
      </c>
      <c r="V39" s="215" t="s">
        <v>47</v>
      </c>
      <c r="W39" s="102" t="s">
        <v>136</v>
      </c>
      <c r="X39" s="102" t="s">
        <v>137</v>
      </c>
      <c r="Y39" s="103" t="s">
        <v>138</v>
      </c>
      <c r="Z39" s="103" t="s">
        <v>139</v>
      </c>
      <c r="AA39" s="103" t="s">
        <v>47</v>
      </c>
      <c r="AB39" s="103" t="s">
        <v>140</v>
      </c>
      <c r="AC39" s="104" t="s">
        <v>141</v>
      </c>
    </row>
    <row r="40" spans="1:29" ht="25.5" customHeight="1" x14ac:dyDescent="0.35">
      <c r="A40" s="188"/>
      <c r="B40" s="190"/>
      <c r="C40" s="99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0"/>
      <c r="E40" s="78" t="str">
        <f>IF(C40="","",IFERROR(VLOOKUP(C40,parametros!$A$11:$E$15,5,0),""))</f>
        <v/>
      </c>
      <c r="F40" s="79" t="str">
        <f t="shared" si="0"/>
        <v/>
      </c>
      <c r="G40" s="101"/>
      <c r="H40" s="91">
        <f t="shared" si="1"/>
        <v>0</v>
      </c>
      <c r="I40" s="91" t="str">
        <f t="shared" si="2"/>
        <v/>
      </c>
      <c r="J40" s="91" t="str">
        <f t="shared" si="3"/>
        <v/>
      </c>
      <c r="K40" s="92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2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14"/>
      <c r="U40" s="217" t="str">
        <f t="shared" si="4"/>
        <v/>
      </c>
      <c r="V40" s="215" t="s">
        <v>47</v>
      </c>
      <c r="W40" s="102" t="s">
        <v>136</v>
      </c>
      <c r="X40" s="102" t="s">
        <v>137</v>
      </c>
      <c r="Y40" s="103" t="s">
        <v>138</v>
      </c>
      <c r="Z40" s="103" t="s">
        <v>139</v>
      </c>
      <c r="AA40" s="103" t="s">
        <v>47</v>
      </c>
      <c r="AB40" s="103" t="s">
        <v>140</v>
      </c>
      <c r="AC40" s="104" t="s">
        <v>141</v>
      </c>
    </row>
    <row r="41" spans="1:29" ht="25.5" customHeight="1" x14ac:dyDescent="0.35">
      <c r="A41" s="188"/>
      <c r="B41" s="190"/>
      <c r="C41" s="99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0"/>
      <c r="E41" s="78" t="str">
        <f>IF(C41="","",IFERROR(VLOOKUP(C41,parametros!$A$11:$E$15,5,0),""))</f>
        <v/>
      </c>
      <c r="F41" s="79" t="str">
        <f t="shared" si="0"/>
        <v/>
      </c>
      <c r="G41" s="101"/>
      <c r="H41" s="91">
        <f t="shared" si="1"/>
        <v>0</v>
      </c>
      <c r="I41" s="91" t="str">
        <f t="shared" si="2"/>
        <v/>
      </c>
      <c r="J41" s="91" t="str">
        <f t="shared" si="3"/>
        <v/>
      </c>
      <c r="K41" s="92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2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14"/>
      <c r="U41" s="217" t="str">
        <f t="shared" si="4"/>
        <v/>
      </c>
      <c r="V41" s="215" t="s">
        <v>47</v>
      </c>
      <c r="W41" s="102" t="s">
        <v>136</v>
      </c>
      <c r="X41" s="102" t="s">
        <v>137</v>
      </c>
      <c r="Y41" s="103" t="s">
        <v>138</v>
      </c>
      <c r="Z41" s="103" t="s">
        <v>139</v>
      </c>
      <c r="AA41" s="103" t="s">
        <v>47</v>
      </c>
      <c r="AB41" s="103" t="s">
        <v>140</v>
      </c>
      <c r="AC41" s="104" t="s">
        <v>141</v>
      </c>
    </row>
    <row r="42" spans="1:29" ht="25.5" customHeight="1" x14ac:dyDescent="0.35">
      <c r="A42" s="188"/>
      <c r="B42" s="190"/>
      <c r="C42" s="99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0"/>
      <c r="E42" s="78" t="str">
        <f>IF(C42="","",IFERROR(VLOOKUP(C42,parametros!$A$11:$E$15,5,0),""))</f>
        <v/>
      </c>
      <c r="F42" s="79" t="str">
        <f t="shared" si="0"/>
        <v/>
      </c>
      <c r="G42" s="101"/>
      <c r="H42" s="91">
        <f t="shared" si="1"/>
        <v>0</v>
      </c>
      <c r="I42" s="91" t="str">
        <f t="shared" si="2"/>
        <v/>
      </c>
      <c r="J42" s="91" t="str">
        <f t="shared" si="3"/>
        <v/>
      </c>
      <c r="K42" s="92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2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14"/>
      <c r="U42" s="217" t="str">
        <f t="shared" si="4"/>
        <v/>
      </c>
      <c r="V42" s="215" t="s">
        <v>47</v>
      </c>
      <c r="W42" s="102" t="s">
        <v>136</v>
      </c>
      <c r="X42" s="102" t="s">
        <v>137</v>
      </c>
      <c r="Y42" s="103" t="s">
        <v>138</v>
      </c>
      <c r="Z42" s="103" t="s">
        <v>139</v>
      </c>
      <c r="AA42" s="103" t="s">
        <v>47</v>
      </c>
      <c r="AB42" s="103" t="s">
        <v>140</v>
      </c>
      <c r="AC42" s="104" t="s">
        <v>141</v>
      </c>
    </row>
    <row r="43" spans="1:29" ht="25.5" customHeight="1" x14ac:dyDescent="0.35">
      <c r="A43" s="188"/>
      <c r="B43" s="190"/>
      <c r="C43" s="99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0"/>
      <c r="E43" s="78" t="str">
        <f>IF(C43="","",IFERROR(VLOOKUP(C43,parametros!$A$11:$E$15,5,0),""))</f>
        <v/>
      </c>
      <c r="F43" s="79" t="str">
        <f t="shared" si="0"/>
        <v/>
      </c>
      <c r="G43" s="101"/>
      <c r="H43" s="91">
        <f t="shared" si="1"/>
        <v>0</v>
      </c>
      <c r="I43" s="91" t="str">
        <f t="shared" si="2"/>
        <v/>
      </c>
      <c r="J43" s="91" t="str">
        <f t="shared" si="3"/>
        <v/>
      </c>
      <c r="K43" s="92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2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14"/>
      <c r="U43" s="217" t="str">
        <f t="shared" si="4"/>
        <v/>
      </c>
      <c r="V43" s="215" t="s">
        <v>47</v>
      </c>
      <c r="W43" s="102" t="s">
        <v>136</v>
      </c>
      <c r="X43" s="102" t="s">
        <v>137</v>
      </c>
      <c r="Y43" s="103" t="s">
        <v>138</v>
      </c>
      <c r="Z43" s="103" t="s">
        <v>139</v>
      </c>
      <c r="AA43" s="103" t="s">
        <v>47</v>
      </c>
      <c r="AB43" s="103" t="s">
        <v>140</v>
      </c>
      <c r="AC43" s="104" t="s">
        <v>141</v>
      </c>
    </row>
    <row r="44" spans="1:29" ht="25.5" customHeight="1" x14ac:dyDescent="0.35">
      <c r="A44" s="188"/>
      <c r="B44" s="190"/>
      <c r="C44" s="99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0"/>
      <c r="E44" s="78" t="str">
        <f>IF(C44="","",IFERROR(VLOOKUP(C44,parametros!$A$11:$E$15,5,0),""))</f>
        <v/>
      </c>
      <c r="F44" s="79" t="str">
        <f t="shared" si="0"/>
        <v/>
      </c>
      <c r="G44" s="101"/>
      <c r="H44" s="91">
        <f t="shared" si="1"/>
        <v>0</v>
      </c>
      <c r="I44" s="91" t="str">
        <f t="shared" si="2"/>
        <v/>
      </c>
      <c r="J44" s="91" t="str">
        <f t="shared" si="3"/>
        <v/>
      </c>
      <c r="K44" s="92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2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14"/>
      <c r="U44" s="217" t="str">
        <f t="shared" si="4"/>
        <v/>
      </c>
      <c r="V44" s="215" t="s">
        <v>47</v>
      </c>
      <c r="W44" s="102" t="s">
        <v>136</v>
      </c>
      <c r="X44" s="102" t="s">
        <v>137</v>
      </c>
      <c r="Y44" s="103" t="s">
        <v>138</v>
      </c>
      <c r="Z44" s="103" t="s">
        <v>139</v>
      </c>
      <c r="AA44" s="103" t="s">
        <v>47</v>
      </c>
      <c r="AB44" s="103" t="s">
        <v>140</v>
      </c>
      <c r="AC44" s="104" t="s">
        <v>141</v>
      </c>
    </row>
    <row r="45" spans="1:29" ht="25.5" customHeight="1" x14ac:dyDescent="0.35">
      <c r="A45" s="188"/>
      <c r="B45" s="190"/>
      <c r="C45" s="99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0"/>
      <c r="E45" s="78" t="str">
        <f>IF(C45="","",IFERROR(VLOOKUP(C45,parametros!$A$11:$E$15,5,0),""))</f>
        <v/>
      </c>
      <c r="F45" s="79" t="str">
        <f t="shared" si="0"/>
        <v/>
      </c>
      <c r="G45" s="101"/>
      <c r="H45" s="91">
        <f t="shared" si="1"/>
        <v>0</v>
      </c>
      <c r="I45" s="91" t="str">
        <f t="shared" si="2"/>
        <v/>
      </c>
      <c r="J45" s="91" t="str">
        <f t="shared" si="3"/>
        <v/>
      </c>
      <c r="K45" s="92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2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14"/>
      <c r="U45" s="217" t="str">
        <f t="shared" si="4"/>
        <v/>
      </c>
      <c r="V45" s="215" t="s">
        <v>47</v>
      </c>
      <c r="W45" s="102" t="s">
        <v>136</v>
      </c>
      <c r="X45" s="102" t="s">
        <v>137</v>
      </c>
      <c r="Y45" s="103" t="s">
        <v>138</v>
      </c>
      <c r="Z45" s="103" t="s">
        <v>139</v>
      </c>
      <c r="AA45" s="103" t="s">
        <v>47</v>
      </c>
      <c r="AB45" s="103" t="s">
        <v>140</v>
      </c>
      <c r="AC45" s="104" t="s">
        <v>141</v>
      </c>
    </row>
    <row r="46" spans="1:29" ht="25.5" customHeight="1" x14ac:dyDescent="0.35">
      <c r="A46" s="188"/>
      <c r="B46" s="190"/>
      <c r="C46" s="99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0"/>
      <c r="E46" s="78" t="str">
        <f>IF(C46="","",IFERROR(VLOOKUP(C46,parametros!$A$11:$E$15,5,0),""))</f>
        <v/>
      </c>
      <c r="F46" s="79" t="str">
        <f t="shared" si="0"/>
        <v/>
      </c>
      <c r="G46" s="101"/>
      <c r="H46" s="91">
        <f t="shared" si="1"/>
        <v>0</v>
      </c>
      <c r="I46" s="91" t="str">
        <f t="shared" si="2"/>
        <v/>
      </c>
      <c r="J46" s="91" t="str">
        <f t="shared" si="3"/>
        <v/>
      </c>
      <c r="K46" s="92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2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14"/>
      <c r="U46" s="217" t="str">
        <f t="shared" si="4"/>
        <v/>
      </c>
      <c r="V46" s="215" t="s">
        <v>47</v>
      </c>
      <c r="W46" s="102" t="s">
        <v>136</v>
      </c>
      <c r="X46" s="102" t="s">
        <v>137</v>
      </c>
      <c r="Y46" s="103" t="s">
        <v>138</v>
      </c>
      <c r="Z46" s="103" t="s">
        <v>139</v>
      </c>
      <c r="AA46" s="103" t="s">
        <v>47</v>
      </c>
      <c r="AB46" s="103" t="s">
        <v>140</v>
      </c>
      <c r="AC46" s="104" t="s">
        <v>141</v>
      </c>
    </row>
    <row r="47" spans="1:29" ht="25.5" customHeight="1" x14ac:dyDescent="0.35">
      <c r="A47" s="188"/>
      <c r="B47" s="190"/>
      <c r="C47" s="99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0"/>
      <c r="E47" s="78" t="str">
        <f>IF(C47="","",IFERROR(VLOOKUP(C47,parametros!$A$11:$E$15,5,0),""))</f>
        <v/>
      </c>
      <c r="F47" s="79" t="str">
        <f t="shared" si="0"/>
        <v/>
      </c>
      <c r="G47" s="101"/>
      <c r="H47" s="91">
        <f t="shared" si="1"/>
        <v>0</v>
      </c>
      <c r="I47" s="91" t="str">
        <f t="shared" si="2"/>
        <v/>
      </c>
      <c r="J47" s="91" t="str">
        <f t="shared" si="3"/>
        <v/>
      </c>
      <c r="K47" s="92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2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14"/>
      <c r="U47" s="217" t="str">
        <f t="shared" si="4"/>
        <v/>
      </c>
      <c r="V47" s="215" t="s">
        <v>47</v>
      </c>
      <c r="W47" s="102" t="s">
        <v>136</v>
      </c>
      <c r="X47" s="102" t="s">
        <v>137</v>
      </c>
      <c r="Y47" s="103" t="s">
        <v>138</v>
      </c>
      <c r="Z47" s="103" t="s">
        <v>139</v>
      </c>
      <c r="AA47" s="103" t="s">
        <v>47</v>
      </c>
      <c r="AB47" s="103" t="s">
        <v>140</v>
      </c>
      <c r="AC47" s="104" t="s">
        <v>141</v>
      </c>
    </row>
    <row r="48" spans="1:29" ht="25.5" customHeight="1" x14ac:dyDescent="0.35">
      <c r="A48" s="188"/>
      <c r="B48" s="190"/>
      <c r="C48" s="99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0"/>
      <c r="E48" s="78" t="str">
        <f>IF(C48="","",IFERROR(VLOOKUP(C48,parametros!$A$11:$E$15,5,0),""))</f>
        <v/>
      </c>
      <c r="F48" s="79" t="str">
        <f t="shared" si="0"/>
        <v/>
      </c>
      <c r="G48" s="101"/>
      <c r="H48" s="91">
        <f t="shared" si="1"/>
        <v>0</v>
      </c>
      <c r="I48" s="91" t="str">
        <f t="shared" si="2"/>
        <v/>
      </c>
      <c r="J48" s="91" t="str">
        <f t="shared" si="3"/>
        <v/>
      </c>
      <c r="K48" s="92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2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14"/>
      <c r="U48" s="217" t="str">
        <f t="shared" si="4"/>
        <v/>
      </c>
      <c r="V48" s="215" t="s">
        <v>47</v>
      </c>
      <c r="W48" s="102" t="s">
        <v>136</v>
      </c>
      <c r="X48" s="102" t="s">
        <v>137</v>
      </c>
      <c r="Y48" s="103" t="s">
        <v>138</v>
      </c>
      <c r="Z48" s="103" t="s">
        <v>139</v>
      </c>
      <c r="AA48" s="103" t="s">
        <v>47</v>
      </c>
      <c r="AB48" s="103" t="s">
        <v>140</v>
      </c>
      <c r="AC48" s="104" t="s">
        <v>141</v>
      </c>
    </row>
    <row r="49" spans="1:29" ht="25.5" customHeight="1" x14ac:dyDescent="0.35">
      <c r="A49" s="188"/>
      <c r="B49" s="190"/>
      <c r="C49" s="99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0"/>
      <c r="E49" s="78" t="str">
        <f>IF(C49="","",IFERROR(VLOOKUP(C49,parametros!$A$11:$E$15,5,0),""))</f>
        <v/>
      </c>
      <c r="F49" s="79" t="str">
        <f t="shared" si="0"/>
        <v/>
      </c>
      <c r="G49" s="101"/>
      <c r="H49" s="91">
        <f t="shared" si="1"/>
        <v>0</v>
      </c>
      <c r="I49" s="91" t="str">
        <f t="shared" si="2"/>
        <v/>
      </c>
      <c r="J49" s="91" t="str">
        <f t="shared" si="3"/>
        <v/>
      </c>
      <c r="K49" s="92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2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14"/>
      <c r="U49" s="217" t="str">
        <f t="shared" si="4"/>
        <v/>
      </c>
      <c r="V49" s="215" t="s">
        <v>47</v>
      </c>
      <c r="W49" s="102" t="s">
        <v>136</v>
      </c>
      <c r="X49" s="102" t="s">
        <v>137</v>
      </c>
      <c r="Y49" s="103" t="s">
        <v>138</v>
      </c>
      <c r="Z49" s="103" t="s">
        <v>139</v>
      </c>
      <c r="AA49" s="103" t="s">
        <v>47</v>
      </c>
      <c r="AB49" s="103" t="s">
        <v>140</v>
      </c>
      <c r="AC49" s="104" t="s">
        <v>141</v>
      </c>
    </row>
    <row r="50" spans="1:29" ht="25.5" customHeight="1" x14ac:dyDescent="0.35">
      <c r="A50" s="188"/>
      <c r="B50" s="190"/>
      <c r="C50" s="99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0"/>
      <c r="E50" s="78" t="str">
        <f>IF(C50="","",IFERROR(VLOOKUP(C50,parametros!$A$11:$E$15,5,0),""))</f>
        <v/>
      </c>
      <c r="F50" s="79" t="str">
        <f t="shared" si="0"/>
        <v/>
      </c>
      <c r="G50" s="101"/>
      <c r="H50" s="91">
        <f t="shared" si="1"/>
        <v>0</v>
      </c>
      <c r="I50" s="91" t="str">
        <f t="shared" si="2"/>
        <v/>
      </c>
      <c r="J50" s="91" t="str">
        <f t="shared" si="3"/>
        <v/>
      </c>
      <c r="K50" s="92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2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14"/>
      <c r="U50" s="217" t="str">
        <f t="shared" si="4"/>
        <v/>
      </c>
      <c r="V50" s="215" t="s">
        <v>47</v>
      </c>
      <c r="W50" s="102" t="s">
        <v>136</v>
      </c>
      <c r="X50" s="102" t="s">
        <v>137</v>
      </c>
      <c r="Y50" s="103" t="s">
        <v>138</v>
      </c>
      <c r="Z50" s="103" t="s">
        <v>139</v>
      </c>
      <c r="AA50" s="103" t="s">
        <v>47</v>
      </c>
      <c r="AB50" s="103" t="s">
        <v>140</v>
      </c>
      <c r="AC50" s="104" t="s">
        <v>141</v>
      </c>
    </row>
    <row r="51" spans="1:29" ht="25.5" customHeight="1" x14ac:dyDescent="0.35">
      <c r="A51" s="188"/>
      <c r="B51" s="190"/>
      <c r="C51" s="99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0"/>
      <c r="E51" s="78" t="str">
        <f>IF(C51="","",IFERROR(VLOOKUP(C51,parametros!$A$11:$E$15,5,0),""))</f>
        <v/>
      </c>
      <c r="F51" s="79" t="str">
        <f t="shared" si="0"/>
        <v/>
      </c>
      <c r="G51" s="101"/>
      <c r="H51" s="91">
        <f t="shared" si="1"/>
        <v>0</v>
      </c>
      <c r="I51" s="91" t="str">
        <f t="shared" si="2"/>
        <v/>
      </c>
      <c r="J51" s="91" t="str">
        <f t="shared" si="3"/>
        <v/>
      </c>
      <c r="K51" s="92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2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14"/>
      <c r="U51" s="217" t="str">
        <f t="shared" si="4"/>
        <v/>
      </c>
      <c r="V51" s="215" t="s">
        <v>47</v>
      </c>
      <c r="W51" s="102" t="s">
        <v>136</v>
      </c>
      <c r="X51" s="102" t="s">
        <v>137</v>
      </c>
      <c r="Y51" s="103" t="s">
        <v>138</v>
      </c>
      <c r="Z51" s="103" t="s">
        <v>139</v>
      </c>
      <c r="AA51" s="103" t="s">
        <v>47</v>
      </c>
      <c r="AB51" s="103" t="s">
        <v>140</v>
      </c>
      <c r="AC51" s="104" t="s">
        <v>141</v>
      </c>
    </row>
    <row r="52" spans="1:29" ht="25.5" customHeight="1" x14ac:dyDescent="0.35">
      <c r="A52" s="188"/>
      <c r="B52" s="190"/>
      <c r="C52" s="99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0"/>
      <c r="E52" s="78" t="str">
        <f>IF(C52="","",IFERROR(VLOOKUP(C52,parametros!$A$11:$E$15,5,0),""))</f>
        <v/>
      </c>
      <c r="F52" s="79" t="str">
        <f t="shared" si="0"/>
        <v/>
      </c>
      <c r="G52" s="101"/>
      <c r="H52" s="91">
        <f t="shared" si="1"/>
        <v>0</v>
      </c>
      <c r="I52" s="91" t="str">
        <f t="shared" si="2"/>
        <v/>
      </c>
      <c r="J52" s="91" t="str">
        <f t="shared" si="3"/>
        <v/>
      </c>
      <c r="K52" s="92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2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14"/>
      <c r="U52" s="217" t="str">
        <f t="shared" si="4"/>
        <v/>
      </c>
      <c r="V52" s="215" t="s">
        <v>47</v>
      </c>
      <c r="W52" s="102" t="s">
        <v>136</v>
      </c>
      <c r="X52" s="102" t="s">
        <v>137</v>
      </c>
      <c r="Y52" s="103" t="s">
        <v>138</v>
      </c>
      <c r="Z52" s="103" t="s">
        <v>139</v>
      </c>
      <c r="AA52" s="103" t="s">
        <v>47</v>
      </c>
      <c r="AB52" s="103" t="s">
        <v>140</v>
      </c>
      <c r="AC52" s="104" t="s">
        <v>141</v>
      </c>
    </row>
    <row r="53" spans="1:29" ht="25.5" customHeight="1" x14ac:dyDescent="0.35">
      <c r="A53" s="188"/>
      <c r="B53" s="190"/>
      <c r="C53" s="99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0"/>
      <c r="E53" s="78" t="str">
        <f>IF(C53="","",IFERROR(VLOOKUP(C53,parametros!$A$11:$E$15,5,0),""))</f>
        <v/>
      </c>
      <c r="F53" s="79" t="str">
        <f t="shared" si="0"/>
        <v/>
      </c>
      <c r="G53" s="101"/>
      <c r="H53" s="91">
        <f t="shared" si="1"/>
        <v>0</v>
      </c>
      <c r="I53" s="91" t="str">
        <f t="shared" si="2"/>
        <v/>
      </c>
      <c r="J53" s="91" t="str">
        <f t="shared" si="3"/>
        <v/>
      </c>
      <c r="K53" s="92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2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14"/>
      <c r="U53" s="217" t="str">
        <f t="shared" si="4"/>
        <v/>
      </c>
      <c r="V53" s="215" t="s">
        <v>47</v>
      </c>
      <c r="W53" s="102" t="s">
        <v>136</v>
      </c>
      <c r="X53" s="102" t="s">
        <v>137</v>
      </c>
      <c r="Y53" s="103" t="s">
        <v>138</v>
      </c>
      <c r="Z53" s="103" t="s">
        <v>139</v>
      </c>
      <c r="AA53" s="103" t="s">
        <v>47</v>
      </c>
      <c r="AB53" s="103" t="s">
        <v>140</v>
      </c>
      <c r="AC53" s="104" t="s">
        <v>141</v>
      </c>
    </row>
    <row r="54" spans="1:29" ht="25.5" customHeight="1" x14ac:dyDescent="0.35">
      <c r="A54" s="188"/>
      <c r="B54" s="190"/>
      <c r="C54" s="99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0"/>
      <c r="E54" s="78" t="str">
        <f>IF(C54="","",IFERROR(VLOOKUP(C54,parametros!$A$11:$E$15,5,0),""))</f>
        <v/>
      </c>
      <c r="F54" s="79" t="str">
        <f t="shared" si="0"/>
        <v/>
      </c>
      <c r="G54" s="101"/>
      <c r="H54" s="91">
        <f t="shared" si="1"/>
        <v>0</v>
      </c>
      <c r="I54" s="91" t="str">
        <f t="shared" si="2"/>
        <v/>
      </c>
      <c r="J54" s="91" t="str">
        <f t="shared" si="3"/>
        <v/>
      </c>
      <c r="K54" s="92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2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14"/>
      <c r="U54" s="217" t="str">
        <f t="shared" si="4"/>
        <v/>
      </c>
      <c r="V54" s="215" t="s">
        <v>47</v>
      </c>
      <c r="W54" s="102" t="s">
        <v>136</v>
      </c>
      <c r="X54" s="102" t="s">
        <v>137</v>
      </c>
      <c r="Y54" s="103" t="s">
        <v>138</v>
      </c>
      <c r="Z54" s="103" t="s">
        <v>139</v>
      </c>
      <c r="AA54" s="103" t="s">
        <v>47</v>
      </c>
      <c r="AB54" s="103" t="s">
        <v>140</v>
      </c>
      <c r="AC54" s="104" t="s">
        <v>141</v>
      </c>
    </row>
    <row r="55" spans="1:29" ht="25.5" customHeight="1" x14ac:dyDescent="0.35">
      <c r="A55" s="188"/>
      <c r="B55" s="190"/>
      <c r="C55" s="99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0"/>
      <c r="E55" s="78" t="str">
        <f>IF(C55="","",IFERROR(VLOOKUP(C55,parametros!$A$11:$E$15,5,0),""))</f>
        <v/>
      </c>
      <c r="F55" s="79" t="str">
        <f t="shared" si="0"/>
        <v/>
      </c>
      <c r="G55" s="101"/>
      <c r="H55" s="91">
        <f t="shared" si="1"/>
        <v>0</v>
      </c>
      <c r="I55" s="91" t="str">
        <f t="shared" si="2"/>
        <v/>
      </c>
      <c r="J55" s="91" t="str">
        <f t="shared" si="3"/>
        <v/>
      </c>
      <c r="K55" s="92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2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14"/>
      <c r="U55" s="217" t="str">
        <f t="shared" si="4"/>
        <v/>
      </c>
      <c r="V55" s="215" t="s">
        <v>47</v>
      </c>
      <c r="W55" s="102" t="s">
        <v>136</v>
      </c>
      <c r="X55" s="102" t="s">
        <v>137</v>
      </c>
      <c r="Y55" s="103" t="s">
        <v>138</v>
      </c>
      <c r="Z55" s="103" t="s">
        <v>139</v>
      </c>
      <c r="AA55" s="103" t="s">
        <v>47</v>
      </c>
      <c r="AB55" s="103" t="s">
        <v>140</v>
      </c>
      <c r="AC55" s="104" t="s">
        <v>141</v>
      </c>
    </row>
    <row r="56" spans="1:29" ht="25.5" customHeight="1" x14ac:dyDescent="0.35">
      <c r="A56" s="188"/>
      <c r="B56" s="190"/>
      <c r="C56" s="99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0"/>
      <c r="E56" s="78" t="str">
        <f>IF(C56="","",IFERROR(VLOOKUP(C56,parametros!$A$11:$E$15,5,0),""))</f>
        <v/>
      </c>
      <c r="F56" s="79" t="str">
        <f t="shared" si="0"/>
        <v/>
      </c>
      <c r="G56" s="101"/>
      <c r="H56" s="91">
        <f t="shared" si="1"/>
        <v>0</v>
      </c>
      <c r="I56" s="91" t="str">
        <f t="shared" si="2"/>
        <v/>
      </c>
      <c r="J56" s="91" t="str">
        <f t="shared" si="3"/>
        <v/>
      </c>
      <c r="K56" s="92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2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14"/>
      <c r="U56" s="217" t="str">
        <f t="shared" si="4"/>
        <v/>
      </c>
      <c r="V56" s="215" t="s">
        <v>47</v>
      </c>
      <c r="W56" s="102" t="s">
        <v>136</v>
      </c>
      <c r="X56" s="102" t="s">
        <v>137</v>
      </c>
      <c r="Y56" s="103" t="s">
        <v>138</v>
      </c>
      <c r="Z56" s="103" t="s">
        <v>139</v>
      </c>
      <c r="AA56" s="103" t="s">
        <v>47</v>
      </c>
      <c r="AB56" s="103" t="s">
        <v>140</v>
      </c>
      <c r="AC56" s="104" t="s">
        <v>141</v>
      </c>
    </row>
    <row r="57" spans="1:29" ht="25.5" customHeight="1" x14ac:dyDescent="0.35">
      <c r="A57" s="188"/>
      <c r="B57" s="190"/>
      <c r="C57" s="99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0"/>
      <c r="E57" s="78" t="str">
        <f>IF(C57="","",IFERROR(VLOOKUP(C57,parametros!$A$11:$E$15,5,0),""))</f>
        <v/>
      </c>
      <c r="F57" s="79" t="str">
        <f t="shared" si="0"/>
        <v/>
      </c>
      <c r="G57" s="101"/>
      <c r="H57" s="91">
        <f t="shared" si="1"/>
        <v>0</v>
      </c>
      <c r="I57" s="91" t="str">
        <f t="shared" si="2"/>
        <v/>
      </c>
      <c r="J57" s="91" t="str">
        <f t="shared" si="3"/>
        <v/>
      </c>
      <c r="K57" s="92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2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14"/>
      <c r="U57" s="217" t="str">
        <f t="shared" si="4"/>
        <v/>
      </c>
      <c r="V57" s="215" t="s">
        <v>47</v>
      </c>
      <c r="W57" s="102" t="s">
        <v>136</v>
      </c>
      <c r="X57" s="102" t="s">
        <v>137</v>
      </c>
      <c r="Y57" s="103" t="s">
        <v>138</v>
      </c>
      <c r="Z57" s="103" t="s">
        <v>139</v>
      </c>
      <c r="AA57" s="103" t="s">
        <v>47</v>
      </c>
      <c r="AB57" s="103" t="s">
        <v>140</v>
      </c>
      <c r="AC57" s="104" t="s">
        <v>141</v>
      </c>
    </row>
    <row r="58" spans="1:29" ht="25.5" customHeight="1" x14ac:dyDescent="0.35">
      <c r="A58" s="188"/>
      <c r="B58" s="190"/>
      <c r="C58" s="99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0"/>
      <c r="E58" s="78" t="str">
        <f>IF(C58="","",IFERROR(VLOOKUP(C58,parametros!$A$11:$E$15,5,0),""))</f>
        <v/>
      </c>
      <c r="F58" s="79" t="str">
        <f t="shared" si="0"/>
        <v/>
      </c>
      <c r="G58" s="101"/>
      <c r="H58" s="91">
        <f t="shared" si="1"/>
        <v>0</v>
      </c>
      <c r="I58" s="91" t="str">
        <f t="shared" si="2"/>
        <v/>
      </c>
      <c r="J58" s="91" t="str">
        <f t="shared" si="3"/>
        <v/>
      </c>
      <c r="K58" s="92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2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14"/>
      <c r="U58" s="217" t="str">
        <f t="shared" si="4"/>
        <v/>
      </c>
      <c r="V58" s="215" t="s">
        <v>47</v>
      </c>
      <c r="W58" s="102" t="s">
        <v>136</v>
      </c>
      <c r="X58" s="102" t="s">
        <v>137</v>
      </c>
      <c r="Y58" s="103" t="s">
        <v>138</v>
      </c>
      <c r="Z58" s="103" t="s">
        <v>139</v>
      </c>
      <c r="AA58" s="103" t="s">
        <v>47</v>
      </c>
      <c r="AB58" s="103" t="s">
        <v>140</v>
      </c>
      <c r="AC58" s="104" t="s">
        <v>141</v>
      </c>
    </row>
    <row r="59" spans="1:29" ht="25.5" customHeight="1" x14ac:dyDescent="0.35">
      <c r="A59" s="188"/>
      <c r="B59" s="190"/>
      <c r="C59" s="99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0"/>
      <c r="E59" s="78" t="str">
        <f>IF(C59="","",IFERROR(VLOOKUP(C59,parametros!$A$11:$E$15,5,0),""))</f>
        <v/>
      </c>
      <c r="F59" s="79" t="str">
        <f t="shared" si="0"/>
        <v/>
      </c>
      <c r="G59" s="101"/>
      <c r="H59" s="91">
        <f t="shared" si="1"/>
        <v>0</v>
      </c>
      <c r="I59" s="91" t="str">
        <f t="shared" si="2"/>
        <v/>
      </c>
      <c r="J59" s="91" t="str">
        <f t="shared" si="3"/>
        <v/>
      </c>
      <c r="K59" s="92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2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14"/>
      <c r="U59" s="217" t="str">
        <f t="shared" si="4"/>
        <v/>
      </c>
      <c r="V59" s="215" t="s">
        <v>47</v>
      </c>
      <c r="W59" s="102" t="s">
        <v>136</v>
      </c>
      <c r="X59" s="102" t="s">
        <v>137</v>
      </c>
      <c r="Y59" s="103" t="s">
        <v>138</v>
      </c>
      <c r="Z59" s="103" t="s">
        <v>139</v>
      </c>
      <c r="AA59" s="103" t="s">
        <v>47</v>
      </c>
      <c r="AB59" s="103" t="s">
        <v>140</v>
      </c>
      <c r="AC59" s="104" t="s">
        <v>141</v>
      </c>
    </row>
    <row r="60" spans="1:29" ht="25.5" customHeight="1" x14ac:dyDescent="0.35">
      <c r="A60" s="188"/>
      <c r="B60" s="190"/>
      <c r="C60" s="99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0"/>
      <c r="E60" s="78" t="str">
        <f>IF(C60="","",IFERROR(VLOOKUP(C60,parametros!$A$11:$E$15,5,0),""))</f>
        <v/>
      </c>
      <c r="F60" s="79" t="str">
        <f t="shared" si="0"/>
        <v/>
      </c>
      <c r="G60" s="101"/>
      <c r="H60" s="91">
        <f t="shared" si="1"/>
        <v>0</v>
      </c>
      <c r="I60" s="91" t="str">
        <f t="shared" si="2"/>
        <v/>
      </c>
      <c r="J60" s="91" t="str">
        <f t="shared" si="3"/>
        <v/>
      </c>
      <c r="K60" s="92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2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14"/>
      <c r="U60" s="217" t="str">
        <f t="shared" si="4"/>
        <v/>
      </c>
      <c r="V60" s="215" t="s">
        <v>47</v>
      </c>
      <c r="W60" s="102" t="s">
        <v>136</v>
      </c>
      <c r="X60" s="102" t="s">
        <v>137</v>
      </c>
      <c r="Y60" s="103" t="s">
        <v>138</v>
      </c>
      <c r="Z60" s="103" t="s">
        <v>139</v>
      </c>
      <c r="AA60" s="103" t="s">
        <v>47</v>
      </c>
      <c r="AB60" s="103" t="s">
        <v>140</v>
      </c>
      <c r="AC60" s="104" t="s">
        <v>141</v>
      </c>
    </row>
    <row r="61" spans="1:29" ht="25.5" customHeight="1" x14ac:dyDescent="0.35">
      <c r="A61" s="188"/>
      <c r="B61" s="190"/>
      <c r="C61" s="99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0"/>
      <c r="E61" s="78" t="str">
        <f>IF(C61="","",IFERROR(VLOOKUP(C61,parametros!$A$11:$E$15,5,0),""))</f>
        <v/>
      </c>
      <c r="F61" s="79" t="str">
        <f t="shared" si="0"/>
        <v/>
      </c>
      <c r="G61" s="101"/>
      <c r="H61" s="91">
        <f t="shared" si="1"/>
        <v>0</v>
      </c>
      <c r="I61" s="91" t="str">
        <f t="shared" si="2"/>
        <v/>
      </c>
      <c r="J61" s="91" t="str">
        <f t="shared" si="3"/>
        <v/>
      </c>
      <c r="K61" s="92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2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14"/>
      <c r="U61" s="217" t="str">
        <f t="shared" si="4"/>
        <v/>
      </c>
      <c r="V61" s="215" t="s">
        <v>47</v>
      </c>
      <c r="W61" s="102" t="s">
        <v>136</v>
      </c>
      <c r="X61" s="102" t="s">
        <v>137</v>
      </c>
      <c r="Y61" s="103" t="s">
        <v>138</v>
      </c>
      <c r="Z61" s="103" t="s">
        <v>139</v>
      </c>
      <c r="AA61" s="103" t="s">
        <v>47</v>
      </c>
      <c r="AB61" s="103" t="s">
        <v>140</v>
      </c>
      <c r="AC61" s="104" t="s">
        <v>141</v>
      </c>
    </row>
    <row r="62" spans="1:29" ht="25.5" customHeight="1" x14ac:dyDescent="0.35">
      <c r="A62" s="188"/>
      <c r="B62" s="190"/>
      <c r="C62" s="99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0"/>
      <c r="E62" s="78" t="str">
        <f>IF(C62="","",IFERROR(VLOOKUP(C62,parametros!$A$11:$E$15,5,0),""))</f>
        <v/>
      </c>
      <c r="F62" s="79" t="str">
        <f t="shared" si="0"/>
        <v/>
      </c>
      <c r="G62" s="101"/>
      <c r="H62" s="91">
        <f t="shared" si="1"/>
        <v>0</v>
      </c>
      <c r="I62" s="91" t="str">
        <f t="shared" si="2"/>
        <v/>
      </c>
      <c r="J62" s="91" t="str">
        <f t="shared" si="3"/>
        <v/>
      </c>
      <c r="K62" s="92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2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14"/>
      <c r="U62" s="217" t="str">
        <f t="shared" si="4"/>
        <v/>
      </c>
      <c r="V62" s="215" t="s">
        <v>47</v>
      </c>
      <c r="W62" s="102" t="s">
        <v>136</v>
      </c>
      <c r="X62" s="102" t="s">
        <v>137</v>
      </c>
      <c r="Y62" s="103" t="s">
        <v>138</v>
      </c>
      <c r="Z62" s="103" t="s">
        <v>139</v>
      </c>
      <c r="AA62" s="103" t="s">
        <v>47</v>
      </c>
      <c r="AB62" s="103" t="s">
        <v>140</v>
      </c>
      <c r="AC62" s="104" t="s">
        <v>141</v>
      </c>
    </row>
    <row r="63" spans="1:29" ht="25.5" customHeight="1" x14ac:dyDescent="0.35">
      <c r="A63" s="188"/>
      <c r="B63" s="190"/>
      <c r="C63" s="99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0"/>
      <c r="E63" s="78" t="str">
        <f>IF(C63="","",IFERROR(VLOOKUP(C63,parametros!$A$11:$E$15,5,0),""))</f>
        <v/>
      </c>
      <c r="F63" s="79" t="str">
        <f t="shared" si="0"/>
        <v/>
      </c>
      <c r="G63" s="101"/>
      <c r="H63" s="91">
        <f t="shared" si="1"/>
        <v>0</v>
      </c>
      <c r="I63" s="91" t="str">
        <f t="shared" si="2"/>
        <v/>
      </c>
      <c r="J63" s="91" t="str">
        <f t="shared" si="3"/>
        <v/>
      </c>
      <c r="K63" s="92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2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14"/>
      <c r="U63" s="217" t="str">
        <f t="shared" si="4"/>
        <v/>
      </c>
      <c r="V63" s="215" t="s">
        <v>47</v>
      </c>
      <c r="W63" s="102" t="s">
        <v>136</v>
      </c>
      <c r="X63" s="102" t="s">
        <v>137</v>
      </c>
      <c r="Y63" s="103" t="s">
        <v>138</v>
      </c>
      <c r="Z63" s="103" t="s">
        <v>139</v>
      </c>
      <c r="AA63" s="103" t="s">
        <v>47</v>
      </c>
      <c r="AB63" s="103" t="s">
        <v>140</v>
      </c>
      <c r="AC63" s="104" t="s">
        <v>141</v>
      </c>
    </row>
    <row r="64" spans="1:29" ht="25.5" customHeight="1" x14ac:dyDescent="0.35">
      <c r="A64" s="188"/>
      <c r="B64" s="190"/>
      <c r="C64" s="99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0"/>
      <c r="E64" s="78" t="str">
        <f>IF(C64="","",IFERROR(VLOOKUP(C64,parametros!$A$11:$E$15,5,0),""))</f>
        <v/>
      </c>
      <c r="F64" s="79" t="str">
        <f t="shared" si="0"/>
        <v/>
      </c>
      <c r="G64" s="101"/>
      <c r="H64" s="91">
        <f t="shared" si="1"/>
        <v>0</v>
      </c>
      <c r="I64" s="91" t="str">
        <f t="shared" si="2"/>
        <v/>
      </c>
      <c r="J64" s="91" t="str">
        <f t="shared" si="3"/>
        <v/>
      </c>
      <c r="K64" s="92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2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14"/>
      <c r="U64" s="217" t="str">
        <f t="shared" si="4"/>
        <v/>
      </c>
      <c r="V64" s="215" t="s">
        <v>47</v>
      </c>
      <c r="W64" s="102" t="s">
        <v>136</v>
      </c>
      <c r="X64" s="102" t="s">
        <v>137</v>
      </c>
      <c r="Y64" s="103" t="s">
        <v>138</v>
      </c>
      <c r="Z64" s="103" t="s">
        <v>139</v>
      </c>
      <c r="AA64" s="103" t="s">
        <v>47</v>
      </c>
      <c r="AB64" s="103" t="s">
        <v>140</v>
      </c>
      <c r="AC64" s="104" t="s">
        <v>141</v>
      </c>
    </row>
    <row r="65" spans="1:29" ht="25.5" customHeight="1" x14ac:dyDescent="0.35">
      <c r="A65" s="188"/>
      <c r="B65" s="190"/>
      <c r="C65" s="99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0"/>
      <c r="E65" s="78" t="str">
        <f>IF(C65="","",IFERROR(VLOOKUP(C65,parametros!$A$11:$E$15,5,0),""))</f>
        <v/>
      </c>
      <c r="F65" s="79" t="str">
        <f t="shared" si="0"/>
        <v/>
      </c>
      <c r="G65" s="101"/>
      <c r="H65" s="91">
        <f t="shared" si="1"/>
        <v>0</v>
      </c>
      <c r="I65" s="91" t="str">
        <f t="shared" si="2"/>
        <v/>
      </c>
      <c r="J65" s="91" t="str">
        <f t="shared" si="3"/>
        <v/>
      </c>
      <c r="K65" s="92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2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14"/>
      <c r="U65" s="217" t="str">
        <f t="shared" si="4"/>
        <v/>
      </c>
      <c r="V65" s="215" t="s">
        <v>47</v>
      </c>
      <c r="W65" s="102" t="s">
        <v>136</v>
      </c>
      <c r="X65" s="102" t="s">
        <v>137</v>
      </c>
      <c r="Y65" s="103" t="s">
        <v>138</v>
      </c>
      <c r="Z65" s="103" t="s">
        <v>139</v>
      </c>
      <c r="AA65" s="103" t="s">
        <v>47</v>
      </c>
      <c r="AB65" s="103" t="s">
        <v>140</v>
      </c>
      <c r="AC65" s="104" t="s">
        <v>141</v>
      </c>
    </row>
    <row r="66" spans="1:29" ht="25.5" customHeight="1" x14ac:dyDescent="0.35">
      <c r="A66" s="188"/>
      <c r="B66" s="190"/>
      <c r="C66" s="99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0"/>
      <c r="E66" s="78" t="str">
        <f>IF(C66="","",IFERROR(VLOOKUP(C66,parametros!$A$11:$E$15,5,0),""))</f>
        <v/>
      </c>
      <c r="F66" s="79" t="str">
        <f t="shared" ref="F66:F129" si="7">IF(OR(D66="",E66=""),"",ROUND(D66*E66,2))</f>
        <v/>
      </c>
      <c r="G66" s="101"/>
      <c r="H66" s="91">
        <f t="shared" ref="H66:H129" si="8">IF(G66="Sim",IF(OR(F66="",D66="",L66=""),"",IF(L66="Sim",ROUND(F66-D66,2),0)),0)</f>
        <v>0</v>
      </c>
      <c r="I66" s="91" t="str">
        <f t="shared" ref="I66:I129" si="9">IF(G66="Sim",0,IF(OR(F66="",L66=""),"",F66))</f>
        <v/>
      </c>
      <c r="J66" s="91" t="str">
        <f t="shared" ref="J66:J129" si="10">IF(G66="Sim",0,IF(OR(F66="",D66="",L66=""),"",IF(L66="Sim",ROUND(F66-D66,2),0)))</f>
        <v/>
      </c>
      <c r="K66" s="92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2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14"/>
      <c r="U66" s="217" t="str">
        <f t="shared" ref="U66:U129" si="11">IF(OR($D66="",$H66=""),"",ROUND($D66+$H66,2))</f>
        <v/>
      </c>
      <c r="V66" s="215" t="s">
        <v>47</v>
      </c>
      <c r="W66" s="102" t="s">
        <v>136</v>
      </c>
      <c r="X66" s="102" t="s">
        <v>137</v>
      </c>
      <c r="Y66" s="103" t="s">
        <v>138</v>
      </c>
      <c r="Z66" s="103" t="s">
        <v>139</v>
      </c>
      <c r="AA66" s="103" t="s">
        <v>47</v>
      </c>
      <c r="AB66" s="103" t="s">
        <v>140</v>
      </c>
      <c r="AC66" s="104" t="s">
        <v>141</v>
      </c>
    </row>
    <row r="67" spans="1:29" ht="25.5" customHeight="1" x14ac:dyDescent="0.35">
      <c r="A67" s="188"/>
      <c r="B67" s="190"/>
      <c r="C67" s="99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0"/>
      <c r="E67" s="78" t="str">
        <f>IF(C67="","",IFERROR(VLOOKUP(C67,parametros!$A$11:$E$15,5,0),""))</f>
        <v/>
      </c>
      <c r="F67" s="79" t="str">
        <f t="shared" si="7"/>
        <v/>
      </c>
      <c r="G67" s="101"/>
      <c r="H67" s="91">
        <f t="shared" si="8"/>
        <v>0</v>
      </c>
      <c r="I67" s="91" t="str">
        <f t="shared" si="9"/>
        <v/>
      </c>
      <c r="J67" s="91" t="str">
        <f t="shared" si="10"/>
        <v/>
      </c>
      <c r="K67" s="92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2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14"/>
      <c r="U67" s="217" t="str">
        <f t="shared" si="11"/>
        <v/>
      </c>
      <c r="V67" s="215" t="s">
        <v>47</v>
      </c>
      <c r="W67" s="102" t="s">
        <v>136</v>
      </c>
      <c r="X67" s="102" t="s">
        <v>137</v>
      </c>
      <c r="Y67" s="103" t="s">
        <v>138</v>
      </c>
      <c r="Z67" s="103" t="s">
        <v>139</v>
      </c>
      <c r="AA67" s="103" t="s">
        <v>47</v>
      </c>
      <c r="AB67" s="103" t="s">
        <v>140</v>
      </c>
      <c r="AC67" s="104" t="s">
        <v>141</v>
      </c>
    </row>
    <row r="68" spans="1:29" ht="25.5" customHeight="1" x14ac:dyDescent="0.35">
      <c r="A68" s="188"/>
      <c r="B68" s="190"/>
      <c r="C68" s="99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0"/>
      <c r="E68" s="78" t="str">
        <f>IF(C68="","",IFERROR(VLOOKUP(C68,parametros!$A$11:$E$15,5,0),""))</f>
        <v/>
      </c>
      <c r="F68" s="79" t="str">
        <f t="shared" si="7"/>
        <v/>
      </c>
      <c r="G68" s="101"/>
      <c r="H68" s="91">
        <f t="shared" si="8"/>
        <v>0</v>
      </c>
      <c r="I68" s="91" t="str">
        <f t="shared" si="9"/>
        <v/>
      </c>
      <c r="J68" s="91" t="str">
        <f t="shared" si="10"/>
        <v/>
      </c>
      <c r="K68" s="92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2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14"/>
      <c r="U68" s="217" t="str">
        <f t="shared" si="11"/>
        <v/>
      </c>
      <c r="V68" s="215" t="s">
        <v>47</v>
      </c>
      <c r="W68" s="102" t="s">
        <v>136</v>
      </c>
      <c r="X68" s="102" t="s">
        <v>137</v>
      </c>
      <c r="Y68" s="103" t="s">
        <v>138</v>
      </c>
      <c r="Z68" s="103" t="s">
        <v>139</v>
      </c>
      <c r="AA68" s="103" t="s">
        <v>47</v>
      </c>
      <c r="AB68" s="103" t="s">
        <v>140</v>
      </c>
      <c r="AC68" s="104" t="s">
        <v>141</v>
      </c>
    </row>
    <row r="69" spans="1:29" ht="25.5" customHeight="1" x14ac:dyDescent="0.35">
      <c r="A69" s="188"/>
      <c r="B69" s="190"/>
      <c r="C69" s="99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0"/>
      <c r="E69" s="78" t="str">
        <f>IF(C69="","",IFERROR(VLOOKUP(C69,parametros!$A$11:$E$15,5,0),""))</f>
        <v/>
      </c>
      <c r="F69" s="79" t="str">
        <f t="shared" si="7"/>
        <v/>
      </c>
      <c r="G69" s="101"/>
      <c r="H69" s="91">
        <f t="shared" si="8"/>
        <v>0</v>
      </c>
      <c r="I69" s="91" t="str">
        <f t="shared" si="9"/>
        <v/>
      </c>
      <c r="J69" s="91" t="str">
        <f t="shared" si="10"/>
        <v/>
      </c>
      <c r="K69" s="92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2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14"/>
      <c r="U69" s="217" t="str">
        <f t="shared" si="11"/>
        <v/>
      </c>
      <c r="V69" s="215" t="s">
        <v>47</v>
      </c>
      <c r="W69" s="102" t="s">
        <v>136</v>
      </c>
      <c r="X69" s="102" t="s">
        <v>137</v>
      </c>
      <c r="Y69" s="103" t="s">
        <v>138</v>
      </c>
      <c r="Z69" s="103" t="s">
        <v>139</v>
      </c>
      <c r="AA69" s="103" t="s">
        <v>47</v>
      </c>
      <c r="AB69" s="103" t="s">
        <v>140</v>
      </c>
      <c r="AC69" s="104" t="s">
        <v>141</v>
      </c>
    </row>
    <row r="70" spans="1:29" ht="25.5" customHeight="1" x14ac:dyDescent="0.35">
      <c r="A70" s="188"/>
      <c r="B70" s="190"/>
      <c r="C70" s="99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0"/>
      <c r="E70" s="78" t="str">
        <f>IF(C70="","",IFERROR(VLOOKUP(C70,parametros!$A$11:$E$15,5,0),""))</f>
        <v/>
      </c>
      <c r="F70" s="79" t="str">
        <f t="shared" si="7"/>
        <v/>
      </c>
      <c r="G70" s="101"/>
      <c r="H70" s="91">
        <f t="shared" si="8"/>
        <v>0</v>
      </c>
      <c r="I70" s="91" t="str">
        <f t="shared" si="9"/>
        <v/>
      </c>
      <c r="J70" s="91" t="str">
        <f t="shared" si="10"/>
        <v/>
      </c>
      <c r="K70" s="92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2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14"/>
      <c r="U70" s="217" t="str">
        <f t="shared" si="11"/>
        <v/>
      </c>
      <c r="V70" s="215" t="s">
        <v>47</v>
      </c>
      <c r="W70" s="102" t="s">
        <v>136</v>
      </c>
      <c r="X70" s="102" t="s">
        <v>137</v>
      </c>
      <c r="Y70" s="103" t="s">
        <v>138</v>
      </c>
      <c r="Z70" s="103" t="s">
        <v>139</v>
      </c>
      <c r="AA70" s="103" t="s">
        <v>47</v>
      </c>
      <c r="AB70" s="103" t="s">
        <v>140</v>
      </c>
      <c r="AC70" s="104" t="s">
        <v>141</v>
      </c>
    </row>
    <row r="71" spans="1:29" ht="25.5" customHeight="1" x14ac:dyDescent="0.35">
      <c r="A71" s="188"/>
      <c r="B71" s="190"/>
      <c r="C71" s="99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0"/>
      <c r="E71" s="78" t="str">
        <f>IF(C71="","",IFERROR(VLOOKUP(C71,parametros!$A$11:$E$15,5,0),""))</f>
        <v/>
      </c>
      <c r="F71" s="79" t="str">
        <f t="shared" si="7"/>
        <v/>
      </c>
      <c r="G71" s="101"/>
      <c r="H71" s="91">
        <f t="shared" si="8"/>
        <v>0</v>
      </c>
      <c r="I71" s="91" t="str">
        <f t="shared" si="9"/>
        <v/>
      </c>
      <c r="J71" s="91" t="str">
        <f t="shared" si="10"/>
        <v/>
      </c>
      <c r="K71" s="92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2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14"/>
      <c r="U71" s="217" t="str">
        <f t="shared" si="11"/>
        <v/>
      </c>
      <c r="V71" s="215" t="s">
        <v>47</v>
      </c>
      <c r="W71" s="102" t="s">
        <v>136</v>
      </c>
      <c r="X71" s="102" t="s">
        <v>137</v>
      </c>
      <c r="Y71" s="103" t="s">
        <v>138</v>
      </c>
      <c r="Z71" s="103" t="s">
        <v>139</v>
      </c>
      <c r="AA71" s="103" t="s">
        <v>47</v>
      </c>
      <c r="AB71" s="103" t="s">
        <v>140</v>
      </c>
      <c r="AC71" s="104" t="s">
        <v>141</v>
      </c>
    </row>
    <row r="72" spans="1:29" ht="25.5" customHeight="1" x14ac:dyDescent="0.35">
      <c r="A72" s="188"/>
      <c r="B72" s="190"/>
      <c r="C72" s="99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0"/>
      <c r="E72" s="78" t="str">
        <f>IF(C72="","",IFERROR(VLOOKUP(C72,parametros!$A$11:$E$15,5,0),""))</f>
        <v/>
      </c>
      <c r="F72" s="79" t="str">
        <f t="shared" si="7"/>
        <v/>
      </c>
      <c r="G72" s="101"/>
      <c r="H72" s="91">
        <f t="shared" si="8"/>
        <v>0</v>
      </c>
      <c r="I72" s="91" t="str">
        <f t="shared" si="9"/>
        <v/>
      </c>
      <c r="J72" s="91" t="str">
        <f t="shared" si="10"/>
        <v/>
      </c>
      <c r="K72" s="92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2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14"/>
      <c r="U72" s="217" t="str">
        <f t="shared" si="11"/>
        <v/>
      </c>
      <c r="V72" s="215" t="s">
        <v>47</v>
      </c>
      <c r="W72" s="102" t="s">
        <v>136</v>
      </c>
      <c r="X72" s="102" t="s">
        <v>137</v>
      </c>
      <c r="Y72" s="103" t="s">
        <v>138</v>
      </c>
      <c r="Z72" s="103" t="s">
        <v>139</v>
      </c>
      <c r="AA72" s="103" t="s">
        <v>47</v>
      </c>
      <c r="AB72" s="103" t="s">
        <v>140</v>
      </c>
      <c r="AC72" s="104" t="s">
        <v>141</v>
      </c>
    </row>
    <row r="73" spans="1:29" ht="25.5" customHeight="1" x14ac:dyDescent="0.35">
      <c r="A73" s="188"/>
      <c r="B73" s="190"/>
      <c r="C73" s="99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0"/>
      <c r="E73" s="78" t="str">
        <f>IF(C73="","",IFERROR(VLOOKUP(C73,parametros!$A$11:$E$15,5,0),""))</f>
        <v/>
      </c>
      <c r="F73" s="79" t="str">
        <f t="shared" si="7"/>
        <v/>
      </c>
      <c r="G73" s="101"/>
      <c r="H73" s="91">
        <f t="shared" si="8"/>
        <v>0</v>
      </c>
      <c r="I73" s="91" t="str">
        <f t="shared" si="9"/>
        <v/>
      </c>
      <c r="J73" s="91" t="str">
        <f t="shared" si="10"/>
        <v/>
      </c>
      <c r="K73" s="92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2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14"/>
      <c r="U73" s="217" t="str">
        <f t="shared" si="11"/>
        <v/>
      </c>
      <c r="V73" s="215" t="s">
        <v>47</v>
      </c>
      <c r="W73" s="102" t="s">
        <v>136</v>
      </c>
      <c r="X73" s="102" t="s">
        <v>137</v>
      </c>
      <c r="Y73" s="103" t="s">
        <v>138</v>
      </c>
      <c r="Z73" s="103" t="s">
        <v>139</v>
      </c>
      <c r="AA73" s="103" t="s">
        <v>47</v>
      </c>
      <c r="AB73" s="103" t="s">
        <v>140</v>
      </c>
      <c r="AC73" s="104" t="s">
        <v>141</v>
      </c>
    </row>
    <row r="74" spans="1:29" ht="25.5" customHeight="1" x14ac:dyDescent="0.35">
      <c r="A74" s="188"/>
      <c r="B74" s="190"/>
      <c r="C74" s="99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0"/>
      <c r="E74" s="78" t="str">
        <f>IF(C74="","",IFERROR(VLOOKUP(C74,parametros!$A$11:$E$15,5,0),""))</f>
        <v/>
      </c>
      <c r="F74" s="79" t="str">
        <f t="shared" si="7"/>
        <v/>
      </c>
      <c r="G74" s="101"/>
      <c r="H74" s="91">
        <f t="shared" si="8"/>
        <v>0</v>
      </c>
      <c r="I74" s="91" t="str">
        <f t="shared" si="9"/>
        <v/>
      </c>
      <c r="J74" s="91" t="str">
        <f t="shared" si="10"/>
        <v/>
      </c>
      <c r="K74" s="92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2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14"/>
      <c r="U74" s="217" t="str">
        <f t="shared" si="11"/>
        <v/>
      </c>
      <c r="V74" s="215" t="s">
        <v>47</v>
      </c>
      <c r="W74" s="102" t="s">
        <v>136</v>
      </c>
      <c r="X74" s="102" t="s">
        <v>137</v>
      </c>
      <c r="Y74" s="103" t="s">
        <v>138</v>
      </c>
      <c r="Z74" s="103" t="s">
        <v>139</v>
      </c>
      <c r="AA74" s="103" t="s">
        <v>47</v>
      </c>
      <c r="AB74" s="103" t="s">
        <v>140</v>
      </c>
      <c r="AC74" s="104" t="s">
        <v>141</v>
      </c>
    </row>
    <row r="75" spans="1:29" ht="25.5" customHeight="1" x14ac:dyDescent="0.35">
      <c r="A75" s="188"/>
      <c r="B75" s="190"/>
      <c r="C75" s="99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0"/>
      <c r="E75" s="78" t="str">
        <f>IF(C75="","",IFERROR(VLOOKUP(C75,parametros!$A$11:$E$15,5,0),""))</f>
        <v/>
      </c>
      <c r="F75" s="79" t="str">
        <f t="shared" si="7"/>
        <v/>
      </c>
      <c r="G75" s="101"/>
      <c r="H75" s="91">
        <f t="shared" si="8"/>
        <v>0</v>
      </c>
      <c r="I75" s="91" t="str">
        <f t="shared" si="9"/>
        <v/>
      </c>
      <c r="J75" s="91" t="str">
        <f t="shared" si="10"/>
        <v/>
      </c>
      <c r="K75" s="92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2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14"/>
      <c r="U75" s="217" t="str">
        <f t="shared" si="11"/>
        <v/>
      </c>
      <c r="V75" s="215" t="s">
        <v>47</v>
      </c>
      <c r="W75" s="102" t="s">
        <v>136</v>
      </c>
      <c r="X75" s="102" t="s">
        <v>137</v>
      </c>
      <c r="Y75" s="103" t="s">
        <v>138</v>
      </c>
      <c r="Z75" s="103" t="s">
        <v>139</v>
      </c>
      <c r="AA75" s="103" t="s">
        <v>47</v>
      </c>
      <c r="AB75" s="103" t="s">
        <v>140</v>
      </c>
      <c r="AC75" s="104" t="s">
        <v>141</v>
      </c>
    </row>
    <row r="76" spans="1:29" ht="25.5" customHeight="1" x14ac:dyDescent="0.35">
      <c r="A76" s="188"/>
      <c r="B76" s="190"/>
      <c r="C76" s="99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0"/>
      <c r="E76" s="78" t="str">
        <f>IF(C76="","",IFERROR(VLOOKUP(C76,parametros!$A$11:$E$15,5,0),""))</f>
        <v/>
      </c>
      <c r="F76" s="79" t="str">
        <f t="shared" si="7"/>
        <v/>
      </c>
      <c r="G76" s="101"/>
      <c r="H76" s="91">
        <f t="shared" si="8"/>
        <v>0</v>
      </c>
      <c r="I76" s="91" t="str">
        <f t="shared" si="9"/>
        <v/>
      </c>
      <c r="J76" s="91" t="str">
        <f t="shared" si="10"/>
        <v/>
      </c>
      <c r="K76" s="92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2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14"/>
      <c r="U76" s="217" t="str">
        <f t="shared" si="11"/>
        <v/>
      </c>
      <c r="V76" s="215" t="s">
        <v>47</v>
      </c>
      <c r="W76" s="102" t="s">
        <v>136</v>
      </c>
      <c r="X76" s="102" t="s">
        <v>137</v>
      </c>
      <c r="Y76" s="103" t="s">
        <v>138</v>
      </c>
      <c r="Z76" s="103" t="s">
        <v>139</v>
      </c>
      <c r="AA76" s="103" t="s">
        <v>47</v>
      </c>
      <c r="AB76" s="103" t="s">
        <v>140</v>
      </c>
      <c r="AC76" s="104" t="s">
        <v>141</v>
      </c>
    </row>
    <row r="77" spans="1:29" ht="25.5" customHeight="1" x14ac:dyDescent="0.35">
      <c r="A77" s="188"/>
      <c r="B77" s="190"/>
      <c r="C77" s="99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0"/>
      <c r="E77" s="78" t="str">
        <f>IF(C77="","",IFERROR(VLOOKUP(C77,parametros!$A$11:$E$15,5,0),""))</f>
        <v/>
      </c>
      <c r="F77" s="79" t="str">
        <f t="shared" si="7"/>
        <v/>
      </c>
      <c r="G77" s="101"/>
      <c r="H77" s="91">
        <f t="shared" si="8"/>
        <v>0</v>
      </c>
      <c r="I77" s="91" t="str">
        <f t="shared" si="9"/>
        <v/>
      </c>
      <c r="J77" s="91" t="str">
        <f t="shared" si="10"/>
        <v/>
      </c>
      <c r="K77" s="92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2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14"/>
      <c r="U77" s="217" t="str">
        <f t="shared" si="11"/>
        <v/>
      </c>
      <c r="V77" s="215" t="s">
        <v>47</v>
      </c>
      <c r="W77" s="102" t="s">
        <v>136</v>
      </c>
      <c r="X77" s="102" t="s">
        <v>137</v>
      </c>
      <c r="Y77" s="103" t="s">
        <v>138</v>
      </c>
      <c r="Z77" s="103" t="s">
        <v>139</v>
      </c>
      <c r="AA77" s="103" t="s">
        <v>47</v>
      </c>
      <c r="AB77" s="103" t="s">
        <v>140</v>
      </c>
      <c r="AC77" s="104" t="s">
        <v>141</v>
      </c>
    </row>
    <row r="78" spans="1:29" ht="25.5" customHeight="1" x14ac:dyDescent="0.35">
      <c r="A78" s="188"/>
      <c r="B78" s="190"/>
      <c r="C78" s="99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0"/>
      <c r="E78" s="78" t="str">
        <f>IF(C78="","",IFERROR(VLOOKUP(C78,parametros!$A$11:$E$15,5,0),""))</f>
        <v/>
      </c>
      <c r="F78" s="79" t="str">
        <f t="shared" si="7"/>
        <v/>
      </c>
      <c r="G78" s="101"/>
      <c r="H78" s="91">
        <f t="shared" si="8"/>
        <v>0</v>
      </c>
      <c r="I78" s="91" t="str">
        <f t="shared" si="9"/>
        <v/>
      </c>
      <c r="J78" s="91" t="str">
        <f t="shared" si="10"/>
        <v/>
      </c>
      <c r="K78" s="92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2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14"/>
      <c r="U78" s="217" t="str">
        <f t="shared" si="11"/>
        <v/>
      </c>
      <c r="V78" s="215" t="s">
        <v>47</v>
      </c>
      <c r="W78" s="102" t="s">
        <v>136</v>
      </c>
      <c r="X78" s="102" t="s">
        <v>137</v>
      </c>
      <c r="Y78" s="103" t="s">
        <v>138</v>
      </c>
      <c r="Z78" s="103" t="s">
        <v>139</v>
      </c>
      <c r="AA78" s="103" t="s">
        <v>47</v>
      </c>
      <c r="AB78" s="103" t="s">
        <v>140</v>
      </c>
      <c r="AC78" s="104" t="s">
        <v>141</v>
      </c>
    </row>
    <row r="79" spans="1:29" ht="25.5" customHeight="1" x14ac:dyDescent="0.35">
      <c r="A79" s="188"/>
      <c r="B79" s="190"/>
      <c r="C79" s="99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0"/>
      <c r="E79" s="78" t="str">
        <f>IF(C79="","",IFERROR(VLOOKUP(C79,parametros!$A$11:$E$15,5,0),""))</f>
        <v/>
      </c>
      <c r="F79" s="79" t="str">
        <f t="shared" si="7"/>
        <v/>
      </c>
      <c r="G79" s="101"/>
      <c r="H79" s="91">
        <f t="shared" si="8"/>
        <v>0</v>
      </c>
      <c r="I79" s="91" t="str">
        <f t="shared" si="9"/>
        <v/>
      </c>
      <c r="J79" s="91" t="str">
        <f t="shared" si="10"/>
        <v/>
      </c>
      <c r="K79" s="92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2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14"/>
      <c r="U79" s="217" t="str">
        <f t="shared" si="11"/>
        <v/>
      </c>
      <c r="V79" s="215" t="s">
        <v>47</v>
      </c>
      <c r="W79" s="102" t="s">
        <v>136</v>
      </c>
      <c r="X79" s="102" t="s">
        <v>137</v>
      </c>
      <c r="Y79" s="103" t="s">
        <v>138</v>
      </c>
      <c r="Z79" s="103" t="s">
        <v>139</v>
      </c>
      <c r="AA79" s="103" t="s">
        <v>47</v>
      </c>
      <c r="AB79" s="103" t="s">
        <v>140</v>
      </c>
      <c r="AC79" s="104" t="s">
        <v>141</v>
      </c>
    </row>
    <row r="80" spans="1:29" ht="25.5" customHeight="1" x14ac:dyDescent="0.35">
      <c r="A80" s="188"/>
      <c r="B80" s="190"/>
      <c r="C80" s="99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0"/>
      <c r="E80" s="78" t="str">
        <f>IF(C80="","",IFERROR(VLOOKUP(C80,parametros!$A$11:$E$15,5,0),""))</f>
        <v/>
      </c>
      <c r="F80" s="79" t="str">
        <f t="shared" si="7"/>
        <v/>
      </c>
      <c r="G80" s="101"/>
      <c r="H80" s="91">
        <f t="shared" si="8"/>
        <v>0</v>
      </c>
      <c r="I80" s="91" t="str">
        <f t="shared" si="9"/>
        <v/>
      </c>
      <c r="J80" s="91" t="str">
        <f t="shared" si="10"/>
        <v/>
      </c>
      <c r="K80" s="92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2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14"/>
      <c r="U80" s="217" t="str">
        <f t="shared" si="11"/>
        <v/>
      </c>
      <c r="V80" s="215" t="s">
        <v>47</v>
      </c>
      <c r="W80" s="102" t="s">
        <v>136</v>
      </c>
      <c r="X80" s="102" t="s">
        <v>137</v>
      </c>
      <c r="Y80" s="103" t="s">
        <v>138</v>
      </c>
      <c r="Z80" s="103" t="s">
        <v>139</v>
      </c>
      <c r="AA80" s="103" t="s">
        <v>47</v>
      </c>
      <c r="AB80" s="103" t="s">
        <v>140</v>
      </c>
      <c r="AC80" s="104" t="s">
        <v>141</v>
      </c>
    </row>
    <row r="81" spans="1:29" ht="25.5" customHeight="1" x14ac:dyDescent="0.35">
      <c r="A81" s="188"/>
      <c r="B81" s="190"/>
      <c r="C81" s="99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0"/>
      <c r="E81" s="78" t="str">
        <f>IF(C81="","",IFERROR(VLOOKUP(C81,parametros!$A$11:$E$15,5,0),""))</f>
        <v/>
      </c>
      <c r="F81" s="79" t="str">
        <f t="shared" si="7"/>
        <v/>
      </c>
      <c r="G81" s="101"/>
      <c r="H81" s="91">
        <f t="shared" si="8"/>
        <v>0</v>
      </c>
      <c r="I81" s="91" t="str">
        <f t="shared" si="9"/>
        <v/>
      </c>
      <c r="J81" s="91" t="str">
        <f t="shared" si="10"/>
        <v/>
      </c>
      <c r="K81" s="92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2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14"/>
      <c r="U81" s="217" t="str">
        <f t="shared" si="11"/>
        <v/>
      </c>
      <c r="V81" s="215" t="s">
        <v>47</v>
      </c>
      <c r="W81" s="102" t="s">
        <v>136</v>
      </c>
      <c r="X81" s="102" t="s">
        <v>137</v>
      </c>
      <c r="Y81" s="103" t="s">
        <v>138</v>
      </c>
      <c r="Z81" s="103" t="s">
        <v>139</v>
      </c>
      <c r="AA81" s="103" t="s">
        <v>47</v>
      </c>
      <c r="AB81" s="103" t="s">
        <v>140</v>
      </c>
      <c r="AC81" s="104" t="s">
        <v>141</v>
      </c>
    </row>
    <row r="82" spans="1:29" ht="25.5" customHeight="1" x14ac:dyDescent="0.35">
      <c r="A82" s="188"/>
      <c r="B82" s="190"/>
      <c r="C82" s="99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0"/>
      <c r="E82" s="78" t="str">
        <f>IF(C82="","",IFERROR(VLOOKUP(C82,parametros!$A$11:$E$15,5,0),""))</f>
        <v/>
      </c>
      <c r="F82" s="79" t="str">
        <f t="shared" si="7"/>
        <v/>
      </c>
      <c r="G82" s="101"/>
      <c r="H82" s="91">
        <f t="shared" si="8"/>
        <v>0</v>
      </c>
      <c r="I82" s="91" t="str">
        <f t="shared" si="9"/>
        <v/>
      </c>
      <c r="J82" s="91" t="str">
        <f t="shared" si="10"/>
        <v/>
      </c>
      <c r="K82" s="92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2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14"/>
      <c r="U82" s="217" t="str">
        <f t="shared" si="11"/>
        <v/>
      </c>
      <c r="V82" s="215" t="s">
        <v>47</v>
      </c>
      <c r="W82" s="102" t="s">
        <v>136</v>
      </c>
      <c r="X82" s="102" t="s">
        <v>137</v>
      </c>
      <c r="Y82" s="103" t="s">
        <v>138</v>
      </c>
      <c r="Z82" s="103" t="s">
        <v>139</v>
      </c>
      <c r="AA82" s="103" t="s">
        <v>47</v>
      </c>
      <c r="AB82" s="103" t="s">
        <v>140</v>
      </c>
      <c r="AC82" s="104" t="s">
        <v>141</v>
      </c>
    </row>
    <row r="83" spans="1:29" ht="25.5" customHeight="1" x14ac:dyDescent="0.35">
      <c r="A83" s="188"/>
      <c r="B83" s="190"/>
      <c r="C83" s="99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0"/>
      <c r="E83" s="78" t="str">
        <f>IF(C83="","",IFERROR(VLOOKUP(C83,parametros!$A$11:$E$15,5,0),""))</f>
        <v/>
      </c>
      <c r="F83" s="79" t="str">
        <f t="shared" si="7"/>
        <v/>
      </c>
      <c r="G83" s="101"/>
      <c r="H83" s="91">
        <f t="shared" si="8"/>
        <v>0</v>
      </c>
      <c r="I83" s="91" t="str">
        <f t="shared" si="9"/>
        <v/>
      </c>
      <c r="J83" s="91" t="str">
        <f t="shared" si="10"/>
        <v/>
      </c>
      <c r="K83" s="92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2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14"/>
      <c r="U83" s="217" t="str">
        <f t="shared" si="11"/>
        <v/>
      </c>
      <c r="V83" s="215" t="s">
        <v>47</v>
      </c>
      <c r="W83" s="102" t="s">
        <v>136</v>
      </c>
      <c r="X83" s="102" t="s">
        <v>137</v>
      </c>
      <c r="Y83" s="103" t="s">
        <v>138</v>
      </c>
      <c r="Z83" s="103" t="s">
        <v>139</v>
      </c>
      <c r="AA83" s="103" t="s">
        <v>47</v>
      </c>
      <c r="AB83" s="103" t="s">
        <v>140</v>
      </c>
      <c r="AC83" s="104" t="s">
        <v>141</v>
      </c>
    </row>
    <row r="84" spans="1:29" ht="25.5" customHeight="1" x14ac:dyDescent="0.35">
      <c r="A84" s="188"/>
      <c r="B84" s="190"/>
      <c r="C84" s="99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0"/>
      <c r="E84" s="78" t="str">
        <f>IF(C84="","",IFERROR(VLOOKUP(C84,parametros!$A$11:$E$15,5,0),""))</f>
        <v/>
      </c>
      <c r="F84" s="79" t="str">
        <f t="shared" si="7"/>
        <v/>
      </c>
      <c r="G84" s="101"/>
      <c r="H84" s="91">
        <f t="shared" si="8"/>
        <v>0</v>
      </c>
      <c r="I84" s="91" t="str">
        <f t="shared" si="9"/>
        <v/>
      </c>
      <c r="J84" s="91" t="str">
        <f t="shared" si="10"/>
        <v/>
      </c>
      <c r="K84" s="92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2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14"/>
      <c r="U84" s="217" t="str">
        <f t="shared" si="11"/>
        <v/>
      </c>
      <c r="V84" s="215" t="s">
        <v>47</v>
      </c>
      <c r="W84" s="102" t="s">
        <v>136</v>
      </c>
      <c r="X84" s="102" t="s">
        <v>137</v>
      </c>
      <c r="Y84" s="103" t="s">
        <v>138</v>
      </c>
      <c r="Z84" s="103" t="s">
        <v>139</v>
      </c>
      <c r="AA84" s="103" t="s">
        <v>47</v>
      </c>
      <c r="AB84" s="103" t="s">
        <v>140</v>
      </c>
      <c r="AC84" s="104" t="s">
        <v>141</v>
      </c>
    </row>
    <row r="85" spans="1:29" ht="25.5" customHeight="1" x14ac:dyDescent="0.35">
      <c r="A85" s="188"/>
      <c r="B85" s="190"/>
      <c r="C85" s="99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0"/>
      <c r="E85" s="78" t="str">
        <f>IF(C85="","",IFERROR(VLOOKUP(C85,parametros!$A$11:$E$15,5,0),""))</f>
        <v/>
      </c>
      <c r="F85" s="79" t="str">
        <f t="shared" si="7"/>
        <v/>
      </c>
      <c r="G85" s="101"/>
      <c r="H85" s="91">
        <f t="shared" si="8"/>
        <v>0</v>
      </c>
      <c r="I85" s="91" t="str">
        <f t="shared" si="9"/>
        <v/>
      </c>
      <c r="J85" s="91" t="str">
        <f t="shared" si="10"/>
        <v/>
      </c>
      <c r="K85" s="92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2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14"/>
      <c r="U85" s="217" t="str">
        <f t="shared" si="11"/>
        <v/>
      </c>
      <c r="V85" s="215" t="s">
        <v>47</v>
      </c>
      <c r="W85" s="102" t="s">
        <v>136</v>
      </c>
      <c r="X85" s="102" t="s">
        <v>137</v>
      </c>
      <c r="Y85" s="103" t="s">
        <v>138</v>
      </c>
      <c r="Z85" s="103" t="s">
        <v>139</v>
      </c>
      <c r="AA85" s="103" t="s">
        <v>47</v>
      </c>
      <c r="AB85" s="103" t="s">
        <v>140</v>
      </c>
      <c r="AC85" s="104" t="s">
        <v>141</v>
      </c>
    </row>
    <row r="86" spans="1:29" ht="25.5" customHeight="1" x14ac:dyDescent="0.35">
      <c r="A86" s="188"/>
      <c r="B86" s="190"/>
      <c r="C86" s="99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0"/>
      <c r="E86" s="78" t="str">
        <f>IF(C86="","",IFERROR(VLOOKUP(C86,parametros!$A$11:$E$15,5,0),""))</f>
        <v/>
      </c>
      <c r="F86" s="79" t="str">
        <f t="shared" si="7"/>
        <v/>
      </c>
      <c r="G86" s="101"/>
      <c r="H86" s="91">
        <f t="shared" si="8"/>
        <v>0</v>
      </c>
      <c r="I86" s="91" t="str">
        <f t="shared" si="9"/>
        <v/>
      </c>
      <c r="J86" s="91" t="str">
        <f t="shared" si="10"/>
        <v/>
      </c>
      <c r="K86" s="92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2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14"/>
      <c r="U86" s="217" t="str">
        <f t="shared" si="11"/>
        <v/>
      </c>
      <c r="V86" s="215" t="s">
        <v>47</v>
      </c>
      <c r="W86" s="102" t="s">
        <v>136</v>
      </c>
      <c r="X86" s="102" t="s">
        <v>137</v>
      </c>
      <c r="Y86" s="103" t="s">
        <v>138</v>
      </c>
      <c r="Z86" s="103" t="s">
        <v>139</v>
      </c>
      <c r="AA86" s="103" t="s">
        <v>47</v>
      </c>
      <c r="AB86" s="103" t="s">
        <v>140</v>
      </c>
      <c r="AC86" s="104" t="s">
        <v>141</v>
      </c>
    </row>
    <row r="87" spans="1:29" ht="25.5" customHeight="1" x14ac:dyDescent="0.35">
      <c r="A87" s="188"/>
      <c r="B87" s="190"/>
      <c r="C87" s="99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0"/>
      <c r="E87" s="78" t="str">
        <f>IF(C87="","",IFERROR(VLOOKUP(C87,parametros!$A$11:$E$15,5,0),""))</f>
        <v/>
      </c>
      <c r="F87" s="79" t="str">
        <f t="shared" si="7"/>
        <v/>
      </c>
      <c r="G87" s="101"/>
      <c r="H87" s="91">
        <f t="shared" si="8"/>
        <v>0</v>
      </c>
      <c r="I87" s="91" t="str">
        <f t="shared" si="9"/>
        <v/>
      </c>
      <c r="J87" s="91" t="str">
        <f t="shared" si="10"/>
        <v/>
      </c>
      <c r="K87" s="92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2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14"/>
      <c r="U87" s="217" t="str">
        <f t="shared" si="11"/>
        <v/>
      </c>
      <c r="V87" s="215" t="s">
        <v>47</v>
      </c>
      <c r="W87" s="102" t="s">
        <v>136</v>
      </c>
      <c r="X87" s="102" t="s">
        <v>137</v>
      </c>
      <c r="Y87" s="103" t="s">
        <v>138</v>
      </c>
      <c r="Z87" s="103" t="s">
        <v>139</v>
      </c>
      <c r="AA87" s="103" t="s">
        <v>47</v>
      </c>
      <c r="AB87" s="103" t="s">
        <v>140</v>
      </c>
      <c r="AC87" s="104" t="s">
        <v>141</v>
      </c>
    </row>
    <row r="88" spans="1:29" ht="25.5" customHeight="1" x14ac:dyDescent="0.35">
      <c r="A88" s="188"/>
      <c r="B88" s="190"/>
      <c r="C88" s="99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0"/>
      <c r="E88" s="78" t="str">
        <f>IF(C88="","",IFERROR(VLOOKUP(C88,parametros!$A$11:$E$15,5,0),""))</f>
        <v/>
      </c>
      <c r="F88" s="79" t="str">
        <f t="shared" si="7"/>
        <v/>
      </c>
      <c r="G88" s="101"/>
      <c r="H88" s="91">
        <f t="shared" si="8"/>
        <v>0</v>
      </c>
      <c r="I88" s="91" t="str">
        <f t="shared" si="9"/>
        <v/>
      </c>
      <c r="J88" s="91" t="str">
        <f t="shared" si="10"/>
        <v/>
      </c>
      <c r="K88" s="92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2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14"/>
      <c r="U88" s="217" t="str">
        <f t="shared" si="11"/>
        <v/>
      </c>
      <c r="V88" s="215" t="s">
        <v>47</v>
      </c>
      <c r="W88" s="102" t="s">
        <v>136</v>
      </c>
      <c r="X88" s="102" t="s">
        <v>137</v>
      </c>
      <c r="Y88" s="103" t="s">
        <v>138</v>
      </c>
      <c r="Z88" s="103" t="s">
        <v>139</v>
      </c>
      <c r="AA88" s="103" t="s">
        <v>47</v>
      </c>
      <c r="AB88" s="103" t="s">
        <v>140</v>
      </c>
      <c r="AC88" s="104" t="s">
        <v>141</v>
      </c>
    </row>
    <row r="89" spans="1:29" ht="25.5" customHeight="1" x14ac:dyDescent="0.35">
      <c r="A89" s="188"/>
      <c r="B89" s="190"/>
      <c r="C89" s="99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0"/>
      <c r="E89" s="78" t="str">
        <f>IF(C89="","",IFERROR(VLOOKUP(C89,parametros!$A$11:$E$15,5,0),""))</f>
        <v/>
      </c>
      <c r="F89" s="79" t="str">
        <f t="shared" si="7"/>
        <v/>
      </c>
      <c r="G89" s="101"/>
      <c r="H89" s="91">
        <f t="shared" si="8"/>
        <v>0</v>
      </c>
      <c r="I89" s="91" t="str">
        <f t="shared" si="9"/>
        <v/>
      </c>
      <c r="J89" s="91" t="str">
        <f t="shared" si="10"/>
        <v/>
      </c>
      <c r="K89" s="92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2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14"/>
      <c r="U89" s="217" t="str">
        <f t="shared" si="11"/>
        <v/>
      </c>
      <c r="V89" s="215" t="s">
        <v>47</v>
      </c>
      <c r="W89" s="102" t="s">
        <v>136</v>
      </c>
      <c r="X89" s="102" t="s">
        <v>137</v>
      </c>
      <c r="Y89" s="103" t="s">
        <v>138</v>
      </c>
      <c r="Z89" s="103" t="s">
        <v>139</v>
      </c>
      <c r="AA89" s="103" t="s">
        <v>47</v>
      </c>
      <c r="AB89" s="103" t="s">
        <v>140</v>
      </c>
      <c r="AC89" s="104" t="s">
        <v>141</v>
      </c>
    </row>
    <row r="90" spans="1:29" ht="25.5" customHeight="1" x14ac:dyDescent="0.35">
      <c r="A90" s="188"/>
      <c r="B90" s="190"/>
      <c r="C90" s="99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0"/>
      <c r="E90" s="78" t="str">
        <f>IF(C90="","",IFERROR(VLOOKUP(C90,parametros!$A$11:$E$15,5,0),""))</f>
        <v/>
      </c>
      <c r="F90" s="79" t="str">
        <f t="shared" si="7"/>
        <v/>
      </c>
      <c r="G90" s="101"/>
      <c r="H90" s="91">
        <f t="shared" si="8"/>
        <v>0</v>
      </c>
      <c r="I90" s="91" t="str">
        <f t="shared" si="9"/>
        <v/>
      </c>
      <c r="J90" s="91" t="str">
        <f t="shared" si="10"/>
        <v/>
      </c>
      <c r="K90" s="92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2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14"/>
      <c r="U90" s="217" t="str">
        <f t="shared" si="11"/>
        <v/>
      </c>
      <c r="V90" s="215" t="s">
        <v>47</v>
      </c>
      <c r="W90" s="102" t="s">
        <v>136</v>
      </c>
      <c r="X90" s="102" t="s">
        <v>137</v>
      </c>
      <c r="Y90" s="103" t="s">
        <v>138</v>
      </c>
      <c r="Z90" s="103" t="s">
        <v>139</v>
      </c>
      <c r="AA90" s="103" t="s">
        <v>47</v>
      </c>
      <c r="AB90" s="103" t="s">
        <v>140</v>
      </c>
      <c r="AC90" s="104" t="s">
        <v>141</v>
      </c>
    </row>
    <row r="91" spans="1:29" ht="25.5" customHeight="1" x14ac:dyDescent="0.35">
      <c r="A91" s="188"/>
      <c r="B91" s="190"/>
      <c r="C91" s="99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0"/>
      <c r="E91" s="78" t="str">
        <f>IF(C91="","",IFERROR(VLOOKUP(C91,parametros!$A$11:$E$15,5,0),""))</f>
        <v/>
      </c>
      <c r="F91" s="79" t="str">
        <f t="shared" si="7"/>
        <v/>
      </c>
      <c r="G91" s="101"/>
      <c r="H91" s="91">
        <f t="shared" si="8"/>
        <v>0</v>
      </c>
      <c r="I91" s="91" t="str">
        <f t="shared" si="9"/>
        <v/>
      </c>
      <c r="J91" s="91" t="str">
        <f t="shared" si="10"/>
        <v/>
      </c>
      <c r="K91" s="92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2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14"/>
      <c r="U91" s="217" t="str">
        <f t="shared" si="11"/>
        <v/>
      </c>
      <c r="V91" s="215" t="s">
        <v>47</v>
      </c>
      <c r="W91" s="102" t="s">
        <v>136</v>
      </c>
      <c r="X91" s="102" t="s">
        <v>137</v>
      </c>
      <c r="Y91" s="103" t="s">
        <v>138</v>
      </c>
      <c r="Z91" s="103" t="s">
        <v>139</v>
      </c>
      <c r="AA91" s="103" t="s">
        <v>47</v>
      </c>
      <c r="AB91" s="103" t="s">
        <v>140</v>
      </c>
      <c r="AC91" s="104" t="s">
        <v>141</v>
      </c>
    </row>
    <row r="92" spans="1:29" ht="25.5" customHeight="1" x14ac:dyDescent="0.35">
      <c r="A92" s="188"/>
      <c r="B92" s="190"/>
      <c r="C92" s="99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0"/>
      <c r="E92" s="78" t="str">
        <f>IF(C92="","",IFERROR(VLOOKUP(C92,parametros!$A$11:$E$15,5,0),""))</f>
        <v/>
      </c>
      <c r="F92" s="79" t="str">
        <f t="shared" si="7"/>
        <v/>
      </c>
      <c r="G92" s="101"/>
      <c r="H92" s="91">
        <f t="shared" si="8"/>
        <v>0</v>
      </c>
      <c r="I92" s="91" t="str">
        <f t="shared" si="9"/>
        <v/>
      </c>
      <c r="J92" s="91" t="str">
        <f t="shared" si="10"/>
        <v/>
      </c>
      <c r="K92" s="92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2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14"/>
      <c r="U92" s="217" t="str">
        <f t="shared" si="11"/>
        <v/>
      </c>
      <c r="V92" s="215" t="s">
        <v>47</v>
      </c>
      <c r="W92" s="102" t="s">
        <v>136</v>
      </c>
      <c r="X92" s="102" t="s">
        <v>137</v>
      </c>
      <c r="Y92" s="103" t="s">
        <v>138</v>
      </c>
      <c r="Z92" s="103" t="s">
        <v>139</v>
      </c>
      <c r="AA92" s="103" t="s">
        <v>47</v>
      </c>
      <c r="AB92" s="103" t="s">
        <v>140</v>
      </c>
      <c r="AC92" s="104" t="s">
        <v>141</v>
      </c>
    </row>
    <row r="93" spans="1:29" ht="25.5" customHeight="1" x14ac:dyDescent="0.35">
      <c r="A93" s="188"/>
      <c r="B93" s="190"/>
      <c r="C93" s="99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0"/>
      <c r="E93" s="78" t="str">
        <f>IF(C93="","",IFERROR(VLOOKUP(C93,parametros!$A$11:$E$15,5,0),""))</f>
        <v/>
      </c>
      <c r="F93" s="79" t="str">
        <f t="shared" si="7"/>
        <v/>
      </c>
      <c r="G93" s="101"/>
      <c r="H93" s="91">
        <f t="shared" si="8"/>
        <v>0</v>
      </c>
      <c r="I93" s="91" t="str">
        <f t="shared" si="9"/>
        <v/>
      </c>
      <c r="J93" s="91" t="str">
        <f t="shared" si="10"/>
        <v/>
      </c>
      <c r="K93" s="92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2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14"/>
      <c r="U93" s="217" t="str">
        <f t="shared" si="11"/>
        <v/>
      </c>
      <c r="V93" s="215" t="s">
        <v>47</v>
      </c>
      <c r="W93" s="102" t="s">
        <v>136</v>
      </c>
      <c r="X93" s="102" t="s">
        <v>137</v>
      </c>
      <c r="Y93" s="103" t="s">
        <v>138</v>
      </c>
      <c r="Z93" s="103" t="s">
        <v>139</v>
      </c>
      <c r="AA93" s="103" t="s">
        <v>47</v>
      </c>
      <c r="AB93" s="103" t="s">
        <v>140</v>
      </c>
      <c r="AC93" s="104" t="s">
        <v>141</v>
      </c>
    </row>
    <row r="94" spans="1:29" ht="25.5" customHeight="1" x14ac:dyDescent="0.35">
      <c r="A94" s="188"/>
      <c r="B94" s="190"/>
      <c r="C94" s="99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0"/>
      <c r="E94" s="78" t="str">
        <f>IF(C94="","",IFERROR(VLOOKUP(C94,parametros!$A$11:$E$15,5,0),""))</f>
        <v/>
      </c>
      <c r="F94" s="79" t="str">
        <f t="shared" si="7"/>
        <v/>
      </c>
      <c r="G94" s="101"/>
      <c r="H94" s="91">
        <f t="shared" si="8"/>
        <v>0</v>
      </c>
      <c r="I94" s="91" t="str">
        <f t="shared" si="9"/>
        <v/>
      </c>
      <c r="J94" s="91" t="str">
        <f t="shared" si="10"/>
        <v/>
      </c>
      <c r="K94" s="92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2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14"/>
      <c r="U94" s="217" t="str">
        <f t="shared" si="11"/>
        <v/>
      </c>
      <c r="V94" s="215" t="s">
        <v>47</v>
      </c>
      <c r="W94" s="102" t="s">
        <v>136</v>
      </c>
      <c r="X94" s="102" t="s">
        <v>137</v>
      </c>
      <c r="Y94" s="103" t="s">
        <v>138</v>
      </c>
      <c r="Z94" s="103" t="s">
        <v>139</v>
      </c>
      <c r="AA94" s="103" t="s">
        <v>47</v>
      </c>
      <c r="AB94" s="103" t="s">
        <v>140</v>
      </c>
      <c r="AC94" s="104" t="s">
        <v>141</v>
      </c>
    </row>
    <row r="95" spans="1:29" ht="25.5" customHeight="1" x14ac:dyDescent="0.35">
      <c r="A95" s="188"/>
      <c r="B95" s="190"/>
      <c r="C95" s="99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0"/>
      <c r="E95" s="78" t="str">
        <f>IF(C95="","",IFERROR(VLOOKUP(C95,parametros!$A$11:$E$15,5,0),""))</f>
        <v/>
      </c>
      <c r="F95" s="79" t="str">
        <f t="shared" si="7"/>
        <v/>
      </c>
      <c r="G95" s="101"/>
      <c r="H95" s="91">
        <f t="shared" si="8"/>
        <v>0</v>
      </c>
      <c r="I95" s="91" t="str">
        <f t="shared" si="9"/>
        <v/>
      </c>
      <c r="J95" s="91" t="str">
        <f t="shared" si="10"/>
        <v/>
      </c>
      <c r="K95" s="92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2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14"/>
      <c r="U95" s="217" t="str">
        <f t="shared" si="11"/>
        <v/>
      </c>
      <c r="V95" s="215" t="s">
        <v>47</v>
      </c>
      <c r="W95" s="102" t="s">
        <v>136</v>
      </c>
      <c r="X95" s="102" t="s">
        <v>137</v>
      </c>
      <c r="Y95" s="103" t="s">
        <v>138</v>
      </c>
      <c r="Z95" s="103" t="s">
        <v>139</v>
      </c>
      <c r="AA95" s="103" t="s">
        <v>47</v>
      </c>
      <c r="AB95" s="103" t="s">
        <v>140</v>
      </c>
      <c r="AC95" s="104" t="s">
        <v>141</v>
      </c>
    </row>
    <row r="96" spans="1:29" ht="25.5" customHeight="1" x14ac:dyDescent="0.35">
      <c r="A96" s="188"/>
      <c r="B96" s="190"/>
      <c r="C96" s="99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0"/>
      <c r="E96" s="78" t="str">
        <f>IF(C96="","",IFERROR(VLOOKUP(C96,parametros!$A$11:$E$15,5,0),""))</f>
        <v/>
      </c>
      <c r="F96" s="79" t="str">
        <f t="shared" si="7"/>
        <v/>
      </c>
      <c r="G96" s="101"/>
      <c r="H96" s="91">
        <f t="shared" si="8"/>
        <v>0</v>
      </c>
      <c r="I96" s="91" t="str">
        <f t="shared" si="9"/>
        <v/>
      </c>
      <c r="J96" s="91" t="str">
        <f t="shared" si="10"/>
        <v/>
      </c>
      <c r="K96" s="92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2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14"/>
      <c r="U96" s="217" t="str">
        <f t="shared" si="11"/>
        <v/>
      </c>
      <c r="V96" s="215" t="s">
        <v>47</v>
      </c>
      <c r="W96" s="102" t="s">
        <v>136</v>
      </c>
      <c r="X96" s="102" t="s">
        <v>137</v>
      </c>
      <c r="Y96" s="103" t="s">
        <v>138</v>
      </c>
      <c r="Z96" s="103" t="s">
        <v>139</v>
      </c>
      <c r="AA96" s="103" t="s">
        <v>47</v>
      </c>
      <c r="AB96" s="103" t="s">
        <v>140</v>
      </c>
      <c r="AC96" s="104" t="s">
        <v>141</v>
      </c>
    </row>
    <row r="97" spans="1:29" ht="25.5" customHeight="1" x14ac:dyDescent="0.35">
      <c r="A97" s="188"/>
      <c r="B97" s="190"/>
      <c r="C97" s="99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0"/>
      <c r="E97" s="78" t="str">
        <f>IF(C97="","",IFERROR(VLOOKUP(C97,parametros!$A$11:$E$15,5,0),""))</f>
        <v/>
      </c>
      <c r="F97" s="79" t="str">
        <f t="shared" si="7"/>
        <v/>
      </c>
      <c r="G97" s="101"/>
      <c r="H97" s="91">
        <f t="shared" si="8"/>
        <v>0</v>
      </c>
      <c r="I97" s="91" t="str">
        <f t="shared" si="9"/>
        <v/>
      </c>
      <c r="J97" s="91" t="str">
        <f t="shared" si="10"/>
        <v/>
      </c>
      <c r="K97" s="92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2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14"/>
      <c r="U97" s="217" t="str">
        <f t="shared" si="11"/>
        <v/>
      </c>
      <c r="V97" s="215" t="s">
        <v>47</v>
      </c>
      <c r="W97" s="102" t="s">
        <v>136</v>
      </c>
      <c r="X97" s="102" t="s">
        <v>137</v>
      </c>
      <c r="Y97" s="103" t="s">
        <v>138</v>
      </c>
      <c r="Z97" s="103" t="s">
        <v>139</v>
      </c>
      <c r="AA97" s="103" t="s">
        <v>47</v>
      </c>
      <c r="AB97" s="103" t="s">
        <v>140</v>
      </c>
      <c r="AC97" s="104" t="s">
        <v>141</v>
      </c>
    </row>
    <row r="98" spans="1:29" ht="25.5" customHeight="1" x14ac:dyDescent="0.35">
      <c r="A98" s="188"/>
      <c r="B98" s="190"/>
      <c r="C98" s="99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0"/>
      <c r="E98" s="78" t="str">
        <f>IF(C98="","",IFERROR(VLOOKUP(C98,parametros!$A$11:$E$15,5,0),""))</f>
        <v/>
      </c>
      <c r="F98" s="79" t="str">
        <f t="shared" si="7"/>
        <v/>
      </c>
      <c r="G98" s="101"/>
      <c r="H98" s="91">
        <f t="shared" si="8"/>
        <v>0</v>
      </c>
      <c r="I98" s="91" t="str">
        <f t="shared" si="9"/>
        <v/>
      </c>
      <c r="J98" s="91" t="str">
        <f t="shared" si="10"/>
        <v/>
      </c>
      <c r="K98" s="92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2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14"/>
      <c r="U98" s="217" t="str">
        <f t="shared" si="11"/>
        <v/>
      </c>
      <c r="V98" s="215" t="s">
        <v>47</v>
      </c>
      <c r="W98" s="102" t="s">
        <v>136</v>
      </c>
      <c r="X98" s="102" t="s">
        <v>137</v>
      </c>
      <c r="Y98" s="103" t="s">
        <v>138</v>
      </c>
      <c r="Z98" s="103" t="s">
        <v>139</v>
      </c>
      <c r="AA98" s="103" t="s">
        <v>47</v>
      </c>
      <c r="AB98" s="103" t="s">
        <v>140</v>
      </c>
      <c r="AC98" s="104" t="s">
        <v>141</v>
      </c>
    </row>
    <row r="99" spans="1:29" ht="25.5" customHeight="1" x14ac:dyDescent="0.35">
      <c r="A99" s="188"/>
      <c r="B99" s="190"/>
      <c r="C99" s="99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0"/>
      <c r="E99" s="78" t="str">
        <f>IF(C99="","",IFERROR(VLOOKUP(C99,parametros!$A$11:$E$15,5,0),""))</f>
        <v/>
      </c>
      <c r="F99" s="79" t="str">
        <f t="shared" si="7"/>
        <v/>
      </c>
      <c r="G99" s="101"/>
      <c r="H99" s="91">
        <f t="shared" si="8"/>
        <v>0</v>
      </c>
      <c r="I99" s="91" t="str">
        <f t="shared" si="9"/>
        <v/>
      </c>
      <c r="J99" s="91" t="str">
        <f t="shared" si="10"/>
        <v/>
      </c>
      <c r="K99" s="92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2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14"/>
      <c r="U99" s="217" t="str">
        <f t="shared" si="11"/>
        <v/>
      </c>
      <c r="V99" s="215" t="s">
        <v>47</v>
      </c>
      <c r="W99" s="102" t="s">
        <v>136</v>
      </c>
      <c r="X99" s="102" t="s">
        <v>137</v>
      </c>
      <c r="Y99" s="103" t="s">
        <v>138</v>
      </c>
      <c r="Z99" s="103" t="s">
        <v>139</v>
      </c>
      <c r="AA99" s="103" t="s">
        <v>47</v>
      </c>
      <c r="AB99" s="103" t="s">
        <v>140</v>
      </c>
      <c r="AC99" s="104" t="s">
        <v>141</v>
      </c>
    </row>
    <row r="100" spans="1:29" ht="25.5" customHeight="1" x14ac:dyDescent="0.35">
      <c r="A100" s="188"/>
      <c r="B100" s="190"/>
      <c r="C100" s="99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0"/>
      <c r="E100" s="78" t="str">
        <f>IF(C100="","",IFERROR(VLOOKUP(C100,parametros!$A$11:$E$15,5,0),""))</f>
        <v/>
      </c>
      <c r="F100" s="79" t="str">
        <f t="shared" si="7"/>
        <v/>
      </c>
      <c r="G100" s="101"/>
      <c r="H100" s="91">
        <f t="shared" si="8"/>
        <v>0</v>
      </c>
      <c r="I100" s="91" t="str">
        <f t="shared" si="9"/>
        <v/>
      </c>
      <c r="J100" s="91" t="str">
        <f t="shared" si="10"/>
        <v/>
      </c>
      <c r="K100" s="92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2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14"/>
      <c r="U100" s="217" t="str">
        <f t="shared" si="11"/>
        <v/>
      </c>
      <c r="V100" s="215" t="s">
        <v>47</v>
      </c>
      <c r="W100" s="102" t="s">
        <v>136</v>
      </c>
      <c r="X100" s="102" t="s">
        <v>137</v>
      </c>
      <c r="Y100" s="103" t="s">
        <v>138</v>
      </c>
      <c r="Z100" s="103" t="s">
        <v>139</v>
      </c>
      <c r="AA100" s="103" t="s">
        <v>47</v>
      </c>
      <c r="AB100" s="103" t="s">
        <v>140</v>
      </c>
      <c r="AC100" s="104" t="s">
        <v>141</v>
      </c>
    </row>
    <row r="101" spans="1:29" ht="25.5" customHeight="1" x14ac:dyDescent="0.35">
      <c r="A101" s="188"/>
      <c r="B101" s="190"/>
      <c r="C101" s="99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0"/>
      <c r="E101" s="78" t="str">
        <f>IF(C101="","",IFERROR(VLOOKUP(C101,parametros!$A$11:$E$15,5,0),""))</f>
        <v/>
      </c>
      <c r="F101" s="79" t="str">
        <f t="shared" si="7"/>
        <v/>
      </c>
      <c r="G101" s="101"/>
      <c r="H101" s="91">
        <f t="shared" si="8"/>
        <v>0</v>
      </c>
      <c r="I101" s="91" t="str">
        <f t="shared" si="9"/>
        <v/>
      </c>
      <c r="J101" s="91" t="str">
        <f t="shared" si="10"/>
        <v/>
      </c>
      <c r="K101" s="92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2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17" t="str">
        <f t="shared" si="11"/>
        <v/>
      </c>
      <c r="V101" s="215" t="s">
        <v>47</v>
      </c>
      <c r="W101" s="102" t="s">
        <v>136</v>
      </c>
      <c r="X101" s="102" t="s">
        <v>137</v>
      </c>
      <c r="Y101" s="103" t="s">
        <v>138</v>
      </c>
      <c r="Z101" s="103" t="s">
        <v>139</v>
      </c>
      <c r="AA101" s="103" t="s">
        <v>47</v>
      </c>
      <c r="AB101" s="103" t="s">
        <v>140</v>
      </c>
      <c r="AC101" s="104" t="s">
        <v>141</v>
      </c>
    </row>
    <row r="102" spans="1:29" ht="25.5" customHeight="1" x14ac:dyDescent="0.35">
      <c r="A102" s="188"/>
      <c r="B102" s="190"/>
      <c r="C102" s="99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0"/>
      <c r="E102" s="78" t="str">
        <f>IF(C102="","",IFERROR(VLOOKUP(C102,parametros!$A$11:$E$15,5,0),""))</f>
        <v/>
      </c>
      <c r="F102" s="79" t="str">
        <f t="shared" si="7"/>
        <v/>
      </c>
      <c r="G102" s="101"/>
      <c r="H102" s="91">
        <f t="shared" si="8"/>
        <v>0</v>
      </c>
      <c r="I102" s="91" t="str">
        <f t="shared" si="9"/>
        <v/>
      </c>
      <c r="J102" s="91" t="str">
        <f t="shared" si="10"/>
        <v/>
      </c>
      <c r="K102" s="92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2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17" t="str">
        <f t="shared" si="11"/>
        <v/>
      </c>
      <c r="V102" s="215" t="s">
        <v>47</v>
      </c>
      <c r="W102" s="102" t="s">
        <v>136</v>
      </c>
      <c r="X102" s="102" t="s">
        <v>137</v>
      </c>
      <c r="Y102" s="103" t="s">
        <v>138</v>
      </c>
      <c r="Z102" s="103" t="s">
        <v>139</v>
      </c>
      <c r="AA102" s="103" t="s">
        <v>47</v>
      </c>
      <c r="AB102" s="103" t="s">
        <v>140</v>
      </c>
      <c r="AC102" s="104" t="s">
        <v>141</v>
      </c>
    </row>
    <row r="103" spans="1:29" ht="25.5" customHeight="1" x14ac:dyDescent="0.35">
      <c r="A103" s="188"/>
      <c r="B103" s="190"/>
      <c r="C103" s="99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0"/>
      <c r="E103" s="78" t="str">
        <f>IF(C103="","",IFERROR(VLOOKUP(C103,parametros!$A$11:$E$15,5,0),""))</f>
        <v/>
      </c>
      <c r="F103" s="79" t="str">
        <f t="shared" si="7"/>
        <v/>
      </c>
      <c r="G103" s="101"/>
      <c r="H103" s="91">
        <f t="shared" si="8"/>
        <v>0</v>
      </c>
      <c r="I103" s="91" t="str">
        <f t="shared" si="9"/>
        <v/>
      </c>
      <c r="J103" s="91" t="str">
        <f t="shared" si="10"/>
        <v/>
      </c>
      <c r="K103" s="92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2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17" t="str">
        <f t="shared" si="11"/>
        <v/>
      </c>
      <c r="V103" s="215" t="s">
        <v>47</v>
      </c>
      <c r="W103" s="102" t="s">
        <v>136</v>
      </c>
      <c r="X103" s="102" t="s">
        <v>137</v>
      </c>
      <c r="Y103" s="103" t="s">
        <v>138</v>
      </c>
      <c r="Z103" s="103" t="s">
        <v>139</v>
      </c>
      <c r="AA103" s="103" t="s">
        <v>47</v>
      </c>
      <c r="AB103" s="103" t="s">
        <v>140</v>
      </c>
      <c r="AC103" s="104" t="s">
        <v>141</v>
      </c>
    </row>
    <row r="104" spans="1:29" ht="25.5" customHeight="1" x14ac:dyDescent="0.35">
      <c r="A104" s="188"/>
      <c r="B104" s="190"/>
      <c r="C104" s="99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0"/>
      <c r="E104" s="78" t="str">
        <f>IF(C104="","",IFERROR(VLOOKUP(C104,parametros!$A$11:$E$15,5,0),""))</f>
        <v/>
      </c>
      <c r="F104" s="79" t="str">
        <f t="shared" si="7"/>
        <v/>
      </c>
      <c r="G104" s="101"/>
      <c r="H104" s="91">
        <f t="shared" si="8"/>
        <v>0</v>
      </c>
      <c r="I104" s="91" t="str">
        <f t="shared" si="9"/>
        <v/>
      </c>
      <c r="J104" s="91" t="str">
        <f t="shared" si="10"/>
        <v/>
      </c>
      <c r="K104" s="92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2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17" t="str">
        <f t="shared" si="11"/>
        <v/>
      </c>
      <c r="V104" s="215" t="s">
        <v>47</v>
      </c>
      <c r="W104" s="102" t="s">
        <v>136</v>
      </c>
      <c r="X104" s="102" t="s">
        <v>137</v>
      </c>
      <c r="Y104" s="103" t="s">
        <v>138</v>
      </c>
      <c r="Z104" s="103" t="s">
        <v>139</v>
      </c>
      <c r="AA104" s="103" t="s">
        <v>47</v>
      </c>
      <c r="AB104" s="103" t="s">
        <v>140</v>
      </c>
      <c r="AC104" s="104" t="s">
        <v>141</v>
      </c>
    </row>
    <row r="105" spans="1:29" ht="25.5" customHeight="1" x14ac:dyDescent="0.35">
      <c r="A105" s="188"/>
      <c r="B105" s="190"/>
      <c r="C105" s="99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0"/>
      <c r="E105" s="78" t="str">
        <f>IF(C105="","",IFERROR(VLOOKUP(C105,parametros!$A$11:$E$15,5,0),""))</f>
        <v/>
      </c>
      <c r="F105" s="79" t="str">
        <f t="shared" si="7"/>
        <v/>
      </c>
      <c r="G105" s="101"/>
      <c r="H105" s="91">
        <f t="shared" si="8"/>
        <v>0</v>
      </c>
      <c r="I105" s="91" t="str">
        <f t="shared" si="9"/>
        <v/>
      </c>
      <c r="J105" s="91" t="str">
        <f t="shared" si="10"/>
        <v/>
      </c>
      <c r="K105" s="92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2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17" t="str">
        <f t="shared" si="11"/>
        <v/>
      </c>
      <c r="V105" s="215" t="s">
        <v>47</v>
      </c>
      <c r="W105" s="102" t="s">
        <v>136</v>
      </c>
      <c r="X105" s="102" t="s">
        <v>137</v>
      </c>
      <c r="Y105" s="103" t="s">
        <v>138</v>
      </c>
      <c r="Z105" s="103" t="s">
        <v>139</v>
      </c>
      <c r="AA105" s="103" t="s">
        <v>47</v>
      </c>
      <c r="AB105" s="103" t="s">
        <v>140</v>
      </c>
      <c r="AC105" s="104" t="s">
        <v>141</v>
      </c>
    </row>
    <row r="106" spans="1:29" ht="25.5" customHeight="1" x14ac:dyDescent="0.35">
      <c r="A106" s="188"/>
      <c r="B106" s="190"/>
      <c r="C106" s="99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0"/>
      <c r="E106" s="78" t="str">
        <f>IF(C106="","",IFERROR(VLOOKUP(C106,parametros!$A$11:$E$15,5,0),""))</f>
        <v/>
      </c>
      <c r="F106" s="79" t="str">
        <f t="shared" si="7"/>
        <v/>
      </c>
      <c r="G106" s="101"/>
      <c r="H106" s="91">
        <f t="shared" si="8"/>
        <v>0</v>
      </c>
      <c r="I106" s="91" t="str">
        <f t="shared" si="9"/>
        <v/>
      </c>
      <c r="J106" s="91" t="str">
        <f t="shared" si="10"/>
        <v/>
      </c>
      <c r="K106" s="92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2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17" t="str">
        <f t="shared" si="11"/>
        <v/>
      </c>
      <c r="V106" s="215" t="s">
        <v>47</v>
      </c>
      <c r="W106" s="102" t="s">
        <v>136</v>
      </c>
      <c r="X106" s="102" t="s">
        <v>137</v>
      </c>
      <c r="Y106" s="103" t="s">
        <v>138</v>
      </c>
      <c r="Z106" s="103" t="s">
        <v>139</v>
      </c>
      <c r="AA106" s="103" t="s">
        <v>47</v>
      </c>
      <c r="AB106" s="103" t="s">
        <v>140</v>
      </c>
      <c r="AC106" s="104" t="s">
        <v>141</v>
      </c>
    </row>
    <row r="107" spans="1:29" ht="25.5" customHeight="1" x14ac:dyDescent="0.35">
      <c r="A107" s="188"/>
      <c r="B107" s="190"/>
      <c r="C107" s="99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0"/>
      <c r="E107" s="78" t="str">
        <f>IF(C107="","",IFERROR(VLOOKUP(C107,parametros!$A$11:$E$15,5,0),""))</f>
        <v/>
      </c>
      <c r="F107" s="79" t="str">
        <f t="shared" si="7"/>
        <v/>
      </c>
      <c r="G107" s="101"/>
      <c r="H107" s="91">
        <f t="shared" si="8"/>
        <v>0</v>
      </c>
      <c r="I107" s="91" t="str">
        <f t="shared" si="9"/>
        <v/>
      </c>
      <c r="J107" s="91" t="str">
        <f t="shared" si="10"/>
        <v/>
      </c>
      <c r="K107" s="92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2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17" t="str">
        <f t="shared" si="11"/>
        <v/>
      </c>
      <c r="V107" s="215" t="s">
        <v>47</v>
      </c>
      <c r="W107" s="102" t="s">
        <v>136</v>
      </c>
      <c r="X107" s="102" t="s">
        <v>137</v>
      </c>
      <c r="Y107" s="103" t="s">
        <v>138</v>
      </c>
      <c r="Z107" s="103" t="s">
        <v>139</v>
      </c>
      <c r="AA107" s="103" t="s">
        <v>47</v>
      </c>
      <c r="AB107" s="103" t="s">
        <v>140</v>
      </c>
      <c r="AC107" s="104" t="s">
        <v>141</v>
      </c>
    </row>
    <row r="108" spans="1:29" ht="25.5" customHeight="1" x14ac:dyDescent="0.35">
      <c r="A108" s="188"/>
      <c r="B108" s="190"/>
      <c r="C108" s="99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0"/>
      <c r="E108" s="78" t="str">
        <f>IF(C108="","",IFERROR(VLOOKUP(C108,parametros!$A$11:$E$15,5,0),""))</f>
        <v/>
      </c>
      <c r="F108" s="79" t="str">
        <f t="shared" si="7"/>
        <v/>
      </c>
      <c r="G108" s="101"/>
      <c r="H108" s="91">
        <f t="shared" si="8"/>
        <v>0</v>
      </c>
      <c r="I108" s="91" t="str">
        <f t="shared" si="9"/>
        <v/>
      </c>
      <c r="J108" s="91" t="str">
        <f t="shared" si="10"/>
        <v/>
      </c>
      <c r="K108" s="92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2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17" t="str">
        <f t="shared" si="11"/>
        <v/>
      </c>
      <c r="V108" s="215" t="s">
        <v>47</v>
      </c>
      <c r="W108" s="102" t="s">
        <v>136</v>
      </c>
      <c r="X108" s="102" t="s">
        <v>137</v>
      </c>
      <c r="Y108" s="103" t="s">
        <v>138</v>
      </c>
      <c r="Z108" s="103" t="s">
        <v>139</v>
      </c>
      <c r="AA108" s="103" t="s">
        <v>47</v>
      </c>
      <c r="AB108" s="103" t="s">
        <v>140</v>
      </c>
      <c r="AC108" s="104" t="s">
        <v>141</v>
      </c>
    </row>
    <row r="109" spans="1:29" ht="25.5" customHeight="1" x14ac:dyDescent="0.35">
      <c r="A109" s="188"/>
      <c r="B109" s="190"/>
      <c r="C109" s="99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0"/>
      <c r="E109" s="78" t="str">
        <f>IF(C109="","",IFERROR(VLOOKUP(C109,parametros!$A$11:$E$15,5,0),""))</f>
        <v/>
      </c>
      <c r="F109" s="79" t="str">
        <f t="shared" si="7"/>
        <v/>
      </c>
      <c r="G109" s="101"/>
      <c r="H109" s="91">
        <f t="shared" si="8"/>
        <v>0</v>
      </c>
      <c r="I109" s="91" t="str">
        <f t="shared" si="9"/>
        <v/>
      </c>
      <c r="J109" s="91" t="str">
        <f t="shared" si="10"/>
        <v/>
      </c>
      <c r="K109" s="92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2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17" t="str">
        <f t="shared" si="11"/>
        <v/>
      </c>
      <c r="V109" s="215" t="s">
        <v>47</v>
      </c>
      <c r="W109" s="102" t="s">
        <v>136</v>
      </c>
      <c r="X109" s="102" t="s">
        <v>137</v>
      </c>
      <c r="Y109" s="103" t="s">
        <v>138</v>
      </c>
      <c r="Z109" s="103" t="s">
        <v>139</v>
      </c>
      <c r="AA109" s="103" t="s">
        <v>47</v>
      </c>
      <c r="AB109" s="103" t="s">
        <v>140</v>
      </c>
      <c r="AC109" s="104" t="s">
        <v>141</v>
      </c>
    </row>
    <row r="110" spans="1:29" ht="25.5" customHeight="1" x14ac:dyDescent="0.35">
      <c r="A110" s="188"/>
      <c r="B110" s="190"/>
      <c r="C110" s="99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0"/>
      <c r="E110" s="78" t="str">
        <f>IF(C110="","",IFERROR(VLOOKUP(C110,parametros!$A$11:$E$15,5,0),""))</f>
        <v/>
      </c>
      <c r="F110" s="79" t="str">
        <f t="shared" si="7"/>
        <v/>
      </c>
      <c r="G110" s="101"/>
      <c r="H110" s="91">
        <f t="shared" si="8"/>
        <v>0</v>
      </c>
      <c r="I110" s="91" t="str">
        <f t="shared" si="9"/>
        <v/>
      </c>
      <c r="J110" s="91" t="str">
        <f t="shared" si="10"/>
        <v/>
      </c>
      <c r="K110" s="92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2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17" t="str">
        <f t="shared" si="11"/>
        <v/>
      </c>
      <c r="V110" s="215" t="s">
        <v>47</v>
      </c>
      <c r="W110" s="102" t="s">
        <v>136</v>
      </c>
      <c r="X110" s="102" t="s">
        <v>137</v>
      </c>
      <c r="Y110" s="103" t="s">
        <v>138</v>
      </c>
      <c r="Z110" s="103" t="s">
        <v>139</v>
      </c>
      <c r="AA110" s="103" t="s">
        <v>47</v>
      </c>
      <c r="AB110" s="103" t="s">
        <v>140</v>
      </c>
      <c r="AC110" s="104" t="s">
        <v>141</v>
      </c>
    </row>
    <row r="111" spans="1:29" ht="25.5" customHeight="1" x14ac:dyDescent="0.35">
      <c r="A111" s="188"/>
      <c r="B111" s="190"/>
      <c r="C111" s="99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0"/>
      <c r="E111" s="78" t="str">
        <f>IF(C111="","",IFERROR(VLOOKUP(C111,parametros!$A$11:$E$15,5,0),""))</f>
        <v/>
      </c>
      <c r="F111" s="79" t="str">
        <f t="shared" si="7"/>
        <v/>
      </c>
      <c r="G111" s="101"/>
      <c r="H111" s="91">
        <f t="shared" si="8"/>
        <v>0</v>
      </c>
      <c r="I111" s="91" t="str">
        <f t="shared" si="9"/>
        <v/>
      </c>
      <c r="J111" s="91" t="str">
        <f t="shared" si="10"/>
        <v/>
      </c>
      <c r="K111" s="92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2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17" t="str">
        <f t="shared" si="11"/>
        <v/>
      </c>
      <c r="V111" s="215" t="s">
        <v>47</v>
      </c>
      <c r="W111" s="102" t="s">
        <v>136</v>
      </c>
      <c r="X111" s="102" t="s">
        <v>137</v>
      </c>
      <c r="Y111" s="103" t="s">
        <v>138</v>
      </c>
      <c r="Z111" s="103" t="s">
        <v>139</v>
      </c>
      <c r="AA111" s="103" t="s">
        <v>47</v>
      </c>
      <c r="AB111" s="103" t="s">
        <v>140</v>
      </c>
      <c r="AC111" s="104" t="s">
        <v>141</v>
      </c>
    </row>
    <row r="112" spans="1:29" ht="25.5" customHeight="1" x14ac:dyDescent="0.35">
      <c r="A112" s="188"/>
      <c r="B112" s="190"/>
      <c r="C112" s="99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0"/>
      <c r="E112" s="78" t="str">
        <f>IF(C112="","",IFERROR(VLOOKUP(C112,parametros!$A$11:$E$15,5,0),""))</f>
        <v/>
      </c>
      <c r="F112" s="79" t="str">
        <f t="shared" si="7"/>
        <v/>
      </c>
      <c r="G112" s="101"/>
      <c r="H112" s="91">
        <f t="shared" si="8"/>
        <v>0</v>
      </c>
      <c r="I112" s="91" t="str">
        <f t="shared" si="9"/>
        <v/>
      </c>
      <c r="J112" s="91" t="str">
        <f t="shared" si="10"/>
        <v/>
      </c>
      <c r="K112" s="92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2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17" t="str">
        <f t="shared" si="11"/>
        <v/>
      </c>
      <c r="V112" s="215" t="s">
        <v>47</v>
      </c>
      <c r="W112" s="102" t="s">
        <v>136</v>
      </c>
      <c r="X112" s="102" t="s">
        <v>137</v>
      </c>
      <c r="Y112" s="103" t="s">
        <v>138</v>
      </c>
      <c r="Z112" s="103" t="s">
        <v>139</v>
      </c>
      <c r="AA112" s="103" t="s">
        <v>47</v>
      </c>
      <c r="AB112" s="103" t="s">
        <v>140</v>
      </c>
      <c r="AC112" s="104" t="s">
        <v>141</v>
      </c>
    </row>
    <row r="113" spans="1:29" ht="25.5" customHeight="1" x14ac:dyDescent="0.35">
      <c r="A113" s="188"/>
      <c r="B113" s="190"/>
      <c r="C113" s="99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0"/>
      <c r="E113" s="78" t="str">
        <f>IF(C113="","",IFERROR(VLOOKUP(C113,parametros!$A$11:$E$15,5,0),""))</f>
        <v/>
      </c>
      <c r="F113" s="79" t="str">
        <f t="shared" si="7"/>
        <v/>
      </c>
      <c r="G113" s="101"/>
      <c r="H113" s="91">
        <f t="shared" si="8"/>
        <v>0</v>
      </c>
      <c r="I113" s="91" t="str">
        <f t="shared" si="9"/>
        <v/>
      </c>
      <c r="J113" s="91" t="str">
        <f t="shared" si="10"/>
        <v/>
      </c>
      <c r="K113" s="92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2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17" t="str">
        <f t="shared" si="11"/>
        <v/>
      </c>
      <c r="V113" s="215" t="s">
        <v>47</v>
      </c>
      <c r="W113" s="102" t="s">
        <v>136</v>
      </c>
      <c r="X113" s="102" t="s">
        <v>137</v>
      </c>
      <c r="Y113" s="103" t="s">
        <v>138</v>
      </c>
      <c r="Z113" s="103" t="s">
        <v>139</v>
      </c>
      <c r="AA113" s="103" t="s">
        <v>47</v>
      </c>
      <c r="AB113" s="103" t="s">
        <v>140</v>
      </c>
      <c r="AC113" s="104" t="s">
        <v>141</v>
      </c>
    </row>
    <row r="114" spans="1:29" ht="25.5" customHeight="1" x14ac:dyDescent="0.35">
      <c r="A114" s="188"/>
      <c r="B114" s="190"/>
      <c r="C114" s="99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0"/>
      <c r="E114" s="78" t="str">
        <f>IF(C114="","",IFERROR(VLOOKUP(C114,parametros!$A$11:$E$15,5,0),""))</f>
        <v/>
      </c>
      <c r="F114" s="79" t="str">
        <f t="shared" si="7"/>
        <v/>
      </c>
      <c r="G114" s="101"/>
      <c r="H114" s="91">
        <f t="shared" si="8"/>
        <v>0</v>
      </c>
      <c r="I114" s="91" t="str">
        <f t="shared" si="9"/>
        <v/>
      </c>
      <c r="J114" s="91" t="str">
        <f t="shared" si="10"/>
        <v/>
      </c>
      <c r="K114" s="92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2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17" t="str">
        <f t="shared" si="11"/>
        <v/>
      </c>
      <c r="V114" s="215" t="s">
        <v>47</v>
      </c>
      <c r="W114" s="102" t="s">
        <v>136</v>
      </c>
      <c r="X114" s="102" t="s">
        <v>137</v>
      </c>
      <c r="Y114" s="103" t="s">
        <v>138</v>
      </c>
      <c r="Z114" s="103" t="s">
        <v>139</v>
      </c>
      <c r="AA114" s="103" t="s">
        <v>47</v>
      </c>
      <c r="AB114" s="103" t="s">
        <v>140</v>
      </c>
      <c r="AC114" s="104" t="s">
        <v>141</v>
      </c>
    </row>
    <row r="115" spans="1:29" ht="25.5" customHeight="1" x14ac:dyDescent="0.35">
      <c r="A115" s="188"/>
      <c r="B115" s="190"/>
      <c r="C115" s="99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0"/>
      <c r="E115" s="78" t="str">
        <f>IF(C115="","",IFERROR(VLOOKUP(C115,parametros!$A$11:$E$15,5,0),""))</f>
        <v/>
      </c>
      <c r="F115" s="79" t="str">
        <f t="shared" si="7"/>
        <v/>
      </c>
      <c r="G115" s="101"/>
      <c r="H115" s="91">
        <f t="shared" si="8"/>
        <v>0</v>
      </c>
      <c r="I115" s="91" t="str">
        <f t="shared" si="9"/>
        <v/>
      </c>
      <c r="J115" s="91" t="str">
        <f t="shared" si="10"/>
        <v/>
      </c>
      <c r="K115" s="92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2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17" t="str">
        <f t="shared" si="11"/>
        <v/>
      </c>
      <c r="V115" s="215" t="s">
        <v>47</v>
      </c>
      <c r="W115" s="102" t="s">
        <v>136</v>
      </c>
      <c r="X115" s="102" t="s">
        <v>137</v>
      </c>
      <c r="Y115" s="103" t="s">
        <v>138</v>
      </c>
      <c r="Z115" s="103" t="s">
        <v>139</v>
      </c>
      <c r="AA115" s="103" t="s">
        <v>47</v>
      </c>
      <c r="AB115" s="103" t="s">
        <v>140</v>
      </c>
      <c r="AC115" s="104" t="s">
        <v>141</v>
      </c>
    </row>
    <row r="116" spans="1:29" ht="25.5" customHeight="1" x14ac:dyDescent="0.35">
      <c r="A116" s="188"/>
      <c r="B116" s="190"/>
      <c r="C116" s="99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0"/>
      <c r="E116" s="78" t="str">
        <f>IF(C116="","",IFERROR(VLOOKUP(C116,parametros!$A$11:$E$15,5,0),""))</f>
        <v/>
      </c>
      <c r="F116" s="79" t="str">
        <f t="shared" si="7"/>
        <v/>
      </c>
      <c r="G116" s="101"/>
      <c r="H116" s="91">
        <f t="shared" si="8"/>
        <v>0</v>
      </c>
      <c r="I116" s="91" t="str">
        <f t="shared" si="9"/>
        <v/>
      </c>
      <c r="J116" s="91" t="str">
        <f t="shared" si="10"/>
        <v/>
      </c>
      <c r="K116" s="92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2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17" t="str">
        <f t="shared" si="11"/>
        <v/>
      </c>
      <c r="V116" s="215" t="s">
        <v>47</v>
      </c>
      <c r="W116" s="102" t="s">
        <v>136</v>
      </c>
      <c r="X116" s="102" t="s">
        <v>137</v>
      </c>
      <c r="Y116" s="103" t="s">
        <v>138</v>
      </c>
      <c r="Z116" s="103" t="s">
        <v>139</v>
      </c>
      <c r="AA116" s="103" t="s">
        <v>47</v>
      </c>
      <c r="AB116" s="103" t="s">
        <v>140</v>
      </c>
      <c r="AC116" s="104" t="s">
        <v>141</v>
      </c>
    </row>
    <row r="117" spans="1:29" ht="25.5" customHeight="1" x14ac:dyDescent="0.35">
      <c r="A117" s="188"/>
      <c r="B117" s="190"/>
      <c r="C117" s="99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0"/>
      <c r="E117" s="78" t="str">
        <f>IF(C117="","",IFERROR(VLOOKUP(C117,parametros!$A$11:$E$15,5,0),""))</f>
        <v/>
      </c>
      <c r="F117" s="79" t="str">
        <f t="shared" si="7"/>
        <v/>
      </c>
      <c r="G117" s="101"/>
      <c r="H117" s="91">
        <f t="shared" si="8"/>
        <v>0</v>
      </c>
      <c r="I117" s="91" t="str">
        <f t="shared" si="9"/>
        <v/>
      </c>
      <c r="J117" s="91" t="str">
        <f t="shared" si="10"/>
        <v/>
      </c>
      <c r="K117" s="92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2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17" t="str">
        <f t="shared" si="11"/>
        <v/>
      </c>
      <c r="V117" s="215" t="s">
        <v>47</v>
      </c>
      <c r="W117" s="102" t="s">
        <v>136</v>
      </c>
      <c r="X117" s="102" t="s">
        <v>137</v>
      </c>
      <c r="Y117" s="103" t="s">
        <v>138</v>
      </c>
      <c r="Z117" s="103" t="s">
        <v>139</v>
      </c>
      <c r="AA117" s="103" t="s">
        <v>47</v>
      </c>
      <c r="AB117" s="103" t="s">
        <v>140</v>
      </c>
      <c r="AC117" s="104" t="s">
        <v>141</v>
      </c>
    </row>
    <row r="118" spans="1:29" ht="25.5" customHeight="1" x14ac:dyDescent="0.35">
      <c r="A118" s="188"/>
      <c r="B118" s="190"/>
      <c r="C118" s="99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0"/>
      <c r="E118" s="78" t="str">
        <f>IF(C118="","",IFERROR(VLOOKUP(C118,parametros!$A$11:$E$15,5,0),""))</f>
        <v/>
      </c>
      <c r="F118" s="79" t="str">
        <f t="shared" si="7"/>
        <v/>
      </c>
      <c r="G118" s="101"/>
      <c r="H118" s="91">
        <f t="shared" si="8"/>
        <v>0</v>
      </c>
      <c r="I118" s="91" t="str">
        <f t="shared" si="9"/>
        <v/>
      </c>
      <c r="J118" s="91" t="str">
        <f t="shared" si="10"/>
        <v/>
      </c>
      <c r="K118" s="92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2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17" t="str">
        <f t="shared" si="11"/>
        <v/>
      </c>
      <c r="V118" s="215" t="s">
        <v>47</v>
      </c>
      <c r="W118" s="102" t="s">
        <v>136</v>
      </c>
      <c r="X118" s="102" t="s">
        <v>137</v>
      </c>
      <c r="Y118" s="103" t="s">
        <v>138</v>
      </c>
      <c r="Z118" s="103" t="s">
        <v>139</v>
      </c>
      <c r="AA118" s="103" t="s">
        <v>47</v>
      </c>
      <c r="AB118" s="103" t="s">
        <v>140</v>
      </c>
      <c r="AC118" s="104" t="s">
        <v>141</v>
      </c>
    </row>
    <row r="119" spans="1:29" ht="25.5" customHeight="1" x14ac:dyDescent="0.35">
      <c r="A119" s="188"/>
      <c r="B119" s="190"/>
      <c r="C119" s="99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0"/>
      <c r="E119" s="78" t="str">
        <f>IF(C119="","",IFERROR(VLOOKUP(C119,parametros!$A$11:$E$15,5,0),""))</f>
        <v/>
      </c>
      <c r="F119" s="79" t="str">
        <f t="shared" si="7"/>
        <v/>
      </c>
      <c r="G119" s="101"/>
      <c r="H119" s="91">
        <f t="shared" si="8"/>
        <v>0</v>
      </c>
      <c r="I119" s="91" t="str">
        <f t="shared" si="9"/>
        <v/>
      </c>
      <c r="J119" s="91" t="str">
        <f t="shared" si="10"/>
        <v/>
      </c>
      <c r="K119" s="92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2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17" t="str">
        <f t="shared" si="11"/>
        <v/>
      </c>
      <c r="V119" s="215" t="s">
        <v>47</v>
      </c>
      <c r="W119" s="102" t="s">
        <v>136</v>
      </c>
      <c r="X119" s="102" t="s">
        <v>137</v>
      </c>
      <c r="Y119" s="103" t="s">
        <v>138</v>
      </c>
      <c r="Z119" s="103" t="s">
        <v>139</v>
      </c>
      <c r="AA119" s="103" t="s">
        <v>47</v>
      </c>
      <c r="AB119" s="103" t="s">
        <v>140</v>
      </c>
      <c r="AC119" s="104" t="s">
        <v>141</v>
      </c>
    </row>
    <row r="120" spans="1:29" ht="25.5" customHeight="1" x14ac:dyDescent="0.35">
      <c r="A120" s="188"/>
      <c r="B120" s="190"/>
      <c r="C120" s="99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0"/>
      <c r="E120" s="78" t="str">
        <f>IF(C120="","",IFERROR(VLOOKUP(C120,parametros!$A$11:$E$15,5,0),""))</f>
        <v/>
      </c>
      <c r="F120" s="79" t="str">
        <f t="shared" si="7"/>
        <v/>
      </c>
      <c r="G120" s="101"/>
      <c r="H120" s="91">
        <f t="shared" si="8"/>
        <v>0</v>
      </c>
      <c r="I120" s="91" t="str">
        <f t="shared" si="9"/>
        <v/>
      </c>
      <c r="J120" s="91" t="str">
        <f t="shared" si="10"/>
        <v/>
      </c>
      <c r="K120" s="92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2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17" t="str">
        <f t="shared" si="11"/>
        <v/>
      </c>
      <c r="V120" s="215" t="s">
        <v>47</v>
      </c>
      <c r="W120" s="102" t="s">
        <v>136</v>
      </c>
      <c r="X120" s="102" t="s">
        <v>137</v>
      </c>
      <c r="Y120" s="103" t="s">
        <v>138</v>
      </c>
      <c r="Z120" s="103" t="s">
        <v>139</v>
      </c>
      <c r="AA120" s="103" t="s">
        <v>47</v>
      </c>
      <c r="AB120" s="103" t="s">
        <v>140</v>
      </c>
      <c r="AC120" s="104" t="s">
        <v>141</v>
      </c>
    </row>
    <row r="121" spans="1:29" ht="25.5" customHeight="1" x14ac:dyDescent="0.35">
      <c r="A121" s="188"/>
      <c r="B121" s="190"/>
      <c r="C121" s="99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0"/>
      <c r="E121" s="78" t="str">
        <f>IF(C121="","",IFERROR(VLOOKUP(C121,parametros!$A$11:$E$15,5,0),""))</f>
        <v/>
      </c>
      <c r="F121" s="79" t="str">
        <f t="shared" si="7"/>
        <v/>
      </c>
      <c r="G121" s="101"/>
      <c r="H121" s="91">
        <f t="shared" si="8"/>
        <v>0</v>
      </c>
      <c r="I121" s="91" t="str">
        <f t="shared" si="9"/>
        <v/>
      </c>
      <c r="J121" s="91" t="str">
        <f t="shared" si="10"/>
        <v/>
      </c>
      <c r="K121" s="92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2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17" t="str">
        <f t="shared" si="11"/>
        <v/>
      </c>
      <c r="V121" s="215" t="s">
        <v>47</v>
      </c>
      <c r="W121" s="102" t="s">
        <v>136</v>
      </c>
      <c r="X121" s="102" t="s">
        <v>137</v>
      </c>
      <c r="Y121" s="103" t="s">
        <v>138</v>
      </c>
      <c r="Z121" s="103" t="s">
        <v>139</v>
      </c>
      <c r="AA121" s="103" t="s">
        <v>47</v>
      </c>
      <c r="AB121" s="103" t="s">
        <v>140</v>
      </c>
      <c r="AC121" s="104" t="s">
        <v>141</v>
      </c>
    </row>
    <row r="122" spans="1:29" ht="25.5" customHeight="1" x14ac:dyDescent="0.35">
      <c r="A122" s="188"/>
      <c r="B122" s="190"/>
      <c r="C122" s="99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0"/>
      <c r="E122" s="78" t="str">
        <f>IF(C122="","",IFERROR(VLOOKUP(C122,parametros!$A$11:$E$15,5,0),""))</f>
        <v/>
      </c>
      <c r="F122" s="79" t="str">
        <f t="shared" si="7"/>
        <v/>
      </c>
      <c r="G122" s="101"/>
      <c r="H122" s="91">
        <f t="shared" si="8"/>
        <v>0</v>
      </c>
      <c r="I122" s="91" t="str">
        <f t="shared" si="9"/>
        <v/>
      </c>
      <c r="J122" s="91" t="str">
        <f t="shared" si="10"/>
        <v/>
      </c>
      <c r="K122" s="92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2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17" t="str">
        <f t="shared" si="11"/>
        <v/>
      </c>
      <c r="V122" s="215" t="s">
        <v>47</v>
      </c>
      <c r="W122" s="102" t="s">
        <v>136</v>
      </c>
      <c r="X122" s="102" t="s">
        <v>137</v>
      </c>
      <c r="Y122" s="103" t="s">
        <v>138</v>
      </c>
      <c r="Z122" s="103" t="s">
        <v>139</v>
      </c>
      <c r="AA122" s="103" t="s">
        <v>47</v>
      </c>
      <c r="AB122" s="103" t="s">
        <v>140</v>
      </c>
      <c r="AC122" s="104" t="s">
        <v>141</v>
      </c>
    </row>
    <row r="123" spans="1:29" ht="25.5" customHeight="1" x14ac:dyDescent="0.35">
      <c r="A123" s="188"/>
      <c r="B123" s="190"/>
      <c r="C123" s="99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0"/>
      <c r="E123" s="78" t="str">
        <f>IF(C123="","",IFERROR(VLOOKUP(C123,parametros!$A$11:$E$15,5,0),""))</f>
        <v/>
      </c>
      <c r="F123" s="79" t="str">
        <f t="shared" si="7"/>
        <v/>
      </c>
      <c r="G123" s="101"/>
      <c r="H123" s="91">
        <f t="shared" si="8"/>
        <v>0</v>
      </c>
      <c r="I123" s="91" t="str">
        <f t="shared" si="9"/>
        <v/>
      </c>
      <c r="J123" s="91" t="str">
        <f t="shared" si="10"/>
        <v/>
      </c>
      <c r="K123" s="92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2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17" t="str">
        <f t="shared" si="11"/>
        <v/>
      </c>
      <c r="V123" s="215" t="s">
        <v>47</v>
      </c>
      <c r="W123" s="102" t="s">
        <v>136</v>
      </c>
      <c r="X123" s="102" t="s">
        <v>137</v>
      </c>
      <c r="Y123" s="103" t="s">
        <v>138</v>
      </c>
      <c r="Z123" s="103" t="s">
        <v>139</v>
      </c>
      <c r="AA123" s="103" t="s">
        <v>47</v>
      </c>
      <c r="AB123" s="103" t="s">
        <v>140</v>
      </c>
      <c r="AC123" s="104" t="s">
        <v>141</v>
      </c>
    </row>
    <row r="124" spans="1:29" ht="25.5" customHeight="1" x14ac:dyDescent="0.35">
      <c r="A124" s="188"/>
      <c r="B124" s="190"/>
      <c r="C124" s="99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0"/>
      <c r="E124" s="78" t="str">
        <f>IF(C124="","",IFERROR(VLOOKUP(C124,parametros!$A$11:$E$15,5,0),""))</f>
        <v/>
      </c>
      <c r="F124" s="79" t="str">
        <f t="shared" si="7"/>
        <v/>
      </c>
      <c r="G124" s="101"/>
      <c r="H124" s="91">
        <f t="shared" si="8"/>
        <v>0</v>
      </c>
      <c r="I124" s="91" t="str">
        <f t="shared" si="9"/>
        <v/>
      </c>
      <c r="J124" s="91" t="str">
        <f t="shared" si="10"/>
        <v/>
      </c>
      <c r="K124" s="92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2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17" t="str">
        <f t="shared" si="11"/>
        <v/>
      </c>
      <c r="V124" s="215" t="s">
        <v>47</v>
      </c>
      <c r="W124" s="102" t="s">
        <v>136</v>
      </c>
      <c r="X124" s="102" t="s">
        <v>137</v>
      </c>
      <c r="Y124" s="103" t="s">
        <v>138</v>
      </c>
      <c r="Z124" s="103" t="s">
        <v>139</v>
      </c>
      <c r="AA124" s="103" t="s">
        <v>47</v>
      </c>
      <c r="AB124" s="103" t="s">
        <v>140</v>
      </c>
      <c r="AC124" s="104" t="s">
        <v>141</v>
      </c>
    </row>
    <row r="125" spans="1:29" ht="25.5" customHeight="1" x14ac:dyDescent="0.35">
      <c r="A125" s="188"/>
      <c r="B125" s="190"/>
      <c r="C125" s="99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0"/>
      <c r="E125" s="78" t="str">
        <f>IF(C125="","",IFERROR(VLOOKUP(C125,parametros!$A$11:$E$15,5,0),""))</f>
        <v/>
      </c>
      <c r="F125" s="79" t="str">
        <f t="shared" si="7"/>
        <v/>
      </c>
      <c r="G125" s="101"/>
      <c r="H125" s="91">
        <f t="shared" si="8"/>
        <v>0</v>
      </c>
      <c r="I125" s="91" t="str">
        <f t="shared" si="9"/>
        <v/>
      </c>
      <c r="J125" s="91" t="str">
        <f t="shared" si="10"/>
        <v/>
      </c>
      <c r="K125" s="92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2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17" t="str">
        <f t="shared" si="11"/>
        <v/>
      </c>
      <c r="V125" s="215" t="s">
        <v>47</v>
      </c>
      <c r="W125" s="102" t="s">
        <v>136</v>
      </c>
      <c r="X125" s="102" t="s">
        <v>137</v>
      </c>
      <c r="Y125" s="103" t="s">
        <v>138</v>
      </c>
      <c r="Z125" s="103" t="s">
        <v>139</v>
      </c>
      <c r="AA125" s="103" t="s">
        <v>47</v>
      </c>
      <c r="AB125" s="103" t="s">
        <v>140</v>
      </c>
      <c r="AC125" s="104" t="s">
        <v>141</v>
      </c>
    </row>
    <row r="126" spans="1:29" ht="25.5" customHeight="1" x14ac:dyDescent="0.35">
      <c r="A126" s="188"/>
      <c r="B126" s="190"/>
      <c r="C126" s="99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0"/>
      <c r="E126" s="78" t="str">
        <f>IF(C126="","",IFERROR(VLOOKUP(C126,parametros!$A$11:$E$15,5,0),""))</f>
        <v/>
      </c>
      <c r="F126" s="79" t="str">
        <f t="shared" si="7"/>
        <v/>
      </c>
      <c r="G126" s="101"/>
      <c r="H126" s="91">
        <f t="shared" si="8"/>
        <v>0</v>
      </c>
      <c r="I126" s="91" t="str">
        <f t="shared" si="9"/>
        <v/>
      </c>
      <c r="J126" s="91" t="str">
        <f t="shared" si="10"/>
        <v/>
      </c>
      <c r="K126" s="92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2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17" t="str">
        <f t="shared" si="11"/>
        <v/>
      </c>
      <c r="V126" s="215" t="s">
        <v>47</v>
      </c>
      <c r="W126" s="102" t="s">
        <v>136</v>
      </c>
      <c r="X126" s="102" t="s">
        <v>137</v>
      </c>
      <c r="Y126" s="103" t="s">
        <v>138</v>
      </c>
      <c r="Z126" s="103" t="s">
        <v>139</v>
      </c>
      <c r="AA126" s="103" t="s">
        <v>47</v>
      </c>
      <c r="AB126" s="103" t="s">
        <v>140</v>
      </c>
      <c r="AC126" s="104" t="s">
        <v>141</v>
      </c>
    </row>
    <row r="127" spans="1:29" ht="25.5" customHeight="1" x14ac:dyDescent="0.35">
      <c r="A127" s="188"/>
      <c r="B127" s="190"/>
      <c r="C127" s="99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0"/>
      <c r="E127" s="78" t="str">
        <f>IF(C127="","",IFERROR(VLOOKUP(C127,parametros!$A$11:$E$15,5,0),""))</f>
        <v/>
      </c>
      <c r="F127" s="79" t="str">
        <f t="shared" si="7"/>
        <v/>
      </c>
      <c r="G127" s="101"/>
      <c r="H127" s="91">
        <f t="shared" si="8"/>
        <v>0</v>
      </c>
      <c r="I127" s="91" t="str">
        <f t="shared" si="9"/>
        <v/>
      </c>
      <c r="J127" s="91" t="str">
        <f t="shared" si="10"/>
        <v/>
      </c>
      <c r="K127" s="92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2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17" t="str">
        <f t="shared" si="11"/>
        <v/>
      </c>
      <c r="V127" s="215" t="s">
        <v>47</v>
      </c>
      <c r="W127" s="102" t="s">
        <v>136</v>
      </c>
      <c r="X127" s="102" t="s">
        <v>137</v>
      </c>
      <c r="Y127" s="103" t="s">
        <v>138</v>
      </c>
      <c r="Z127" s="103" t="s">
        <v>139</v>
      </c>
      <c r="AA127" s="103" t="s">
        <v>47</v>
      </c>
      <c r="AB127" s="103" t="s">
        <v>140</v>
      </c>
      <c r="AC127" s="104" t="s">
        <v>141</v>
      </c>
    </row>
    <row r="128" spans="1:29" ht="25.5" customHeight="1" x14ac:dyDescent="0.35">
      <c r="A128" s="188"/>
      <c r="B128" s="190"/>
      <c r="C128" s="99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0"/>
      <c r="E128" s="78" t="str">
        <f>IF(C128="","",IFERROR(VLOOKUP(C128,parametros!$A$11:$E$15,5,0),""))</f>
        <v/>
      </c>
      <c r="F128" s="79" t="str">
        <f t="shared" si="7"/>
        <v/>
      </c>
      <c r="G128" s="101"/>
      <c r="H128" s="91">
        <f t="shared" si="8"/>
        <v>0</v>
      </c>
      <c r="I128" s="91" t="str">
        <f t="shared" si="9"/>
        <v/>
      </c>
      <c r="J128" s="91" t="str">
        <f t="shared" si="10"/>
        <v/>
      </c>
      <c r="K128" s="92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2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17" t="str">
        <f t="shared" si="11"/>
        <v/>
      </c>
      <c r="V128" s="215" t="s">
        <v>47</v>
      </c>
      <c r="W128" s="102" t="s">
        <v>136</v>
      </c>
      <c r="X128" s="102" t="s">
        <v>137</v>
      </c>
      <c r="Y128" s="103" t="s">
        <v>138</v>
      </c>
      <c r="Z128" s="103" t="s">
        <v>139</v>
      </c>
      <c r="AA128" s="103" t="s">
        <v>47</v>
      </c>
      <c r="AB128" s="103" t="s">
        <v>140</v>
      </c>
      <c r="AC128" s="104" t="s">
        <v>141</v>
      </c>
    </row>
    <row r="129" spans="1:29" ht="25.5" customHeight="1" x14ac:dyDescent="0.35">
      <c r="A129" s="188"/>
      <c r="B129" s="190"/>
      <c r="C129" s="99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0"/>
      <c r="E129" s="78" t="str">
        <f>IF(C129="","",IFERROR(VLOOKUP(C129,parametros!$A$11:$E$15,5,0),""))</f>
        <v/>
      </c>
      <c r="F129" s="79" t="str">
        <f t="shared" si="7"/>
        <v/>
      </c>
      <c r="G129" s="101"/>
      <c r="H129" s="91">
        <f t="shared" si="8"/>
        <v>0</v>
      </c>
      <c r="I129" s="91" t="str">
        <f t="shared" si="9"/>
        <v/>
      </c>
      <c r="J129" s="91" t="str">
        <f t="shared" si="10"/>
        <v/>
      </c>
      <c r="K129" s="92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2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17" t="str">
        <f t="shared" si="11"/>
        <v/>
      </c>
      <c r="V129" s="215" t="s">
        <v>47</v>
      </c>
      <c r="W129" s="102" t="s">
        <v>136</v>
      </c>
      <c r="X129" s="102" t="s">
        <v>137</v>
      </c>
      <c r="Y129" s="103" t="s">
        <v>138</v>
      </c>
      <c r="Z129" s="103" t="s">
        <v>139</v>
      </c>
      <c r="AA129" s="103" t="s">
        <v>47</v>
      </c>
      <c r="AB129" s="103" t="s">
        <v>140</v>
      </c>
      <c r="AC129" s="104" t="s">
        <v>141</v>
      </c>
    </row>
    <row r="130" spans="1:29" ht="25.5" customHeight="1" x14ac:dyDescent="0.35">
      <c r="A130" s="188"/>
      <c r="B130" s="190"/>
      <c r="C130" s="99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0"/>
      <c r="E130" s="78" t="str">
        <f>IF(C130="","",IFERROR(VLOOKUP(C130,parametros!$A$11:$E$15,5,0),""))</f>
        <v/>
      </c>
      <c r="F130" s="79" t="str">
        <f t="shared" ref="F130:F193" si="12">IF(OR(D130="",E130=""),"",ROUND(D130*E130,2))</f>
        <v/>
      </c>
      <c r="G130" s="101"/>
      <c r="H130" s="91">
        <f t="shared" ref="H130:H193" si="13">IF(G130="Sim",IF(OR(F130="",D130="",L130=""),"",IF(L130="Sim",ROUND(F130-D130,2),0)),0)</f>
        <v>0</v>
      </c>
      <c r="I130" s="91" t="str">
        <f t="shared" ref="I130:I193" si="14">IF(G130="Sim",0,IF(OR(F130="",L130=""),"",F130))</f>
        <v/>
      </c>
      <c r="J130" s="91" t="str">
        <f t="shared" ref="J130:J193" si="15">IF(G130="Sim",0,IF(OR(F130="",D130="",L130=""),"",IF(L130="Sim",ROUND(F130-D130,2),0)))</f>
        <v/>
      </c>
      <c r="K130" s="92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2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17" t="str">
        <f t="shared" ref="U130:U193" si="16">IF(OR($D130="",$H130=""),"",ROUND($D130+$H130,2))</f>
        <v/>
      </c>
      <c r="V130" s="215" t="s">
        <v>47</v>
      </c>
      <c r="W130" s="102" t="s">
        <v>136</v>
      </c>
      <c r="X130" s="102" t="s">
        <v>137</v>
      </c>
      <c r="Y130" s="103" t="s">
        <v>138</v>
      </c>
      <c r="Z130" s="103" t="s">
        <v>139</v>
      </c>
      <c r="AA130" s="103" t="s">
        <v>47</v>
      </c>
      <c r="AB130" s="103" t="s">
        <v>140</v>
      </c>
      <c r="AC130" s="104" t="s">
        <v>141</v>
      </c>
    </row>
    <row r="131" spans="1:29" ht="25.5" customHeight="1" x14ac:dyDescent="0.35">
      <c r="A131" s="188"/>
      <c r="B131" s="190"/>
      <c r="C131" s="99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0"/>
      <c r="E131" s="78" t="str">
        <f>IF(C131="","",IFERROR(VLOOKUP(C131,parametros!$A$11:$E$15,5,0),""))</f>
        <v/>
      </c>
      <c r="F131" s="79" t="str">
        <f t="shared" si="12"/>
        <v/>
      </c>
      <c r="G131" s="101"/>
      <c r="H131" s="91">
        <f t="shared" si="13"/>
        <v>0</v>
      </c>
      <c r="I131" s="91" t="str">
        <f t="shared" si="14"/>
        <v/>
      </c>
      <c r="J131" s="91" t="str">
        <f t="shared" si="15"/>
        <v/>
      </c>
      <c r="K131" s="92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2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17" t="str">
        <f t="shared" si="16"/>
        <v/>
      </c>
      <c r="V131" s="215" t="s">
        <v>47</v>
      </c>
      <c r="W131" s="102" t="s">
        <v>136</v>
      </c>
      <c r="X131" s="102" t="s">
        <v>137</v>
      </c>
      <c r="Y131" s="103" t="s">
        <v>138</v>
      </c>
      <c r="Z131" s="103" t="s">
        <v>139</v>
      </c>
      <c r="AA131" s="103" t="s">
        <v>47</v>
      </c>
      <c r="AB131" s="103" t="s">
        <v>140</v>
      </c>
      <c r="AC131" s="104" t="s">
        <v>141</v>
      </c>
    </row>
    <row r="132" spans="1:29" ht="25.5" customHeight="1" x14ac:dyDescent="0.35">
      <c r="A132" s="188"/>
      <c r="B132" s="190"/>
      <c r="C132" s="99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0"/>
      <c r="E132" s="78" t="str">
        <f>IF(C132="","",IFERROR(VLOOKUP(C132,parametros!$A$11:$E$15,5,0),""))</f>
        <v/>
      </c>
      <c r="F132" s="79" t="str">
        <f t="shared" si="12"/>
        <v/>
      </c>
      <c r="G132" s="101"/>
      <c r="H132" s="91">
        <f t="shared" si="13"/>
        <v>0</v>
      </c>
      <c r="I132" s="91" t="str">
        <f t="shared" si="14"/>
        <v/>
      </c>
      <c r="J132" s="91" t="str">
        <f t="shared" si="15"/>
        <v/>
      </c>
      <c r="K132" s="92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2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17" t="str">
        <f t="shared" si="16"/>
        <v/>
      </c>
      <c r="V132" s="215" t="s">
        <v>47</v>
      </c>
      <c r="W132" s="102" t="s">
        <v>136</v>
      </c>
      <c r="X132" s="102" t="s">
        <v>137</v>
      </c>
      <c r="Y132" s="103" t="s">
        <v>138</v>
      </c>
      <c r="Z132" s="103" t="s">
        <v>139</v>
      </c>
      <c r="AA132" s="103" t="s">
        <v>47</v>
      </c>
      <c r="AB132" s="103" t="s">
        <v>140</v>
      </c>
      <c r="AC132" s="104" t="s">
        <v>141</v>
      </c>
    </row>
    <row r="133" spans="1:29" ht="25.5" customHeight="1" x14ac:dyDescent="0.35">
      <c r="A133" s="188"/>
      <c r="B133" s="190"/>
      <c r="C133" s="99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0"/>
      <c r="E133" s="78" t="str">
        <f>IF(C133="","",IFERROR(VLOOKUP(C133,parametros!$A$11:$E$15,5,0),""))</f>
        <v/>
      </c>
      <c r="F133" s="79" t="str">
        <f t="shared" si="12"/>
        <v/>
      </c>
      <c r="G133" s="101"/>
      <c r="H133" s="91">
        <f t="shared" si="13"/>
        <v>0</v>
      </c>
      <c r="I133" s="91" t="str">
        <f t="shared" si="14"/>
        <v/>
      </c>
      <c r="J133" s="91" t="str">
        <f t="shared" si="15"/>
        <v/>
      </c>
      <c r="K133" s="92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2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17" t="str">
        <f t="shared" si="16"/>
        <v/>
      </c>
      <c r="V133" s="215" t="s">
        <v>47</v>
      </c>
      <c r="W133" s="102" t="s">
        <v>136</v>
      </c>
      <c r="X133" s="102" t="s">
        <v>137</v>
      </c>
      <c r="Y133" s="103" t="s">
        <v>138</v>
      </c>
      <c r="Z133" s="103" t="s">
        <v>139</v>
      </c>
      <c r="AA133" s="103" t="s">
        <v>47</v>
      </c>
      <c r="AB133" s="103" t="s">
        <v>140</v>
      </c>
      <c r="AC133" s="104" t="s">
        <v>141</v>
      </c>
    </row>
    <row r="134" spans="1:29" ht="25.5" customHeight="1" x14ac:dyDescent="0.35">
      <c r="A134" s="188"/>
      <c r="B134" s="190"/>
      <c r="C134" s="99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0"/>
      <c r="E134" s="78" t="str">
        <f>IF(C134="","",IFERROR(VLOOKUP(C134,parametros!$A$11:$E$15,5,0),""))</f>
        <v/>
      </c>
      <c r="F134" s="79" t="str">
        <f t="shared" si="12"/>
        <v/>
      </c>
      <c r="G134" s="101"/>
      <c r="H134" s="91">
        <f t="shared" si="13"/>
        <v>0</v>
      </c>
      <c r="I134" s="91" t="str">
        <f t="shared" si="14"/>
        <v/>
      </c>
      <c r="J134" s="91" t="str">
        <f t="shared" si="15"/>
        <v/>
      </c>
      <c r="K134" s="92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2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17" t="str">
        <f t="shared" si="16"/>
        <v/>
      </c>
      <c r="V134" s="215" t="s">
        <v>47</v>
      </c>
      <c r="W134" s="102" t="s">
        <v>136</v>
      </c>
      <c r="X134" s="102" t="s">
        <v>137</v>
      </c>
      <c r="Y134" s="103" t="s">
        <v>138</v>
      </c>
      <c r="Z134" s="103" t="s">
        <v>139</v>
      </c>
      <c r="AA134" s="103" t="s">
        <v>47</v>
      </c>
      <c r="AB134" s="103" t="s">
        <v>140</v>
      </c>
      <c r="AC134" s="104" t="s">
        <v>141</v>
      </c>
    </row>
    <row r="135" spans="1:29" ht="25.5" customHeight="1" x14ac:dyDescent="0.35">
      <c r="A135" s="188"/>
      <c r="B135" s="190"/>
      <c r="C135" s="99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0"/>
      <c r="E135" s="78" t="str">
        <f>IF(C135="","",IFERROR(VLOOKUP(C135,parametros!$A$11:$E$15,5,0),""))</f>
        <v/>
      </c>
      <c r="F135" s="79" t="str">
        <f t="shared" si="12"/>
        <v/>
      </c>
      <c r="G135" s="101"/>
      <c r="H135" s="91">
        <f t="shared" si="13"/>
        <v>0</v>
      </c>
      <c r="I135" s="91" t="str">
        <f t="shared" si="14"/>
        <v/>
      </c>
      <c r="J135" s="91" t="str">
        <f t="shared" si="15"/>
        <v/>
      </c>
      <c r="K135" s="92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2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17" t="str">
        <f t="shared" si="16"/>
        <v/>
      </c>
      <c r="V135" s="215" t="s">
        <v>47</v>
      </c>
      <c r="W135" s="102" t="s">
        <v>136</v>
      </c>
      <c r="X135" s="102" t="s">
        <v>137</v>
      </c>
      <c r="Y135" s="103" t="s">
        <v>138</v>
      </c>
      <c r="Z135" s="103" t="s">
        <v>139</v>
      </c>
      <c r="AA135" s="103" t="s">
        <v>47</v>
      </c>
      <c r="AB135" s="103" t="s">
        <v>140</v>
      </c>
      <c r="AC135" s="104" t="s">
        <v>141</v>
      </c>
    </row>
    <row r="136" spans="1:29" ht="25.5" customHeight="1" x14ac:dyDescent="0.35">
      <c r="A136" s="188"/>
      <c r="B136" s="190"/>
      <c r="C136" s="99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0"/>
      <c r="E136" s="78" t="str">
        <f>IF(C136="","",IFERROR(VLOOKUP(C136,parametros!$A$11:$E$15,5,0),""))</f>
        <v/>
      </c>
      <c r="F136" s="79" t="str">
        <f t="shared" si="12"/>
        <v/>
      </c>
      <c r="G136" s="101"/>
      <c r="H136" s="91">
        <f t="shared" si="13"/>
        <v>0</v>
      </c>
      <c r="I136" s="91" t="str">
        <f t="shared" si="14"/>
        <v/>
      </c>
      <c r="J136" s="91" t="str">
        <f t="shared" si="15"/>
        <v/>
      </c>
      <c r="K136" s="92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2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17" t="str">
        <f t="shared" si="16"/>
        <v/>
      </c>
      <c r="V136" s="215" t="s">
        <v>47</v>
      </c>
      <c r="W136" s="102" t="s">
        <v>136</v>
      </c>
      <c r="X136" s="102" t="s">
        <v>137</v>
      </c>
      <c r="Y136" s="103" t="s">
        <v>138</v>
      </c>
      <c r="Z136" s="103" t="s">
        <v>139</v>
      </c>
      <c r="AA136" s="103" t="s">
        <v>47</v>
      </c>
      <c r="AB136" s="103" t="s">
        <v>140</v>
      </c>
      <c r="AC136" s="104" t="s">
        <v>141</v>
      </c>
    </row>
    <row r="137" spans="1:29" ht="25.5" customHeight="1" x14ac:dyDescent="0.35">
      <c r="A137" s="188"/>
      <c r="B137" s="190"/>
      <c r="C137" s="99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0"/>
      <c r="E137" s="78" t="str">
        <f>IF(C137="","",IFERROR(VLOOKUP(C137,parametros!$A$11:$E$15,5,0),""))</f>
        <v/>
      </c>
      <c r="F137" s="79" t="str">
        <f t="shared" si="12"/>
        <v/>
      </c>
      <c r="G137" s="101"/>
      <c r="H137" s="91">
        <f t="shared" si="13"/>
        <v>0</v>
      </c>
      <c r="I137" s="91" t="str">
        <f t="shared" si="14"/>
        <v/>
      </c>
      <c r="J137" s="91" t="str">
        <f t="shared" si="15"/>
        <v/>
      </c>
      <c r="K137" s="92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2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17" t="str">
        <f t="shared" si="16"/>
        <v/>
      </c>
      <c r="V137" s="215" t="s">
        <v>47</v>
      </c>
      <c r="W137" s="102" t="s">
        <v>136</v>
      </c>
      <c r="X137" s="102" t="s">
        <v>137</v>
      </c>
      <c r="Y137" s="103" t="s">
        <v>138</v>
      </c>
      <c r="Z137" s="103" t="s">
        <v>139</v>
      </c>
      <c r="AA137" s="103" t="s">
        <v>47</v>
      </c>
      <c r="AB137" s="103" t="s">
        <v>140</v>
      </c>
      <c r="AC137" s="104" t="s">
        <v>141</v>
      </c>
    </row>
    <row r="138" spans="1:29" ht="25.5" customHeight="1" x14ac:dyDescent="0.35">
      <c r="A138" s="188"/>
      <c r="B138" s="190"/>
      <c r="C138" s="99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0"/>
      <c r="E138" s="78" t="str">
        <f>IF(C138="","",IFERROR(VLOOKUP(C138,parametros!$A$11:$E$15,5,0),""))</f>
        <v/>
      </c>
      <c r="F138" s="79" t="str">
        <f t="shared" si="12"/>
        <v/>
      </c>
      <c r="G138" s="101"/>
      <c r="H138" s="91">
        <f t="shared" si="13"/>
        <v>0</v>
      </c>
      <c r="I138" s="91" t="str">
        <f t="shared" si="14"/>
        <v/>
      </c>
      <c r="J138" s="91" t="str">
        <f t="shared" si="15"/>
        <v/>
      </c>
      <c r="K138" s="92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2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17" t="str">
        <f t="shared" si="16"/>
        <v/>
      </c>
      <c r="V138" s="215" t="s">
        <v>47</v>
      </c>
      <c r="W138" s="102" t="s">
        <v>136</v>
      </c>
      <c r="X138" s="102" t="s">
        <v>137</v>
      </c>
      <c r="Y138" s="103" t="s">
        <v>138</v>
      </c>
      <c r="Z138" s="103" t="s">
        <v>139</v>
      </c>
      <c r="AA138" s="103" t="s">
        <v>47</v>
      </c>
      <c r="AB138" s="103" t="s">
        <v>140</v>
      </c>
      <c r="AC138" s="104" t="s">
        <v>141</v>
      </c>
    </row>
    <row r="139" spans="1:29" ht="25.5" customHeight="1" x14ac:dyDescent="0.35">
      <c r="A139" s="188"/>
      <c r="B139" s="190"/>
      <c r="C139" s="99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0"/>
      <c r="E139" s="78" t="str">
        <f>IF(C139="","",IFERROR(VLOOKUP(C139,parametros!$A$11:$E$15,5,0),""))</f>
        <v/>
      </c>
      <c r="F139" s="79" t="str">
        <f t="shared" si="12"/>
        <v/>
      </c>
      <c r="G139" s="101"/>
      <c r="H139" s="91">
        <f t="shared" si="13"/>
        <v>0</v>
      </c>
      <c r="I139" s="91" t="str">
        <f t="shared" si="14"/>
        <v/>
      </c>
      <c r="J139" s="91" t="str">
        <f t="shared" si="15"/>
        <v/>
      </c>
      <c r="K139" s="92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2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17" t="str">
        <f t="shared" si="16"/>
        <v/>
      </c>
      <c r="V139" s="215" t="s">
        <v>47</v>
      </c>
      <c r="W139" s="102" t="s">
        <v>136</v>
      </c>
      <c r="X139" s="102" t="s">
        <v>137</v>
      </c>
      <c r="Y139" s="103" t="s">
        <v>138</v>
      </c>
      <c r="Z139" s="103" t="s">
        <v>139</v>
      </c>
      <c r="AA139" s="103" t="s">
        <v>47</v>
      </c>
      <c r="AB139" s="103" t="s">
        <v>140</v>
      </c>
      <c r="AC139" s="104" t="s">
        <v>141</v>
      </c>
    </row>
    <row r="140" spans="1:29" ht="25.5" customHeight="1" x14ac:dyDescent="0.35">
      <c r="A140" s="188"/>
      <c r="B140" s="190"/>
      <c r="C140" s="99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0"/>
      <c r="E140" s="78" t="str">
        <f>IF(C140="","",IFERROR(VLOOKUP(C140,parametros!$A$11:$E$15,5,0),""))</f>
        <v/>
      </c>
      <c r="F140" s="79" t="str">
        <f t="shared" si="12"/>
        <v/>
      </c>
      <c r="G140" s="101"/>
      <c r="H140" s="91">
        <f t="shared" si="13"/>
        <v>0</v>
      </c>
      <c r="I140" s="91" t="str">
        <f t="shared" si="14"/>
        <v/>
      </c>
      <c r="J140" s="91" t="str">
        <f t="shared" si="15"/>
        <v/>
      </c>
      <c r="K140" s="92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2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17" t="str">
        <f t="shared" si="16"/>
        <v/>
      </c>
      <c r="V140" s="215" t="s">
        <v>47</v>
      </c>
      <c r="W140" s="102" t="s">
        <v>136</v>
      </c>
      <c r="X140" s="102" t="s">
        <v>137</v>
      </c>
      <c r="Y140" s="103" t="s">
        <v>138</v>
      </c>
      <c r="Z140" s="103" t="s">
        <v>139</v>
      </c>
      <c r="AA140" s="103" t="s">
        <v>47</v>
      </c>
      <c r="AB140" s="103" t="s">
        <v>140</v>
      </c>
      <c r="AC140" s="104" t="s">
        <v>141</v>
      </c>
    </row>
    <row r="141" spans="1:29" ht="25.5" customHeight="1" x14ac:dyDescent="0.35">
      <c r="A141" s="188"/>
      <c r="B141" s="190"/>
      <c r="C141" s="99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0"/>
      <c r="E141" s="78" t="str">
        <f>IF(C141="","",IFERROR(VLOOKUP(C141,parametros!$A$11:$E$15,5,0),""))</f>
        <v/>
      </c>
      <c r="F141" s="79" t="str">
        <f t="shared" si="12"/>
        <v/>
      </c>
      <c r="G141" s="101"/>
      <c r="H141" s="91">
        <f t="shared" si="13"/>
        <v>0</v>
      </c>
      <c r="I141" s="91" t="str">
        <f t="shared" si="14"/>
        <v/>
      </c>
      <c r="J141" s="91" t="str">
        <f t="shared" si="15"/>
        <v/>
      </c>
      <c r="K141" s="92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2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17" t="str">
        <f t="shared" si="16"/>
        <v/>
      </c>
      <c r="V141" s="215" t="s">
        <v>47</v>
      </c>
      <c r="W141" s="102" t="s">
        <v>136</v>
      </c>
      <c r="X141" s="102" t="s">
        <v>137</v>
      </c>
      <c r="Y141" s="103" t="s">
        <v>138</v>
      </c>
      <c r="Z141" s="103" t="s">
        <v>139</v>
      </c>
      <c r="AA141" s="103" t="s">
        <v>47</v>
      </c>
      <c r="AB141" s="103" t="s">
        <v>140</v>
      </c>
      <c r="AC141" s="104" t="s">
        <v>141</v>
      </c>
    </row>
    <row r="142" spans="1:29" ht="25.5" customHeight="1" x14ac:dyDescent="0.35">
      <c r="A142" s="188"/>
      <c r="B142" s="190"/>
      <c r="C142" s="99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0"/>
      <c r="E142" s="78" t="str">
        <f>IF(C142="","",IFERROR(VLOOKUP(C142,parametros!$A$11:$E$15,5,0),""))</f>
        <v/>
      </c>
      <c r="F142" s="79" t="str">
        <f t="shared" si="12"/>
        <v/>
      </c>
      <c r="G142" s="101"/>
      <c r="H142" s="91">
        <f t="shared" si="13"/>
        <v>0</v>
      </c>
      <c r="I142" s="91" t="str">
        <f t="shared" si="14"/>
        <v/>
      </c>
      <c r="J142" s="91" t="str">
        <f t="shared" si="15"/>
        <v/>
      </c>
      <c r="K142" s="92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2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17" t="str">
        <f t="shared" si="16"/>
        <v/>
      </c>
      <c r="V142" s="215" t="s">
        <v>47</v>
      </c>
      <c r="W142" s="102" t="s">
        <v>136</v>
      </c>
      <c r="X142" s="102" t="s">
        <v>137</v>
      </c>
      <c r="Y142" s="103" t="s">
        <v>138</v>
      </c>
      <c r="Z142" s="103" t="s">
        <v>139</v>
      </c>
      <c r="AA142" s="103" t="s">
        <v>47</v>
      </c>
      <c r="AB142" s="103" t="s">
        <v>140</v>
      </c>
      <c r="AC142" s="104" t="s">
        <v>141</v>
      </c>
    </row>
    <row r="143" spans="1:29" ht="25.5" customHeight="1" x14ac:dyDescent="0.35">
      <c r="A143" s="188"/>
      <c r="B143" s="190"/>
      <c r="C143" s="99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0"/>
      <c r="E143" s="78" t="str">
        <f>IF(C143="","",IFERROR(VLOOKUP(C143,parametros!$A$11:$E$15,5,0),""))</f>
        <v/>
      </c>
      <c r="F143" s="79" t="str">
        <f t="shared" si="12"/>
        <v/>
      </c>
      <c r="G143" s="101"/>
      <c r="H143" s="91">
        <f t="shared" si="13"/>
        <v>0</v>
      </c>
      <c r="I143" s="91" t="str">
        <f t="shared" si="14"/>
        <v/>
      </c>
      <c r="J143" s="91" t="str">
        <f t="shared" si="15"/>
        <v/>
      </c>
      <c r="K143" s="92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2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17" t="str">
        <f t="shared" si="16"/>
        <v/>
      </c>
      <c r="V143" s="215" t="s">
        <v>47</v>
      </c>
      <c r="W143" s="102" t="s">
        <v>136</v>
      </c>
      <c r="X143" s="102" t="s">
        <v>137</v>
      </c>
      <c r="Y143" s="103" t="s">
        <v>138</v>
      </c>
      <c r="Z143" s="103" t="s">
        <v>139</v>
      </c>
      <c r="AA143" s="103" t="s">
        <v>47</v>
      </c>
      <c r="AB143" s="103" t="s">
        <v>140</v>
      </c>
      <c r="AC143" s="104" t="s">
        <v>141</v>
      </c>
    </row>
    <row r="144" spans="1:29" ht="25.5" customHeight="1" x14ac:dyDescent="0.35">
      <c r="A144" s="188"/>
      <c r="B144" s="190"/>
      <c r="C144" s="99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0"/>
      <c r="E144" s="78" t="str">
        <f>IF(C144="","",IFERROR(VLOOKUP(C144,parametros!$A$11:$E$15,5,0),""))</f>
        <v/>
      </c>
      <c r="F144" s="79" t="str">
        <f t="shared" si="12"/>
        <v/>
      </c>
      <c r="G144" s="101"/>
      <c r="H144" s="91">
        <f t="shared" si="13"/>
        <v>0</v>
      </c>
      <c r="I144" s="91" t="str">
        <f t="shared" si="14"/>
        <v/>
      </c>
      <c r="J144" s="91" t="str">
        <f t="shared" si="15"/>
        <v/>
      </c>
      <c r="K144" s="92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2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17" t="str">
        <f t="shared" si="16"/>
        <v/>
      </c>
      <c r="V144" s="215" t="s">
        <v>47</v>
      </c>
      <c r="W144" s="102" t="s">
        <v>136</v>
      </c>
      <c r="X144" s="102" t="s">
        <v>137</v>
      </c>
      <c r="Y144" s="103" t="s">
        <v>138</v>
      </c>
      <c r="Z144" s="103" t="s">
        <v>139</v>
      </c>
      <c r="AA144" s="103" t="s">
        <v>47</v>
      </c>
      <c r="AB144" s="103" t="s">
        <v>140</v>
      </c>
      <c r="AC144" s="104" t="s">
        <v>141</v>
      </c>
    </row>
    <row r="145" spans="1:29" ht="25.5" customHeight="1" x14ac:dyDescent="0.35">
      <c r="A145" s="188"/>
      <c r="B145" s="190"/>
      <c r="C145" s="99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0"/>
      <c r="E145" s="78" t="str">
        <f>IF(C145="","",IFERROR(VLOOKUP(C145,parametros!$A$11:$E$15,5,0),""))</f>
        <v/>
      </c>
      <c r="F145" s="79" t="str">
        <f t="shared" si="12"/>
        <v/>
      </c>
      <c r="G145" s="101"/>
      <c r="H145" s="91">
        <f t="shared" si="13"/>
        <v>0</v>
      </c>
      <c r="I145" s="91" t="str">
        <f t="shared" si="14"/>
        <v/>
      </c>
      <c r="J145" s="91" t="str">
        <f t="shared" si="15"/>
        <v/>
      </c>
      <c r="K145" s="92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2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17" t="str">
        <f t="shared" si="16"/>
        <v/>
      </c>
      <c r="V145" s="215" t="s">
        <v>47</v>
      </c>
      <c r="W145" s="102" t="s">
        <v>136</v>
      </c>
      <c r="X145" s="102" t="s">
        <v>137</v>
      </c>
      <c r="Y145" s="103" t="s">
        <v>138</v>
      </c>
      <c r="Z145" s="103" t="s">
        <v>139</v>
      </c>
      <c r="AA145" s="103" t="s">
        <v>47</v>
      </c>
      <c r="AB145" s="103" t="s">
        <v>140</v>
      </c>
      <c r="AC145" s="104" t="s">
        <v>141</v>
      </c>
    </row>
    <row r="146" spans="1:29" ht="25.5" customHeight="1" x14ac:dyDescent="0.35">
      <c r="A146" s="188"/>
      <c r="B146" s="190"/>
      <c r="C146" s="99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0"/>
      <c r="E146" s="78" t="str">
        <f>IF(C146="","",IFERROR(VLOOKUP(C146,parametros!$A$11:$E$15,5,0),""))</f>
        <v/>
      </c>
      <c r="F146" s="79" t="str">
        <f t="shared" si="12"/>
        <v/>
      </c>
      <c r="G146" s="101"/>
      <c r="H146" s="91">
        <f t="shared" si="13"/>
        <v>0</v>
      </c>
      <c r="I146" s="91" t="str">
        <f t="shared" si="14"/>
        <v/>
      </c>
      <c r="J146" s="91" t="str">
        <f t="shared" si="15"/>
        <v/>
      </c>
      <c r="K146" s="92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2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17" t="str">
        <f t="shared" si="16"/>
        <v/>
      </c>
      <c r="V146" s="215" t="s">
        <v>47</v>
      </c>
      <c r="W146" s="102" t="s">
        <v>136</v>
      </c>
      <c r="X146" s="102" t="s">
        <v>137</v>
      </c>
      <c r="Y146" s="103" t="s">
        <v>138</v>
      </c>
      <c r="Z146" s="103" t="s">
        <v>139</v>
      </c>
      <c r="AA146" s="103" t="s">
        <v>47</v>
      </c>
      <c r="AB146" s="103" t="s">
        <v>140</v>
      </c>
      <c r="AC146" s="104" t="s">
        <v>141</v>
      </c>
    </row>
    <row r="147" spans="1:29" ht="25.5" customHeight="1" x14ac:dyDescent="0.35">
      <c r="A147" s="188"/>
      <c r="B147" s="190"/>
      <c r="C147" s="99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0"/>
      <c r="E147" s="78" t="str">
        <f>IF(C147="","",IFERROR(VLOOKUP(C147,parametros!$A$11:$E$15,5,0),""))</f>
        <v/>
      </c>
      <c r="F147" s="79" t="str">
        <f t="shared" si="12"/>
        <v/>
      </c>
      <c r="G147" s="101"/>
      <c r="H147" s="91">
        <f t="shared" si="13"/>
        <v>0</v>
      </c>
      <c r="I147" s="91" t="str">
        <f t="shared" si="14"/>
        <v/>
      </c>
      <c r="J147" s="91" t="str">
        <f t="shared" si="15"/>
        <v/>
      </c>
      <c r="K147" s="92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2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17" t="str">
        <f t="shared" si="16"/>
        <v/>
      </c>
      <c r="V147" s="215" t="s">
        <v>47</v>
      </c>
      <c r="W147" s="102" t="s">
        <v>136</v>
      </c>
      <c r="X147" s="102" t="s">
        <v>137</v>
      </c>
      <c r="Y147" s="103" t="s">
        <v>138</v>
      </c>
      <c r="Z147" s="103" t="s">
        <v>139</v>
      </c>
      <c r="AA147" s="103" t="s">
        <v>47</v>
      </c>
      <c r="AB147" s="103" t="s">
        <v>140</v>
      </c>
      <c r="AC147" s="104" t="s">
        <v>141</v>
      </c>
    </row>
    <row r="148" spans="1:29" ht="25.5" customHeight="1" x14ac:dyDescent="0.35">
      <c r="A148" s="188"/>
      <c r="B148" s="190"/>
      <c r="C148" s="99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0"/>
      <c r="E148" s="78" t="str">
        <f>IF(C148="","",IFERROR(VLOOKUP(C148,parametros!$A$11:$E$15,5,0),""))</f>
        <v/>
      </c>
      <c r="F148" s="79" t="str">
        <f t="shared" si="12"/>
        <v/>
      </c>
      <c r="G148" s="101"/>
      <c r="H148" s="91">
        <f t="shared" si="13"/>
        <v>0</v>
      </c>
      <c r="I148" s="91" t="str">
        <f t="shared" si="14"/>
        <v/>
      </c>
      <c r="J148" s="91" t="str">
        <f t="shared" si="15"/>
        <v/>
      </c>
      <c r="K148" s="92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2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17" t="str">
        <f t="shared" si="16"/>
        <v/>
      </c>
      <c r="V148" s="215" t="s">
        <v>47</v>
      </c>
      <c r="W148" s="102" t="s">
        <v>136</v>
      </c>
      <c r="X148" s="102" t="s">
        <v>137</v>
      </c>
      <c r="Y148" s="103" t="s">
        <v>138</v>
      </c>
      <c r="Z148" s="103" t="s">
        <v>139</v>
      </c>
      <c r="AA148" s="103" t="s">
        <v>47</v>
      </c>
      <c r="AB148" s="103" t="s">
        <v>140</v>
      </c>
      <c r="AC148" s="104" t="s">
        <v>141</v>
      </c>
    </row>
    <row r="149" spans="1:29" ht="25.5" customHeight="1" x14ac:dyDescent="0.35">
      <c r="A149" s="188"/>
      <c r="B149" s="190"/>
      <c r="C149" s="99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0"/>
      <c r="E149" s="78" t="str">
        <f>IF(C149="","",IFERROR(VLOOKUP(C149,parametros!$A$11:$E$15,5,0),""))</f>
        <v/>
      </c>
      <c r="F149" s="79" t="str">
        <f t="shared" si="12"/>
        <v/>
      </c>
      <c r="G149" s="101"/>
      <c r="H149" s="91">
        <f t="shared" si="13"/>
        <v>0</v>
      </c>
      <c r="I149" s="91" t="str">
        <f t="shared" si="14"/>
        <v/>
      </c>
      <c r="J149" s="91" t="str">
        <f t="shared" si="15"/>
        <v/>
      </c>
      <c r="K149" s="92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2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17" t="str">
        <f t="shared" si="16"/>
        <v/>
      </c>
      <c r="V149" s="215" t="s">
        <v>47</v>
      </c>
      <c r="W149" s="102" t="s">
        <v>136</v>
      </c>
      <c r="X149" s="102" t="s">
        <v>137</v>
      </c>
      <c r="Y149" s="103" t="s">
        <v>138</v>
      </c>
      <c r="Z149" s="103" t="s">
        <v>139</v>
      </c>
      <c r="AA149" s="103" t="s">
        <v>47</v>
      </c>
      <c r="AB149" s="103" t="s">
        <v>140</v>
      </c>
      <c r="AC149" s="104" t="s">
        <v>141</v>
      </c>
    </row>
    <row r="150" spans="1:29" ht="25.5" customHeight="1" x14ac:dyDescent="0.35">
      <c r="A150" s="188"/>
      <c r="B150" s="190"/>
      <c r="C150" s="99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0"/>
      <c r="E150" s="78" t="str">
        <f>IF(C150="","",IFERROR(VLOOKUP(C150,parametros!$A$11:$E$15,5,0),""))</f>
        <v/>
      </c>
      <c r="F150" s="79" t="str">
        <f t="shared" si="12"/>
        <v/>
      </c>
      <c r="G150" s="101"/>
      <c r="H150" s="91">
        <f t="shared" si="13"/>
        <v>0</v>
      </c>
      <c r="I150" s="91" t="str">
        <f t="shared" si="14"/>
        <v/>
      </c>
      <c r="J150" s="91" t="str">
        <f t="shared" si="15"/>
        <v/>
      </c>
      <c r="K150" s="92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2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17" t="str">
        <f t="shared" si="16"/>
        <v/>
      </c>
      <c r="V150" s="215" t="s">
        <v>47</v>
      </c>
      <c r="W150" s="102" t="s">
        <v>136</v>
      </c>
      <c r="X150" s="102" t="s">
        <v>137</v>
      </c>
      <c r="Y150" s="103" t="s">
        <v>138</v>
      </c>
      <c r="Z150" s="103" t="s">
        <v>139</v>
      </c>
      <c r="AA150" s="103" t="s">
        <v>47</v>
      </c>
      <c r="AB150" s="103" t="s">
        <v>140</v>
      </c>
      <c r="AC150" s="104" t="s">
        <v>141</v>
      </c>
    </row>
    <row r="151" spans="1:29" ht="25.5" customHeight="1" x14ac:dyDescent="0.35">
      <c r="A151" s="188"/>
      <c r="B151" s="190"/>
      <c r="C151" s="99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0"/>
      <c r="E151" s="78" t="str">
        <f>IF(C151="","",IFERROR(VLOOKUP(C151,parametros!$A$11:$E$15,5,0),""))</f>
        <v/>
      </c>
      <c r="F151" s="79" t="str">
        <f t="shared" si="12"/>
        <v/>
      </c>
      <c r="G151" s="101"/>
      <c r="H151" s="91">
        <f t="shared" si="13"/>
        <v>0</v>
      </c>
      <c r="I151" s="91" t="str">
        <f t="shared" si="14"/>
        <v/>
      </c>
      <c r="J151" s="91" t="str">
        <f t="shared" si="15"/>
        <v/>
      </c>
      <c r="K151" s="92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2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17" t="str">
        <f t="shared" si="16"/>
        <v/>
      </c>
      <c r="V151" s="215" t="s">
        <v>47</v>
      </c>
      <c r="W151" s="102" t="s">
        <v>136</v>
      </c>
      <c r="X151" s="102" t="s">
        <v>137</v>
      </c>
      <c r="Y151" s="103" t="s">
        <v>138</v>
      </c>
      <c r="Z151" s="103" t="s">
        <v>139</v>
      </c>
      <c r="AA151" s="103" t="s">
        <v>47</v>
      </c>
      <c r="AB151" s="103" t="s">
        <v>140</v>
      </c>
      <c r="AC151" s="104" t="s">
        <v>141</v>
      </c>
    </row>
    <row r="152" spans="1:29" ht="25.5" customHeight="1" x14ac:dyDescent="0.35">
      <c r="A152" s="188"/>
      <c r="B152" s="190"/>
      <c r="C152" s="99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0"/>
      <c r="E152" s="78" t="str">
        <f>IF(C152="","",IFERROR(VLOOKUP(C152,parametros!$A$11:$E$15,5,0),""))</f>
        <v/>
      </c>
      <c r="F152" s="79" t="str">
        <f t="shared" si="12"/>
        <v/>
      </c>
      <c r="G152" s="101"/>
      <c r="H152" s="91">
        <f t="shared" si="13"/>
        <v>0</v>
      </c>
      <c r="I152" s="91" t="str">
        <f t="shared" si="14"/>
        <v/>
      </c>
      <c r="J152" s="91" t="str">
        <f t="shared" si="15"/>
        <v/>
      </c>
      <c r="K152" s="92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2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17" t="str">
        <f t="shared" si="16"/>
        <v/>
      </c>
      <c r="V152" s="215" t="s">
        <v>47</v>
      </c>
      <c r="W152" s="102" t="s">
        <v>136</v>
      </c>
      <c r="X152" s="102" t="s">
        <v>137</v>
      </c>
      <c r="Y152" s="103" t="s">
        <v>138</v>
      </c>
      <c r="Z152" s="103" t="s">
        <v>139</v>
      </c>
      <c r="AA152" s="103" t="s">
        <v>47</v>
      </c>
      <c r="AB152" s="103" t="s">
        <v>140</v>
      </c>
      <c r="AC152" s="104" t="s">
        <v>141</v>
      </c>
    </row>
    <row r="153" spans="1:29" ht="25.5" customHeight="1" x14ac:dyDescent="0.35">
      <c r="A153" s="188"/>
      <c r="B153" s="190"/>
      <c r="C153" s="99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0"/>
      <c r="E153" s="78" t="str">
        <f>IF(C153="","",IFERROR(VLOOKUP(C153,parametros!$A$11:$E$15,5,0),""))</f>
        <v/>
      </c>
      <c r="F153" s="79" t="str">
        <f t="shared" si="12"/>
        <v/>
      </c>
      <c r="G153" s="101"/>
      <c r="H153" s="91">
        <f t="shared" si="13"/>
        <v>0</v>
      </c>
      <c r="I153" s="91" t="str">
        <f t="shared" si="14"/>
        <v/>
      </c>
      <c r="J153" s="91" t="str">
        <f t="shared" si="15"/>
        <v/>
      </c>
      <c r="K153" s="92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2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17" t="str">
        <f t="shared" si="16"/>
        <v/>
      </c>
      <c r="V153" s="215" t="s">
        <v>47</v>
      </c>
      <c r="W153" s="102" t="s">
        <v>136</v>
      </c>
      <c r="X153" s="102" t="s">
        <v>137</v>
      </c>
      <c r="Y153" s="103" t="s">
        <v>138</v>
      </c>
      <c r="Z153" s="103" t="s">
        <v>139</v>
      </c>
      <c r="AA153" s="103" t="s">
        <v>47</v>
      </c>
      <c r="AB153" s="103" t="s">
        <v>140</v>
      </c>
      <c r="AC153" s="104" t="s">
        <v>141</v>
      </c>
    </row>
    <row r="154" spans="1:29" ht="25.5" customHeight="1" x14ac:dyDescent="0.35">
      <c r="A154" s="188"/>
      <c r="B154" s="190"/>
      <c r="C154" s="99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0"/>
      <c r="E154" s="78" t="str">
        <f>IF(C154="","",IFERROR(VLOOKUP(C154,parametros!$A$11:$E$15,5,0),""))</f>
        <v/>
      </c>
      <c r="F154" s="79" t="str">
        <f t="shared" si="12"/>
        <v/>
      </c>
      <c r="G154" s="101"/>
      <c r="H154" s="91">
        <f t="shared" si="13"/>
        <v>0</v>
      </c>
      <c r="I154" s="91" t="str">
        <f t="shared" si="14"/>
        <v/>
      </c>
      <c r="J154" s="91" t="str">
        <f t="shared" si="15"/>
        <v/>
      </c>
      <c r="K154" s="92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2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17" t="str">
        <f t="shared" si="16"/>
        <v/>
      </c>
      <c r="V154" s="215" t="s">
        <v>47</v>
      </c>
      <c r="W154" s="102" t="s">
        <v>136</v>
      </c>
      <c r="X154" s="102" t="s">
        <v>137</v>
      </c>
      <c r="Y154" s="103" t="s">
        <v>138</v>
      </c>
      <c r="Z154" s="103" t="s">
        <v>139</v>
      </c>
      <c r="AA154" s="103" t="s">
        <v>47</v>
      </c>
      <c r="AB154" s="103" t="s">
        <v>140</v>
      </c>
      <c r="AC154" s="104" t="s">
        <v>141</v>
      </c>
    </row>
    <row r="155" spans="1:29" ht="25.5" customHeight="1" x14ac:dyDescent="0.35">
      <c r="A155" s="188"/>
      <c r="B155" s="190"/>
      <c r="C155" s="99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0"/>
      <c r="E155" s="78" t="str">
        <f>IF(C155="","",IFERROR(VLOOKUP(C155,parametros!$A$11:$E$15,5,0),""))</f>
        <v/>
      </c>
      <c r="F155" s="79" t="str">
        <f t="shared" si="12"/>
        <v/>
      </c>
      <c r="G155" s="101"/>
      <c r="H155" s="91">
        <f t="shared" si="13"/>
        <v>0</v>
      </c>
      <c r="I155" s="91" t="str">
        <f t="shared" si="14"/>
        <v/>
      </c>
      <c r="J155" s="91" t="str">
        <f t="shared" si="15"/>
        <v/>
      </c>
      <c r="K155" s="92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2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17" t="str">
        <f t="shared" si="16"/>
        <v/>
      </c>
      <c r="V155" s="215" t="s">
        <v>47</v>
      </c>
      <c r="W155" s="102" t="s">
        <v>136</v>
      </c>
      <c r="X155" s="102" t="s">
        <v>137</v>
      </c>
      <c r="Y155" s="103" t="s">
        <v>138</v>
      </c>
      <c r="Z155" s="103" t="s">
        <v>139</v>
      </c>
      <c r="AA155" s="103" t="s">
        <v>47</v>
      </c>
      <c r="AB155" s="103" t="s">
        <v>140</v>
      </c>
      <c r="AC155" s="104" t="s">
        <v>141</v>
      </c>
    </row>
    <row r="156" spans="1:29" ht="25.5" customHeight="1" x14ac:dyDescent="0.35">
      <c r="A156" s="188"/>
      <c r="B156" s="190"/>
      <c r="C156" s="99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0"/>
      <c r="E156" s="78" t="str">
        <f>IF(C156="","",IFERROR(VLOOKUP(C156,parametros!$A$11:$E$15,5,0),""))</f>
        <v/>
      </c>
      <c r="F156" s="79" t="str">
        <f t="shared" si="12"/>
        <v/>
      </c>
      <c r="G156" s="101"/>
      <c r="H156" s="91">
        <f t="shared" si="13"/>
        <v>0</v>
      </c>
      <c r="I156" s="91" t="str">
        <f t="shared" si="14"/>
        <v/>
      </c>
      <c r="J156" s="91" t="str">
        <f t="shared" si="15"/>
        <v/>
      </c>
      <c r="K156" s="92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2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17" t="str">
        <f t="shared" si="16"/>
        <v/>
      </c>
      <c r="V156" s="215" t="s">
        <v>47</v>
      </c>
      <c r="W156" s="102" t="s">
        <v>136</v>
      </c>
      <c r="X156" s="102" t="s">
        <v>137</v>
      </c>
      <c r="Y156" s="103" t="s">
        <v>138</v>
      </c>
      <c r="Z156" s="103" t="s">
        <v>139</v>
      </c>
      <c r="AA156" s="103" t="s">
        <v>47</v>
      </c>
      <c r="AB156" s="103" t="s">
        <v>140</v>
      </c>
      <c r="AC156" s="104" t="s">
        <v>141</v>
      </c>
    </row>
    <row r="157" spans="1:29" ht="25.5" customHeight="1" x14ac:dyDescent="0.35">
      <c r="A157" s="188"/>
      <c r="B157" s="190"/>
      <c r="C157" s="99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0"/>
      <c r="E157" s="78" t="str">
        <f>IF(C157="","",IFERROR(VLOOKUP(C157,parametros!$A$11:$E$15,5,0),""))</f>
        <v/>
      </c>
      <c r="F157" s="79" t="str">
        <f t="shared" si="12"/>
        <v/>
      </c>
      <c r="G157" s="101"/>
      <c r="H157" s="91">
        <f t="shared" si="13"/>
        <v>0</v>
      </c>
      <c r="I157" s="91" t="str">
        <f t="shared" si="14"/>
        <v/>
      </c>
      <c r="J157" s="91" t="str">
        <f t="shared" si="15"/>
        <v/>
      </c>
      <c r="K157" s="92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2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17" t="str">
        <f t="shared" si="16"/>
        <v/>
      </c>
      <c r="V157" s="215" t="s">
        <v>47</v>
      </c>
      <c r="W157" s="102" t="s">
        <v>136</v>
      </c>
      <c r="X157" s="102" t="s">
        <v>137</v>
      </c>
      <c r="Y157" s="103" t="s">
        <v>138</v>
      </c>
      <c r="Z157" s="103" t="s">
        <v>139</v>
      </c>
      <c r="AA157" s="103" t="s">
        <v>47</v>
      </c>
      <c r="AB157" s="103" t="s">
        <v>140</v>
      </c>
      <c r="AC157" s="104" t="s">
        <v>141</v>
      </c>
    </row>
    <row r="158" spans="1:29" ht="25.5" customHeight="1" x14ac:dyDescent="0.35">
      <c r="A158" s="188"/>
      <c r="B158" s="190"/>
      <c r="C158" s="99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0"/>
      <c r="E158" s="78" t="str">
        <f>IF(C158="","",IFERROR(VLOOKUP(C158,parametros!$A$11:$E$15,5,0),""))</f>
        <v/>
      </c>
      <c r="F158" s="79" t="str">
        <f t="shared" si="12"/>
        <v/>
      </c>
      <c r="G158" s="101"/>
      <c r="H158" s="91">
        <f t="shared" si="13"/>
        <v>0</v>
      </c>
      <c r="I158" s="91" t="str">
        <f t="shared" si="14"/>
        <v/>
      </c>
      <c r="J158" s="91" t="str">
        <f t="shared" si="15"/>
        <v/>
      </c>
      <c r="K158" s="92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2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17" t="str">
        <f t="shared" si="16"/>
        <v/>
      </c>
      <c r="V158" s="215" t="s">
        <v>47</v>
      </c>
      <c r="W158" s="102" t="s">
        <v>136</v>
      </c>
      <c r="X158" s="102" t="s">
        <v>137</v>
      </c>
      <c r="Y158" s="103" t="s">
        <v>138</v>
      </c>
      <c r="Z158" s="103" t="s">
        <v>139</v>
      </c>
      <c r="AA158" s="103" t="s">
        <v>47</v>
      </c>
      <c r="AB158" s="103" t="s">
        <v>140</v>
      </c>
      <c r="AC158" s="104" t="s">
        <v>141</v>
      </c>
    </row>
    <row r="159" spans="1:29" ht="25.5" customHeight="1" x14ac:dyDescent="0.35">
      <c r="A159" s="188"/>
      <c r="B159" s="190"/>
      <c r="C159" s="99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0"/>
      <c r="E159" s="78" t="str">
        <f>IF(C159="","",IFERROR(VLOOKUP(C159,parametros!$A$11:$E$15,5,0),""))</f>
        <v/>
      </c>
      <c r="F159" s="79" t="str">
        <f t="shared" si="12"/>
        <v/>
      </c>
      <c r="G159" s="101"/>
      <c r="H159" s="91">
        <f t="shared" si="13"/>
        <v>0</v>
      </c>
      <c r="I159" s="91" t="str">
        <f t="shared" si="14"/>
        <v/>
      </c>
      <c r="J159" s="91" t="str">
        <f t="shared" si="15"/>
        <v/>
      </c>
      <c r="K159" s="92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2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17" t="str">
        <f t="shared" si="16"/>
        <v/>
      </c>
      <c r="V159" s="215" t="s">
        <v>47</v>
      </c>
      <c r="W159" s="102" t="s">
        <v>136</v>
      </c>
      <c r="X159" s="102" t="s">
        <v>137</v>
      </c>
      <c r="Y159" s="103" t="s">
        <v>138</v>
      </c>
      <c r="Z159" s="103" t="s">
        <v>139</v>
      </c>
      <c r="AA159" s="103" t="s">
        <v>47</v>
      </c>
      <c r="AB159" s="103" t="s">
        <v>140</v>
      </c>
      <c r="AC159" s="104" t="s">
        <v>141</v>
      </c>
    </row>
    <row r="160" spans="1:29" ht="25.5" customHeight="1" x14ac:dyDescent="0.35">
      <c r="A160" s="188"/>
      <c r="B160" s="190"/>
      <c r="C160" s="99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0"/>
      <c r="E160" s="78" t="str">
        <f>IF(C160="","",IFERROR(VLOOKUP(C160,parametros!$A$11:$E$15,5,0),""))</f>
        <v/>
      </c>
      <c r="F160" s="79" t="str">
        <f t="shared" si="12"/>
        <v/>
      </c>
      <c r="G160" s="101"/>
      <c r="H160" s="91">
        <f t="shared" si="13"/>
        <v>0</v>
      </c>
      <c r="I160" s="91" t="str">
        <f t="shared" si="14"/>
        <v/>
      </c>
      <c r="J160" s="91" t="str">
        <f t="shared" si="15"/>
        <v/>
      </c>
      <c r="K160" s="92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2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17" t="str">
        <f t="shared" si="16"/>
        <v/>
      </c>
      <c r="V160" s="215" t="s">
        <v>47</v>
      </c>
      <c r="W160" s="102" t="s">
        <v>136</v>
      </c>
      <c r="X160" s="102" t="s">
        <v>137</v>
      </c>
      <c r="Y160" s="103" t="s">
        <v>138</v>
      </c>
      <c r="Z160" s="103" t="s">
        <v>139</v>
      </c>
      <c r="AA160" s="103" t="s">
        <v>47</v>
      </c>
      <c r="AB160" s="103" t="s">
        <v>140</v>
      </c>
      <c r="AC160" s="104" t="s">
        <v>141</v>
      </c>
    </row>
    <row r="161" spans="1:29" ht="25.5" customHeight="1" x14ac:dyDescent="0.35">
      <c r="A161" s="188"/>
      <c r="B161" s="190"/>
      <c r="C161" s="99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0"/>
      <c r="E161" s="78" t="str">
        <f>IF(C161="","",IFERROR(VLOOKUP(C161,parametros!$A$11:$E$15,5,0),""))</f>
        <v/>
      </c>
      <c r="F161" s="79" t="str">
        <f t="shared" si="12"/>
        <v/>
      </c>
      <c r="G161" s="101"/>
      <c r="H161" s="91">
        <f t="shared" si="13"/>
        <v>0</v>
      </c>
      <c r="I161" s="91" t="str">
        <f t="shared" si="14"/>
        <v/>
      </c>
      <c r="J161" s="91" t="str">
        <f t="shared" si="15"/>
        <v/>
      </c>
      <c r="K161" s="92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2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17" t="str">
        <f t="shared" si="16"/>
        <v/>
      </c>
      <c r="V161" s="215" t="s">
        <v>47</v>
      </c>
      <c r="W161" s="102" t="s">
        <v>136</v>
      </c>
      <c r="X161" s="102" t="s">
        <v>137</v>
      </c>
      <c r="Y161" s="103" t="s">
        <v>138</v>
      </c>
      <c r="Z161" s="103" t="s">
        <v>139</v>
      </c>
      <c r="AA161" s="103" t="s">
        <v>47</v>
      </c>
      <c r="AB161" s="103" t="s">
        <v>140</v>
      </c>
      <c r="AC161" s="104" t="s">
        <v>141</v>
      </c>
    </row>
    <row r="162" spans="1:29" ht="25.5" customHeight="1" x14ac:dyDescent="0.35">
      <c r="A162" s="188"/>
      <c r="B162" s="190"/>
      <c r="C162" s="99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0"/>
      <c r="E162" s="78" t="str">
        <f>IF(C162="","",IFERROR(VLOOKUP(C162,parametros!$A$11:$E$15,5,0),""))</f>
        <v/>
      </c>
      <c r="F162" s="79" t="str">
        <f t="shared" si="12"/>
        <v/>
      </c>
      <c r="G162" s="101"/>
      <c r="H162" s="91">
        <f t="shared" si="13"/>
        <v>0</v>
      </c>
      <c r="I162" s="91" t="str">
        <f t="shared" si="14"/>
        <v/>
      </c>
      <c r="J162" s="91" t="str">
        <f t="shared" si="15"/>
        <v/>
      </c>
      <c r="K162" s="92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2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17" t="str">
        <f t="shared" si="16"/>
        <v/>
      </c>
      <c r="V162" s="215" t="s">
        <v>47</v>
      </c>
      <c r="W162" s="102" t="s">
        <v>136</v>
      </c>
      <c r="X162" s="102" t="s">
        <v>137</v>
      </c>
      <c r="Y162" s="103" t="s">
        <v>138</v>
      </c>
      <c r="Z162" s="103" t="s">
        <v>139</v>
      </c>
      <c r="AA162" s="103" t="s">
        <v>47</v>
      </c>
      <c r="AB162" s="103" t="s">
        <v>140</v>
      </c>
      <c r="AC162" s="104" t="s">
        <v>141</v>
      </c>
    </row>
    <row r="163" spans="1:29" ht="25.5" customHeight="1" x14ac:dyDescent="0.35">
      <c r="A163" s="188"/>
      <c r="B163" s="190"/>
      <c r="C163" s="99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0"/>
      <c r="E163" s="78" t="str">
        <f>IF(C163="","",IFERROR(VLOOKUP(C163,parametros!$A$11:$E$15,5,0),""))</f>
        <v/>
      </c>
      <c r="F163" s="79" t="str">
        <f t="shared" si="12"/>
        <v/>
      </c>
      <c r="G163" s="101"/>
      <c r="H163" s="91">
        <f t="shared" si="13"/>
        <v>0</v>
      </c>
      <c r="I163" s="91" t="str">
        <f t="shared" si="14"/>
        <v/>
      </c>
      <c r="J163" s="91" t="str">
        <f t="shared" si="15"/>
        <v/>
      </c>
      <c r="K163" s="92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2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17" t="str">
        <f t="shared" si="16"/>
        <v/>
      </c>
      <c r="V163" s="215" t="s">
        <v>47</v>
      </c>
      <c r="W163" s="102" t="s">
        <v>136</v>
      </c>
      <c r="X163" s="102" t="s">
        <v>137</v>
      </c>
      <c r="Y163" s="103" t="s">
        <v>138</v>
      </c>
      <c r="Z163" s="103" t="s">
        <v>139</v>
      </c>
      <c r="AA163" s="103" t="s">
        <v>47</v>
      </c>
      <c r="AB163" s="103" t="s">
        <v>140</v>
      </c>
      <c r="AC163" s="104" t="s">
        <v>141</v>
      </c>
    </row>
    <row r="164" spans="1:29" ht="25.5" customHeight="1" x14ac:dyDescent="0.35">
      <c r="A164" s="188"/>
      <c r="B164" s="190"/>
      <c r="C164" s="99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0"/>
      <c r="E164" s="78" t="str">
        <f>IF(C164="","",IFERROR(VLOOKUP(C164,parametros!$A$11:$E$15,5,0),""))</f>
        <v/>
      </c>
      <c r="F164" s="79" t="str">
        <f t="shared" si="12"/>
        <v/>
      </c>
      <c r="G164" s="101"/>
      <c r="H164" s="91">
        <f t="shared" si="13"/>
        <v>0</v>
      </c>
      <c r="I164" s="91" t="str">
        <f t="shared" si="14"/>
        <v/>
      </c>
      <c r="J164" s="91" t="str">
        <f t="shared" si="15"/>
        <v/>
      </c>
      <c r="K164" s="92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2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17" t="str">
        <f t="shared" si="16"/>
        <v/>
      </c>
      <c r="V164" s="215" t="s">
        <v>47</v>
      </c>
      <c r="W164" s="102" t="s">
        <v>136</v>
      </c>
      <c r="X164" s="102" t="s">
        <v>137</v>
      </c>
      <c r="Y164" s="103" t="s">
        <v>138</v>
      </c>
      <c r="Z164" s="103" t="s">
        <v>139</v>
      </c>
      <c r="AA164" s="103" t="s">
        <v>47</v>
      </c>
      <c r="AB164" s="103" t="s">
        <v>140</v>
      </c>
      <c r="AC164" s="104" t="s">
        <v>141</v>
      </c>
    </row>
    <row r="165" spans="1:29" ht="25.5" customHeight="1" x14ac:dyDescent="0.35">
      <c r="A165" s="188"/>
      <c r="B165" s="190"/>
      <c r="C165" s="99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0"/>
      <c r="E165" s="78" t="str">
        <f>IF(C165="","",IFERROR(VLOOKUP(C165,parametros!$A$11:$E$15,5,0),""))</f>
        <v/>
      </c>
      <c r="F165" s="79" t="str">
        <f t="shared" si="12"/>
        <v/>
      </c>
      <c r="G165" s="101"/>
      <c r="H165" s="91">
        <f t="shared" si="13"/>
        <v>0</v>
      </c>
      <c r="I165" s="91" t="str">
        <f t="shared" si="14"/>
        <v/>
      </c>
      <c r="J165" s="91" t="str">
        <f t="shared" si="15"/>
        <v/>
      </c>
      <c r="K165" s="92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2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17" t="str">
        <f t="shared" si="16"/>
        <v/>
      </c>
      <c r="V165" s="215" t="s">
        <v>47</v>
      </c>
      <c r="W165" s="102" t="s">
        <v>136</v>
      </c>
      <c r="X165" s="102" t="s">
        <v>137</v>
      </c>
      <c r="Y165" s="103" t="s">
        <v>138</v>
      </c>
      <c r="Z165" s="103" t="s">
        <v>139</v>
      </c>
      <c r="AA165" s="103" t="s">
        <v>47</v>
      </c>
      <c r="AB165" s="103" t="s">
        <v>140</v>
      </c>
      <c r="AC165" s="104" t="s">
        <v>141</v>
      </c>
    </row>
    <row r="166" spans="1:29" ht="25.5" customHeight="1" x14ac:dyDescent="0.35">
      <c r="A166" s="188"/>
      <c r="B166" s="190"/>
      <c r="C166" s="99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0"/>
      <c r="E166" s="78" t="str">
        <f>IF(C166="","",IFERROR(VLOOKUP(C166,parametros!$A$11:$E$15,5,0),""))</f>
        <v/>
      </c>
      <c r="F166" s="79" t="str">
        <f t="shared" si="12"/>
        <v/>
      </c>
      <c r="G166" s="101"/>
      <c r="H166" s="91">
        <f t="shared" si="13"/>
        <v>0</v>
      </c>
      <c r="I166" s="91" t="str">
        <f t="shared" si="14"/>
        <v/>
      </c>
      <c r="J166" s="91" t="str">
        <f t="shared" si="15"/>
        <v/>
      </c>
      <c r="K166" s="92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2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17" t="str">
        <f t="shared" si="16"/>
        <v/>
      </c>
      <c r="V166" s="215" t="s">
        <v>47</v>
      </c>
      <c r="W166" s="102" t="s">
        <v>136</v>
      </c>
      <c r="X166" s="102" t="s">
        <v>137</v>
      </c>
      <c r="Y166" s="103" t="s">
        <v>138</v>
      </c>
      <c r="Z166" s="103" t="s">
        <v>139</v>
      </c>
      <c r="AA166" s="103" t="s">
        <v>47</v>
      </c>
      <c r="AB166" s="103" t="s">
        <v>140</v>
      </c>
      <c r="AC166" s="104" t="s">
        <v>141</v>
      </c>
    </row>
    <row r="167" spans="1:29" ht="25.5" customHeight="1" x14ac:dyDescent="0.35">
      <c r="A167" s="188"/>
      <c r="B167" s="190"/>
      <c r="C167" s="99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0"/>
      <c r="E167" s="78" t="str">
        <f>IF(C167="","",IFERROR(VLOOKUP(C167,parametros!$A$11:$E$15,5,0),""))</f>
        <v/>
      </c>
      <c r="F167" s="79" t="str">
        <f t="shared" si="12"/>
        <v/>
      </c>
      <c r="G167" s="101"/>
      <c r="H167" s="91">
        <f t="shared" si="13"/>
        <v>0</v>
      </c>
      <c r="I167" s="91" t="str">
        <f t="shared" si="14"/>
        <v/>
      </c>
      <c r="J167" s="91" t="str">
        <f t="shared" si="15"/>
        <v/>
      </c>
      <c r="K167" s="92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2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17" t="str">
        <f t="shared" si="16"/>
        <v/>
      </c>
      <c r="V167" s="215" t="s">
        <v>47</v>
      </c>
      <c r="W167" s="102" t="s">
        <v>136</v>
      </c>
      <c r="X167" s="102" t="s">
        <v>137</v>
      </c>
      <c r="Y167" s="103" t="s">
        <v>138</v>
      </c>
      <c r="Z167" s="103" t="s">
        <v>139</v>
      </c>
      <c r="AA167" s="103" t="s">
        <v>47</v>
      </c>
      <c r="AB167" s="103" t="s">
        <v>140</v>
      </c>
      <c r="AC167" s="104" t="s">
        <v>141</v>
      </c>
    </row>
    <row r="168" spans="1:29" ht="25.5" customHeight="1" x14ac:dyDescent="0.35">
      <c r="A168" s="188"/>
      <c r="B168" s="190"/>
      <c r="C168" s="99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0"/>
      <c r="E168" s="78" t="str">
        <f>IF(C168="","",IFERROR(VLOOKUP(C168,parametros!$A$11:$E$15,5,0),""))</f>
        <v/>
      </c>
      <c r="F168" s="79" t="str">
        <f t="shared" si="12"/>
        <v/>
      </c>
      <c r="G168" s="101"/>
      <c r="H168" s="91">
        <f t="shared" si="13"/>
        <v>0</v>
      </c>
      <c r="I168" s="91" t="str">
        <f t="shared" si="14"/>
        <v/>
      </c>
      <c r="J168" s="91" t="str">
        <f t="shared" si="15"/>
        <v/>
      </c>
      <c r="K168" s="92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2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17" t="str">
        <f t="shared" si="16"/>
        <v/>
      </c>
      <c r="V168" s="215" t="s">
        <v>47</v>
      </c>
      <c r="W168" s="102" t="s">
        <v>136</v>
      </c>
      <c r="X168" s="102" t="s">
        <v>137</v>
      </c>
      <c r="Y168" s="103" t="s">
        <v>138</v>
      </c>
      <c r="Z168" s="103" t="s">
        <v>139</v>
      </c>
      <c r="AA168" s="103" t="s">
        <v>47</v>
      </c>
      <c r="AB168" s="103" t="s">
        <v>140</v>
      </c>
      <c r="AC168" s="104" t="s">
        <v>141</v>
      </c>
    </row>
    <row r="169" spans="1:29" ht="25.5" customHeight="1" x14ac:dyDescent="0.35">
      <c r="A169" s="188"/>
      <c r="B169" s="190"/>
      <c r="C169" s="99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0"/>
      <c r="E169" s="78" t="str">
        <f>IF(C169="","",IFERROR(VLOOKUP(C169,parametros!$A$11:$E$15,5,0),""))</f>
        <v/>
      </c>
      <c r="F169" s="79" t="str">
        <f t="shared" si="12"/>
        <v/>
      </c>
      <c r="G169" s="101"/>
      <c r="H169" s="91">
        <f t="shared" si="13"/>
        <v>0</v>
      </c>
      <c r="I169" s="91" t="str">
        <f t="shared" si="14"/>
        <v/>
      </c>
      <c r="J169" s="91" t="str">
        <f t="shared" si="15"/>
        <v/>
      </c>
      <c r="K169" s="92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2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17" t="str">
        <f t="shared" si="16"/>
        <v/>
      </c>
      <c r="V169" s="215" t="s">
        <v>47</v>
      </c>
      <c r="W169" s="102" t="s">
        <v>136</v>
      </c>
      <c r="X169" s="102" t="s">
        <v>137</v>
      </c>
      <c r="Y169" s="103" t="s">
        <v>138</v>
      </c>
      <c r="Z169" s="103" t="s">
        <v>139</v>
      </c>
      <c r="AA169" s="103" t="s">
        <v>47</v>
      </c>
      <c r="AB169" s="103" t="s">
        <v>140</v>
      </c>
      <c r="AC169" s="104" t="s">
        <v>141</v>
      </c>
    </row>
    <row r="170" spans="1:29" ht="25.5" customHeight="1" x14ac:dyDescent="0.35">
      <c r="A170" s="188"/>
      <c r="B170" s="190"/>
      <c r="C170" s="99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0"/>
      <c r="E170" s="78" t="str">
        <f>IF(C170="","",IFERROR(VLOOKUP(C170,parametros!$A$11:$E$15,5,0),""))</f>
        <v/>
      </c>
      <c r="F170" s="79" t="str">
        <f t="shared" si="12"/>
        <v/>
      </c>
      <c r="G170" s="101"/>
      <c r="H170" s="91">
        <f t="shared" si="13"/>
        <v>0</v>
      </c>
      <c r="I170" s="91" t="str">
        <f t="shared" si="14"/>
        <v/>
      </c>
      <c r="J170" s="91" t="str">
        <f t="shared" si="15"/>
        <v/>
      </c>
      <c r="K170" s="92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2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17" t="str">
        <f t="shared" si="16"/>
        <v/>
      </c>
      <c r="V170" s="215" t="s">
        <v>47</v>
      </c>
      <c r="W170" s="102" t="s">
        <v>136</v>
      </c>
      <c r="X170" s="102" t="s">
        <v>137</v>
      </c>
      <c r="Y170" s="103" t="s">
        <v>138</v>
      </c>
      <c r="Z170" s="103" t="s">
        <v>139</v>
      </c>
      <c r="AA170" s="103" t="s">
        <v>47</v>
      </c>
      <c r="AB170" s="103" t="s">
        <v>140</v>
      </c>
      <c r="AC170" s="104" t="s">
        <v>141</v>
      </c>
    </row>
    <row r="171" spans="1:29" ht="25.5" customHeight="1" x14ac:dyDescent="0.35">
      <c r="A171" s="188"/>
      <c r="B171" s="190"/>
      <c r="C171" s="99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0"/>
      <c r="E171" s="78" t="str">
        <f>IF(C171="","",IFERROR(VLOOKUP(C171,parametros!$A$11:$E$15,5,0),""))</f>
        <v/>
      </c>
      <c r="F171" s="79" t="str">
        <f t="shared" si="12"/>
        <v/>
      </c>
      <c r="G171" s="101"/>
      <c r="H171" s="91">
        <f t="shared" si="13"/>
        <v>0</v>
      </c>
      <c r="I171" s="91" t="str">
        <f t="shared" si="14"/>
        <v/>
      </c>
      <c r="J171" s="91" t="str">
        <f t="shared" si="15"/>
        <v/>
      </c>
      <c r="K171" s="92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2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17" t="str">
        <f t="shared" si="16"/>
        <v/>
      </c>
      <c r="V171" s="215" t="s">
        <v>47</v>
      </c>
      <c r="W171" s="102" t="s">
        <v>136</v>
      </c>
      <c r="X171" s="102" t="s">
        <v>137</v>
      </c>
      <c r="Y171" s="103" t="s">
        <v>138</v>
      </c>
      <c r="Z171" s="103" t="s">
        <v>139</v>
      </c>
      <c r="AA171" s="103" t="s">
        <v>47</v>
      </c>
      <c r="AB171" s="103" t="s">
        <v>140</v>
      </c>
      <c r="AC171" s="104" t="s">
        <v>141</v>
      </c>
    </row>
    <row r="172" spans="1:29" ht="25.5" customHeight="1" x14ac:dyDescent="0.35">
      <c r="A172" s="188"/>
      <c r="B172" s="190"/>
      <c r="C172" s="99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0"/>
      <c r="E172" s="78" t="str">
        <f>IF(C172="","",IFERROR(VLOOKUP(C172,parametros!$A$11:$E$15,5,0),""))</f>
        <v/>
      </c>
      <c r="F172" s="79" t="str">
        <f t="shared" si="12"/>
        <v/>
      </c>
      <c r="G172" s="101"/>
      <c r="H172" s="91">
        <f t="shared" si="13"/>
        <v>0</v>
      </c>
      <c r="I172" s="91" t="str">
        <f t="shared" si="14"/>
        <v/>
      </c>
      <c r="J172" s="91" t="str">
        <f t="shared" si="15"/>
        <v/>
      </c>
      <c r="K172" s="92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2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17" t="str">
        <f t="shared" si="16"/>
        <v/>
      </c>
      <c r="V172" s="215" t="s">
        <v>47</v>
      </c>
      <c r="W172" s="102" t="s">
        <v>136</v>
      </c>
      <c r="X172" s="102" t="s">
        <v>137</v>
      </c>
      <c r="Y172" s="103" t="s">
        <v>138</v>
      </c>
      <c r="Z172" s="103" t="s">
        <v>139</v>
      </c>
      <c r="AA172" s="103" t="s">
        <v>47</v>
      </c>
      <c r="AB172" s="103" t="s">
        <v>140</v>
      </c>
      <c r="AC172" s="104" t="s">
        <v>141</v>
      </c>
    </row>
    <row r="173" spans="1:29" ht="25.5" customHeight="1" x14ac:dyDescent="0.35">
      <c r="A173" s="188"/>
      <c r="B173" s="190"/>
      <c r="C173" s="99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0"/>
      <c r="E173" s="78" t="str">
        <f>IF(C173="","",IFERROR(VLOOKUP(C173,parametros!$A$11:$E$15,5,0),""))</f>
        <v/>
      </c>
      <c r="F173" s="79" t="str">
        <f t="shared" si="12"/>
        <v/>
      </c>
      <c r="G173" s="101"/>
      <c r="H173" s="91">
        <f t="shared" si="13"/>
        <v>0</v>
      </c>
      <c r="I173" s="91" t="str">
        <f t="shared" si="14"/>
        <v/>
      </c>
      <c r="J173" s="91" t="str">
        <f t="shared" si="15"/>
        <v/>
      </c>
      <c r="K173" s="92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2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17" t="str">
        <f t="shared" si="16"/>
        <v/>
      </c>
      <c r="V173" s="215" t="s">
        <v>47</v>
      </c>
      <c r="W173" s="102" t="s">
        <v>136</v>
      </c>
      <c r="X173" s="102" t="s">
        <v>137</v>
      </c>
      <c r="Y173" s="103" t="s">
        <v>138</v>
      </c>
      <c r="Z173" s="103" t="s">
        <v>139</v>
      </c>
      <c r="AA173" s="103" t="s">
        <v>47</v>
      </c>
      <c r="AB173" s="103" t="s">
        <v>140</v>
      </c>
      <c r="AC173" s="104" t="s">
        <v>141</v>
      </c>
    </row>
    <row r="174" spans="1:29" ht="25.5" customHeight="1" x14ac:dyDescent="0.35">
      <c r="A174" s="188"/>
      <c r="B174" s="190"/>
      <c r="C174" s="99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0"/>
      <c r="E174" s="78" t="str">
        <f>IF(C174="","",IFERROR(VLOOKUP(C174,parametros!$A$11:$E$15,5,0),""))</f>
        <v/>
      </c>
      <c r="F174" s="79" t="str">
        <f t="shared" si="12"/>
        <v/>
      </c>
      <c r="G174" s="101"/>
      <c r="H174" s="91">
        <f t="shared" si="13"/>
        <v>0</v>
      </c>
      <c r="I174" s="91" t="str">
        <f t="shared" si="14"/>
        <v/>
      </c>
      <c r="J174" s="91" t="str">
        <f t="shared" si="15"/>
        <v/>
      </c>
      <c r="K174" s="92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2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17" t="str">
        <f t="shared" si="16"/>
        <v/>
      </c>
      <c r="V174" s="215" t="s">
        <v>47</v>
      </c>
      <c r="W174" s="102" t="s">
        <v>136</v>
      </c>
      <c r="X174" s="102" t="s">
        <v>137</v>
      </c>
      <c r="Y174" s="103" t="s">
        <v>138</v>
      </c>
      <c r="Z174" s="103" t="s">
        <v>139</v>
      </c>
      <c r="AA174" s="103" t="s">
        <v>47</v>
      </c>
      <c r="AB174" s="103" t="s">
        <v>140</v>
      </c>
      <c r="AC174" s="104" t="s">
        <v>141</v>
      </c>
    </row>
    <row r="175" spans="1:29" ht="25.5" customHeight="1" x14ac:dyDescent="0.35">
      <c r="A175" s="188"/>
      <c r="B175" s="190"/>
      <c r="C175" s="99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0"/>
      <c r="E175" s="78" t="str">
        <f>IF(C175="","",IFERROR(VLOOKUP(C175,parametros!$A$11:$E$15,5,0),""))</f>
        <v/>
      </c>
      <c r="F175" s="79" t="str">
        <f t="shared" si="12"/>
        <v/>
      </c>
      <c r="G175" s="101"/>
      <c r="H175" s="91">
        <f t="shared" si="13"/>
        <v>0</v>
      </c>
      <c r="I175" s="91" t="str">
        <f t="shared" si="14"/>
        <v/>
      </c>
      <c r="J175" s="91" t="str">
        <f t="shared" si="15"/>
        <v/>
      </c>
      <c r="K175" s="92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2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17" t="str">
        <f t="shared" si="16"/>
        <v/>
      </c>
      <c r="V175" s="215" t="s">
        <v>47</v>
      </c>
      <c r="W175" s="102" t="s">
        <v>136</v>
      </c>
      <c r="X175" s="102" t="s">
        <v>137</v>
      </c>
      <c r="Y175" s="103" t="s">
        <v>138</v>
      </c>
      <c r="Z175" s="103" t="s">
        <v>139</v>
      </c>
      <c r="AA175" s="103" t="s">
        <v>47</v>
      </c>
      <c r="AB175" s="103" t="s">
        <v>140</v>
      </c>
      <c r="AC175" s="104" t="s">
        <v>141</v>
      </c>
    </row>
    <row r="176" spans="1:29" ht="25.5" customHeight="1" x14ac:dyDescent="0.35">
      <c r="A176" s="188"/>
      <c r="B176" s="190"/>
      <c r="C176" s="99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0"/>
      <c r="E176" s="78" t="str">
        <f>IF(C176="","",IFERROR(VLOOKUP(C176,parametros!$A$11:$E$15,5,0),""))</f>
        <v/>
      </c>
      <c r="F176" s="79" t="str">
        <f t="shared" si="12"/>
        <v/>
      </c>
      <c r="G176" s="101"/>
      <c r="H176" s="91">
        <f t="shared" si="13"/>
        <v>0</v>
      </c>
      <c r="I176" s="91" t="str">
        <f t="shared" si="14"/>
        <v/>
      </c>
      <c r="J176" s="91" t="str">
        <f t="shared" si="15"/>
        <v/>
      </c>
      <c r="K176" s="92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2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17" t="str">
        <f t="shared" si="16"/>
        <v/>
      </c>
      <c r="V176" s="215" t="s">
        <v>47</v>
      </c>
      <c r="W176" s="102" t="s">
        <v>136</v>
      </c>
      <c r="X176" s="102" t="s">
        <v>137</v>
      </c>
      <c r="Y176" s="103" t="s">
        <v>138</v>
      </c>
      <c r="Z176" s="103" t="s">
        <v>139</v>
      </c>
      <c r="AA176" s="103" t="s">
        <v>47</v>
      </c>
      <c r="AB176" s="103" t="s">
        <v>140</v>
      </c>
      <c r="AC176" s="104" t="s">
        <v>141</v>
      </c>
    </row>
    <row r="177" spans="1:29" ht="25.5" customHeight="1" x14ac:dyDescent="0.35">
      <c r="A177" s="188"/>
      <c r="B177" s="190"/>
      <c r="C177" s="99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0"/>
      <c r="E177" s="78" t="str">
        <f>IF(C177="","",IFERROR(VLOOKUP(C177,parametros!$A$11:$E$15,5,0),""))</f>
        <v/>
      </c>
      <c r="F177" s="79" t="str">
        <f t="shared" si="12"/>
        <v/>
      </c>
      <c r="G177" s="101"/>
      <c r="H177" s="91">
        <f t="shared" si="13"/>
        <v>0</v>
      </c>
      <c r="I177" s="91" t="str">
        <f t="shared" si="14"/>
        <v/>
      </c>
      <c r="J177" s="91" t="str">
        <f t="shared" si="15"/>
        <v/>
      </c>
      <c r="K177" s="92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2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17" t="str">
        <f t="shared" si="16"/>
        <v/>
      </c>
      <c r="V177" s="215" t="s">
        <v>47</v>
      </c>
      <c r="W177" s="102" t="s">
        <v>136</v>
      </c>
      <c r="X177" s="102" t="s">
        <v>137</v>
      </c>
      <c r="Y177" s="103" t="s">
        <v>138</v>
      </c>
      <c r="Z177" s="103" t="s">
        <v>139</v>
      </c>
      <c r="AA177" s="103" t="s">
        <v>47</v>
      </c>
      <c r="AB177" s="103" t="s">
        <v>140</v>
      </c>
      <c r="AC177" s="104" t="s">
        <v>141</v>
      </c>
    </row>
    <row r="178" spans="1:29" ht="25.5" customHeight="1" x14ac:dyDescent="0.35">
      <c r="A178" s="188"/>
      <c r="B178" s="190"/>
      <c r="C178" s="99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0"/>
      <c r="E178" s="78" t="str">
        <f>IF(C178="","",IFERROR(VLOOKUP(C178,parametros!$A$11:$E$15,5,0),""))</f>
        <v/>
      </c>
      <c r="F178" s="79" t="str">
        <f t="shared" si="12"/>
        <v/>
      </c>
      <c r="G178" s="101"/>
      <c r="H178" s="91">
        <f t="shared" si="13"/>
        <v>0</v>
      </c>
      <c r="I178" s="91" t="str">
        <f t="shared" si="14"/>
        <v/>
      </c>
      <c r="J178" s="91" t="str">
        <f t="shared" si="15"/>
        <v/>
      </c>
      <c r="K178" s="92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2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17" t="str">
        <f t="shared" si="16"/>
        <v/>
      </c>
      <c r="V178" s="215" t="s">
        <v>47</v>
      </c>
      <c r="W178" s="102" t="s">
        <v>136</v>
      </c>
      <c r="X178" s="102" t="s">
        <v>137</v>
      </c>
      <c r="Y178" s="103" t="s">
        <v>138</v>
      </c>
      <c r="Z178" s="103" t="s">
        <v>139</v>
      </c>
      <c r="AA178" s="103" t="s">
        <v>47</v>
      </c>
      <c r="AB178" s="103" t="s">
        <v>140</v>
      </c>
      <c r="AC178" s="104" t="s">
        <v>141</v>
      </c>
    </row>
    <row r="179" spans="1:29" ht="25.5" customHeight="1" x14ac:dyDescent="0.35">
      <c r="A179" s="188"/>
      <c r="B179" s="190"/>
      <c r="C179" s="99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0"/>
      <c r="E179" s="78" t="str">
        <f>IF(C179="","",IFERROR(VLOOKUP(C179,parametros!$A$11:$E$15,5,0),""))</f>
        <v/>
      </c>
      <c r="F179" s="79" t="str">
        <f t="shared" si="12"/>
        <v/>
      </c>
      <c r="G179" s="101"/>
      <c r="H179" s="91">
        <f t="shared" si="13"/>
        <v>0</v>
      </c>
      <c r="I179" s="91" t="str">
        <f t="shared" si="14"/>
        <v/>
      </c>
      <c r="J179" s="91" t="str">
        <f t="shared" si="15"/>
        <v/>
      </c>
      <c r="K179" s="92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2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17" t="str">
        <f t="shared" si="16"/>
        <v/>
      </c>
      <c r="V179" s="215" t="s">
        <v>47</v>
      </c>
      <c r="W179" s="102" t="s">
        <v>136</v>
      </c>
      <c r="X179" s="102" t="s">
        <v>137</v>
      </c>
      <c r="Y179" s="103" t="s">
        <v>138</v>
      </c>
      <c r="Z179" s="103" t="s">
        <v>139</v>
      </c>
      <c r="AA179" s="103" t="s">
        <v>47</v>
      </c>
      <c r="AB179" s="103" t="s">
        <v>140</v>
      </c>
      <c r="AC179" s="104" t="s">
        <v>141</v>
      </c>
    </row>
    <row r="180" spans="1:29" ht="25.5" customHeight="1" x14ac:dyDescent="0.35">
      <c r="A180" s="188"/>
      <c r="B180" s="190"/>
      <c r="C180" s="99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0"/>
      <c r="E180" s="78" t="str">
        <f>IF(C180="","",IFERROR(VLOOKUP(C180,parametros!$A$11:$E$15,5,0),""))</f>
        <v/>
      </c>
      <c r="F180" s="79" t="str">
        <f t="shared" si="12"/>
        <v/>
      </c>
      <c r="G180" s="101"/>
      <c r="H180" s="91">
        <f t="shared" si="13"/>
        <v>0</v>
      </c>
      <c r="I180" s="91" t="str">
        <f t="shared" si="14"/>
        <v/>
      </c>
      <c r="J180" s="91" t="str">
        <f t="shared" si="15"/>
        <v/>
      </c>
      <c r="K180" s="92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2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17" t="str">
        <f t="shared" si="16"/>
        <v/>
      </c>
      <c r="V180" s="215" t="s">
        <v>47</v>
      </c>
      <c r="W180" s="102" t="s">
        <v>136</v>
      </c>
      <c r="X180" s="102" t="s">
        <v>137</v>
      </c>
      <c r="Y180" s="103" t="s">
        <v>138</v>
      </c>
      <c r="Z180" s="103" t="s">
        <v>139</v>
      </c>
      <c r="AA180" s="103" t="s">
        <v>47</v>
      </c>
      <c r="AB180" s="103" t="s">
        <v>140</v>
      </c>
      <c r="AC180" s="104" t="s">
        <v>141</v>
      </c>
    </row>
    <row r="181" spans="1:29" ht="25.5" customHeight="1" x14ac:dyDescent="0.35">
      <c r="A181" s="188"/>
      <c r="B181" s="190"/>
      <c r="C181" s="99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0"/>
      <c r="E181" s="78" t="str">
        <f>IF(C181="","",IFERROR(VLOOKUP(C181,parametros!$A$11:$E$15,5,0),""))</f>
        <v/>
      </c>
      <c r="F181" s="79" t="str">
        <f t="shared" si="12"/>
        <v/>
      </c>
      <c r="G181" s="101"/>
      <c r="H181" s="91">
        <f t="shared" si="13"/>
        <v>0</v>
      </c>
      <c r="I181" s="91" t="str">
        <f t="shared" si="14"/>
        <v/>
      </c>
      <c r="J181" s="91" t="str">
        <f t="shared" si="15"/>
        <v/>
      </c>
      <c r="K181" s="92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2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17" t="str">
        <f t="shared" si="16"/>
        <v/>
      </c>
      <c r="V181" s="215" t="s">
        <v>47</v>
      </c>
      <c r="W181" s="102" t="s">
        <v>136</v>
      </c>
      <c r="X181" s="102" t="s">
        <v>137</v>
      </c>
      <c r="Y181" s="103" t="s">
        <v>138</v>
      </c>
      <c r="Z181" s="103" t="s">
        <v>139</v>
      </c>
      <c r="AA181" s="103" t="s">
        <v>47</v>
      </c>
      <c r="AB181" s="103" t="s">
        <v>140</v>
      </c>
      <c r="AC181" s="104" t="s">
        <v>141</v>
      </c>
    </row>
    <row r="182" spans="1:29" ht="25.5" customHeight="1" x14ac:dyDescent="0.35">
      <c r="A182" s="188"/>
      <c r="B182" s="190"/>
      <c r="C182" s="99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0"/>
      <c r="E182" s="78" t="str">
        <f>IF(C182="","",IFERROR(VLOOKUP(C182,parametros!$A$11:$E$15,5,0),""))</f>
        <v/>
      </c>
      <c r="F182" s="79" t="str">
        <f t="shared" si="12"/>
        <v/>
      </c>
      <c r="G182" s="101"/>
      <c r="H182" s="91">
        <f t="shared" si="13"/>
        <v>0</v>
      </c>
      <c r="I182" s="91" t="str">
        <f t="shared" si="14"/>
        <v/>
      </c>
      <c r="J182" s="91" t="str">
        <f t="shared" si="15"/>
        <v/>
      </c>
      <c r="K182" s="92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2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17" t="str">
        <f t="shared" si="16"/>
        <v/>
      </c>
      <c r="V182" s="215" t="s">
        <v>47</v>
      </c>
      <c r="W182" s="102" t="s">
        <v>136</v>
      </c>
      <c r="X182" s="102" t="s">
        <v>137</v>
      </c>
      <c r="Y182" s="103" t="s">
        <v>138</v>
      </c>
      <c r="Z182" s="103" t="s">
        <v>139</v>
      </c>
      <c r="AA182" s="103" t="s">
        <v>47</v>
      </c>
      <c r="AB182" s="103" t="s">
        <v>140</v>
      </c>
      <c r="AC182" s="104" t="s">
        <v>141</v>
      </c>
    </row>
    <row r="183" spans="1:29" ht="25.5" customHeight="1" x14ac:dyDescent="0.35">
      <c r="A183" s="188"/>
      <c r="B183" s="190"/>
      <c r="C183" s="99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0"/>
      <c r="E183" s="78" t="str">
        <f>IF(C183="","",IFERROR(VLOOKUP(C183,parametros!$A$11:$E$15,5,0),""))</f>
        <v/>
      </c>
      <c r="F183" s="79" t="str">
        <f t="shared" si="12"/>
        <v/>
      </c>
      <c r="G183" s="101"/>
      <c r="H183" s="91">
        <f t="shared" si="13"/>
        <v>0</v>
      </c>
      <c r="I183" s="91" t="str">
        <f t="shared" si="14"/>
        <v/>
      </c>
      <c r="J183" s="91" t="str">
        <f t="shared" si="15"/>
        <v/>
      </c>
      <c r="K183" s="92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2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17" t="str">
        <f t="shared" si="16"/>
        <v/>
      </c>
      <c r="V183" s="215" t="s">
        <v>47</v>
      </c>
      <c r="W183" s="102" t="s">
        <v>136</v>
      </c>
      <c r="X183" s="102" t="s">
        <v>137</v>
      </c>
      <c r="Y183" s="103" t="s">
        <v>138</v>
      </c>
      <c r="Z183" s="103" t="s">
        <v>139</v>
      </c>
      <c r="AA183" s="103" t="s">
        <v>47</v>
      </c>
      <c r="AB183" s="103" t="s">
        <v>140</v>
      </c>
      <c r="AC183" s="104" t="s">
        <v>141</v>
      </c>
    </row>
    <row r="184" spans="1:29" ht="25.5" customHeight="1" x14ac:dyDescent="0.35">
      <c r="A184" s="188"/>
      <c r="B184" s="190"/>
      <c r="C184" s="99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0"/>
      <c r="E184" s="78" t="str">
        <f>IF(C184="","",IFERROR(VLOOKUP(C184,parametros!$A$11:$E$15,5,0),""))</f>
        <v/>
      </c>
      <c r="F184" s="79" t="str">
        <f t="shared" si="12"/>
        <v/>
      </c>
      <c r="G184" s="101"/>
      <c r="H184" s="91">
        <f t="shared" si="13"/>
        <v>0</v>
      </c>
      <c r="I184" s="91" t="str">
        <f t="shared" si="14"/>
        <v/>
      </c>
      <c r="J184" s="91" t="str">
        <f t="shared" si="15"/>
        <v/>
      </c>
      <c r="K184" s="92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2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17" t="str">
        <f t="shared" si="16"/>
        <v/>
      </c>
      <c r="V184" s="215" t="s">
        <v>47</v>
      </c>
      <c r="W184" s="102" t="s">
        <v>136</v>
      </c>
      <c r="X184" s="102" t="s">
        <v>137</v>
      </c>
      <c r="Y184" s="103" t="s">
        <v>138</v>
      </c>
      <c r="Z184" s="103" t="s">
        <v>139</v>
      </c>
      <c r="AA184" s="103" t="s">
        <v>47</v>
      </c>
      <c r="AB184" s="103" t="s">
        <v>140</v>
      </c>
      <c r="AC184" s="104" t="s">
        <v>141</v>
      </c>
    </row>
    <row r="185" spans="1:29" ht="25.5" customHeight="1" x14ac:dyDescent="0.35">
      <c r="A185" s="188"/>
      <c r="B185" s="190"/>
      <c r="C185" s="99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0"/>
      <c r="E185" s="78" t="str">
        <f>IF(C185="","",IFERROR(VLOOKUP(C185,parametros!$A$11:$E$15,5,0),""))</f>
        <v/>
      </c>
      <c r="F185" s="79" t="str">
        <f t="shared" si="12"/>
        <v/>
      </c>
      <c r="G185" s="101"/>
      <c r="H185" s="91">
        <f t="shared" si="13"/>
        <v>0</v>
      </c>
      <c r="I185" s="91" t="str">
        <f t="shared" si="14"/>
        <v/>
      </c>
      <c r="J185" s="91" t="str">
        <f t="shared" si="15"/>
        <v/>
      </c>
      <c r="K185" s="92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2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17" t="str">
        <f t="shared" si="16"/>
        <v/>
      </c>
      <c r="V185" s="215" t="s">
        <v>47</v>
      </c>
      <c r="W185" s="102" t="s">
        <v>136</v>
      </c>
      <c r="X185" s="102" t="s">
        <v>137</v>
      </c>
      <c r="Y185" s="103" t="s">
        <v>138</v>
      </c>
      <c r="Z185" s="103" t="s">
        <v>139</v>
      </c>
      <c r="AA185" s="103" t="s">
        <v>47</v>
      </c>
      <c r="AB185" s="103" t="s">
        <v>140</v>
      </c>
      <c r="AC185" s="104" t="s">
        <v>141</v>
      </c>
    </row>
    <row r="186" spans="1:29" ht="25.5" customHeight="1" x14ac:dyDescent="0.35">
      <c r="A186" s="188"/>
      <c r="B186" s="190"/>
      <c r="C186" s="99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0"/>
      <c r="E186" s="78" t="str">
        <f>IF(C186="","",IFERROR(VLOOKUP(C186,parametros!$A$11:$E$15,5,0),""))</f>
        <v/>
      </c>
      <c r="F186" s="79" t="str">
        <f t="shared" si="12"/>
        <v/>
      </c>
      <c r="G186" s="101"/>
      <c r="H186" s="91">
        <f t="shared" si="13"/>
        <v>0</v>
      </c>
      <c r="I186" s="91" t="str">
        <f t="shared" si="14"/>
        <v/>
      </c>
      <c r="J186" s="91" t="str">
        <f t="shared" si="15"/>
        <v/>
      </c>
      <c r="K186" s="92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2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17" t="str">
        <f t="shared" si="16"/>
        <v/>
      </c>
      <c r="V186" s="215" t="s">
        <v>47</v>
      </c>
      <c r="W186" s="102" t="s">
        <v>136</v>
      </c>
      <c r="X186" s="102" t="s">
        <v>137</v>
      </c>
      <c r="Y186" s="103" t="s">
        <v>138</v>
      </c>
      <c r="Z186" s="103" t="s">
        <v>139</v>
      </c>
      <c r="AA186" s="103" t="s">
        <v>47</v>
      </c>
      <c r="AB186" s="103" t="s">
        <v>140</v>
      </c>
      <c r="AC186" s="104" t="s">
        <v>141</v>
      </c>
    </row>
    <row r="187" spans="1:29" ht="25.5" customHeight="1" x14ac:dyDescent="0.35">
      <c r="A187" s="188"/>
      <c r="B187" s="190"/>
      <c r="C187" s="99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0"/>
      <c r="E187" s="78" t="str">
        <f>IF(C187="","",IFERROR(VLOOKUP(C187,parametros!$A$11:$E$15,5,0),""))</f>
        <v/>
      </c>
      <c r="F187" s="79" t="str">
        <f t="shared" si="12"/>
        <v/>
      </c>
      <c r="G187" s="101"/>
      <c r="H187" s="91">
        <f t="shared" si="13"/>
        <v>0</v>
      </c>
      <c r="I187" s="91" t="str">
        <f t="shared" si="14"/>
        <v/>
      </c>
      <c r="J187" s="91" t="str">
        <f t="shared" si="15"/>
        <v/>
      </c>
      <c r="K187" s="92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2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17" t="str">
        <f t="shared" si="16"/>
        <v/>
      </c>
      <c r="V187" s="215" t="s">
        <v>47</v>
      </c>
      <c r="W187" s="102" t="s">
        <v>136</v>
      </c>
      <c r="X187" s="102" t="s">
        <v>137</v>
      </c>
      <c r="Y187" s="103" t="s">
        <v>138</v>
      </c>
      <c r="Z187" s="103" t="s">
        <v>139</v>
      </c>
      <c r="AA187" s="103" t="s">
        <v>47</v>
      </c>
      <c r="AB187" s="103" t="s">
        <v>140</v>
      </c>
      <c r="AC187" s="104" t="s">
        <v>141</v>
      </c>
    </row>
    <row r="188" spans="1:29" ht="25.5" customHeight="1" x14ac:dyDescent="0.35">
      <c r="A188" s="188"/>
      <c r="B188" s="190"/>
      <c r="C188" s="99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0"/>
      <c r="E188" s="78" t="str">
        <f>IF(C188="","",IFERROR(VLOOKUP(C188,parametros!$A$11:$E$15,5,0),""))</f>
        <v/>
      </c>
      <c r="F188" s="79" t="str">
        <f t="shared" si="12"/>
        <v/>
      </c>
      <c r="G188" s="101"/>
      <c r="H188" s="91">
        <f t="shared" si="13"/>
        <v>0</v>
      </c>
      <c r="I188" s="91" t="str">
        <f t="shared" si="14"/>
        <v/>
      </c>
      <c r="J188" s="91" t="str">
        <f t="shared" si="15"/>
        <v/>
      </c>
      <c r="K188" s="92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2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17" t="str">
        <f t="shared" si="16"/>
        <v/>
      </c>
      <c r="V188" s="215" t="s">
        <v>47</v>
      </c>
      <c r="W188" s="102" t="s">
        <v>136</v>
      </c>
      <c r="X188" s="102" t="s">
        <v>137</v>
      </c>
      <c r="Y188" s="103" t="s">
        <v>138</v>
      </c>
      <c r="Z188" s="103" t="s">
        <v>139</v>
      </c>
      <c r="AA188" s="103" t="s">
        <v>47</v>
      </c>
      <c r="AB188" s="103" t="s">
        <v>140</v>
      </c>
      <c r="AC188" s="104" t="s">
        <v>141</v>
      </c>
    </row>
    <row r="189" spans="1:29" ht="25.5" customHeight="1" x14ac:dyDescent="0.35">
      <c r="A189" s="188"/>
      <c r="B189" s="190"/>
      <c r="C189" s="99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0"/>
      <c r="E189" s="78" t="str">
        <f>IF(C189="","",IFERROR(VLOOKUP(C189,parametros!$A$11:$E$15,5,0),""))</f>
        <v/>
      </c>
      <c r="F189" s="79" t="str">
        <f t="shared" si="12"/>
        <v/>
      </c>
      <c r="G189" s="101"/>
      <c r="H189" s="91">
        <f t="shared" si="13"/>
        <v>0</v>
      </c>
      <c r="I189" s="91" t="str">
        <f t="shared" si="14"/>
        <v/>
      </c>
      <c r="J189" s="91" t="str">
        <f t="shared" si="15"/>
        <v/>
      </c>
      <c r="K189" s="92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2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17" t="str">
        <f t="shared" si="16"/>
        <v/>
      </c>
      <c r="V189" s="215" t="s">
        <v>47</v>
      </c>
      <c r="W189" s="102" t="s">
        <v>136</v>
      </c>
      <c r="X189" s="102" t="s">
        <v>137</v>
      </c>
      <c r="Y189" s="103" t="s">
        <v>138</v>
      </c>
      <c r="Z189" s="103" t="s">
        <v>139</v>
      </c>
      <c r="AA189" s="103" t="s">
        <v>47</v>
      </c>
      <c r="AB189" s="103" t="s">
        <v>140</v>
      </c>
      <c r="AC189" s="104" t="s">
        <v>141</v>
      </c>
    </row>
    <row r="190" spans="1:29" ht="25.5" customHeight="1" x14ac:dyDescent="0.35">
      <c r="A190" s="188"/>
      <c r="B190" s="190"/>
      <c r="C190" s="99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0"/>
      <c r="E190" s="78" t="str">
        <f>IF(C190="","",IFERROR(VLOOKUP(C190,parametros!$A$11:$E$15,5,0),""))</f>
        <v/>
      </c>
      <c r="F190" s="79" t="str">
        <f t="shared" si="12"/>
        <v/>
      </c>
      <c r="G190" s="101"/>
      <c r="H190" s="91">
        <f t="shared" si="13"/>
        <v>0</v>
      </c>
      <c r="I190" s="91" t="str">
        <f t="shared" si="14"/>
        <v/>
      </c>
      <c r="J190" s="91" t="str">
        <f t="shared" si="15"/>
        <v/>
      </c>
      <c r="K190" s="92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2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17" t="str">
        <f t="shared" si="16"/>
        <v/>
      </c>
      <c r="V190" s="215" t="s">
        <v>47</v>
      </c>
      <c r="W190" s="102" t="s">
        <v>136</v>
      </c>
      <c r="X190" s="102" t="s">
        <v>137</v>
      </c>
      <c r="Y190" s="103" t="s">
        <v>138</v>
      </c>
      <c r="Z190" s="103" t="s">
        <v>139</v>
      </c>
      <c r="AA190" s="103" t="s">
        <v>47</v>
      </c>
      <c r="AB190" s="103" t="s">
        <v>140</v>
      </c>
      <c r="AC190" s="104" t="s">
        <v>141</v>
      </c>
    </row>
    <row r="191" spans="1:29" ht="25.5" customHeight="1" x14ac:dyDescent="0.35">
      <c r="A191" s="188"/>
      <c r="B191" s="190"/>
      <c r="C191" s="99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0"/>
      <c r="E191" s="78" t="str">
        <f>IF(C191="","",IFERROR(VLOOKUP(C191,parametros!$A$11:$E$15,5,0),""))</f>
        <v/>
      </c>
      <c r="F191" s="79" t="str">
        <f t="shared" si="12"/>
        <v/>
      </c>
      <c r="G191" s="101"/>
      <c r="H191" s="91">
        <f t="shared" si="13"/>
        <v>0</v>
      </c>
      <c r="I191" s="91" t="str">
        <f t="shared" si="14"/>
        <v/>
      </c>
      <c r="J191" s="91" t="str">
        <f t="shared" si="15"/>
        <v/>
      </c>
      <c r="K191" s="92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2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17" t="str">
        <f t="shared" si="16"/>
        <v/>
      </c>
      <c r="V191" s="215" t="s">
        <v>47</v>
      </c>
      <c r="W191" s="102" t="s">
        <v>136</v>
      </c>
      <c r="X191" s="102" t="s">
        <v>137</v>
      </c>
      <c r="Y191" s="103" t="s">
        <v>138</v>
      </c>
      <c r="Z191" s="103" t="s">
        <v>139</v>
      </c>
      <c r="AA191" s="103" t="s">
        <v>47</v>
      </c>
      <c r="AB191" s="103" t="s">
        <v>140</v>
      </c>
      <c r="AC191" s="104" t="s">
        <v>141</v>
      </c>
    </row>
    <row r="192" spans="1:29" ht="25.5" customHeight="1" x14ac:dyDescent="0.35">
      <c r="A192" s="188"/>
      <c r="B192" s="190"/>
      <c r="C192" s="99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0"/>
      <c r="E192" s="78" t="str">
        <f>IF(C192="","",IFERROR(VLOOKUP(C192,parametros!$A$11:$E$15,5,0),""))</f>
        <v/>
      </c>
      <c r="F192" s="79" t="str">
        <f t="shared" si="12"/>
        <v/>
      </c>
      <c r="G192" s="101"/>
      <c r="H192" s="91">
        <f t="shared" si="13"/>
        <v>0</v>
      </c>
      <c r="I192" s="91" t="str">
        <f t="shared" si="14"/>
        <v/>
      </c>
      <c r="J192" s="91" t="str">
        <f t="shared" si="15"/>
        <v/>
      </c>
      <c r="K192" s="92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2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17" t="str">
        <f t="shared" si="16"/>
        <v/>
      </c>
      <c r="V192" s="215" t="s">
        <v>47</v>
      </c>
      <c r="W192" s="102" t="s">
        <v>136</v>
      </c>
      <c r="X192" s="102" t="s">
        <v>137</v>
      </c>
      <c r="Y192" s="103" t="s">
        <v>138</v>
      </c>
      <c r="Z192" s="103" t="s">
        <v>139</v>
      </c>
      <c r="AA192" s="103" t="s">
        <v>47</v>
      </c>
      <c r="AB192" s="103" t="s">
        <v>140</v>
      </c>
      <c r="AC192" s="104" t="s">
        <v>141</v>
      </c>
    </row>
    <row r="193" spans="1:29" ht="25.5" customHeight="1" x14ac:dyDescent="0.35">
      <c r="A193" s="188"/>
      <c r="B193" s="190"/>
      <c r="C193" s="99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0"/>
      <c r="E193" s="78" t="str">
        <f>IF(C193="","",IFERROR(VLOOKUP(C193,parametros!$A$11:$E$15,5,0),""))</f>
        <v/>
      </c>
      <c r="F193" s="79" t="str">
        <f t="shared" si="12"/>
        <v/>
      </c>
      <c r="G193" s="101"/>
      <c r="H193" s="91">
        <f t="shared" si="13"/>
        <v>0</v>
      </c>
      <c r="I193" s="91" t="str">
        <f t="shared" si="14"/>
        <v/>
      </c>
      <c r="J193" s="91" t="str">
        <f t="shared" si="15"/>
        <v/>
      </c>
      <c r="K193" s="92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2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17" t="str">
        <f t="shared" si="16"/>
        <v/>
      </c>
      <c r="V193" s="215" t="s">
        <v>47</v>
      </c>
      <c r="W193" s="102" t="s">
        <v>136</v>
      </c>
      <c r="X193" s="102" t="s">
        <v>137</v>
      </c>
      <c r="Y193" s="103" t="s">
        <v>138</v>
      </c>
      <c r="Z193" s="103" t="s">
        <v>139</v>
      </c>
      <c r="AA193" s="103" t="s">
        <v>47</v>
      </c>
      <c r="AB193" s="103" t="s">
        <v>140</v>
      </c>
      <c r="AC193" s="104" t="s">
        <v>141</v>
      </c>
    </row>
    <row r="194" spans="1:29" ht="25.5" customHeight="1" x14ac:dyDescent="0.35">
      <c r="A194" s="188"/>
      <c r="B194" s="190"/>
      <c r="C194" s="99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0"/>
      <c r="E194" s="78" t="str">
        <f>IF(C194="","",IFERROR(VLOOKUP(C194,parametros!$A$11:$E$15,5,0),""))</f>
        <v/>
      </c>
      <c r="F194" s="79" t="str">
        <f t="shared" ref="F194:F257" si="17">IF(OR(D194="",E194=""),"",ROUND(D194*E194,2))</f>
        <v/>
      </c>
      <c r="G194" s="101"/>
      <c r="H194" s="91">
        <f t="shared" ref="H194:H257" si="18">IF(G194="Sim",IF(OR(F194="",D194="",L194=""),"",IF(L194="Sim",ROUND(F194-D194,2),0)),0)</f>
        <v>0</v>
      </c>
      <c r="I194" s="91" t="str">
        <f t="shared" ref="I194:I257" si="19">IF(G194="Sim",0,IF(OR(F194="",L194=""),"",F194))</f>
        <v/>
      </c>
      <c r="J194" s="91" t="str">
        <f t="shared" ref="J194:J257" si="20">IF(G194="Sim",0,IF(OR(F194="",D194="",L194=""),"",IF(L194="Sim",ROUND(F194-D194,2),0)))</f>
        <v/>
      </c>
      <c r="K194" s="92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2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17" t="str">
        <f t="shared" ref="U194:U257" si="21">IF(OR($D194="",$H194=""),"",ROUND($D194+$H194,2))</f>
        <v/>
      </c>
      <c r="V194" s="215" t="s">
        <v>47</v>
      </c>
      <c r="W194" s="102" t="s">
        <v>136</v>
      </c>
      <c r="X194" s="102" t="s">
        <v>137</v>
      </c>
      <c r="Y194" s="103" t="s">
        <v>138</v>
      </c>
      <c r="Z194" s="103" t="s">
        <v>139</v>
      </c>
      <c r="AA194" s="103" t="s">
        <v>47</v>
      </c>
      <c r="AB194" s="103" t="s">
        <v>140</v>
      </c>
      <c r="AC194" s="104" t="s">
        <v>141</v>
      </c>
    </row>
    <row r="195" spans="1:29" ht="25.5" customHeight="1" x14ac:dyDescent="0.35">
      <c r="A195" s="188"/>
      <c r="B195" s="190"/>
      <c r="C195" s="99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0"/>
      <c r="E195" s="78" t="str">
        <f>IF(C195="","",IFERROR(VLOOKUP(C195,parametros!$A$11:$E$15,5,0),""))</f>
        <v/>
      </c>
      <c r="F195" s="79" t="str">
        <f t="shared" si="17"/>
        <v/>
      </c>
      <c r="G195" s="101"/>
      <c r="H195" s="91">
        <f t="shared" si="18"/>
        <v>0</v>
      </c>
      <c r="I195" s="91" t="str">
        <f t="shared" si="19"/>
        <v/>
      </c>
      <c r="J195" s="91" t="str">
        <f t="shared" si="20"/>
        <v/>
      </c>
      <c r="K195" s="92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2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17" t="str">
        <f t="shared" si="21"/>
        <v/>
      </c>
      <c r="V195" s="215" t="s">
        <v>47</v>
      </c>
      <c r="W195" s="102" t="s">
        <v>136</v>
      </c>
      <c r="X195" s="102" t="s">
        <v>137</v>
      </c>
      <c r="Y195" s="103" t="s">
        <v>138</v>
      </c>
      <c r="Z195" s="103" t="s">
        <v>139</v>
      </c>
      <c r="AA195" s="103" t="s">
        <v>47</v>
      </c>
      <c r="AB195" s="103" t="s">
        <v>140</v>
      </c>
      <c r="AC195" s="104" t="s">
        <v>141</v>
      </c>
    </row>
    <row r="196" spans="1:29" ht="25.5" customHeight="1" x14ac:dyDescent="0.35">
      <c r="A196" s="188"/>
      <c r="B196" s="190"/>
      <c r="C196" s="99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0"/>
      <c r="E196" s="78" t="str">
        <f>IF(C196="","",IFERROR(VLOOKUP(C196,parametros!$A$11:$E$15,5,0),""))</f>
        <v/>
      </c>
      <c r="F196" s="79" t="str">
        <f t="shared" si="17"/>
        <v/>
      </c>
      <c r="G196" s="101"/>
      <c r="H196" s="91">
        <f t="shared" si="18"/>
        <v>0</v>
      </c>
      <c r="I196" s="91" t="str">
        <f t="shared" si="19"/>
        <v/>
      </c>
      <c r="J196" s="91" t="str">
        <f t="shared" si="20"/>
        <v/>
      </c>
      <c r="K196" s="92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2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17" t="str">
        <f t="shared" si="21"/>
        <v/>
      </c>
      <c r="V196" s="215" t="s">
        <v>47</v>
      </c>
      <c r="W196" s="102" t="s">
        <v>136</v>
      </c>
      <c r="X196" s="102" t="s">
        <v>137</v>
      </c>
      <c r="Y196" s="103" t="s">
        <v>138</v>
      </c>
      <c r="Z196" s="103" t="s">
        <v>139</v>
      </c>
      <c r="AA196" s="103" t="s">
        <v>47</v>
      </c>
      <c r="AB196" s="103" t="s">
        <v>140</v>
      </c>
      <c r="AC196" s="104" t="s">
        <v>141</v>
      </c>
    </row>
    <row r="197" spans="1:29" ht="25.5" customHeight="1" x14ac:dyDescent="0.35">
      <c r="A197" s="188"/>
      <c r="B197" s="190"/>
      <c r="C197" s="99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0"/>
      <c r="E197" s="78" t="str">
        <f>IF(C197="","",IFERROR(VLOOKUP(C197,parametros!$A$11:$E$15,5,0),""))</f>
        <v/>
      </c>
      <c r="F197" s="79" t="str">
        <f t="shared" si="17"/>
        <v/>
      </c>
      <c r="G197" s="101"/>
      <c r="H197" s="91">
        <f t="shared" si="18"/>
        <v>0</v>
      </c>
      <c r="I197" s="91" t="str">
        <f t="shared" si="19"/>
        <v/>
      </c>
      <c r="J197" s="91" t="str">
        <f t="shared" si="20"/>
        <v/>
      </c>
      <c r="K197" s="92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2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17" t="str">
        <f t="shared" si="21"/>
        <v/>
      </c>
      <c r="V197" s="215" t="s">
        <v>47</v>
      </c>
      <c r="W197" s="102" t="s">
        <v>136</v>
      </c>
      <c r="X197" s="102" t="s">
        <v>137</v>
      </c>
      <c r="Y197" s="103" t="s">
        <v>138</v>
      </c>
      <c r="Z197" s="103" t="s">
        <v>139</v>
      </c>
      <c r="AA197" s="103" t="s">
        <v>47</v>
      </c>
      <c r="AB197" s="103" t="s">
        <v>140</v>
      </c>
      <c r="AC197" s="104" t="s">
        <v>141</v>
      </c>
    </row>
    <row r="198" spans="1:29" ht="25.5" customHeight="1" x14ac:dyDescent="0.35">
      <c r="A198" s="188"/>
      <c r="B198" s="190"/>
      <c r="C198" s="99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0"/>
      <c r="E198" s="78" t="str">
        <f>IF(C198="","",IFERROR(VLOOKUP(C198,parametros!$A$11:$E$15,5,0),""))</f>
        <v/>
      </c>
      <c r="F198" s="79" t="str">
        <f t="shared" si="17"/>
        <v/>
      </c>
      <c r="G198" s="101"/>
      <c r="H198" s="91">
        <f t="shared" si="18"/>
        <v>0</v>
      </c>
      <c r="I198" s="91" t="str">
        <f t="shared" si="19"/>
        <v/>
      </c>
      <c r="J198" s="91" t="str">
        <f t="shared" si="20"/>
        <v/>
      </c>
      <c r="K198" s="92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2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17" t="str">
        <f t="shared" si="21"/>
        <v/>
      </c>
      <c r="V198" s="215" t="s">
        <v>47</v>
      </c>
      <c r="W198" s="102" t="s">
        <v>136</v>
      </c>
      <c r="X198" s="102" t="s">
        <v>137</v>
      </c>
      <c r="Y198" s="103" t="s">
        <v>138</v>
      </c>
      <c r="Z198" s="103" t="s">
        <v>139</v>
      </c>
      <c r="AA198" s="103" t="s">
        <v>47</v>
      </c>
      <c r="AB198" s="103" t="s">
        <v>140</v>
      </c>
      <c r="AC198" s="104" t="s">
        <v>141</v>
      </c>
    </row>
    <row r="199" spans="1:29" ht="25.5" customHeight="1" x14ac:dyDescent="0.35">
      <c r="A199" s="188"/>
      <c r="B199" s="190"/>
      <c r="C199" s="99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0"/>
      <c r="E199" s="78" t="str">
        <f>IF(C199="","",IFERROR(VLOOKUP(C199,parametros!$A$11:$E$15,5,0),""))</f>
        <v/>
      </c>
      <c r="F199" s="79" t="str">
        <f t="shared" si="17"/>
        <v/>
      </c>
      <c r="G199" s="101"/>
      <c r="H199" s="91">
        <f t="shared" si="18"/>
        <v>0</v>
      </c>
      <c r="I199" s="91" t="str">
        <f t="shared" si="19"/>
        <v/>
      </c>
      <c r="J199" s="91" t="str">
        <f t="shared" si="20"/>
        <v/>
      </c>
      <c r="K199" s="92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2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17" t="str">
        <f t="shared" si="21"/>
        <v/>
      </c>
      <c r="V199" s="215" t="s">
        <v>47</v>
      </c>
      <c r="W199" s="102" t="s">
        <v>136</v>
      </c>
      <c r="X199" s="102" t="s">
        <v>137</v>
      </c>
      <c r="Y199" s="103" t="s">
        <v>138</v>
      </c>
      <c r="Z199" s="103" t="s">
        <v>139</v>
      </c>
      <c r="AA199" s="103" t="s">
        <v>47</v>
      </c>
      <c r="AB199" s="103" t="s">
        <v>140</v>
      </c>
      <c r="AC199" s="104" t="s">
        <v>141</v>
      </c>
    </row>
    <row r="200" spans="1:29" ht="25.5" customHeight="1" x14ac:dyDescent="0.35">
      <c r="A200" s="188"/>
      <c r="B200" s="190"/>
      <c r="C200" s="99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0"/>
      <c r="E200" s="78" t="str">
        <f>IF(C200="","",IFERROR(VLOOKUP(C200,parametros!$A$11:$E$15,5,0),""))</f>
        <v/>
      </c>
      <c r="F200" s="79" t="str">
        <f t="shared" si="17"/>
        <v/>
      </c>
      <c r="G200" s="101"/>
      <c r="H200" s="91">
        <f t="shared" si="18"/>
        <v>0</v>
      </c>
      <c r="I200" s="91" t="str">
        <f t="shared" si="19"/>
        <v/>
      </c>
      <c r="J200" s="91" t="str">
        <f t="shared" si="20"/>
        <v/>
      </c>
      <c r="K200" s="92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2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17" t="str">
        <f t="shared" si="21"/>
        <v/>
      </c>
      <c r="V200" s="215" t="s">
        <v>47</v>
      </c>
      <c r="W200" s="102" t="s">
        <v>136</v>
      </c>
      <c r="X200" s="102" t="s">
        <v>137</v>
      </c>
      <c r="Y200" s="103" t="s">
        <v>138</v>
      </c>
      <c r="Z200" s="103" t="s">
        <v>139</v>
      </c>
      <c r="AA200" s="103" t="s">
        <v>47</v>
      </c>
      <c r="AB200" s="103" t="s">
        <v>140</v>
      </c>
      <c r="AC200" s="104" t="s">
        <v>141</v>
      </c>
    </row>
    <row r="201" spans="1:29" ht="25.5" customHeight="1" x14ac:dyDescent="0.35">
      <c r="A201" s="188"/>
      <c r="B201" s="190"/>
      <c r="C201" s="99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0"/>
      <c r="E201" s="78" t="str">
        <f>IF(C201="","",IFERROR(VLOOKUP(C201,parametros!$A$11:$E$15,5,0),""))</f>
        <v/>
      </c>
      <c r="F201" s="79" t="str">
        <f t="shared" si="17"/>
        <v/>
      </c>
      <c r="G201" s="101"/>
      <c r="H201" s="91">
        <f t="shared" si="18"/>
        <v>0</v>
      </c>
      <c r="I201" s="91" t="str">
        <f t="shared" si="19"/>
        <v/>
      </c>
      <c r="J201" s="91" t="str">
        <f t="shared" si="20"/>
        <v/>
      </c>
      <c r="K201" s="92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2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17" t="str">
        <f t="shared" si="21"/>
        <v/>
      </c>
      <c r="V201" s="215" t="s">
        <v>47</v>
      </c>
      <c r="W201" s="102" t="s">
        <v>136</v>
      </c>
      <c r="X201" s="102" t="s">
        <v>137</v>
      </c>
      <c r="Y201" s="103" t="s">
        <v>138</v>
      </c>
      <c r="Z201" s="103" t="s">
        <v>139</v>
      </c>
      <c r="AA201" s="103" t="s">
        <v>47</v>
      </c>
      <c r="AB201" s="103" t="s">
        <v>140</v>
      </c>
      <c r="AC201" s="104" t="s">
        <v>141</v>
      </c>
    </row>
    <row r="202" spans="1:29" ht="25.5" customHeight="1" x14ac:dyDescent="0.35">
      <c r="A202" s="188"/>
      <c r="B202" s="190"/>
      <c r="C202" s="99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0"/>
      <c r="E202" s="78" t="str">
        <f>IF(C202="","",IFERROR(VLOOKUP(C202,parametros!$A$11:$E$15,5,0),""))</f>
        <v/>
      </c>
      <c r="F202" s="79" t="str">
        <f t="shared" si="17"/>
        <v/>
      </c>
      <c r="G202" s="101"/>
      <c r="H202" s="91">
        <f t="shared" si="18"/>
        <v>0</v>
      </c>
      <c r="I202" s="91" t="str">
        <f t="shared" si="19"/>
        <v/>
      </c>
      <c r="J202" s="91" t="str">
        <f t="shared" si="20"/>
        <v/>
      </c>
      <c r="K202" s="92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2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17" t="str">
        <f t="shared" si="21"/>
        <v/>
      </c>
      <c r="V202" s="215" t="s">
        <v>47</v>
      </c>
      <c r="W202" s="102" t="s">
        <v>136</v>
      </c>
      <c r="X202" s="102" t="s">
        <v>137</v>
      </c>
      <c r="Y202" s="103" t="s">
        <v>138</v>
      </c>
      <c r="Z202" s="103" t="s">
        <v>139</v>
      </c>
      <c r="AA202" s="103" t="s">
        <v>47</v>
      </c>
      <c r="AB202" s="103" t="s">
        <v>140</v>
      </c>
      <c r="AC202" s="104" t="s">
        <v>141</v>
      </c>
    </row>
    <row r="203" spans="1:29" ht="25.5" customHeight="1" x14ac:dyDescent="0.35">
      <c r="A203" s="188"/>
      <c r="B203" s="190"/>
      <c r="C203" s="99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0"/>
      <c r="E203" s="78" t="str">
        <f>IF(C203="","",IFERROR(VLOOKUP(C203,parametros!$A$11:$E$15,5,0),""))</f>
        <v/>
      </c>
      <c r="F203" s="79" t="str">
        <f t="shared" si="17"/>
        <v/>
      </c>
      <c r="G203" s="101"/>
      <c r="H203" s="91">
        <f t="shared" si="18"/>
        <v>0</v>
      </c>
      <c r="I203" s="91" t="str">
        <f t="shared" si="19"/>
        <v/>
      </c>
      <c r="J203" s="91" t="str">
        <f t="shared" si="20"/>
        <v/>
      </c>
      <c r="K203" s="92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2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17" t="str">
        <f t="shared" si="21"/>
        <v/>
      </c>
      <c r="V203" s="215" t="s">
        <v>47</v>
      </c>
      <c r="W203" s="102" t="s">
        <v>136</v>
      </c>
      <c r="X203" s="102" t="s">
        <v>137</v>
      </c>
      <c r="Y203" s="103" t="s">
        <v>138</v>
      </c>
      <c r="Z203" s="103" t="s">
        <v>139</v>
      </c>
      <c r="AA203" s="103" t="s">
        <v>47</v>
      </c>
      <c r="AB203" s="103" t="s">
        <v>140</v>
      </c>
      <c r="AC203" s="104" t="s">
        <v>141</v>
      </c>
    </row>
    <row r="204" spans="1:29" ht="25.5" customHeight="1" x14ac:dyDescent="0.35">
      <c r="A204" s="188"/>
      <c r="B204" s="190"/>
      <c r="C204" s="99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0"/>
      <c r="E204" s="78" t="str">
        <f>IF(C204="","",IFERROR(VLOOKUP(C204,parametros!$A$11:$E$15,5,0),""))</f>
        <v/>
      </c>
      <c r="F204" s="79" t="str">
        <f t="shared" si="17"/>
        <v/>
      </c>
      <c r="G204" s="101"/>
      <c r="H204" s="91">
        <f t="shared" si="18"/>
        <v>0</v>
      </c>
      <c r="I204" s="91" t="str">
        <f t="shared" si="19"/>
        <v/>
      </c>
      <c r="J204" s="91" t="str">
        <f t="shared" si="20"/>
        <v/>
      </c>
      <c r="K204" s="92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2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17" t="str">
        <f t="shared" si="21"/>
        <v/>
      </c>
      <c r="V204" s="215" t="s">
        <v>47</v>
      </c>
      <c r="W204" s="102" t="s">
        <v>136</v>
      </c>
      <c r="X204" s="102" t="s">
        <v>137</v>
      </c>
      <c r="Y204" s="103" t="s">
        <v>138</v>
      </c>
      <c r="Z204" s="103" t="s">
        <v>139</v>
      </c>
      <c r="AA204" s="103" t="s">
        <v>47</v>
      </c>
      <c r="AB204" s="103" t="s">
        <v>140</v>
      </c>
      <c r="AC204" s="104" t="s">
        <v>141</v>
      </c>
    </row>
    <row r="205" spans="1:29" ht="25.5" customHeight="1" x14ac:dyDescent="0.35">
      <c r="A205" s="188"/>
      <c r="B205" s="190"/>
      <c r="C205" s="99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0"/>
      <c r="E205" s="78" t="str">
        <f>IF(C205="","",IFERROR(VLOOKUP(C205,parametros!$A$11:$E$15,5,0),""))</f>
        <v/>
      </c>
      <c r="F205" s="79" t="str">
        <f t="shared" si="17"/>
        <v/>
      </c>
      <c r="G205" s="101"/>
      <c r="H205" s="91">
        <f t="shared" si="18"/>
        <v>0</v>
      </c>
      <c r="I205" s="91" t="str">
        <f t="shared" si="19"/>
        <v/>
      </c>
      <c r="J205" s="91" t="str">
        <f t="shared" si="20"/>
        <v/>
      </c>
      <c r="K205" s="92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2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17" t="str">
        <f t="shared" si="21"/>
        <v/>
      </c>
      <c r="V205" s="215" t="s">
        <v>47</v>
      </c>
      <c r="W205" s="102" t="s">
        <v>136</v>
      </c>
      <c r="X205" s="102" t="s">
        <v>137</v>
      </c>
      <c r="Y205" s="103" t="s">
        <v>138</v>
      </c>
      <c r="Z205" s="103" t="s">
        <v>139</v>
      </c>
      <c r="AA205" s="103" t="s">
        <v>47</v>
      </c>
      <c r="AB205" s="103" t="s">
        <v>140</v>
      </c>
      <c r="AC205" s="104" t="s">
        <v>141</v>
      </c>
    </row>
    <row r="206" spans="1:29" ht="25.5" customHeight="1" x14ac:dyDescent="0.35">
      <c r="A206" s="188"/>
      <c r="B206" s="190"/>
      <c r="C206" s="99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0"/>
      <c r="E206" s="78" t="str">
        <f>IF(C206="","",IFERROR(VLOOKUP(C206,parametros!$A$11:$E$15,5,0),""))</f>
        <v/>
      </c>
      <c r="F206" s="79" t="str">
        <f t="shared" si="17"/>
        <v/>
      </c>
      <c r="G206" s="101"/>
      <c r="H206" s="91">
        <f t="shared" si="18"/>
        <v>0</v>
      </c>
      <c r="I206" s="91" t="str">
        <f t="shared" si="19"/>
        <v/>
      </c>
      <c r="J206" s="91" t="str">
        <f t="shared" si="20"/>
        <v/>
      </c>
      <c r="K206" s="92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2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17" t="str">
        <f t="shared" si="21"/>
        <v/>
      </c>
      <c r="V206" s="215" t="s">
        <v>47</v>
      </c>
      <c r="W206" s="102" t="s">
        <v>136</v>
      </c>
      <c r="X206" s="102" t="s">
        <v>137</v>
      </c>
      <c r="Y206" s="103" t="s">
        <v>138</v>
      </c>
      <c r="Z206" s="103" t="s">
        <v>139</v>
      </c>
      <c r="AA206" s="103" t="s">
        <v>47</v>
      </c>
      <c r="AB206" s="103" t="s">
        <v>140</v>
      </c>
      <c r="AC206" s="104" t="s">
        <v>141</v>
      </c>
    </row>
    <row r="207" spans="1:29" ht="25.5" customHeight="1" x14ac:dyDescent="0.35">
      <c r="A207" s="188"/>
      <c r="B207" s="190"/>
      <c r="C207" s="99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0"/>
      <c r="E207" s="78" t="str">
        <f>IF(C207="","",IFERROR(VLOOKUP(C207,parametros!$A$11:$E$15,5,0),""))</f>
        <v/>
      </c>
      <c r="F207" s="79" t="str">
        <f t="shared" si="17"/>
        <v/>
      </c>
      <c r="G207" s="101"/>
      <c r="H207" s="91">
        <f t="shared" si="18"/>
        <v>0</v>
      </c>
      <c r="I207" s="91" t="str">
        <f t="shared" si="19"/>
        <v/>
      </c>
      <c r="J207" s="91" t="str">
        <f t="shared" si="20"/>
        <v/>
      </c>
      <c r="K207" s="92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2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17" t="str">
        <f t="shared" si="21"/>
        <v/>
      </c>
      <c r="V207" s="215" t="s">
        <v>47</v>
      </c>
      <c r="W207" s="102" t="s">
        <v>136</v>
      </c>
      <c r="X207" s="102" t="s">
        <v>137</v>
      </c>
      <c r="Y207" s="103" t="s">
        <v>138</v>
      </c>
      <c r="Z207" s="103" t="s">
        <v>139</v>
      </c>
      <c r="AA207" s="103" t="s">
        <v>47</v>
      </c>
      <c r="AB207" s="103" t="s">
        <v>140</v>
      </c>
      <c r="AC207" s="104" t="s">
        <v>141</v>
      </c>
    </row>
    <row r="208" spans="1:29" ht="25.5" customHeight="1" x14ac:dyDescent="0.35">
      <c r="A208" s="188"/>
      <c r="B208" s="190"/>
      <c r="C208" s="99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0"/>
      <c r="E208" s="78" t="str">
        <f>IF(C208="","",IFERROR(VLOOKUP(C208,parametros!$A$11:$E$15,5,0),""))</f>
        <v/>
      </c>
      <c r="F208" s="79" t="str">
        <f t="shared" si="17"/>
        <v/>
      </c>
      <c r="G208" s="101"/>
      <c r="H208" s="91">
        <f t="shared" si="18"/>
        <v>0</v>
      </c>
      <c r="I208" s="91" t="str">
        <f t="shared" si="19"/>
        <v/>
      </c>
      <c r="J208" s="91" t="str">
        <f t="shared" si="20"/>
        <v/>
      </c>
      <c r="K208" s="92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2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17" t="str">
        <f t="shared" si="21"/>
        <v/>
      </c>
      <c r="V208" s="215" t="s">
        <v>47</v>
      </c>
      <c r="W208" s="102" t="s">
        <v>136</v>
      </c>
      <c r="X208" s="102" t="s">
        <v>137</v>
      </c>
      <c r="Y208" s="103" t="s">
        <v>138</v>
      </c>
      <c r="Z208" s="103" t="s">
        <v>139</v>
      </c>
      <c r="AA208" s="103" t="s">
        <v>47</v>
      </c>
      <c r="AB208" s="103" t="s">
        <v>140</v>
      </c>
      <c r="AC208" s="104" t="s">
        <v>141</v>
      </c>
    </row>
    <row r="209" spans="1:29" ht="25.5" customHeight="1" x14ac:dyDescent="0.35">
      <c r="A209" s="188"/>
      <c r="B209" s="190"/>
      <c r="C209" s="99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0"/>
      <c r="E209" s="78" t="str">
        <f>IF(C209="","",IFERROR(VLOOKUP(C209,parametros!$A$11:$E$15,5,0),""))</f>
        <v/>
      </c>
      <c r="F209" s="79" t="str">
        <f t="shared" si="17"/>
        <v/>
      </c>
      <c r="G209" s="101"/>
      <c r="H209" s="91">
        <f t="shared" si="18"/>
        <v>0</v>
      </c>
      <c r="I209" s="91" t="str">
        <f t="shared" si="19"/>
        <v/>
      </c>
      <c r="J209" s="91" t="str">
        <f t="shared" si="20"/>
        <v/>
      </c>
      <c r="K209" s="92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2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17" t="str">
        <f t="shared" si="21"/>
        <v/>
      </c>
      <c r="V209" s="215" t="s">
        <v>47</v>
      </c>
      <c r="W209" s="102" t="s">
        <v>136</v>
      </c>
      <c r="X209" s="102" t="s">
        <v>137</v>
      </c>
      <c r="Y209" s="103" t="s">
        <v>138</v>
      </c>
      <c r="Z209" s="103" t="s">
        <v>139</v>
      </c>
      <c r="AA209" s="103" t="s">
        <v>47</v>
      </c>
      <c r="AB209" s="103" t="s">
        <v>140</v>
      </c>
      <c r="AC209" s="104" t="s">
        <v>141</v>
      </c>
    </row>
    <row r="210" spans="1:29" ht="25.5" customHeight="1" x14ac:dyDescent="0.35">
      <c r="A210" s="188"/>
      <c r="B210" s="190"/>
      <c r="C210" s="99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0"/>
      <c r="E210" s="78" t="str">
        <f>IF(C210="","",IFERROR(VLOOKUP(C210,parametros!$A$11:$E$15,5,0),""))</f>
        <v/>
      </c>
      <c r="F210" s="79" t="str">
        <f t="shared" si="17"/>
        <v/>
      </c>
      <c r="G210" s="101"/>
      <c r="H210" s="91">
        <f t="shared" si="18"/>
        <v>0</v>
      </c>
      <c r="I210" s="91" t="str">
        <f t="shared" si="19"/>
        <v/>
      </c>
      <c r="J210" s="91" t="str">
        <f t="shared" si="20"/>
        <v/>
      </c>
      <c r="K210" s="92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2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17" t="str">
        <f t="shared" si="21"/>
        <v/>
      </c>
      <c r="V210" s="215" t="s">
        <v>47</v>
      </c>
      <c r="W210" s="102" t="s">
        <v>136</v>
      </c>
      <c r="X210" s="102" t="s">
        <v>137</v>
      </c>
      <c r="Y210" s="103" t="s">
        <v>138</v>
      </c>
      <c r="Z210" s="103" t="s">
        <v>139</v>
      </c>
      <c r="AA210" s="103" t="s">
        <v>47</v>
      </c>
      <c r="AB210" s="103" t="s">
        <v>140</v>
      </c>
      <c r="AC210" s="104" t="s">
        <v>141</v>
      </c>
    </row>
    <row r="211" spans="1:29" ht="25.5" customHeight="1" x14ac:dyDescent="0.35">
      <c r="A211" s="188"/>
      <c r="B211" s="190"/>
      <c r="C211" s="99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0"/>
      <c r="E211" s="78" t="str">
        <f>IF(C211="","",IFERROR(VLOOKUP(C211,parametros!$A$11:$E$15,5,0),""))</f>
        <v/>
      </c>
      <c r="F211" s="79" t="str">
        <f t="shared" si="17"/>
        <v/>
      </c>
      <c r="G211" s="101"/>
      <c r="H211" s="91">
        <f t="shared" si="18"/>
        <v>0</v>
      </c>
      <c r="I211" s="91" t="str">
        <f t="shared" si="19"/>
        <v/>
      </c>
      <c r="J211" s="91" t="str">
        <f t="shared" si="20"/>
        <v/>
      </c>
      <c r="K211" s="92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2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58"/>
      <c r="U211" s="217" t="str">
        <f t="shared" si="21"/>
        <v/>
      </c>
      <c r="V211" s="215" t="s">
        <v>47</v>
      </c>
      <c r="W211" s="102" t="s">
        <v>136</v>
      </c>
      <c r="X211" s="102" t="s">
        <v>137</v>
      </c>
      <c r="Y211" s="103" t="s">
        <v>138</v>
      </c>
      <c r="Z211" s="103" t="s">
        <v>139</v>
      </c>
      <c r="AA211" s="103" t="s">
        <v>47</v>
      </c>
      <c r="AB211" s="103" t="s">
        <v>140</v>
      </c>
      <c r="AC211" s="104" t="s">
        <v>141</v>
      </c>
    </row>
    <row r="212" spans="1:29" ht="25.5" customHeight="1" x14ac:dyDescent="0.35">
      <c r="A212" s="188"/>
      <c r="B212" s="190"/>
      <c r="C212" s="99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0"/>
      <c r="E212" s="78" t="str">
        <f>IF(C212="","",IFERROR(VLOOKUP(C212,parametros!$A$11:$E$15,5,0),""))</f>
        <v/>
      </c>
      <c r="F212" s="79" t="str">
        <f t="shared" si="17"/>
        <v/>
      </c>
      <c r="G212" s="101"/>
      <c r="H212" s="91">
        <f t="shared" si="18"/>
        <v>0</v>
      </c>
      <c r="I212" s="91" t="str">
        <f t="shared" si="19"/>
        <v/>
      </c>
      <c r="J212" s="91" t="str">
        <f t="shared" si="20"/>
        <v/>
      </c>
      <c r="K212" s="92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2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58"/>
      <c r="U212" s="217" t="str">
        <f t="shared" si="21"/>
        <v/>
      </c>
      <c r="V212" s="215" t="s">
        <v>47</v>
      </c>
      <c r="W212" s="102" t="s">
        <v>136</v>
      </c>
      <c r="X212" s="102" t="s">
        <v>137</v>
      </c>
      <c r="Y212" s="103" t="s">
        <v>138</v>
      </c>
      <c r="Z212" s="103" t="s">
        <v>139</v>
      </c>
      <c r="AA212" s="103" t="s">
        <v>47</v>
      </c>
      <c r="AB212" s="103" t="s">
        <v>140</v>
      </c>
      <c r="AC212" s="104" t="s">
        <v>141</v>
      </c>
    </row>
    <row r="213" spans="1:29" ht="25.5" customHeight="1" x14ac:dyDescent="0.35">
      <c r="A213" s="188"/>
      <c r="B213" s="190"/>
      <c r="C213" s="99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0"/>
      <c r="E213" s="78" t="str">
        <f>IF(C213="","",IFERROR(VLOOKUP(C213,parametros!$A$11:$E$15,5,0),""))</f>
        <v/>
      </c>
      <c r="F213" s="79" t="str">
        <f t="shared" si="17"/>
        <v/>
      </c>
      <c r="G213" s="101"/>
      <c r="H213" s="91">
        <f t="shared" si="18"/>
        <v>0</v>
      </c>
      <c r="I213" s="91" t="str">
        <f t="shared" si="19"/>
        <v/>
      </c>
      <c r="J213" s="91" t="str">
        <f t="shared" si="20"/>
        <v/>
      </c>
      <c r="K213" s="92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2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58"/>
      <c r="U213" s="217" t="str">
        <f t="shared" si="21"/>
        <v/>
      </c>
      <c r="V213" s="215" t="s">
        <v>47</v>
      </c>
      <c r="W213" s="102" t="s">
        <v>136</v>
      </c>
      <c r="X213" s="102" t="s">
        <v>137</v>
      </c>
      <c r="Y213" s="103" t="s">
        <v>138</v>
      </c>
      <c r="Z213" s="103" t="s">
        <v>139</v>
      </c>
      <c r="AA213" s="103" t="s">
        <v>47</v>
      </c>
      <c r="AB213" s="103" t="s">
        <v>140</v>
      </c>
      <c r="AC213" s="104" t="s">
        <v>141</v>
      </c>
    </row>
    <row r="214" spans="1:29" ht="25.5" customHeight="1" x14ac:dyDescent="0.35">
      <c r="A214" s="188"/>
      <c r="B214" s="190"/>
      <c r="C214" s="99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0"/>
      <c r="E214" s="78" t="str">
        <f>IF(C214="","",IFERROR(VLOOKUP(C214,parametros!$A$11:$E$15,5,0),""))</f>
        <v/>
      </c>
      <c r="F214" s="79" t="str">
        <f t="shared" si="17"/>
        <v/>
      </c>
      <c r="G214" s="101"/>
      <c r="H214" s="91">
        <f t="shared" si="18"/>
        <v>0</v>
      </c>
      <c r="I214" s="91" t="str">
        <f t="shared" si="19"/>
        <v/>
      </c>
      <c r="J214" s="91" t="str">
        <f t="shared" si="20"/>
        <v/>
      </c>
      <c r="K214" s="92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2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58"/>
      <c r="U214" s="217" t="str">
        <f t="shared" si="21"/>
        <v/>
      </c>
      <c r="V214" s="215" t="s">
        <v>47</v>
      </c>
      <c r="W214" s="102" t="s">
        <v>136</v>
      </c>
      <c r="X214" s="102" t="s">
        <v>137</v>
      </c>
      <c r="Y214" s="103" t="s">
        <v>138</v>
      </c>
      <c r="Z214" s="103" t="s">
        <v>139</v>
      </c>
      <c r="AA214" s="103" t="s">
        <v>47</v>
      </c>
      <c r="AB214" s="103" t="s">
        <v>140</v>
      </c>
      <c r="AC214" s="104" t="s">
        <v>141</v>
      </c>
    </row>
    <row r="215" spans="1:29" ht="25.5" customHeight="1" x14ac:dyDescent="0.35">
      <c r="A215" s="188"/>
      <c r="B215" s="190"/>
      <c r="C215" s="99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0"/>
      <c r="E215" s="78" t="str">
        <f>IF(C215="","",IFERROR(VLOOKUP(C215,parametros!$A$11:$E$15,5,0),""))</f>
        <v/>
      </c>
      <c r="F215" s="79" t="str">
        <f t="shared" si="17"/>
        <v/>
      </c>
      <c r="G215" s="101"/>
      <c r="H215" s="91">
        <f t="shared" si="18"/>
        <v>0</v>
      </c>
      <c r="I215" s="91" t="str">
        <f t="shared" si="19"/>
        <v/>
      </c>
      <c r="J215" s="91" t="str">
        <f t="shared" si="20"/>
        <v/>
      </c>
      <c r="K215" s="92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2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58"/>
      <c r="U215" s="217" t="str">
        <f t="shared" si="21"/>
        <v/>
      </c>
      <c r="V215" s="215" t="s">
        <v>47</v>
      </c>
      <c r="W215" s="102" t="s">
        <v>136</v>
      </c>
      <c r="X215" s="102" t="s">
        <v>137</v>
      </c>
      <c r="Y215" s="103" t="s">
        <v>138</v>
      </c>
      <c r="Z215" s="103" t="s">
        <v>139</v>
      </c>
      <c r="AA215" s="103" t="s">
        <v>47</v>
      </c>
      <c r="AB215" s="103" t="s">
        <v>140</v>
      </c>
      <c r="AC215" s="104" t="s">
        <v>141</v>
      </c>
    </row>
    <row r="216" spans="1:29" ht="25.5" customHeight="1" x14ac:dyDescent="0.35">
      <c r="A216" s="188"/>
      <c r="B216" s="190"/>
      <c r="C216" s="99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0"/>
      <c r="E216" s="78" t="str">
        <f>IF(C216="","",IFERROR(VLOOKUP(C216,parametros!$A$11:$E$15,5,0),""))</f>
        <v/>
      </c>
      <c r="F216" s="79" t="str">
        <f t="shared" si="17"/>
        <v/>
      </c>
      <c r="G216" s="101"/>
      <c r="H216" s="91">
        <f t="shared" si="18"/>
        <v>0</v>
      </c>
      <c r="I216" s="91" t="str">
        <f t="shared" si="19"/>
        <v/>
      </c>
      <c r="J216" s="91" t="str">
        <f t="shared" si="20"/>
        <v/>
      </c>
      <c r="K216" s="92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2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58"/>
      <c r="U216" s="217" t="str">
        <f t="shared" si="21"/>
        <v/>
      </c>
      <c r="V216" s="215" t="s">
        <v>47</v>
      </c>
      <c r="W216" s="102" t="s">
        <v>136</v>
      </c>
      <c r="X216" s="102" t="s">
        <v>137</v>
      </c>
      <c r="Y216" s="103" t="s">
        <v>138</v>
      </c>
      <c r="Z216" s="103" t="s">
        <v>139</v>
      </c>
      <c r="AA216" s="103" t="s">
        <v>47</v>
      </c>
      <c r="AB216" s="103" t="s">
        <v>140</v>
      </c>
      <c r="AC216" s="104" t="s">
        <v>141</v>
      </c>
    </row>
    <row r="217" spans="1:29" ht="25.5" customHeight="1" x14ac:dyDescent="0.35">
      <c r="A217" s="188"/>
      <c r="B217" s="190"/>
      <c r="C217" s="99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0"/>
      <c r="E217" s="78" t="str">
        <f>IF(C217="","",IFERROR(VLOOKUP(C217,parametros!$A$11:$E$15,5,0),""))</f>
        <v/>
      </c>
      <c r="F217" s="79" t="str">
        <f t="shared" si="17"/>
        <v/>
      </c>
      <c r="G217" s="101"/>
      <c r="H217" s="91">
        <f t="shared" si="18"/>
        <v>0</v>
      </c>
      <c r="I217" s="91" t="str">
        <f t="shared" si="19"/>
        <v/>
      </c>
      <c r="J217" s="91" t="str">
        <f t="shared" si="20"/>
        <v/>
      </c>
      <c r="K217" s="92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2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58"/>
      <c r="U217" s="217" t="str">
        <f t="shared" si="21"/>
        <v/>
      </c>
      <c r="V217" s="215" t="s">
        <v>47</v>
      </c>
      <c r="W217" s="102" t="s">
        <v>136</v>
      </c>
      <c r="X217" s="102" t="s">
        <v>137</v>
      </c>
      <c r="Y217" s="103" t="s">
        <v>138</v>
      </c>
      <c r="Z217" s="103" t="s">
        <v>139</v>
      </c>
      <c r="AA217" s="103" t="s">
        <v>47</v>
      </c>
      <c r="AB217" s="103" t="s">
        <v>140</v>
      </c>
      <c r="AC217" s="104" t="s">
        <v>141</v>
      </c>
    </row>
    <row r="218" spans="1:29" ht="25.5" customHeight="1" x14ac:dyDescent="0.35">
      <c r="A218" s="188"/>
      <c r="B218" s="190"/>
      <c r="C218" s="99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0"/>
      <c r="E218" s="78" t="str">
        <f>IF(C218="","",IFERROR(VLOOKUP(C218,parametros!$A$11:$E$15,5,0),""))</f>
        <v/>
      </c>
      <c r="F218" s="79" t="str">
        <f t="shared" si="17"/>
        <v/>
      </c>
      <c r="G218" s="101"/>
      <c r="H218" s="91">
        <f t="shared" si="18"/>
        <v>0</v>
      </c>
      <c r="I218" s="91" t="str">
        <f t="shared" si="19"/>
        <v/>
      </c>
      <c r="J218" s="91" t="str">
        <f t="shared" si="20"/>
        <v/>
      </c>
      <c r="K218" s="92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2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58"/>
      <c r="U218" s="217" t="str">
        <f t="shared" si="21"/>
        <v/>
      </c>
      <c r="V218" s="215" t="s">
        <v>47</v>
      </c>
      <c r="W218" s="102" t="s">
        <v>136</v>
      </c>
      <c r="X218" s="102" t="s">
        <v>137</v>
      </c>
      <c r="Y218" s="103" t="s">
        <v>138</v>
      </c>
      <c r="Z218" s="103" t="s">
        <v>139</v>
      </c>
      <c r="AA218" s="103" t="s">
        <v>47</v>
      </c>
      <c r="AB218" s="103" t="s">
        <v>140</v>
      </c>
      <c r="AC218" s="104" t="s">
        <v>141</v>
      </c>
    </row>
    <row r="219" spans="1:29" ht="25.5" customHeight="1" x14ac:dyDescent="0.35">
      <c r="A219" s="188"/>
      <c r="B219" s="190"/>
      <c r="C219" s="99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0"/>
      <c r="E219" s="78" t="str">
        <f>IF(C219="","",IFERROR(VLOOKUP(C219,parametros!$A$11:$E$15,5,0),""))</f>
        <v/>
      </c>
      <c r="F219" s="79" t="str">
        <f t="shared" si="17"/>
        <v/>
      </c>
      <c r="G219" s="101"/>
      <c r="H219" s="91">
        <f t="shared" si="18"/>
        <v>0</v>
      </c>
      <c r="I219" s="91" t="str">
        <f t="shared" si="19"/>
        <v/>
      </c>
      <c r="J219" s="91" t="str">
        <f t="shared" si="20"/>
        <v/>
      </c>
      <c r="K219" s="92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2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58"/>
      <c r="U219" s="217" t="str">
        <f t="shared" si="21"/>
        <v/>
      </c>
      <c r="V219" s="215" t="s">
        <v>47</v>
      </c>
      <c r="W219" s="102" t="s">
        <v>136</v>
      </c>
      <c r="X219" s="102" t="s">
        <v>137</v>
      </c>
      <c r="Y219" s="103" t="s">
        <v>138</v>
      </c>
      <c r="Z219" s="103" t="s">
        <v>139</v>
      </c>
      <c r="AA219" s="103" t="s">
        <v>47</v>
      </c>
      <c r="AB219" s="103" t="s">
        <v>140</v>
      </c>
      <c r="AC219" s="104" t="s">
        <v>141</v>
      </c>
    </row>
    <row r="220" spans="1:29" ht="25.5" customHeight="1" x14ac:dyDescent="0.35">
      <c r="A220" s="188"/>
      <c r="B220" s="190"/>
      <c r="C220" s="99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0"/>
      <c r="E220" s="78" t="str">
        <f>IF(C220="","",IFERROR(VLOOKUP(C220,parametros!$A$11:$E$15,5,0),""))</f>
        <v/>
      </c>
      <c r="F220" s="79" t="str">
        <f t="shared" si="17"/>
        <v/>
      </c>
      <c r="G220" s="101"/>
      <c r="H220" s="91">
        <f t="shared" si="18"/>
        <v>0</v>
      </c>
      <c r="I220" s="91" t="str">
        <f t="shared" si="19"/>
        <v/>
      </c>
      <c r="J220" s="91" t="str">
        <f t="shared" si="20"/>
        <v/>
      </c>
      <c r="K220" s="92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2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58"/>
      <c r="U220" s="217" t="str">
        <f t="shared" si="21"/>
        <v/>
      </c>
      <c r="V220" s="215" t="s">
        <v>47</v>
      </c>
      <c r="W220" s="102" t="s">
        <v>136</v>
      </c>
      <c r="X220" s="102" t="s">
        <v>137</v>
      </c>
      <c r="Y220" s="103" t="s">
        <v>138</v>
      </c>
      <c r="Z220" s="103" t="s">
        <v>139</v>
      </c>
      <c r="AA220" s="103" t="s">
        <v>47</v>
      </c>
      <c r="AB220" s="103" t="s">
        <v>140</v>
      </c>
      <c r="AC220" s="104" t="s">
        <v>141</v>
      </c>
    </row>
    <row r="221" spans="1:29" ht="25.5" customHeight="1" x14ac:dyDescent="0.35">
      <c r="A221" s="188"/>
      <c r="B221" s="190"/>
      <c r="C221" s="99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0"/>
      <c r="E221" s="78" t="str">
        <f>IF(C221="","",IFERROR(VLOOKUP(C221,parametros!$A$11:$E$15,5,0),""))</f>
        <v/>
      </c>
      <c r="F221" s="79" t="str">
        <f t="shared" si="17"/>
        <v/>
      </c>
      <c r="G221" s="101"/>
      <c r="H221" s="91">
        <f t="shared" si="18"/>
        <v>0</v>
      </c>
      <c r="I221" s="91" t="str">
        <f t="shared" si="19"/>
        <v/>
      </c>
      <c r="J221" s="91" t="str">
        <f t="shared" si="20"/>
        <v/>
      </c>
      <c r="K221" s="92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2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58"/>
      <c r="U221" s="217" t="str">
        <f t="shared" si="21"/>
        <v/>
      </c>
      <c r="V221" s="215" t="s">
        <v>47</v>
      </c>
      <c r="W221" s="102" t="s">
        <v>136</v>
      </c>
      <c r="X221" s="102" t="s">
        <v>137</v>
      </c>
      <c r="Y221" s="103" t="s">
        <v>138</v>
      </c>
      <c r="Z221" s="103" t="s">
        <v>139</v>
      </c>
      <c r="AA221" s="103" t="s">
        <v>47</v>
      </c>
      <c r="AB221" s="103" t="s">
        <v>140</v>
      </c>
      <c r="AC221" s="104" t="s">
        <v>141</v>
      </c>
    </row>
    <row r="222" spans="1:29" ht="25.5" customHeight="1" x14ac:dyDescent="0.35">
      <c r="A222" s="188"/>
      <c r="B222" s="190"/>
      <c r="C222" s="99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0"/>
      <c r="E222" s="78" t="str">
        <f>IF(C222="","",IFERROR(VLOOKUP(C222,parametros!$A$11:$E$15,5,0),""))</f>
        <v/>
      </c>
      <c r="F222" s="79" t="str">
        <f t="shared" si="17"/>
        <v/>
      </c>
      <c r="G222" s="101"/>
      <c r="H222" s="91">
        <f t="shared" si="18"/>
        <v>0</v>
      </c>
      <c r="I222" s="91" t="str">
        <f t="shared" si="19"/>
        <v/>
      </c>
      <c r="J222" s="91" t="str">
        <f t="shared" si="20"/>
        <v/>
      </c>
      <c r="K222" s="92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2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58"/>
      <c r="U222" s="217" t="str">
        <f t="shared" si="21"/>
        <v/>
      </c>
      <c r="V222" s="215" t="s">
        <v>47</v>
      </c>
      <c r="W222" s="102" t="s">
        <v>136</v>
      </c>
      <c r="X222" s="102" t="s">
        <v>137</v>
      </c>
      <c r="Y222" s="103" t="s">
        <v>138</v>
      </c>
      <c r="Z222" s="103" t="s">
        <v>139</v>
      </c>
      <c r="AA222" s="103" t="s">
        <v>47</v>
      </c>
      <c r="AB222" s="103" t="s">
        <v>140</v>
      </c>
      <c r="AC222" s="104" t="s">
        <v>141</v>
      </c>
    </row>
    <row r="223" spans="1:29" ht="25.5" customHeight="1" x14ac:dyDescent="0.35">
      <c r="A223" s="188"/>
      <c r="B223" s="190"/>
      <c r="C223" s="99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0"/>
      <c r="E223" s="78" t="str">
        <f>IF(C223="","",IFERROR(VLOOKUP(C223,parametros!$A$11:$E$15,5,0),""))</f>
        <v/>
      </c>
      <c r="F223" s="79" t="str">
        <f t="shared" si="17"/>
        <v/>
      </c>
      <c r="G223" s="101"/>
      <c r="H223" s="91">
        <f t="shared" si="18"/>
        <v>0</v>
      </c>
      <c r="I223" s="91" t="str">
        <f t="shared" si="19"/>
        <v/>
      </c>
      <c r="J223" s="91" t="str">
        <f t="shared" si="20"/>
        <v/>
      </c>
      <c r="K223" s="92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2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58"/>
      <c r="U223" s="217" t="str">
        <f t="shared" si="21"/>
        <v/>
      </c>
      <c r="V223" s="215" t="s">
        <v>47</v>
      </c>
      <c r="W223" s="102" t="s">
        <v>136</v>
      </c>
      <c r="X223" s="102" t="s">
        <v>137</v>
      </c>
      <c r="Y223" s="103" t="s">
        <v>138</v>
      </c>
      <c r="Z223" s="103" t="s">
        <v>139</v>
      </c>
      <c r="AA223" s="103" t="s">
        <v>47</v>
      </c>
      <c r="AB223" s="103" t="s">
        <v>140</v>
      </c>
      <c r="AC223" s="104" t="s">
        <v>141</v>
      </c>
    </row>
    <row r="224" spans="1:29" ht="25.5" customHeight="1" x14ac:dyDescent="0.35">
      <c r="A224" s="188"/>
      <c r="B224" s="190"/>
      <c r="C224" s="99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0"/>
      <c r="E224" s="78" t="str">
        <f>IF(C224="","",IFERROR(VLOOKUP(C224,parametros!$A$11:$E$15,5,0),""))</f>
        <v/>
      </c>
      <c r="F224" s="79" t="str">
        <f t="shared" si="17"/>
        <v/>
      </c>
      <c r="G224" s="101"/>
      <c r="H224" s="91">
        <f t="shared" si="18"/>
        <v>0</v>
      </c>
      <c r="I224" s="91" t="str">
        <f t="shared" si="19"/>
        <v/>
      </c>
      <c r="J224" s="91" t="str">
        <f t="shared" si="20"/>
        <v/>
      </c>
      <c r="K224" s="92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2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58"/>
      <c r="U224" s="217" t="str">
        <f t="shared" si="21"/>
        <v/>
      </c>
      <c r="V224" s="215" t="s">
        <v>47</v>
      </c>
      <c r="W224" s="102" t="s">
        <v>136</v>
      </c>
      <c r="X224" s="102" t="s">
        <v>137</v>
      </c>
      <c r="Y224" s="103" t="s">
        <v>138</v>
      </c>
      <c r="Z224" s="103" t="s">
        <v>139</v>
      </c>
      <c r="AA224" s="103" t="s">
        <v>47</v>
      </c>
      <c r="AB224" s="103" t="s">
        <v>140</v>
      </c>
      <c r="AC224" s="104" t="s">
        <v>141</v>
      </c>
    </row>
    <row r="225" spans="1:29" ht="25.5" customHeight="1" x14ac:dyDescent="0.35">
      <c r="A225" s="188"/>
      <c r="B225" s="190"/>
      <c r="C225" s="99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0"/>
      <c r="E225" s="78" t="str">
        <f>IF(C225="","",IFERROR(VLOOKUP(C225,parametros!$A$11:$E$15,5,0),""))</f>
        <v/>
      </c>
      <c r="F225" s="79" t="str">
        <f t="shared" si="17"/>
        <v/>
      </c>
      <c r="G225" s="101"/>
      <c r="H225" s="91">
        <f t="shared" si="18"/>
        <v>0</v>
      </c>
      <c r="I225" s="91" t="str">
        <f t="shared" si="19"/>
        <v/>
      </c>
      <c r="J225" s="91" t="str">
        <f t="shared" si="20"/>
        <v/>
      </c>
      <c r="K225" s="92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2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58"/>
      <c r="U225" s="217" t="str">
        <f t="shared" si="21"/>
        <v/>
      </c>
      <c r="V225" s="215" t="s">
        <v>47</v>
      </c>
      <c r="W225" s="102" t="s">
        <v>136</v>
      </c>
      <c r="X225" s="102" t="s">
        <v>137</v>
      </c>
      <c r="Y225" s="103" t="s">
        <v>138</v>
      </c>
      <c r="Z225" s="103" t="s">
        <v>139</v>
      </c>
      <c r="AA225" s="103" t="s">
        <v>47</v>
      </c>
      <c r="AB225" s="103" t="s">
        <v>140</v>
      </c>
      <c r="AC225" s="104" t="s">
        <v>141</v>
      </c>
    </row>
    <row r="226" spans="1:29" ht="25.5" customHeight="1" x14ac:dyDescent="0.35">
      <c r="A226" s="188"/>
      <c r="B226" s="190"/>
      <c r="C226" s="99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0"/>
      <c r="E226" s="78" t="str">
        <f>IF(C226="","",IFERROR(VLOOKUP(C226,parametros!$A$11:$E$15,5,0),""))</f>
        <v/>
      </c>
      <c r="F226" s="79" t="str">
        <f t="shared" si="17"/>
        <v/>
      </c>
      <c r="G226" s="101"/>
      <c r="H226" s="91">
        <f t="shared" si="18"/>
        <v>0</v>
      </c>
      <c r="I226" s="91" t="str">
        <f t="shared" si="19"/>
        <v/>
      </c>
      <c r="J226" s="91" t="str">
        <f t="shared" si="20"/>
        <v/>
      </c>
      <c r="K226" s="92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2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58"/>
      <c r="U226" s="217" t="str">
        <f t="shared" si="21"/>
        <v/>
      </c>
      <c r="V226" s="215" t="s">
        <v>47</v>
      </c>
      <c r="W226" s="102" t="s">
        <v>136</v>
      </c>
      <c r="X226" s="102" t="s">
        <v>137</v>
      </c>
      <c r="Y226" s="103" t="s">
        <v>138</v>
      </c>
      <c r="Z226" s="103" t="s">
        <v>139</v>
      </c>
      <c r="AA226" s="103" t="s">
        <v>47</v>
      </c>
      <c r="AB226" s="103" t="s">
        <v>140</v>
      </c>
      <c r="AC226" s="104" t="s">
        <v>141</v>
      </c>
    </row>
    <row r="227" spans="1:29" ht="25.5" customHeight="1" x14ac:dyDescent="0.35">
      <c r="A227" s="188"/>
      <c r="B227" s="190"/>
      <c r="C227" s="99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0"/>
      <c r="E227" s="78" t="str">
        <f>IF(C227="","",IFERROR(VLOOKUP(C227,parametros!$A$11:$E$15,5,0),""))</f>
        <v/>
      </c>
      <c r="F227" s="79" t="str">
        <f t="shared" si="17"/>
        <v/>
      </c>
      <c r="G227" s="101"/>
      <c r="H227" s="91">
        <f t="shared" si="18"/>
        <v>0</v>
      </c>
      <c r="I227" s="91" t="str">
        <f t="shared" si="19"/>
        <v/>
      </c>
      <c r="J227" s="91" t="str">
        <f t="shared" si="20"/>
        <v/>
      </c>
      <c r="K227" s="92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2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58"/>
      <c r="U227" s="217" t="str">
        <f t="shared" si="21"/>
        <v/>
      </c>
      <c r="V227" s="215" t="s">
        <v>47</v>
      </c>
      <c r="W227" s="102" t="s">
        <v>136</v>
      </c>
      <c r="X227" s="102" t="s">
        <v>137</v>
      </c>
      <c r="Y227" s="103" t="s">
        <v>138</v>
      </c>
      <c r="Z227" s="103" t="s">
        <v>139</v>
      </c>
      <c r="AA227" s="103" t="s">
        <v>47</v>
      </c>
      <c r="AB227" s="103" t="s">
        <v>140</v>
      </c>
      <c r="AC227" s="104" t="s">
        <v>141</v>
      </c>
    </row>
    <row r="228" spans="1:29" ht="25.5" customHeight="1" x14ac:dyDescent="0.35">
      <c r="A228" s="188"/>
      <c r="B228" s="190"/>
      <c r="C228" s="99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0"/>
      <c r="E228" s="78" t="str">
        <f>IF(C228="","",IFERROR(VLOOKUP(C228,parametros!$A$11:$E$15,5,0),""))</f>
        <v/>
      </c>
      <c r="F228" s="79" t="str">
        <f t="shared" si="17"/>
        <v/>
      </c>
      <c r="G228" s="101"/>
      <c r="H228" s="91">
        <f t="shared" si="18"/>
        <v>0</v>
      </c>
      <c r="I228" s="91" t="str">
        <f t="shared" si="19"/>
        <v/>
      </c>
      <c r="J228" s="91" t="str">
        <f t="shared" si="20"/>
        <v/>
      </c>
      <c r="K228" s="92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2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58"/>
      <c r="U228" s="217" t="str">
        <f t="shared" si="21"/>
        <v/>
      </c>
      <c r="V228" s="215" t="s">
        <v>47</v>
      </c>
      <c r="W228" s="102" t="s">
        <v>136</v>
      </c>
      <c r="X228" s="102" t="s">
        <v>137</v>
      </c>
      <c r="Y228" s="103" t="s">
        <v>138</v>
      </c>
      <c r="Z228" s="103" t="s">
        <v>139</v>
      </c>
      <c r="AA228" s="103" t="s">
        <v>47</v>
      </c>
      <c r="AB228" s="103" t="s">
        <v>140</v>
      </c>
      <c r="AC228" s="104" t="s">
        <v>141</v>
      </c>
    </row>
    <row r="229" spans="1:29" ht="25.5" customHeight="1" x14ac:dyDescent="0.35">
      <c r="A229" s="188"/>
      <c r="B229" s="190"/>
      <c r="C229" s="99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0"/>
      <c r="E229" s="78" t="str">
        <f>IF(C229="","",IFERROR(VLOOKUP(C229,parametros!$A$11:$E$15,5,0),""))</f>
        <v/>
      </c>
      <c r="F229" s="79" t="str">
        <f t="shared" si="17"/>
        <v/>
      </c>
      <c r="G229" s="101"/>
      <c r="H229" s="91">
        <f t="shared" si="18"/>
        <v>0</v>
      </c>
      <c r="I229" s="91" t="str">
        <f t="shared" si="19"/>
        <v/>
      </c>
      <c r="J229" s="91" t="str">
        <f t="shared" si="20"/>
        <v/>
      </c>
      <c r="K229" s="92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2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58"/>
      <c r="U229" s="217" t="str">
        <f t="shared" si="21"/>
        <v/>
      </c>
      <c r="V229" s="215" t="s">
        <v>47</v>
      </c>
      <c r="W229" s="102" t="s">
        <v>136</v>
      </c>
      <c r="X229" s="102" t="s">
        <v>137</v>
      </c>
      <c r="Y229" s="103" t="s">
        <v>138</v>
      </c>
      <c r="Z229" s="103" t="s">
        <v>139</v>
      </c>
      <c r="AA229" s="103" t="s">
        <v>47</v>
      </c>
      <c r="AB229" s="103" t="s">
        <v>140</v>
      </c>
      <c r="AC229" s="104" t="s">
        <v>141</v>
      </c>
    </row>
    <row r="230" spans="1:29" ht="25.5" customHeight="1" x14ac:dyDescent="0.35">
      <c r="A230" s="188"/>
      <c r="B230" s="190"/>
      <c r="C230" s="99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0"/>
      <c r="E230" s="78" t="str">
        <f>IF(C230="","",IFERROR(VLOOKUP(C230,parametros!$A$11:$E$15,5,0),""))</f>
        <v/>
      </c>
      <c r="F230" s="79" t="str">
        <f t="shared" si="17"/>
        <v/>
      </c>
      <c r="G230" s="101"/>
      <c r="H230" s="91">
        <f t="shared" si="18"/>
        <v>0</v>
      </c>
      <c r="I230" s="91" t="str">
        <f t="shared" si="19"/>
        <v/>
      </c>
      <c r="J230" s="91" t="str">
        <f t="shared" si="20"/>
        <v/>
      </c>
      <c r="K230" s="92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2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58"/>
      <c r="U230" s="217" t="str">
        <f t="shared" si="21"/>
        <v/>
      </c>
      <c r="V230" s="215" t="s">
        <v>47</v>
      </c>
      <c r="W230" s="102" t="s">
        <v>136</v>
      </c>
      <c r="X230" s="102" t="s">
        <v>137</v>
      </c>
      <c r="Y230" s="103" t="s">
        <v>138</v>
      </c>
      <c r="Z230" s="103" t="s">
        <v>139</v>
      </c>
      <c r="AA230" s="103" t="s">
        <v>47</v>
      </c>
      <c r="AB230" s="103" t="s">
        <v>140</v>
      </c>
      <c r="AC230" s="104" t="s">
        <v>141</v>
      </c>
    </row>
    <row r="231" spans="1:29" ht="25.5" customHeight="1" x14ac:dyDescent="0.35">
      <c r="A231" s="188"/>
      <c r="B231" s="190"/>
      <c r="C231" s="99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0"/>
      <c r="E231" s="78" t="str">
        <f>IF(C231="","",IFERROR(VLOOKUP(C231,parametros!$A$11:$E$15,5,0),""))</f>
        <v/>
      </c>
      <c r="F231" s="79" t="str">
        <f t="shared" si="17"/>
        <v/>
      </c>
      <c r="G231" s="101"/>
      <c r="H231" s="91">
        <f t="shared" si="18"/>
        <v>0</v>
      </c>
      <c r="I231" s="91" t="str">
        <f t="shared" si="19"/>
        <v/>
      </c>
      <c r="J231" s="91" t="str">
        <f t="shared" si="20"/>
        <v/>
      </c>
      <c r="K231" s="92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2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58"/>
      <c r="U231" s="217" t="str">
        <f t="shared" si="21"/>
        <v/>
      </c>
      <c r="V231" s="215" t="s">
        <v>47</v>
      </c>
      <c r="W231" s="102" t="s">
        <v>136</v>
      </c>
      <c r="X231" s="102" t="s">
        <v>137</v>
      </c>
      <c r="Y231" s="103" t="s">
        <v>138</v>
      </c>
      <c r="Z231" s="103" t="s">
        <v>139</v>
      </c>
      <c r="AA231" s="103" t="s">
        <v>47</v>
      </c>
      <c r="AB231" s="103" t="s">
        <v>140</v>
      </c>
      <c r="AC231" s="104" t="s">
        <v>141</v>
      </c>
    </row>
    <row r="232" spans="1:29" ht="25.5" customHeight="1" x14ac:dyDescent="0.35">
      <c r="A232" s="188"/>
      <c r="B232" s="190"/>
      <c r="C232" s="99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0"/>
      <c r="E232" s="78" t="str">
        <f>IF(C232="","",IFERROR(VLOOKUP(C232,parametros!$A$11:$E$15,5,0),""))</f>
        <v/>
      </c>
      <c r="F232" s="79" t="str">
        <f t="shared" si="17"/>
        <v/>
      </c>
      <c r="G232" s="101"/>
      <c r="H232" s="91">
        <f t="shared" si="18"/>
        <v>0</v>
      </c>
      <c r="I232" s="91" t="str">
        <f t="shared" si="19"/>
        <v/>
      </c>
      <c r="J232" s="91" t="str">
        <f t="shared" si="20"/>
        <v/>
      </c>
      <c r="K232" s="92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2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58"/>
      <c r="U232" s="217" t="str">
        <f t="shared" si="21"/>
        <v/>
      </c>
      <c r="V232" s="215" t="s">
        <v>47</v>
      </c>
      <c r="W232" s="102" t="s">
        <v>136</v>
      </c>
      <c r="X232" s="102" t="s">
        <v>137</v>
      </c>
      <c r="Y232" s="103" t="s">
        <v>138</v>
      </c>
      <c r="Z232" s="103" t="s">
        <v>139</v>
      </c>
      <c r="AA232" s="103" t="s">
        <v>47</v>
      </c>
      <c r="AB232" s="103" t="s">
        <v>140</v>
      </c>
      <c r="AC232" s="104" t="s">
        <v>141</v>
      </c>
    </row>
    <row r="233" spans="1:29" ht="25.5" customHeight="1" x14ac:dyDescent="0.35">
      <c r="A233" s="188"/>
      <c r="B233" s="190"/>
      <c r="C233" s="99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0"/>
      <c r="E233" s="78" t="str">
        <f>IF(C233="","",IFERROR(VLOOKUP(C233,parametros!$A$11:$E$15,5,0),""))</f>
        <v/>
      </c>
      <c r="F233" s="79" t="str">
        <f t="shared" si="17"/>
        <v/>
      </c>
      <c r="G233" s="101"/>
      <c r="H233" s="91">
        <f t="shared" si="18"/>
        <v>0</v>
      </c>
      <c r="I233" s="91" t="str">
        <f t="shared" si="19"/>
        <v/>
      </c>
      <c r="J233" s="91" t="str">
        <f t="shared" si="20"/>
        <v/>
      </c>
      <c r="K233" s="92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2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58"/>
      <c r="U233" s="217" t="str">
        <f t="shared" si="21"/>
        <v/>
      </c>
      <c r="V233" s="215" t="s">
        <v>47</v>
      </c>
      <c r="W233" s="102" t="s">
        <v>136</v>
      </c>
      <c r="X233" s="102" t="s">
        <v>137</v>
      </c>
      <c r="Y233" s="103" t="s">
        <v>138</v>
      </c>
      <c r="Z233" s="103" t="s">
        <v>139</v>
      </c>
      <c r="AA233" s="103" t="s">
        <v>47</v>
      </c>
      <c r="AB233" s="103" t="s">
        <v>140</v>
      </c>
      <c r="AC233" s="104" t="s">
        <v>141</v>
      </c>
    </row>
    <row r="234" spans="1:29" ht="25.5" customHeight="1" x14ac:dyDescent="0.35">
      <c r="A234" s="188"/>
      <c r="B234" s="190"/>
      <c r="C234" s="99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0"/>
      <c r="E234" s="78" t="str">
        <f>IF(C234="","",IFERROR(VLOOKUP(C234,parametros!$A$11:$E$15,5,0),""))</f>
        <v/>
      </c>
      <c r="F234" s="79" t="str">
        <f t="shared" si="17"/>
        <v/>
      </c>
      <c r="G234" s="101"/>
      <c r="H234" s="91">
        <f t="shared" si="18"/>
        <v>0</v>
      </c>
      <c r="I234" s="91" t="str">
        <f t="shared" si="19"/>
        <v/>
      </c>
      <c r="J234" s="91" t="str">
        <f t="shared" si="20"/>
        <v/>
      </c>
      <c r="K234" s="92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2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58"/>
      <c r="U234" s="217" t="str">
        <f t="shared" si="21"/>
        <v/>
      </c>
      <c r="V234" s="215" t="s">
        <v>47</v>
      </c>
      <c r="W234" s="102" t="s">
        <v>136</v>
      </c>
      <c r="X234" s="102" t="s">
        <v>137</v>
      </c>
      <c r="Y234" s="103" t="s">
        <v>138</v>
      </c>
      <c r="Z234" s="103" t="s">
        <v>139</v>
      </c>
      <c r="AA234" s="103" t="s">
        <v>47</v>
      </c>
      <c r="AB234" s="103" t="s">
        <v>140</v>
      </c>
      <c r="AC234" s="104" t="s">
        <v>141</v>
      </c>
    </row>
    <row r="235" spans="1:29" ht="25.5" customHeight="1" x14ac:dyDescent="0.35">
      <c r="A235" s="188"/>
      <c r="B235" s="190"/>
      <c r="C235" s="99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0"/>
      <c r="E235" s="78" t="str">
        <f>IF(C235="","",IFERROR(VLOOKUP(C235,parametros!$A$11:$E$15,5,0),""))</f>
        <v/>
      </c>
      <c r="F235" s="79" t="str">
        <f t="shared" si="17"/>
        <v/>
      </c>
      <c r="G235" s="101"/>
      <c r="H235" s="91">
        <f t="shared" si="18"/>
        <v>0</v>
      </c>
      <c r="I235" s="91" t="str">
        <f t="shared" si="19"/>
        <v/>
      </c>
      <c r="J235" s="91" t="str">
        <f t="shared" si="20"/>
        <v/>
      </c>
      <c r="K235" s="92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2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58"/>
      <c r="U235" s="217" t="str">
        <f t="shared" si="21"/>
        <v/>
      </c>
      <c r="V235" s="215" t="s">
        <v>47</v>
      </c>
      <c r="W235" s="102" t="s">
        <v>136</v>
      </c>
      <c r="X235" s="102" t="s">
        <v>137</v>
      </c>
      <c r="Y235" s="103" t="s">
        <v>138</v>
      </c>
      <c r="Z235" s="103" t="s">
        <v>139</v>
      </c>
      <c r="AA235" s="103" t="s">
        <v>47</v>
      </c>
      <c r="AB235" s="103" t="s">
        <v>140</v>
      </c>
      <c r="AC235" s="104" t="s">
        <v>141</v>
      </c>
    </row>
    <row r="236" spans="1:29" ht="25.5" customHeight="1" x14ac:dyDescent="0.35">
      <c r="A236" s="188"/>
      <c r="B236" s="190"/>
      <c r="C236" s="99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0"/>
      <c r="E236" s="78" t="str">
        <f>IF(C236="","",IFERROR(VLOOKUP(C236,parametros!$A$11:$E$15,5,0),""))</f>
        <v/>
      </c>
      <c r="F236" s="79" t="str">
        <f t="shared" si="17"/>
        <v/>
      </c>
      <c r="G236" s="101"/>
      <c r="H236" s="91">
        <f t="shared" si="18"/>
        <v>0</v>
      </c>
      <c r="I236" s="91" t="str">
        <f t="shared" si="19"/>
        <v/>
      </c>
      <c r="J236" s="91" t="str">
        <f t="shared" si="20"/>
        <v/>
      </c>
      <c r="K236" s="92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2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58"/>
      <c r="U236" s="217" t="str">
        <f t="shared" si="21"/>
        <v/>
      </c>
      <c r="V236" s="215" t="s">
        <v>47</v>
      </c>
      <c r="W236" s="102" t="s">
        <v>136</v>
      </c>
      <c r="X236" s="102" t="s">
        <v>137</v>
      </c>
      <c r="Y236" s="103" t="s">
        <v>138</v>
      </c>
      <c r="Z236" s="103" t="s">
        <v>139</v>
      </c>
      <c r="AA236" s="103" t="s">
        <v>47</v>
      </c>
      <c r="AB236" s="103" t="s">
        <v>140</v>
      </c>
      <c r="AC236" s="104" t="s">
        <v>141</v>
      </c>
    </row>
    <row r="237" spans="1:29" ht="25.5" customHeight="1" x14ac:dyDescent="0.35">
      <c r="A237" s="188"/>
      <c r="B237" s="190"/>
      <c r="C237" s="99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0"/>
      <c r="E237" s="78" t="str">
        <f>IF(C237="","",IFERROR(VLOOKUP(C237,parametros!$A$11:$E$15,5,0),""))</f>
        <v/>
      </c>
      <c r="F237" s="79" t="str">
        <f t="shared" si="17"/>
        <v/>
      </c>
      <c r="G237" s="101"/>
      <c r="H237" s="91">
        <f t="shared" si="18"/>
        <v>0</v>
      </c>
      <c r="I237" s="91" t="str">
        <f t="shared" si="19"/>
        <v/>
      </c>
      <c r="J237" s="91" t="str">
        <f t="shared" si="20"/>
        <v/>
      </c>
      <c r="K237" s="92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2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58"/>
      <c r="U237" s="217" t="str">
        <f t="shared" si="21"/>
        <v/>
      </c>
      <c r="V237" s="215" t="s">
        <v>47</v>
      </c>
      <c r="W237" s="102" t="s">
        <v>136</v>
      </c>
      <c r="X237" s="102" t="s">
        <v>137</v>
      </c>
      <c r="Y237" s="103" t="s">
        <v>138</v>
      </c>
      <c r="Z237" s="103" t="s">
        <v>139</v>
      </c>
      <c r="AA237" s="103" t="s">
        <v>47</v>
      </c>
      <c r="AB237" s="103" t="s">
        <v>140</v>
      </c>
      <c r="AC237" s="104" t="s">
        <v>141</v>
      </c>
    </row>
    <row r="238" spans="1:29" ht="25.5" customHeight="1" x14ac:dyDescent="0.35">
      <c r="A238" s="188"/>
      <c r="B238" s="190"/>
      <c r="C238" s="99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0"/>
      <c r="E238" s="78" t="str">
        <f>IF(C238="","",IFERROR(VLOOKUP(C238,parametros!$A$11:$E$15,5,0),""))</f>
        <v/>
      </c>
      <c r="F238" s="79" t="str">
        <f t="shared" si="17"/>
        <v/>
      </c>
      <c r="G238" s="101"/>
      <c r="H238" s="91">
        <f t="shared" si="18"/>
        <v>0</v>
      </c>
      <c r="I238" s="91" t="str">
        <f t="shared" si="19"/>
        <v/>
      </c>
      <c r="J238" s="91" t="str">
        <f t="shared" si="20"/>
        <v/>
      </c>
      <c r="K238" s="92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2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58"/>
      <c r="U238" s="217" t="str">
        <f t="shared" si="21"/>
        <v/>
      </c>
      <c r="V238" s="215" t="s">
        <v>47</v>
      </c>
      <c r="W238" s="102" t="s">
        <v>136</v>
      </c>
      <c r="X238" s="102" t="s">
        <v>137</v>
      </c>
      <c r="Y238" s="103" t="s">
        <v>138</v>
      </c>
      <c r="Z238" s="103" t="s">
        <v>139</v>
      </c>
      <c r="AA238" s="103" t="s">
        <v>47</v>
      </c>
      <c r="AB238" s="103" t="s">
        <v>140</v>
      </c>
      <c r="AC238" s="104" t="s">
        <v>141</v>
      </c>
    </row>
    <row r="239" spans="1:29" ht="25.5" customHeight="1" x14ac:dyDescent="0.35">
      <c r="A239" s="188"/>
      <c r="B239" s="190"/>
      <c r="C239" s="99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0"/>
      <c r="E239" s="78" t="str">
        <f>IF(C239="","",IFERROR(VLOOKUP(C239,parametros!$A$11:$E$15,5,0),""))</f>
        <v/>
      </c>
      <c r="F239" s="79" t="str">
        <f t="shared" si="17"/>
        <v/>
      </c>
      <c r="G239" s="101"/>
      <c r="H239" s="91">
        <f t="shared" si="18"/>
        <v>0</v>
      </c>
      <c r="I239" s="91" t="str">
        <f t="shared" si="19"/>
        <v/>
      </c>
      <c r="J239" s="91" t="str">
        <f t="shared" si="20"/>
        <v/>
      </c>
      <c r="K239" s="92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2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58"/>
      <c r="U239" s="217" t="str">
        <f t="shared" si="21"/>
        <v/>
      </c>
      <c r="V239" s="215" t="s">
        <v>47</v>
      </c>
      <c r="W239" s="102" t="s">
        <v>136</v>
      </c>
      <c r="X239" s="102" t="s">
        <v>137</v>
      </c>
      <c r="Y239" s="103" t="s">
        <v>138</v>
      </c>
      <c r="Z239" s="103" t="s">
        <v>139</v>
      </c>
      <c r="AA239" s="103" t="s">
        <v>47</v>
      </c>
      <c r="AB239" s="103" t="s">
        <v>140</v>
      </c>
      <c r="AC239" s="104" t="s">
        <v>141</v>
      </c>
    </row>
    <row r="240" spans="1:29" ht="25.5" customHeight="1" x14ac:dyDescent="0.35">
      <c r="A240" s="188"/>
      <c r="B240" s="190"/>
      <c r="C240" s="99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0"/>
      <c r="E240" s="78" t="str">
        <f>IF(C240="","",IFERROR(VLOOKUP(C240,parametros!$A$11:$E$15,5,0),""))</f>
        <v/>
      </c>
      <c r="F240" s="79" t="str">
        <f t="shared" si="17"/>
        <v/>
      </c>
      <c r="G240" s="101"/>
      <c r="H240" s="91">
        <f t="shared" si="18"/>
        <v>0</v>
      </c>
      <c r="I240" s="91" t="str">
        <f t="shared" si="19"/>
        <v/>
      </c>
      <c r="J240" s="91" t="str">
        <f t="shared" si="20"/>
        <v/>
      </c>
      <c r="K240" s="92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2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58"/>
      <c r="U240" s="217" t="str">
        <f t="shared" si="21"/>
        <v/>
      </c>
      <c r="V240" s="215" t="s">
        <v>47</v>
      </c>
      <c r="W240" s="102" t="s">
        <v>136</v>
      </c>
      <c r="X240" s="102" t="s">
        <v>137</v>
      </c>
      <c r="Y240" s="103" t="s">
        <v>138</v>
      </c>
      <c r="Z240" s="103" t="s">
        <v>139</v>
      </c>
      <c r="AA240" s="103" t="s">
        <v>47</v>
      </c>
      <c r="AB240" s="103" t="s">
        <v>140</v>
      </c>
      <c r="AC240" s="104" t="s">
        <v>141</v>
      </c>
    </row>
    <row r="241" spans="1:29" ht="25.5" customHeight="1" x14ac:dyDescent="0.35">
      <c r="A241" s="188"/>
      <c r="B241" s="190"/>
      <c r="C241" s="99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0"/>
      <c r="E241" s="78" t="str">
        <f>IF(C241="","",IFERROR(VLOOKUP(C241,parametros!$A$11:$E$15,5,0),""))</f>
        <v/>
      </c>
      <c r="F241" s="79" t="str">
        <f t="shared" si="17"/>
        <v/>
      </c>
      <c r="G241" s="101"/>
      <c r="H241" s="91">
        <f t="shared" si="18"/>
        <v>0</v>
      </c>
      <c r="I241" s="91" t="str">
        <f t="shared" si="19"/>
        <v/>
      </c>
      <c r="J241" s="91" t="str">
        <f t="shared" si="20"/>
        <v/>
      </c>
      <c r="K241" s="92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2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58"/>
      <c r="U241" s="217" t="str">
        <f t="shared" si="21"/>
        <v/>
      </c>
      <c r="V241" s="215" t="s">
        <v>47</v>
      </c>
      <c r="W241" s="102" t="s">
        <v>136</v>
      </c>
      <c r="X241" s="102" t="s">
        <v>137</v>
      </c>
      <c r="Y241" s="103" t="s">
        <v>138</v>
      </c>
      <c r="Z241" s="103" t="s">
        <v>139</v>
      </c>
      <c r="AA241" s="103" t="s">
        <v>47</v>
      </c>
      <c r="AB241" s="103" t="s">
        <v>140</v>
      </c>
      <c r="AC241" s="104" t="s">
        <v>141</v>
      </c>
    </row>
    <row r="242" spans="1:29" ht="25.5" customHeight="1" x14ac:dyDescent="0.35">
      <c r="A242" s="188"/>
      <c r="B242" s="190"/>
      <c r="C242" s="99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0"/>
      <c r="E242" s="78" t="str">
        <f>IF(C242="","",IFERROR(VLOOKUP(C242,parametros!$A$11:$E$15,5,0),""))</f>
        <v/>
      </c>
      <c r="F242" s="79" t="str">
        <f t="shared" si="17"/>
        <v/>
      </c>
      <c r="G242" s="101"/>
      <c r="H242" s="91">
        <f t="shared" si="18"/>
        <v>0</v>
      </c>
      <c r="I242" s="91" t="str">
        <f t="shared" si="19"/>
        <v/>
      </c>
      <c r="J242" s="91" t="str">
        <f t="shared" si="20"/>
        <v/>
      </c>
      <c r="K242" s="92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2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58"/>
      <c r="U242" s="217" t="str">
        <f t="shared" si="21"/>
        <v/>
      </c>
      <c r="V242" s="215" t="s">
        <v>47</v>
      </c>
      <c r="W242" s="102" t="s">
        <v>136</v>
      </c>
      <c r="X242" s="102" t="s">
        <v>137</v>
      </c>
      <c r="Y242" s="103" t="s">
        <v>138</v>
      </c>
      <c r="Z242" s="103" t="s">
        <v>139</v>
      </c>
      <c r="AA242" s="103" t="s">
        <v>47</v>
      </c>
      <c r="AB242" s="103" t="s">
        <v>140</v>
      </c>
      <c r="AC242" s="104" t="s">
        <v>141</v>
      </c>
    </row>
    <row r="243" spans="1:29" ht="25.5" customHeight="1" x14ac:dyDescent="0.35">
      <c r="A243" s="188"/>
      <c r="B243" s="190"/>
      <c r="C243" s="99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0"/>
      <c r="E243" s="78" t="str">
        <f>IF(C243="","",IFERROR(VLOOKUP(C243,parametros!$A$11:$E$15,5,0),""))</f>
        <v/>
      </c>
      <c r="F243" s="79" t="str">
        <f t="shared" si="17"/>
        <v/>
      </c>
      <c r="G243" s="101"/>
      <c r="H243" s="91">
        <f t="shared" si="18"/>
        <v>0</v>
      </c>
      <c r="I243" s="91" t="str">
        <f t="shared" si="19"/>
        <v/>
      </c>
      <c r="J243" s="91" t="str">
        <f t="shared" si="20"/>
        <v/>
      </c>
      <c r="K243" s="92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2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58"/>
      <c r="U243" s="217" t="str">
        <f t="shared" si="21"/>
        <v/>
      </c>
      <c r="V243" s="215" t="s">
        <v>47</v>
      </c>
      <c r="W243" s="102" t="s">
        <v>136</v>
      </c>
      <c r="X243" s="102" t="s">
        <v>137</v>
      </c>
      <c r="Y243" s="103" t="s">
        <v>138</v>
      </c>
      <c r="Z243" s="103" t="s">
        <v>139</v>
      </c>
      <c r="AA243" s="103" t="s">
        <v>47</v>
      </c>
      <c r="AB243" s="103" t="s">
        <v>140</v>
      </c>
      <c r="AC243" s="104" t="s">
        <v>141</v>
      </c>
    </row>
    <row r="244" spans="1:29" ht="25.5" customHeight="1" x14ac:dyDescent="0.35">
      <c r="A244" s="188"/>
      <c r="B244" s="190"/>
      <c r="C244" s="99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0"/>
      <c r="E244" s="78" t="str">
        <f>IF(C244="","",IFERROR(VLOOKUP(C244,parametros!$A$11:$E$15,5,0),""))</f>
        <v/>
      </c>
      <c r="F244" s="79" t="str">
        <f t="shared" si="17"/>
        <v/>
      </c>
      <c r="G244" s="101"/>
      <c r="H244" s="91">
        <f t="shared" si="18"/>
        <v>0</v>
      </c>
      <c r="I244" s="91" t="str">
        <f t="shared" si="19"/>
        <v/>
      </c>
      <c r="J244" s="91" t="str">
        <f t="shared" si="20"/>
        <v/>
      </c>
      <c r="K244" s="92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2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58"/>
      <c r="U244" s="217" t="str">
        <f t="shared" si="21"/>
        <v/>
      </c>
      <c r="V244" s="215" t="s">
        <v>47</v>
      </c>
      <c r="W244" s="102" t="s">
        <v>136</v>
      </c>
      <c r="X244" s="102" t="s">
        <v>137</v>
      </c>
      <c r="Y244" s="103" t="s">
        <v>138</v>
      </c>
      <c r="Z244" s="103" t="s">
        <v>139</v>
      </c>
      <c r="AA244" s="103" t="s">
        <v>47</v>
      </c>
      <c r="AB244" s="103" t="s">
        <v>140</v>
      </c>
      <c r="AC244" s="104" t="s">
        <v>141</v>
      </c>
    </row>
    <row r="245" spans="1:29" ht="25.5" customHeight="1" x14ac:dyDescent="0.35">
      <c r="A245" s="188"/>
      <c r="B245" s="190"/>
      <c r="C245" s="99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0"/>
      <c r="E245" s="78" t="str">
        <f>IF(C245="","",IFERROR(VLOOKUP(C245,parametros!$A$11:$E$15,5,0),""))</f>
        <v/>
      </c>
      <c r="F245" s="79" t="str">
        <f t="shared" si="17"/>
        <v/>
      </c>
      <c r="G245" s="101"/>
      <c r="H245" s="91">
        <f t="shared" si="18"/>
        <v>0</v>
      </c>
      <c r="I245" s="91" t="str">
        <f t="shared" si="19"/>
        <v/>
      </c>
      <c r="J245" s="91" t="str">
        <f t="shared" si="20"/>
        <v/>
      </c>
      <c r="K245" s="92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2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58"/>
      <c r="U245" s="217" t="str">
        <f t="shared" si="21"/>
        <v/>
      </c>
      <c r="V245" s="215" t="s">
        <v>47</v>
      </c>
      <c r="W245" s="102" t="s">
        <v>136</v>
      </c>
      <c r="X245" s="102" t="s">
        <v>137</v>
      </c>
      <c r="Y245" s="103" t="s">
        <v>138</v>
      </c>
      <c r="Z245" s="103" t="s">
        <v>139</v>
      </c>
      <c r="AA245" s="103" t="s">
        <v>47</v>
      </c>
      <c r="AB245" s="103" t="s">
        <v>140</v>
      </c>
      <c r="AC245" s="104" t="s">
        <v>141</v>
      </c>
    </row>
    <row r="246" spans="1:29" ht="25.5" customHeight="1" x14ac:dyDescent="0.35">
      <c r="A246" s="188"/>
      <c r="B246" s="190"/>
      <c r="C246" s="99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0"/>
      <c r="E246" s="78" t="str">
        <f>IF(C246="","",IFERROR(VLOOKUP(C246,parametros!$A$11:$E$15,5,0),""))</f>
        <v/>
      </c>
      <c r="F246" s="79" t="str">
        <f t="shared" si="17"/>
        <v/>
      </c>
      <c r="G246" s="101"/>
      <c r="H246" s="91">
        <f t="shared" si="18"/>
        <v>0</v>
      </c>
      <c r="I246" s="91" t="str">
        <f t="shared" si="19"/>
        <v/>
      </c>
      <c r="J246" s="91" t="str">
        <f t="shared" si="20"/>
        <v/>
      </c>
      <c r="K246" s="92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2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58"/>
      <c r="U246" s="217" t="str">
        <f t="shared" si="21"/>
        <v/>
      </c>
      <c r="V246" s="215" t="s">
        <v>47</v>
      </c>
      <c r="W246" s="102" t="s">
        <v>136</v>
      </c>
      <c r="X246" s="102" t="s">
        <v>137</v>
      </c>
      <c r="Y246" s="103" t="s">
        <v>138</v>
      </c>
      <c r="Z246" s="103" t="s">
        <v>139</v>
      </c>
      <c r="AA246" s="103" t="s">
        <v>47</v>
      </c>
      <c r="AB246" s="103" t="s">
        <v>140</v>
      </c>
      <c r="AC246" s="104" t="s">
        <v>141</v>
      </c>
    </row>
    <row r="247" spans="1:29" ht="25.5" customHeight="1" x14ac:dyDescent="0.35">
      <c r="A247" s="188"/>
      <c r="B247" s="190"/>
      <c r="C247" s="99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0"/>
      <c r="E247" s="78" t="str">
        <f>IF(C247="","",IFERROR(VLOOKUP(C247,parametros!$A$11:$E$15,5,0),""))</f>
        <v/>
      </c>
      <c r="F247" s="79" t="str">
        <f t="shared" si="17"/>
        <v/>
      </c>
      <c r="G247" s="101"/>
      <c r="H247" s="91">
        <f t="shared" si="18"/>
        <v>0</v>
      </c>
      <c r="I247" s="91" t="str">
        <f t="shared" si="19"/>
        <v/>
      </c>
      <c r="J247" s="91" t="str">
        <f t="shared" si="20"/>
        <v/>
      </c>
      <c r="K247" s="92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2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58"/>
      <c r="U247" s="217" t="str">
        <f t="shared" si="21"/>
        <v/>
      </c>
      <c r="V247" s="215" t="s">
        <v>47</v>
      </c>
      <c r="W247" s="102" t="s">
        <v>136</v>
      </c>
      <c r="X247" s="102" t="s">
        <v>137</v>
      </c>
      <c r="Y247" s="103" t="s">
        <v>138</v>
      </c>
      <c r="Z247" s="103" t="s">
        <v>139</v>
      </c>
      <c r="AA247" s="103" t="s">
        <v>47</v>
      </c>
      <c r="AB247" s="103" t="s">
        <v>140</v>
      </c>
      <c r="AC247" s="104" t="s">
        <v>141</v>
      </c>
    </row>
    <row r="248" spans="1:29" ht="25.5" customHeight="1" x14ac:dyDescent="0.35">
      <c r="A248" s="188"/>
      <c r="B248" s="190"/>
      <c r="C248" s="99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0"/>
      <c r="E248" s="78" t="str">
        <f>IF(C248="","",IFERROR(VLOOKUP(C248,parametros!$A$11:$E$15,5,0),""))</f>
        <v/>
      </c>
      <c r="F248" s="79" t="str">
        <f t="shared" si="17"/>
        <v/>
      </c>
      <c r="G248" s="101"/>
      <c r="H248" s="91">
        <f t="shared" si="18"/>
        <v>0</v>
      </c>
      <c r="I248" s="91" t="str">
        <f t="shared" si="19"/>
        <v/>
      </c>
      <c r="J248" s="91" t="str">
        <f t="shared" si="20"/>
        <v/>
      </c>
      <c r="K248" s="92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2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58"/>
      <c r="U248" s="217" t="str">
        <f t="shared" si="21"/>
        <v/>
      </c>
      <c r="V248" s="215" t="s">
        <v>47</v>
      </c>
      <c r="W248" s="102" t="s">
        <v>136</v>
      </c>
      <c r="X248" s="102" t="s">
        <v>137</v>
      </c>
      <c r="Y248" s="103" t="s">
        <v>138</v>
      </c>
      <c r="Z248" s="103" t="s">
        <v>139</v>
      </c>
      <c r="AA248" s="103" t="s">
        <v>47</v>
      </c>
      <c r="AB248" s="103" t="s">
        <v>140</v>
      </c>
      <c r="AC248" s="104" t="s">
        <v>141</v>
      </c>
    </row>
    <row r="249" spans="1:29" ht="25.5" customHeight="1" x14ac:dyDescent="0.35">
      <c r="A249" s="188"/>
      <c r="B249" s="190"/>
      <c r="C249" s="99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0"/>
      <c r="E249" s="78" t="str">
        <f>IF(C249="","",IFERROR(VLOOKUP(C249,parametros!$A$11:$E$15,5,0),""))</f>
        <v/>
      </c>
      <c r="F249" s="79" t="str">
        <f t="shared" si="17"/>
        <v/>
      </c>
      <c r="G249" s="101"/>
      <c r="H249" s="91">
        <f t="shared" si="18"/>
        <v>0</v>
      </c>
      <c r="I249" s="91" t="str">
        <f t="shared" si="19"/>
        <v/>
      </c>
      <c r="J249" s="91" t="str">
        <f t="shared" si="20"/>
        <v/>
      </c>
      <c r="K249" s="92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2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58"/>
      <c r="U249" s="217" t="str">
        <f t="shared" si="21"/>
        <v/>
      </c>
      <c r="V249" s="215" t="s">
        <v>47</v>
      </c>
      <c r="W249" s="102" t="s">
        <v>136</v>
      </c>
      <c r="X249" s="102" t="s">
        <v>137</v>
      </c>
      <c r="Y249" s="103" t="s">
        <v>138</v>
      </c>
      <c r="Z249" s="103" t="s">
        <v>139</v>
      </c>
      <c r="AA249" s="103" t="s">
        <v>47</v>
      </c>
      <c r="AB249" s="103" t="s">
        <v>140</v>
      </c>
      <c r="AC249" s="104" t="s">
        <v>141</v>
      </c>
    </row>
    <row r="250" spans="1:29" ht="25.5" customHeight="1" x14ac:dyDescent="0.35">
      <c r="A250" s="188"/>
      <c r="B250" s="190"/>
      <c r="C250" s="99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0"/>
      <c r="E250" s="78" t="str">
        <f>IF(C250="","",IFERROR(VLOOKUP(C250,parametros!$A$11:$E$15,5,0),""))</f>
        <v/>
      </c>
      <c r="F250" s="79" t="str">
        <f t="shared" si="17"/>
        <v/>
      </c>
      <c r="G250" s="101"/>
      <c r="H250" s="91">
        <f t="shared" si="18"/>
        <v>0</v>
      </c>
      <c r="I250" s="91" t="str">
        <f t="shared" si="19"/>
        <v/>
      </c>
      <c r="J250" s="91" t="str">
        <f t="shared" si="20"/>
        <v/>
      </c>
      <c r="K250" s="92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2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58"/>
      <c r="U250" s="217" t="str">
        <f t="shared" si="21"/>
        <v/>
      </c>
      <c r="V250" s="215" t="s">
        <v>47</v>
      </c>
      <c r="W250" s="102" t="s">
        <v>136</v>
      </c>
      <c r="X250" s="102" t="s">
        <v>137</v>
      </c>
      <c r="Y250" s="103" t="s">
        <v>138</v>
      </c>
      <c r="Z250" s="103" t="s">
        <v>139</v>
      </c>
      <c r="AA250" s="103" t="s">
        <v>47</v>
      </c>
      <c r="AB250" s="103" t="s">
        <v>140</v>
      </c>
      <c r="AC250" s="104" t="s">
        <v>141</v>
      </c>
    </row>
    <row r="251" spans="1:29" ht="25.5" customHeight="1" x14ac:dyDescent="0.35">
      <c r="A251" s="188"/>
      <c r="B251" s="190"/>
      <c r="C251" s="99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0"/>
      <c r="E251" s="78" t="str">
        <f>IF(C251="","",IFERROR(VLOOKUP(C251,parametros!$A$11:$E$15,5,0),""))</f>
        <v/>
      </c>
      <c r="F251" s="79" t="str">
        <f t="shared" si="17"/>
        <v/>
      </c>
      <c r="G251" s="101"/>
      <c r="H251" s="91">
        <f t="shared" si="18"/>
        <v>0</v>
      </c>
      <c r="I251" s="91" t="str">
        <f t="shared" si="19"/>
        <v/>
      </c>
      <c r="J251" s="91" t="str">
        <f t="shared" si="20"/>
        <v/>
      </c>
      <c r="K251" s="92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2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58"/>
      <c r="U251" s="217" t="str">
        <f t="shared" si="21"/>
        <v/>
      </c>
      <c r="V251" s="215" t="s">
        <v>47</v>
      </c>
      <c r="W251" s="102" t="s">
        <v>136</v>
      </c>
      <c r="X251" s="102" t="s">
        <v>137</v>
      </c>
      <c r="Y251" s="103" t="s">
        <v>138</v>
      </c>
      <c r="Z251" s="103" t="s">
        <v>139</v>
      </c>
      <c r="AA251" s="103" t="s">
        <v>47</v>
      </c>
      <c r="AB251" s="103" t="s">
        <v>140</v>
      </c>
      <c r="AC251" s="104" t="s">
        <v>141</v>
      </c>
    </row>
    <row r="252" spans="1:29" ht="25.5" customHeight="1" x14ac:dyDescent="0.35">
      <c r="A252" s="188"/>
      <c r="B252" s="190"/>
      <c r="C252" s="99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0"/>
      <c r="E252" s="78" t="str">
        <f>IF(C252="","",IFERROR(VLOOKUP(C252,parametros!$A$11:$E$15,5,0),""))</f>
        <v/>
      </c>
      <c r="F252" s="79" t="str">
        <f t="shared" si="17"/>
        <v/>
      </c>
      <c r="G252" s="101"/>
      <c r="H252" s="91">
        <f t="shared" si="18"/>
        <v>0</v>
      </c>
      <c r="I252" s="91" t="str">
        <f t="shared" si="19"/>
        <v/>
      </c>
      <c r="J252" s="91" t="str">
        <f t="shared" si="20"/>
        <v/>
      </c>
      <c r="K252" s="92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2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58"/>
      <c r="U252" s="217" t="str">
        <f t="shared" si="21"/>
        <v/>
      </c>
      <c r="V252" s="215" t="s">
        <v>47</v>
      </c>
      <c r="W252" s="102" t="s">
        <v>136</v>
      </c>
      <c r="X252" s="102" t="s">
        <v>137</v>
      </c>
      <c r="Y252" s="103" t="s">
        <v>138</v>
      </c>
      <c r="Z252" s="103" t="s">
        <v>139</v>
      </c>
      <c r="AA252" s="103" t="s">
        <v>47</v>
      </c>
      <c r="AB252" s="103" t="s">
        <v>140</v>
      </c>
      <c r="AC252" s="104" t="s">
        <v>141</v>
      </c>
    </row>
    <row r="253" spans="1:29" ht="25.5" customHeight="1" x14ac:dyDescent="0.35">
      <c r="A253" s="188"/>
      <c r="B253" s="190"/>
      <c r="C253" s="99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0"/>
      <c r="E253" s="78" t="str">
        <f>IF(C253="","",IFERROR(VLOOKUP(C253,parametros!$A$11:$E$15,5,0),""))</f>
        <v/>
      </c>
      <c r="F253" s="79" t="str">
        <f t="shared" si="17"/>
        <v/>
      </c>
      <c r="G253" s="101"/>
      <c r="H253" s="91">
        <f t="shared" si="18"/>
        <v>0</v>
      </c>
      <c r="I253" s="91" t="str">
        <f t="shared" si="19"/>
        <v/>
      </c>
      <c r="J253" s="91" t="str">
        <f t="shared" si="20"/>
        <v/>
      </c>
      <c r="K253" s="92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2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58"/>
      <c r="U253" s="217" t="str">
        <f t="shared" si="21"/>
        <v/>
      </c>
      <c r="V253" s="215" t="s">
        <v>47</v>
      </c>
      <c r="W253" s="102" t="s">
        <v>136</v>
      </c>
      <c r="X253" s="102" t="s">
        <v>137</v>
      </c>
      <c r="Y253" s="103" t="s">
        <v>138</v>
      </c>
      <c r="Z253" s="103" t="s">
        <v>139</v>
      </c>
      <c r="AA253" s="103" t="s">
        <v>47</v>
      </c>
      <c r="AB253" s="103" t="s">
        <v>140</v>
      </c>
      <c r="AC253" s="104" t="s">
        <v>141</v>
      </c>
    </row>
    <row r="254" spans="1:29" ht="25.5" customHeight="1" x14ac:dyDescent="0.35">
      <c r="A254" s="188"/>
      <c r="B254" s="190"/>
      <c r="C254" s="99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0"/>
      <c r="E254" s="78" t="str">
        <f>IF(C254="","",IFERROR(VLOOKUP(C254,parametros!$A$11:$E$15,5,0),""))</f>
        <v/>
      </c>
      <c r="F254" s="79" t="str">
        <f t="shared" si="17"/>
        <v/>
      </c>
      <c r="G254" s="101"/>
      <c r="H254" s="91">
        <f t="shared" si="18"/>
        <v>0</v>
      </c>
      <c r="I254" s="91" t="str">
        <f t="shared" si="19"/>
        <v/>
      </c>
      <c r="J254" s="91" t="str">
        <f t="shared" si="20"/>
        <v/>
      </c>
      <c r="K254" s="92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2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58"/>
      <c r="U254" s="217" t="str">
        <f t="shared" si="21"/>
        <v/>
      </c>
      <c r="V254" s="215" t="s">
        <v>47</v>
      </c>
      <c r="W254" s="102" t="s">
        <v>136</v>
      </c>
      <c r="X254" s="102" t="s">
        <v>137</v>
      </c>
      <c r="Y254" s="103" t="s">
        <v>138</v>
      </c>
      <c r="Z254" s="103" t="s">
        <v>139</v>
      </c>
      <c r="AA254" s="103" t="s">
        <v>47</v>
      </c>
      <c r="AB254" s="103" t="s">
        <v>140</v>
      </c>
      <c r="AC254" s="104" t="s">
        <v>141</v>
      </c>
    </row>
    <row r="255" spans="1:29" ht="25.5" customHeight="1" x14ac:dyDescent="0.35">
      <c r="A255" s="188"/>
      <c r="B255" s="190"/>
      <c r="C255" s="99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0"/>
      <c r="E255" s="78" t="str">
        <f>IF(C255="","",IFERROR(VLOOKUP(C255,parametros!$A$11:$E$15,5,0),""))</f>
        <v/>
      </c>
      <c r="F255" s="79" t="str">
        <f t="shared" si="17"/>
        <v/>
      </c>
      <c r="G255" s="101"/>
      <c r="H255" s="91">
        <f t="shared" si="18"/>
        <v>0</v>
      </c>
      <c r="I255" s="91" t="str">
        <f t="shared" si="19"/>
        <v/>
      </c>
      <c r="J255" s="91" t="str">
        <f t="shared" si="20"/>
        <v/>
      </c>
      <c r="K255" s="92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2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58"/>
      <c r="U255" s="217" t="str">
        <f t="shared" si="21"/>
        <v/>
      </c>
      <c r="V255" s="215" t="s">
        <v>47</v>
      </c>
      <c r="W255" s="102" t="s">
        <v>136</v>
      </c>
      <c r="X255" s="102" t="s">
        <v>137</v>
      </c>
      <c r="Y255" s="103" t="s">
        <v>138</v>
      </c>
      <c r="Z255" s="103" t="s">
        <v>139</v>
      </c>
      <c r="AA255" s="103" t="s">
        <v>47</v>
      </c>
      <c r="AB255" s="103" t="s">
        <v>140</v>
      </c>
      <c r="AC255" s="104" t="s">
        <v>141</v>
      </c>
    </row>
    <row r="256" spans="1:29" ht="25.5" customHeight="1" x14ac:dyDescent="0.35">
      <c r="A256" s="188"/>
      <c r="B256" s="190"/>
      <c r="C256" s="99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0"/>
      <c r="E256" s="78" t="str">
        <f>IF(C256="","",IFERROR(VLOOKUP(C256,parametros!$A$11:$E$15,5,0),""))</f>
        <v/>
      </c>
      <c r="F256" s="79" t="str">
        <f t="shared" si="17"/>
        <v/>
      </c>
      <c r="G256" s="101"/>
      <c r="H256" s="91">
        <f t="shared" si="18"/>
        <v>0</v>
      </c>
      <c r="I256" s="91" t="str">
        <f t="shared" si="19"/>
        <v/>
      </c>
      <c r="J256" s="91" t="str">
        <f t="shared" si="20"/>
        <v/>
      </c>
      <c r="K256" s="92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2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58"/>
      <c r="U256" s="217" t="str">
        <f t="shared" si="21"/>
        <v/>
      </c>
      <c r="V256" s="215" t="s">
        <v>47</v>
      </c>
      <c r="W256" s="102" t="s">
        <v>136</v>
      </c>
      <c r="X256" s="102" t="s">
        <v>137</v>
      </c>
      <c r="Y256" s="103" t="s">
        <v>138</v>
      </c>
      <c r="Z256" s="103" t="s">
        <v>139</v>
      </c>
      <c r="AA256" s="103" t="s">
        <v>47</v>
      </c>
      <c r="AB256" s="103" t="s">
        <v>140</v>
      </c>
      <c r="AC256" s="104" t="s">
        <v>141</v>
      </c>
    </row>
    <row r="257" spans="1:29" ht="25.5" customHeight="1" x14ac:dyDescent="0.35">
      <c r="A257" s="188"/>
      <c r="B257" s="190"/>
      <c r="C257" s="99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0"/>
      <c r="E257" s="78" t="str">
        <f>IF(C257="","",IFERROR(VLOOKUP(C257,parametros!$A$11:$E$15,5,0),""))</f>
        <v/>
      </c>
      <c r="F257" s="79" t="str">
        <f t="shared" si="17"/>
        <v/>
      </c>
      <c r="G257" s="101"/>
      <c r="H257" s="91">
        <f t="shared" si="18"/>
        <v>0</v>
      </c>
      <c r="I257" s="91" t="str">
        <f t="shared" si="19"/>
        <v/>
      </c>
      <c r="J257" s="91" t="str">
        <f t="shared" si="20"/>
        <v/>
      </c>
      <c r="K257" s="92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2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58"/>
      <c r="U257" s="217" t="str">
        <f t="shared" si="21"/>
        <v/>
      </c>
      <c r="V257" s="215" t="s">
        <v>47</v>
      </c>
      <c r="W257" s="102" t="s">
        <v>136</v>
      </c>
      <c r="X257" s="102" t="s">
        <v>137</v>
      </c>
      <c r="Y257" s="103" t="s">
        <v>138</v>
      </c>
      <c r="Z257" s="103" t="s">
        <v>139</v>
      </c>
      <c r="AA257" s="103" t="s">
        <v>47</v>
      </c>
      <c r="AB257" s="103" t="s">
        <v>140</v>
      </c>
      <c r="AC257" s="104" t="s">
        <v>141</v>
      </c>
    </row>
    <row r="258" spans="1:29" ht="25.5" customHeight="1" x14ac:dyDescent="0.35">
      <c r="A258" s="188"/>
      <c r="B258" s="190"/>
      <c r="C258" s="99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0"/>
      <c r="E258" s="78" t="str">
        <f>IF(C258="","",IFERROR(VLOOKUP(C258,parametros!$A$11:$E$15,5,0),""))</f>
        <v/>
      </c>
      <c r="F258" s="79" t="str">
        <f t="shared" ref="F258:F321" si="22">IF(OR(D258="",E258=""),"",ROUND(D258*E258,2))</f>
        <v/>
      </c>
      <c r="G258" s="101"/>
      <c r="H258" s="91">
        <f t="shared" ref="H258:H321" si="23">IF(G258="Sim",IF(OR(F258="",D258="",L258=""),"",IF(L258="Sim",ROUND(F258-D258,2),0)),0)</f>
        <v>0</v>
      </c>
      <c r="I258" s="91" t="str">
        <f t="shared" ref="I258:I321" si="24">IF(G258="Sim",0,IF(OR(F258="",L258=""),"",F258))</f>
        <v/>
      </c>
      <c r="J258" s="91" t="str">
        <f t="shared" ref="J258:J321" si="25">IF(G258="Sim",0,IF(OR(F258="",D258="",L258=""),"",IF(L258="Sim",ROUND(F258-D258,2),0)))</f>
        <v/>
      </c>
      <c r="K258" s="92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2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58"/>
      <c r="U258" s="217" t="str">
        <f t="shared" ref="U258:U321" si="26">IF(OR($D258="",$H258=""),"",ROUND($D258+$H258,2))</f>
        <v/>
      </c>
      <c r="V258" s="215" t="s">
        <v>47</v>
      </c>
      <c r="W258" s="102" t="s">
        <v>136</v>
      </c>
      <c r="X258" s="102" t="s">
        <v>137</v>
      </c>
      <c r="Y258" s="103" t="s">
        <v>138</v>
      </c>
      <c r="Z258" s="103" t="s">
        <v>139</v>
      </c>
      <c r="AA258" s="103" t="s">
        <v>47</v>
      </c>
      <c r="AB258" s="103" t="s">
        <v>140</v>
      </c>
      <c r="AC258" s="104" t="s">
        <v>141</v>
      </c>
    </row>
    <row r="259" spans="1:29" ht="25.5" customHeight="1" x14ac:dyDescent="0.35">
      <c r="A259" s="188"/>
      <c r="B259" s="190"/>
      <c r="C259" s="99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0"/>
      <c r="E259" s="78" t="str">
        <f>IF(C259="","",IFERROR(VLOOKUP(C259,parametros!$A$11:$E$15,5,0),""))</f>
        <v/>
      </c>
      <c r="F259" s="79" t="str">
        <f t="shared" si="22"/>
        <v/>
      </c>
      <c r="G259" s="101"/>
      <c r="H259" s="91">
        <f t="shared" si="23"/>
        <v>0</v>
      </c>
      <c r="I259" s="91" t="str">
        <f t="shared" si="24"/>
        <v/>
      </c>
      <c r="J259" s="91" t="str">
        <f t="shared" si="25"/>
        <v/>
      </c>
      <c r="K259" s="92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2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58"/>
      <c r="U259" s="217" t="str">
        <f t="shared" si="26"/>
        <v/>
      </c>
      <c r="V259" s="215" t="s">
        <v>47</v>
      </c>
      <c r="W259" s="102" t="s">
        <v>136</v>
      </c>
      <c r="X259" s="102" t="s">
        <v>137</v>
      </c>
      <c r="Y259" s="103" t="s">
        <v>138</v>
      </c>
      <c r="Z259" s="103" t="s">
        <v>139</v>
      </c>
      <c r="AA259" s="103" t="s">
        <v>47</v>
      </c>
      <c r="AB259" s="103" t="s">
        <v>140</v>
      </c>
      <c r="AC259" s="104" t="s">
        <v>141</v>
      </c>
    </row>
    <row r="260" spans="1:29" ht="25.5" customHeight="1" x14ac:dyDescent="0.35">
      <c r="A260" s="188"/>
      <c r="B260" s="190"/>
      <c r="C260" s="99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0"/>
      <c r="E260" s="78" t="str">
        <f>IF(C260="","",IFERROR(VLOOKUP(C260,parametros!$A$11:$E$15,5,0),""))</f>
        <v/>
      </c>
      <c r="F260" s="79" t="str">
        <f t="shared" si="22"/>
        <v/>
      </c>
      <c r="G260" s="101"/>
      <c r="H260" s="91">
        <f t="shared" si="23"/>
        <v>0</v>
      </c>
      <c r="I260" s="91" t="str">
        <f t="shared" si="24"/>
        <v/>
      </c>
      <c r="J260" s="91" t="str">
        <f t="shared" si="25"/>
        <v/>
      </c>
      <c r="K260" s="92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2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58"/>
      <c r="U260" s="217" t="str">
        <f t="shared" si="26"/>
        <v/>
      </c>
      <c r="V260" s="215" t="s">
        <v>47</v>
      </c>
      <c r="W260" s="102" t="s">
        <v>136</v>
      </c>
      <c r="X260" s="102" t="s">
        <v>137</v>
      </c>
      <c r="Y260" s="103" t="s">
        <v>138</v>
      </c>
      <c r="Z260" s="103" t="s">
        <v>139</v>
      </c>
      <c r="AA260" s="103" t="s">
        <v>47</v>
      </c>
      <c r="AB260" s="103" t="s">
        <v>140</v>
      </c>
      <c r="AC260" s="104" t="s">
        <v>141</v>
      </c>
    </row>
    <row r="261" spans="1:29" ht="25.5" customHeight="1" x14ac:dyDescent="0.35">
      <c r="A261" s="188"/>
      <c r="B261" s="190"/>
      <c r="C261" s="99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0"/>
      <c r="E261" s="78" t="str">
        <f>IF(C261="","",IFERROR(VLOOKUP(C261,parametros!$A$11:$E$15,5,0),""))</f>
        <v/>
      </c>
      <c r="F261" s="79" t="str">
        <f t="shared" si="22"/>
        <v/>
      </c>
      <c r="G261" s="101"/>
      <c r="H261" s="91">
        <f t="shared" si="23"/>
        <v>0</v>
      </c>
      <c r="I261" s="91" t="str">
        <f t="shared" si="24"/>
        <v/>
      </c>
      <c r="J261" s="91" t="str">
        <f t="shared" si="25"/>
        <v/>
      </c>
      <c r="K261" s="92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2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58"/>
      <c r="U261" s="217" t="str">
        <f t="shared" si="26"/>
        <v/>
      </c>
      <c r="V261" s="215" t="s">
        <v>47</v>
      </c>
      <c r="W261" s="102" t="s">
        <v>136</v>
      </c>
      <c r="X261" s="102" t="s">
        <v>137</v>
      </c>
      <c r="Y261" s="103" t="s">
        <v>138</v>
      </c>
      <c r="Z261" s="103" t="s">
        <v>139</v>
      </c>
      <c r="AA261" s="103" t="s">
        <v>47</v>
      </c>
      <c r="AB261" s="103" t="s">
        <v>140</v>
      </c>
      <c r="AC261" s="104" t="s">
        <v>141</v>
      </c>
    </row>
    <row r="262" spans="1:29" ht="25.5" customHeight="1" x14ac:dyDescent="0.35">
      <c r="A262" s="188"/>
      <c r="B262" s="190"/>
      <c r="C262" s="99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0"/>
      <c r="E262" s="78" t="str">
        <f>IF(C262="","",IFERROR(VLOOKUP(C262,parametros!$A$11:$E$15,5,0),""))</f>
        <v/>
      </c>
      <c r="F262" s="79" t="str">
        <f t="shared" si="22"/>
        <v/>
      </c>
      <c r="G262" s="101"/>
      <c r="H262" s="91">
        <f t="shared" si="23"/>
        <v>0</v>
      </c>
      <c r="I262" s="91" t="str">
        <f t="shared" si="24"/>
        <v/>
      </c>
      <c r="J262" s="91" t="str">
        <f t="shared" si="25"/>
        <v/>
      </c>
      <c r="K262" s="92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2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58"/>
      <c r="U262" s="217" t="str">
        <f t="shared" si="26"/>
        <v/>
      </c>
      <c r="V262" s="215" t="s">
        <v>47</v>
      </c>
      <c r="W262" s="102" t="s">
        <v>136</v>
      </c>
      <c r="X262" s="102" t="s">
        <v>137</v>
      </c>
      <c r="Y262" s="103" t="s">
        <v>138</v>
      </c>
      <c r="Z262" s="103" t="s">
        <v>139</v>
      </c>
      <c r="AA262" s="103" t="s">
        <v>47</v>
      </c>
      <c r="AB262" s="103" t="s">
        <v>140</v>
      </c>
      <c r="AC262" s="104" t="s">
        <v>141</v>
      </c>
    </row>
    <row r="263" spans="1:29" ht="25.5" customHeight="1" x14ac:dyDescent="0.35">
      <c r="A263" s="188"/>
      <c r="B263" s="190"/>
      <c r="C263" s="99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0"/>
      <c r="E263" s="78" t="str">
        <f>IF(C263="","",IFERROR(VLOOKUP(C263,parametros!$A$11:$E$15,5,0),""))</f>
        <v/>
      </c>
      <c r="F263" s="79" t="str">
        <f t="shared" si="22"/>
        <v/>
      </c>
      <c r="G263" s="101"/>
      <c r="H263" s="91">
        <f t="shared" si="23"/>
        <v>0</v>
      </c>
      <c r="I263" s="91" t="str">
        <f t="shared" si="24"/>
        <v/>
      </c>
      <c r="J263" s="91" t="str">
        <f t="shared" si="25"/>
        <v/>
      </c>
      <c r="K263" s="92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2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58"/>
      <c r="U263" s="217" t="str">
        <f t="shared" si="26"/>
        <v/>
      </c>
      <c r="V263" s="215" t="s">
        <v>47</v>
      </c>
      <c r="W263" s="102" t="s">
        <v>136</v>
      </c>
      <c r="X263" s="102" t="s">
        <v>137</v>
      </c>
      <c r="Y263" s="103" t="s">
        <v>138</v>
      </c>
      <c r="Z263" s="103" t="s">
        <v>139</v>
      </c>
      <c r="AA263" s="103" t="s">
        <v>47</v>
      </c>
      <c r="AB263" s="103" t="s">
        <v>140</v>
      </c>
      <c r="AC263" s="104" t="s">
        <v>141</v>
      </c>
    </row>
    <row r="264" spans="1:29" ht="25.5" customHeight="1" x14ac:dyDescent="0.35">
      <c r="A264" s="188"/>
      <c r="B264" s="190"/>
      <c r="C264" s="99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0"/>
      <c r="E264" s="78" t="str">
        <f>IF(C264="","",IFERROR(VLOOKUP(C264,parametros!$A$11:$E$15,5,0),""))</f>
        <v/>
      </c>
      <c r="F264" s="79" t="str">
        <f t="shared" si="22"/>
        <v/>
      </c>
      <c r="G264" s="101"/>
      <c r="H264" s="91">
        <f t="shared" si="23"/>
        <v>0</v>
      </c>
      <c r="I264" s="91" t="str">
        <f t="shared" si="24"/>
        <v/>
      </c>
      <c r="J264" s="91" t="str">
        <f t="shared" si="25"/>
        <v/>
      </c>
      <c r="K264" s="92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2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58"/>
      <c r="U264" s="217" t="str">
        <f t="shared" si="26"/>
        <v/>
      </c>
      <c r="V264" s="215" t="s">
        <v>47</v>
      </c>
      <c r="W264" s="102" t="s">
        <v>136</v>
      </c>
      <c r="X264" s="102" t="s">
        <v>137</v>
      </c>
      <c r="Y264" s="103" t="s">
        <v>138</v>
      </c>
      <c r="Z264" s="103" t="s">
        <v>139</v>
      </c>
      <c r="AA264" s="103" t="s">
        <v>47</v>
      </c>
      <c r="AB264" s="103" t="s">
        <v>140</v>
      </c>
      <c r="AC264" s="104" t="s">
        <v>141</v>
      </c>
    </row>
    <row r="265" spans="1:29" ht="25.5" customHeight="1" x14ac:dyDescent="0.35">
      <c r="A265" s="188"/>
      <c r="B265" s="190"/>
      <c r="C265" s="99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0"/>
      <c r="E265" s="78" t="str">
        <f>IF(C265="","",IFERROR(VLOOKUP(C265,parametros!$A$11:$E$15,5,0),""))</f>
        <v/>
      </c>
      <c r="F265" s="79" t="str">
        <f t="shared" si="22"/>
        <v/>
      </c>
      <c r="G265" s="101"/>
      <c r="H265" s="91">
        <f t="shared" si="23"/>
        <v>0</v>
      </c>
      <c r="I265" s="91" t="str">
        <f t="shared" si="24"/>
        <v/>
      </c>
      <c r="J265" s="91" t="str">
        <f t="shared" si="25"/>
        <v/>
      </c>
      <c r="K265" s="92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2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58"/>
      <c r="U265" s="217" t="str">
        <f t="shared" si="26"/>
        <v/>
      </c>
      <c r="V265" s="215" t="s">
        <v>47</v>
      </c>
      <c r="W265" s="102" t="s">
        <v>136</v>
      </c>
      <c r="X265" s="102" t="s">
        <v>137</v>
      </c>
      <c r="Y265" s="103" t="s">
        <v>138</v>
      </c>
      <c r="Z265" s="103" t="s">
        <v>139</v>
      </c>
      <c r="AA265" s="103" t="s">
        <v>47</v>
      </c>
      <c r="AB265" s="103" t="s">
        <v>140</v>
      </c>
      <c r="AC265" s="104" t="s">
        <v>141</v>
      </c>
    </row>
    <row r="266" spans="1:29" ht="25.5" customHeight="1" x14ac:dyDescent="0.35">
      <c r="A266" s="188"/>
      <c r="B266" s="190"/>
      <c r="C266" s="99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0"/>
      <c r="E266" s="78" t="str">
        <f>IF(C266="","",IFERROR(VLOOKUP(C266,parametros!$A$11:$E$15,5,0),""))</f>
        <v/>
      </c>
      <c r="F266" s="79" t="str">
        <f t="shared" si="22"/>
        <v/>
      </c>
      <c r="G266" s="101"/>
      <c r="H266" s="91">
        <f t="shared" si="23"/>
        <v>0</v>
      </c>
      <c r="I266" s="91" t="str">
        <f t="shared" si="24"/>
        <v/>
      </c>
      <c r="J266" s="91" t="str">
        <f t="shared" si="25"/>
        <v/>
      </c>
      <c r="K266" s="92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2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58"/>
      <c r="U266" s="217" t="str">
        <f t="shared" si="26"/>
        <v/>
      </c>
      <c r="V266" s="215" t="s">
        <v>47</v>
      </c>
      <c r="W266" s="102" t="s">
        <v>136</v>
      </c>
      <c r="X266" s="102" t="s">
        <v>137</v>
      </c>
      <c r="Y266" s="103" t="s">
        <v>138</v>
      </c>
      <c r="Z266" s="103" t="s">
        <v>139</v>
      </c>
      <c r="AA266" s="103" t="s">
        <v>47</v>
      </c>
      <c r="AB266" s="103" t="s">
        <v>140</v>
      </c>
      <c r="AC266" s="104" t="s">
        <v>141</v>
      </c>
    </row>
    <row r="267" spans="1:29" ht="25.5" customHeight="1" x14ac:dyDescent="0.35">
      <c r="A267" s="188"/>
      <c r="B267" s="190"/>
      <c r="C267" s="99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0"/>
      <c r="E267" s="78" t="str">
        <f>IF(C267="","",IFERROR(VLOOKUP(C267,parametros!$A$11:$E$15,5,0),""))</f>
        <v/>
      </c>
      <c r="F267" s="79" t="str">
        <f t="shared" si="22"/>
        <v/>
      </c>
      <c r="G267" s="101"/>
      <c r="H267" s="91">
        <f t="shared" si="23"/>
        <v>0</v>
      </c>
      <c r="I267" s="91" t="str">
        <f t="shared" si="24"/>
        <v/>
      </c>
      <c r="J267" s="91" t="str">
        <f t="shared" si="25"/>
        <v/>
      </c>
      <c r="K267" s="92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2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58"/>
      <c r="U267" s="217" t="str">
        <f t="shared" si="26"/>
        <v/>
      </c>
      <c r="V267" s="215" t="s">
        <v>47</v>
      </c>
      <c r="W267" s="102" t="s">
        <v>136</v>
      </c>
      <c r="X267" s="102" t="s">
        <v>137</v>
      </c>
      <c r="Y267" s="103" t="s">
        <v>138</v>
      </c>
      <c r="Z267" s="103" t="s">
        <v>139</v>
      </c>
      <c r="AA267" s="103" t="s">
        <v>47</v>
      </c>
      <c r="AB267" s="103" t="s">
        <v>140</v>
      </c>
      <c r="AC267" s="104" t="s">
        <v>141</v>
      </c>
    </row>
    <row r="268" spans="1:29" ht="25.5" customHeight="1" x14ac:dyDescent="0.35">
      <c r="A268" s="188"/>
      <c r="B268" s="190"/>
      <c r="C268" s="99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0"/>
      <c r="E268" s="78" t="str">
        <f>IF(C268="","",IFERROR(VLOOKUP(C268,parametros!$A$11:$E$15,5,0),""))</f>
        <v/>
      </c>
      <c r="F268" s="79" t="str">
        <f t="shared" si="22"/>
        <v/>
      </c>
      <c r="G268" s="101"/>
      <c r="H268" s="91">
        <f t="shared" si="23"/>
        <v>0</v>
      </c>
      <c r="I268" s="91" t="str">
        <f t="shared" si="24"/>
        <v/>
      </c>
      <c r="J268" s="91" t="str">
        <f t="shared" si="25"/>
        <v/>
      </c>
      <c r="K268" s="92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2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58"/>
      <c r="U268" s="217" t="str">
        <f t="shared" si="26"/>
        <v/>
      </c>
      <c r="V268" s="215" t="s">
        <v>47</v>
      </c>
      <c r="W268" s="102" t="s">
        <v>136</v>
      </c>
      <c r="X268" s="102" t="s">
        <v>137</v>
      </c>
      <c r="Y268" s="103" t="s">
        <v>138</v>
      </c>
      <c r="Z268" s="103" t="s">
        <v>139</v>
      </c>
      <c r="AA268" s="103" t="s">
        <v>47</v>
      </c>
      <c r="AB268" s="103" t="s">
        <v>140</v>
      </c>
      <c r="AC268" s="104" t="s">
        <v>141</v>
      </c>
    </row>
    <row r="269" spans="1:29" ht="25.5" customHeight="1" x14ac:dyDescent="0.35">
      <c r="A269" s="188"/>
      <c r="B269" s="190"/>
      <c r="C269" s="99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0"/>
      <c r="E269" s="78" t="str">
        <f>IF(C269="","",IFERROR(VLOOKUP(C269,parametros!$A$11:$E$15,5,0),""))</f>
        <v/>
      </c>
      <c r="F269" s="79" t="str">
        <f t="shared" si="22"/>
        <v/>
      </c>
      <c r="G269" s="101"/>
      <c r="H269" s="91">
        <f t="shared" si="23"/>
        <v>0</v>
      </c>
      <c r="I269" s="91" t="str">
        <f t="shared" si="24"/>
        <v/>
      </c>
      <c r="J269" s="91" t="str">
        <f t="shared" si="25"/>
        <v/>
      </c>
      <c r="K269" s="92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2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58"/>
      <c r="U269" s="217" t="str">
        <f t="shared" si="26"/>
        <v/>
      </c>
      <c r="V269" s="215" t="s">
        <v>47</v>
      </c>
      <c r="W269" s="102" t="s">
        <v>136</v>
      </c>
      <c r="X269" s="102" t="s">
        <v>137</v>
      </c>
      <c r="Y269" s="103" t="s">
        <v>138</v>
      </c>
      <c r="Z269" s="103" t="s">
        <v>139</v>
      </c>
      <c r="AA269" s="103" t="s">
        <v>47</v>
      </c>
      <c r="AB269" s="103" t="s">
        <v>140</v>
      </c>
      <c r="AC269" s="104" t="s">
        <v>141</v>
      </c>
    </row>
    <row r="270" spans="1:29" ht="25.5" customHeight="1" x14ac:dyDescent="0.35">
      <c r="A270" s="188"/>
      <c r="B270" s="190"/>
      <c r="C270" s="99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0"/>
      <c r="E270" s="78" t="str">
        <f>IF(C270="","",IFERROR(VLOOKUP(C270,parametros!$A$11:$E$15,5,0),""))</f>
        <v/>
      </c>
      <c r="F270" s="79" t="str">
        <f t="shared" si="22"/>
        <v/>
      </c>
      <c r="G270" s="101"/>
      <c r="H270" s="91">
        <f t="shared" si="23"/>
        <v>0</v>
      </c>
      <c r="I270" s="91" t="str">
        <f t="shared" si="24"/>
        <v/>
      </c>
      <c r="J270" s="91" t="str">
        <f t="shared" si="25"/>
        <v/>
      </c>
      <c r="K270" s="92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2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58"/>
      <c r="U270" s="217" t="str">
        <f t="shared" si="26"/>
        <v/>
      </c>
      <c r="V270" s="215" t="s">
        <v>47</v>
      </c>
      <c r="W270" s="102" t="s">
        <v>136</v>
      </c>
      <c r="X270" s="102" t="s">
        <v>137</v>
      </c>
      <c r="Y270" s="103" t="s">
        <v>138</v>
      </c>
      <c r="Z270" s="103" t="s">
        <v>139</v>
      </c>
      <c r="AA270" s="103" t="s">
        <v>47</v>
      </c>
      <c r="AB270" s="103" t="s">
        <v>140</v>
      </c>
      <c r="AC270" s="104" t="s">
        <v>141</v>
      </c>
    </row>
    <row r="271" spans="1:29" ht="25.5" customHeight="1" x14ac:dyDescent="0.35">
      <c r="A271" s="188"/>
      <c r="B271" s="190"/>
      <c r="C271" s="99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0"/>
      <c r="E271" s="78" t="str">
        <f>IF(C271="","",IFERROR(VLOOKUP(C271,parametros!$A$11:$E$15,5,0),""))</f>
        <v/>
      </c>
      <c r="F271" s="79" t="str">
        <f t="shared" si="22"/>
        <v/>
      </c>
      <c r="G271" s="101"/>
      <c r="H271" s="91">
        <f t="shared" si="23"/>
        <v>0</v>
      </c>
      <c r="I271" s="91" t="str">
        <f t="shared" si="24"/>
        <v/>
      </c>
      <c r="J271" s="91" t="str">
        <f t="shared" si="25"/>
        <v/>
      </c>
      <c r="K271" s="92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2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58"/>
      <c r="U271" s="217" t="str">
        <f t="shared" si="26"/>
        <v/>
      </c>
      <c r="V271" s="215" t="s">
        <v>47</v>
      </c>
      <c r="W271" s="102" t="s">
        <v>136</v>
      </c>
      <c r="X271" s="102" t="s">
        <v>137</v>
      </c>
      <c r="Y271" s="103" t="s">
        <v>138</v>
      </c>
      <c r="Z271" s="103" t="s">
        <v>139</v>
      </c>
      <c r="AA271" s="103" t="s">
        <v>47</v>
      </c>
      <c r="AB271" s="103" t="s">
        <v>140</v>
      </c>
      <c r="AC271" s="104" t="s">
        <v>141</v>
      </c>
    </row>
    <row r="272" spans="1:29" ht="25.5" customHeight="1" x14ac:dyDescent="0.35">
      <c r="A272" s="188"/>
      <c r="B272" s="190"/>
      <c r="C272" s="99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0"/>
      <c r="E272" s="78" t="str">
        <f>IF(C272="","",IFERROR(VLOOKUP(C272,parametros!$A$11:$E$15,5,0),""))</f>
        <v/>
      </c>
      <c r="F272" s="79" t="str">
        <f t="shared" si="22"/>
        <v/>
      </c>
      <c r="G272" s="101"/>
      <c r="H272" s="91">
        <f t="shared" si="23"/>
        <v>0</v>
      </c>
      <c r="I272" s="91" t="str">
        <f t="shared" si="24"/>
        <v/>
      </c>
      <c r="J272" s="91" t="str">
        <f t="shared" si="25"/>
        <v/>
      </c>
      <c r="K272" s="92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2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58"/>
      <c r="U272" s="217" t="str">
        <f t="shared" si="26"/>
        <v/>
      </c>
      <c r="V272" s="215" t="s">
        <v>47</v>
      </c>
      <c r="W272" s="102" t="s">
        <v>136</v>
      </c>
      <c r="X272" s="102" t="s">
        <v>137</v>
      </c>
      <c r="Y272" s="103" t="s">
        <v>138</v>
      </c>
      <c r="Z272" s="103" t="s">
        <v>139</v>
      </c>
      <c r="AA272" s="103" t="s">
        <v>47</v>
      </c>
      <c r="AB272" s="103" t="s">
        <v>140</v>
      </c>
      <c r="AC272" s="104" t="s">
        <v>141</v>
      </c>
    </row>
    <row r="273" spans="1:29" ht="25.5" customHeight="1" x14ac:dyDescent="0.35">
      <c r="A273" s="188"/>
      <c r="B273" s="190"/>
      <c r="C273" s="99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0"/>
      <c r="E273" s="78" t="str">
        <f>IF(C273="","",IFERROR(VLOOKUP(C273,parametros!$A$11:$E$15,5,0),""))</f>
        <v/>
      </c>
      <c r="F273" s="79" t="str">
        <f t="shared" si="22"/>
        <v/>
      </c>
      <c r="G273" s="101"/>
      <c r="H273" s="91">
        <f t="shared" si="23"/>
        <v>0</v>
      </c>
      <c r="I273" s="91" t="str">
        <f t="shared" si="24"/>
        <v/>
      </c>
      <c r="J273" s="91" t="str">
        <f t="shared" si="25"/>
        <v/>
      </c>
      <c r="K273" s="92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2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58"/>
      <c r="U273" s="217" t="str">
        <f t="shared" si="26"/>
        <v/>
      </c>
      <c r="V273" s="215" t="s">
        <v>47</v>
      </c>
      <c r="W273" s="102" t="s">
        <v>136</v>
      </c>
      <c r="X273" s="102" t="s">
        <v>137</v>
      </c>
      <c r="Y273" s="103" t="s">
        <v>138</v>
      </c>
      <c r="Z273" s="103" t="s">
        <v>139</v>
      </c>
      <c r="AA273" s="103" t="s">
        <v>47</v>
      </c>
      <c r="AB273" s="103" t="s">
        <v>140</v>
      </c>
      <c r="AC273" s="104" t="s">
        <v>141</v>
      </c>
    </row>
    <row r="274" spans="1:29" ht="25.5" customHeight="1" x14ac:dyDescent="0.35">
      <c r="A274" s="188"/>
      <c r="B274" s="190"/>
      <c r="C274" s="99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0"/>
      <c r="E274" s="78" t="str">
        <f>IF(C274="","",IFERROR(VLOOKUP(C274,parametros!$A$11:$E$15,5,0),""))</f>
        <v/>
      </c>
      <c r="F274" s="79" t="str">
        <f t="shared" si="22"/>
        <v/>
      </c>
      <c r="G274" s="101"/>
      <c r="H274" s="91">
        <f t="shared" si="23"/>
        <v>0</v>
      </c>
      <c r="I274" s="91" t="str">
        <f t="shared" si="24"/>
        <v/>
      </c>
      <c r="J274" s="91" t="str">
        <f t="shared" si="25"/>
        <v/>
      </c>
      <c r="K274" s="92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2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58"/>
      <c r="U274" s="217" t="str">
        <f t="shared" si="26"/>
        <v/>
      </c>
      <c r="V274" s="215" t="s">
        <v>47</v>
      </c>
      <c r="W274" s="102" t="s">
        <v>136</v>
      </c>
      <c r="X274" s="102" t="s">
        <v>137</v>
      </c>
      <c r="Y274" s="103" t="s">
        <v>138</v>
      </c>
      <c r="Z274" s="103" t="s">
        <v>139</v>
      </c>
      <c r="AA274" s="103" t="s">
        <v>47</v>
      </c>
      <c r="AB274" s="103" t="s">
        <v>140</v>
      </c>
      <c r="AC274" s="104" t="s">
        <v>141</v>
      </c>
    </row>
    <row r="275" spans="1:29" ht="25.5" customHeight="1" x14ac:dyDescent="0.35">
      <c r="A275" s="188"/>
      <c r="B275" s="190"/>
      <c r="C275" s="99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0"/>
      <c r="E275" s="78" t="str">
        <f>IF(C275="","",IFERROR(VLOOKUP(C275,parametros!$A$11:$E$15,5,0),""))</f>
        <v/>
      </c>
      <c r="F275" s="79" t="str">
        <f t="shared" si="22"/>
        <v/>
      </c>
      <c r="G275" s="101"/>
      <c r="H275" s="91">
        <f t="shared" si="23"/>
        <v>0</v>
      </c>
      <c r="I275" s="91" t="str">
        <f t="shared" si="24"/>
        <v/>
      </c>
      <c r="J275" s="91" t="str">
        <f t="shared" si="25"/>
        <v/>
      </c>
      <c r="K275" s="92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2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58"/>
      <c r="U275" s="217" t="str">
        <f t="shared" si="26"/>
        <v/>
      </c>
      <c r="V275" s="215" t="s">
        <v>47</v>
      </c>
      <c r="W275" s="102" t="s">
        <v>136</v>
      </c>
      <c r="X275" s="102" t="s">
        <v>137</v>
      </c>
      <c r="Y275" s="103" t="s">
        <v>138</v>
      </c>
      <c r="Z275" s="103" t="s">
        <v>139</v>
      </c>
      <c r="AA275" s="103" t="s">
        <v>47</v>
      </c>
      <c r="AB275" s="103" t="s">
        <v>140</v>
      </c>
      <c r="AC275" s="104" t="s">
        <v>141</v>
      </c>
    </row>
    <row r="276" spans="1:29" ht="25.5" customHeight="1" x14ac:dyDescent="0.35">
      <c r="A276" s="188"/>
      <c r="B276" s="190"/>
      <c r="C276" s="99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0"/>
      <c r="E276" s="78" t="str">
        <f>IF(C276="","",IFERROR(VLOOKUP(C276,parametros!$A$11:$E$15,5,0),""))</f>
        <v/>
      </c>
      <c r="F276" s="79" t="str">
        <f t="shared" si="22"/>
        <v/>
      </c>
      <c r="G276" s="101"/>
      <c r="H276" s="91">
        <f t="shared" si="23"/>
        <v>0</v>
      </c>
      <c r="I276" s="91" t="str">
        <f t="shared" si="24"/>
        <v/>
      </c>
      <c r="J276" s="91" t="str">
        <f t="shared" si="25"/>
        <v/>
      </c>
      <c r="K276" s="92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2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58"/>
      <c r="U276" s="217" t="str">
        <f t="shared" si="26"/>
        <v/>
      </c>
      <c r="V276" s="215" t="s">
        <v>47</v>
      </c>
      <c r="W276" s="102" t="s">
        <v>136</v>
      </c>
      <c r="X276" s="102" t="s">
        <v>137</v>
      </c>
      <c r="Y276" s="103" t="s">
        <v>138</v>
      </c>
      <c r="Z276" s="103" t="s">
        <v>139</v>
      </c>
      <c r="AA276" s="103" t="s">
        <v>47</v>
      </c>
      <c r="AB276" s="103" t="s">
        <v>140</v>
      </c>
      <c r="AC276" s="104" t="s">
        <v>141</v>
      </c>
    </row>
    <row r="277" spans="1:29" ht="25.5" customHeight="1" x14ac:dyDescent="0.35">
      <c r="A277" s="188"/>
      <c r="B277" s="190"/>
      <c r="C277" s="99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0"/>
      <c r="E277" s="78" t="str">
        <f>IF(C277="","",IFERROR(VLOOKUP(C277,parametros!$A$11:$E$15,5,0),""))</f>
        <v/>
      </c>
      <c r="F277" s="79" t="str">
        <f t="shared" si="22"/>
        <v/>
      </c>
      <c r="G277" s="101"/>
      <c r="H277" s="91">
        <f t="shared" si="23"/>
        <v>0</v>
      </c>
      <c r="I277" s="91" t="str">
        <f t="shared" si="24"/>
        <v/>
      </c>
      <c r="J277" s="91" t="str">
        <f t="shared" si="25"/>
        <v/>
      </c>
      <c r="K277" s="92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2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58"/>
      <c r="U277" s="217" t="str">
        <f t="shared" si="26"/>
        <v/>
      </c>
      <c r="V277" s="215" t="s">
        <v>47</v>
      </c>
      <c r="W277" s="102" t="s">
        <v>136</v>
      </c>
      <c r="X277" s="102" t="s">
        <v>137</v>
      </c>
      <c r="Y277" s="103" t="s">
        <v>138</v>
      </c>
      <c r="Z277" s="103" t="s">
        <v>139</v>
      </c>
      <c r="AA277" s="103" t="s">
        <v>47</v>
      </c>
      <c r="AB277" s="103" t="s">
        <v>140</v>
      </c>
      <c r="AC277" s="104" t="s">
        <v>141</v>
      </c>
    </row>
    <row r="278" spans="1:29" ht="25.5" customHeight="1" x14ac:dyDescent="0.35">
      <c r="A278" s="188"/>
      <c r="B278" s="190"/>
      <c r="C278" s="99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0"/>
      <c r="E278" s="78" t="str">
        <f>IF(C278="","",IFERROR(VLOOKUP(C278,parametros!$A$11:$E$15,5,0),""))</f>
        <v/>
      </c>
      <c r="F278" s="79" t="str">
        <f t="shared" si="22"/>
        <v/>
      </c>
      <c r="G278" s="101"/>
      <c r="H278" s="91">
        <f t="shared" si="23"/>
        <v>0</v>
      </c>
      <c r="I278" s="91" t="str">
        <f t="shared" si="24"/>
        <v/>
      </c>
      <c r="J278" s="91" t="str">
        <f t="shared" si="25"/>
        <v/>
      </c>
      <c r="K278" s="92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2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58"/>
      <c r="U278" s="217" t="str">
        <f t="shared" si="26"/>
        <v/>
      </c>
      <c r="V278" s="215" t="s">
        <v>47</v>
      </c>
      <c r="W278" s="102" t="s">
        <v>136</v>
      </c>
      <c r="X278" s="102" t="s">
        <v>137</v>
      </c>
      <c r="Y278" s="103" t="s">
        <v>138</v>
      </c>
      <c r="Z278" s="103" t="s">
        <v>139</v>
      </c>
      <c r="AA278" s="103" t="s">
        <v>47</v>
      </c>
      <c r="AB278" s="103" t="s">
        <v>140</v>
      </c>
      <c r="AC278" s="104" t="s">
        <v>141</v>
      </c>
    </row>
    <row r="279" spans="1:29" ht="25.5" customHeight="1" x14ac:dyDescent="0.35">
      <c r="A279" s="188"/>
      <c r="B279" s="190"/>
      <c r="C279" s="99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0"/>
      <c r="E279" s="78" t="str">
        <f>IF(C279="","",IFERROR(VLOOKUP(C279,parametros!$A$11:$E$15,5,0),""))</f>
        <v/>
      </c>
      <c r="F279" s="79" t="str">
        <f t="shared" si="22"/>
        <v/>
      </c>
      <c r="G279" s="101"/>
      <c r="H279" s="91">
        <f t="shared" si="23"/>
        <v>0</v>
      </c>
      <c r="I279" s="91" t="str">
        <f t="shared" si="24"/>
        <v/>
      </c>
      <c r="J279" s="91" t="str">
        <f t="shared" si="25"/>
        <v/>
      </c>
      <c r="K279" s="92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2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58"/>
      <c r="U279" s="217" t="str">
        <f t="shared" si="26"/>
        <v/>
      </c>
      <c r="V279" s="215" t="s">
        <v>47</v>
      </c>
      <c r="W279" s="102" t="s">
        <v>136</v>
      </c>
      <c r="X279" s="102" t="s">
        <v>137</v>
      </c>
      <c r="Y279" s="103" t="s">
        <v>138</v>
      </c>
      <c r="Z279" s="103" t="s">
        <v>139</v>
      </c>
      <c r="AA279" s="103" t="s">
        <v>47</v>
      </c>
      <c r="AB279" s="103" t="s">
        <v>140</v>
      </c>
      <c r="AC279" s="104" t="s">
        <v>141</v>
      </c>
    </row>
    <row r="280" spans="1:29" ht="25.5" customHeight="1" x14ac:dyDescent="0.35">
      <c r="A280" s="188"/>
      <c r="B280" s="190"/>
      <c r="C280" s="99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0"/>
      <c r="E280" s="78" t="str">
        <f>IF(C280="","",IFERROR(VLOOKUP(C280,parametros!$A$11:$E$15,5,0),""))</f>
        <v/>
      </c>
      <c r="F280" s="79" t="str">
        <f t="shared" si="22"/>
        <v/>
      </c>
      <c r="G280" s="101"/>
      <c r="H280" s="91">
        <f t="shared" si="23"/>
        <v>0</v>
      </c>
      <c r="I280" s="91" t="str">
        <f t="shared" si="24"/>
        <v/>
      </c>
      <c r="J280" s="91" t="str">
        <f t="shared" si="25"/>
        <v/>
      </c>
      <c r="K280" s="92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2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58"/>
      <c r="U280" s="217" t="str">
        <f t="shared" si="26"/>
        <v/>
      </c>
      <c r="V280" s="215" t="s">
        <v>47</v>
      </c>
      <c r="W280" s="102" t="s">
        <v>136</v>
      </c>
      <c r="X280" s="102" t="s">
        <v>137</v>
      </c>
      <c r="Y280" s="103" t="s">
        <v>138</v>
      </c>
      <c r="Z280" s="103" t="s">
        <v>139</v>
      </c>
      <c r="AA280" s="103" t="s">
        <v>47</v>
      </c>
      <c r="AB280" s="103" t="s">
        <v>140</v>
      </c>
      <c r="AC280" s="104" t="s">
        <v>141</v>
      </c>
    </row>
    <row r="281" spans="1:29" ht="25.5" customHeight="1" x14ac:dyDescent="0.35">
      <c r="A281" s="188"/>
      <c r="B281" s="190"/>
      <c r="C281" s="99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0"/>
      <c r="E281" s="78" t="str">
        <f>IF(C281="","",IFERROR(VLOOKUP(C281,parametros!$A$11:$E$15,5,0),""))</f>
        <v/>
      </c>
      <c r="F281" s="79" t="str">
        <f t="shared" si="22"/>
        <v/>
      </c>
      <c r="G281" s="101"/>
      <c r="H281" s="91">
        <f t="shared" si="23"/>
        <v>0</v>
      </c>
      <c r="I281" s="91" t="str">
        <f t="shared" si="24"/>
        <v/>
      </c>
      <c r="J281" s="91" t="str">
        <f t="shared" si="25"/>
        <v/>
      </c>
      <c r="K281" s="92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2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58"/>
      <c r="U281" s="217" t="str">
        <f t="shared" si="26"/>
        <v/>
      </c>
      <c r="V281" s="215" t="s">
        <v>47</v>
      </c>
      <c r="W281" s="102" t="s">
        <v>136</v>
      </c>
      <c r="X281" s="102" t="s">
        <v>137</v>
      </c>
      <c r="Y281" s="103" t="s">
        <v>138</v>
      </c>
      <c r="Z281" s="103" t="s">
        <v>139</v>
      </c>
      <c r="AA281" s="103" t="s">
        <v>47</v>
      </c>
      <c r="AB281" s="103" t="s">
        <v>140</v>
      </c>
      <c r="AC281" s="104" t="s">
        <v>141</v>
      </c>
    </row>
    <row r="282" spans="1:29" ht="25.5" customHeight="1" x14ac:dyDescent="0.35">
      <c r="A282" s="188"/>
      <c r="B282" s="190"/>
      <c r="C282" s="99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0"/>
      <c r="E282" s="78" t="str">
        <f>IF(C282="","",IFERROR(VLOOKUP(C282,parametros!$A$11:$E$15,5,0),""))</f>
        <v/>
      </c>
      <c r="F282" s="79" t="str">
        <f t="shared" si="22"/>
        <v/>
      </c>
      <c r="G282" s="101"/>
      <c r="H282" s="91">
        <f t="shared" si="23"/>
        <v>0</v>
      </c>
      <c r="I282" s="91" t="str">
        <f t="shared" si="24"/>
        <v/>
      </c>
      <c r="J282" s="91" t="str">
        <f t="shared" si="25"/>
        <v/>
      </c>
      <c r="K282" s="92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2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58"/>
      <c r="U282" s="217" t="str">
        <f t="shared" si="26"/>
        <v/>
      </c>
      <c r="V282" s="215" t="s">
        <v>47</v>
      </c>
      <c r="W282" s="102" t="s">
        <v>136</v>
      </c>
      <c r="X282" s="102" t="s">
        <v>137</v>
      </c>
      <c r="Y282" s="103" t="s">
        <v>138</v>
      </c>
      <c r="Z282" s="103" t="s">
        <v>139</v>
      </c>
      <c r="AA282" s="103" t="s">
        <v>47</v>
      </c>
      <c r="AB282" s="103" t="s">
        <v>140</v>
      </c>
      <c r="AC282" s="104" t="s">
        <v>141</v>
      </c>
    </row>
    <row r="283" spans="1:29" ht="25.5" customHeight="1" x14ac:dyDescent="0.35">
      <c r="A283" s="188"/>
      <c r="B283" s="190"/>
      <c r="C283" s="99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0"/>
      <c r="E283" s="78" t="str">
        <f>IF(C283="","",IFERROR(VLOOKUP(C283,parametros!$A$11:$E$15,5,0),""))</f>
        <v/>
      </c>
      <c r="F283" s="79" t="str">
        <f t="shared" si="22"/>
        <v/>
      </c>
      <c r="G283" s="101"/>
      <c r="H283" s="91">
        <f t="shared" si="23"/>
        <v>0</v>
      </c>
      <c r="I283" s="91" t="str">
        <f t="shared" si="24"/>
        <v/>
      </c>
      <c r="J283" s="91" t="str">
        <f t="shared" si="25"/>
        <v/>
      </c>
      <c r="K283" s="92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2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58"/>
      <c r="U283" s="217" t="str">
        <f t="shared" si="26"/>
        <v/>
      </c>
      <c r="V283" s="215" t="s">
        <v>47</v>
      </c>
      <c r="W283" s="102" t="s">
        <v>136</v>
      </c>
      <c r="X283" s="102" t="s">
        <v>137</v>
      </c>
      <c r="Y283" s="103" t="s">
        <v>138</v>
      </c>
      <c r="Z283" s="103" t="s">
        <v>139</v>
      </c>
      <c r="AA283" s="103" t="s">
        <v>47</v>
      </c>
      <c r="AB283" s="103" t="s">
        <v>140</v>
      </c>
      <c r="AC283" s="104" t="s">
        <v>141</v>
      </c>
    </row>
    <row r="284" spans="1:29" ht="25.5" customHeight="1" x14ac:dyDescent="0.35">
      <c r="A284" s="188"/>
      <c r="B284" s="190"/>
      <c r="C284" s="99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0"/>
      <c r="E284" s="78" t="str">
        <f>IF(C284="","",IFERROR(VLOOKUP(C284,parametros!$A$11:$E$15,5,0),""))</f>
        <v/>
      </c>
      <c r="F284" s="79" t="str">
        <f t="shared" si="22"/>
        <v/>
      </c>
      <c r="G284" s="101"/>
      <c r="H284" s="91">
        <f t="shared" si="23"/>
        <v>0</v>
      </c>
      <c r="I284" s="91" t="str">
        <f t="shared" si="24"/>
        <v/>
      </c>
      <c r="J284" s="91" t="str">
        <f t="shared" si="25"/>
        <v/>
      </c>
      <c r="K284" s="92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2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58"/>
      <c r="U284" s="217" t="str">
        <f t="shared" si="26"/>
        <v/>
      </c>
      <c r="V284" s="215" t="s">
        <v>47</v>
      </c>
      <c r="W284" s="102" t="s">
        <v>136</v>
      </c>
      <c r="X284" s="102" t="s">
        <v>137</v>
      </c>
      <c r="Y284" s="103" t="s">
        <v>138</v>
      </c>
      <c r="Z284" s="103" t="s">
        <v>139</v>
      </c>
      <c r="AA284" s="103" t="s">
        <v>47</v>
      </c>
      <c r="AB284" s="103" t="s">
        <v>140</v>
      </c>
      <c r="AC284" s="104" t="s">
        <v>141</v>
      </c>
    </row>
    <row r="285" spans="1:29" ht="25.5" customHeight="1" x14ac:dyDescent="0.35">
      <c r="A285" s="188"/>
      <c r="B285" s="190"/>
      <c r="C285" s="99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0"/>
      <c r="E285" s="78" t="str">
        <f>IF(C285="","",IFERROR(VLOOKUP(C285,parametros!$A$11:$E$15,5,0),""))</f>
        <v/>
      </c>
      <c r="F285" s="79" t="str">
        <f t="shared" si="22"/>
        <v/>
      </c>
      <c r="G285" s="101"/>
      <c r="H285" s="91">
        <f t="shared" si="23"/>
        <v>0</v>
      </c>
      <c r="I285" s="91" t="str">
        <f t="shared" si="24"/>
        <v/>
      </c>
      <c r="J285" s="91" t="str">
        <f t="shared" si="25"/>
        <v/>
      </c>
      <c r="K285" s="92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2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58"/>
      <c r="U285" s="217" t="str">
        <f t="shared" si="26"/>
        <v/>
      </c>
      <c r="V285" s="215" t="s">
        <v>47</v>
      </c>
      <c r="W285" s="102" t="s">
        <v>136</v>
      </c>
      <c r="X285" s="102" t="s">
        <v>137</v>
      </c>
      <c r="Y285" s="103" t="s">
        <v>138</v>
      </c>
      <c r="Z285" s="103" t="s">
        <v>139</v>
      </c>
      <c r="AA285" s="103" t="s">
        <v>47</v>
      </c>
      <c r="AB285" s="103" t="s">
        <v>140</v>
      </c>
      <c r="AC285" s="104" t="s">
        <v>141</v>
      </c>
    </row>
    <row r="286" spans="1:29" ht="25.5" customHeight="1" x14ac:dyDescent="0.35">
      <c r="A286" s="188"/>
      <c r="B286" s="190"/>
      <c r="C286" s="99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0"/>
      <c r="E286" s="78" t="str">
        <f>IF(C286="","",IFERROR(VLOOKUP(C286,parametros!$A$11:$E$15,5,0),""))</f>
        <v/>
      </c>
      <c r="F286" s="79" t="str">
        <f t="shared" si="22"/>
        <v/>
      </c>
      <c r="G286" s="101"/>
      <c r="H286" s="91">
        <f t="shared" si="23"/>
        <v>0</v>
      </c>
      <c r="I286" s="91" t="str">
        <f t="shared" si="24"/>
        <v/>
      </c>
      <c r="J286" s="91" t="str">
        <f t="shared" si="25"/>
        <v/>
      </c>
      <c r="K286" s="92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2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58"/>
      <c r="U286" s="217" t="str">
        <f t="shared" si="26"/>
        <v/>
      </c>
      <c r="V286" s="215" t="s">
        <v>47</v>
      </c>
      <c r="W286" s="102" t="s">
        <v>136</v>
      </c>
      <c r="X286" s="102" t="s">
        <v>137</v>
      </c>
      <c r="Y286" s="103" t="s">
        <v>138</v>
      </c>
      <c r="Z286" s="103" t="s">
        <v>139</v>
      </c>
      <c r="AA286" s="103" t="s">
        <v>47</v>
      </c>
      <c r="AB286" s="103" t="s">
        <v>140</v>
      </c>
      <c r="AC286" s="104" t="s">
        <v>141</v>
      </c>
    </row>
    <row r="287" spans="1:29" ht="25.5" customHeight="1" x14ac:dyDescent="0.35">
      <c r="A287" s="188"/>
      <c r="B287" s="190"/>
      <c r="C287" s="99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0"/>
      <c r="E287" s="78" t="str">
        <f>IF(C287="","",IFERROR(VLOOKUP(C287,parametros!$A$11:$E$15,5,0),""))</f>
        <v/>
      </c>
      <c r="F287" s="79" t="str">
        <f t="shared" si="22"/>
        <v/>
      </c>
      <c r="G287" s="101"/>
      <c r="H287" s="91">
        <f t="shared" si="23"/>
        <v>0</v>
      </c>
      <c r="I287" s="91" t="str">
        <f t="shared" si="24"/>
        <v/>
      </c>
      <c r="J287" s="91" t="str">
        <f t="shared" si="25"/>
        <v/>
      </c>
      <c r="K287" s="92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2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58"/>
      <c r="U287" s="217" t="str">
        <f t="shared" si="26"/>
        <v/>
      </c>
      <c r="V287" s="215" t="s">
        <v>47</v>
      </c>
      <c r="W287" s="102" t="s">
        <v>136</v>
      </c>
      <c r="X287" s="102" t="s">
        <v>137</v>
      </c>
      <c r="Y287" s="103" t="s">
        <v>138</v>
      </c>
      <c r="Z287" s="103" t="s">
        <v>139</v>
      </c>
      <c r="AA287" s="103" t="s">
        <v>47</v>
      </c>
      <c r="AB287" s="103" t="s">
        <v>140</v>
      </c>
      <c r="AC287" s="104" t="s">
        <v>141</v>
      </c>
    </row>
    <row r="288" spans="1:29" ht="25.5" customHeight="1" x14ac:dyDescent="0.35">
      <c r="A288" s="188"/>
      <c r="B288" s="190"/>
      <c r="C288" s="99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0"/>
      <c r="E288" s="78" t="str">
        <f>IF(C288="","",IFERROR(VLOOKUP(C288,parametros!$A$11:$E$15,5,0),""))</f>
        <v/>
      </c>
      <c r="F288" s="79" t="str">
        <f t="shared" si="22"/>
        <v/>
      </c>
      <c r="G288" s="101"/>
      <c r="H288" s="91">
        <f t="shared" si="23"/>
        <v>0</v>
      </c>
      <c r="I288" s="91" t="str">
        <f t="shared" si="24"/>
        <v/>
      </c>
      <c r="J288" s="91" t="str">
        <f t="shared" si="25"/>
        <v/>
      </c>
      <c r="K288" s="92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2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58"/>
      <c r="U288" s="217" t="str">
        <f t="shared" si="26"/>
        <v/>
      </c>
      <c r="V288" s="215" t="s">
        <v>47</v>
      </c>
      <c r="W288" s="102" t="s">
        <v>136</v>
      </c>
      <c r="X288" s="102" t="s">
        <v>137</v>
      </c>
      <c r="Y288" s="103" t="s">
        <v>138</v>
      </c>
      <c r="Z288" s="103" t="s">
        <v>139</v>
      </c>
      <c r="AA288" s="103" t="s">
        <v>47</v>
      </c>
      <c r="AB288" s="103" t="s">
        <v>140</v>
      </c>
      <c r="AC288" s="104" t="s">
        <v>141</v>
      </c>
    </row>
    <row r="289" spans="1:29" ht="25.5" customHeight="1" x14ac:dyDescent="0.35">
      <c r="A289" s="188"/>
      <c r="B289" s="190"/>
      <c r="C289" s="99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0"/>
      <c r="E289" s="78" t="str">
        <f>IF(C289="","",IFERROR(VLOOKUP(C289,parametros!$A$11:$E$15,5,0),""))</f>
        <v/>
      </c>
      <c r="F289" s="79" t="str">
        <f t="shared" si="22"/>
        <v/>
      </c>
      <c r="G289" s="101"/>
      <c r="H289" s="91">
        <f t="shared" si="23"/>
        <v>0</v>
      </c>
      <c r="I289" s="91" t="str">
        <f t="shared" si="24"/>
        <v/>
      </c>
      <c r="J289" s="91" t="str">
        <f t="shared" si="25"/>
        <v/>
      </c>
      <c r="K289" s="92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2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58"/>
      <c r="U289" s="217" t="str">
        <f t="shared" si="26"/>
        <v/>
      </c>
      <c r="V289" s="215" t="s">
        <v>47</v>
      </c>
      <c r="W289" s="102" t="s">
        <v>136</v>
      </c>
      <c r="X289" s="102" t="s">
        <v>137</v>
      </c>
      <c r="Y289" s="103" t="s">
        <v>138</v>
      </c>
      <c r="Z289" s="103" t="s">
        <v>139</v>
      </c>
      <c r="AA289" s="103" t="s">
        <v>47</v>
      </c>
      <c r="AB289" s="103" t="s">
        <v>140</v>
      </c>
      <c r="AC289" s="104" t="s">
        <v>141</v>
      </c>
    </row>
    <row r="290" spans="1:29" ht="25.5" customHeight="1" x14ac:dyDescent="0.35">
      <c r="A290" s="188"/>
      <c r="B290" s="190"/>
      <c r="C290" s="99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0"/>
      <c r="E290" s="78" t="str">
        <f>IF(C290="","",IFERROR(VLOOKUP(C290,parametros!$A$11:$E$15,5,0),""))</f>
        <v/>
      </c>
      <c r="F290" s="79" t="str">
        <f t="shared" si="22"/>
        <v/>
      </c>
      <c r="G290" s="101"/>
      <c r="H290" s="91">
        <f t="shared" si="23"/>
        <v>0</v>
      </c>
      <c r="I290" s="91" t="str">
        <f t="shared" si="24"/>
        <v/>
      </c>
      <c r="J290" s="91" t="str">
        <f t="shared" si="25"/>
        <v/>
      </c>
      <c r="K290" s="92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2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58"/>
      <c r="U290" s="217" t="str">
        <f t="shared" si="26"/>
        <v/>
      </c>
      <c r="V290" s="215" t="s">
        <v>47</v>
      </c>
      <c r="W290" s="102" t="s">
        <v>136</v>
      </c>
      <c r="X290" s="102" t="s">
        <v>137</v>
      </c>
      <c r="Y290" s="103" t="s">
        <v>138</v>
      </c>
      <c r="Z290" s="103" t="s">
        <v>139</v>
      </c>
      <c r="AA290" s="103" t="s">
        <v>47</v>
      </c>
      <c r="AB290" s="103" t="s">
        <v>140</v>
      </c>
      <c r="AC290" s="104" t="s">
        <v>141</v>
      </c>
    </row>
    <row r="291" spans="1:29" ht="25.5" customHeight="1" x14ac:dyDescent="0.35">
      <c r="A291" s="188"/>
      <c r="B291" s="190"/>
      <c r="C291" s="99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0"/>
      <c r="E291" s="78" t="str">
        <f>IF(C291="","",IFERROR(VLOOKUP(C291,parametros!$A$11:$E$15,5,0),""))</f>
        <v/>
      </c>
      <c r="F291" s="79" t="str">
        <f t="shared" si="22"/>
        <v/>
      </c>
      <c r="G291" s="101"/>
      <c r="H291" s="91">
        <f t="shared" si="23"/>
        <v>0</v>
      </c>
      <c r="I291" s="91" t="str">
        <f t="shared" si="24"/>
        <v/>
      </c>
      <c r="J291" s="91" t="str">
        <f t="shared" si="25"/>
        <v/>
      </c>
      <c r="K291" s="92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2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58"/>
      <c r="U291" s="217" t="str">
        <f t="shared" si="26"/>
        <v/>
      </c>
      <c r="V291" s="215" t="s">
        <v>47</v>
      </c>
      <c r="W291" s="102" t="s">
        <v>136</v>
      </c>
      <c r="X291" s="102" t="s">
        <v>137</v>
      </c>
      <c r="Y291" s="103" t="s">
        <v>138</v>
      </c>
      <c r="Z291" s="103" t="s">
        <v>139</v>
      </c>
      <c r="AA291" s="103" t="s">
        <v>47</v>
      </c>
      <c r="AB291" s="103" t="s">
        <v>140</v>
      </c>
      <c r="AC291" s="104" t="s">
        <v>141</v>
      </c>
    </row>
    <row r="292" spans="1:29" ht="25.5" customHeight="1" x14ac:dyDescent="0.35">
      <c r="A292" s="188"/>
      <c r="B292" s="190"/>
      <c r="C292" s="99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0"/>
      <c r="E292" s="78" t="str">
        <f>IF(C292="","",IFERROR(VLOOKUP(C292,parametros!$A$11:$E$15,5,0),""))</f>
        <v/>
      </c>
      <c r="F292" s="79" t="str">
        <f t="shared" si="22"/>
        <v/>
      </c>
      <c r="G292" s="101"/>
      <c r="H292" s="91">
        <f t="shared" si="23"/>
        <v>0</v>
      </c>
      <c r="I292" s="91" t="str">
        <f t="shared" si="24"/>
        <v/>
      </c>
      <c r="J292" s="91" t="str">
        <f t="shared" si="25"/>
        <v/>
      </c>
      <c r="K292" s="92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2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58"/>
      <c r="U292" s="217" t="str">
        <f t="shared" si="26"/>
        <v/>
      </c>
      <c r="V292" s="215" t="s">
        <v>47</v>
      </c>
      <c r="W292" s="102" t="s">
        <v>136</v>
      </c>
      <c r="X292" s="102" t="s">
        <v>137</v>
      </c>
      <c r="Y292" s="103" t="s">
        <v>138</v>
      </c>
      <c r="Z292" s="103" t="s">
        <v>139</v>
      </c>
      <c r="AA292" s="103" t="s">
        <v>47</v>
      </c>
      <c r="AB292" s="103" t="s">
        <v>140</v>
      </c>
      <c r="AC292" s="104" t="s">
        <v>141</v>
      </c>
    </row>
    <row r="293" spans="1:29" ht="25.5" customHeight="1" x14ac:dyDescent="0.35">
      <c r="A293" s="188"/>
      <c r="B293" s="190"/>
      <c r="C293" s="99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0"/>
      <c r="E293" s="78" t="str">
        <f>IF(C293="","",IFERROR(VLOOKUP(C293,parametros!$A$11:$E$15,5,0),""))</f>
        <v/>
      </c>
      <c r="F293" s="79" t="str">
        <f t="shared" si="22"/>
        <v/>
      </c>
      <c r="G293" s="101"/>
      <c r="H293" s="91">
        <f t="shared" si="23"/>
        <v>0</v>
      </c>
      <c r="I293" s="91" t="str">
        <f t="shared" si="24"/>
        <v/>
      </c>
      <c r="J293" s="91" t="str">
        <f t="shared" si="25"/>
        <v/>
      </c>
      <c r="K293" s="92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2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58"/>
      <c r="U293" s="217" t="str">
        <f t="shared" si="26"/>
        <v/>
      </c>
      <c r="V293" s="215" t="s">
        <v>47</v>
      </c>
      <c r="W293" s="102" t="s">
        <v>136</v>
      </c>
      <c r="X293" s="102" t="s">
        <v>137</v>
      </c>
      <c r="Y293" s="103" t="s">
        <v>138</v>
      </c>
      <c r="Z293" s="103" t="s">
        <v>139</v>
      </c>
      <c r="AA293" s="103" t="s">
        <v>47</v>
      </c>
      <c r="AB293" s="103" t="s">
        <v>140</v>
      </c>
      <c r="AC293" s="104" t="s">
        <v>141</v>
      </c>
    </row>
    <row r="294" spans="1:29" ht="25.5" customHeight="1" x14ac:dyDescent="0.35">
      <c r="A294" s="188"/>
      <c r="B294" s="190"/>
      <c r="C294" s="99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0"/>
      <c r="E294" s="78" t="str">
        <f>IF(C294="","",IFERROR(VLOOKUP(C294,parametros!$A$11:$E$15,5,0),""))</f>
        <v/>
      </c>
      <c r="F294" s="79" t="str">
        <f t="shared" si="22"/>
        <v/>
      </c>
      <c r="G294" s="101"/>
      <c r="H294" s="91">
        <f t="shared" si="23"/>
        <v>0</v>
      </c>
      <c r="I294" s="91" t="str">
        <f t="shared" si="24"/>
        <v/>
      </c>
      <c r="J294" s="91" t="str">
        <f t="shared" si="25"/>
        <v/>
      </c>
      <c r="K294" s="92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2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58"/>
      <c r="U294" s="217" t="str">
        <f t="shared" si="26"/>
        <v/>
      </c>
      <c r="V294" s="215" t="s">
        <v>47</v>
      </c>
      <c r="W294" s="102" t="s">
        <v>136</v>
      </c>
      <c r="X294" s="102" t="s">
        <v>137</v>
      </c>
      <c r="Y294" s="103" t="s">
        <v>138</v>
      </c>
      <c r="Z294" s="103" t="s">
        <v>139</v>
      </c>
      <c r="AA294" s="103" t="s">
        <v>47</v>
      </c>
      <c r="AB294" s="103" t="s">
        <v>140</v>
      </c>
      <c r="AC294" s="104" t="s">
        <v>141</v>
      </c>
    </row>
    <row r="295" spans="1:29" ht="25.5" customHeight="1" x14ac:dyDescent="0.35">
      <c r="A295" s="188"/>
      <c r="B295" s="190"/>
      <c r="C295" s="99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0"/>
      <c r="E295" s="78" t="str">
        <f>IF(C295="","",IFERROR(VLOOKUP(C295,parametros!$A$11:$E$15,5,0),""))</f>
        <v/>
      </c>
      <c r="F295" s="79" t="str">
        <f t="shared" si="22"/>
        <v/>
      </c>
      <c r="G295" s="101"/>
      <c r="H295" s="91">
        <f t="shared" si="23"/>
        <v>0</v>
      </c>
      <c r="I295" s="91" t="str">
        <f t="shared" si="24"/>
        <v/>
      </c>
      <c r="J295" s="91" t="str">
        <f t="shared" si="25"/>
        <v/>
      </c>
      <c r="K295" s="92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2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58"/>
      <c r="U295" s="217" t="str">
        <f t="shared" si="26"/>
        <v/>
      </c>
      <c r="V295" s="215" t="s">
        <v>47</v>
      </c>
      <c r="W295" s="102" t="s">
        <v>136</v>
      </c>
      <c r="X295" s="102" t="s">
        <v>137</v>
      </c>
      <c r="Y295" s="103" t="s">
        <v>138</v>
      </c>
      <c r="Z295" s="103" t="s">
        <v>139</v>
      </c>
      <c r="AA295" s="103" t="s">
        <v>47</v>
      </c>
      <c r="AB295" s="103" t="s">
        <v>140</v>
      </c>
      <c r="AC295" s="104" t="s">
        <v>141</v>
      </c>
    </row>
    <row r="296" spans="1:29" ht="25.5" customHeight="1" x14ac:dyDescent="0.35">
      <c r="A296" s="188"/>
      <c r="B296" s="190"/>
      <c r="C296" s="99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0"/>
      <c r="E296" s="78" t="str">
        <f>IF(C296="","",IFERROR(VLOOKUP(C296,parametros!$A$11:$E$15,5,0),""))</f>
        <v/>
      </c>
      <c r="F296" s="79" t="str">
        <f t="shared" si="22"/>
        <v/>
      </c>
      <c r="G296" s="101"/>
      <c r="H296" s="91">
        <f t="shared" si="23"/>
        <v>0</v>
      </c>
      <c r="I296" s="91" t="str">
        <f t="shared" si="24"/>
        <v/>
      </c>
      <c r="J296" s="91" t="str">
        <f t="shared" si="25"/>
        <v/>
      </c>
      <c r="K296" s="92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2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58"/>
      <c r="U296" s="217" t="str">
        <f t="shared" si="26"/>
        <v/>
      </c>
      <c r="V296" s="215" t="s">
        <v>47</v>
      </c>
      <c r="W296" s="102" t="s">
        <v>136</v>
      </c>
      <c r="X296" s="102" t="s">
        <v>137</v>
      </c>
      <c r="Y296" s="103" t="s">
        <v>138</v>
      </c>
      <c r="Z296" s="103" t="s">
        <v>139</v>
      </c>
      <c r="AA296" s="103" t="s">
        <v>47</v>
      </c>
      <c r="AB296" s="103" t="s">
        <v>140</v>
      </c>
      <c r="AC296" s="104" t="s">
        <v>141</v>
      </c>
    </row>
    <row r="297" spans="1:29" ht="25.5" customHeight="1" x14ac:dyDescent="0.35">
      <c r="A297" s="188"/>
      <c r="B297" s="190"/>
      <c r="C297" s="99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0"/>
      <c r="E297" s="78" t="str">
        <f>IF(C297="","",IFERROR(VLOOKUP(C297,parametros!$A$11:$E$15,5,0),""))</f>
        <v/>
      </c>
      <c r="F297" s="79" t="str">
        <f t="shared" si="22"/>
        <v/>
      </c>
      <c r="G297" s="101"/>
      <c r="H297" s="91">
        <f t="shared" si="23"/>
        <v>0</v>
      </c>
      <c r="I297" s="91" t="str">
        <f t="shared" si="24"/>
        <v/>
      </c>
      <c r="J297" s="91" t="str">
        <f t="shared" si="25"/>
        <v/>
      </c>
      <c r="K297" s="92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2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58"/>
      <c r="U297" s="217" t="str">
        <f t="shared" si="26"/>
        <v/>
      </c>
      <c r="V297" s="215" t="s">
        <v>47</v>
      </c>
      <c r="W297" s="102" t="s">
        <v>136</v>
      </c>
      <c r="X297" s="102" t="s">
        <v>137</v>
      </c>
      <c r="Y297" s="103" t="s">
        <v>138</v>
      </c>
      <c r="Z297" s="103" t="s">
        <v>139</v>
      </c>
      <c r="AA297" s="103" t="s">
        <v>47</v>
      </c>
      <c r="AB297" s="103" t="s">
        <v>140</v>
      </c>
      <c r="AC297" s="104" t="s">
        <v>141</v>
      </c>
    </row>
    <row r="298" spans="1:29" ht="25.5" customHeight="1" x14ac:dyDescent="0.35">
      <c r="A298" s="188"/>
      <c r="B298" s="190"/>
      <c r="C298" s="99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0"/>
      <c r="E298" s="78" t="str">
        <f>IF(C298="","",IFERROR(VLOOKUP(C298,parametros!$A$11:$E$15,5,0),""))</f>
        <v/>
      </c>
      <c r="F298" s="79" t="str">
        <f t="shared" si="22"/>
        <v/>
      </c>
      <c r="G298" s="101"/>
      <c r="H298" s="91">
        <f t="shared" si="23"/>
        <v>0</v>
      </c>
      <c r="I298" s="91" t="str">
        <f t="shared" si="24"/>
        <v/>
      </c>
      <c r="J298" s="91" t="str">
        <f t="shared" si="25"/>
        <v/>
      </c>
      <c r="K298" s="92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2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58"/>
      <c r="U298" s="217" t="str">
        <f t="shared" si="26"/>
        <v/>
      </c>
      <c r="V298" s="215" t="s">
        <v>47</v>
      </c>
      <c r="W298" s="102" t="s">
        <v>136</v>
      </c>
      <c r="X298" s="102" t="s">
        <v>137</v>
      </c>
      <c r="Y298" s="103" t="s">
        <v>138</v>
      </c>
      <c r="Z298" s="103" t="s">
        <v>139</v>
      </c>
      <c r="AA298" s="103" t="s">
        <v>47</v>
      </c>
      <c r="AB298" s="103" t="s">
        <v>140</v>
      </c>
      <c r="AC298" s="104" t="s">
        <v>141</v>
      </c>
    </row>
    <row r="299" spans="1:29" ht="25.5" customHeight="1" x14ac:dyDescent="0.35">
      <c r="A299" s="188"/>
      <c r="B299" s="190"/>
      <c r="C299" s="99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0"/>
      <c r="E299" s="78" t="str">
        <f>IF(C299="","",IFERROR(VLOOKUP(C299,parametros!$A$11:$E$15,5,0),""))</f>
        <v/>
      </c>
      <c r="F299" s="79" t="str">
        <f t="shared" si="22"/>
        <v/>
      </c>
      <c r="G299" s="101"/>
      <c r="H299" s="91">
        <f t="shared" si="23"/>
        <v>0</v>
      </c>
      <c r="I299" s="91" t="str">
        <f t="shared" si="24"/>
        <v/>
      </c>
      <c r="J299" s="91" t="str">
        <f t="shared" si="25"/>
        <v/>
      </c>
      <c r="K299" s="92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2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58"/>
      <c r="U299" s="217" t="str">
        <f t="shared" si="26"/>
        <v/>
      </c>
      <c r="V299" s="215" t="s">
        <v>47</v>
      </c>
      <c r="W299" s="102" t="s">
        <v>136</v>
      </c>
      <c r="X299" s="102" t="s">
        <v>137</v>
      </c>
      <c r="Y299" s="103" t="s">
        <v>138</v>
      </c>
      <c r="Z299" s="103" t="s">
        <v>139</v>
      </c>
      <c r="AA299" s="103" t="s">
        <v>47</v>
      </c>
      <c r="AB299" s="103" t="s">
        <v>140</v>
      </c>
      <c r="AC299" s="104" t="s">
        <v>141</v>
      </c>
    </row>
    <row r="300" spans="1:29" ht="25.5" customHeight="1" x14ac:dyDescent="0.35">
      <c r="A300" s="188"/>
      <c r="B300" s="190"/>
      <c r="C300" s="99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0"/>
      <c r="E300" s="78" t="str">
        <f>IF(C300="","",IFERROR(VLOOKUP(C300,parametros!$A$11:$E$15,5,0),""))</f>
        <v/>
      </c>
      <c r="F300" s="79" t="str">
        <f t="shared" si="22"/>
        <v/>
      </c>
      <c r="G300" s="101"/>
      <c r="H300" s="91">
        <f t="shared" si="23"/>
        <v>0</v>
      </c>
      <c r="I300" s="91" t="str">
        <f t="shared" si="24"/>
        <v/>
      </c>
      <c r="J300" s="91" t="str">
        <f t="shared" si="25"/>
        <v/>
      </c>
      <c r="K300" s="92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2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58"/>
      <c r="U300" s="217" t="str">
        <f t="shared" si="26"/>
        <v/>
      </c>
      <c r="V300" s="215" t="s">
        <v>47</v>
      </c>
      <c r="W300" s="102" t="s">
        <v>136</v>
      </c>
      <c r="X300" s="102" t="s">
        <v>137</v>
      </c>
      <c r="Y300" s="103" t="s">
        <v>138</v>
      </c>
      <c r="Z300" s="103" t="s">
        <v>139</v>
      </c>
      <c r="AA300" s="103" t="s">
        <v>47</v>
      </c>
      <c r="AB300" s="103" t="s">
        <v>140</v>
      </c>
      <c r="AC300" s="104" t="s">
        <v>141</v>
      </c>
    </row>
    <row r="301" spans="1:29" ht="25.5" customHeight="1" x14ac:dyDescent="0.35">
      <c r="A301" s="188"/>
      <c r="B301" s="190"/>
      <c r="C301" s="99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0"/>
      <c r="E301" s="78" t="str">
        <f>IF(C301="","",IFERROR(VLOOKUP(C301,parametros!$A$11:$E$15,5,0),""))</f>
        <v/>
      </c>
      <c r="F301" s="79" t="str">
        <f t="shared" si="22"/>
        <v/>
      </c>
      <c r="G301" s="101"/>
      <c r="H301" s="91">
        <f t="shared" si="23"/>
        <v>0</v>
      </c>
      <c r="I301" s="91" t="str">
        <f t="shared" si="24"/>
        <v/>
      </c>
      <c r="J301" s="91" t="str">
        <f t="shared" si="25"/>
        <v/>
      </c>
      <c r="K301" s="92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2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58"/>
      <c r="U301" s="217" t="str">
        <f t="shared" si="26"/>
        <v/>
      </c>
      <c r="V301" s="215" t="s">
        <v>47</v>
      </c>
      <c r="W301" s="102" t="s">
        <v>136</v>
      </c>
      <c r="X301" s="102" t="s">
        <v>137</v>
      </c>
      <c r="Y301" s="103" t="s">
        <v>138</v>
      </c>
      <c r="Z301" s="103" t="s">
        <v>139</v>
      </c>
      <c r="AA301" s="103" t="s">
        <v>47</v>
      </c>
      <c r="AB301" s="103" t="s">
        <v>140</v>
      </c>
      <c r="AC301" s="104" t="s">
        <v>141</v>
      </c>
    </row>
    <row r="302" spans="1:29" ht="25.5" customHeight="1" x14ac:dyDescent="0.35">
      <c r="A302" s="188"/>
      <c r="B302" s="190"/>
      <c r="C302" s="99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0"/>
      <c r="E302" s="78" t="str">
        <f>IF(C302="","",IFERROR(VLOOKUP(C302,parametros!$A$11:$E$15,5,0),""))</f>
        <v/>
      </c>
      <c r="F302" s="79" t="str">
        <f t="shared" si="22"/>
        <v/>
      </c>
      <c r="G302" s="101"/>
      <c r="H302" s="91">
        <f t="shared" si="23"/>
        <v>0</v>
      </c>
      <c r="I302" s="91" t="str">
        <f t="shared" si="24"/>
        <v/>
      </c>
      <c r="J302" s="91" t="str">
        <f t="shared" si="25"/>
        <v/>
      </c>
      <c r="K302" s="92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2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58"/>
      <c r="U302" s="217" t="str">
        <f t="shared" si="26"/>
        <v/>
      </c>
      <c r="V302" s="215" t="s">
        <v>47</v>
      </c>
      <c r="W302" s="102" t="s">
        <v>136</v>
      </c>
      <c r="X302" s="102" t="s">
        <v>137</v>
      </c>
      <c r="Y302" s="103" t="s">
        <v>138</v>
      </c>
      <c r="Z302" s="103" t="s">
        <v>139</v>
      </c>
      <c r="AA302" s="103" t="s">
        <v>47</v>
      </c>
      <c r="AB302" s="103" t="s">
        <v>140</v>
      </c>
      <c r="AC302" s="104" t="s">
        <v>141</v>
      </c>
    </row>
    <row r="303" spans="1:29" ht="25.5" customHeight="1" x14ac:dyDescent="0.35">
      <c r="A303" s="188"/>
      <c r="B303" s="190"/>
      <c r="C303" s="99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0"/>
      <c r="E303" s="78" t="str">
        <f>IF(C303="","",IFERROR(VLOOKUP(C303,parametros!$A$11:$E$15,5,0),""))</f>
        <v/>
      </c>
      <c r="F303" s="79" t="str">
        <f t="shared" si="22"/>
        <v/>
      </c>
      <c r="G303" s="101"/>
      <c r="H303" s="91">
        <f t="shared" si="23"/>
        <v>0</v>
      </c>
      <c r="I303" s="91" t="str">
        <f t="shared" si="24"/>
        <v/>
      </c>
      <c r="J303" s="91" t="str">
        <f t="shared" si="25"/>
        <v/>
      </c>
      <c r="K303" s="92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2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58"/>
      <c r="U303" s="217" t="str">
        <f t="shared" si="26"/>
        <v/>
      </c>
      <c r="V303" s="215" t="s">
        <v>47</v>
      </c>
      <c r="W303" s="102" t="s">
        <v>136</v>
      </c>
      <c r="X303" s="102" t="s">
        <v>137</v>
      </c>
      <c r="Y303" s="103" t="s">
        <v>138</v>
      </c>
      <c r="Z303" s="103" t="s">
        <v>139</v>
      </c>
      <c r="AA303" s="103" t="s">
        <v>47</v>
      </c>
      <c r="AB303" s="103" t="s">
        <v>140</v>
      </c>
      <c r="AC303" s="104" t="s">
        <v>141</v>
      </c>
    </row>
    <row r="304" spans="1:29" ht="25.5" customHeight="1" x14ac:dyDescent="0.35">
      <c r="A304" s="188"/>
      <c r="B304" s="190"/>
      <c r="C304" s="99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0"/>
      <c r="E304" s="78" t="str">
        <f>IF(C304="","",IFERROR(VLOOKUP(C304,parametros!$A$11:$E$15,5,0),""))</f>
        <v/>
      </c>
      <c r="F304" s="79" t="str">
        <f t="shared" si="22"/>
        <v/>
      </c>
      <c r="G304" s="101"/>
      <c r="H304" s="91">
        <f t="shared" si="23"/>
        <v>0</v>
      </c>
      <c r="I304" s="91" t="str">
        <f t="shared" si="24"/>
        <v/>
      </c>
      <c r="J304" s="91" t="str">
        <f t="shared" si="25"/>
        <v/>
      </c>
      <c r="K304" s="92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2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58"/>
      <c r="U304" s="217" t="str">
        <f t="shared" si="26"/>
        <v/>
      </c>
      <c r="V304" s="215" t="s">
        <v>47</v>
      </c>
      <c r="W304" s="102" t="s">
        <v>136</v>
      </c>
      <c r="X304" s="102" t="s">
        <v>137</v>
      </c>
      <c r="Y304" s="103" t="s">
        <v>138</v>
      </c>
      <c r="Z304" s="103" t="s">
        <v>139</v>
      </c>
      <c r="AA304" s="103" t="s">
        <v>47</v>
      </c>
      <c r="AB304" s="103" t="s">
        <v>140</v>
      </c>
      <c r="AC304" s="104" t="s">
        <v>141</v>
      </c>
    </row>
    <row r="305" spans="1:29" ht="25.5" customHeight="1" x14ac:dyDescent="0.35">
      <c r="A305" s="188"/>
      <c r="B305" s="190"/>
      <c r="C305" s="99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0"/>
      <c r="E305" s="78" t="str">
        <f>IF(C305="","",IFERROR(VLOOKUP(C305,parametros!$A$11:$E$15,5,0),""))</f>
        <v/>
      </c>
      <c r="F305" s="79" t="str">
        <f t="shared" si="22"/>
        <v/>
      </c>
      <c r="G305" s="101"/>
      <c r="H305" s="91">
        <f t="shared" si="23"/>
        <v>0</v>
      </c>
      <c r="I305" s="91" t="str">
        <f t="shared" si="24"/>
        <v/>
      </c>
      <c r="J305" s="91" t="str">
        <f t="shared" si="25"/>
        <v/>
      </c>
      <c r="K305" s="92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2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58"/>
      <c r="U305" s="217" t="str">
        <f t="shared" si="26"/>
        <v/>
      </c>
      <c r="V305" s="215" t="s">
        <v>47</v>
      </c>
      <c r="W305" s="102" t="s">
        <v>136</v>
      </c>
      <c r="X305" s="102" t="s">
        <v>137</v>
      </c>
      <c r="Y305" s="103" t="s">
        <v>138</v>
      </c>
      <c r="Z305" s="103" t="s">
        <v>139</v>
      </c>
      <c r="AA305" s="103" t="s">
        <v>47</v>
      </c>
      <c r="AB305" s="103" t="s">
        <v>140</v>
      </c>
      <c r="AC305" s="104" t="s">
        <v>141</v>
      </c>
    </row>
    <row r="306" spans="1:29" ht="25.5" customHeight="1" x14ac:dyDescent="0.35">
      <c r="A306" s="188"/>
      <c r="B306" s="190"/>
      <c r="C306" s="99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0"/>
      <c r="E306" s="78" t="str">
        <f>IF(C306="","",IFERROR(VLOOKUP(C306,parametros!$A$11:$E$15,5,0),""))</f>
        <v/>
      </c>
      <c r="F306" s="79" t="str">
        <f t="shared" si="22"/>
        <v/>
      </c>
      <c r="G306" s="101"/>
      <c r="H306" s="91">
        <f t="shared" si="23"/>
        <v>0</v>
      </c>
      <c r="I306" s="91" t="str">
        <f t="shared" si="24"/>
        <v/>
      </c>
      <c r="J306" s="91" t="str">
        <f t="shared" si="25"/>
        <v/>
      </c>
      <c r="K306" s="92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2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58"/>
      <c r="U306" s="217" t="str">
        <f t="shared" si="26"/>
        <v/>
      </c>
      <c r="V306" s="215" t="s">
        <v>47</v>
      </c>
      <c r="W306" s="102" t="s">
        <v>136</v>
      </c>
      <c r="X306" s="102" t="s">
        <v>137</v>
      </c>
      <c r="Y306" s="103" t="s">
        <v>138</v>
      </c>
      <c r="Z306" s="103" t="s">
        <v>139</v>
      </c>
      <c r="AA306" s="103" t="s">
        <v>47</v>
      </c>
      <c r="AB306" s="103" t="s">
        <v>140</v>
      </c>
      <c r="AC306" s="104" t="s">
        <v>141</v>
      </c>
    </row>
    <row r="307" spans="1:29" ht="25.5" customHeight="1" x14ac:dyDescent="0.35">
      <c r="A307" s="188"/>
      <c r="B307" s="190"/>
      <c r="C307" s="99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0"/>
      <c r="E307" s="78" t="str">
        <f>IF(C307="","",IFERROR(VLOOKUP(C307,parametros!$A$11:$E$15,5,0),""))</f>
        <v/>
      </c>
      <c r="F307" s="79" t="str">
        <f t="shared" si="22"/>
        <v/>
      </c>
      <c r="G307" s="101"/>
      <c r="H307" s="91">
        <f t="shared" si="23"/>
        <v>0</v>
      </c>
      <c r="I307" s="91" t="str">
        <f t="shared" si="24"/>
        <v/>
      </c>
      <c r="J307" s="91" t="str">
        <f t="shared" si="25"/>
        <v/>
      </c>
      <c r="K307" s="92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2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58"/>
      <c r="U307" s="217" t="str">
        <f t="shared" si="26"/>
        <v/>
      </c>
      <c r="V307" s="215" t="s">
        <v>47</v>
      </c>
      <c r="W307" s="102" t="s">
        <v>136</v>
      </c>
      <c r="X307" s="102" t="s">
        <v>137</v>
      </c>
      <c r="Y307" s="103" t="s">
        <v>138</v>
      </c>
      <c r="Z307" s="103" t="s">
        <v>139</v>
      </c>
      <c r="AA307" s="103" t="s">
        <v>47</v>
      </c>
      <c r="AB307" s="103" t="s">
        <v>140</v>
      </c>
      <c r="AC307" s="104" t="s">
        <v>141</v>
      </c>
    </row>
    <row r="308" spans="1:29" ht="25.5" customHeight="1" x14ac:dyDescent="0.35">
      <c r="A308" s="188"/>
      <c r="B308" s="190"/>
      <c r="C308" s="99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0"/>
      <c r="E308" s="78" t="str">
        <f>IF(C308="","",IFERROR(VLOOKUP(C308,parametros!$A$11:$E$15,5,0),""))</f>
        <v/>
      </c>
      <c r="F308" s="79" t="str">
        <f t="shared" si="22"/>
        <v/>
      </c>
      <c r="G308" s="101"/>
      <c r="H308" s="91">
        <f t="shared" si="23"/>
        <v>0</v>
      </c>
      <c r="I308" s="91" t="str">
        <f t="shared" si="24"/>
        <v/>
      </c>
      <c r="J308" s="91" t="str">
        <f t="shared" si="25"/>
        <v/>
      </c>
      <c r="K308" s="92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2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58"/>
      <c r="U308" s="217" t="str">
        <f t="shared" si="26"/>
        <v/>
      </c>
      <c r="V308" s="215" t="s">
        <v>47</v>
      </c>
      <c r="W308" s="102" t="s">
        <v>136</v>
      </c>
      <c r="X308" s="102" t="s">
        <v>137</v>
      </c>
      <c r="Y308" s="103" t="s">
        <v>138</v>
      </c>
      <c r="Z308" s="103" t="s">
        <v>139</v>
      </c>
      <c r="AA308" s="103" t="s">
        <v>47</v>
      </c>
      <c r="AB308" s="103" t="s">
        <v>140</v>
      </c>
      <c r="AC308" s="104" t="s">
        <v>141</v>
      </c>
    </row>
    <row r="309" spans="1:29" ht="25.5" customHeight="1" x14ac:dyDescent="0.35">
      <c r="A309" s="188"/>
      <c r="B309" s="190"/>
      <c r="C309" s="99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0"/>
      <c r="E309" s="78" t="str">
        <f>IF(C309="","",IFERROR(VLOOKUP(C309,parametros!$A$11:$E$15,5,0),""))</f>
        <v/>
      </c>
      <c r="F309" s="79" t="str">
        <f t="shared" si="22"/>
        <v/>
      </c>
      <c r="G309" s="101"/>
      <c r="H309" s="91">
        <f t="shared" si="23"/>
        <v>0</v>
      </c>
      <c r="I309" s="91" t="str">
        <f t="shared" si="24"/>
        <v/>
      </c>
      <c r="J309" s="91" t="str">
        <f t="shared" si="25"/>
        <v/>
      </c>
      <c r="K309" s="92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2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58"/>
      <c r="U309" s="217" t="str">
        <f t="shared" si="26"/>
        <v/>
      </c>
      <c r="V309" s="215" t="s">
        <v>47</v>
      </c>
      <c r="W309" s="102" t="s">
        <v>136</v>
      </c>
      <c r="X309" s="102" t="s">
        <v>137</v>
      </c>
      <c r="Y309" s="103" t="s">
        <v>138</v>
      </c>
      <c r="Z309" s="103" t="s">
        <v>139</v>
      </c>
      <c r="AA309" s="103" t="s">
        <v>47</v>
      </c>
      <c r="AB309" s="103" t="s">
        <v>140</v>
      </c>
      <c r="AC309" s="104" t="s">
        <v>141</v>
      </c>
    </row>
    <row r="310" spans="1:29" ht="25.5" customHeight="1" x14ac:dyDescent="0.35">
      <c r="A310" s="188"/>
      <c r="B310" s="190"/>
      <c r="C310" s="99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0"/>
      <c r="E310" s="78" t="str">
        <f>IF(C310="","",IFERROR(VLOOKUP(C310,parametros!$A$11:$E$15,5,0),""))</f>
        <v/>
      </c>
      <c r="F310" s="79" t="str">
        <f t="shared" si="22"/>
        <v/>
      </c>
      <c r="G310" s="101"/>
      <c r="H310" s="91">
        <f t="shared" si="23"/>
        <v>0</v>
      </c>
      <c r="I310" s="91" t="str">
        <f t="shared" si="24"/>
        <v/>
      </c>
      <c r="J310" s="91" t="str">
        <f t="shared" si="25"/>
        <v/>
      </c>
      <c r="K310" s="92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2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58"/>
      <c r="U310" s="217" t="str">
        <f t="shared" si="26"/>
        <v/>
      </c>
      <c r="V310" s="215" t="s">
        <v>47</v>
      </c>
      <c r="W310" s="102" t="s">
        <v>136</v>
      </c>
      <c r="X310" s="102" t="s">
        <v>137</v>
      </c>
      <c r="Y310" s="103" t="s">
        <v>138</v>
      </c>
      <c r="Z310" s="103" t="s">
        <v>139</v>
      </c>
      <c r="AA310" s="103" t="s">
        <v>47</v>
      </c>
      <c r="AB310" s="103" t="s">
        <v>140</v>
      </c>
      <c r="AC310" s="104" t="s">
        <v>141</v>
      </c>
    </row>
    <row r="311" spans="1:29" ht="25.5" customHeight="1" x14ac:dyDescent="0.35">
      <c r="A311" s="188"/>
      <c r="B311" s="190"/>
      <c r="C311" s="99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0"/>
      <c r="E311" s="78" t="str">
        <f>IF(C311="","",IFERROR(VLOOKUP(C311,parametros!$A$11:$E$15,5,0),""))</f>
        <v/>
      </c>
      <c r="F311" s="79" t="str">
        <f t="shared" si="22"/>
        <v/>
      </c>
      <c r="G311" s="101"/>
      <c r="H311" s="91">
        <f t="shared" si="23"/>
        <v>0</v>
      </c>
      <c r="I311" s="91" t="str">
        <f t="shared" si="24"/>
        <v/>
      </c>
      <c r="J311" s="91" t="str">
        <f t="shared" si="25"/>
        <v/>
      </c>
      <c r="K311" s="92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2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58"/>
      <c r="U311" s="217" t="str">
        <f t="shared" si="26"/>
        <v/>
      </c>
      <c r="V311" s="215" t="s">
        <v>47</v>
      </c>
      <c r="W311" s="102" t="s">
        <v>136</v>
      </c>
      <c r="X311" s="102" t="s">
        <v>137</v>
      </c>
      <c r="Y311" s="103" t="s">
        <v>138</v>
      </c>
      <c r="Z311" s="103" t="s">
        <v>139</v>
      </c>
      <c r="AA311" s="103" t="s">
        <v>47</v>
      </c>
      <c r="AB311" s="103" t="s">
        <v>140</v>
      </c>
      <c r="AC311" s="104" t="s">
        <v>141</v>
      </c>
    </row>
    <row r="312" spans="1:29" ht="25.5" customHeight="1" x14ac:dyDescent="0.35">
      <c r="A312" s="188"/>
      <c r="B312" s="190"/>
      <c r="C312" s="99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0"/>
      <c r="E312" s="78" t="str">
        <f>IF(C312="","",IFERROR(VLOOKUP(C312,parametros!$A$11:$E$15,5,0),""))</f>
        <v/>
      </c>
      <c r="F312" s="79" t="str">
        <f t="shared" si="22"/>
        <v/>
      </c>
      <c r="G312" s="101"/>
      <c r="H312" s="91">
        <f t="shared" si="23"/>
        <v>0</v>
      </c>
      <c r="I312" s="91" t="str">
        <f t="shared" si="24"/>
        <v/>
      </c>
      <c r="J312" s="91" t="str">
        <f t="shared" si="25"/>
        <v/>
      </c>
      <c r="K312" s="92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2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58"/>
      <c r="U312" s="217" t="str">
        <f t="shared" si="26"/>
        <v/>
      </c>
      <c r="V312" s="215" t="s">
        <v>47</v>
      </c>
      <c r="W312" s="102" t="s">
        <v>136</v>
      </c>
      <c r="X312" s="102" t="s">
        <v>137</v>
      </c>
      <c r="Y312" s="103" t="s">
        <v>138</v>
      </c>
      <c r="Z312" s="103" t="s">
        <v>139</v>
      </c>
      <c r="AA312" s="103" t="s">
        <v>47</v>
      </c>
      <c r="AB312" s="103" t="s">
        <v>140</v>
      </c>
      <c r="AC312" s="104" t="s">
        <v>141</v>
      </c>
    </row>
    <row r="313" spans="1:29" ht="25.5" customHeight="1" x14ac:dyDescent="0.35">
      <c r="A313" s="188"/>
      <c r="B313" s="190"/>
      <c r="C313" s="99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0"/>
      <c r="E313" s="78" t="str">
        <f>IF(C313="","",IFERROR(VLOOKUP(C313,parametros!$A$11:$E$15,5,0),""))</f>
        <v/>
      </c>
      <c r="F313" s="79" t="str">
        <f t="shared" si="22"/>
        <v/>
      </c>
      <c r="G313" s="101"/>
      <c r="H313" s="91">
        <f t="shared" si="23"/>
        <v>0</v>
      </c>
      <c r="I313" s="91" t="str">
        <f t="shared" si="24"/>
        <v/>
      </c>
      <c r="J313" s="91" t="str">
        <f t="shared" si="25"/>
        <v/>
      </c>
      <c r="K313" s="92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2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58"/>
      <c r="U313" s="217" t="str">
        <f t="shared" si="26"/>
        <v/>
      </c>
      <c r="V313" s="215" t="s">
        <v>47</v>
      </c>
      <c r="W313" s="102" t="s">
        <v>136</v>
      </c>
      <c r="X313" s="102" t="s">
        <v>137</v>
      </c>
      <c r="Y313" s="103" t="s">
        <v>138</v>
      </c>
      <c r="Z313" s="103" t="s">
        <v>139</v>
      </c>
      <c r="AA313" s="103" t="s">
        <v>47</v>
      </c>
      <c r="AB313" s="103" t="s">
        <v>140</v>
      </c>
      <c r="AC313" s="104" t="s">
        <v>141</v>
      </c>
    </row>
    <row r="314" spans="1:29" ht="25.5" customHeight="1" x14ac:dyDescent="0.35">
      <c r="A314" s="188"/>
      <c r="B314" s="190"/>
      <c r="C314" s="99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0"/>
      <c r="E314" s="78" t="str">
        <f>IF(C314="","",IFERROR(VLOOKUP(C314,parametros!$A$11:$E$15,5,0),""))</f>
        <v/>
      </c>
      <c r="F314" s="79" t="str">
        <f t="shared" si="22"/>
        <v/>
      </c>
      <c r="G314" s="101"/>
      <c r="H314" s="91">
        <f t="shared" si="23"/>
        <v>0</v>
      </c>
      <c r="I314" s="91" t="str">
        <f t="shared" si="24"/>
        <v/>
      </c>
      <c r="J314" s="91" t="str">
        <f t="shared" si="25"/>
        <v/>
      </c>
      <c r="K314" s="92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2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58"/>
      <c r="U314" s="217" t="str">
        <f t="shared" si="26"/>
        <v/>
      </c>
      <c r="V314" s="215" t="s">
        <v>47</v>
      </c>
      <c r="W314" s="102" t="s">
        <v>136</v>
      </c>
      <c r="X314" s="102" t="s">
        <v>137</v>
      </c>
      <c r="Y314" s="103" t="s">
        <v>138</v>
      </c>
      <c r="Z314" s="103" t="s">
        <v>139</v>
      </c>
      <c r="AA314" s="103" t="s">
        <v>47</v>
      </c>
      <c r="AB314" s="103" t="s">
        <v>140</v>
      </c>
      <c r="AC314" s="104" t="s">
        <v>141</v>
      </c>
    </row>
    <row r="315" spans="1:29" ht="25.5" customHeight="1" x14ac:dyDescent="0.35">
      <c r="A315" s="188"/>
      <c r="B315" s="190"/>
      <c r="C315" s="99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0"/>
      <c r="E315" s="78" t="str">
        <f>IF(C315="","",IFERROR(VLOOKUP(C315,parametros!$A$11:$E$15,5,0),""))</f>
        <v/>
      </c>
      <c r="F315" s="79" t="str">
        <f t="shared" si="22"/>
        <v/>
      </c>
      <c r="G315" s="101"/>
      <c r="H315" s="91">
        <f t="shared" si="23"/>
        <v>0</v>
      </c>
      <c r="I315" s="91" t="str">
        <f t="shared" si="24"/>
        <v/>
      </c>
      <c r="J315" s="91" t="str">
        <f t="shared" si="25"/>
        <v/>
      </c>
      <c r="K315" s="92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2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58"/>
      <c r="U315" s="217" t="str">
        <f t="shared" si="26"/>
        <v/>
      </c>
      <c r="V315" s="215" t="s">
        <v>47</v>
      </c>
      <c r="W315" s="102" t="s">
        <v>136</v>
      </c>
      <c r="X315" s="102" t="s">
        <v>137</v>
      </c>
      <c r="Y315" s="103" t="s">
        <v>138</v>
      </c>
      <c r="Z315" s="103" t="s">
        <v>139</v>
      </c>
      <c r="AA315" s="103" t="s">
        <v>47</v>
      </c>
      <c r="AB315" s="103" t="s">
        <v>140</v>
      </c>
      <c r="AC315" s="104" t="s">
        <v>141</v>
      </c>
    </row>
    <row r="316" spans="1:29" ht="25.5" customHeight="1" x14ac:dyDescent="0.35">
      <c r="A316" s="188"/>
      <c r="B316" s="190"/>
      <c r="C316" s="99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0"/>
      <c r="E316" s="78" t="str">
        <f>IF(C316="","",IFERROR(VLOOKUP(C316,parametros!$A$11:$E$15,5,0),""))</f>
        <v/>
      </c>
      <c r="F316" s="79" t="str">
        <f t="shared" si="22"/>
        <v/>
      </c>
      <c r="G316" s="101"/>
      <c r="H316" s="91">
        <f t="shared" si="23"/>
        <v>0</v>
      </c>
      <c r="I316" s="91" t="str">
        <f t="shared" si="24"/>
        <v/>
      </c>
      <c r="J316" s="91" t="str">
        <f t="shared" si="25"/>
        <v/>
      </c>
      <c r="K316" s="92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2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58"/>
      <c r="U316" s="217" t="str">
        <f t="shared" si="26"/>
        <v/>
      </c>
      <c r="V316" s="215" t="s">
        <v>47</v>
      </c>
      <c r="W316" s="102" t="s">
        <v>136</v>
      </c>
      <c r="X316" s="102" t="s">
        <v>137</v>
      </c>
      <c r="Y316" s="103" t="s">
        <v>138</v>
      </c>
      <c r="Z316" s="103" t="s">
        <v>139</v>
      </c>
      <c r="AA316" s="103" t="s">
        <v>47</v>
      </c>
      <c r="AB316" s="103" t="s">
        <v>140</v>
      </c>
      <c r="AC316" s="104" t="s">
        <v>141</v>
      </c>
    </row>
    <row r="317" spans="1:29" ht="25.5" customHeight="1" x14ac:dyDescent="0.35">
      <c r="A317" s="188"/>
      <c r="B317" s="190"/>
      <c r="C317" s="99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0"/>
      <c r="E317" s="78" t="str">
        <f>IF(C317="","",IFERROR(VLOOKUP(C317,parametros!$A$11:$E$15,5,0),""))</f>
        <v/>
      </c>
      <c r="F317" s="79" t="str">
        <f t="shared" si="22"/>
        <v/>
      </c>
      <c r="G317" s="101"/>
      <c r="H317" s="91">
        <f t="shared" si="23"/>
        <v>0</v>
      </c>
      <c r="I317" s="91" t="str">
        <f t="shared" si="24"/>
        <v/>
      </c>
      <c r="J317" s="91" t="str">
        <f t="shared" si="25"/>
        <v/>
      </c>
      <c r="K317" s="92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2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58"/>
      <c r="U317" s="217" t="str">
        <f t="shared" si="26"/>
        <v/>
      </c>
      <c r="V317" s="215" t="s">
        <v>47</v>
      </c>
      <c r="W317" s="102" t="s">
        <v>136</v>
      </c>
      <c r="X317" s="102" t="s">
        <v>137</v>
      </c>
      <c r="Y317" s="103" t="s">
        <v>138</v>
      </c>
      <c r="Z317" s="103" t="s">
        <v>139</v>
      </c>
      <c r="AA317" s="103" t="s">
        <v>47</v>
      </c>
      <c r="AB317" s="103" t="s">
        <v>140</v>
      </c>
      <c r="AC317" s="104" t="s">
        <v>141</v>
      </c>
    </row>
    <row r="318" spans="1:29" ht="25.5" customHeight="1" x14ac:dyDescent="0.35">
      <c r="A318" s="188"/>
      <c r="B318" s="190"/>
      <c r="C318" s="99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0"/>
      <c r="E318" s="78" t="str">
        <f>IF(C318="","",IFERROR(VLOOKUP(C318,parametros!$A$11:$E$15,5,0),""))</f>
        <v/>
      </c>
      <c r="F318" s="79" t="str">
        <f t="shared" si="22"/>
        <v/>
      </c>
      <c r="G318" s="101"/>
      <c r="H318" s="91">
        <f t="shared" si="23"/>
        <v>0</v>
      </c>
      <c r="I318" s="91" t="str">
        <f t="shared" si="24"/>
        <v/>
      </c>
      <c r="J318" s="91" t="str">
        <f t="shared" si="25"/>
        <v/>
      </c>
      <c r="K318" s="92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2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58"/>
      <c r="U318" s="217" t="str">
        <f t="shared" si="26"/>
        <v/>
      </c>
      <c r="V318" s="215" t="s">
        <v>47</v>
      </c>
      <c r="W318" s="102" t="s">
        <v>136</v>
      </c>
      <c r="X318" s="102" t="s">
        <v>137</v>
      </c>
      <c r="Y318" s="103" t="s">
        <v>138</v>
      </c>
      <c r="Z318" s="103" t="s">
        <v>139</v>
      </c>
      <c r="AA318" s="103" t="s">
        <v>47</v>
      </c>
      <c r="AB318" s="103" t="s">
        <v>140</v>
      </c>
      <c r="AC318" s="104" t="s">
        <v>141</v>
      </c>
    </row>
    <row r="319" spans="1:29" ht="25.5" customHeight="1" x14ac:dyDescent="0.35">
      <c r="A319" s="188"/>
      <c r="B319" s="190"/>
      <c r="C319" s="99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0"/>
      <c r="E319" s="78" t="str">
        <f>IF(C319="","",IFERROR(VLOOKUP(C319,parametros!$A$11:$E$15,5,0),""))</f>
        <v/>
      </c>
      <c r="F319" s="79" t="str">
        <f t="shared" si="22"/>
        <v/>
      </c>
      <c r="G319" s="101"/>
      <c r="H319" s="91">
        <f t="shared" si="23"/>
        <v>0</v>
      </c>
      <c r="I319" s="91" t="str">
        <f t="shared" si="24"/>
        <v/>
      </c>
      <c r="J319" s="91" t="str">
        <f t="shared" si="25"/>
        <v/>
      </c>
      <c r="K319" s="92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2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58"/>
      <c r="U319" s="217" t="str">
        <f t="shared" si="26"/>
        <v/>
      </c>
      <c r="V319" s="215" t="s">
        <v>47</v>
      </c>
      <c r="W319" s="102" t="s">
        <v>136</v>
      </c>
      <c r="X319" s="102" t="s">
        <v>137</v>
      </c>
      <c r="Y319" s="103" t="s">
        <v>138</v>
      </c>
      <c r="Z319" s="103" t="s">
        <v>139</v>
      </c>
      <c r="AA319" s="103" t="s">
        <v>47</v>
      </c>
      <c r="AB319" s="103" t="s">
        <v>140</v>
      </c>
      <c r="AC319" s="104" t="s">
        <v>141</v>
      </c>
    </row>
    <row r="320" spans="1:29" ht="25.5" customHeight="1" x14ac:dyDescent="0.35">
      <c r="A320" s="188"/>
      <c r="B320" s="190"/>
      <c r="C320" s="99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0"/>
      <c r="E320" s="78" t="str">
        <f>IF(C320="","",IFERROR(VLOOKUP(C320,parametros!$A$11:$E$15,5,0),""))</f>
        <v/>
      </c>
      <c r="F320" s="79" t="str">
        <f t="shared" si="22"/>
        <v/>
      </c>
      <c r="G320" s="101"/>
      <c r="H320" s="91">
        <f t="shared" si="23"/>
        <v>0</v>
      </c>
      <c r="I320" s="91" t="str">
        <f t="shared" si="24"/>
        <v/>
      </c>
      <c r="J320" s="91" t="str">
        <f t="shared" si="25"/>
        <v/>
      </c>
      <c r="K320" s="92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2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58"/>
      <c r="U320" s="217" t="str">
        <f t="shared" si="26"/>
        <v/>
      </c>
      <c r="V320" s="215" t="s">
        <v>47</v>
      </c>
      <c r="W320" s="102" t="s">
        <v>136</v>
      </c>
      <c r="X320" s="102" t="s">
        <v>137</v>
      </c>
      <c r="Y320" s="103" t="s">
        <v>138</v>
      </c>
      <c r="Z320" s="103" t="s">
        <v>139</v>
      </c>
      <c r="AA320" s="103" t="s">
        <v>47</v>
      </c>
      <c r="AB320" s="103" t="s">
        <v>140</v>
      </c>
      <c r="AC320" s="104" t="s">
        <v>141</v>
      </c>
    </row>
    <row r="321" spans="1:29" ht="25.5" customHeight="1" x14ac:dyDescent="0.35">
      <c r="A321" s="188"/>
      <c r="B321" s="190"/>
      <c r="C321" s="99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0"/>
      <c r="E321" s="78" t="str">
        <f>IF(C321="","",IFERROR(VLOOKUP(C321,parametros!$A$11:$E$15,5,0),""))</f>
        <v/>
      </c>
      <c r="F321" s="79" t="str">
        <f t="shared" si="22"/>
        <v/>
      </c>
      <c r="G321" s="101"/>
      <c r="H321" s="91">
        <f t="shared" si="23"/>
        <v>0</v>
      </c>
      <c r="I321" s="91" t="str">
        <f t="shared" si="24"/>
        <v/>
      </c>
      <c r="J321" s="91" t="str">
        <f t="shared" si="25"/>
        <v/>
      </c>
      <c r="K321" s="92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2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58"/>
      <c r="U321" s="217" t="str">
        <f t="shared" si="26"/>
        <v/>
      </c>
      <c r="V321" s="215" t="s">
        <v>47</v>
      </c>
      <c r="W321" s="102" t="s">
        <v>136</v>
      </c>
      <c r="X321" s="102" t="s">
        <v>137</v>
      </c>
      <c r="Y321" s="103" t="s">
        <v>138</v>
      </c>
      <c r="Z321" s="103" t="s">
        <v>139</v>
      </c>
      <c r="AA321" s="103" t="s">
        <v>47</v>
      </c>
      <c r="AB321" s="103" t="s">
        <v>140</v>
      </c>
      <c r="AC321" s="104" t="s">
        <v>141</v>
      </c>
    </row>
    <row r="322" spans="1:29" ht="25.5" customHeight="1" x14ac:dyDescent="0.35">
      <c r="A322" s="188"/>
      <c r="B322" s="190"/>
      <c r="C322" s="99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0"/>
      <c r="E322" s="78" t="str">
        <f>IF(C322="","",IFERROR(VLOOKUP(C322,parametros!$A$11:$E$15,5,0),""))</f>
        <v/>
      </c>
      <c r="F322" s="79" t="str">
        <f t="shared" ref="F322:F385" si="27">IF(OR(D322="",E322=""),"",ROUND(D322*E322,2))</f>
        <v/>
      </c>
      <c r="G322" s="101"/>
      <c r="H322" s="91">
        <f t="shared" ref="H322:H385" si="28">IF(G322="Sim",IF(OR(F322="",D322="",L322=""),"",IF(L322="Sim",ROUND(F322-D322,2),0)),0)</f>
        <v>0</v>
      </c>
      <c r="I322" s="91" t="str">
        <f t="shared" ref="I322:I385" si="29">IF(G322="Sim",0,IF(OR(F322="",L322=""),"",F322))</f>
        <v/>
      </c>
      <c r="J322" s="91" t="str">
        <f t="shared" ref="J322:J385" si="30">IF(G322="Sim",0,IF(OR(F322="",D322="",L322=""),"",IF(L322="Sim",ROUND(F322-D322,2),0)))</f>
        <v/>
      </c>
      <c r="K322" s="92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2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58"/>
      <c r="U322" s="217" t="str">
        <f t="shared" ref="U322:U385" si="31">IF(OR($D322="",$H322=""),"",ROUND($D322+$H322,2))</f>
        <v/>
      </c>
      <c r="V322" s="215" t="s">
        <v>47</v>
      </c>
      <c r="W322" s="102" t="s">
        <v>136</v>
      </c>
      <c r="X322" s="102" t="s">
        <v>137</v>
      </c>
      <c r="Y322" s="103" t="s">
        <v>138</v>
      </c>
      <c r="Z322" s="103" t="s">
        <v>139</v>
      </c>
      <c r="AA322" s="103" t="s">
        <v>47</v>
      </c>
      <c r="AB322" s="103" t="s">
        <v>140</v>
      </c>
      <c r="AC322" s="104" t="s">
        <v>141</v>
      </c>
    </row>
    <row r="323" spans="1:29" ht="25.5" customHeight="1" x14ac:dyDescent="0.35">
      <c r="A323" s="188"/>
      <c r="B323" s="190"/>
      <c r="C323" s="99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0"/>
      <c r="E323" s="78" t="str">
        <f>IF(C323="","",IFERROR(VLOOKUP(C323,parametros!$A$11:$E$15,5,0),""))</f>
        <v/>
      </c>
      <c r="F323" s="79" t="str">
        <f t="shared" si="27"/>
        <v/>
      </c>
      <c r="G323" s="101"/>
      <c r="H323" s="91">
        <f t="shared" si="28"/>
        <v>0</v>
      </c>
      <c r="I323" s="91" t="str">
        <f t="shared" si="29"/>
        <v/>
      </c>
      <c r="J323" s="91" t="str">
        <f t="shared" si="30"/>
        <v/>
      </c>
      <c r="K323" s="92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2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58"/>
      <c r="U323" s="217" t="str">
        <f t="shared" si="31"/>
        <v/>
      </c>
      <c r="V323" s="215" t="s">
        <v>47</v>
      </c>
      <c r="W323" s="102" t="s">
        <v>136</v>
      </c>
      <c r="X323" s="102" t="s">
        <v>137</v>
      </c>
      <c r="Y323" s="103" t="s">
        <v>138</v>
      </c>
      <c r="Z323" s="103" t="s">
        <v>139</v>
      </c>
      <c r="AA323" s="103" t="s">
        <v>47</v>
      </c>
      <c r="AB323" s="103" t="s">
        <v>140</v>
      </c>
      <c r="AC323" s="104" t="s">
        <v>141</v>
      </c>
    </row>
    <row r="324" spans="1:29" ht="25.5" customHeight="1" x14ac:dyDescent="0.35">
      <c r="A324" s="188"/>
      <c r="B324" s="190"/>
      <c r="C324" s="99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0"/>
      <c r="E324" s="78" t="str">
        <f>IF(C324="","",IFERROR(VLOOKUP(C324,parametros!$A$11:$E$15,5,0),""))</f>
        <v/>
      </c>
      <c r="F324" s="79" t="str">
        <f t="shared" si="27"/>
        <v/>
      </c>
      <c r="G324" s="101"/>
      <c r="H324" s="91">
        <f t="shared" si="28"/>
        <v>0</v>
      </c>
      <c r="I324" s="91" t="str">
        <f t="shared" si="29"/>
        <v/>
      </c>
      <c r="J324" s="91" t="str">
        <f t="shared" si="30"/>
        <v/>
      </c>
      <c r="K324" s="92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2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58"/>
      <c r="U324" s="217" t="str">
        <f t="shared" si="31"/>
        <v/>
      </c>
      <c r="V324" s="215" t="s">
        <v>47</v>
      </c>
      <c r="W324" s="102" t="s">
        <v>136</v>
      </c>
      <c r="X324" s="102" t="s">
        <v>137</v>
      </c>
      <c r="Y324" s="103" t="s">
        <v>138</v>
      </c>
      <c r="Z324" s="103" t="s">
        <v>139</v>
      </c>
      <c r="AA324" s="103" t="s">
        <v>47</v>
      </c>
      <c r="AB324" s="103" t="s">
        <v>140</v>
      </c>
      <c r="AC324" s="104" t="s">
        <v>141</v>
      </c>
    </row>
    <row r="325" spans="1:29" ht="25.5" customHeight="1" x14ac:dyDescent="0.35">
      <c r="A325" s="188"/>
      <c r="B325" s="190"/>
      <c r="C325" s="99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0"/>
      <c r="E325" s="78" t="str">
        <f>IF(C325="","",IFERROR(VLOOKUP(C325,parametros!$A$11:$E$15,5,0),""))</f>
        <v/>
      </c>
      <c r="F325" s="79" t="str">
        <f t="shared" si="27"/>
        <v/>
      </c>
      <c r="G325" s="101"/>
      <c r="H325" s="91">
        <f t="shared" si="28"/>
        <v>0</v>
      </c>
      <c r="I325" s="91" t="str">
        <f t="shared" si="29"/>
        <v/>
      </c>
      <c r="J325" s="91" t="str">
        <f t="shared" si="30"/>
        <v/>
      </c>
      <c r="K325" s="92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2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58"/>
      <c r="U325" s="217" t="str">
        <f t="shared" si="31"/>
        <v/>
      </c>
      <c r="V325" s="215" t="s">
        <v>47</v>
      </c>
      <c r="W325" s="102" t="s">
        <v>136</v>
      </c>
      <c r="X325" s="102" t="s">
        <v>137</v>
      </c>
      <c r="Y325" s="103" t="s">
        <v>138</v>
      </c>
      <c r="Z325" s="103" t="s">
        <v>139</v>
      </c>
      <c r="AA325" s="103" t="s">
        <v>47</v>
      </c>
      <c r="AB325" s="103" t="s">
        <v>140</v>
      </c>
      <c r="AC325" s="104" t="s">
        <v>141</v>
      </c>
    </row>
    <row r="326" spans="1:29" ht="25.5" customHeight="1" x14ac:dyDescent="0.35">
      <c r="A326" s="188"/>
      <c r="B326" s="190"/>
      <c r="C326" s="99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0"/>
      <c r="E326" s="78" t="str">
        <f>IF(C326="","",IFERROR(VLOOKUP(C326,parametros!$A$11:$E$15,5,0),""))</f>
        <v/>
      </c>
      <c r="F326" s="79" t="str">
        <f t="shared" si="27"/>
        <v/>
      </c>
      <c r="G326" s="101"/>
      <c r="H326" s="91">
        <f t="shared" si="28"/>
        <v>0</v>
      </c>
      <c r="I326" s="91" t="str">
        <f t="shared" si="29"/>
        <v/>
      </c>
      <c r="J326" s="91" t="str">
        <f t="shared" si="30"/>
        <v/>
      </c>
      <c r="K326" s="92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2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58"/>
      <c r="U326" s="217" t="str">
        <f t="shared" si="31"/>
        <v/>
      </c>
      <c r="V326" s="215" t="s">
        <v>47</v>
      </c>
      <c r="W326" s="102" t="s">
        <v>136</v>
      </c>
      <c r="X326" s="102" t="s">
        <v>137</v>
      </c>
      <c r="Y326" s="103" t="s">
        <v>138</v>
      </c>
      <c r="Z326" s="103" t="s">
        <v>139</v>
      </c>
      <c r="AA326" s="103" t="s">
        <v>47</v>
      </c>
      <c r="AB326" s="103" t="s">
        <v>140</v>
      </c>
      <c r="AC326" s="104" t="s">
        <v>141</v>
      </c>
    </row>
    <row r="327" spans="1:29" ht="25.5" customHeight="1" x14ac:dyDescent="0.35">
      <c r="A327" s="188"/>
      <c r="B327" s="190"/>
      <c r="C327" s="99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0"/>
      <c r="E327" s="78" t="str">
        <f>IF(C327="","",IFERROR(VLOOKUP(C327,parametros!$A$11:$E$15,5,0),""))</f>
        <v/>
      </c>
      <c r="F327" s="79" t="str">
        <f t="shared" si="27"/>
        <v/>
      </c>
      <c r="G327" s="101"/>
      <c r="H327" s="91">
        <f t="shared" si="28"/>
        <v>0</v>
      </c>
      <c r="I327" s="91" t="str">
        <f t="shared" si="29"/>
        <v/>
      </c>
      <c r="J327" s="91" t="str">
        <f t="shared" si="30"/>
        <v/>
      </c>
      <c r="K327" s="92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2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58"/>
      <c r="U327" s="217" t="str">
        <f t="shared" si="31"/>
        <v/>
      </c>
      <c r="V327" s="215" t="s">
        <v>47</v>
      </c>
      <c r="W327" s="102" t="s">
        <v>136</v>
      </c>
      <c r="X327" s="102" t="s">
        <v>137</v>
      </c>
      <c r="Y327" s="103" t="s">
        <v>138</v>
      </c>
      <c r="Z327" s="103" t="s">
        <v>139</v>
      </c>
      <c r="AA327" s="103" t="s">
        <v>47</v>
      </c>
      <c r="AB327" s="103" t="s">
        <v>140</v>
      </c>
      <c r="AC327" s="104" t="s">
        <v>141</v>
      </c>
    </row>
    <row r="328" spans="1:29" ht="25.5" customHeight="1" x14ac:dyDescent="0.35">
      <c r="A328" s="188"/>
      <c r="B328" s="190"/>
      <c r="C328" s="99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0"/>
      <c r="E328" s="78" t="str">
        <f>IF(C328="","",IFERROR(VLOOKUP(C328,parametros!$A$11:$E$15,5,0),""))</f>
        <v/>
      </c>
      <c r="F328" s="79" t="str">
        <f t="shared" si="27"/>
        <v/>
      </c>
      <c r="G328" s="101"/>
      <c r="H328" s="91">
        <f t="shared" si="28"/>
        <v>0</v>
      </c>
      <c r="I328" s="91" t="str">
        <f t="shared" si="29"/>
        <v/>
      </c>
      <c r="J328" s="91" t="str">
        <f t="shared" si="30"/>
        <v/>
      </c>
      <c r="K328" s="92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2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58"/>
      <c r="U328" s="217" t="str">
        <f t="shared" si="31"/>
        <v/>
      </c>
      <c r="V328" s="215" t="s">
        <v>47</v>
      </c>
      <c r="W328" s="102" t="s">
        <v>136</v>
      </c>
      <c r="X328" s="102" t="s">
        <v>137</v>
      </c>
      <c r="Y328" s="103" t="s">
        <v>138</v>
      </c>
      <c r="Z328" s="103" t="s">
        <v>139</v>
      </c>
      <c r="AA328" s="103" t="s">
        <v>47</v>
      </c>
      <c r="AB328" s="103" t="s">
        <v>140</v>
      </c>
      <c r="AC328" s="104" t="s">
        <v>141</v>
      </c>
    </row>
    <row r="329" spans="1:29" ht="25.5" customHeight="1" x14ac:dyDescent="0.35">
      <c r="A329" s="188"/>
      <c r="B329" s="190"/>
      <c r="C329" s="99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0"/>
      <c r="E329" s="78" t="str">
        <f>IF(C329="","",IFERROR(VLOOKUP(C329,parametros!$A$11:$E$15,5,0),""))</f>
        <v/>
      </c>
      <c r="F329" s="79" t="str">
        <f t="shared" si="27"/>
        <v/>
      </c>
      <c r="G329" s="101"/>
      <c r="H329" s="91">
        <f t="shared" si="28"/>
        <v>0</v>
      </c>
      <c r="I329" s="91" t="str">
        <f t="shared" si="29"/>
        <v/>
      </c>
      <c r="J329" s="91" t="str">
        <f t="shared" si="30"/>
        <v/>
      </c>
      <c r="K329" s="92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2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58"/>
      <c r="U329" s="217" t="str">
        <f t="shared" si="31"/>
        <v/>
      </c>
      <c r="V329" s="215" t="s">
        <v>47</v>
      </c>
      <c r="W329" s="102" t="s">
        <v>136</v>
      </c>
      <c r="X329" s="102" t="s">
        <v>137</v>
      </c>
      <c r="Y329" s="103" t="s">
        <v>138</v>
      </c>
      <c r="Z329" s="103" t="s">
        <v>139</v>
      </c>
      <c r="AA329" s="103" t="s">
        <v>47</v>
      </c>
      <c r="AB329" s="103" t="s">
        <v>140</v>
      </c>
      <c r="AC329" s="104" t="s">
        <v>141</v>
      </c>
    </row>
    <row r="330" spans="1:29" ht="25.5" customHeight="1" x14ac:dyDescent="0.35">
      <c r="A330" s="188"/>
      <c r="B330" s="190"/>
      <c r="C330" s="99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0"/>
      <c r="E330" s="78" t="str">
        <f>IF(C330="","",IFERROR(VLOOKUP(C330,parametros!$A$11:$E$15,5,0),""))</f>
        <v/>
      </c>
      <c r="F330" s="79" t="str">
        <f t="shared" si="27"/>
        <v/>
      </c>
      <c r="G330" s="101"/>
      <c r="H330" s="91">
        <f t="shared" si="28"/>
        <v>0</v>
      </c>
      <c r="I330" s="91" t="str">
        <f t="shared" si="29"/>
        <v/>
      </c>
      <c r="J330" s="91" t="str">
        <f t="shared" si="30"/>
        <v/>
      </c>
      <c r="K330" s="92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2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58"/>
      <c r="U330" s="217" t="str">
        <f t="shared" si="31"/>
        <v/>
      </c>
      <c r="V330" s="215" t="s">
        <v>47</v>
      </c>
      <c r="W330" s="102" t="s">
        <v>136</v>
      </c>
      <c r="X330" s="102" t="s">
        <v>137</v>
      </c>
      <c r="Y330" s="103" t="s">
        <v>138</v>
      </c>
      <c r="Z330" s="103" t="s">
        <v>139</v>
      </c>
      <c r="AA330" s="103" t="s">
        <v>47</v>
      </c>
      <c r="AB330" s="103" t="s">
        <v>140</v>
      </c>
      <c r="AC330" s="104" t="s">
        <v>141</v>
      </c>
    </row>
    <row r="331" spans="1:29" ht="25.5" customHeight="1" x14ac:dyDescent="0.35">
      <c r="A331" s="188"/>
      <c r="B331" s="190"/>
      <c r="C331" s="99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0"/>
      <c r="E331" s="78" t="str">
        <f>IF(C331="","",IFERROR(VLOOKUP(C331,parametros!$A$11:$E$15,5,0),""))</f>
        <v/>
      </c>
      <c r="F331" s="79" t="str">
        <f t="shared" si="27"/>
        <v/>
      </c>
      <c r="G331" s="101"/>
      <c r="H331" s="91">
        <f t="shared" si="28"/>
        <v>0</v>
      </c>
      <c r="I331" s="91" t="str">
        <f t="shared" si="29"/>
        <v/>
      </c>
      <c r="J331" s="91" t="str">
        <f t="shared" si="30"/>
        <v/>
      </c>
      <c r="K331" s="92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2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58"/>
      <c r="U331" s="217" t="str">
        <f t="shared" si="31"/>
        <v/>
      </c>
      <c r="V331" s="215" t="s">
        <v>47</v>
      </c>
      <c r="W331" s="102" t="s">
        <v>136</v>
      </c>
      <c r="X331" s="102" t="s">
        <v>137</v>
      </c>
      <c r="Y331" s="103" t="s">
        <v>138</v>
      </c>
      <c r="Z331" s="103" t="s">
        <v>139</v>
      </c>
      <c r="AA331" s="103" t="s">
        <v>47</v>
      </c>
      <c r="AB331" s="103" t="s">
        <v>140</v>
      </c>
      <c r="AC331" s="104" t="s">
        <v>141</v>
      </c>
    </row>
    <row r="332" spans="1:29" ht="25.5" customHeight="1" x14ac:dyDescent="0.35">
      <c r="A332" s="188"/>
      <c r="B332" s="190"/>
      <c r="C332" s="99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0"/>
      <c r="E332" s="78" t="str">
        <f>IF(C332="","",IFERROR(VLOOKUP(C332,parametros!$A$11:$E$15,5,0),""))</f>
        <v/>
      </c>
      <c r="F332" s="79" t="str">
        <f t="shared" si="27"/>
        <v/>
      </c>
      <c r="G332" s="101"/>
      <c r="H332" s="91">
        <f t="shared" si="28"/>
        <v>0</v>
      </c>
      <c r="I332" s="91" t="str">
        <f t="shared" si="29"/>
        <v/>
      </c>
      <c r="J332" s="91" t="str">
        <f t="shared" si="30"/>
        <v/>
      </c>
      <c r="K332" s="92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2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58"/>
      <c r="U332" s="217" t="str">
        <f t="shared" si="31"/>
        <v/>
      </c>
      <c r="V332" s="215" t="s">
        <v>47</v>
      </c>
      <c r="W332" s="102" t="s">
        <v>136</v>
      </c>
      <c r="X332" s="102" t="s">
        <v>137</v>
      </c>
      <c r="Y332" s="103" t="s">
        <v>138</v>
      </c>
      <c r="Z332" s="103" t="s">
        <v>139</v>
      </c>
      <c r="AA332" s="103" t="s">
        <v>47</v>
      </c>
      <c r="AB332" s="103" t="s">
        <v>140</v>
      </c>
      <c r="AC332" s="104" t="s">
        <v>141</v>
      </c>
    </row>
    <row r="333" spans="1:29" ht="25.5" customHeight="1" x14ac:dyDescent="0.35">
      <c r="A333" s="188"/>
      <c r="B333" s="190"/>
      <c r="C333" s="99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0"/>
      <c r="E333" s="78" t="str">
        <f>IF(C333="","",IFERROR(VLOOKUP(C333,parametros!$A$11:$E$15,5,0),""))</f>
        <v/>
      </c>
      <c r="F333" s="79" t="str">
        <f t="shared" si="27"/>
        <v/>
      </c>
      <c r="G333" s="101"/>
      <c r="H333" s="91">
        <f t="shared" si="28"/>
        <v>0</v>
      </c>
      <c r="I333" s="91" t="str">
        <f t="shared" si="29"/>
        <v/>
      </c>
      <c r="J333" s="91" t="str">
        <f t="shared" si="30"/>
        <v/>
      </c>
      <c r="K333" s="92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2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58"/>
      <c r="U333" s="217" t="str">
        <f t="shared" si="31"/>
        <v/>
      </c>
      <c r="V333" s="215" t="s">
        <v>47</v>
      </c>
      <c r="W333" s="102" t="s">
        <v>136</v>
      </c>
      <c r="X333" s="102" t="s">
        <v>137</v>
      </c>
      <c r="Y333" s="103" t="s">
        <v>138</v>
      </c>
      <c r="Z333" s="103" t="s">
        <v>139</v>
      </c>
      <c r="AA333" s="103" t="s">
        <v>47</v>
      </c>
      <c r="AB333" s="103" t="s">
        <v>140</v>
      </c>
      <c r="AC333" s="104" t="s">
        <v>141</v>
      </c>
    </row>
    <row r="334" spans="1:29" ht="25.5" customHeight="1" x14ac:dyDescent="0.35">
      <c r="A334" s="188"/>
      <c r="B334" s="190"/>
      <c r="C334" s="99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0"/>
      <c r="E334" s="78" t="str">
        <f>IF(C334="","",IFERROR(VLOOKUP(C334,parametros!$A$11:$E$15,5,0),""))</f>
        <v/>
      </c>
      <c r="F334" s="79" t="str">
        <f t="shared" si="27"/>
        <v/>
      </c>
      <c r="G334" s="101"/>
      <c r="H334" s="91">
        <f t="shared" si="28"/>
        <v>0</v>
      </c>
      <c r="I334" s="91" t="str">
        <f t="shared" si="29"/>
        <v/>
      </c>
      <c r="J334" s="91" t="str">
        <f t="shared" si="30"/>
        <v/>
      </c>
      <c r="K334" s="92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2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58"/>
      <c r="U334" s="217" t="str">
        <f t="shared" si="31"/>
        <v/>
      </c>
      <c r="V334" s="215" t="s">
        <v>47</v>
      </c>
      <c r="W334" s="102" t="s">
        <v>136</v>
      </c>
      <c r="X334" s="102" t="s">
        <v>137</v>
      </c>
      <c r="Y334" s="103" t="s">
        <v>138</v>
      </c>
      <c r="Z334" s="103" t="s">
        <v>139</v>
      </c>
      <c r="AA334" s="103" t="s">
        <v>47</v>
      </c>
      <c r="AB334" s="103" t="s">
        <v>140</v>
      </c>
      <c r="AC334" s="104" t="s">
        <v>141</v>
      </c>
    </row>
    <row r="335" spans="1:29" ht="25.5" customHeight="1" x14ac:dyDescent="0.35">
      <c r="A335" s="188"/>
      <c r="B335" s="190"/>
      <c r="C335" s="99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0"/>
      <c r="E335" s="78" t="str">
        <f>IF(C335="","",IFERROR(VLOOKUP(C335,parametros!$A$11:$E$15,5,0),""))</f>
        <v/>
      </c>
      <c r="F335" s="79" t="str">
        <f t="shared" si="27"/>
        <v/>
      </c>
      <c r="G335" s="101"/>
      <c r="H335" s="91">
        <f t="shared" si="28"/>
        <v>0</v>
      </c>
      <c r="I335" s="91" t="str">
        <f t="shared" si="29"/>
        <v/>
      </c>
      <c r="J335" s="91" t="str">
        <f t="shared" si="30"/>
        <v/>
      </c>
      <c r="K335" s="92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2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58"/>
      <c r="U335" s="217" t="str">
        <f t="shared" si="31"/>
        <v/>
      </c>
      <c r="V335" s="215" t="s">
        <v>47</v>
      </c>
      <c r="W335" s="102" t="s">
        <v>136</v>
      </c>
      <c r="X335" s="102" t="s">
        <v>137</v>
      </c>
      <c r="Y335" s="103" t="s">
        <v>138</v>
      </c>
      <c r="Z335" s="103" t="s">
        <v>139</v>
      </c>
      <c r="AA335" s="103" t="s">
        <v>47</v>
      </c>
      <c r="AB335" s="103" t="s">
        <v>140</v>
      </c>
      <c r="AC335" s="104" t="s">
        <v>141</v>
      </c>
    </row>
    <row r="336" spans="1:29" ht="25.5" customHeight="1" x14ac:dyDescent="0.35">
      <c r="A336" s="188"/>
      <c r="B336" s="190"/>
      <c r="C336" s="99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0"/>
      <c r="E336" s="78" t="str">
        <f>IF(C336="","",IFERROR(VLOOKUP(C336,parametros!$A$11:$E$15,5,0),""))</f>
        <v/>
      </c>
      <c r="F336" s="79" t="str">
        <f t="shared" si="27"/>
        <v/>
      </c>
      <c r="G336" s="101"/>
      <c r="H336" s="91">
        <f t="shared" si="28"/>
        <v>0</v>
      </c>
      <c r="I336" s="91" t="str">
        <f t="shared" si="29"/>
        <v/>
      </c>
      <c r="J336" s="91" t="str">
        <f t="shared" si="30"/>
        <v/>
      </c>
      <c r="K336" s="92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2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58"/>
      <c r="U336" s="217" t="str">
        <f t="shared" si="31"/>
        <v/>
      </c>
      <c r="V336" s="215" t="s">
        <v>47</v>
      </c>
      <c r="W336" s="102" t="s">
        <v>136</v>
      </c>
      <c r="X336" s="102" t="s">
        <v>137</v>
      </c>
      <c r="Y336" s="103" t="s">
        <v>138</v>
      </c>
      <c r="Z336" s="103" t="s">
        <v>139</v>
      </c>
      <c r="AA336" s="103" t="s">
        <v>47</v>
      </c>
      <c r="AB336" s="103" t="s">
        <v>140</v>
      </c>
      <c r="AC336" s="104" t="s">
        <v>141</v>
      </c>
    </row>
    <row r="337" spans="1:29" ht="25.5" customHeight="1" x14ac:dyDescent="0.35">
      <c r="A337" s="188"/>
      <c r="B337" s="190"/>
      <c r="C337" s="99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0"/>
      <c r="E337" s="78" t="str">
        <f>IF(C337="","",IFERROR(VLOOKUP(C337,parametros!$A$11:$E$15,5,0),""))</f>
        <v/>
      </c>
      <c r="F337" s="79" t="str">
        <f t="shared" si="27"/>
        <v/>
      </c>
      <c r="G337" s="101"/>
      <c r="H337" s="91">
        <f t="shared" si="28"/>
        <v>0</v>
      </c>
      <c r="I337" s="91" t="str">
        <f t="shared" si="29"/>
        <v/>
      </c>
      <c r="J337" s="91" t="str">
        <f t="shared" si="30"/>
        <v/>
      </c>
      <c r="K337" s="92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2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58"/>
      <c r="U337" s="217" t="str">
        <f t="shared" si="31"/>
        <v/>
      </c>
      <c r="V337" s="215" t="s">
        <v>47</v>
      </c>
      <c r="W337" s="102" t="s">
        <v>136</v>
      </c>
      <c r="X337" s="102" t="s">
        <v>137</v>
      </c>
      <c r="Y337" s="103" t="s">
        <v>138</v>
      </c>
      <c r="Z337" s="103" t="s">
        <v>139</v>
      </c>
      <c r="AA337" s="103" t="s">
        <v>47</v>
      </c>
      <c r="AB337" s="103" t="s">
        <v>140</v>
      </c>
      <c r="AC337" s="104" t="s">
        <v>141</v>
      </c>
    </row>
    <row r="338" spans="1:29" ht="25.5" customHeight="1" x14ac:dyDescent="0.35">
      <c r="A338" s="188"/>
      <c r="B338" s="190"/>
      <c r="C338" s="99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0"/>
      <c r="E338" s="78" t="str">
        <f>IF(C338="","",IFERROR(VLOOKUP(C338,parametros!$A$11:$E$15,5,0),""))</f>
        <v/>
      </c>
      <c r="F338" s="79" t="str">
        <f t="shared" si="27"/>
        <v/>
      </c>
      <c r="G338" s="101"/>
      <c r="H338" s="91">
        <f t="shared" si="28"/>
        <v>0</v>
      </c>
      <c r="I338" s="91" t="str">
        <f t="shared" si="29"/>
        <v/>
      </c>
      <c r="J338" s="91" t="str">
        <f t="shared" si="30"/>
        <v/>
      </c>
      <c r="K338" s="92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2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58"/>
      <c r="U338" s="217" t="str">
        <f t="shared" si="31"/>
        <v/>
      </c>
      <c r="V338" s="215" t="s">
        <v>47</v>
      </c>
      <c r="W338" s="102" t="s">
        <v>136</v>
      </c>
      <c r="X338" s="102" t="s">
        <v>137</v>
      </c>
      <c r="Y338" s="103" t="s">
        <v>138</v>
      </c>
      <c r="Z338" s="103" t="s">
        <v>139</v>
      </c>
      <c r="AA338" s="103" t="s">
        <v>47</v>
      </c>
      <c r="AB338" s="103" t="s">
        <v>140</v>
      </c>
      <c r="AC338" s="104" t="s">
        <v>141</v>
      </c>
    </row>
    <row r="339" spans="1:29" ht="25.5" customHeight="1" x14ac:dyDescent="0.35">
      <c r="A339" s="188"/>
      <c r="B339" s="190"/>
      <c r="C339" s="99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0"/>
      <c r="E339" s="78" t="str">
        <f>IF(C339="","",IFERROR(VLOOKUP(C339,parametros!$A$11:$E$15,5,0),""))</f>
        <v/>
      </c>
      <c r="F339" s="79" t="str">
        <f t="shared" si="27"/>
        <v/>
      </c>
      <c r="G339" s="101"/>
      <c r="H339" s="91">
        <f t="shared" si="28"/>
        <v>0</v>
      </c>
      <c r="I339" s="91" t="str">
        <f t="shared" si="29"/>
        <v/>
      </c>
      <c r="J339" s="91" t="str">
        <f t="shared" si="30"/>
        <v/>
      </c>
      <c r="K339" s="92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2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58"/>
      <c r="U339" s="217" t="str">
        <f t="shared" si="31"/>
        <v/>
      </c>
      <c r="V339" s="215" t="s">
        <v>47</v>
      </c>
      <c r="W339" s="102" t="s">
        <v>136</v>
      </c>
      <c r="X339" s="102" t="s">
        <v>137</v>
      </c>
      <c r="Y339" s="103" t="s">
        <v>138</v>
      </c>
      <c r="Z339" s="103" t="s">
        <v>139</v>
      </c>
      <c r="AA339" s="103" t="s">
        <v>47</v>
      </c>
      <c r="AB339" s="103" t="s">
        <v>140</v>
      </c>
      <c r="AC339" s="104" t="s">
        <v>141</v>
      </c>
    </row>
    <row r="340" spans="1:29" ht="25.5" customHeight="1" x14ac:dyDescent="0.35">
      <c r="A340" s="188"/>
      <c r="B340" s="190"/>
      <c r="C340" s="99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0"/>
      <c r="E340" s="78" t="str">
        <f>IF(C340="","",IFERROR(VLOOKUP(C340,parametros!$A$11:$E$15,5,0),""))</f>
        <v/>
      </c>
      <c r="F340" s="79" t="str">
        <f t="shared" si="27"/>
        <v/>
      </c>
      <c r="G340" s="101"/>
      <c r="H340" s="91">
        <f t="shared" si="28"/>
        <v>0</v>
      </c>
      <c r="I340" s="91" t="str">
        <f t="shared" si="29"/>
        <v/>
      </c>
      <c r="J340" s="91" t="str">
        <f t="shared" si="30"/>
        <v/>
      </c>
      <c r="K340" s="92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2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58"/>
      <c r="U340" s="217" t="str">
        <f t="shared" si="31"/>
        <v/>
      </c>
      <c r="V340" s="215" t="s">
        <v>47</v>
      </c>
      <c r="W340" s="102" t="s">
        <v>136</v>
      </c>
      <c r="X340" s="102" t="s">
        <v>137</v>
      </c>
      <c r="Y340" s="103" t="s">
        <v>138</v>
      </c>
      <c r="Z340" s="103" t="s">
        <v>139</v>
      </c>
      <c r="AA340" s="103" t="s">
        <v>47</v>
      </c>
      <c r="AB340" s="103" t="s">
        <v>140</v>
      </c>
      <c r="AC340" s="104" t="s">
        <v>141</v>
      </c>
    </row>
    <row r="341" spans="1:29" ht="25.5" customHeight="1" x14ac:dyDescent="0.35">
      <c r="A341" s="188"/>
      <c r="B341" s="190"/>
      <c r="C341" s="99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0"/>
      <c r="E341" s="78" t="str">
        <f>IF(C341="","",IFERROR(VLOOKUP(C341,parametros!$A$11:$E$15,5,0),""))</f>
        <v/>
      </c>
      <c r="F341" s="79" t="str">
        <f t="shared" si="27"/>
        <v/>
      </c>
      <c r="G341" s="101"/>
      <c r="H341" s="91">
        <f t="shared" si="28"/>
        <v>0</v>
      </c>
      <c r="I341" s="91" t="str">
        <f t="shared" si="29"/>
        <v/>
      </c>
      <c r="J341" s="91" t="str">
        <f t="shared" si="30"/>
        <v/>
      </c>
      <c r="K341" s="92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2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58"/>
      <c r="U341" s="217" t="str">
        <f t="shared" si="31"/>
        <v/>
      </c>
      <c r="V341" s="215" t="s">
        <v>47</v>
      </c>
      <c r="W341" s="102" t="s">
        <v>136</v>
      </c>
      <c r="X341" s="102" t="s">
        <v>137</v>
      </c>
      <c r="Y341" s="103" t="s">
        <v>138</v>
      </c>
      <c r="Z341" s="103" t="s">
        <v>139</v>
      </c>
      <c r="AA341" s="103" t="s">
        <v>47</v>
      </c>
      <c r="AB341" s="103" t="s">
        <v>140</v>
      </c>
      <c r="AC341" s="104" t="s">
        <v>141</v>
      </c>
    </row>
    <row r="342" spans="1:29" ht="25.5" customHeight="1" x14ac:dyDescent="0.35">
      <c r="A342" s="188"/>
      <c r="B342" s="190"/>
      <c r="C342" s="99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0"/>
      <c r="E342" s="78" t="str">
        <f>IF(C342="","",IFERROR(VLOOKUP(C342,parametros!$A$11:$E$15,5,0),""))</f>
        <v/>
      </c>
      <c r="F342" s="79" t="str">
        <f t="shared" si="27"/>
        <v/>
      </c>
      <c r="G342" s="101"/>
      <c r="H342" s="91">
        <f t="shared" si="28"/>
        <v>0</v>
      </c>
      <c r="I342" s="91" t="str">
        <f t="shared" si="29"/>
        <v/>
      </c>
      <c r="J342" s="91" t="str">
        <f t="shared" si="30"/>
        <v/>
      </c>
      <c r="K342" s="92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2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58"/>
      <c r="U342" s="217" t="str">
        <f t="shared" si="31"/>
        <v/>
      </c>
      <c r="V342" s="215" t="s">
        <v>47</v>
      </c>
      <c r="W342" s="102" t="s">
        <v>136</v>
      </c>
      <c r="X342" s="102" t="s">
        <v>137</v>
      </c>
      <c r="Y342" s="103" t="s">
        <v>138</v>
      </c>
      <c r="Z342" s="103" t="s">
        <v>139</v>
      </c>
      <c r="AA342" s="103" t="s">
        <v>47</v>
      </c>
      <c r="AB342" s="103" t="s">
        <v>140</v>
      </c>
      <c r="AC342" s="104" t="s">
        <v>141</v>
      </c>
    </row>
    <row r="343" spans="1:29" ht="25.5" customHeight="1" x14ac:dyDescent="0.35">
      <c r="A343" s="188"/>
      <c r="B343" s="190"/>
      <c r="C343" s="99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0"/>
      <c r="E343" s="78" t="str">
        <f>IF(C343="","",IFERROR(VLOOKUP(C343,parametros!$A$11:$E$15,5,0),""))</f>
        <v/>
      </c>
      <c r="F343" s="79" t="str">
        <f t="shared" si="27"/>
        <v/>
      </c>
      <c r="G343" s="101"/>
      <c r="H343" s="91">
        <f t="shared" si="28"/>
        <v>0</v>
      </c>
      <c r="I343" s="91" t="str">
        <f t="shared" si="29"/>
        <v/>
      </c>
      <c r="J343" s="91" t="str">
        <f t="shared" si="30"/>
        <v/>
      </c>
      <c r="K343" s="92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2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58"/>
      <c r="U343" s="217" t="str">
        <f t="shared" si="31"/>
        <v/>
      </c>
      <c r="V343" s="215" t="s">
        <v>47</v>
      </c>
      <c r="W343" s="102" t="s">
        <v>136</v>
      </c>
      <c r="X343" s="102" t="s">
        <v>137</v>
      </c>
      <c r="Y343" s="103" t="s">
        <v>138</v>
      </c>
      <c r="Z343" s="103" t="s">
        <v>139</v>
      </c>
      <c r="AA343" s="103" t="s">
        <v>47</v>
      </c>
      <c r="AB343" s="103" t="s">
        <v>140</v>
      </c>
      <c r="AC343" s="104" t="s">
        <v>141</v>
      </c>
    </row>
    <row r="344" spans="1:29" ht="25.5" customHeight="1" x14ac:dyDescent="0.35">
      <c r="A344" s="188"/>
      <c r="B344" s="190"/>
      <c r="C344" s="99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0"/>
      <c r="E344" s="78" t="str">
        <f>IF(C344="","",IFERROR(VLOOKUP(C344,parametros!$A$11:$E$15,5,0),""))</f>
        <v/>
      </c>
      <c r="F344" s="79" t="str">
        <f t="shared" si="27"/>
        <v/>
      </c>
      <c r="G344" s="101"/>
      <c r="H344" s="91">
        <f t="shared" si="28"/>
        <v>0</v>
      </c>
      <c r="I344" s="91" t="str">
        <f t="shared" si="29"/>
        <v/>
      </c>
      <c r="J344" s="91" t="str">
        <f t="shared" si="30"/>
        <v/>
      </c>
      <c r="K344" s="92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2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58"/>
      <c r="U344" s="217" t="str">
        <f t="shared" si="31"/>
        <v/>
      </c>
      <c r="V344" s="215" t="s">
        <v>47</v>
      </c>
      <c r="W344" s="102" t="s">
        <v>136</v>
      </c>
      <c r="X344" s="102" t="s">
        <v>137</v>
      </c>
      <c r="Y344" s="103" t="s">
        <v>138</v>
      </c>
      <c r="Z344" s="103" t="s">
        <v>139</v>
      </c>
      <c r="AA344" s="103" t="s">
        <v>47</v>
      </c>
      <c r="AB344" s="103" t="s">
        <v>140</v>
      </c>
      <c r="AC344" s="104" t="s">
        <v>141</v>
      </c>
    </row>
    <row r="345" spans="1:29" ht="25.5" customHeight="1" x14ac:dyDescent="0.35">
      <c r="A345" s="188"/>
      <c r="B345" s="190"/>
      <c r="C345" s="99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0"/>
      <c r="E345" s="78" t="str">
        <f>IF(C345="","",IFERROR(VLOOKUP(C345,parametros!$A$11:$E$15,5,0),""))</f>
        <v/>
      </c>
      <c r="F345" s="79" t="str">
        <f t="shared" si="27"/>
        <v/>
      </c>
      <c r="G345" s="101"/>
      <c r="H345" s="91">
        <f t="shared" si="28"/>
        <v>0</v>
      </c>
      <c r="I345" s="91" t="str">
        <f t="shared" si="29"/>
        <v/>
      </c>
      <c r="J345" s="91" t="str">
        <f t="shared" si="30"/>
        <v/>
      </c>
      <c r="K345" s="92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2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58"/>
      <c r="U345" s="217" t="str">
        <f t="shared" si="31"/>
        <v/>
      </c>
      <c r="V345" s="215" t="s">
        <v>47</v>
      </c>
      <c r="W345" s="102" t="s">
        <v>136</v>
      </c>
      <c r="X345" s="102" t="s">
        <v>137</v>
      </c>
      <c r="Y345" s="103" t="s">
        <v>138</v>
      </c>
      <c r="Z345" s="103" t="s">
        <v>139</v>
      </c>
      <c r="AA345" s="103" t="s">
        <v>47</v>
      </c>
      <c r="AB345" s="103" t="s">
        <v>140</v>
      </c>
      <c r="AC345" s="104" t="s">
        <v>141</v>
      </c>
    </row>
    <row r="346" spans="1:29" ht="25.5" customHeight="1" x14ac:dyDescent="0.35">
      <c r="A346" s="188"/>
      <c r="B346" s="190"/>
      <c r="C346" s="99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0"/>
      <c r="E346" s="78" t="str">
        <f>IF(C346="","",IFERROR(VLOOKUP(C346,parametros!$A$11:$E$15,5,0),""))</f>
        <v/>
      </c>
      <c r="F346" s="79" t="str">
        <f t="shared" si="27"/>
        <v/>
      </c>
      <c r="G346" s="101"/>
      <c r="H346" s="91">
        <f t="shared" si="28"/>
        <v>0</v>
      </c>
      <c r="I346" s="91" t="str">
        <f t="shared" si="29"/>
        <v/>
      </c>
      <c r="J346" s="91" t="str">
        <f t="shared" si="30"/>
        <v/>
      </c>
      <c r="K346" s="92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2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58"/>
      <c r="U346" s="217" t="str">
        <f t="shared" si="31"/>
        <v/>
      </c>
      <c r="V346" s="215" t="s">
        <v>47</v>
      </c>
      <c r="W346" s="102" t="s">
        <v>136</v>
      </c>
      <c r="X346" s="102" t="s">
        <v>137</v>
      </c>
      <c r="Y346" s="103" t="s">
        <v>138</v>
      </c>
      <c r="Z346" s="103" t="s">
        <v>139</v>
      </c>
      <c r="AA346" s="103" t="s">
        <v>47</v>
      </c>
      <c r="AB346" s="103" t="s">
        <v>140</v>
      </c>
      <c r="AC346" s="104" t="s">
        <v>141</v>
      </c>
    </row>
    <row r="347" spans="1:29" ht="25.5" customHeight="1" x14ac:dyDescent="0.35">
      <c r="A347" s="188"/>
      <c r="B347" s="190"/>
      <c r="C347" s="99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0"/>
      <c r="E347" s="78" t="str">
        <f>IF(C347="","",IFERROR(VLOOKUP(C347,parametros!$A$11:$E$15,5,0),""))</f>
        <v/>
      </c>
      <c r="F347" s="79" t="str">
        <f t="shared" si="27"/>
        <v/>
      </c>
      <c r="G347" s="101"/>
      <c r="H347" s="91">
        <f t="shared" si="28"/>
        <v>0</v>
      </c>
      <c r="I347" s="91" t="str">
        <f t="shared" si="29"/>
        <v/>
      </c>
      <c r="J347" s="91" t="str">
        <f t="shared" si="30"/>
        <v/>
      </c>
      <c r="K347" s="92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2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58"/>
      <c r="U347" s="217" t="str">
        <f t="shared" si="31"/>
        <v/>
      </c>
      <c r="V347" s="215" t="s">
        <v>47</v>
      </c>
      <c r="W347" s="102" t="s">
        <v>136</v>
      </c>
      <c r="X347" s="102" t="s">
        <v>137</v>
      </c>
      <c r="Y347" s="103" t="s">
        <v>138</v>
      </c>
      <c r="Z347" s="103" t="s">
        <v>139</v>
      </c>
      <c r="AA347" s="103" t="s">
        <v>47</v>
      </c>
      <c r="AB347" s="103" t="s">
        <v>140</v>
      </c>
      <c r="AC347" s="104" t="s">
        <v>141</v>
      </c>
    </row>
    <row r="348" spans="1:29" ht="25.5" customHeight="1" x14ac:dyDescent="0.35">
      <c r="A348" s="188"/>
      <c r="B348" s="190"/>
      <c r="C348" s="99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0"/>
      <c r="E348" s="78" t="str">
        <f>IF(C348="","",IFERROR(VLOOKUP(C348,parametros!$A$11:$E$15,5,0),""))</f>
        <v/>
      </c>
      <c r="F348" s="79" t="str">
        <f t="shared" si="27"/>
        <v/>
      </c>
      <c r="G348" s="101"/>
      <c r="H348" s="91">
        <f t="shared" si="28"/>
        <v>0</v>
      </c>
      <c r="I348" s="91" t="str">
        <f t="shared" si="29"/>
        <v/>
      </c>
      <c r="J348" s="91" t="str">
        <f t="shared" si="30"/>
        <v/>
      </c>
      <c r="K348" s="92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2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58"/>
      <c r="U348" s="217" t="str">
        <f t="shared" si="31"/>
        <v/>
      </c>
      <c r="V348" s="215" t="s">
        <v>47</v>
      </c>
      <c r="W348" s="102" t="s">
        <v>136</v>
      </c>
      <c r="X348" s="102" t="s">
        <v>137</v>
      </c>
      <c r="Y348" s="103" t="s">
        <v>138</v>
      </c>
      <c r="Z348" s="103" t="s">
        <v>139</v>
      </c>
      <c r="AA348" s="103" t="s">
        <v>47</v>
      </c>
      <c r="AB348" s="103" t="s">
        <v>140</v>
      </c>
      <c r="AC348" s="104" t="s">
        <v>141</v>
      </c>
    </row>
    <row r="349" spans="1:29" ht="25.5" customHeight="1" x14ac:dyDescent="0.35">
      <c r="A349" s="188"/>
      <c r="B349" s="190"/>
      <c r="C349" s="99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0"/>
      <c r="E349" s="78" t="str">
        <f>IF(C349="","",IFERROR(VLOOKUP(C349,parametros!$A$11:$E$15,5,0),""))</f>
        <v/>
      </c>
      <c r="F349" s="79" t="str">
        <f t="shared" si="27"/>
        <v/>
      </c>
      <c r="G349" s="101"/>
      <c r="H349" s="91">
        <f t="shared" si="28"/>
        <v>0</v>
      </c>
      <c r="I349" s="91" t="str">
        <f t="shared" si="29"/>
        <v/>
      </c>
      <c r="J349" s="91" t="str">
        <f t="shared" si="30"/>
        <v/>
      </c>
      <c r="K349" s="92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2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58"/>
      <c r="U349" s="217" t="str">
        <f t="shared" si="31"/>
        <v/>
      </c>
      <c r="V349" s="215" t="s">
        <v>47</v>
      </c>
      <c r="W349" s="102" t="s">
        <v>136</v>
      </c>
      <c r="X349" s="102" t="s">
        <v>137</v>
      </c>
      <c r="Y349" s="103" t="s">
        <v>138</v>
      </c>
      <c r="Z349" s="103" t="s">
        <v>139</v>
      </c>
      <c r="AA349" s="103" t="s">
        <v>47</v>
      </c>
      <c r="AB349" s="103" t="s">
        <v>140</v>
      </c>
      <c r="AC349" s="104" t="s">
        <v>141</v>
      </c>
    </row>
    <row r="350" spans="1:29" ht="25.5" customHeight="1" x14ac:dyDescent="0.35">
      <c r="A350" s="188"/>
      <c r="B350" s="190"/>
      <c r="C350" s="99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0"/>
      <c r="E350" s="78" t="str">
        <f>IF(C350="","",IFERROR(VLOOKUP(C350,parametros!$A$11:$E$15,5,0),""))</f>
        <v/>
      </c>
      <c r="F350" s="79" t="str">
        <f t="shared" si="27"/>
        <v/>
      </c>
      <c r="G350" s="101"/>
      <c r="H350" s="91">
        <f t="shared" si="28"/>
        <v>0</v>
      </c>
      <c r="I350" s="91" t="str">
        <f t="shared" si="29"/>
        <v/>
      </c>
      <c r="J350" s="91" t="str">
        <f t="shared" si="30"/>
        <v/>
      </c>
      <c r="K350" s="92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2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58"/>
      <c r="U350" s="217" t="str">
        <f t="shared" si="31"/>
        <v/>
      </c>
      <c r="V350" s="215" t="s">
        <v>47</v>
      </c>
      <c r="W350" s="102" t="s">
        <v>136</v>
      </c>
      <c r="X350" s="102" t="s">
        <v>137</v>
      </c>
      <c r="Y350" s="103" t="s">
        <v>138</v>
      </c>
      <c r="Z350" s="103" t="s">
        <v>139</v>
      </c>
      <c r="AA350" s="103" t="s">
        <v>47</v>
      </c>
      <c r="AB350" s="103" t="s">
        <v>140</v>
      </c>
      <c r="AC350" s="104" t="s">
        <v>141</v>
      </c>
    </row>
    <row r="351" spans="1:29" ht="25.5" customHeight="1" x14ac:dyDescent="0.35">
      <c r="A351" s="188"/>
      <c r="B351" s="190"/>
      <c r="C351" s="99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0"/>
      <c r="E351" s="78" t="str">
        <f>IF(C351="","",IFERROR(VLOOKUP(C351,parametros!$A$11:$E$15,5,0),""))</f>
        <v/>
      </c>
      <c r="F351" s="79" t="str">
        <f t="shared" si="27"/>
        <v/>
      </c>
      <c r="G351" s="101"/>
      <c r="H351" s="91">
        <f t="shared" si="28"/>
        <v>0</v>
      </c>
      <c r="I351" s="91" t="str">
        <f t="shared" si="29"/>
        <v/>
      </c>
      <c r="J351" s="91" t="str">
        <f t="shared" si="30"/>
        <v/>
      </c>
      <c r="K351" s="92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2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58"/>
      <c r="U351" s="217" t="str">
        <f t="shared" si="31"/>
        <v/>
      </c>
      <c r="V351" s="215" t="s">
        <v>47</v>
      </c>
      <c r="W351" s="102" t="s">
        <v>136</v>
      </c>
      <c r="X351" s="102" t="s">
        <v>137</v>
      </c>
      <c r="Y351" s="103" t="s">
        <v>138</v>
      </c>
      <c r="Z351" s="103" t="s">
        <v>139</v>
      </c>
      <c r="AA351" s="103" t="s">
        <v>47</v>
      </c>
      <c r="AB351" s="103" t="s">
        <v>140</v>
      </c>
      <c r="AC351" s="104" t="s">
        <v>141</v>
      </c>
    </row>
    <row r="352" spans="1:29" ht="25.5" customHeight="1" x14ac:dyDescent="0.35">
      <c r="A352" s="188"/>
      <c r="B352" s="190"/>
      <c r="C352" s="99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0"/>
      <c r="E352" s="78" t="str">
        <f>IF(C352="","",IFERROR(VLOOKUP(C352,parametros!$A$11:$E$15,5,0),""))</f>
        <v/>
      </c>
      <c r="F352" s="79" t="str">
        <f t="shared" si="27"/>
        <v/>
      </c>
      <c r="G352" s="101"/>
      <c r="H352" s="91">
        <f t="shared" si="28"/>
        <v>0</v>
      </c>
      <c r="I352" s="91" t="str">
        <f t="shared" si="29"/>
        <v/>
      </c>
      <c r="J352" s="91" t="str">
        <f t="shared" si="30"/>
        <v/>
      </c>
      <c r="K352" s="92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2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58"/>
      <c r="U352" s="217" t="str">
        <f t="shared" si="31"/>
        <v/>
      </c>
      <c r="V352" s="215" t="s">
        <v>47</v>
      </c>
      <c r="W352" s="102" t="s">
        <v>136</v>
      </c>
      <c r="X352" s="102" t="s">
        <v>137</v>
      </c>
      <c r="Y352" s="103" t="s">
        <v>138</v>
      </c>
      <c r="Z352" s="103" t="s">
        <v>139</v>
      </c>
      <c r="AA352" s="103" t="s">
        <v>47</v>
      </c>
      <c r="AB352" s="103" t="s">
        <v>140</v>
      </c>
      <c r="AC352" s="104" t="s">
        <v>141</v>
      </c>
    </row>
    <row r="353" spans="1:29" ht="25.5" customHeight="1" x14ac:dyDescent="0.35">
      <c r="A353" s="188"/>
      <c r="B353" s="190"/>
      <c r="C353" s="99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0"/>
      <c r="E353" s="78" t="str">
        <f>IF(C353="","",IFERROR(VLOOKUP(C353,parametros!$A$11:$E$15,5,0),""))</f>
        <v/>
      </c>
      <c r="F353" s="79" t="str">
        <f t="shared" si="27"/>
        <v/>
      </c>
      <c r="G353" s="101"/>
      <c r="H353" s="91">
        <f t="shared" si="28"/>
        <v>0</v>
      </c>
      <c r="I353" s="91" t="str">
        <f t="shared" si="29"/>
        <v/>
      </c>
      <c r="J353" s="91" t="str">
        <f t="shared" si="30"/>
        <v/>
      </c>
      <c r="K353" s="92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2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58"/>
      <c r="U353" s="217" t="str">
        <f t="shared" si="31"/>
        <v/>
      </c>
      <c r="V353" s="215" t="s">
        <v>47</v>
      </c>
      <c r="W353" s="102" t="s">
        <v>136</v>
      </c>
      <c r="X353" s="102" t="s">
        <v>137</v>
      </c>
      <c r="Y353" s="103" t="s">
        <v>138</v>
      </c>
      <c r="Z353" s="103" t="s">
        <v>139</v>
      </c>
      <c r="AA353" s="103" t="s">
        <v>47</v>
      </c>
      <c r="AB353" s="103" t="s">
        <v>140</v>
      </c>
      <c r="AC353" s="104" t="s">
        <v>141</v>
      </c>
    </row>
    <row r="354" spans="1:29" ht="25.5" customHeight="1" x14ac:dyDescent="0.35">
      <c r="A354" s="188"/>
      <c r="B354" s="190"/>
      <c r="C354" s="99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0"/>
      <c r="E354" s="78" t="str">
        <f>IF(C354="","",IFERROR(VLOOKUP(C354,parametros!$A$11:$E$15,5,0),""))</f>
        <v/>
      </c>
      <c r="F354" s="79" t="str">
        <f t="shared" si="27"/>
        <v/>
      </c>
      <c r="G354" s="101"/>
      <c r="H354" s="91">
        <f t="shared" si="28"/>
        <v>0</v>
      </c>
      <c r="I354" s="91" t="str">
        <f t="shared" si="29"/>
        <v/>
      </c>
      <c r="J354" s="91" t="str">
        <f t="shared" si="30"/>
        <v/>
      </c>
      <c r="K354" s="92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2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58"/>
      <c r="U354" s="217" t="str">
        <f t="shared" si="31"/>
        <v/>
      </c>
      <c r="V354" s="215" t="s">
        <v>47</v>
      </c>
      <c r="W354" s="102" t="s">
        <v>136</v>
      </c>
      <c r="X354" s="102" t="s">
        <v>137</v>
      </c>
      <c r="Y354" s="103" t="s">
        <v>138</v>
      </c>
      <c r="Z354" s="103" t="s">
        <v>139</v>
      </c>
      <c r="AA354" s="103" t="s">
        <v>47</v>
      </c>
      <c r="AB354" s="103" t="s">
        <v>140</v>
      </c>
      <c r="AC354" s="104" t="s">
        <v>141</v>
      </c>
    </row>
    <row r="355" spans="1:29" ht="25.5" customHeight="1" x14ac:dyDescent="0.35">
      <c r="A355" s="188"/>
      <c r="B355" s="190"/>
      <c r="C355" s="99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0"/>
      <c r="E355" s="78" t="str">
        <f>IF(C355="","",IFERROR(VLOOKUP(C355,parametros!$A$11:$E$15,5,0),""))</f>
        <v/>
      </c>
      <c r="F355" s="79" t="str">
        <f t="shared" si="27"/>
        <v/>
      </c>
      <c r="G355" s="101"/>
      <c r="H355" s="91">
        <f t="shared" si="28"/>
        <v>0</v>
      </c>
      <c r="I355" s="91" t="str">
        <f t="shared" si="29"/>
        <v/>
      </c>
      <c r="J355" s="91" t="str">
        <f t="shared" si="30"/>
        <v/>
      </c>
      <c r="K355" s="92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2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58"/>
      <c r="U355" s="217" t="str">
        <f t="shared" si="31"/>
        <v/>
      </c>
      <c r="V355" s="215" t="s">
        <v>47</v>
      </c>
      <c r="W355" s="102" t="s">
        <v>136</v>
      </c>
      <c r="X355" s="102" t="s">
        <v>137</v>
      </c>
      <c r="Y355" s="103" t="s">
        <v>138</v>
      </c>
      <c r="Z355" s="103" t="s">
        <v>139</v>
      </c>
      <c r="AA355" s="103" t="s">
        <v>47</v>
      </c>
      <c r="AB355" s="103" t="s">
        <v>140</v>
      </c>
      <c r="AC355" s="104" t="s">
        <v>141</v>
      </c>
    </row>
    <row r="356" spans="1:29" ht="25.5" customHeight="1" x14ac:dyDescent="0.35">
      <c r="A356" s="188"/>
      <c r="B356" s="190"/>
      <c r="C356" s="99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0"/>
      <c r="E356" s="78" t="str">
        <f>IF(C356="","",IFERROR(VLOOKUP(C356,parametros!$A$11:$E$15,5,0),""))</f>
        <v/>
      </c>
      <c r="F356" s="79" t="str">
        <f t="shared" si="27"/>
        <v/>
      </c>
      <c r="G356" s="101"/>
      <c r="H356" s="91">
        <f t="shared" si="28"/>
        <v>0</v>
      </c>
      <c r="I356" s="91" t="str">
        <f t="shared" si="29"/>
        <v/>
      </c>
      <c r="J356" s="91" t="str">
        <f t="shared" si="30"/>
        <v/>
      </c>
      <c r="K356" s="92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2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58"/>
      <c r="U356" s="217" t="str">
        <f t="shared" si="31"/>
        <v/>
      </c>
      <c r="V356" s="215" t="s">
        <v>47</v>
      </c>
      <c r="W356" s="102" t="s">
        <v>136</v>
      </c>
      <c r="X356" s="102" t="s">
        <v>137</v>
      </c>
      <c r="Y356" s="103" t="s">
        <v>138</v>
      </c>
      <c r="Z356" s="103" t="s">
        <v>139</v>
      </c>
      <c r="AA356" s="103" t="s">
        <v>47</v>
      </c>
      <c r="AB356" s="103" t="s">
        <v>140</v>
      </c>
      <c r="AC356" s="104" t="s">
        <v>141</v>
      </c>
    </row>
    <row r="357" spans="1:29" ht="25.5" customHeight="1" x14ac:dyDescent="0.35">
      <c r="A357" s="188"/>
      <c r="B357" s="190"/>
      <c r="C357" s="99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0"/>
      <c r="E357" s="78" t="str">
        <f>IF(C357="","",IFERROR(VLOOKUP(C357,parametros!$A$11:$E$15,5,0),""))</f>
        <v/>
      </c>
      <c r="F357" s="79" t="str">
        <f t="shared" si="27"/>
        <v/>
      </c>
      <c r="G357" s="101"/>
      <c r="H357" s="91">
        <f t="shared" si="28"/>
        <v>0</v>
      </c>
      <c r="I357" s="91" t="str">
        <f t="shared" si="29"/>
        <v/>
      </c>
      <c r="J357" s="91" t="str">
        <f t="shared" si="30"/>
        <v/>
      </c>
      <c r="K357" s="92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2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58"/>
      <c r="U357" s="217" t="str">
        <f t="shared" si="31"/>
        <v/>
      </c>
      <c r="V357" s="215" t="s">
        <v>47</v>
      </c>
      <c r="W357" s="102" t="s">
        <v>136</v>
      </c>
      <c r="X357" s="102" t="s">
        <v>137</v>
      </c>
      <c r="Y357" s="103" t="s">
        <v>138</v>
      </c>
      <c r="Z357" s="103" t="s">
        <v>139</v>
      </c>
      <c r="AA357" s="103" t="s">
        <v>47</v>
      </c>
      <c r="AB357" s="103" t="s">
        <v>140</v>
      </c>
      <c r="AC357" s="104" t="s">
        <v>141</v>
      </c>
    </row>
    <row r="358" spans="1:29" ht="25.5" customHeight="1" x14ac:dyDescent="0.35">
      <c r="A358" s="188"/>
      <c r="B358" s="190"/>
      <c r="C358" s="99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0"/>
      <c r="E358" s="78" t="str">
        <f>IF(C358="","",IFERROR(VLOOKUP(C358,parametros!$A$11:$E$15,5,0),""))</f>
        <v/>
      </c>
      <c r="F358" s="79" t="str">
        <f t="shared" si="27"/>
        <v/>
      </c>
      <c r="G358" s="101"/>
      <c r="H358" s="91">
        <f t="shared" si="28"/>
        <v>0</v>
      </c>
      <c r="I358" s="91" t="str">
        <f t="shared" si="29"/>
        <v/>
      </c>
      <c r="J358" s="91" t="str">
        <f t="shared" si="30"/>
        <v/>
      </c>
      <c r="K358" s="92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2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58"/>
      <c r="U358" s="217" t="str">
        <f t="shared" si="31"/>
        <v/>
      </c>
      <c r="V358" s="215" t="s">
        <v>47</v>
      </c>
      <c r="W358" s="102" t="s">
        <v>136</v>
      </c>
      <c r="X358" s="102" t="s">
        <v>137</v>
      </c>
      <c r="Y358" s="103" t="s">
        <v>138</v>
      </c>
      <c r="Z358" s="103" t="s">
        <v>139</v>
      </c>
      <c r="AA358" s="103" t="s">
        <v>47</v>
      </c>
      <c r="AB358" s="103" t="s">
        <v>140</v>
      </c>
      <c r="AC358" s="104" t="s">
        <v>141</v>
      </c>
    </row>
    <row r="359" spans="1:29" ht="25.5" customHeight="1" x14ac:dyDescent="0.35">
      <c r="A359" s="188"/>
      <c r="B359" s="190"/>
      <c r="C359" s="99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0"/>
      <c r="E359" s="78" t="str">
        <f>IF(C359="","",IFERROR(VLOOKUP(C359,parametros!$A$11:$E$15,5,0),""))</f>
        <v/>
      </c>
      <c r="F359" s="79" t="str">
        <f t="shared" si="27"/>
        <v/>
      </c>
      <c r="G359" s="101"/>
      <c r="H359" s="91">
        <f t="shared" si="28"/>
        <v>0</v>
      </c>
      <c r="I359" s="91" t="str">
        <f t="shared" si="29"/>
        <v/>
      </c>
      <c r="J359" s="91" t="str">
        <f t="shared" si="30"/>
        <v/>
      </c>
      <c r="K359" s="92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2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58"/>
      <c r="U359" s="217" t="str">
        <f t="shared" si="31"/>
        <v/>
      </c>
      <c r="V359" s="215" t="s">
        <v>47</v>
      </c>
      <c r="W359" s="102" t="s">
        <v>136</v>
      </c>
      <c r="X359" s="102" t="s">
        <v>137</v>
      </c>
      <c r="Y359" s="103" t="s">
        <v>138</v>
      </c>
      <c r="Z359" s="103" t="s">
        <v>139</v>
      </c>
      <c r="AA359" s="103" t="s">
        <v>47</v>
      </c>
      <c r="AB359" s="103" t="s">
        <v>140</v>
      </c>
      <c r="AC359" s="104" t="s">
        <v>141</v>
      </c>
    </row>
    <row r="360" spans="1:29" ht="25.5" customHeight="1" x14ac:dyDescent="0.35">
      <c r="A360" s="188"/>
      <c r="B360" s="190"/>
      <c r="C360" s="99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0"/>
      <c r="E360" s="78" t="str">
        <f>IF(C360="","",IFERROR(VLOOKUP(C360,parametros!$A$11:$E$15,5,0),""))</f>
        <v/>
      </c>
      <c r="F360" s="79" t="str">
        <f t="shared" si="27"/>
        <v/>
      </c>
      <c r="G360" s="101"/>
      <c r="H360" s="91">
        <f t="shared" si="28"/>
        <v>0</v>
      </c>
      <c r="I360" s="91" t="str">
        <f t="shared" si="29"/>
        <v/>
      </c>
      <c r="J360" s="91" t="str">
        <f t="shared" si="30"/>
        <v/>
      </c>
      <c r="K360" s="92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2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58"/>
      <c r="U360" s="217" t="str">
        <f t="shared" si="31"/>
        <v/>
      </c>
      <c r="V360" s="215" t="s">
        <v>47</v>
      </c>
      <c r="W360" s="102" t="s">
        <v>136</v>
      </c>
      <c r="X360" s="102" t="s">
        <v>137</v>
      </c>
      <c r="Y360" s="103" t="s">
        <v>138</v>
      </c>
      <c r="Z360" s="103" t="s">
        <v>139</v>
      </c>
      <c r="AA360" s="103" t="s">
        <v>47</v>
      </c>
      <c r="AB360" s="103" t="s">
        <v>140</v>
      </c>
      <c r="AC360" s="104" t="s">
        <v>141</v>
      </c>
    </row>
    <row r="361" spans="1:29" ht="25.5" customHeight="1" x14ac:dyDescent="0.35">
      <c r="A361" s="188"/>
      <c r="B361" s="190"/>
      <c r="C361" s="99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0"/>
      <c r="E361" s="78" t="str">
        <f>IF(C361="","",IFERROR(VLOOKUP(C361,parametros!$A$11:$E$15,5,0),""))</f>
        <v/>
      </c>
      <c r="F361" s="79" t="str">
        <f t="shared" si="27"/>
        <v/>
      </c>
      <c r="G361" s="101"/>
      <c r="H361" s="91">
        <f t="shared" si="28"/>
        <v>0</v>
      </c>
      <c r="I361" s="91" t="str">
        <f t="shared" si="29"/>
        <v/>
      </c>
      <c r="J361" s="91" t="str">
        <f t="shared" si="30"/>
        <v/>
      </c>
      <c r="K361" s="92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2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58"/>
      <c r="U361" s="217" t="str">
        <f t="shared" si="31"/>
        <v/>
      </c>
      <c r="V361" s="215" t="s">
        <v>47</v>
      </c>
      <c r="W361" s="102" t="s">
        <v>136</v>
      </c>
      <c r="X361" s="102" t="s">
        <v>137</v>
      </c>
      <c r="Y361" s="103" t="s">
        <v>138</v>
      </c>
      <c r="Z361" s="103" t="s">
        <v>139</v>
      </c>
      <c r="AA361" s="103" t="s">
        <v>47</v>
      </c>
      <c r="AB361" s="103" t="s">
        <v>140</v>
      </c>
      <c r="AC361" s="104" t="s">
        <v>141</v>
      </c>
    </row>
    <row r="362" spans="1:29" ht="25.5" customHeight="1" x14ac:dyDescent="0.35">
      <c r="A362" s="188"/>
      <c r="B362" s="190"/>
      <c r="C362" s="99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0"/>
      <c r="E362" s="78" t="str">
        <f>IF(C362="","",IFERROR(VLOOKUP(C362,parametros!$A$11:$E$15,5,0),""))</f>
        <v/>
      </c>
      <c r="F362" s="79" t="str">
        <f t="shared" si="27"/>
        <v/>
      </c>
      <c r="G362" s="101"/>
      <c r="H362" s="91">
        <f t="shared" si="28"/>
        <v>0</v>
      </c>
      <c r="I362" s="91" t="str">
        <f t="shared" si="29"/>
        <v/>
      </c>
      <c r="J362" s="91" t="str">
        <f t="shared" si="30"/>
        <v/>
      </c>
      <c r="K362" s="92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2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58"/>
      <c r="U362" s="217" t="str">
        <f t="shared" si="31"/>
        <v/>
      </c>
      <c r="V362" s="215" t="s">
        <v>47</v>
      </c>
      <c r="W362" s="102" t="s">
        <v>136</v>
      </c>
      <c r="X362" s="102" t="s">
        <v>137</v>
      </c>
      <c r="Y362" s="103" t="s">
        <v>138</v>
      </c>
      <c r="Z362" s="103" t="s">
        <v>139</v>
      </c>
      <c r="AA362" s="103" t="s">
        <v>47</v>
      </c>
      <c r="AB362" s="103" t="s">
        <v>140</v>
      </c>
      <c r="AC362" s="104" t="s">
        <v>141</v>
      </c>
    </row>
    <row r="363" spans="1:29" ht="25.5" customHeight="1" x14ac:dyDescent="0.35">
      <c r="A363" s="188"/>
      <c r="B363" s="190"/>
      <c r="C363" s="99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0"/>
      <c r="E363" s="78" t="str">
        <f>IF(C363="","",IFERROR(VLOOKUP(C363,parametros!$A$11:$E$15,5,0),""))</f>
        <v/>
      </c>
      <c r="F363" s="79" t="str">
        <f t="shared" si="27"/>
        <v/>
      </c>
      <c r="G363" s="101"/>
      <c r="H363" s="91">
        <f t="shared" si="28"/>
        <v>0</v>
      </c>
      <c r="I363" s="91" t="str">
        <f t="shared" si="29"/>
        <v/>
      </c>
      <c r="J363" s="91" t="str">
        <f t="shared" si="30"/>
        <v/>
      </c>
      <c r="K363" s="92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2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58"/>
      <c r="U363" s="217" t="str">
        <f t="shared" si="31"/>
        <v/>
      </c>
      <c r="V363" s="215" t="s">
        <v>47</v>
      </c>
      <c r="W363" s="102" t="s">
        <v>136</v>
      </c>
      <c r="X363" s="102" t="s">
        <v>137</v>
      </c>
      <c r="Y363" s="103" t="s">
        <v>138</v>
      </c>
      <c r="Z363" s="103" t="s">
        <v>139</v>
      </c>
      <c r="AA363" s="103" t="s">
        <v>47</v>
      </c>
      <c r="AB363" s="103" t="s">
        <v>140</v>
      </c>
      <c r="AC363" s="104" t="s">
        <v>141</v>
      </c>
    </row>
    <row r="364" spans="1:29" ht="25.5" customHeight="1" x14ac:dyDescent="0.35">
      <c r="A364" s="188"/>
      <c r="B364" s="190"/>
      <c r="C364" s="99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0"/>
      <c r="E364" s="78" t="str">
        <f>IF(C364="","",IFERROR(VLOOKUP(C364,parametros!$A$11:$E$15,5,0),""))</f>
        <v/>
      </c>
      <c r="F364" s="79" t="str">
        <f t="shared" si="27"/>
        <v/>
      </c>
      <c r="G364" s="101"/>
      <c r="H364" s="91">
        <f t="shared" si="28"/>
        <v>0</v>
      </c>
      <c r="I364" s="91" t="str">
        <f t="shared" si="29"/>
        <v/>
      </c>
      <c r="J364" s="91" t="str">
        <f t="shared" si="30"/>
        <v/>
      </c>
      <c r="K364" s="92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2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58"/>
      <c r="U364" s="217" t="str">
        <f t="shared" si="31"/>
        <v/>
      </c>
      <c r="V364" s="215" t="s">
        <v>47</v>
      </c>
      <c r="W364" s="102" t="s">
        <v>136</v>
      </c>
      <c r="X364" s="102" t="s">
        <v>137</v>
      </c>
      <c r="Y364" s="103" t="s">
        <v>138</v>
      </c>
      <c r="Z364" s="103" t="s">
        <v>139</v>
      </c>
      <c r="AA364" s="103" t="s">
        <v>47</v>
      </c>
      <c r="AB364" s="103" t="s">
        <v>140</v>
      </c>
      <c r="AC364" s="104" t="s">
        <v>141</v>
      </c>
    </row>
    <row r="365" spans="1:29" ht="25.5" customHeight="1" x14ac:dyDescent="0.35">
      <c r="A365" s="188"/>
      <c r="B365" s="190"/>
      <c r="C365" s="99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0"/>
      <c r="E365" s="78" t="str">
        <f>IF(C365="","",IFERROR(VLOOKUP(C365,parametros!$A$11:$E$15,5,0),""))</f>
        <v/>
      </c>
      <c r="F365" s="79" t="str">
        <f t="shared" si="27"/>
        <v/>
      </c>
      <c r="G365" s="101"/>
      <c r="H365" s="91">
        <f t="shared" si="28"/>
        <v>0</v>
      </c>
      <c r="I365" s="91" t="str">
        <f t="shared" si="29"/>
        <v/>
      </c>
      <c r="J365" s="91" t="str">
        <f t="shared" si="30"/>
        <v/>
      </c>
      <c r="K365" s="92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2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58"/>
      <c r="U365" s="217" t="str">
        <f t="shared" si="31"/>
        <v/>
      </c>
      <c r="V365" s="215" t="s">
        <v>47</v>
      </c>
      <c r="W365" s="102" t="s">
        <v>136</v>
      </c>
      <c r="X365" s="102" t="s">
        <v>137</v>
      </c>
      <c r="Y365" s="103" t="s">
        <v>138</v>
      </c>
      <c r="Z365" s="103" t="s">
        <v>139</v>
      </c>
      <c r="AA365" s="103" t="s">
        <v>47</v>
      </c>
      <c r="AB365" s="103" t="s">
        <v>140</v>
      </c>
      <c r="AC365" s="104" t="s">
        <v>141</v>
      </c>
    </row>
    <row r="366" spans="1:29" ht="25.5" customHeight="1" x14ac:dyDescent="0.35">
      <c r="A366" s="188"/>
      <c r="B366" s="190"/>
      <c r="C366" s="99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0"/>
      <c r="E366" s="78" t="str">
        <f>IF(C366="","",IFERROR(VLOOKUP(C366,parametros!$A$11:$E$15,5,0),""))</f>
        <v/>
      </c>
      <c r="F366" s="79" t="str">
        <f t="shared" si="27"/>
        <v/>
      </c>
      <c r="G366" s="101"/>
      <c r="H366" s="91">
        <f t="shared" si="28"/>
        <v>0</v>
      </c>
      <c r="I366" s="91" t="str">
        <f t="shared" si="29"/>
        <v/>
      </c>
      <c r="J366" s="91" t="str">
        <f t="shared" si="30"/>
        <v/>
      </c>
      <c r="K366" s="92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2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58"/>
      <c r="U366" s="217" t="str">
        <f t="shared" si="31"/>
        <v/>
      </c>
      <c r="V366" s="215" t="s">
        <v>47</v>
      </c>
      <c r="W366" s="102" t="s">
        <v>136</v>
      </c>
      <c r="X366" s="102" t="s">
        <v>137</v>
      </c>
      <c r="Y366" s="103" t="s">
        <v>138</v>
      </c>
      <c r="Z366" s="103" t="s">
        <v>139</v>
      </c>
      <c r="AA366" s="103" t="s">
        <v>47</v>
      </c>
      <c r="AB366" s="103" t="s">
        <v>140</v>
      </c>
      <c r="AC366" s="104" t="s">
        <v>141</v>
      </c>
    </row>
    <row r="367" spans="1:29" ht="25.5" customHeight="1" x14ac:dyDescent="0.35">
      <c r="A367" s="188"/>
      <c r="B367" s="190"/>
      <c r="C367" s="99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0"/>
      <c r="E367" s="78" t="str">
        <f>IF(C367="","",IFERROR(VLOOKUP(C367,parametros!$A$11:$E$15,5,0),""))</f>
        <v/>
      </c>
      <c r="F367" s="79" t="str">
        <f t="shared" si="27"/>
        <v/>
      </c>
      <c r="G367" s="101"/>
      <c r="H367" s="91">
        <f t="shared" si="28"/>
        <v>0</v>
      </c>
      <c r="I367" s="91" t="str">
        <f t="shared" si="29"/>
        <v/>
      </c>
      <c r="J367" s="91" t="str">
        <f t="shared" si="30"/>
        <v/>
      </c>
      <c r="K367" s="92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2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58"/>
      <c r="U367" s="217" t="str">
        <f t="shared" si="31"/>
        <v/>
      </c>
      <c r="V367" s="215" t="s">
        <v>47</v>
      </c>
      <c r="W367" s="102" t="s">
        <v>136</v>
      </c>
      <c r="X367" s="102" t="s">
        <v>137</v>
      </c>
      <c r="Y367" s="103" t="s">
        <v>138</v>
      </c>
      <c r="Z367" s="103" t="s">
        <v>139</v>
      </c>
      <c r="AA367" s="103" t="s">
        <v>47</v>
      </c>
      <c r="AB367" s="103" t="s">
        <v>140</v>
      </c>
      <c r="AC367" s="104" t="s">
        <v>141</v>
      </c>
    </row>
    <row r="368" spans="1:29" ht="25.5" customHeight="1" x14ac:dyDescent="0.35">
      <c r="A368" s="188"/>
      <c r="B368" s="190"/>
      <c r="C368" s="99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0"/>
      <c r="E368" s="78" t="str">
        <f>IF(C368="","",IFERROR(VLOOKUP(C368,parametros!$A$11:$E$15,5,0),""))</f>
        <v/>
      </c>
      <c r="F368" s="79" t="str">
        <f t="shared" si="27"/>
        <v/>
      </c>
      <c r="G368" s="101"/>
      <c r="H368" s="91">
        <f t="shared" si="28"/>
        <v>0</v>
      </c>
      <c r="I368" s="91" t="str">
        <f t="shared" si="29"/>
        <v/>
      </c>
      <c r="J368" s="91" t="str">
        <f t="shared" si="30"/>
        <v/>
      </c>
      <c r="K368" s="92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2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58"/>
      <c r="U368" s="217" t="str">
        <f t="shared" si="31"/>
        <v/>
      </c>
      <c r="V368" s="215" t="s">
        <v>47</v>
      </c>
      <c r="W368" s="102" t="s">
        <v>136</v>
      </c>
      <c r="X368" s="102" t="s">
        <v>137</v>
      </c>
      <c r="Y368" s="103" t="s">
        <v>138</v>
      </c>
      <c r="Z368" s="103" t="s">
        <v>139</v>
      </c>
      <c r="AA368" s="103" t="s">
        <v>47</v>
      </c>
      <c r="AB368" s="103" t="s">
        <v>140</v>
      </c>
      <c r="AC368" s="104" t="s">
        <v>141</v>
      </c>
    </row>
    <row r="369" spans="1:29" ht="25.5" customHeight="1" x14ac:dyDescent="0.35">
      <c r="A369" s="188"/>
      <c r="B369" s="190"/>
      <c r="C369" s="99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0"/>
      <c r="E369" s="78" t="str">
        <f>IF(C369="","",IFERROR(VLOOKUP(C369,parametros!$A$11:$E$15,5,0),""))</f>
        <v/>
      </c>
      <c r="F369" s="79" t="str">
        <f t="shared" si="27"/>
        <v/>
      </c>
      <c r="G369" s="101"/>
      <c r="H369" s="91">
        <f t="shared" si="28"/>
        <v>0</v>
      </c>
      <c r="I369" s="91" t="str">
        <f t="shared" si="29"/>
        <v/>
      </c>
      <c r="J369" s="91" t="str">
        <f t="shared" si="30"/>
        <v/>
      </c>
      <c r="K369" s="92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2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58"/>
      <c r="U369" s="217" t="str">
        <f t="shared" si="31"/>
        <v/>
      </c>
      <c r="V369" s="215" t="s">
        <v>47</v>
      </c>
      <c r="W369" s="102" t="s">
        <v>136</v>
      </c>
      <c r="X369" s="102" t="s">
        <v>137</v>
      </c>
      <c r="Y369" s="103" t="s">
        <v>138</v>
      </c>
      <c r="Z369" s="103" t="s">
        <v>139</v>
      </c>
      <c r="AA369" s="103" t="s">
        <v>47</v>
      </c>
      <c r="AB369" s="103" t="s">
        <v>140</v>
      </c>
      <c r="AC369" s="104" t="s">
        <v>141</v>
      </c>
    </row>
    <row r="370" spans="1:29" ht="25.5" customHeight="1" x14ac:dyDescent="0.35">
      <c r="A370" s="188"/>
      <c r="B370" s="190"/>
      <c r="C370" s="99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0"/>
      <c r="E370" s="78" t="str">
        <f>IF(C370="","",IFERROR(VLOOKUP(C370,parametros!$A$11:$E$15,5,0),""))</f>
        <v/>
      </c>
      <c r="F370" s="79" t="str">
        <f t="shared" si="27"/>
        <v/>
      </c>
      <c r="G370" s="101"/>
      <c r="H370" s="91">
        <f t="shared" si="28"/>
        <v>0</v>
      </c>
      <c r="I370" s="91" t="str">
        <f t="shared" si="29"/>
        <v/>
      </c>
      <c r="J370" s="91" t="str">
        <f t="shared" si="30"/>
        <v/>
      </c>
      <c r="K370" s="92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2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58"/>
      <c r="U370" s="217" t="str">
        <f t="shared" si="31"/>
        <v/>
      </c>
      <c r="V370" s="215" t="s">
        <v>47</v>
      </c>
      <c r="W370" s="102" t="s">
        <v>136</v>
      </c>
      <c r="X370" s="102" t="s">
        <v>137</v>
      </c>
      <c r="Y370" s="103" t="s">
        <v>138</v>
      </c>
      <c r="Z370" s="103" t="s">
        <v>139</v>
      </c>
      <c r="AA370" s="103" t="s">
        <v>47</v>
      </c>
      <c r="AB370" s="103" t="s">
        <v>140</v>
      </c>
      <c r="AC370" s="104" t="s">
        <v>141</v>
      </c>
    </row>
    <row r="371" spans="1:29" ht="25.5" customHeight="1" x14ac:dyDescent="0.35">
      <c r="A371" s="188"/>
      <c r="B371" s="190"/>
      <c r="C371" s="99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0"/>
      <c r="E371" s="78" t="str">
        <f>IF(C371="","",IFERROR(VLOOKUP(C371,parametros!$A$11:$E$15,5,0),""))</f>
        <v/>
      </c>
      <c r="F371" s="79" t="str">
        <f t="shared" si="27"/>
        <v/>
      </c>
      <c r="G371" s="101"/>
      <c r="H371" s="91">
        <f t="shared" si="28"/>
        <v>0</v>
      </c>
      <c r="I371" s="91" t="str">
        <f t="shared" si="29"/>
        <v/>
      </c>
      <c r="J371" s="91" t="str">
        <f t="shared" si="30"/>
        <v/>
      </c>
      <c r="K371" s="92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2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58"/>
      <c r="U371" s="217" t="str">
        <f t="shared" si="31"/>
        <v/>
      </c>
      <c r="V371" s="215" t="s">
        <v>47</v>
      </c>
      <c r="W371" s="102" t="s">
        <v>136</v>
      </c>
      <c r="X371" s="102" t="s">
        <v>137</v>
      </c>
      <c r="Y371" s="103" t="s">
        <v>138</v>
      </c>
      <c r="Z371" s="103" t="s">
        <v>139</v>
      </c>
      <c r="AA371" s="103" t="s">
        <v>47</v>
      </c>
      <c r="AB371" s="103" t="s">
        <v>140</v>
      </c>
      <c r="AC371" s="104" t="s">
        <v>141</v>
      </c>
    </row>
    <row r="372" spans="1:29" ht="25.5" customHeight="1" x14ac:dyDescent="0.35">
      <c r="A372" s="188"/>
      <c r="B372" s="190"/>
      <c r="C372" s="99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0"/>
      <c r="E372" s="78" t="str">
        <f>IF(C372="","",IFERROR(VLOOKUP(C372,parametros!$A$11:$E$15,5,0),""))</f>
        <v/>
      </c>
      <c r="F372" s="79" t="str">
        <f t="shared" si="27"/>
        <v/>
      </c>
      <c r="G372" s="101"/>
      <c r="H372" s="91">
        <f t="shared" si="28"/>
        <v>0</v>
      </c>
      <c r="I372" s="91" t="str">
        <f t="shared" si="29"/>
        <v/>
      </c>
      <c r="J372" s="91" t="str">
        <f t="shared" si="30"/>
        <v/>
      </c>
      <c r="K372" s="92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2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58"/>
      <c r="U372" s="217" t="str">
        <f t="shared" si="31"/>
        <v/>
      </c>
      <c r="V372" s="215" t="s">
        <v>47</v>
      </c>
      <c r="W372" s="102" t="s">
        <v>136</v>
      </c>
      <c r="X372" s="102" t="s">
        <v>137</v>
      </c>
      <c r="Y372" s="103" t="s">
        <v>138</v>
      </c>
      <c r="Z372" s="103" t="s">
        <v>139</v>
      </c>
      <c r="AA372" s="103" t="s">
        <v>47</v>
      </c>
      <c r="AB372" s="103" t="s">
        <v>140</v>
      </c>
      <c r="AC372" s="104" t="s">
        <v>141</v>
      </c>
    </row>
    <row r="373" spans="1:29" ht="25.5" customHeight="1" x14ac:dyDescent="0.35">
      <c r="A373" s="188"/>
      <c r="B373" s="190"/>
      <c r="C373" s="99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0"/>
      <c r="E373" s="78" t="str">
        <f>IF(C373="","",IFERROR(VLOOKUP(C373,parametros!$A$11:$E$15,5,0),""))</f>
        <v/>
      </c>
      <c r="F373" s="79" t="str">
        <f t="shared" si="27"/>
        <v/>
      </c>
      <c r="G373" s="101"/>
      <c r="H373" s="91">
        <f t="shared" si="28"/>
        <v>0</v>
      </c>
      <c r="I373" s="91" t="str">
        <f t="shared" si="29"/>
        <v/>
      </c>
      <c r="J373" s="91" t="str">
        <f t="shared" si="30"/>
        <v/>
      </c>
      <c r="K373" s="92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2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58"/>
      <c r="U373" s="217" t="str">
        <f t="shared" si="31"/>
        <v/>
      </c>
      <c r="V373" s="215" t="s">
        <v>47</v>
      </c>
      <c r="W373" s="102" t="s">
        <v>136</v>
      </c>
      <c r="X373" s="102" t="s">
        <v>137</v>
      </c>
      <c r="Y373" s="103" t="s">
        <v>138</v>
      </c>
      <c r="Z373" s="103" t="s">
        <v>139</v>
      </c>
      <c r="AA373" s="103" t="s">
        <v>47</v>
      </c>
      <c r="AB373" s="103" t="s">
        <v>140</v>
      </c>
      <c r="AC373" s="104" t="s">
        <v>141</v>
      </c>
    </row>
    <row r="374" spans="1:29" ht="25.5" customHeight="1" x14ac:dyDescent="0.35">
      <c r="A374" s="188"/>
      <c r="B374" s="190"/>
      <c r="C374" s="99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0"/>
      <c r="E374" s="78" t="str">
        <f>IF(C374="","",IFERROR(VLOOKUP(C374,parametros!$A$11:$E$15,5,0),""))</f>
        <v/>
      </c>
      <c r="F374" s="79" t="str">
        <f t="shared" si="27"/>
        <v/>
      </c>
      <c r="G374" s="101"/>
      <c r="H374" s="91">
        <f t="shared" si="28"/>
        <v>0</v>
      </c>
      <c r="I374" s="91" t="str">
        <f t="shared" si="29"/>
        <v/>
      </c>
      <c r="J374" s="91" t="str">
        <f t="shared" si="30"/>
        <v/>
      </c>
      <c r="K374" s="92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2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58"/>
      <c r="U374" s="217" t="str">
        <f t="shared" si="31"/>
        <v/>
      </c>
      <c r="V374" s="215" t="s">
        <v>47</v>
      </c>
      <c r="W374" s="102" t="s">
        <v>136</v>
      </c>
      <c r="X374" s="102" t="s">
        <v>137</v>
      </c>
      <c r="Y374" s="103" t="s">
        <v>138</v>
      </c>
      <c r="Z374" s="103" t="s">
        <v>139</v>
      </c>
      <c r="AA374" s="103" t="s">
        <v>47</v>
      </c>
      <c r="AB374" s="103" t="s">
        <v>140</v>
      </c>
      <c r="AC374" s="104" t="s">
        <v>141</v>
      </c>
    </row>
    <row r="375" spans="1:29" ht="25.5" customHeight="1" x14ac:dyDescent="0.35">
      <c r="A375" s="188"/>
      <c r="B375" s="190"/>
      <c r="C375" s="99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0"/>
      <c r="E375" s="78" t="str">
        <f>IF(C375="","",IFERROR(VLOOKUP(C375,parametros!$A$11:$E$15,5,0),""))</f>
        <v/>
      </c>
      <c r="F375" s="79" t="str">
        <f t="shared" si="27"/>
        <v/>
      </c>
      <c r="G375" s="101"/>
      <c r="H375" s="91">
        <f t="shared" si="28"/>
        <v>0</v>
      </c>
      <c r="I375" s="91" t="str">
        <f t="shared" si="29"/>
        <v/>
      </c>
      <c r="J375" s="91" t="str">
        <f t="shared" si="30"/>
        <v/>
      </c>
      <c r="K375" s="92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2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58"/>
      <c r="U375" s="217" t="str">
        <f t="shared" si="31"/>
        <v/>
      </c>
      <c r="V375" s="215" t="s">
        <v>47</v>
      </c>
      <c r="W375" s="102" t="s">
        <v>136</v>
      </c>
      <c r="X375" s="102" t="s">
        <v>137</v>
      </c>
      <c r="Y375" s="103" t="s">
        <v>138</v>
      </c>
      <c r="Z375" s="103" t="s">
        <v>139</v>
      </c>
      <c r="AA375" s="103" t="s">
        <v>47</v>
      </c>
      <c r="AB375" s="103" t="s">
        <v>140</v>
      </c>
      <c r="AC375" s="104" t="s">
        <v>141</v>
      </c>
    </row>
    <row r="376" spans="1:29" ht="25.5" customHeight="1" x14ac:dyDescent="0.35">
      <c r="A376" s="188"/>
      <c r="B376" s="190"/>
      <c r="C376" s="99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0"/>
      <c r="E376" s="78" t="str">
        <f>IF(C376="","",IFERROR(VLOOKUP(C376,parametros!$A$11:$E$15,5,0),""))</f>
        <v/>
      </c>
      <c r="F376" s="79" t="str">
        <f t="shared" si="27"/>
        <v/>
      </c>
      <c r="G376" s="101"/>
      <c r="H376" s="91">
        <f t="shared" si="28"/>
        <v>0</v>
      </c>
      <c r="I376" s="91" t="str">
        <f t="shared" si="29"/>
        <v/>
      </c>
      <c r="J376" s="91" t="str">
        <f t="shared" si="30"/>
        <v/>
      </c>
      <c r="K376" s="92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2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58"/>
      <c r="U376" s="217" t="str">
        <f t="shared" si="31"/>
        <v/>
      </c>
      <c r="V376" s="215" t="s">
        <v>47</v>
      </c>
      <c r="W376" s="102" t="s">
        <v>136</v>
      </c>
      <c r="X376" s="102" t="s">
        <v>137</v>
      </c>
      <c r="Y376" s="103" t="s">
        <v>138</v>
      </c>
      <c r="Z376" s="103" t="s">
        <v>139</v>
      </c>
      <c r="AA376" s="103" t="s">
        <v>47</v>
      </c>
      <c r="AB376" s="103" t="s">
        <v>140</v>
      </c>
      <c r="AC376" s="104" t="s">
        <v>141</v>
      </c>
    </row>
    <row r="377" spans="1:29" ht="25.5" customHeight="1" x14ac:dyDescent="0.35">
      <c r="A377" s="188"/>
      <c r="B377" s="190"/>
      <c r="C377" s="99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0"/>
      <c r="E377" s="78" t="str">
        <f>IF(C377="","",IFERROR(VLOOKUP(C377,parametros!$A$11:$E$15,5,0),""))</f>
        <v/>
      </c>
      <c r="F377" s="79" t="str">
        <f t="shared" si="27"/>
        <v/>
      </c>
      <c r="G377" s="101"/>
      <c r="H377" s="91">
        <f t="shared" si="28"/>
        <v>0</v>
      </c>
      <c r="I377" s="91" t="str">
        <f t="shared" si="29"/>
        <v/>
      </c>
      <c r="J377" s="91" t="str">
        <f t="shared" si="30"/>
        <v/>
      </c>
      <c r="K377" s="92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2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58"/>
      <c r="U377" s="217" t="str">
        <f t="shared" si="31"/>
        <v/>
      </c>
      <c r="V377" s="215" t="s">
        <v>47</v>
      </c>
      <c r="W377" s="102" t="s">
        <v>136</v>
      </c>
      <c r="X377" s="102" t="s">
        <v>137</v>
      </c>
      <c r="Y377" s="103" t="s">
        <v>138</v>
      </c>
      <c r="Z377" s="103" t="s">
        <v>139</v>
      </c>
      <c r="AA377" s="103" t="s">
        <v>47</v>
      </c>
      <c r="AB377" s="103" t="s">
        <v>140</v>
      </c>
      <c r="AC377" s="104" t="s">
        <v>141</v>
      </c>
    </row>
    <row r="378" spans="1:29" ht="25.5" customHeight="1" x14ac:dyDescent="0.35">
      <c r="A378" s="188"/>
      <c r="B378" s="190"/>
      <c r="C378" s="99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0"/>
      <c r="E378" s="78" t="str">
        <f>IF(C378="","",IFERROR(VLOOKUP(C378,parametros!$A$11:$E$15,5,0),""))</f>
        <v/>
      </c>
      <c r="F378" s="79" t="str">
        <f t="shared" si="27"/>
        <v/>
      </c>
      <c r="G378" s="101"/>
      <c r="H378" s="91">
        <f t="shared" si="28"/>
        <v>0</v>
      </c>
      <c r="I378" s="91" t="str">
        <f t="shared" si="29"/>
        <v/>
      </c>
      <c r="J378" s="91" t="str">
        <f t="shared" si="30"/>
        <v/>
      </c>
      <c r="K378" s="92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2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58"/>
      <c r="U378" s="217" t="str">
        <f t="shared" si="31"/>
        <v/>
      </c>
      <c r="V378" s="215" t="s">
        <v>47</v>
      </c>
      <c r="W378" s="102" t="s">
        <v>136</v>
      </c>
      <c r="X378" s="102" t="s">
        <v>137</v>
      </c>
      <c r="Y378" s="103" t="s">
        <v>138</v>
      </c>
      <c r="Z378" s="103" t="s">
        <v>139</v>
      </c>
      <c r="AA378" s="103" t="s">
        <v>47</v>
      </c>
      <c r="AB378" s="103" t="s">
        <v>140</v>
      </c>
      <c r="AC378" s="104" t="s">
        <v>141</v>
      </c>
    </row>
    <row r="379" spans="1:29" ht="25.5" customHeight="1" x14ac:dyDescent="0.35">
      <c r="A379" s="188"/>
      <c r="B379" s="190"/>
      <c r="C379" s="99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0"/>
      <c r="E379" s="78" t="str">
        <f>IF(C379="","",IFERROR(VLOOKUP(C379,parametros!$A$11:$E$15,5,0),""))</f>
        <v/>
      </c>
      <c r="F379" s="79" t="str">
        <f t="shared" si="27"/>
        <v/>
      </c>
      <c r="G379" s="101"/>
      <c r="H379" s="91">
        <f t="shared" si="28"/>
        <v>0</v>
      </c>
      <c r="I379" s="91" t="str">
        <f t="shared" si="29"/>
        <v/>
      </c>
      <c r="J379" s="91" t="str">
        <f t="shared" si="30"/>
        <v/>
      </c>
      <c r="K379" s="92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2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58"/>
      <c r="U379" s="217" t="str">
        <f t="shared" si="31"/>
        <v/>
      </c>
      <c r="V379" s="215" t="s">
        <v>47</v>
      </c>
      <c r="W379" s="102" t="s">
        <v>136</v>
      </c>
      <c r="X379" s="102" t="s">
        <v>137</v>
      </c>
      <c r="Y379" s="103" t="s">
        <v>138</v>
      </c>
      <c r="Z379" s="103" t="s">
        <v>139</v>
      </c>
      <c r="AA379" s="103" t="s">
        <v>47</v>
      </c>
      <c r="AB379" s="103" t="s">
        <v>140</v>
      </c>
      <c r="AC379" s="104" t="s">
        <v>141</v>
      </c>
    </row>
    <row r="380" spans="1:29" ht="25.5" customHeight="1" x14ac:dyDescent="0.35">
      <c r="A380" s="188"/>
      <c r="B380" s="190"/>
      <c r="C380" s="99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0"/>
      <c r="E380" s="78" t="str">
        <f>IF(C380="","",IFERROR(VLOOKUP(C380,parametros!$A$11:$E$15,5,0),""))</f>
        <v/>
      </c>
      <c r="F380" s="79" t="str">
        <f t="shared" si="27"/>
        <v/>
      </c>
      <c r="G380" s="101"/>
      <c r="H380" s="91">
        <f t="shared" si="28"/>
        <v>0</v>
      </c>
      <c r="I380" s="91" t="str">
        <f t="shared" si="29"/>
        <v/>
      </c>
      <c r="J380" s="91" t="str">
        <f t="shared" si="30"/>
        <v/>
      </c>
      <c r="K380" s="92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2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58"/>
      <c r="U380" s="217" t="str">
        <f t="shared" si="31"/>
        <v/>
      </c>
      <c r="V380" s="215" t="s">
        <v>47</v>
      </c>
      <c r="W380" s="102" t="s">
        <v>136</v>
      </c>
      <c r="X380" s="102" t="s">
        <v>137</v>
      </c>
      <c r="Y380" s="103" t="s">
        <v>138</v>
      </c>
      <c r="Z380" s="103" t="s">
        <v>139</v>
      </c>
      <c r="AA380" s="103" t="s">
        <v>47</v>
      </c>
      <c r="AB380" s="103" t="s">
        <v>140</v>
      </c>
      <c r="AC380" s="104" t="s">
        <v>141</v>
      </c>
    </row>
    <row r="381" spans="1:29" ht="25.5" customHeight="1" x14ac:dyDescent="0.35">
      <c r="A381" s="188"/>
      <c r="B381" s="190"/>
      <c r="C381" s="99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0"/>
      <c r="E381" s="78" t="str">
        <f>IF(C381="","",IFERROR(VLOOKUP(C381,parametros!$A$11:$E$15,5,0),""))</f>
        <v/>
      </c>
      <c r="F381" s="79" t="str">
        <f t="shared" si="27"/>
        <v/>
      </c>
      <c r="G381" s="101"/>
      <c r="H381" s="91">
        <f t="shared" si="28"/>
        <v>0</v>
      </c>
      <c r="I381" s="91" t="str">
        <f t="shared" si="29"/>
        <v/>
      </c>
      <c r="J381" s="91" t="str">
        <f t="shared" si="30"/>
        <v/>
      </c>
      <c r="K381" s="92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2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58"/>
      <c r="U381" s="217" t="str">
        <f t="shared" si="31"/>
        <v/>
      </c>
      <c r="V381" s="215" t="s">
        <v>47</v>
      </c>
      <c r="W381" s="102" t="s">
        <v>136</v>
      </c>
      <c r="X381" s="102" t="s">
        <v>137</v>
      </c>
      <c r="Y381" s="103" t="s">
        <v>138</v>
      </c>
      <c r="Z381" s="103" t="s">
        <v>139</v>
      </c>
      <c r="AA381" s="103" t="s">
        <v>47</v>
      </c>
      <c r="AB381" s="103" t="s">
        <v>140</v>
      </c>
      <c r="AC381" s="104" t="s">
        <v>141</v>
      </c>
    </row>
    <row r="382" spans="1:29" ht="25.5" customHeight="1" x14ac:dyDescent="0.35">
      <c r="A382" s="188"/>
      <c r="B382" s="190"/>
      <c r="C382" s="99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0"/>
      <c r="E382" s="78" t="str">
        <f>IF(C382="","",IFERROR(VLOOKUP(C382,parametros!$A$11:$E$15,5,0),""))</f>
        <v/>
      </c>
      <c r="F382" s="79" t="str">
        <f t="shared" si="27"/>
        <v/>
      </c>
      <c r="G382" s="101"/>
      <c r="H382" s="91">
        <f t="shared" si="28"/>
        <v>0</v>
      </c>
      <c r="I382" s="91" t="str">
        <f t="shared" si="29"/>
        <v/>
      </c>
      <c r="J382" s="91" t="str">
        <f t="shared" si="30"/>
        <v/>
      </c>
      <c r="K382" s="92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2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58"/>
      <c r="U382" s="217" t="str">
        <f t="shared" si="31"/>
        <v/>
      </c>
      <c r="V382" s="215" t="s">
        <v>47</v>
      </c>
      <c r="W382" s="102" t="s">
        <v>136</v>
      </c>
      <c r="X382" s="102" t="s">
        <v>137</v>
      </c>
      <c r="Y382" s="103" t="s">
        <v>138</v>
      </c>
      <c r="Z382" s="103" t="s">
        <v>139</v>
      </c>
      <c r="AA382" s="103" t="s">
        <v>47</v>
      </c>
      <c r="AB382" s="103" t="s">
        <v>140</v>
      </c>
      <c r="AC382" s="104" t="s">
        <v>141</v>
      </c>
    </row>
    <row r="383" spans="1:29" ht="25.5" customHeight="1" x14ac:dyDescent="0.35">
      <c r="A383" s="188"/>
      <c r="B383" s="190"/>
      <c r="C383" s="99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0"/>
      <c r="E383" s="78" t="str">
        <f>IF(C383="","",IFERROR(VLOOKUP(C383,parametros!$A$11:$E$15,5,0),""))</f>
        <v/>
      </c>
      <c r="F383" s="79" t="str">
        <f t="shared" si="27"/>
        <v/>
      </c>
      <c r="G383" s="101"/>
      <c r="H383" s="91">
        <f t="shared" si="28"/>
        <v>0</v>
      </c>
      <c r="I383" s="91" t="str">
        <f t="shared" si="29"/>
        <v/>
      </c>
      <c r="J383" s="91" t="str">
        <f t="shared" si="30"/>
        <v/>
      </c>
      <c r="K383" s="92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2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58"/>
      <c r="U383" s="217" t="str">
        <f t="shared" si="31"/>
        <v/>
      </c>
      <c r="V383" s="215" t="s">
        <v>47</v>
      </c>
      <c r="W383" s="102" t="s">
        <v>136</v>
      </c>
      <c r="X383" s="102" t="s">
        <v>137</v>
      </c>
      <c r="Y383" s="103" t="s">
        <v>138</v>
      </c>
      <c r="Z383" s="103" t="s">
        <v>139</v>
      </c>
      <c r="AA383" s="103" t="s">
        <v>47</v>
      </c>
      <c r="AB383" s="103" t="s">
        <v>140</v>
      </c>
      <c r="AC383" s="104" t="s">
        <v>141</v>
      </c>
    </row>
    <row r="384" spans="1:29" ht="25.5" customHeight="1" x14ac:dyDescent="0.35">
      <c r="A384" s="188"/>
      <c r="B384" s="190"/>
      <c r="C384" s="99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0"/>
      <c r="E384" s="78" t="str">
        <f>IF(C384="","",IFERROR(VLOOKUP(C384,parametros!$A$11:$E$15,5,0),""))</f>
        <v/>
      </c>
      <c r="F384" s="79" t="str">
        <f t="shared" si="27"/>
        <v/>
      </c>
      <c r="G384" s="101"/>
      <c r="H384" s="91">
        <f t="shared" si="28"/>
        <v>0</v>
      </c>
      <c r="I384" s="91" t="str">
        <f t="shared" si="29"/>
        <v/>
      </c>
      <c r="J384" s="91" t="str">
        <f t="shared" si="30"/>
        <v/>
      </c>
      <c r="K384" s="92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2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58"/>
      <c r="U384" s="217" t="str">
        <f t="shared" si="31"/>
        <v/>
      </c>
      <c r="V384" s="215" t="s">
        <v>47</v>
      </c>
      <c r="W384" s="102" t="s">
        <v>136</v>
      </c>
      <c r="X384" s="102" t="s">
        <v>137</v>
      </c>
      <c r="Y384" s="103" t="s">
        <v>138</v>
      </c>
      <c r="Z384" s="103" t="s">
        <v>139</v>
      </c>
      <c r="AA384" s="103" t="s">
        <v>47</v>
      </c>
      <c r="AB384" s="103" t="s">
        <v>140</v>
      </c>
      <c r="AC384" s="104" t="s">
        <v>141</v>
      </c>
    </row>
    <row r="385" spans="1:29" ht="25.5" customHeight="1" x14ac:dyDescent="0.35">
      <c r="A385" s="188"/>
      <c r="B385" s="190"/>
      <c r="C385" s="99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0"/>
      <c r="E385" s="78" t="str">
        <f>IF(C385="","",IFERROR(VLOOKUP(C385,parametros!$A$11:$E$15,5,0),""))</f>
        <v/>
      </c>
      <c r="F385" s="79" t="str">
        <f t="shared" si="27"/>
        <v/>
      </c>
      <c r="G385" s="101"/>
      <c r="H385" s="91">
        <f t="shared" si="28"/>
        <v>0</v>
      </c>
      <c r="I385" s="91" t="str">
        <f t="shared" si="29"/>
        <v/>
      </c>
      <c r="J385" s="91" t="str">
        <f t="shared" si="30"/>
        <v/>
      </c>
      <c r="K385" s="92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2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58"/>
      <c r="U385" s="217" t="str">
        <f t="shared" si="31"/>
        <v/>
      </c>
      <c r="V385" s="215" t="s">
        <v>47</v>
      </c>
      <c r="W385" s="102" t="s">
        <v>136</v>
      </c>
      <c r="X385" s="102" t="s">
        <v>137</v>
      </c>
      <c r="Y385" s="103" t="s">
        <v>138</v>
      </c>
      <c r="Z385" s="103" t="s">
        <v>139</v>
      </c>
      <c r="AA385" s="103" t="s">
        <v>47</v>
      </c>
      <c r="AB385" s="103" t="s">
        <v>140</v>
      </c>
      <c r="AC385" s="104" t="s">
        <v>141</v>
      </c>
    </row>
    <row r="386" spans="1:29" ht="25.5" customHeight="1" x14ac:dyDescent="0.35">
      <c r="A386" s="188"/>
      <c r="B386" s="190"/>
      <c r="C386" s="99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0"/>
      <c r="E386" s="78" t="str">
        <f>IF(C386="","",IFERROR(VLOOKUP(C386,parametros!$A$11:$E$15,5,0),""))</f>
        <v/>
      </c>
      <c r="F386" s="79" t="str">
        <f t="shared" ref="F386:F449" si="32">IF(OR(D386="",E386=""),"",ROUND(D386*E386,2))</f>
        <v/>
      </c>
      <c r="G386" s="101"/>
      <c r="H386" s="91">
        <f t="shared" ref="H386:H449" si="33">IF(G386="Sim",IF(OR(F386="",D386="",L386=""),"",IF(L386="Sim",ROUND(F386-D386,2),0)),0)</f>
        <v>0</v>
      </c>
      <c r="I386" s="91" t="str">
        <f t="shared" ref="I386:I449" si="34">IF(G386="Sim",0,IF(OR(F386="",L386=""),"",F386))</f>
        <v/>
      </c>
      <c r="J386" s="91" t="str">
        <f t="shared" ref="J386:J449" si="35">IF(G386="Sim",0,IF(OR(F386="",D386="",L386=""),"",IF(L386="Sim",ROUND(F386-D386,2),0)))</f>
        <v/>
      </c>
      <c r="K386" s="92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2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58"/>
      <c r="U386" s="217" t="str">
        <f t="shared" ref="U386:U449" si="36">IF(OR($D386="",$H386=""),"",ROUND($D386+$H386,2))</f>
        <v/>
      </c>
      <c r="V386" s="215" t="s">
        <v>47</v>
      </c>
      <c r="W386" s="102" t="s">
        <v>136</v>
      </c>
      <c r="X386" s="102" t="s">
        <v>137</v>
      </c>
      <c r="Y386" s="103" t="s">
        <v>138</v>
      </c>
      <c r="Z386" s="103" t="s">
        <v>139</v>
      </c>
      <c r="AA386" s="103" t="s">
        <v>47</v>
      </c>
      <c r="AB386" s="103" t="s">
        <v>140</v>
      </c>
      <c r="AC386" s="104" t="s">
        <v>141</v>
      </c>
    </row>
    <row r="387" spans="1:29" ht="25.5" customHeight="1" x14ac:dyDescent="0.35">
      <c r="A387" s="188"/>
      <c r="B387" s="190"/>
      <c r="C387" s="99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0"/>
      <c r="E387" s="78" t="str">
        <f>IF(C387="","",IFERROR(VLOOKUP(C387,parametros!$A$11:$E$15,5,0),""))</f>
        <v/>
      </c>
      <c r="F387" s="79" t="str">
        <f t="shared" si="32"/>
        <v/>
      </c>
      <c r="G387" s="101"/>
      <c r="H387" s="91">
        <f t="shared" si="33"/>
        <v>0</v>
      </c>
      <c r="I387" s="91" t="str">
        <f t="shared" si="34"/>
        <v/>
      </c>
      <c r="J387" s="91" t="str">
        <f t="shared" si="35"/>
        <v/>
      </c>
      <c r="K387" s="92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2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58"/>
      <c r="U387" s="217" t="str">
        <f t="shared" si="36"/>
        <v/>
      </c>
      <c r="V387" s="215" t="s">
        <v>47</v>
      </c>
      <c r="W387" s="102" t="s">
        <v>136</v>
      </c>
      <c r="X387" s="102" t="s">
        <v>137</v>
      </c>
      <c r="Y387" s="103" t="s">
        <v>138</v>
      </c>
      <c r="Z387" s="103" t="s">
        <v>139</v>
      </c>
      <c r="AA387" s="103" t="s">
        <v>47</v>
      </c>
      <c r="AB387" s="103" t="s">
        <v>140</v>
      </c>
      <c r="AC387" s="104" t="s">
        <v>141</v>
      </c>
    </row>
    <row r="388" spans="1:29" ht="25.5" customHeight="1" x14ac:dyDescent="0.35">
      <c r="A388" s="188"/>
      <c r="B388" s="190"/>
      <c r="C388" s="99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0"/>
      <c r="E388" s="78" t="str">
        <f>IF(C388="","",IFERROR(VLOOKUP(C388,parametros!$A$11:$E$15,5,0),""))</f>
        <v/>
      </c>
      <c r="F388" s="79" t="str">
        <f t="shared" si="32"/>
        <v/>
      </c>
      <c r="G388" s="101"/>
      <c r="H388" s="91">
        <f t="shared" si="33"/>
        <v>0</v>
      </c>
      <c r="I388" s="91" t="str">
        <f t="shared" si="34"/>
        <v/>
      </c>
      <c r="J388" s="91" t="str">
        <f t="shared" si="35"/>
        <v/>
      </c>
      <c r="K388" s="92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2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58"/>
      <c r="U388" s="217" t="str">
        <f t="shared" si="36"/>
        <v/>
      </c>
      <c r="V388" s="215" t="s">
        <v>47</v>
      </c>
      <c r="W388" s="102" t="s">
        <v>136</v>
      </c>
      <c r="X388" s="102" t="s">
        <v>137</v>
      </c>
      <c r="Y388" s="103" t="s">
        <v>138</v>
      </c>
      <c r="Z388" s="103" t="s">
        <v>139</v>
      </c>
      <c r="AA388" s="103" t="s">
        <v>47</v>
      </c>
      <c r="AB388" s="103" t="s">
        <v>140</v>
      </c>
      <c r="AC388" s="104" t="s">
        <v>141</v>
      </c>
    </row>
    <row r="389" spans="1:29" ht="25.5" customHeight="1" x14ac:dyDescent="0.35">
      <c r="A389" s="188"/>
      <c r="B389" s="190"/>
      <c r="C389" s="99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0"/>
      <c r="E389" s="78" t="str">
        <f>IF(C389="","",IFERROR(VLOOKUP(C389,parametros!$A$11:$E$15,5,0),""))</f>
        <v/>
      </c>
      <c r="F389" s="79" t="str">
        <f t="shared" si="32"/>
        <v/>
      </c>
      <c r="G389" s="101"/>
      <c r="H389" s="91">
        <f t="shared" si="33"/>
        <v>0</v>
      </c>
      <c r="I389" s="91" t="str">
        <f t="shared" si="34"/>
        <v/>
      </c>
      <c r="J389" s="91" t="str">
        <f t="shared" si="35"/>
        <v/>
      </c>
      <c r="K389" s="92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2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58"/>
      <c r="U389" s="217" t="str">
        <f t="shared" si="36"/>
        <v/>
      </c>
      <c r="V389" s="215" t="s">
        <v>47</v>
      </c>
      <c r="W389" s="102" t="s">
        <v>136</v>
      </c>
      <c r="X389" s="102" t="s">
        <v>137</v>
      </c>
      <c r="Y389" s="103" t="s">
        <v>138</v>
      </c>
      <c r="Z389" s="103" t="s">
        <v>139</v>
      </c>
      <c r="AA389" s="103" t="s">
        <v>47</v>
      </c>
      <c r="AB389" s="103" t="s">
        <v>140</v>
      </c>
      <c r="AC389" s="104" t="s">
        <v>141</v>
      </c>
    </row>
    <row r="390" spans="1:29" ht="25.5" customHeight="1" x14ac:dyDescent="0.35">
      <c r="A390" s="188"/>
      <c r="B390" s="190"/>
      <c r="C390" s="99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0"/>
      <c r="E390" s="78" t="str">
        <f>IF(C390="","",IFERROR(VLOOKUP(C390,parametros!$A$11:$E$15,5,0),""))</f>
        <v/>
      </c>
      <c r="F390" s="79" t="str">
        <f t="shared" si="32"/>
        <v/>
      </c>
      <c r="G390" s="101"/>
      <c r="H390" s="91">
        <f t="shared" si="33"/>
        <v>0</v>
      </c>
      <c r="I390" s="91" t="str">
        <f t="shared" si="34"/>
        <v/>
      </c>
      <c r="J390" s="91" t="str">
        <f t="shared" si="35"/>
        <v/>
      </c>
      <c r="K390" s="92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2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58"/>
      <c r="U390" s="217" t="str">
        <f t="shared" si="36"/>
        <v/>
      </c>
      <c r="V390" s="215" t="s">
        <v>47</v>
      </c>
      <c r="W390" s="102" t="s">
        <v>136</v>
      </c>
      <c r="X390" s="102" t="s">
        <v>137</v>
      </c>
      <c r="Y390" s="103" t="s">
        <v>138</v>
      </c>
      <c r="Z390" s="103" t="s">
        <v>139</v>
      </c>
      <c r="AA390" s="103" t="s">
        <v>47</v>
      </c>
      <c r="AB390" s="103" t="s">
        <v>140</v>
      </c>
      <c r="AC390" s="104" t="s">
        <v>141</v>
      </c>
    </row>
    <row r="391" spans="1:29" ht="25.5" customHeight="1" x14ac:dyDescent="0.35">
      <c r="A391" s="188"/>
      <c r="B391" s="190"/>
      <c r="C391" s="99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0"/>
      <c r="E391" s="78" t="str">
        <f>IF(C391="","",IFERROR(VLOOKUP(C391,parametros!$A$11:$E$15,5,0),""))</f>
        <v/>
      </c>
      <c r="F391" s="79" t="str">
        <f t="shared" si="32"/>
        <v/>
      </c>
      <c r="G391" s="101"/>
      <c r="H391" s="91">
        <f t="shared" si="33"/>
        <v>0</v>
      </c>
      <c r="I391" s="91" t="str">
        <f t="shared" si="34"/>
        <v/>
      </c>
      <c r="J391" s="91" t="str">
        <f t="shared" si="35"/>
        <v/>
      </c>
      <c r="K391" s="92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2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58"/>
      <c r="U391" s="217" t="str">
        <f t="shared" si="36"/>
        <v/>
      </c>
      <c r="V391" s="215" t="s">
        <v>47</v>
      </c>
      <c r="W391" s="102" t="s">
        <v>136</v>
      </c>
      <c r="X391" s="102" t="s">
        <v>137</v>
      </c>
      <c r="Y391" s="103" t="s">
        <v>138</v>
      </c>
      <c r="Z391" s="103" t="s">
        <v>139</v>
      </c>
      <c r="AA391" s="103" t="s">
        <v>47</v>
      </c>
      <c r="AB391" s="103" t="s">
        <v>140</v>
      </c>
      <c r="AC391" s="104" t="s">
        <v>141</v>
      </c>
    </row>
    <row r="392" spans="1:29" ht="25.5" customHeight="1" x14ac:dyDescent="0.35">
      <c r="A392" s="188"/>
      <c r="B392" s="190"/>
      <c r="C392" s="99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0"/>
      <c r="E392" s="78" t="str">
        <f>IF(C392="","",IFERROR(VLOOKUP(C392,parametros!$A$11:$E$15,5,0),""))</f>
        <v/>
      </c>
      <c r="F392" s="79" t="str">
        <f t="shared" si="32"/>
        <v/>
      </c>
      <c r="G392" s="101"/>
      <c r="H392" s="91">
        <f t="shared" si="33"/>
        <v>0</v>
      </c>
      <c r="I392" s="91" t="str">
        <f t="shared" si="34"/>
        <v/>
      </c>
      <c r="J392" s="91" t="str">
        <f t="shared" si="35"/>
        <v/>
      </c>
      <c r="K392" s="92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2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58"/>
      <c r="U392" s="217" t="str">
        <f t="shared" si="36"/>
        <v/>
      </c>
      <c r="V392" s="215" t="s">
        <v>47</v>
      </c>
      <c r="W392" s="102" t="s">
        <v>136</v>
      </c>
      <c r="X392" s="102" t="s">
        <v>137</v>
      </c>
      <c r="Y392" s="103" t="s">
        <v>138</v>
      </c>
      <c r="Z392" s="103" t="s">
        <v>139</v>
      </c>
      <c r="AA392" s="103" t="s">
        <v>47</v>
      </c>
      <c r="AB392" s="103" t="s">
        <v>140</v>
      </c>
      <c r="AC392" s="104" t="s">
        <v>141</v>
      </c>
    </row>
    <row r="393" spans="1:29" ht="25.5" customHeight="1" x14ac:dyDescent="0.35">
      <c r="A393" s="188"/>
      <c r="B393" s="190"/>
      <c r="C393" s="99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0"/>
      <c r="E393" s="78" t="str">
        <f>IF(C393="","",IFERROR(VLOOKUP(C393,parametros!$A$11:$E$15,5,0),""))</f>
        <v/>
      </c>
      <c r="F393" s="79" t="str">
        <f t="shared" si="32"/>
        <v/>
      </c>
      <c r="G393" s="101"/>
      <c r="H393" s="91">
        <f t="shared" si="33"/>
        <v>0</v>
      </c>
      <c r="I393" s="91" t="str">
        <f t="shared" si="34"/>
        <v/>
      </c>
      <c r="J393" s="91" t="str">
        <f t="shared" si="35"/>
        <v/>
      </c>
      <c r="K393" s="92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2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58"/>
      <c r="U393" s="217" t="str">
        <f t="shared" si="36"/>
        <v/>
      </c>
      <c r="V393" s="215" t="s">
        <v>47</v>
      </c>
      <c r="W393" s="102" t="s">
        <v>136</v>
      </c>
      <c r="X393" s="102" t="s">
        <v>137</v>
      </c>
      <c r="Y393" s="103" t="s">
        <v>138</v>
      </c>
      <c r="Z393" s="103" t="s">
        <v>139</v>
      </c>
      <c r="AA393" s="103" t="s">
        <v>47</v>
      </c>
      <c r="AB393" s="103" t="s">
        <v>140</v>
      </c>
      <c r="AC393" s="104" t="s">
        <v>141</v>
      </c>
    </row>
    <row r="394" spans="1:29" ht="25.5" customHeight="1" x14ac:dyDescent="0.35">
      <c r="A394" s="188"/>
      <c r="B394" s="190"/>
      <c r="C394" s="99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0"/>
      <c r="E394" s="78" t="str">
        <f>IF(C394="","",IFERROR(VLOOKUP(C394,parametros!$A$11:$E$15,5,0),""))</f>
        <v/>
      </c>
      <c r="F394" s="79" t="str">
        <f t="shared" si="32"/>
        <v/>
      </c>
      <c r="G394" s="101"/>
      <c r="H394" s="91">
        <f t="shared" si="33"/>
        <v>0</v>
      </c>
      <c r="I394" s="91" t="str">
        <f t="shared" si="34"/>
        <v/>
      </c>
      <c r="J394" s="91" t="str">
        <f t="shared" si="35"/>
        <v/>
      </c>
      <c r="K394" s="92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2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58"/>
      <c r="U394" s="217" t="str">
        <f t="shared" si="36"/>
        <v/>
      </c>
      <c r="V394" s="215" t="s">
        <v>47</v>
      </c>
      <c r="W394" s="102" t="s">
        <v>136</v>
      </c>
      <c r="X394" s="102" t="s">
        <v>137</v>
      </c>
      <c r="Y394" s="103" t="s">
        <v>138</v>
      </c>
      <c r="Z394" s="103" t="s">
        <v>139</v>
      </c>
      <c r="AA394" s="103" t="s">
        <v>47</v>
      </c>
      <c r="AB394" s="103" t="s">
        <v>140</v>
      </c>
      <c r="AC394" s="104" t="s">
        <v>141</v>
      </c>
    </row>
    <row r="395" spans="1:29" ht="25.5" customHeight="1" x14ac:dyDescent="0.35">
      <c r="A395" s="188"/>
      <c r="B395" s="190"/>
      <c r="C395" s="99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0"/>
      <c r="E395" s="78" t="str">
        <f>IF(C395="","",IFERROR(VLOOKUP(C395,parametros!$A$11:$E$15,5,0),""))</f>
        <v/>
      </c>
      <c r="F395" s="79" t="str">
        <f t="shared" si="32"/>
        <v/>
      </c>
      <c r="G395" s="101"/>
      <c r="H395" s="91">
        <f t="shared" si="33"/>
        <v>0</v>
      </c>
      <c r="I395" s="91" t="str">
        <f t="shared" si="34"/>
        <v/>
      </c>
      <c r="J395" s="91" t="str">
        <f t="shared" si="35"/>
        <v/>
      </c>
      <c r="K395" s="92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2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58"/>
      <c r="U395" s="217" t="str">
        <f t="shared" si="36"/>
        <v/>
      </c>
      <c r="V395" s="215" t="s">
        <v>47</v>
      </c>
      <c r="W395" s="102" t="s">
        <v>136</v>
      </c>
      <c r="X395" s="102" t="s">
        <v>137</v>
      </c>
      <c r="Y395" s="103" t="s">
        <v>138</v>
      </c>
      <c r="Z395" s="103" t="s">
        <v>139</v>
      </c>
      <c r="AA395" s="103" t="s">
        <v>47</v>
      </c>
      <c r="AB395" s="103" t="s">
        <v>140</v>
      </c>
      <c r="AC395" s="104" t="s">
        <v>141</v>
      </c>
    </row>
    <row r="396" spans="1:29" ht="25.5" customHeight="1" x14ac:dyDescent="0.35">
      <c r="A396" s="188"/>
      <c r="B396" s="190"/>
      <c r="C396" s="99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0"/>
      <c r="E396" s="78" t="str">
        <f>IF(C396="","",IFERROR(VLOOKUP(C396,parametros!$A$11:$E$15,5,0),""))</f>
        <v/>
      </c>
      <c r="F396" s="79" t="str">
        <f t="shared" si="32"/>
        <v/>
      </c>
      <c r="G396" s="101"/>
      <c r="H396" s="91">
        <f t="shared" si="33"/>
        <v>0</v>
      </c>
      <c r="I396" s="91" t="str">
        <f t="shared" si="34"/>
        <v/>
      </c>
      <c r="J396" s="91" t="str">
        <f t="shared" si="35"/>
        <v/>
      </c>
      <c r="K396" s="92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2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58"/>
      <c r="U396" s="217" t="str">
        <f t="shared" si="36"/>
        <v/>
      </c>
      <c r="V396" s="215" t="s">
        <v>47</v>
      </c>
      <c r="W396" s="102" t="s">
        <v>136</v>
      </c>
      <c r="X396" s="102" t="s">
        <v>137</v>
      </c>
      <c r="Y396" s="103" t="s">
        <v>138</v>
      </c>
      <c r="Z396" s="103" t="s">
        <v>139</v>
      </c>
      <c r="AA396" s="103" t="s">
        <v>47</v>
      </c>
      <c r="AB396" s="103" t="s">
        <v>140</v>
      </c>
      <c r="AC396" s="104" t="s">
        <v>141</v>
      </c>
    </row>
    <row r="397" spans="1:29" ht="25.5" customHeight="1" x14ac:dyDescent="0.35">
      <c r="A397" s="188"/>
      <c r="B397" s="190"/>
      <c r="C397" s="99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0"/>
      <c r="E397" s="78" t="str">
        <f>IF(C397="","",IFERROR(VLOOKUP(C397,parametros!$A$11:$E$15,5,0),""))</f>
        <v/>
      </c>
      <c r="F397" s="79" t="str">
        <f t="shared" si="32"/>
        <v/>
      </c>
      <c r="G397" s="101"/>
      <c r="H397" s="91">
        <f t="shared" si="33"/>
        <v>0</v>
      </c>
      <c r="I397" s="91" t="str">
        <f t="shared" si="34"/>
        <v/>
      </c>
      <c r="J397" s="91" t="str">
        <f t="shared" si="35"/>
        <v/>
      </c>
      <c r="K397" s="92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2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58"/>
      <c r="U397" s="217" t="str">
        <f t="shared" si="36"/>
        <v/>
      </c>
      <c r="V397" s="215" t="s">
        <v>47</v>
      </c>
      <c r="W397" s="102" t="s">
        <v>136</v>
      </c>
      <c r="X397" s="102" t="s">
        <v>137</v>
      </c>
      <c r="Y397" s="103" t="s">
        <v>138</v>
      </c>
      <c r="Z397" s="103" t="s">
        <v>139</v>
      </c>
      <c r="AA397" s="103" t="s">
        <v>47</v>
      </c>
      <c r="AB397" s="103" t="s">
        <v>140</v>
      </c>
      <c r="AC397" s="104" t="s">
        <v>141</v>
      </c>
    </row>
    <row r="398" spans="1:29" ht="25.5" customHeight="1" x14ac:dyDescent="0.35">
      <c r="A398" s="188"/>
      <c r="B398" s="190"/>
      <c r="C398" s="99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0"/>
      <c r="E398" s="78" t="str">
        <f>IF(C398="","",IFERROR(VLOOKUP(C398,parametros!$A$11:$E$15,5,0),""))</f>
        <v/>
      </c>
      <c r="F398" s="79" t="str">
        <f t="shared" si="32"/>
        <v/>
      </c>
      <c r="G398" s="101"/>
      <c r="H398" s="91">
        <f t="shared" si="33"/>
        <v>0</v>
      </c>
      <c r="I398" s="91" t="str">
        <f t="shared" si="34"/>
        <v/>
      </c>
      <c r="J398" s="91" t="str">
        <f t="shared" si="35"/>
        <v/>
      </c>
      <c r="K398" s="92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2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58"/>
      <c r="U398" s="217" t="str">
        <f t="shared" si="36"/>
        <v/>
      </c>
      <c r="V398" s="215" t="s">
        <v>47</v>
      </c>
      <c r="W398" s="102" t="s">
        <v>136</v>
      </c>
      <c r="X398" s="102" t="s">
        <v>137</v>
      </c>
      <c r="Y398" s="103" t="s">
        <v>138</v>
      </c>
      <c r="Z398" s="103" t="s">
        <v>139</v>
      </c>
      <c r="AA398" s="103" t="s">
        <v>47</v>
      </c>
      <c r="AB398" s="103" t="s">
        <v>140</v>
      </c>
      <c r="AC398" s="104" t="s">
        <v>141</v>
      </c>
    </row>
    <row r="399" spans="1:29" ht="25.5" customHeight="1" x14ac:dyDescent="0.35">
      <c r="A399" s="188"/>
      <c r="B399" s="190"/>
      <c r="C399" s="99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0"/>
      <c r="E399" s="78" t="str">
        <f>IF(C399="","",IFERROR(VLOOKUP(C399,parametros!$A$11:$E$15,5,0),""))</f>
        <v/>
      </c>
      <c r="F399" s="79" t="str">
        <f t="shared" si="32"/>
        <v/>
      </c>
      <c r="G399" s="101"/>
      <c r="H399" s="91">
        <f t="shared" si="33"/>
        <v>0</v>
      </c>
      <c r="I399" s="91" t="str">
        <f t="shared" si="34"/>
        <v/>
      </c>
      <c r="J399" s="91" t="str">
        <f t="shared" si="35"/>
        <v/>
      </c>
      <c r="K399" s="92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2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58"/>
      <c r="U399" s="217" t="str">
        <f t="shared" si="36"/>
        <v/>
      </c>
      <c r="V399" s="215" t="s">
        <v>47</v>
      </c>
      <c r="W399" s="102" t="s">
        <v>136</v>
      </c>
      <c r="X399" s="102" t="s">
        <v>137</v>
      </c>
      <c r="Y399" s="103" t="s">
        <v>138</v>
      </c>
      <c r="Z399" s="103" t="s">
        <v>139</v>
      </c>
      <c r="AA399" s="103" t="s">
        <v>47</v>
      </c>
      <c r="AB399" s="103" t="s">
        <v>140</v>
      </c>
      <c r="AC399" s="104" t="s">
        <v>141</v>
      </c>
    </row>
    <row r="400" spans="1:29" ht="25.5" customHeight="1" x14ac:dyDescent="0.35">
      <c r="A400" s="188"/>
      <c r="B400" s="190"/>
      <c r="C400" s="99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0"/>
      <c r="E400" s="78" t="str">
        <f>IF(C400="","",IFERROR(VLOOKUP(C400,parametros!$A$11:$E$15,5,0),""))</f>
        <v/>
      </c>
      <c r="F400" s="79" t="str">
        <f t="shared" si="32"/>
        <v/>
      </c>
      <c r="G400" s="101"/>
      <c r="H400" s="91">
        <f t="shared" si="33"/>
        <v>0</v>
      </c>
      <c r="I400" s="91" t="str">
        <f t="shared" si="34"/>
        <v/>
      </c>
      <c r="J400" s="91" t="str">
        <f t="shared" si="35"/>
        <v/>
      </c>
      <c r="K400" s="92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2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58"/>
      <c r="U400" s="217" t="str">
        <f t="shared" si="36"/>
        <v/>
      </c>
      <c r="V400" s="215" t="s">
        <v>47</v>
      </c>
      <c r="W400" s="102" t="s">
        <v>136</v>
      </c>
      <c r="X400" s="102" t="s">
        <v>137</v>
      </c>
      <c r="Y400" s="103" t="s">
        <v>138</v>
      </c>
      <c r="Z400" s="103" t="s">
        <v>139</v>
      </c>
      <c r="AA400" s="103" t="s">
        <v>47</v>
      </c>
      <c r="AB400" s="103" t="s">
        <v>140</v>
      </c>
      <c r="AC400" s="104" t="s">
        <v>141</v>
      </c>
    </row>
    <row r="401" spans="1:29" ht="25.5" customHeight="1" x14ac:dyDescent="0.35">
      <c r="A401" s="188"/>
      <c r="B401" s="190"/>
      <c r="C401" s="99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0"/>
      <c r="E401" s="78" t="str">
        <f>IF(C401="","",IFERROR(VLOOKUP(C401,parametros!$A$11:$E$15,5,0),""))</f>
        <v/>
      </c>
      <c r="F401" s="79" t="str">
        <f t="shared" si="32"/>
        <v/>
      </c>
      <c r="G401" s="101"/>
      <c r="H401" s="91">
        <f t="shared" si="33"/>
        <v>0</v>
      </c>
      <c r="I401" s="91" t="str">
        <f t="shared" si="34"/>
        <v/>
      </c>
      <c r="J401" s="91" t="str">
        <f t="shared" si="35"/>
        <v/>
      </c>
      <c r="K401" s="92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2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58"/>
      <c r="U401" s="217" t="str">
        <f t="shared" si="36"/>
        <v/>
      </c>
      <c r="V401" s="215" t="s">
        <v>47</v>
      </c>
      <c r="W401" s="102" t="s">
        <v>136</v>
      </c>
      <c r="X401" s="102" t="s">
        <v>137</v>
      </c>
      <c r="Y401" s="103" t="s">
        <v>138</v>
      </c>
      <c r="Z401" s="103" t="s">
        <v>139</v>
      </c>
      <c r="AA401" s="103" t="s">
        <v>47</v>
      </c>
      <c r="AB401" s="103" t="s">
        <v>140</v>
      </c>
      <c r="AC401" s="104" t="s">
        <v>141</v>
      </c>
    </row>
    <row r="402" spans="1:29" ht="25.5" customHeight="1" x14ac:dyDescent="0.35">
      <c r="A402" s="188"/>
      <c r="B402" s="190"/>
      <c r="C402" s="99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0"/>
      <c r="E402" s="78" t="str">
        <f>IF(C402="","",IFERROR(VLOOKUP(C402,parametros!$A$11:$E$15,5,0),""))</f>
        <v/>
      </c>
      <c r="F402" s="79" t="str">
        <f t="shared" si="32"/>
        <v/>
      </c>
      <c r="G402" s="101"/>
      <c r="H402" s="91">
        <f t="shared" si="33"/>
        <v>0</v>
      </c>
      <c r="I402" s="91" t="str">
        <f t="shared" si="34"/>
        <v/>
      </c>
      <c r="J402" s="91" t="str">
        <f t="shared" si="35"/>
        <v/>
      </c>
      <c r="K402" s="92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2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58"/>
      <c r="U402" s="217" t="str">
        <f t="shared" si="36"/>
        <v/>
      </c>
      <c r="V402" s="215" t="s">
        <v>47</v>
      </c>
      <c r="W402" s="102" t="s">
        <v>136</v>
      </c>
      <c r="X402" s="102" t="s">
        <v>137</v>
      </c>
      <c r="Y402" s="103" t="s">
        <v>138</v>
      </c>
      <c r="Z402" s="103" t="s">
        <v>139</v>
      </c>
      <c r="AA402" s="103" t="s">
        <v>47</v>
      </c>
      <c r="AB402" s="103" t="s">
        <v>140</v>
      </c>
      <c r="AC402" s="104" t="s">
        <v>141</v>
      </c>
    </row>
    <row r="403" spans="1:29" ht="25.5" customHeight="1" x14ac:dyDescent="0.35">
      <c r="A403" s="188"/>
      <c r="B403" s="190"/>
      <c r="C403" s="99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0"/>
      <c r="E403" s="78" t="str">
        <f>IF(C403="","",IFERROR(VLOOKUP(C403,parametros!$A$11:$E$15,5,0),""))</f>
        <v/>
      </c>
      <c r="F403" s="79" t="str">
        <f t="shared" si="32"/>
        <v/>
      </c>
      <c r="G403" s="101"/>
      <c r="H403" s="91">
        <f t="shared" si="33"/>
        <v>0</v>
      </c>
      <c r="I403" s="91" t="str">
        <f t="shared" si="34"/>
        <v/>
      </c>
      <c r="J403" s="91" t="str">
        <f t="shared" si="35"/>
        <v/>
      </c>
      <c r="K403" s="92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2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58"/>
      <c r="U403" s="217" t="str">
        <f t="shared" si="36"/>
        <v/>
      </c>
      <c r="V403" s="215" t="s">
        <v>47</v>
      </c>
      <c r="W403" s="102" t="s">
        <v>136</v>
      </c>
      <c r="X403" s="102" t="s">
        <v>137</v>
      </c>
      <c r="Y403" s="103" t="s">
        <v>138</v>
      </c>
      <c r="Z403" s="103" t="s">
        <v>139</v>
      </c>
      <c r="AA403" s="103" t="s">
        <v>47</v>
      </c>
      <c r="AB403" s="103" t="s">
        <v>140</v>
      </c>
      <c r="AC403" s="104" t="s">
        <v>141</v>
      </c>
    </row>
    <row r="404" spans="1:29" ht="25.5" customHeight="1" x14ac:dyDescent="0.35">
      <c r="A404" s="188"/>
      <c r="B404" s="190"/>
      <c r="C404" s="99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0"/>
      <c r="E404" s="78" t="str">
        <f>IF(C404="","",IFERROR(VLOOKUP(C404,parametros!$A$11:$E$15,5,0),""))</f>
        <v/>
      </c>
      <c r="F404" s="79" t="str">
        <f t="shared" si="32"/>
        <v/>
      </c>
      <c r="G404" s="101"/>
      <c r="H404" s="91">
        <f t="shared" si="33"/>
        <v>0</v>
      </c>
      <c r="I404" s="91" t="str">
        <f t="shared" si="34"/>
        <v/>
      </c>
      <c r="J404" s="91" t="str">
        <f t="shared" si="35"/>
        <v/>
      </c>
      <c r="K404" s="92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2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58"/>
      <c r="U404" s="217" t="str">
        <f t="shared" si="36"/>
        <v/>
      </c>
      <c r="V404" s="215" t="s">
        <v>47</v>
      </c>
      <c r="W404" s="102" t="s">
        <v>136</v>
      </c>
      <c r="X404" s="102" t="s">
        <v>137</v>
      </c>
      <c r="Y404" s="103" t="s">
        <v>138</v>
      </c>
      <c r="Z404" s="103" t="s">
        <v>139</v>
      </c>
      <c r="AA404" s="103" t="s">
        <v>47</v>
      </c>
      <c r="AB404" s="103" t="s">
        <v>140</v>
      </c>
      <c r="AC404" s="104" t="s">
        <v>141</v>
      </c>
    </row>
    <row r="405" spans="1:29" ht="25.5" customHeight="1" x14ac:dyDescent="0.35">
      <c r="A405" s="188"/>
      <c r="B405" s="190"/>
      <c r="C405" s="99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0"/>
      <c r="E405" s="78" t="str">
        <f>IF(C405="","",IFERROR(VLOOKUP(C405,parametros!$A$11:$E$15,5,0),""))</f>
        <v/>
      </c>
      <c r="F405" s="79" t="str">
        <f t="shared" si="32"/>
        <v/>
      </c>
      <c r="G405" s="101"/>
      <c r="H405" s="91">
        <f t="shared" si="33"/>
        <v>0</v>
      </c>
      <c r="I405" s="91" t="str">
        <f t="shared" si="34"/>
        <v/>
      </c>
      <c r="J405" s="91" t="str">
        <f t="shared" si="35"/>
        <v/>
      </c>
      <c r="K405" s="92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2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58"/>
      <c r="U405" s="217" t="str">
        <f t="shared" si="36"/>
        <v/>
      </c>
      <c r="V405" s="215" t="s">
        <v>47</v>
      </c>
      <c r="W405" s="102" t="s">
        <v>136</v>
      </c>
      <c r="X405" s="102" t="s">
        <v>137</v>
      </c>
      <c r="Y405" s="103" t="s">
        <v>138</v>
      </c>
      <c r="Z405" s="103" t="s">
        <v>139</v>
      </c>
      <c r="AA405" s="103" t="s">
        <v>47</v>
      </c>
      <c r="AB405" s="103" t="s">
        <v>140</v>
      </c>
      <c r="AC405" s="104" t="s">
        <v>141</v>
      </c>
    </row>
    <row r="406" spans="1:29" ht="25.5" customHeight="1" x14ac:dyDescent="0.35">
      <c r="A406" s="188"/>
      <c r="B406" s="190"/>
      <c r="C406" s="99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0"/>
      <c r="E406" s="78" t="str">
        <f>IF(C406="","",IFERROR(VLOOKUP(C406,parametros!$A$11:$E$15,5,0),""))</f>
        <v/>
      </c>
      <c r="F406" s="79" t="str">
        <f t="shared" si="32"/>
        <v/>
      </c>
      <c r="G406" s="101"/>
      <c r="H406" s="91">
        <f t="shared" si="33"/>
        <v>0</v>
      </c>
      <c r="I406" s="91" t="str">
        <f t="shared" si="34"/>
        <v/>
      </c>
      <c r="J406" s="91" t="str">
        <f t="shared" si="35"/>
        <v/>
      </c>
      <c r="K406" s="92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2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58"/>
      <c r="U406" s="217" t="str">
        <f t="shared" si="36"/>
        <v/>
      </c>
      <c r="V406" s="215" t="s">
        <v>47</v>
      </c>
      <c r="W406" s="102" t="s">
        <v>136</v>
      </c>
      <c r="X406" s="102" t="s">
        <v>137</v>
      </c>
      <c r="Y406" s="103" t="s">
        <v>138</v>
      </c>
      <c r="Z406" s="103" t="s">
        <v>139</v>
      </c>
      <c r="AA406" s="103" t="s">
        <v>47</v>
      </c>
      <c r="AB406" s="103" t="s">
        <v>140</v>
      </c>
      <c r="AC406" s="104" t="s">
        <v>141</v>
      </c>
    </row>
    <row r="407" spans="1:29" ht="25.5" customHeight="1" x14ac:dyDescent="0.35">
      <c r="A407" s="188"/>
      <c r="B407" s="190"/>
      <c r="C407" s="99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0"/>
      <c r="E407" s="78" t="str">
        <f>IF(C407="","",IFERROR(VLOOKUP(C407,parametros!$A$11:$E$15,5,0),""))</f>
        <v/>
      </c>
      <c r="F407" s="79" t="str">
        <f t="shared" si="32"/>
        <v/>
      </c>
      <c r="G407" s="101"/>
      <c r="H407" s="91">
        <f t="shared" si="33"/>
        <v>0</v>
      </c>
      <c r="I407" s="91" t="str">
        <f t="shared" si="34"/>
        <v/>
      </c>
      <c r="J407" s="91" t="str">
        <f t="shared" si="35"/>
        <v/>
      </c>
      <c r="K407" s="92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2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58"/>
      <c r="U407" s="217" t="str">
        <f t="shared" si="36"/>
        <v/>
      </c>
      <c r="V407" s="215" t="s">
        <v>47</v>
      </c>
      <c r="W407" s="102" t="s">
        <v>136</v>
      </c>
      <c r="X407" s="102" t="s">
        <v>137</v>
      </c>
      <c r="Y407" s="103" t="s">
        <v>138</v>
      </c>
      <c r="Z407" s="103" t="s">
        <v>139</v>
      </c>
      <c r="AA407" s="103" t="s">
        <v>47</v>
      </c>
      <c r="AB407" s="103" t="s">
        <v>140</v>
      </c>
      <c r="AC407" s="104" t="s">
        <v>141</v>
      </c>
    </row>
    <row r="408" spans="1:29" ht="25.5" customHeight="1" x14ac:dyDescent="0.35">
      <c r="A408" s="188"/>
      <c r="B408" s="190"/>
      <c r="C408" s="99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0"/>
      <c r="E408" s="78" t="str">
        <f>IF(C408="","",IFERROR(VLOOKUP(C408,parametros!$A$11:$E$15,5,0),""))</f>
        <v/>
      </c>
      <c r="F408" s="79" t="str">
        <f t="shared" si="32"/>
        <v/>
      </c>
      <c r="G408" s="101"/>
      <c r="H408" s="91">
        <f t="shared" si="33"/>
        <v>0</v>
      </c>
      <c r="I408" s="91" t="str">
        <f t="shared" si="34"/>
        <v/>
      </c>
      <c r="J408" s="91" t="str">
        <f t="shared" si="35"/>
        <v/>
      </c>
      <c r="K408" s="92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2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58"/>
      <c r="U408" s="217" t="str">
        <f t="shared" si="36"/>
        <v/>
      </c>
      <c r="V408" s="215" t="s">
        <v>47</v>
      </c>
      <c r="W408" s="102" t="s">
        <v>136</v>
      </c>
      <c r="X408" s="102" t="s">
        <v>137</v>
      </c>
      <c r="Y408" s="103" t="s">
        <v>138</v>
      </c>
      <c r="Z408" s="103" t="s">
        <v>139</v>
      </c>
      <c r="AA408" s="103" t="s">
        <v>47</v>
      </c>
      <c r="AB408" s="103" t="s">
        <v>140</v>
      </c>
      <c r="AC408" s="104" t="s">
        <v>141</v>
      </c>
    </row>
    <row r="409" spans="1:29" ht="25.5" customHeight="1" x14ac:dyDescent="0.35">
      <c r="A409" s="188"/>
      <c r="B409" s="190"/>
      <c r="C409" s="99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0"/>
      <c r="E409" s="78" t="str">
        <f>IF(C409="","",IFERROR(VLOOKUP(C409,parametros!$A$11:$E$15,5,0),""))</f>
        <v/>
      </c>
      <c r="F409" s="79" t="str">
        <f t="shared" si="32"/>
        <v/>
      </c>
      <c r="G409" s="101"/>
      <c r="H409" s="91">
        <f t="shared" si="33"/>
        <v>0</v>
      </c>
      <c r="I409" s="91" t="str">
        <f t="shared" si="34"/>
        <v/>
      </c>
      <c r="J409" s="91" t="str">
        <f t="shared" si="35"/>
        <v/>
      </c>
      <c r="K409" s="92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2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58"/>
      <c r="U409" s="217" t="str">
        <f t="shared" si="36"/>
        <v/>
      </c>
      <c r="V409" s="215" t="s">
        <v>47</v>
      </c>
      <c r="W409" s="102" t="s">
        <v>136</v>
      </c>
      <c r="X409" s="102" t="s">
        <v>137</v>
      </c>
      <c r="Y409" s="103" t="s">
        <v>138</v>
      </c>
      <c r="Z409" s="103" t="s">
        <v>139</v>
      </c>
      <c r="AA409" s="103" t="s">
        <v>47</v>
      </c>
      <c r="AB409" s="103" t="s">
        <v>140</v>
      </c>
      <c r="AC409" s="104" t="s">
        <v>141</v>
      </c>
    </row>
    <row r="410" spans="1:29" ht="25.5" customHeight="1" x14ac:dyDescent="0.35">
      <c r="A410" s="188"/>
      <c r="B410" s="190"/>
      <c r="C410" s="99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0"/>
      <c r="E410" s="78" t="str">
        <f>IF(C410="","",IFERROR(VLOOKUP(C410,parametros!$A$11:$E$15,5,0),""))</f>
        <v/>
      </c>
      <c r="F410" s="79" t="str">
        <f t="shared" si="32"/>
        <v/>
      </c>
      <c r="G410" s="101"/>
      <c r="H410" s="91">
        <f t="shared" si="33"/>
        <v>0</v>
      </c>
      <c r="I410" s="91" t="str">
        <f t="shared" si="34"/>
        <v/>
      </c>
      <c r="J410" s="91" t="str">
        <f t="shared" si="35"/>
        <v/>
      </c>
      <c r="K410" s="92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2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58"/>
      <c r="U410" s="217" t="str">
        <f t="shared" si="36"/>
        <v/>
      </c>
      <c r="V410" s="215" t="s">
        <v>47</v>
      </c>
      <c r="W410" s="102" t="s">
        <v>136</v>
      </c>
      <c r="X410" s="102" t="s">
        <v>137</v>
      </c>
      <c r="Y410" s="103" t="s">
        <v>138</v>
      </c>
      <c r="Z410" s="103" t="s">
        <v>139</v>
      </c>
      <c r="AA410" s="103" t="s">
        <v>47</v>
      </c>
      <c r="AB410" s="103" t="s">
        <v>140</v>
      </c>
      <c r="AC410" s="104" t="s">
        <v>141</v>
      </c>
    </row>
    <row r="411" spans="1:29" ht="25.5" customHeight="1" x14ac:dyDescent="0.35">
      <c r="A411" s="188"/>
      <c r="B411" s="190"/>
      <c r="C411" s="99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0"/>
      <c r="E411" s="78" t="str">
        <f>IF(C411="","",IFERROR(VLOOKUP(C411,parametros!$A$11:$E$15,5,0),""))</f>
        <v/>
      </c>
      <c r="F411" s="79" t="str">
        <f t="shared" si="32"/>
        <v/>
      </c>
      <c r="G411" s="101"/>
      <c r="H411" s="91">
        <f t="shared" si="33"/>
        <v>0</v>
      </c>
      <c r="I411" s="91" t="str">
        <f t="shared" si="34"/>
        <v/>
      </c>
      <c r="J411" s="91" t="str">
        <f t="shared" si="35"/>
        <v/>
      </c>
      <c r="K411" s="92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2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58"/>
      <c r="U411" s="217" t="str">
        <f t="shared" si="36"/>
        <v/>
      </c>
      <c r="V411" s="215" t="s">
        <v>47</v>
      </c>
      <c r="W411" s="102" t="s">
        <v>136</v>
      </c>
      <c r="X411" s="102" t="s">
        <v>137</v>
      </c>
      <c r="Y411" s="103" t="s">
        <v>138</v>
      </c>
      <c r="Z411" s="103" t="s">
        <v>139</v>
      </c>
      <c r="AA411" s="103" t="s">
        <v>47</v>
      </c>
      <c r="AB411" s="103" t="s">
        <v>140</v>
      </c>
      <c r="AC411" s="104" t="s">
        <v>141</v>
      </c>
    </row>
    <row r="412" spans="1:29" ht="25.5" customHeight="1" x14ac:dyDescent="0.35">
      <c r="A412" s="188"/>
      <c r="B412" s="190"/>
      <c r="C412" s="99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0"/>
      <c r="E412" s="78" t="str">
        <f>IF(C412="","",IFERROR(VLOOKUP(C412,parametros!$A$11:$E$15,5,0),""))</f>
        <v/>
      </c>
      <c r="F412" s="79" t="str">
        <f t="shared" si="32"/>
        <v/>
      </c>
      <c r="G412" s="101"/>
      <c r="H412" s="91">
        <f t="shared" si="33"/>
        <v>0</v>
      </c>
      <c r="I412" s="91" t="str">
        <f t="shared" si="34"/>
        <v/>
      </c>
      <c r="J412" s="91" t="str">
        <f t="shared" si="35"/>
        <v/>
      </c>
      <c r="K412" s="92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2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58"/>
      <c r="U412" s="217" t="str">
        <f t="shared" si="36"/>
        <v/>
      </c>
      <c r="V412" s="215" t="s">
        <v>47</v>
      </c>
      <c r="W412" s="102" t="s">
        <v>136</v>
      </c>
      <c r="X412" s="102" t="s">
        <v>137</v>
      </c>
      <c r="Y412" s="103" t="s">
        <v>138</v>
      </c>
      <c r="Z412" s="103" t="s">
        <v>139</v>
      </c>
      <c r="AA412" s="103" t="s">
        <v>47</v>
      </c>
      <c r="AB412" s="103" t="s">
        <v>140</v>
      </c>
      <c r="AC412" s="104" t="s">
        <v>141</v>
      </c>
    </row>
    <row r="413" spans="1:29" ht="25.5" customHeight="1" x14ac:dyDescent="0.35">
      <c r="A413" s="188"/>
      <c r="B413" s="190"/>
      <c r="C413" s="99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0"/>
      <c r="E413" s="78" t="str">
        <f>IF(C413="","",IFERROR(VLOOKUP(C413,parametros!$A$11:$E$15,5,0),""))</f>
        <v/>
      </c>
      <c r="F413" s="79" t="str">
        <f t="shared" si="32"/>
        <v/>
      </c>
      <c r="G413" s="101"/>
      <c r="H413" s="91">
        <f t="shared" si="33"/>
        <v>0</v>
      </c>
      <c r="I413" s="91" t="str">
        <f t="shared" si="34"/>
        <v/>
      </c>
      <c r="J413" s="91" t="str">
        <f t="shared" si="35"/>
        <v/>
      </c>
      <c r="K413" s="92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2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58"/>
      <c r="U413" s="217" t="str">
        <f t="shared" si="36"/>
        <v/>
      </c>
      <c r="V413" s="215" t="s">
        <v>47</v>
      </c>
      <c r="W413" s="102" t="s">
        <v>136</v>
      </c>
      <c r="X413" s="102" t="s">
        <v>137</v>
      </c>
      <c r="Y413" s="103" t="s">
        <v>138</v>
      </c>
      <c r="Z413" s="103" t="s">
        <v>139</v>
      </c>
      <c r="AA413" s="103" t="s">
        <v>47</v>
      </c>
      <c r="AB413" s="103" t="s">
        <v>140</v>
      </c>
      <c r="AC413" s="104" t="s">
        <v>141</v>
      </c>
    </row>
    <row r="414" spans="1:29" ht="25.5" customHeight="1" x14ac:dyDescent="0.35">
      <c r="A414" s="188"/>
      <c r="B414" s="190"/>
      <c r="C414" s="99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0"/>
      <c r="E414" s="78" t="str">
        <f>IF(C414="","",IFERROR(VLOOKUP(C414,parametros!$A$11:$E$15,5,0),""))</f>
        <v/>
      </c>
      <c r="F414" s="79" t="str">
        <f t="shared" si="32"/>
        <v/>
      </c>
      <c r="G414" s="101"/>
      <c r="H414" s="91">
        <f t="shared" si="33"/>
        <v>0</v>
      </c>
      <c r="I414" s="91" t="str">
        <f t="shared" si="34"/>
        <v/>
      </c>
      <c r="J414" s="91" t="str">
        <f t="shared" si="35"/>
        <v/>
      </c>
      <c r="K414" s="92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2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58"/>
      <c r="U414" s="217" t="str">
        <f t="shared" si="36"/>
        <v/>
      </c>
      <c r="V414" s="215" t="s">
        <v>47</v>
      </c>
      <c r="W414" s="102" t="s">
        <v>136</v>
      </c>
      <c r="X414" s="102" t="s">
        <v>137</v>
      </c>
      <c r="Y414" s="103" t="s">
        <v>138</v>
      </c>
      <c r="Z414" s="103" t="s">
        <v>139</v>
      </c>
      <c r="AA414" s="103" t="s">
        <v>47</v>
      </c>
      <c r="AB414" s="103" t="s">
        <v>140</v>
      </c>
      <c r="AC414" s="104" t="s">
        <v>141</v>
      </c>
    </row>
    <row r="415" spans="1:29" ht="25.5" customHeight="1" x14ac:dyDescent="0.35">
      <c r="A415" s="188"/>
      <c r="B415" s="190"/>
      <c r="C415" s="99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0"/>
      <c r="E415" s="78" t="str">
        <f>IF(C415="","",IFERROR(VLOOKUP(C415,parametros!$A$11:$E$15,5,0),""))</f>
        <v/>
      </c>
      <c r="F415" s="79" t="str">
        <f t="shared" si="32"/>
        <v/>
      </c>
      <c r="G415" s="101"/>
      <c r="H415" s="91">
        <f t="shared" si="33"/>
        <v>0</v>
      </c>
      <c r="I415" s="91" t="str">
        <f t="shared" si="34"/>
        <v/>
      </c>
      <c r="J415" s="91" t="str">
        <f t="shared" si="35"/>
        <v/>
      </c>
      <c r="K415" s="92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2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58"/>
      <c r="U415" s="217" t="str">
        <f t="shared" si="36"/>
        <v/>
      </c>
      <c r="V415" s="215" t="s">
        <v>47</v>
      </c>
      <c r="W415" s="102" t="s">
        <v>136</v>
      </c>
      <c r="X415" s="102" t="s">
        <v>137</v>
      </c>
      <c r="Y415" s="103" t="s">
        <v>138</v>
      </c>
      <c r="Z415" s="103" t="s">
        <v>139</v>
      </c>
      <c r="AA415" s="103" t="s">
        <v>47</v>
      </c>
      <c r="AB415" s="103" t="s">
        <v>140</v>
      </c>
      <c r="AC415" s="104" t="s">
        <v>141</v>
      </c>
    </row>
    <row r="416" spans="1:29" ht="25.5" customHeight="1" x14ac:dyDescent="0.35">
      <c r="A416" s="188"/>
      <c r="B416" s="190"/>
      <c r="C416" s="99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0"/>
      <c r="E416" s="78" t="str">
        <f>IF(C416="","",IFERROR(VLOOKUP(C416,parametros!$A$11:$E$15,5,0),""))</f>
        <v/>
      </c>
      <c r="F416" s="79" t="str">
        <f t="shared" si="32"/>
        <v/>
      </c>
      <c r="G416" s="101"/>
      <c r="H416" s="91">
        <f t="shared" si="33"/>
        <v>0</v>
      </c>
      <c r="I416" s="91" t="str">
        <f t="shared" si="34"/>
        <v/>
      </c>
      <c r="J416" s="91" t="str">
        <f t="shared" si="35"/>
        <v/>
      </c>
      <c r="K416" s="92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2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58"/>
      <c r="U416" s="217" t="str">
        <f t="shared" si="36"/>
        <v/>
      </c>
      <c r="V416" s="215" t="s">
        <v>47</v>
      </c>
      <c r="W416" s="102" t="s">
        <v>136</v>
      </c>
      <c r="X416" s="102" t="s">
        <v>137</v>
      </c>
      <c r="Y416" s="103" t="s">
        <v>138</v>
      </c>
      <c r="Z416" s="103" t="s">
        <v>139</v>
      </c>
      <c r="AA416" s="103" t="s">
        <v>47</v>
      </c>
      <c r="AB416" s="103" t="s">
        <v>140</v>
      </c>
      <c r="AC416" s="104" t="s">
        <v>141</v>
      </c>
    </row>
    <row r="417" spans="1:29" ht="25.5" customHeight="1" x14ac:dyDescent="0.35">
      <c r="A417" s="188"/>
      <c r="B417" s="190"/>
      <c r="C417" s="99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0"/>
      <c r="E417" s="78" t="str">
        <f>IF(C417="","",IFERROR(VLOOKUP(C417,parametros!$A$11:$E$15,5,0),""))</f>
        <v/>
      </c>
      <c r="F417" s="79" t="str">
        <f t="shared" si="32"/>
        <v/>
      </c>
      <c r="G417" s="101"/>
      <c r="H417" s="91">
        <f t="shared" si="33"/>
        <v>0</v>
      </c>
      <c r="I417" s="91" t="str">
        <f t="shared" si="34"/>
        <v/>
      </c>
      <c r="J417" s="91" t="str">
        <f t="shared" si="35"/>
        <v/>
      </c>
      <c r="K417" s="92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2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58"/>
      <c r="U417" s="217" t="str">
        <f t="shared" si="36"/>
        <v/>
      </c>
      <c r="V417" s="215" t="s">
        <v>47</v>
      </c>
      <c r="W417" s="102" t="s">
        <v>136</v>
      </c>
      <c r="X417" s="102" t="s">
        <v>137</v>
      </c>
      <c r="Y417" s="103" t="s">
        <v>138</v>
      </c>
      <c r="Z417" s="103" t="s">
        <v>139</v>
      </c>
      <c r="AA417" s="103" t="s">
        <v>47</v>
      </c>
      <c r="AB417" s="103" t="s">
        <v>140</v>
      </c>
      <c r="AC417" s="104" t="s">
        <v>141</v>
      </c>
    </row>
    <row r="418" spans="1:29" ht="25.5" customHeight="1" x14ac:dyDescent="0.35">
      <c r="A418" s="188"/>
      <c r="B418" s="190"/>
      <c r="C418" s="99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0"/>
      <c r="E418" s="78" t="str">
        <f>IF(C418="","",IFERROR(VLOOKUP(C418,parametros!$A$11:$E$15,5,0),""))</f>
        <v/>
      </c>
      <c r="F418" s="79" t="str">
        <f t="shared" si="32"/>
        <v/>
      </c>
      <c r="G418" s="101"/>
      <c r="H418" s="91">
        <f t="shared" si="33"/>
        <v>0</v>
      </c>
      <c r="I418" s="91" t="str">
        <f t="shared" si="34"/>
        <v/>
      </c>
      <c r="J418" s="91" t="str">
        <f t="shared" si="35"/>
        <v/>
      </c>
      <c r="K418" s="92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2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58"/>
      <c r="U418" s="217" t="str">
        <f t="shared" si="36"/>
        <v/>
      </c>
      <c r="V418" s="215" t="s">
        <v>47</v>
      </c>
      <c r="W418" s="102" t="s">
        <v>136</v>
      </c>
      <c r="X418" s="102" t="s">
        <v>137</v>
      </c>
      <c r="Y418" s="103" t="s">
        <v>138</v>
      </c>
      <c r="Z418" s="103" t="s">
        <v>139</v>
      </c>
      <c r="AA418" s="103" t="s">
        <v>47</v>
      </c>
      <c r="AB418" s="103" t="s">
        <v>140</v>
      </c>
      <c r="AC418" s="104" t="s">
        <v>141</v>
      </c>
    </row>
    <row r="419" spans="1:29" ht="25.5" customHeight="1" x14ac:dyDescent="0.35">
      <c r="A419" s="188"/>
      <c r="B419" s="190"/>
      <c r="C419" s="99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0"/>
      <c r="E419" s="78" t="str">
        <f>IF(C419="","",IFERROR(VLOOKUP(C419,parametros!$A$11:$E$15,5,0),""))</f>
        <v/>
      </c>
      <c r="F419" s="79" t="str">
        <f t="shared" si="32"/>
        <v/>
      </c>
      <c r="G419" s="101"/>
      <c r="H419" s="91">
        <f t="shared" si="33"/>
        <v>0</v>
      </c>
      <c r="I419" s="91" t="str">
        <f t="shared" si="34"/>
        <v/>
      </c>
      <c r="J419" s="91" t="str">
        <f t="shared" si="35"/>
        <v/>
      </c>
      <c r="K419" s="92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2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58"/>
      <c r="U419" s="217" t="str">
        <f t="shared" si="36"/>
        <v/>
      </c>
      <c r="V419" s="215" t="s">
        <v>47</v>
      </c>
      <c r="W419" s="102" t="s">
        <v>136</v>
      </c>
      <c r="X419" s="102" t="s">
        <v>137</v>
      </c>
      <c r="Y419" s="103" t="s">
        <v>138</v>
      </c>
      <c r="Z419" s="103" t="s">
        <v>139</v>
      </c>
      <c r="AA419" s="103" t="s">
        <v>47</v>
      </c>
      <c r="AB419" s="103" t="s">
        <v>140</v>
      </c>
      <c r="AC419" s="104" t="s">
        <v>141</v>
      </c>
    </row>
    <row r="420" spans="1:29" ht="25.5" customHeight="1" x14ac:dyDescent="0.35">
      <c r="A420" s="188"/>
      <c r="B420" s="190"/>
      <c r="C420" s="99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0"/>
      <c r="E420" s="78" t="str">
        <f>IF(C420="","",IFERROR(VLOOKUP(C420,parametros!$A$11:$E$15,5,0),""))</f>
        <v/>
      </c>
      <c r="F420" s="79" t="str">
        <f t="shared" si="32"/>
        <v/>
      </c>
      <c r="G420" s="101"/>
      <c r="H420" s="91">
        <f t="shared" si="33"/>
        <v>0</v>
      </c>
      <c r="I420" s="91" t="str">
        <f t="shared" si="34"/>
        <v/>
      </c>
      <c r="J420" s="91" t="str">
        <f t="shared" si="35"/>
        <v/>
      </c>
      <c r="K420" s="92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2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58"/>
      <c r="U420" s="217" t="str">
        <f t="shared" si="36"/>
        <v/>
      </c>
      <c r="V420" s="215" t="s">
        <v>47</v>
      </c>
      <c r="W420" s="102" t="s">
        <v>136</v>
      </c>
      <c r="X420" s="102" t="s">
        <v>137</v>
      </c>
      <c r="Y420" s="103" t="s">
        <v>138</v>
      </c>
      <c r="Z420" s="103" t="s">
        <v>139</v>
      </c>
      <c r="AA420" s="103" t="s">
        <v>47</v>
      </c>
      <c r="AB420" s="103" t="s">
        <v>140</v>
      </c>
      <c r="AC420" s="104" t="s">
        <v>141</v>
      </c>
    </row>
    <row r="421" spans="1:29" ht="25.5" customHeight="1" x14ac:dyDescent="0.35">
      <c r="A421" s="188"/>
      <c r="B421" s="190"/>
      <c r="C421" s="99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0"/>
      <c r="E421" s="78" t="str">
        <f>IF(C421="","",IFERROR(VLOOKUP(C421,parametros!$A$11:$E$15,5,0),""))</f>
        <v/>
      </c>
      <c r="F421" s="79" t="str">
        <f t="shared" si="32"/>
        <v/>
      </c>
      <c r="G421" s="101"/>
      <c r="H421" s="91">
        <f t="shared" si="33"/>
        <v>0</v>
      </c>
      <c r="I421" s="91" t="str">
        <f t="shared" si="34"/>
        <v/>
      </c>
      <c r="J421" s="91" t="str">
        <f t="shared" si="35"/>
        <v/>
      </c>
      <c r="K421" s="92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2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58"/>
      <c r="U421" s="217" t="str">
        <f t="shared" si="36"/>
        <v/>
      </c>
      <c r="V421" s="215" t="s">
        <v>47</v>
      </c>
      <c r="W421" s="102" t="s">
        <v>136</v>
      </c>
      <c r="X421" s="102" t="s">
        <v>137</v>
      </c>
      <c r="Y421" s="103" t="s">
        <v>138</v>
      </c>
      <c r="Z421" s="103" t="s">
        <v>139</v>
      </c>
      <c r="AA421" s="103" t="s">
        <v>47</v>
      </c>
      <c r="AB421" s="103" t="s">
        <v>140</v>
      </c>
      <c r="AC421" s="104" t="s">
        <v>141</v>
      </c>
    </row>
    <row r="422" spans="1:29" ht="25.5" customHeight="1" x14ac:dyDescent="0.35">
      <c r="A422" s="188"/>
      <c r="B422" s="190"/>
      <c r="C422" s="99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0"/>
      <c r="E422" s="78" t="str">
        <f>IF(C422="","",IFERROR(VLOOKUP(C422,parametros!$A$11:$E$15,5,0),""))</f>
        <v/>
      </c>
      <c r="F422" s="79" t="str">
        <f t="shared" si="32"/>
        <v/>
      </c>
      <c r="G422" s="101"/>
      <c r="H422" s="91">
        <f t="shared" si="33"/>
        <v>0</v>
      </c>
      <c r="I422" s="91" t="str">
        <f t="shared" si="34"/>
        <v/>
      </c>
      <c r="J422" s="91" t="str">
        <f t="shared" si="35"/>
        <v/>
      </c>
      <c r="K422" s="92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2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58"/>
      <c r="U422" s="217" t="str">
        <f t="shared" si="36"/>
        <v/>
      </c>
      <c r="V422" s="215" t="s">
        <v>47</v>
      </c>
      <c r="W422" s="102" t="s">
        <v>136</v>
      </c>
      <c r="X422" s="102" t="s">
        <v>137</v>
      </c>
      <c r="Y422" s="103" t="s">
        <v>138</v>
      </c>
      <c r="Z422" s="103" t="s">
        <v>139</v>
      </c>
      <c r="AA422" s="103" t="s">
        <v>47</v>
      </c>
      <c r="AB422" s="103" t="s">
        <v>140</v>
      </c>
      <c r="AC422" s="104" t="s">
        <v>141</v>
      </c>
    </row>
    <row r="423" spans="1:29" ht="25.5" customHeight="1" x14ac:dyDescent="0.35">
      <c r="A423" s="188"/>
      <c r="B423" s="190"/>
      <c r="C423" s="99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0"/>
      <c r="E423" s="78" t="str">
        <f>IF(C423="","",IFERROR(VLOOKUP(C423,parametros!$A$11:$E$15,5,0),""))</f>
        <v/>
      </c>
      <c r="F423" s="79" t="str">
        <f t="shared" si="32"/>
        <v/>
      </c>
      <c r="G423" s="101"/>
      <c r="H423" s="91">
        <f t="shared" si="33"/>
        <v>0</v>
      </c>
      <c r="I423" s="91" t="str">
        <f t="shared" si="34"/>
        <v/>
      </c>
      <c r="J423" s="91" t="str">
        <f t="shared" si="35"/>
        <v/>
      </c>
      <c r="K423" s="92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2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58"/>
      <c r="U423" s="217" t="str">
        <f t="shared" si="36"/>
        <v/>
      </c>
      <c r="V423" s="215" t="s">
        <v>47</v>
      </c>
      <c r="W423" s="102" t="s">
        <v>136</v>
      </c>
      <c r="X423" s="102" t="s">
        <v>137</v>
      </c>
      <c r="Y423" s="103" t="s">
        <v>138</v>
      </c>
      <c r="Z423" s="103" t="s">
        <v>139</v>
      </c>
      <c r="AA423" s="103" t="s">
        <v>47</v>
      </c>
      <c r="AB423" s="103" t="s">
        <v>140</v>
      </c>
      <c r="AC423" s="104" t="s">
        <v>141</v>
      </c>
    </row>
    <row r="424" spans="1:29" ht="25.5" customHeight="1" x14ac:dyDescent="0.35">
      <c r="A424" s="188"/>
      <c r="B424" s="190"/>
      <c r="C424" s="99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0"/>
      <c r="E424" s="78" t="str">
        <f>IF(C424="","",IFERROR(VLOOKUP(C424,parametros!$A$11:$E$15,5,0),""))</f>
        <v/>
      </c>
      <c r="F424" s="79" t="str">
        <f t="shared" si="32"/>
        <v/>
      </c>
      <c r="G424" s="101"/>
      <c r="H424" s="91">
        <f t="shared" si="33"/>
        <v>0</v>
      </c>
      <c r="I424" s="91" t="str">
        <f t="shared" si="34"/>
        <v/>
      </c>
      <c r="J424" s="91" t="str">
        <f t="shared" si="35"/>
        <v/>
      </c>
      <c r="K424" s="92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2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58"/>
      <c r="U424" s="217" t="str">
        <f t="shared" si="36"/>
        <v/>
      </c>
      <c r="V424" s="215" t="s">
        <v>47</v>
      </c>
      <c r="W424" s="102" t="s">
        <v>136</v>
      </c>
      <c r="X424" s="102" t="s">
        <v>137</v>
      </c>
      <c r="Y424" s="103" t="s">
        <v>138</v>
      </c>
      <c r="Z424" s="103" t="s">
        <v>139</v>
      </c>
      <c r="AA424" s="103" t="s">
        <v>47</v>
      </c>
      <c r="AB424" s="103" t="s">
        <v>140</v>
      </c>
      <c r="AC424" s="104" t="s">
        <v>141</v>
      </c>
    </row>
    <row r="425" spans="1:29" ht="25.5" customHeight="1" x14ac:dyDescent="0.35">
      <c r="A425" s="188"/>
      <c r="B425" s="190"/>
      <c r="C425" s="99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0"/>
      <c r="E425" s="78" t="str">
        <f>IF(C425="","",IFERROR(VLOOKUP(C425,parametros!$A$11:$E$15,5,0),""))</f>
        <v/>
      </c>
      <c r="F425" s="79" t="str">
        <f t="shared" si="32"/>
        <v/>
      </c>
      <c r="G425" s="101"/>
      <c r="H425" s="91">
        <f t="shared" si="33"/>
        <v>0</v>
      </c>
      <c r="I425" s="91" t="str">
        <f t="shared" si="34"/>
        <v/>
      </c>
      <c r="J425" s="91" t="str">
        <f t="shared" si="35"/>
        <v/>
      </c>
      <c r="K425" s="92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2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58"/>
      <c r="U425" s="217" t="str">
        <f t="shared" si="36"/>
        <v/>
      </c>
      <c r="V425" s="215" t="s">
        <v>47</v>
      </c>
      <c r="W425" s="102" t="s">
        <v>136</v>
      </c>
      <c r="X425" s="102" t="s">
        <v>137</v>
      </c>
      <c r="Y425" s="103" t="s">
        <v>138</v>
      </c>
      <c r="Z425" s="103" t="s">
        <v>139</v>
      </c>
      <c r="AA425" s="103" t="s">
        <v>47</v>
      </c>
      <c r="AB425" s="103" t="s">
        <v>140</v>
      </c>
      <c r="AC425" s="104" t="s">
        <v>141</v>
      </c>
    </row>
    <row r="426" spans="1:29" ht="25.5" customHeight="1" x14ac:dyDescent="0.35">
      <c r="A426" s="188"/>
      <c r="B426" s="190"/>
      <c r="C426" s="99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0"/>
      <c r="E426" s="78" t="str">
        <f>IF(C426="","",IFERROR(VLOOKUP(C426,parametros!$A$11:$E$15,5,0),""))</f>
        <v/>
      </c>
      <c r="F426" s="79" t="str">
        <f t="shared" si="32"/>
        <v/>
      </c>
      <c r="G426" s="101"/>
      <c r="H426" s="91">
        <f t="shared" si="33"/>
        <v>0</v>
      </c>
      <c r="I426" s="91" t="str">
        <f t="shared" si="34"/>
        <v/>
      </c>
      <c r="J426" s="91" t="str">
        <f t="shared" si="35"/>
        <v/>
      </c>
      <c r="K426" s="92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2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58"/>
      <c r="U426" s="217" t="str">
        <f t="shared" si="36"/>
        <v/>
      </c>
      <c r="V426" s="215" t="s">
        <v>47</v>
      </c>
      <c r="W426" s="102" t="s">
        <v>136</v>
      </c>
      <c r="X426" s="102" t="s">
        <v>137</v>
      </c>
      <c r="Y426" s="103" t="s">
        <v>138</v>
      </c>
      <c r="Z426" s="103" t="s">
        <v>139</v>
      </c>
      <c r="AA426" s="103" t="s">
        <v>47</v>
      </c>
      <c r="AB426" s="103" t="s">
        <v>140</v>
      </c>
      <c r="AC426" s="104" t="s">
        <v>141</v>
      </c>
    </row>
    <row r="427" spans="1:29" ht="25.5" customHeight="1" x14ac:dyDescent="0.35">
      <c r="A427" s="188"/>
      <c r="B427" s="190"/>
      <c r="C427" s="99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0"/>
      <c r="E427" s="78" t="str">
        <f>IF(C427="","",IFERROR(VLOOKUP(C427,parametros!$A$11:$E$15,5,0),""))</f>
        <v/>
      </c>
      <c r="F427" s="79" t="str">
        <f t="shared" si="32"/>
        <v/>
      </c>
      <c r="G427" s="101"/>
      <c r="H427" s="91">
        <f t="shared" si="33"/>
        <v>0</v>
      </c>
      <c r="I427" s="91" t="str">
        <f t="shared" si="34"/>
        <v/>
      </c>
      <c r="J427" s="91" t="str">
        <f t="shared" si="35"/>
        <v/>
      </c>
      <c r="K427" s="92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2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58"/>
      <c r="U427" s="217" t="str">
        <f t="shared" si="36"/>
        <v/>
      </c>
      <c r="V427" s="215" t="s">
        <v>47</v>
      </c>
      <c r="W427" s="102" t="s">
        <v>136</v>
      </c>
      <c r="X427" s="102" t="s">
        <v>137</v>
      </c>
      <c r="Y427" s="103" t="s">
        <v>138</v>
      </c>
      <c r="Z427" s="103" t="s">
        <v>139</v>
      </c>
      <c r="AA427" s="103" t="s">
        <v>47</v>
      </c>
      <c r="AB427" s="103" t="s">
        <v>140</v>
      </c>
      <c r="AC427" s="104" t="s">
        <v>141</v>
      </c>
    </row>
    <row r="428" spans="1:29" ht="25.5" customHeight="1" x14ac:dyDescent="0.35">
      <c r="A428" s="188"/>
      <c r="B428" s="190"/>
      <c r="C428" s="99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0"/>
      <c r="E428" s="78" t="str">
        <f>IF(C428="","",IFERROR(VLOOKUP(C428,parametros!$A$11:$E$15,5,0),""))</f>
        <v/>
      </c>
      <c r="F428" s="79" t="str">
        <f t="shared" si="32"/>
        <v/>
      </c>
      <c r="G428" s="101"/>
      <c r="H428" s="91">
        <f t="shared" si="33"/>
        <v>0</v>
      </c>
      <c r="I428" s="91" t="str">
        <f t="shared" si="34"/>
        <v/>
      </c>
      <c r="J428" s="91" t="str">
        <f t="shared" si="35"/>
        <v/>
      </c>
      <c r="K428" s="92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2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58"/>
      <c r="U428" s="217" t="str">
        <f t="shared" si="36"/>
        <v/>
      </c>
      <c r="V428" s="215" t="s">
        <v>47</v>
      </c>
      <c r="W428" s="102" t="s">
        <v>136</v>
      </c>
      <c r="X428" s="102" t="s">
        <v>137</v>
      </c>
      <c r="Y428" s="103" t="s">
        <v>138</v>
      </c>
      <c r="Z428" s="103" t="s">
        <v>139</v>
      </c>
      <c r="AA428" s="103" t="s">
        <v>47</v>
      </c>
      <c r="AB428" s="103" t="s">
        <v>140</v>
      </c>
      <c r="AC428" s="104" t="s">
        <v>141</v>
      </c>
    </row>
    <row r="429" spans="1:29" ht="25.5" customHeight="1" x14ac:dyDescent="0.35">
      <c r="A429" s="188"/>
      <c r="B429" s="190"/>
      <c r="C429" s="99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0"/>
      <c r="E429" s="78" t="str">
        <f>IF(C429="","",IFERROR(VLOOKUP(C429,parametros!$A$11:$E$15,5,0),""))</f>
        <v/>
      </c>
      <c r="F429" s="79" t="str">
        <f t="shared" si="32"/>
        <v/>
      </c>
      <c r="G429" s="101"/>
      <c r="H429" s="91">
        <f t="shared" si="33"/>
        <v>0</v>
      </c>
      <c r="I429" s="91" t="str">
        <f t="shared" si="34"/>
        <v/>
      </c>
      <c r="J429" s="91" t="str">
        <f t="shared" si="35"/>
        <v/>
      </c>
      <c r="K429" s="92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2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58"/>
      <c r="U429" s="217" t="str">
        <f t="shared" si="36"/>
        <v/>
      </c>
      <c r="V429" s="215" t="s">
        <v>47</v>
      </c>
      <c r="W429" s="102" t="s">
        <v>136</v>
      </c>
      <c r="X429" s="102" t="s">
        <v>137</v>
      </c>
      <c r="Y429" s="103" t="s">
        <v>138</v>
      </c>
      <c r="Z429" s="103" t="s">
        <v>139</v>
      </c>
      <c r="AA429" s="103" t="s">
        <v>47</v>
      </c>
      <c r="AB429" s="103" t="s">
        <v>140</v>
      </c>
      <c r="AC429" s="104" t="s">
        <v>141</v>
      </c>
    </row>
    <row r="430" spans="1:29" ht="25.5" customHeight="1" x14ac:dyDescent="0.35">
      <c r="A430" s="188"/>
      <c r="B430" s="190"/>
      <c r="C430" s="99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0"/>
      <c r="E430" s="78" t="str">
        <f>IF(C430="","",IFERROR(VLOOKUP(C430,parametros!$A$11:$E$15,5,0),""))</f>
        <v/>
      </c>
      <c r="F430" s="79" t="str">
        <f t="shared" si="32"/>
        <v/>
      </c>
      <c r="G430" s="101"/>
      <c r="H430" s="91">
        <f t="shared" si="33"/>
        <v>0</v>
      </c>
      <c r="I430" s="91" t="str">
        <f t="shared" si="34"/>
        <v/>
      </c>
      <c r="J430" s="91" t="str">
        <f t="shared" si="35"/>
        <v/>
      </c>
      <c r="K430" s="92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2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58"/>
      <c r="U430" s="217" t="str">
        <f t="shared" si="36"/>
        <v/>
      </c>
      <c r="V430" s="215" t="s">
        <v>47</v>
      </c>
      <c r="W430" s="102" t="s">
        <v>136</v>
      </c>
      <c r="X430" s="102" t="s">
        <v>137</v>
      </c>
      <c r="Y430" s="103" t="s">
        <v>138</v>
      </c>
      <c r="Z430" s="103" t="s">
        <v>139</v>
      </c>
      <c r="AA430" s="103" t="s">
        <v>47</v>
      </c>
      <c r="AB430" s="103" t="s">
        <v>140</v>
      </c>
      <c r="AC430" s="104" t="s">
        <v>141</v>
      </c>
    </row>
    <row r="431" spans="1:29" ht="25.5" customHeight="1" x14ac:dyDescent="0.35">
      <c r="A431" s="188"/>
      <c r="B431" s="190"/>
      <c r="C431" s="99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0"/>
      <c r="E431" s="78" t="str">
        <f>IF(C431="","",IFERROR(VLOOKUP(C431,parametros!$A$11:$E$15,5,0),""))</f>
        <v/>
      </c>
      <c r="F431" s="79" t="str">
        <f t="shared" si="32"/>
        <v/>
      </c>
      <c r="G431" s="101"/>
      <c r="H431" s="91">
        <f t="shared" si="33"/>
        <v>0</v>
      </c>
      <c r="I431" s="91" t="str">
        <f t="shared" si="34"/>
        <v/>
      </c>
      <c r="J431" s="91" t="str">
        <f t="shared" si="35"/>
        <v/>
      </c>
      <c r="K431" s="92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2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58"/>
      <c r="U431" s="217" t="str">
        <f t="shared" si="36"/>
        <v/>
      </c>
      <c r="V431" s="215" t="s">
        <v>47</v>
      </c>
      <c r="W431" s="102" t="s">
        <v>136</v>
      </c>
      <c r="X431" s="102" t="s">
        <v>137</v>
      </c>
      <c r="Y431" s="103" t="s">
        <v>138</v>
      </c>
      <c r="Z431" s="103" t="s">
        <v>139</v>
      </c>
      <c r="AA431" s="103" t="s">
        <v>47</v>
      </c>
      <c r="AB431" s="103" t="s">
        <v>140</v>
      </c>
      <c r="AC431" s="104" t="s">
        <v>141</v>
      </c>
    </row>
    <row r="432" spans="1:29" ht="25.5" customHeight="1" x14ac:dyDescent="0.35">
      <c r="A432" s="188"/>
      <c r="B432" s="190"/>
      <c r="C432" s="99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0"/>
      <c r="E432" s="78" t="str">
        <f>IF(C432="","",IFERROR(VLOOKUP(C432,parametros!$A$11:$E$15,5,0),""))</f>
        <v/>
      </c>
      <c r="F432" s="79" t="str">
        <f t="shared" si="32"/>
        <v/>
      </c>
      <c r="G432" s="101"/>
      <c r="H432" s="91">
        <f t="shared" si="33"/>
        <v>0</v>
      </c>
      <c r="I432" s="91" t="str">
        <f t="shared" si="34"/>
        <v/>
      </c>
      <c r="J432" s="91" t="str">
        <f t="shared" si="35"/>
        <v/>
      </c>
      <c r="K432" s="92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2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58"/>
      <c r="U432" s="217" t="str">
        <f t="shared" si="36"/>
        <v/>
      </c>
      <c r="V432" s="215" t="s">
        <v>47</v>
      </c>
      <c r="W432" s="102" t="s">
        <v>136</v>
      </c>
      <c r="X432" s="102" t="s">
        <v>137</v>
      </c>
      <c r="Y432" s="103" t="s">
        <v>138</v>
      </c>
      <c r="Z432" s="103" t="s">
        <v>139</v>
      </c>
      <c r="AA432" s="103" t="s">
        <v>47</v>
      </c>
      <c r="AB432" s="103" t="s">
        <v>140</v>
      </c>
      <c r="AC432" s="104" t="s">
        <v>141</v>
      </c>
    </row>
    <row r="433" spans="1:29" ht="25.5" customHeight="1" x14ac:dyDescent="0.35">
      <c r="A433" s="188"/>
      <c r="B433" s="190"/>
      <c r="C433" s="99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0"/>
      <c r="E433" s="78" t="str">
        <f>IF(C433="","",IFERROR(VLOOKUP(C433,parametros!$A$11:$E$15,5,0),""))</f>
        <v/>
      </c>
      <c r="F433" s="79" t="str">
        <f t="shared" si="32"/>
        <v/>
      </c>
      <c r="G433" s="101"/>
      <c r="H433" s="91">
        <f t="shared" si="33"/>
        <v>0</v>
      </c>
      <c r="I433" s="91" t="str">
        <f t="shared" si="34"/>
        <v/>
      </c>
      <c r="J433" s="91" t="str">
        <f t="shared" si="35"/>
        <v/>
      </c>
      <c r="K433" s="92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2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58"/>
      <c r="U433" s="217" t="str">
        <f t="shared" si="36"/>
        <v/>
      </c>
      <c r="V433" s="215" t="s">
        <v>47</v>
      </c>
      <c r="W433" s="102" t="s">
        <v>136</v>
      </c>
      <c r="X433" s="102" t="s">
        <v>137</v>
      </c>
      <c r="Y433" s="103" t="s">
        <v>138</v>
      </c>
      <c r="Z433" s="103" t="s">
        <v>139</v>
      </c>
      <c r="AA433" s="103" t="s">
        <v>47</v>
      </c>
      <c r="AB433" s="103" t="s">
        <v>140</v>
      </c>
      <c r="AC433" s="104" t="s">
        <v>141</v>
      </c>
    </row>
    <row r="434" spans="1:29" ht="25.5" customHeight="1" x14ac:dyDescent="0.35">
      <c r="A434" s="188"/>
      <c r="B434" s="190"/>
      <c r="C434" s="99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0"/>
      <c r="E434" s="78" t="str">
        <f>IF(C434="","",IFERROR(VLOOKUP(C434,parametros!$A$11:$E$15,5,0),""))</f>
        <v/>
      </c>
      <c r="F434" s="79" t="str">
        <f t="shared" si="32"/>
        <v/>
      </c>
      <c r="G434" s="101"/>
      <c r="H434" s="91">
        <f t="shared" si="33"/>
        <v>0</v>
      </c>
      <c r="I434" s="91" t="str">
        <f t="shared" si="34"/>
        <v/>
      </c>
      <c r="J434" s="91" t="str">
        <f t="shared" si="35"/>
        <v/>
      </c>
      <c r="K434" s="92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2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58"/>
      <c r="U434" s="217" t="str">
        <f t="shared" si="36"/>
        <v/>
      </c>
      <c r="V434" s="215" t="s">
        <v>47</v>
      </c>
      <c r="W434" s="102" t="s">
        <v>136</v>
      </c>
      <c r="X434" s="102" t="s">
        <v>137</v>
      </c>
      <c r="Y434" s="103" t="s">
        <v>138</v>
      </c>
      <c r="Z434" s="103" t="s">
        <v>139</v>
      </c>
      <c r="AA434" s="103" t="s">
        <v>47</v>
      </c>
      <c r="AB434" s="103" t="s">
        <v>140</v>
      </c>
      <c r="AC434" s="104" t="s">
        <v>141</v>
      </c>
    </row>
    <row r="435" spans="1:29" ht="25.5" customHeight="1" x14ac:dyDescent="0.35">
      <c r="A435" s="188"/>
      <c r="B435" s="190"/>
      <c r="C435" s="99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0"/>
      <c r="E435" s="78" t="str">
        <f>IF(C435="","",IFERROR(VLOOKUP(C435,parametros!$A$11:$E$15,5,0),""))</f>
        <v/>
      </c>
      <c r="F435" s="79" t="str">
        <f t="shared" si="32"/>
        <v/>
      </c>
      <c r="G435" s="101"/>
      <c r="H435" s="91">
        <f t="shared" si="33"/>
        <v>0</v>
      </c>
      <c r="I435" s="91" t="str">
        <f t="shared" si="34"/>
        <v/>
      </c>
      <c r="J435" s="91" t="str">
        <f t="shared" si="35"/>
        <v/>
      </c>
      <c r="K435" s="92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2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58"/>
      <c r="U435" s="217" t="str">
        <f t="shared" si="36"/>
        <v/>
      </c>
      <c r="V435" s="215" t="s">
        <v>47</v>
      </c>
      <c r="W435" s="102" t="s">
        <v>136</v>
      </c>
      <c r="X435" s="102" t="s">
        <v>137</v>
      </c>
      <c r="Y435" s="103" t="s">
        <v>138</v>
      </c>
      <c r="Z435" s="103" t="s">
        <v>139</v>
      </c>
      <c r="AA435" s="103" t="s">
        <v>47</v>
      </c>
      <c r="AB435" s="103" t="s">
        <v>140</v>
      </c>
      <c r="AC435" s="104" t="s">
        <v>141</v>
      </c>
    </row>
    <row r="436" spans="1:29" ht="25.5" customHeight="1" x14ac:dyDescent="0.35">
      <c r="A436" s="188"/>
      <c r="B436" s="190"/>
      <c r="C436" s="99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0"/>
      <c r="E436" s="78" t="str">
        <f>IF(C436="","",IFERROR(VLOOKUP(C436,parametros!$A$11:$E$15,5,0),""))</f>
        <v/>
      </c>
      <c r="F436" s="79" t="str">
        <f t="shared" si="32"/>
        <v/>
      </c>
      <c r="G436" s="101"/>
      <c r="H436" s="91">
        <f t="shared" si="33"/>
        <v>0</v>
      </c>
      <c r="I436" s="91" t="str">
        <f t="shared" si="34"/>
        <v/>
      </c>
      <c r="J436" s="91" t="str">
        <f t="shared" si="35"/>
        <v/>
      </c>
      <c r="K436" s="92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2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58"/>
      <c r="U436" s="217" t="str">
        <f t="shared" si="36"/>
        <v/>
      </c>
      <c r="V436" s="215" t="s">
        <v>47</v>
      </c>
      <c r="W436" s="102" t="s">
        <v>136</v>
      </c>
      <c r="X436" s="102" t="s">
        <v>137</v>
      </c>
      <c r="Y436" s="103" t="s">
        <v>138</v>
      </c>
      <c r="Z436" s="103" t="s">
        <v>139</v>
      </c>
      <c r="AA436" s="103" t="s">
        <v>47</v>
      </c>
      <c r="AB436" s="103" t="s">
        <v>140</v>
      </c>
      <c r="AC436" s="104" t="s">
        <v>141</v>
      </c>
    </row>
    <row r="437" spans="1:29" ht="25.5" customHeight="1" x14ac:dyDescent="0.35">
      <c r="A437" s="188"/>
      <c r="B437" s="190"/>
      <c r="C437" s="99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0"/>
      <c r="E437" s="78" t="str">
        <f>IF(C437="","",IFERROR(VLOOKUP(C437,parametros!$A$11:$E$15,5,0),""))</f>
        <v/>
      </c>
      <c r="F437" s="79" t="str">
        <f t="shared" si="32"/>
        <v/>
      </c>
      <c r="G437" s="101"/>
      <c r="H437" s="91">
        <f t="shared" si="33"/>
        <v>0</v>
      </c>
      <c r="I437" s="91" t="str">
        <f t="shared" si="34"/>
        <v/>
      </c>
      <c r="J437" s="91" t="str">
        <f t="shared" si="35"/>
        <v/>
      </c>
      <c r="K437" s="92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2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58"/>
      <c r="U437" s="217" t="str">
        <f t="shared" si="36"/>
        <v/>
      </c>
      <c r="V437" s="215" t="s">
        <v>47</v>
      </c>
      <c r="W437" s="102" t="s">
        <v>136</v>
      </c>
      <c r="X437" s="102" t="s">
        <v>137</v>
      </c>
      <c r="Y437" s="103" t="s">
        <v>138</v>
      </c>
      <c r="Z437" s="103" t="s">
        <v>139</v>
      </c>
      <c r="AA437" s="103" t="s">
        <v>47</v>
      </c>
      <c r="AB437" s="103" t="s">
        <v>140</v>
      </c>
      <c r="AC437" s="104" t="s">
        <v>141</v>
      </c>
    </row>
    <row r="438" spans="1:29" ht="25.5" customHeight="1" x14ac:dyDescent="0.35">
      <c r="A438" s="188"/>
      <c r="B438" s="190"/>
      <c r="C438" s="99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0"/>
      <c r="E438" s="78" t="str">
        <f>IF(C438="","",IFERROR(VLOOKUP(C438,parametros!$A$11:$E$15,5,0),""))</f>
        <v/>
      </c>
      <c r="F438" s="79" t="str">
        <f t="shared" si="32"/>
        <v/>
      </c>
      <c r="G438" s="101"/>
      <c r="H438" s="91">
        <f t="shared" si="33"/>
        <v>0</v>
      </c>
      <c r="I438" s="91" t="str">
        <f t="shared" si="34"/>
        <v/>
      </c>
      <c r="J438" s="91" t="str">
        <f t="shared" si="35"/>
        <v/>
      </c>
      <c r="K438" s="92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2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58"/>
      <c r="U438" s="217" t="str">
        <f t="shared" si="36"/>
        <v/>
      </c>
      <c r="V438" s="215" t="s">
        <v>47</v>
      </c>
      <c r="W438" s="102" t="s">
        <v>136</v>
      </c>
      <c r="X438" s="102" t="s">
        <v>137</v>
      </c>
      <c r="Y438" s="103" t="s">
        <v>138</v>
      </c>
      <c r="Z438" s="103" t="s">
        <v>139</v>
      </c>
      <c r="AA438" s="103" t="s">
        <v>47</v>
      </c>
      <c r="AB438" s="103" t="s">
        <v>140</v>
      </c>
      <c r="AC438" s="104" t="s">
        <v>141</v>
      </c>
    </row>
    <row r="439" spans="1:29" ht="25.5" customHeight="1" x14ac:dyDescent="0.35">
      <c r="A439" s="188"/>
      <c r="B439" s="190"/>
      <c r="C439" s="99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0"/>
      <c r="E439" s="78" t="str">
        <f>IF(C439="","",IFERROR(VLOOKUP(C439,parametros!$A$11:$E$15,5,0),""))</f>
        <v/>
      </c>
      <c r="F439" s="79" t="str">
        <f t="shared" si="32"/>
        <v/>
      </c>
      <c r="G439" s="101"/>
      <c r="H439" s="91">
        <f t="shared" si="33"/>
        <v>0</v>
      </c>
      <c r="I439" s="91" t="str">
        <f t="shared" si="34"/>
        <v/>
      </c>
      <c r="J439" s="91" t="str">
        <f t="shared" si="35"/>
        <v/>
      </c>
      <c r="K439" s="92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2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58"/>
      <c r="U439" s="217" t="str">
        <f t="shared" si="36"/>
        <v/>
      </c>
      <c r="V439" s="215" t="s">
        <v>47</v>
      </c>
      <c r="W439" s="102" t="s">
        <v>136</v>
      </c>
      <c r="X439" s="102" t="s">
        <v>137</v>
      </c>
      <c r="Y439" s="103" t="s">
        <v>138</v>
      </c>
      <c r="Z439" s="103" t="s">
        <v>139</v>
      </c>
      <c r="AA439" s="103" t="s">
        <v>47</v>
      </c>
      <c r="AB439" s="103" t="s">
        <v>140</v>
      </c>
      <c r="AC439" s="104" t="s">
        <v>141</v>
      </c>
    </row>
    <row r="440" spans="1:29" ht="25.5" customHeight="1" x14ac:dyDescent="0.35">
      <c r="A440" s="188"/>
      <c r="B440" s="190"/>
      <c r="C440" s="99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0"/>
      <c r="E440" s="78" t="str">
        <f>IF(C440="","",IFERROR(VLOOKUP(C440,parametros!$A$11:$E$15,5,0),""))</f>
        <v/>
      </c>
      <c r="F440" s="79" t="str">
        <f t="shared" si="32"/>
        <v/>
      </c>
      <c r="G440" s="101"/>
      <c r="H440" s="91">
        <f t="shared" si="33"/>
        <v>0</v>
      </c>
      <c r="I440" s="91" t="str">
        <f t="shared" si="34"/>
        <v/>
      </c>
      <c r="J440" s="91" t="str">
        <f t="shared" si="35"/>
        <v/>
      </c>
      <c r="K440" s="92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2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58"/>
      <c r="U440" s="217" t="str">
        <f t="shared" si="36"/>
        <v/>
      </c>
      <c r="V440" s="215" t="s">
        <v>47</v>
      </c>
      <c r="W440" s="102" t="s">
        <v>136</v>
      </c>
      <c r="X440" s="102" t="s">
        <v>137</v>
      </c>
      <c r="Y440" s="103" t="s">
        <v>138</v>
      </c>
      <c r="Z440" s="103" t="s">
        <v>139</v>
      </c>
      <c r="AA440" s="103" t="s">
        <v>47</v>
      </c>
      <c r="AB440" s="103" t="s">
        <v>140</v>
      </c>
      <c r="AC440" s="104" t="s">
        <v>141</v>
      </c>
    </row>
    <row r="441" spans="1:29" ht="25.5" customHeight="1" x14ac:dyDescent="0.35">
      <c r="A441" s="188"/>
      <c r="B441" s="190"/>
      <c r="C441" s="99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0"/>
      <c r="E441" s="78" t="str">
        <f>IF(C441="","",IFERROR(VLOOKUP(C441,parametros!$A$11:$E$15,5,0),""))</f>
        <v/>
      </c>
      <c r="F441" s="79" t="str">
        <f t="shared" si="32"/>
        <v/>
      </c>
      <c r="G441" s="101"/>
      <c r="H441" s="91">
        <f t="shared" si="33"/>
        <v>0</v>
      </c>
      <c r="I441" s="91" t="str">
        <f t="shared" si="34"/>
        <v/>
      </c>
      <c r="J441" s="91" t="str">
        <f t="shared" si="35"/>
        <v/>
      </c>
      <c r="K441" s="92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2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58"/>
      <c r="U441" s="217" t="str">
        <f t="shared" si="36"/>
        <v/>
      </c>
      <c r="V441" s="215" t="s">
        <v>47</v>
      </c>
      <c r="W441" s="102" t="s">
        <v>136</v>
      </c>
      <c r="X441" s="102" t="s">
        <v>137</v>
      </c>
      <c r="Y441" s="103" t="s">
        <v>138</v>
      </c>
      <c r="Z441" s="103" t="s">
        <v>139</v>
      </c>
      <c r="AA441" s="103" t="s">
        <v>47</v>
      </c>
      <c r="AB441" s="103" t="s">
        <v>140</v>
      </c>
      <c r="AC441" s="104" t="s">
        <v>141</v>
      </c>
    </row>
    <row r="442" spans="1:29" ht="25.5" customHeight="1" x14ac:dyDescent="0.35">
      <c r="A442" s="188"/>
      <c r="B442" s="190"/>
      <c r="C442" s="99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0"/>
      <c r="E442" s="78" t="str">
        <f>IF(C442="","",IFERROR(VLOOKUP(C442,parametros!$A$11:$E$15,5,0),""))</f>
        <v/>
      </c>
      <c r="F442" s="79" t="str">
        <f t="shared" si="32"/>
        <v/>
      </c>
      <c r="G442" s="101"/>
      <c r="H442" s="91">
        <f t="shared" si="33"/>
        <v>0</v>
      </c>
      <c r="I442" s="91" t="str">
        <f t="shared" si="34"/>
        <v/>
      </c>
      <c r="J442" s="91" t="str">
        <f t="shared" si="35"/>
        <v/>
      </c>
      <c r="K442" s="92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2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58"/>
      <c r="U442" s="217" t="str">
        <f t="shared" si="36"/>
        <v/>
      </c>
      <c r="V442" s="215" t="s">
        <v>47</v>
      </c>
      <c r="W442" s="102" t="s">
        <v>136</v>
      </c>
      <c r="X442" s="102" t="s">
        <v>137</v>
      </c>
      <c r="Y442" s="103" t="s">
        <v>138</v>
      </c>
      <c r="Z442" s="103" t="s">
        <v>139</v>
      </c>
      <c r="AA442" s="103" t="s">
        <v>47</v>
      </c>
      <c r="AB442" s="103" t="s">
        <v>140</v>
      </c>
      <c r="AC442" s="104" t="s">
        <v>141</v>
      </c>
    </row>
    <row r="443" spans="1:29" ht="25.5" customHeight="1" x14ac:dyDescent="0.35">
      <c r="A443" s="188"/>
      <c r="B443" s="190"/>
      <c r="C443" s="99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0"/>
      <c r="E443" s="78" t="str">
        <f>IF(C443="","",IFERROR(VLOOKUP(C443,parametros!$A$11:$E$15,5,0),""))</f>
        <v/>
      </c>
      <c r="F443" s="79" t="str">
        <f t="shared" si="32"/>
        <v/>
      </c>
      <c r="G443" s="101"/>
      <c r="H443" s="91">
        <f t="shared" si="33"/>
        <v>0</v>
      </c>
      <c r="I443" s="91" t="str">
        <f t="shared" si="34"/>
        <v/>
      </c>
      <c r="J443" s="91" t="str">
        <f t="shared" si="35"/>
        <v/>
      </c>
      <c r="K443" s="92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2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58"/>
      <c r="U443" s="217" t="str">
        <f t="shared" si="36"/>
        <v/>
      </c>
      <c r="V443" s="215" t="s">
        <v>47</v>
      </c>
      <c r="W443" s="102" t="s">
        <v>136</v>
      </c>
      <c r="X443" s="102" t="s">
        <v>137</v>
      </c>
      <c r="Y443" s="103" t="s">
        <v>138</v>
      </c>
      <c r="Z443" s="103" t="s">
        <v>139</v>
      </c>
      <c r="AA443" s="103" t="s">
        <v>47</v>
      </c>
      <c r="AB443" s="103" t="s">
        <v>140</v>
      </c>
      <c r="AC443" s="104" t="s">
        <v>141</v>
      </c>
    </row>
    <row r="444" spans="1:29" ht="25.5" customHeight="1" x14ac:dyDescent="0.35">
      <c r="A444" s="188"/>
      <c r="B444" s="190"/>
      <c r="C444" s="99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0"/>
      <c r="E444" s="78" t="str">
        <f>IF(C444="","",IFERROR(VLOOKUP(C444,parametros!$A$11:$E$15,5,0),""))</f>
        <v/>
      </c>
      <c r="F444" s="79" t="str">
        <f t="shared" si="32"/>
        <v/>
      </c>
      <c r="G444" s="101"/>
      <c r="H444" s="91">
        <f t="shared" si="33"/>
        <v>0</v>
      </c>
      <c r="I444" s="91" t="str">
        <f t="shared" si="34"/>
        <v/>
      </c>
      <c r="J444" s="91" t="str">
        <f t="shared" si="35"/>
        <v/>
      </c>
      <c r="K444" s="92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2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58"/>
      <c r="U444" s="217" t="str">
        <f t="shared" si="36"/>
        <v/>
      </c>
      <c r="V444" s="215" t="s">
        <v>47</v>
      </c>
      <c r="W444" s="102" t="s">
        <v>136</v>
      </c>
      <c r="X444" s="102" t="s">
        <v>137</v>
      </c>
      <c r="Y444" s="103" t="s">
        <v>138</v>
      </c>
      <c r="Z444" s="103" t="s">
        <v>139</v>
      </c>
      <c r="AA444" s="103" t="s">
        <v>47</v>
      </c>
      <c r="AB444" s="103" t="s">
        <v>140</v>
      </c>
      <c r="AC444" s="104" t="s">
        <v>141</v>
      </c>
    </row>
    <row r="445" spans="1:29" ht="25.5" customHeight="1" x14ac:dyDescent="0.35">
      <c r="A445" s="188"/>
      <c r="B445" s="190"/>
      <c r="C445" s="99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0"/>
      <c r="E445" s="78" t="str">
        <f>IF(C445="","",IFERROR(VLOOKUP(C445,parametros!$A$11:$E$15,5,0),""))</f>
        <v/>
      </c>
      <c r="F445" s="79" t="str">
        <f t="shared" si="32"/>
        <v/>
      </c>
      <c r="G445" s="101"/>
      <c r="H445" s="91">
        <f t="shared" si="33"/>
        <v>0</v>
      </c>
      <c r="I445" s="91" t="str">
        <f t="shared" si="34"/>
        <v/>
      </c>
      <c r="J445" s="91" t="str">
        <f t="shared" si="35"/>
        <v/>
      </c>
      <c r="K445" s="92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2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58"/>
      <c r="U445" s="217" t="str">
        <f t="shared" si="36"/>
        <v/>
      </c>
      <c r="V445" s="215" t="s">
        <v>47</v>
      </c>
      <c r="W445" s="102" t="s">
        <v>136</v>
      </c>
      <c r="X445" s="102" t="s">
        <v>137</v>
      </c>
      <c r="Y445" s="103" t="s">
        <v>138</v>
      </c>
      <c r="Z445" s="103" t="s">
        <v>139</v>
      </c>
      <c r="AA445" s="103" t="s">
        <v>47</v>
      </c>
      <c r="AB445" s="103" t="s">
        <v>140</v>
      </c>
      <c r="AC445" s="104" t="s">
        <v>141</v>
      </c>
    </row>
    <row r="446" spans="1:29" ht="25.5" customHeight="1" x14ac:dyDescent="0.35">
      <c r="A446" s="188"/>
      <c r="B446" s="190"/>
      <c r="C446" s="99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0"/>
      <c r="E446" s="78" t="str">
        <f>IF(C446="","",IFERROR(VLOOKUP(C446,parametros!$A$11:$E$15,5,0),""))</f>
        <v/>
      </c>
      <c r="F446" s="79" t="str">
        <f t="shared" si="32"/>
        <v/>
      </c>
      <c r="G446" s="101"/>
      <c r="H446" s="91">
        <f t="shared" si="33"/>
        <v>0</v>
      </c>
      <c r="I446" s="91" t="str">
        <f t="shared" si="34"/>
        <v/>
      </c>
      <c r="J446" s="91" t="str">
        <f t="shared" si="35"/>
        <v/>
      </c>
      <c r="K446" s="92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2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58"/>
      <c r="U446" s="217" t="str">
        <f t="shared" si="36"/>
        <v/>
      </c>
      <c r="V446" s="215" t="s">
        <v>47</v>
      </c>
      <c r="W446" s="102" t="s">
        <v>136</v>
      </c>
      <c r="X446" s="102" t="s">
        <v>137</v>
      </c>
      <c r="Y446" s="103" t="s">
        <v>138</v>
      </c>
      <c r="Z446" s="103" t="s">
        <v>139</v>
      </c>
      <c r="AA446" s="103" t="s">
        <v>47</v>
      </c>
      <c r="AB446" s="103" t="s">
        <v>140</v>
      </c>
      <c r="AC446" s="104" t="s">
        <v>141</v>
      </c>
    </row>
    <row r="447" spans="1:29" ht="25.5" customHeight="1" x14ac:dyDescent="0.35">
      <c r="A447" s="188"/>
      <c r="B447" s="190"/>
      <c r="C447" s="99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0"/>
      <c r="E447" s="78" t="str">
        <f>IF(C447="","",IFERROR(VLOOKUP(C447,parametros!$A$11:$E$15,5,0),""))</f>
        <v/>
      </c>
      <c r="F447" s="79" t="str">
        <f t="shared" si="32"/>
        <v/>
      </c>
      <c r="G447" s="101"/>
      <c r="H447" s="91">
        <f t="shared" si="33"/>
        <v>0</v>
      </c>
      <c r="I447" s="91" t="str">
        <f t="shared" si="34"/>
        <v/>
      </c>
      <c r="J447" s="91" t="str">
        <f t="shared" si="35"/>
        <v/>
      </c>
      <c r="K447" s="92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2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58"/>
      <c r="U447" s="217" t="str">
        <f t="shared" si="36"/>
        <v/>
      </c>
      <c r="V447" s="215" t="s">
        <v>47</v>
      </c>
      <c r="W447" s="102" t="s">
        <v>136</v>
      </c>
      <c r="X447" s="102" t="s">
        <v>137</v>
      </c>
      <c r="Y447" s="103" t="s">
        <v>138</v>
      </c>
      <c r="Z447" s="103" t="s">
        <v>139</v>
      </c>
      <c r="AA447" s="103" t="s">
        <v>47</v>
      </c>
      <c r="AB447" s="103" t="s">
        <v>140</v>
      </c>
      <c r="AC447" s="104" t="s">
        <v>141</v>
      </c>
    </row>
    <row r="448" spans="1:29" ht="25.5" customHeight="1" x14ac:dyDescent="0.35">
      <c r="A448" s="188"/>
      <c r="B448" s="190"/>
      <c r="C448" s="99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0"/>
      <c r="E448" s="78" t="str">
        <f>IF(C448="","",IFERROR(VLOOKUP(C448,parametros!$A$11:$E$15,5,0),""))</f>
        <v/>
      </c>
      <c r="F448" s="79" t="str">
        <f t="shared" si="32"/>
        <v/>
      </c>
      <c r="G448" s="101"/>
      <c r="H448" s="91">
        <f t="shared" si="33"/>
        <v>0</v>
      </c>
      <c r="I448" s="91" t="str">
        <f t="shared" si="34"/>
        <v/>
      </c>
      <c r="J448" s="91" t="str">
        <f t="shared" si="35"/>
        <v/>
      </c>
      <c r="K448" s="92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2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58"/>
      <c r="U448" s="217" t="str">
        <f t="shared" si="36"/>
        <v/>
      </c>
      <c r="V448" s="215" t="s">
        <v>47</v>
      </c>
      <c r="W448" s="102" t="s">
        <v>136</v>
      </c>
      <c r="X448" s="102" t="s">
        <v>137</v>
      </c>
      <c r="Y448" s="103" t="s">
        <v>138</v>
      </c>
      <c r="Z448" s="103" t="s">
        <v>139</v>
      </c>
      <c r="AA448" s="103" t="s">
        <v>47</v>
      </c>
      <c r="AB448" s="103" t="s">
        <v>140</v>
      </c>
      <c r="AC448" s="104" t="s">
        <v>141</v>
      </c>
    </row>
    <row r="449" spans="1:29" ht="25.5" customHeight="1" x14ac:dyDescent="0.35">
      <c r="A449" s="188"/>
      <c r="B449" s="190"/>
      <c r="C449" s="99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0"/>
      <c r="E449" s="78" t="str">
        <f>IF(C449="","",IFERROR(VLOOKUP(C449,parametros!$A$11:$E$15,5,0),""))</f>
        <v/>
      </c>
      <c r="F449" s="79" t="str">
        <f t="shared" si="32"/>
        <v/>
      </c>
      <c r="G449" s="101"/>
      <c r="H449" s="91">
        <f t="shared" si="33"/>
        <v>0</v>
      </c>
      <c r="I449" s="91" t="str">
        <f t="shared" si="34"/>
        <v/>
      </c>
      <c r="J449" s="91" t="str">
        <f t="shared" si="35"/>
        <v/>
      </c>
      <c r="K449" s="92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2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58"/>
      <c r="U449" s="217" t="str">
        <f t="shared" si="36"/>
        <v/>
      </c>
      <c r="V449" s="215" t="s">
        <v>47</v>
      </c>
      <c r="W449" s="102" t="s">
        <v>136</v>
      </c>
      <c r="X449" s="102" t="s">
        <v>137</v>
      </c>
      <c r="Y449" s="103" t="s">
        <v>138</v>
      </c>
      <c r="Z449" s="103" t="s">
        <v>139</v>
      </c>
      <c r="AA449" s="103" t="s">
        <v>47</v>
      </c>
      <c r="AB449" s="103" t="s">
        <v>140</v>
      </c>
      <c r="AC449" s="104" t="s">
        <v>141</v>
      </c>
    </row>
    <row r="450" spans="1:29" ht="25.5" customHeight="1" x14ac:dyDescent="0.35">
      <c r="A450" s="188"/>
      <c r="B450" s="190"/>
      <c r="C450" s="99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0"/>
      <c r="E450" s="78" t="str">
        <f>IF(C450="","",IFERROR(VLOOKUP(C450,parametros!$A$11:$E$15,5,0),""))</f>
        <v/>
      </c>
      <c r="F450" s="79" t="str">
        <f t="shared" ref="F450:F513" si="37">IF(OR(D450="",E450=""),"",ROUND(D450*E450,2))</f>
        <v/>
      </c>
      <c r="G450" s="101"/>
      <c r="H450" s="91">
        <f t="shared" ref="H450:H513" si="38">IF(G450="Sim",IF(OR(F450="",D450="",L450=""),"",IF(L450="Sim",ROUND(F450-D450,2),0)),0)</f>
        <v>0</v>
      </c>
      <c r="I450" s="91" t="str">
        <f t="shared" ref="I450:I513" si="39">IF(G450="Sim",0,IF(OR(F450="",L450=""),"",F450))</f>
        <v/>
      </c>
      <c r="J450" s="91" t="str">
        <f t="shared" ref="J450:J513" si="40">IF(G450="Sim",0,IF(OR(F450="",D450="",L450=""),"",IF(L450="Sim",ROUND(F450-D450,2),0)))</f>
        <v/>
      </c>
      <c r="K450" s="92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2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58"/>
      <c r="U450" s="217" t="str">
        <f t="shared" ref="U450:U513" si="41">IF(OR($D450="",$H450=""),"",ROUND($D450+$H450,2))</f>
        <v/>
      </c>
      <c r="V450" s="215" t="s">
        <v>47</v>
      </c>
      <c r="W450" s="102" t="s">
        <v>136</v>
      </c>
      <c r="X450" s="102" t="s">
        <v>137</v>
      </c>
      <c r="Y450" s="103" t="s">
        <v>138</v>
      </c>
      <c r="Z450" s="103" t="s">
        <v>139</v>
      </c>
      <c r="AA450" s="103" t="s">
        <v>47</v>
      </c>
      <c r="AB450" s="103" t="s">
        <v>140</v>
      </c>
      <c r="AC450" s="104" t="s">
        <v>141</v>
      </c>
    </row>
    <row r="451" spans="1:29" ht="25.5" customHeight="1" x14ac:dyDescent="0.35">
      <c r="A451" s="188"/>
      <c r="B451" s="190"/>
      <c r="C451" s="99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0"/>
      <c r="E451" s="78" t="str">
        <f>IF(C451="","",IFERROR(VLOOKUP(C451,parametros!$A$11:$E$15,5,0),""))</f>
        <v/>
      </c>
      <c r="F451" s="79" t="str">
        <f t="shared" si="37"/>
        <v/>
      </c>
      <c r="G451" s="101"/>
      <c r="H451" s="91">
        <f t="shared" si="38"/>
        <v>0</v>
      </c>
      <c r="I451" s="91" t="str">
        <f t="shared" si="39"/>
        <v/>
      </c>
      <c r="J451" s="91" t="str">
        <f t="shared" si="40"/>
        <v/>
      </c>
      <c r="K451" s="92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2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58"/>
      <c r="U451" s="217" t="str">
        <f t="shared" si="41"/>
        <v/>
      </c>
      <c r="V451" s="215" t="s">
        <v>47</v>
      </c>
      <c r="W451" s="102" t="s">
        <v>136</v>
      </c>
      <c r="X451" s="102" t="s">
        <v>137</v>
      </c>
      <c r="Y451" s="103" t="s">
        <v>138</v>
      </c>
      <c r="Z451" s="103" t="s">
        <v>139</v>
      </c>
      <c r="AA451" s="103" t="s">
        <v>47</v>
      </c>
      <c r="AB451" s="103" t="s">
        <v>140</v>
      </c>
      <c r="AC451" s="104" t="s">
        <v>141</v>
      </c>
    </row>
    <row r="452" spans="1:29" ht="25.5" customHeight="1" x14ac:dyDescent="0.35">
      <c r="A452" s="188"/>
      <c r="B452" s="190"/>
      <c r="C452" s="99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0"/>
      <c r="E452" s="78" t="str">
        <f>IF(C452="","",IFERROR(VLOOKUP(C452,parametros!$A$11:$E$15,5,0),""))</f>
        <v/>
      </c>
      <c r="F452" s="79" t="str">
        <f t="shared" si="37"/>
        <v/>
      </c>
      <c r="G452" s="101"/>
      <c r="H452" s="91">
        <f t="shared" si="38"/>
        <v>0</v>
      </c>
      <c r="I452" s="91" t="str">
        <f t="shared" si="39"/>
        <v/>
      </c>
      <c r="J452" s="91" t="str">
        <f t="shared" si="40"/>
        <v/>
      </c>
      <c r="K452" s="92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2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58"/>
      <c r="U452" s="217" t="str">
        <f t="shared" si="41"/>
        <v/>
      </c>
      <c r="V452" s="215" t="s">
        <v>47</v>
      </c>
      <c r="W452" s="102" t="s">
        <v>136</v>
      </c>
      <c r="X452" s="102" t="s">
        <v>137</v>
      </c>
      <c r="Y452" s="103" t="s">
        <v>138</v>
      </c>
      <c r="Z452" s="103" t="s">
        <v>139</v>
      </c>
      <c r="AA452" s="103" t="s">
        <v>47</v>
      </c>
      <c r="AB452" s="103" t="s">
        <v>140</v>
      </c>
      <c r="AC452" s="104" t="s">
        <v>141</v>
      </c>
    </row>
    <row r="453" spans="1:29" ht="25.5" customHeight="1" x14ac:dyDescent="0.35">
      <c r="A453" s="188"/>
      <c r="B453" s="190"/>
      <c r="C453" s="99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0"/>
      <c r="E453" s="78" t="str">
        <f>IF(C453="","",IFERROR(VLOOKUP(C453,parametros!$A$11:$E$15,5,0),""))</f>
        <v/>
      </c>
      <c r="F453" s="79" t="str">
        <f t="shared" si="37"/>
        <v/>
      </c>
      <c r="G453" s="101"/>
      <c r="H453" s="91">
        <f t="shared" si="38"/>
        <v>0</v>
      </c>
      <c r="I453" s="91" t="str">
        <f t="shared" si="39"/>
        <v/>
      </c>
      <c r="J453" s="91" t="str">
        <f t="shared" si="40"/>
        <v/>
      </c>
      <c r="K453" s="92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2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58"/>
      <c r="U453" s="217" t="str">
        <f t="shared" si="41"/>
        <v/>
      </c>
      <c r="V453" s="215" t="s">
        <v>47</v>
      </c>
      <c r="W453" s="102" t="s">
        <v>136</v>
      </c>
      <c r="X453" s="102" t="s">
        <v>137</v>
      </c>
      <c r="Y453" s="103" t="s">
        <v>138</v>
      </c>
      <c r="Z453" s="103" t="s">
        <v>139</v>
      </c>
      <c r="AA453" s="103" t="s">
        <v>47</v>
      </c>
      <c r="AB453" s="103" t="s">
        <v>140</v>
      </c>
      <c r="AC453" s="104" t="s">
        <v>141</v>
      </c>
    </row>
    <row r="454" spans="1:29" ht="25.5" customHeight="1" x14ac:dyDescent="0.35">
      <c r="A454" s="188"/>
      <c r="B454" s="190"/>
      <c r="C454" s="99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0"/>
      <c r="E454" s="78" t="str">
        <f>IF(C454="","",IFERROR(VLOOKUP(C454,parametros!$A$11:$E$15,5,0),""))</f>
        <v/>
      </c>
      <c r="F454" s="79" t="str">
        <f t="shared" si="37"/>
        <v/>
      </c>
      <c r="G454" s="101"/>
      <c r="H454" s="91">
        <f t="shared" si="38"/>
        <v>0</v>
      </c>
      <c r="I454" s="91" t="str">
        <f t="shared" si="39"/>
        <v/>
      </c>
      <c r="J454" s="91" t="str">
        <f t="shared" si="40"/>
        <v/>
      </c>
      <c r="K454" s="92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2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58"/>
      <c r="U454" s="217" t="str">
        <f t="shared" si="41"/>
        <v/>
      </c>
      <c r="V454" s="215" t="s">
        <v>47</v>
      </c>
      <c r="W454" s="102" t="s">
        <v>136</v>
      </c>
      <c r="X454" s="102" t="s">
        <v>137</v>
      </c>
      <c r="Y454" s="103" t="s">
        <v>138</v>
      </c>
      <c r="Z454" s="103" t="s">
        <v>139</v>
      </c>
      <c r="AA454" s="103" t="s">
        <v>47</v>
      </c>
      <c r="AB454" s="103" t="s">
        <v>140</v>
      </c>
      <c r="AC454" s="104" t="s">
        <v>141</v>
      </c>
    </row>
    <row r="455" spans="1:29" ht="25.5" customHeight="1" x14ac:dyDescent="0.35">
      <c r="A455" s="188"/>
      <c r="B455" s="190"/>
      <c r="C455" s="99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0"/>
      <c r="E455" s="78" t="str">
        <f>IF(C455="","",IFERROR(VLOOKUP(C455,parametros!$A$11:$E$15,5,0),""))</f>
        <v/>
      </c>
      <c r="F455" s="79" t="str">
        <f t="shared" si="37"/>
        <v/>
      </c>
      <c r="G455" s="101"/>
      <c r="H455" s="91">
        <f t="shared" si="38"/>
        <v>0</v>
      </c>
      <c r="I455" s="91" t="str">
        <f t="shared" si="39"/>
        <v/>
      </c>
      <c r="J455" s="91" t="str">
        <f t="shared" si="40"/>
        <v/>
      </c>
      <c r="K455" s="92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2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58"/>
      <c r="U455" s="217" t="str">
        <f t="shared" si="41"/>
        <v/>
      </c>
      <c r="V455" s="215" t="s">
        <v>47</v>
      </c>
      <c r="W455" s="102" t="s">
        <v>136</v>
      </c>
      <c r="X455" s="102" t="s">
        <v>137</v>
      </c>
      <c r="Y455" s="103" t="s">
        <v>138</v>
      </c>
      <c r="Z455" s="103" t="s">
        <v>139</v>
      </c>
      <c r="AA455" s="103" t="s">
        <v>47</v>
      </c>
      <c r="AB455" s="103" t="s">
        <v>140</v>
      </c>
      <c r="AC455" s="104" t="s">
        <v>141</v>
      </c>
    </row>
    <row r="456" spans="1:29" ht="25.5" customHeight="1" x14ac:dyDescent="0.35">
      <c r="A456" s="188"/>
      <c r="B456" s="190"/>
      <c r="C456" s="99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0"/>
      <c r="E456" s="78" t="str">
        <f>IF(C456="","",IFERROR(VLOOKUP(C456,parametros!$A$11:$E$15,5,0),""))</f>
        <v/>
      </c>
      <c r="F456" s="79" t="str">
        <f t="shared" si="37"/>
        <v/>
      </c>
      <c r="G456" s="101"/>
      <c r="H456" s="91">
        <f t="shared" si="38"/>
        <v>0</v>
      </c>
      <c r="I456" s="91" t="str">
        <f t="shared" si="39"/>
        <v/>
      </c>
      <c r="J456" s="91" t="str">
        <f t="shared" si="40"/>
        <v/>
      </c>
      <c r="K456" s="92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2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58"/>
      <c r="U456" s="217" t="str">
        <f t="shared" si="41"/>
        <v/>
      </c>
      <c r="V456" s="215" t="s">
        <v>47</v>
      </c>
      <c r="W456" s="102" t="s">
        <v>136</v>
      </c>
      <c r="X456" s="102" t="s">
        <v>137</v>
      </c>
      <c r="Y456" s="103" t="s">
        <v>138</v>
      </c>
      <c r="Z456" s="103" t="s">
        <v>139</v>
      </c>
      <c r="AA456" s="103" t="s">
        <v>47</v>
      </c>
      <c r="AB456" s="103" t="s">
        <v>140</v>
      </c>
      <c r="AC456" s="104" t="s">
        <v>141</v>
      </c>
    </row>
    <row r="457" spans="1:29" ht="25.5" customHeight="1" x14ac:dyDescent="0.35">
      <c r="A457" s="188"/>
      <c r="B457" s="190"/>
      <c r="C457" s="99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0"/>
      <c r="E457" s="78" t="str">
        <f>IF(C457="","",IFERROR(VLOOKUP(C457,parametros!$A$11:$E$15,5,0),""))</f>
        <v/>
      </c>
      <c r="F457" s="79" t="str">
        <f t="shared" si="37"/>
        <v/>
      </c>
      <c r="G457" s="101"/>
      <c r="H457" s="91">
        <f t="shared" si="38"/>
        <v>0</v>
      </c>
      <c r="I457" s="91" t="str">
        <f t="shared" si="39"/>
        <v/>
      </c>
      <c r="J457" s="91" t="str">
        <f t="shared" si="40"/>
        <v/>
      </c>
      <c r="K457" s="92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2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58"/>
      <c r="U457" s="217" t="str">
        <f t="shared" si="41"/>
        <v/>
      </c>
      <c r="V457" s="215" t="s">
        <v>47</v>
      </c>
      <c r="W457" s="102" t="s">
        <v>136</v>
      </c>
      <c r="X457" s="102" t="s">
        <v>137</v>
      </c>
      <c r="Y457" s="103" t="s">
        <v>138</v>
      </c>
      <c r="Z457" s="103" t="s">
        <v>139</v>
      </c>
      <c r="AA457" s="103" t="s">
        <v>47</v>
      </c>
      <c r="AB457" s="103" t="s">
        <v>140</v>
      </c>
      <c r="AC457" s="104" t="s">
        <v>141</v>
      </c>
    </row>
    <row r="458" spans="1:29" ht="25.5" customHeight="1" x14ac:dyDescent="0.35">
      <c r="A458" s="188"/>
      <c r="B458" s="190"/>
      <c r="C458" s="99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0"/>
      <c r="E458" s="78" t="str">
        <f>IF(C458="","",IFERROR(VLOOKUP(C458,parametros!$A$11:$E$15,5,0),""))</f>
        <v/>
      </c>
      <c r="F458" s="79" t="str">
        <f t="shared" si="37"/>
        <v/>
      </c>
      <c r="G458" s="101"/>
      <c r="H458" s="91">
        <f t="shared" si="38"/>
        <v>0</v>
      </c>
      <c r="I458" s="91" t="str">
        <f t="shared" si="39"/>
        <v/>
      </c>
      <c r="J458" s="91" t="str">
        <f t="shared" si="40"/>
        <v/>
      </c>
      <c r="K458" s="92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2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58"/>
      <c r="U458" s="217" t="str">
        <f t="shared" si="41"/>
        <v/>
      </c>
      <c r="V458" s="215" t="s">
        <v>47</v>
      </c>
      <c r="W458" s="102" t="s">
        <v>136</v>
      </c>
      <c r="X458" s="102" t="s">
        <v>137</v>
      </c>
      <c r="Y458" s="103" t="s">
        <v>138</v>
      </c>
      <c r="Z458" s="103" t="s">
        <v>139</v>
      </c>
      <c r="AA458" s="103" t="s">
        <v>47</v>
      </c>
      <c r="AB458" s="103" t="s">
        <v>140</v>
      </c>
      <c r="AC458" s="104" t="s">
        <v>141</v>
      </c>
    </row>
    <row r="459" spans="1:29" ht="25.5" customHeight="1" x14ac:dyDescent="0.35">
      <c r="A459" s="188"/>
      <c r="B459" s="190"/>
      <c r="C459" s="99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0"/>
      <c r="E459" s="78" t="str">
        <f>IF(C459="","",IFERROR(VLOOKUP(C459,parametros!$A$11:$E$15,5,0),""))</f>
        <v/>
      </c>
      <c r="F459" s="79" t="str">
        <f t="shared" si="37"/>
        <v/>
      </c>
      <c r="G459" s="101"/>
      <c r="H459" s="91">
        <f t="shared" si="38"/>
        <v>0</v>
      </c>
      <c r="I459" s="91" t="str">
        <f t="shared" si="39"/>
        <v/>
      </c>
      <c r="J459" s="91" t="str">
        <f t="shared" si="40"/>
        <v/>
      </c>
      <c r="K459" s="92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2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58"/>
      <c r="U459" s="217" t="str">
        <f t="shared" si="41"/>
        <v/>
      </c>
      <c r="V459" s="215" t="s">
        <v>47</v>
      </c>
      <c r="W459" s="102" t="s">
        <v>136</v>
      </c>
      <c r="X459" s="102" t="s">
        <v>137</v>
      </c>
      <c r="Y459" s="103" t="s">
        <v>138</v>
      </c>
      <c r="Z459" s="103" t="s">
        <v>139</v>
      </c>
      <c r="AA459" s="103" t="s">
        <v>47</v>
      </c>
      <c r="AB459" s="103" t="s">
        <v>140</v>
      </c>
      <c r="AC459" s="104" t="s">
        <v>141</v>
      </c>
    </row>
    <row r="460" spans="1:29" ht="25.5" customHeight="1" x14ac:dyDescent="0.35">
      <c r="A460" s="188"/>
      <c r="B460" s="190"/>
      <c r="C460" s="99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0"/>
      <c r="E460" s="78" t="str">
        <f>IF(C460="","",IFERROR(VLOOKUP(C460,parametros!$A$11:$E$15,5,0),""))</f>
        <v/>
      </c>
      <c r="F460" s="79" t="str">
        <f t="shared" si="37"/>
        <v/>
      </c>
      <c r="G460" s="101"/>
      <c r="H460" s="91">
        <f t="shared" si="38"/>
        <v>0</v>
      </c>
      <c r="I460" s="91" t="str">
        <f t="shared" si="39"/>
        <v/>
      </c>
      <c r="J460" s="91" t="str">
        <f t="shared" si="40"/>
        <v/>
      </c>
      <c r="K460" s="92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2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58"/>
      <c r="U460" s="217" t="str">
        <f t="shared" si="41"/>
        <v/>
      </c>
      <c r="V460" s="215" t="s">
        <v>47</v>
      </c>
      <c r="W460" s="102" t="s">
        <v>136</v>
      </c>
      <c r="X460" s="102" t="s">
        <v>137</v>
      </c>
      <c r="Y460" s="103" t="s">
        <v>138</v>
      </c>
      <c r="Z460" s="103" t="s">
        <v>139</v>
      </c>
      <c r="AA460" s="103" t="s">
        <v>47</v>
      </c>
      <c r="AB460" s="103" t="s">
        <v>140</v>
      </c>
      <c r="AC460" s="104" t="s">
        <v>141</v>
      </c>
    </row>
    <row r="461" spans="1:29" ht="25.5" customHeight="1" x14ac:dyDescent="0.35">
      <c r="A461" s="188"/>
      <c r="B461" s="190"/>
      <c r="C461" s="99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0"/>
      <c r="E461" s="78" t="str">
        <f>IF(C461="","",IFERROR(VLOOKUP(C461,parametros!$A$11:$E$15,5,0),""))</f>
        <v/>
      </c>
      <c r="F461" s="79" t="str">
        <f t="shared" si="37"/>
        <v/>
      </c>
      <c r="G461" s="101"/>
      <c r="H461" s="91">
        <f t="shared" si="38"/>
        <v>0</v>
      </c>
      <c r="I461" s="91" t="str">
        <f t="shared" si="39"/>
        <v/>
      </c>
      <c r="J461" s="91" t="str">
        <f t="shared" si="40"/>
        <v/>
      </c>
      <c r="K461" s="92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2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58"/>
      <c r="U461" s="217" t="str">
        <f t="shared" si="41"/>
        <v/>
      </c>
      <c r="V461" s="215" t="s">
        <v>47</v>
      </c>
      <c r="W461" s="102" t="s">
        <v>136</v>
      </c>
      <c r="X461" s="102" t="s">
        <v>137</v>
      </c>
      <c r="Y461" s="103" t="s">
        <v>138</v>
      </c>
      <c r="Z461" s="103" t="s">
        <v>139</v>
      </c>
      <c r="AA461" s="103" t="s">
        <v>47</v>
      </c>
      <c r="AB461" s="103" t="s">
        <v>140</v>
      </c>
      <c r="AC461" s="104" t="s">
        <v>141</v>
      </c>
    </row>
    <row r="462" spans="1:29" ht="25.5" customHeight="1" x14ac:dyDescent="0.35">
      <c r="A462" s="188"/>
      <c r="B462" s="190"/>
      <c r="C462" s="99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0"/>
      <c r="E462" s="78" t="str">
        <f>IF(C462="","",IFERROR(VLOOKUP(C462,parametros!$A$11:$E$15,5,0),""))</f>
        <v/>
      </c>
      <c r="F462" s="79" t="str">
        <f t="shared" si="37"/>
        <v/>
      </c>
      <c r="G462" s="101"/>
      <c r="H462" s="91">
        <f t="shared" si="38"/>
        <v>0</v>
      </c>
      <c r="I462" s="91" t="str">
        <f t="shared" si="39"/>
        <v/>
      </c>
      <c r="J462" s="91" t="str">
        <f t="shared" si="40"/>
        <v/>
      </c>
      <c r="K462" s="92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2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58"/>
      <c r="U462" s="217" t="str">
        <f t="shared" si="41"/>
        <v/>
      </c>
      <c r="V462" s="215" t="s">
        <v>47</v>
      </c>
      <c r="W462" s="102" t="s">
        <v>136</v>
      </c>
      <c r="X462" s="102" t="s">
        <v>137</v>
      </c>
      <c r="Y462" s="103" t="s">
        <v>138</v>
      </c>
      <c r="Z462" s="103" t="s">
        <v>139</v>
      </c>
      <c r="AA462" s="103" t="s">
        <v>47</v>
      </c>
      <c r="AB462" s="103" t="s">
        <v>140</v>
      </c>
      <c r="AC462" s="104" t="s">
        <v>141</v>
      </c>
    </row>
    <row r="463" spans="1:29" ht="25.5" customHeight="1" x14ac:dyDescent="0.35">
      <c r="A463" s="188"/>
      <c r="B463" s="190"/>
      <c r="C463" s="99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0"/>
      <c r="E463" s="78" t="str">
        <f>IF(C463="","",IFERROR(VLOOKUP(C463,parametros!$A$11:$E$15,5,0),""))</f>
        <v/>
      </c>
      <c r="F463" s="79" t="str">
        <f t="shared" si="37"/>
        <v/>
      </c>
      <c r="G463" s="101"/>
      <c r="H463" s="91">
        <f t="shared" si="38"/>
        <v>0</v>
      </c>
      <c r="I463" s="91" t="str">
        <f t="shared" si="39"/>
        <v/>
      </c>
      <c r="J463" s="91" t="str">
        <f t="shared" si="40"/>
        <v/>
      </c>
      <c r="K463" s="92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2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58"/>
      <c r="U463" s="217" t="str">
        <f t="shared" si="41"/>
        <v/>
      </c>
      <c r="V463" s="215" t="s">
        <v>47</v>
      </c>
      <c r="W463" s="102" t="s">
        <v>136</v>
      </c>
      <c r="X463" s="102" t="s">
        <v>137</v>
      </c>
      <c r="Y463" s="103" t="s">
        <v>138</v>
      </c>
      <c r="Z463" s="103" t="s">
        <v>139</v>
      </c>
      <c r="AA463" s="103" t="s">
        <v>47</v>
      </c>
      <c r="AB463" s="103" t="s">
        <v>140</v>
      </c>
      <c r="AC463" s="104" t="s">
        <v>141</v>
      </c>
    </row>
    <row r="464" spans="1:29" ht="25.5" customHeight="1" x14ac:dyDescent="0.35">
      <c r="A464" s="188"/>
      <c r="B464" s="190"/>
      <c r="C464" s="99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0"/>
      <c r="E464" s="78" t="str">
        <f>IF(C464="","",IFERROR(VLOOKUP(C464,parametros!$A$11:$E$15,5,0),""))</f>
        <v/>
      </c>
      <c r="F464" s="79" t="str">
        <f t="shared" si="37"/>
        <v/>
      </c>
      <c r="G464" s="101"/>
      <c r="H464" s="91">
        <f t="shared" si="38"/>
        <v>0</v>
      </c>
      <c r="I464" s="91" t="str">
        <f t="shared" si="39"/>
        <v/>
      </c>
      <c r="J464" s="91" t="str">
        <f t="shared" si="40"/>
        <v/>
      </c>
      <c r="K464" s="92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2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58"/>
      <c r="U464" s="217" t="str">
        <f t="shared" si="41"/>
        <v/>
      </c>
      <c r="V464" s="215" t="s">
        <v>47</v>
      </c>
      <c r="W464" s="102" t="s">
        <v>136</v>
      </c>
      <c r="X464" s="102" t="s">
        <v>137</v>
      </c>
      <c r="Y464" s="103" t="s">
        <v>138</v>
      </c>
      <c r="Z464" s="103" t="s">
        <v>139</v>
      </c>
      <c r="AA464" s="103" t="s">
        <v>47</v>
      </c>
      <c r="AB464" s="103" t="s">
        <v>140</v>
      </c>
      <c r="AC464" s="104" t="s">
        <v>141</v>
      </c>
    </row>
    <row r="465" spans="1:29" ht="25.5" customHeight="1" x14ac:dyDescent="0.35">
      <c r="A465" s="188"/>
      <c r="B465" s="190"/>
      <c r="C465" s="99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0"/>
      <c r="E465" s="78" t="str">
        <f>IF(C465="","",IFERROR(VLOOKUP(C465,parametros!$A$11:$E$15,5,0),""))</f>
        <v/>
      </c>
      <c r="F465" s="79" t="str">
        <f t="shared" si="37"/>
        <v/>
      </c>
      <c r="G465" s="101"/>
      <c r="H465" s="91">
        <f t="shared" si="38"/>
        <v>0</v>
      </c>
      <c r="I465" s="91" t="str">
        <f t="shared" si="39"/>
        <v/>
      </c>
      <c r="J465" s="91" t="str">
        <f t="shared" si="40"/>
        <v/>
      </c>
      <c r="K465" s="92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2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58"/>
      <c r="U465" s="217" t="str">
        <f t="shared" si="41"/>
        <v/>
      </c>
      <c r="V465" s="215" t="s">
        <v>47</v>
      </c>
      <c r="W465" s="102" t="s">
        <v>136</v>
      </c>
      <c r="X465" s="102" t="s">
        <v>137</v>
      </c>
      <c r="Y465" s="103" t="s">
        <v>138</v>
      </c>
      <c r="Z465" s="103" t="s">
        <v>139</v>
      </c>
      <c r="AA465" s="103" t="s">
        <v>47</v>
      </c>
      <c r="AB465" s="103" t="s">
        <v>140</v>
      </c>
      <c r="AC465" s="104" t="s">
        <v>141</v>
      </c>
    </row>
    <row r="466" spans="1:29" ht="25.5" customHeight="1" x14ac:dyDescent="0.35">
      <c r="A466" s="188"/>
      <c r="B466" s="190"/>
      <c r="C466" s="99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0"/>
      <c r="E466" s="78" t="str">
        <f>IF(C466="","",IFERROR(VLOOKUP(C466,parametros!$A$11:$E$15,5,0),""))</f>
        <v/>
      </c>
      <c r="F466" s="79" t="str">
        <f t="shared" si="37"/>
        <v/>
      </c>
      <c r="G466" s="101"/>
      <c r="H466" s="91">
        <f t="shared" si="38"/>
        <v>0</v>
      </c>
      <c r="I466" s="91" t="str">
        <f t="shared" si="39"/>
        <v/>
      </c>
      <c r="J466" s="91" t="str">
        <f t="shared" si="40"/>
        <v/>
      </c>
      <c r="K466" s="92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2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58"/>
      <c r="U466" s="217" t="str">
        <f t="shared" si="41"/>
        <v/>
      </c>
      <c r="V466" s="215" t="s">
        <v>47</v>
      </c>
      <c r="W466" s="102" t="s">
        <v>136</v>
      </c>
      <c r="X466" s="102" t="s">
        <v>137</v>
      </c>
      <c r="Y466" s="103" t="s">
        <v>138</v>
      </c>
      <c r="Z466" s="103" t="s">
        <v>139</v>
      </c>
      <c r="AA466" s="103" t="s">
        <v>47</v>
      </c>
      <c r="AB466" s="103" t="s">
        <v>140</v>
      </c>
      <c r="AC466" s="104" t="s">
        <v>141</v>
      </c>
    </row>
    <row r="467" spans="1:29" ht="25.5" customHeight="1" x14ac:dyDescent="0.35">
      <c r="A467" s="188"/>
      <c r="B467" s="190"/>
      <c r="C467" s="99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0"/>
      <c r="E467" s="78" t="str">
        <f>IF(C467="","",IFERROR(VLOOKUP(C467,parametros!$A$11:$E$15,5,0),""))</f>
        <v/>
      </c>
      <c r="F467" s="79" t="str">
        <f t="shared" si="37"/>
        <v/>
      </c>
      <c r="G467" s="101"/>
      <c r="H467" s="91">
        <f t="shared" si="38"/>
        <v>0</v>
      </c>
      <c r="I467" s="91" t="str">
        <f t="shared" si="39"/>
        <v/>
      </c>
      <c r="J467" s="91" t="str">
        <f t="shared" si="40"/>
        <v/>
      </c>
      <c r="K467" s="92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2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58"/>
      <c r="U467" s="217" t="str">
        <f t="shared" si="41"/>
        <v/>
      </c>
      <c r="V467" s="215" t="s">
        <v>47</v>
      </c>
      <c r="W467" s="102" t="s">
        <v>136</v>
      </c>
      <c r="X467" s="102" t="s">
        <v>137</v>
      </c>
      <c r="Y467" s="103" t="s">
        <v>138</v>
      </c>
      <c r="Z467" s="103" t="s">
        <v>139</v>
      </c>
      <c r="AA467" s="103" t="s">
        <v>47</v>
      </c>
      <c r="AB467" s="103" t="s">
        <v>140</v>
      </c>
      <c r="AC467" s="104" t="s">
        <v>141</v>
      </c>
    </row>
    <row r="468" spans="1:29" ht="25.5" customHeight="1" x14ac:dyDescent="0.35">
      <c r="A468" s="188"/>
      <c r="B468" s="190"/>
      <c r="C468" s="99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0"/>
      <c r="E468" s="78" t="str">
        <f>IF(C468="","",IFERROR(VLOOKUP(C468,parametros!$A$11:$E$15,5,0),""))</f>
        <v/>
      </c>
      <c r="F468" s="79" t="str">
        <f t="shared" si="37"/>
        <v/>
      </c>
      <c r="G468" s="101"/>
      <c r="H468" s="91">
        <f t="shared" si="38"/>
        <v>0</v>
      </c>
      <c r="I468" s="91" t="str">
        <f t="shared" si="39"/>
        <v/>
      </c>
      <c r="J468" s="91" t="str">
        <f t="shared" si="40"/>
        <v/>
      </c>
      <c r="K468" s="92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2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58"/>
      <c r="U468" s="217" t="str">
        <f t="shared" si="41"/>
        <v/>
      </c>
      <c r="V468" s="215" t="s">
        <v>47</v>
      </c>
      <c r="W468" s="102" t="s">
        <v>136</v>
      </c>
      <c r="X468" s="102" t="s">
        <v>137</v>
      </c>
      <c r="Y468" s="103" t="s">
        <v>138</v>
      </c>
      <c r="Z468" s="103" t="s">
        <v>139</v>
      </c>
      <c r="AA468" s="103" t="s">
        <v>47</v>
      </c>
      <c r="AB468" s="103" t="s">
        <v>140</v>
      </c>
      <c r="AC468" s="104" t="s">
        <v>141</v>
      </c>
    </row>
    <row r="469" spans="1:29" ht="25.5" customHeight="1" x14ac:dyDescent="0.35">
      <c r="A469" s="188"/>
      <c r="B469" s="190"/>
      <c r="C469" s="99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0"/>
      <c r="E469" s="78" t="str">
        <f>IF(C469="","",IFERROR(VLOOKUP(C469,parametros!$A$11:$E$15,5,0),""))</f>
        <v/>
      </c>
      <c r="F469" s="79" t="str">
        <f t="shared" si="37"/>
        <v/>
      </c>
      <c r="G469" s="101"/>
      <c r="H469" s="91">
        <f t="shared" si="38"/>
        <v>0</v>
      </c>
      <c r="I469" s="91" t="str">
        <f t="shared" si="39"/>
        <v/>
      </c>
      <c r="J469" s="91" t="str">
        <f t="shared" si="40"/>
        <v/>
      </c>
      <c r="K469" s="92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2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58"/>
      <c r="U469" s="217" t="str">
        <f t="shared" si="41"/>
        <v/>
      </c>
      <c r="V469" s="215" t="s">
        <v>47</v>
      </c>
      <c r="W469" s="102" t="s">
        <v>136</v>
      </c>
      <c r="X469" s="102" t="s">
        <v>137</v>
      </c>
      <c r="Y469" s="103" t="s">
        <v>138</v>
      </c>
      <c r="Z469" s="103" t="s">
        <v>139</v>
      </c>
      <c r="AA469" s="103" t="s">
        <v>47</v>
      </c>
      <c r="AB469" s="103" t="s">
        <v>140</v>
      </c>
      <c r="AC469" s="104" t="s">
        <v>141</v>
      </c>
    </row>
    <row r="470" spans="1:29" ht="25.5" customHeight="1" x14ac:dyDescent="0.35">
      <c r="A470" s="188"/>
      <c r="B470" s="190"/>
      <c r="C470" s="99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0"/>
      <c r="E470" s="78" t="str">
        <f>IF(C470="","",IFERROR(VLOOKUP(C470,parametros!$A$11:$E$15,5,0),""))</f>
        <v/>
      </c>
      <c r="F470" s="79" t="str">
        <f t="shared" si="37"/>
        <v/>
      </c>
      <c r="G470" s="101"/>
      <c r="H470" s="91">
        <f t="shared" si="38"/>
        <v>0</v>
      </c>
      <c r="I470" s="91" t="str">
        <f t="shared" si="39"/>
        <v/>
      </c>
      <c r="J470" s="91" t="str">
        <f t="shared" si="40"/>
        <v/>
      </c>
      <c r="K470" s="92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2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58"/>
      <c r="U470" s="217" t="str">
        <f t="shared" si="41"/>
        <v/>
      </c>
      <c r="V470" s="215" t="s">
        <v>47</v>
      </c>
      <c r="W470" s="102" t="s">
        <v>136</v>
      </c>
      <c r="X470" s="102" t="s">
        <v>137</v>
      </c>
      <c r="Y470" s="103" t="s">
        <v>138</v>
      </c>
      <c r="Z470" s="103" t="s">
        <v>139</v>
      </c>
      <c r="AA470" s="103" t="s">
        <v>47</v>
      </c>
      <c r="AB470" s="103" t="s">
        <v>140</v>
      </c>
      <c r="AC470" s="104" t="s">
        <v>141</v>
      </c>
    </row>
    <row r="471" spans="1:29" ht="25.5" customHeight="1" x14ac:dyDescent="0.35">
      <c r="A471" s="188"/>
      <c r="B471" s="190"/>
      <c r="C471" s="99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0"/>
      <c r="E471" s="78" t="str">
        <f>IF(C471="","",IFERROR(VLOOKUP(C471,parametros!$A$11:$E$15,5,0),""))</f>
        <v/>
      </c>
      <c r="F471" s="79" t="str">
        <f t="shared" si="37"/>
        <v/>
      </c>
      <c r="G471" s="101"/>
      <c r="H471" s="91">
        <f t="shared" si="38"/>
        <v>0</v>
      </c>
      <c r="I471" s="91" t="str">
        <f t="shared" si="39"/>
        <v/>
      </c>
      <c r="J471" s="91" t="str">
        <f t="shared" si="40"/>
        <v/>
      </c>
      <c r="K471" s="92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2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58"/>
      <c r="U471" s="217" t="str">
        <f t="shared" si="41"/>
        <v/>
      </c>
      <c r="V471" s="215" t="s">
        <v>47</v>
      </c>
      <c r="W471" s="102" t="s">
        <v>136</v>
      </c>
      <c r="X471" s="102" t="s">
        <v>137</v>
      </c>
      <c r="Y471" s="103" t="s">
        <v>138</v>
      </c>
      <c r="Z471" s="103" t="s">
        <v>139</v>
      </c>
      <c r="AA471" s="103" t="s">
        <v>47</v>
      </c>
      <c r="AB471" s="103" t="s">
        <v>140</v>
      </c>
      <c r="AC471" s="104" t="s">
        <v>141</v>
      </c>
    </row>
    <row r="472" spans="1:29" ht="25.5" customHeight="1" x14ac:dyDescent="0.35">
      <c r="A472" s="188"/>
      <c r="B472" s="190"/>
      <c r="C472" s="99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0"/>
      <c r="E472" s="78" t="str">
        <f>IF(C472="","",IFERROR(VLOOKUP(C472,parametros!$A$11:$E$15,5,0),""))</f>
        <v/>
      </c>
      <c r="F472" s="79" t="str">
        <f t="shared" si="37"/>
        <v/>
      </c>
      <c r="G472" s="101"/>
      <c r="H472" s="91">
        <f t="shared" si="38"/>
        <v>0</v>
      </c>
      <c r="I472" s="91" t="str">
        <f t="shared" si="39"/>
        <v/>
      </c>
      <c r="J472" s="91" t="str">
        <f t="shared" si="40"/>
        <v/>
      </c>
      <c r="K472" s="92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2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58"/>
      <c r="U472" s="217" t="str">
        <f t="shared" si="41"/>
        <v/>
      </c>
      <c r="V472" s="215" t="s">
        <v>47</v>
      </c>
      <c r="W472" s="102" t="s">
        <v>136</v>
      </c>
      <c r="X472" s="102" t="s">
        <v>137</v>
      </c>
      <c r="Y472" s="103" t="s">
        <v>138</v>
      </c>
      <c r="Z472" s="103" t="s">
        <v>139</v>
      </c>
      <c r="AA472" s="103" t="s">
        <v>47</v>
      </c>
      <c r="AB472" s="103" t="s">
        <v>140</v>
      </c>
      <c r="AC472" s="104" t="s">
        <v>141</v>
      </c>
    </row>
    <row r="473" spans="1:29" ht="25.5" customHeight="1" x14ac:dyDescent="0.35">
      <c r="A473" s="188"/>
      <c r="B473" s="190"/>
      <c r="C473" s="99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0"/>
      <c r="E473" s="78" t="str">
        <f>IF(C473="","",IFERROR(VLOOKUP(C473,parametros!$A$11:$E$15,5,0),""))</f>
        <v/>
      </c>
      <c r="F473" s="79" t="str">
        <f t="shared" si="37"/>
        <v/>
      </c>
      <c r="G473" s="101"/>
      <c r="H473" s="91">
        <f t="shared" si="38"/>
        <v>0</v>
      </c>
      <c r="I473" s="91" t="str">
        <f t="shared" si="39"/>
        <v/>
      </c>
      <c r="J473" s="91" t="str">
        <f t="shared" si="40"/>
        <v/>
      </c>
      <c r="K473" s="92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2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58"/>
      <c r="U473" s="217" t="str">
        <f t="shared" si="41"/>
        <v/>
      </c>
      <c r="V473" s="215" t="s">
        <v>47</v>
      </c>
      <c r="W473" s="102" t="s">
        <v>136</v>
      </c>
      <c r="X473" s="102" t="s">
        <v>137</v>
      </c>
      <c r="Y473" s="103" t="s">
        <v>138</v>
      </c>
      <c r="Z473" s="103" t="s">
        <v>139</v>
      </c>
      <c r="AA473" s="103" t="s">
        <v>47</v>
      </c>
      <c r="AB473" s="103" t="s">
        <v>140</v>
      </c>
      <c r="AC473" s="104" t="s">
        <v>141</v>
      </c>
    </row>
    <row r="474" spans="1:29" ht="25.5" customHeight="1" x14ac:dyDescent="0.35">
      <c r="A474" s="188"/>
      <c r="B474" s="190"/>
      <c r="C474" s="99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0"/>
      <c r="E474" s="78" t="str">
        <f>IF(C474="","",IFERROR(VLOOKUP(C474,parametros!$A$11:$E$15,5,0),""))</f>
        <v/>
      </c>
      <c r="F474" s="79" t="str">
        <f t="shared" si="37"/>
        <v/>
      </c>
      <c r="G474" s="101"/>
      <c r="H474" s="91">
        <f t="shared" si="38"/>
        <v>0</v>
      </c>
      <c r="I474" s="91" t="str">
        <f t="shared" si="39"/>
        <v/>
      </c>
      <c r="J474" s="91" t="str">
        <f t="shared" si="40"/>
        <v/>
      </c>
      <c r="K474" s="92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2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58"/>
      <c r="U474" s="217" t="str">
        <f t="shared" si="41"/>
        <v/>
      </c>
      <c r="V474" s="215" t="s">
        <v>47</v>
      </c>
      <c r="W474" s="102" t="s">
        <v>136</v>
      </c>
      <c r="X474" s="102" t="s">
        <v>137</v>
      </c>
      <c r="Y474" s="103" t="s">
        <v>138</v>
      </c>
      <c r="Z474" s="103" t="s">
        <v>139</v>
      </c>
      <c r="AA474" s="103" t="s">
        <v>47</v>
      </c>
      <c r="AB474" s="103" t="s">
        <v>140</v>
      </c>
      <c r="AC474" s="104" t="s">
        <v>141</v>
      </c>
    </row>
    <row r="475" spans="1:29" ht="25.5" customHeight="1" x14ac:dyDescent="0.35">
      <c r="A475" s="188"/>
      <c r="B475" s="190"/>
      <c r="C475" s="99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0"/>
      <c r="E475" s="78" t="str">
        <f>IF(C475="","",IFERROR(VLOOKUP(C475,parametros!$A$11:$E$15,5,0),""))</f>
        <v/>
      </c>
      <c r="F475" s="79" t="str">
        <f t="shared" si="37"/>
        <v/>
      </c>
      <c r="G475" s="101"/>
      <c r="H475" s="91">
        <f t="shared" si="38"/>
        <v>0</v>
      </c>
      <c r="I475" s="91" t="str">
        <f t="shared" si="39"/>
        <v/>
      </c>
      <c r="J475" s="91" t="str">
        <f t="shared" si="40"/>
        <v/>
      </c>
      <c r="K475" s="92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2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58"/>
      <c r="U475" s="217" t="str">
        <f t="shared" si="41"/>
        <v/>
      </c>
      <c r="V475" s="215" t="s">
        <v>47</v>
      </c>
      <c r="W475" s="102" t="s">
        <v>136</v>
      </c>
      <c r="X475" s="102" t="s">
        <v>137</v>
      </c>
      <c r="Y475" s="103" t="s">
        <v>138</v>
      </c>
      <c r="Z475" s="103" t="s">
        <v>139</v>
      </c>
      <c r="AA475" s="103" t="s">
        <v>47</v>
      </c>
      <c r="AB475" s="103" t="s">
        <v>140</v>
      </c>
      <c r="AC475" s="104" t="s">
        <v>141</v>
      </c>
    </row>
    <row r="476" spans="1:29" ht="25.5" customHeight="1" x14ac:dyDescent="0.35">
      <c r="A476" s="188"/>
      <c r="B476" s="190"/>
      <c r="C476" s="99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0"/>
      <c r="E476" s="78" t="str">
        <f>IF(C476="","",IFERROR(VLOOKUP(C476,parametros!$A$11:$E$15,5,0),""))</f>
        <v/>
      </c>
      <c r="F476" s="79" t="str">
        <f t="shared" si="37"/>
        <v/>
      </c>
      <c r="G476" s="101"/>
      <c r="H476" s="91">
        <f t="shared" si="38"/>
        <v>0</v>
      </c>
      <c r="I476" s="91" t="str">
        <f t="shared" si="39"/>
        <v/>
      </c>
      <c r="J476" s="91" t="str">
        <f t="shared" si="40"/>
        <v/>
      </c>
      <c r="K476" s="92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2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58"/>
      <c r="U476" s="217" t="str">
        <f t="shared" si="41"/>
        <v/>
      </c>
      <c r="V476" s="215" t="s">
        <v>47</v>
      </c>
      <c r="W476" s="102" t="s">
        <v>136</v>
      </c>
      <c r="X476" s="102" t="s">
        <v>137</v>
      </c>
      <c r="Y476" s="103" t="s">
        <v>138</v>
      </c>
      <c r="Z476" s="103" t="s">
        <v>139</v>
      </c>
      <c r="AA476" s="103" t="s">
        <v>47</v>
      </c>
      <c r="AB476" s="103" t="s">
        <v>140</v>
      </c>
      <c r="AC476" s="104" t="s">
        <v>141</v>
      </c>
    </row>
    <row r="477" spans="1:29" ht="25.5" customHeight="1" x14ac:dyDescent="0.35">
      <c r="A477" s="188"/>
      <c r="B477" s="190"/>
      <c r="C477" s="99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0"/>
      <c r="E477" s="78" t="str">
        <f>IF(C477="","",IFERROR(VLOOKUP(C477,parametros!$A$11:$E$15,5,0),""))</f>
        <v/>
      </c>
      <c r="F477" s="79" t="str">
        <f t="shared" si="37"/>
        <v/>
      </c>
      <c r="G477" s="101"/>
      <c r="H477" s="91">
        <f t="shared" si="38"/>
        <v>0</v>
      </c>
      <c r="I477" s="91" t="str">
        <f t="shared" si="39"/>
        <v/>
      </c>
      <c r="J477" s="91" t="str">
        <f t="shared" si="40"/>
        <v/>
      </c>
      <c r="K477" s="92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2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58"/>
      <c r="U477" s="217" t="str">
        <f t="shared" si="41"/>
        <v/>
      </c>
      <c r="V477" s="215" t="s">
        <v>47</v>
      </c>
      <c r="W477" s="102" t="s">
        <v>136</v>
      </c>
      <c r="X477" s="102" t="s">
        <v>137</v>
      </c>
      <c r="Y477" s="103" t="s">
        <v>138</v>
      </c>
      <c r="Z477" s="103" t="s">
        <v>139</v>
      </c>
      <c r="AA477" s="103" t="s">
        <v>47</v>
      </c>
      <c r="AB477" s="103" t="s">
        <v>140</v>
      </c>
      <c r="AC477" s="104" t="s">
        <v>141</v>
      </c>
    </row>
    <row r="478" spans="1:29" ht="25.5" customHeight="1" x14ac:dyDescent="0.35">
      <c r="A478" s="188"/>
      <c r="B478" s="190"/>
      <c r="C478" s="99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0"/>
      <c r="E478" s="78" t="str">
        <f>IF(C478="","",IFERROR(VLOOKUP(C478,parametros!$A$11:$E$15,5,0),""))</f>
        <v/>
      </c>
      <c r="F478" s="79" t="str">
        <f t="shared" si="37"/>
        <v/>
      </c>
      <c r="G478" s="101"/>
      <c r="H478" s="91">
        <f t="shared" si="38"/>
        <v>0</v>
      </c>
      <c r="I478" s="91" t="str">
        <f t="shared" si="39"/>
        <v/>
      </c>
      <c r="J478" s="91" t="str">
        <f t="shared" si="40"/>
        <v/>
      </c>
      <c r="K478" s="92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2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58"/>
      <c r="U478" s="217" t="str">
        <f t="shared" si="41"/>
        <v/>
      </c>
      <c r="V478" s="215" t="s">
        <v>47</v>
      </c>
      <c r="W478" s="102" t="s">
        <v>136</v>
      </c>
      <c r="X478" s="102" t="s">
        <v>137</v>
      </c>
      <c r="Y478" s="103" t="s">
        <v>138</v>
      </c>
      <c r="Z478" s="103" t="s">
        <v>139</v>
      </c>
      <c r="AA478" s="103" t="s">
        <v>47</v>
      </c>
      <c r="AB478" s="103" t="s">
        <v>140</v>
      </c>
      <c r="AC478" s="104" t="s">
        <v>141</v>
      </c>
    </row>
    <row r="479" spans="1:29" ht="25.5" customHeight="1" x14ac:dyDescent="0.35">
      <c r="A479" s="188"/>
      <c r="B479" s="190"/>
      <c r="C479" s="99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0"/>
      <c r="E479" s="78" t="str">
        <f>IF(C479="","",IFERROR(VLOOKUP(C479,parametros!$A$11:$E$15,5,0),""))</f>
        <v/>
      </c>
      <c r="F479" s="79" t="str">
        <f t="shared" si="37"/>
        <v/>
      </c>
      <c r="G479" s="101"/>
      <c r="H479" s="91">
        <f t="shared" si="38"/>
        <v>0</v>
      </c>
      <c r="I479" s="91" t="str">
        <f t="shared" si="39"/>
        <v/>
      </c>
      <c r="J479" s="91" t="str">
        <f t="shared" si="40"/>
        <v/>
      </c>
      <c r="K479" s="92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2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58"/>
      <c r="U479" s="217" t="str">
        <f t="shared" si="41"/>
        <v/>
      </c>
      <c r="V479" s="215" t="s">
        <v>47</v>
      </c>
      <c r="W479" s="102" t="s">
        <v>136</v>
      </c>
      <c r="X479" s="102" t="s">
        <v>137</v>
      </c>
      <c r="Y479" s="103" t="s">
        <v>138</v>
      </c>
      <c r="Z479" s="103" t="s">
        <v>139</v>
      </c>
      <c r="AA479" s="103" t="s">
        <v>47</v>
      </c>
      <c r="AB479" s="103" t="s">
        <v>140</v>
      </c>
      <c r="AC479" s="104" t="s">
        <v>141</v>
      </c>
    </row>
    <row r="480" spans="1:29" ht="25.5" customHeight="1" x14ac:dyDescent="0.35">
      <c r="A480" s="188"/>
      <c r="B480" s="190"/>
      <c r="C480" s="99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0"/>
      <c r="E480" s="78" t="str">
        <f>IF(C480="","",IFERROR(VLOOKUP(C480,parametros!$A$11:$E$15,5,0),""))</f>
        <v/>
      </c>
      <c r="F480" s="79" t="str">
        <f t="shared" si="37"/>
        <v/>
      </c>
      <c r="G480" s="101"/>
      <c r="H480" s="91">
        <f t="shared" si="38"/>
        <v>0</v>
      </c>
      <c r="I480" s="91" t="str">
        <f t="shared" si="39"/>
        <v/>
      </c>
      <c r="J480" s="91" t="str">
        <f t="shared" si="40"/>
        <v/>
      </c>
      <c r="K480" s="92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2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58"/>
      <c r="U480" s="217" t="str">
        <f t="shared" si="41"/>
        <v/>
      </c>
      <c r="V480" s="215" t="s">
        <v>47</v>
      </c>
      <c r="W480" s="102" t="s">
        <v>136</v>
      </c>
      <c r="X480" s="102" t="s">
        <v>137</v>
      </c>
      <c r="Y480" s="103" t="s">
        <v>138</v>
      </c>
      <c r="Z480" s="103" t="s">
        <v>139</v>
      </c>
      <c r="AA480" s="103" t="s">
        <v>47</v>
      </c>
      <c r="AB480" s="103" t="s">
        <v>140</v>
      </c>
      <c r="AC480" s="104" t="s">
        <v>141</v>
      </c>
    </row>
    <row r="481" spans="1:29" ht="25.5" customHeight="1" x14ac:dyDescent="0.35">
      <c r="A481" s="188"/>
      <c r="B481" s="190"/>
      <c r="C481" s="99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0"/>
      <c r="E481" s="78" t="str">
        <f>IF(C481="","",IFERROR(VLOOKUP(C481,parametros!$A$11:$E$15,5,0),""))</f>
        <v/>
      </c>
      <c r="F481" s="79" t="str">
        <f t="shared" si="37"/>
        <v/>
      </c>
      <c r="G481" s="101"/>
      <c r="H481" s="91">
        <f t="shared" si="38"/>
        <v>0</v>
      </c>
      <c r="I481" s="91" t="str">
        <f t="shared" si="39"/>
        <v/>
      </c>
      <c r="J481" s="91" t="str">
        <f t="shared" si="40"/>
        <v/>
      </c>
      <c r="K481" s="92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2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58"/>
      <c r="U481" s="217" t="str">
        <f t="shared" si="41"/>
        <v/>
      </c>
      <c r="V481" s="215" t="s">
        <v>47</v>
      </c>
      <c r="W481" s="102" t="s">
        <v>136</v>
      </c>
      <c r="X481" s="102" t="s">
        <v>137</v>
      </c>
      <c r="Y481" s="103" t="s">
        <v>138</v>
      </c>
      <c r="Z481" s="103" t="s">
        <v>139</v>
      </c>
      <c r="AA481" s="103" t="s">
        <v>47</v>
      </c>
      <c r="AB481" s="103" t="s">
        <v>140</v>
      </c>
      <c r="AC481" s="104" t="s">
        <v>141</v>
      </c>
    </row>
    <row r="482" spans="1:29" ht="25.5" customHeight="1" x14ac:dyDescent="0.35">
      <c r="A482" s="188"/>
      <c r="B482" s="190"/>
      <c r="C482" s="99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0"/>
      <c r="E482" s="78" t="str">
        <f>IF(C482="","",IFERROR(VLOOKUP(C482,parametros!$A$11:$E$15,5,0),""))</f>
        <v/>
      </c>
      <c r="F482" s="79" t="str">
        <f t="shared" si="37"/>
        <v/>
      </c>
      <c r="G482" s="101"/>
      <c r="H482" s="91">
        <f t="shared" si="38"/>
        <v>0</v>
      </c>
      <c r="I482" s="91" t="str">
        <f t="shared" si="39"/>
        <v/>
      </c>
      <c r="J482" s="91" t="str">
        <f t="shared" si="40"/>
        <v/>
      </c>
      <c r="K482" s="92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2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58"/>
      <c r="U482" s="217" t="str">
        <f t="shared" si="41"/>
        <v/>
      </c>
      <c r="V482" s="215" t="s">
        <v>47</v>
      </c>
      <c r="W482" s="102" t="s">
        <v>136</v>
      </c>
      <c r="X482" s="102" t="s">
        <v>137</v>
      </c>
      <c r="Y482" s="103" t="s">
        <v>138</v>
      </c>
      <c r="Z482" s="103" t="s">
        <v>139</v>
      </c>
      <c r="AA482" s="103" t="s">
        <v>47</v>
      </c>
      <c r="AB482" s="103" t="s">
        <v>140</v>
      </c>
      <c r="AC482" s="104" t="s">
        <v>141</v>
      </c>
    </row>
    <row r="483" spans="1:29" ht="25.5" customHeight="1" x14ac:dyDescent="0.35">
      <c r="A483" s="188"/>
      <c r="B483" s="190"/>
      <c r="C483" s="99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0"/>
      <c r="E483" s="78" t="str">
        <f>IF(C483="","",IFERROR(VLOOKUP(C483,parametros!$A$11:$E$15,5,0),""))</f>
        <v/>
      </c>
      <c r="F483" s="79" t="str">
        <f t="shared" si="37"/>
        <v/>
      </c>
      <c r="G483" s="101"/>
      <c r="H483" s="91">
        <f t="shared" si="38"/>
        <v>0</v>
      </c>
      <c r="I483" s="91" t="str">
        <f t="shared" si="39"/>
        <v/>
      </c>
      <c r="J483" s="91" t="str">
        <f t="shared" si="40"/>
        <v/>
      </c>
      <c r="K483" s="92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2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58"/>
      <c r="U483" s="217" t="str">
        <f t="shared" si="41"/>
        <v/>
      </c>
      <c r="V483" s="215" t="s">
        <v>47</v>
      </c>
      <c r="W483" s="102" t="s">
        <v>136</v>
      </c>
      <c r="X483" s="102" t="s">
        <v>137</v>
      </c>
      <c r="Y483" s="103" t="s">
        <v>138</v>
      </c>
      <c r="Z483" s="103" t="s">
        <v>139</v>
      </c>
      <c r="AA483" s="103" t="s">
        <v>47</v>
      </c>
      <c r="AB483" s="103" t="s">
        <v>140</v>
      </c>
      <c r="AC483" s="104" t="s">
        <v>141</v>
      </c>
    </row>
    <row r="484" spans="1:29" ht="25.5" customHeight="1" x14ac:dyDescent="0.35">
      <c r="A484" s="188"/>
      <c r="B484" s="190"/>
      <c r="C484" s="99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0"/>
      <c r="E484" s="78" t="str">
        <f>IF(C484="","",IFERROR(VLOOKUP(C484,parametros!$A$11:$E$15,5,0),""))</f>
        <v/>
      </c>
      <c r="F484" s="79" t="str">
        <f t="shared" si="37"/>
        <v/>
      </c>
      <c r="G484" s="101"/>
      <c r="H484" s="91">
        <f t="shared" si="38"/>
        <v>0</v>
      </c>
      <c r="I484" s="91" t="str">
        <f t="shared" si="39"/>
        <v/>
      </c>
      <c r="J484" s="91" t="str">
        <f t="shared" si="40"/>
        <v/>
      </c>
      <c r="K484" s="92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2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58"/>
      <c r="U484" s="217" t="str">
        <f t="shared" si="41"/>
        <v/>
      </c>
      <c r="V484" s="215" t="s">
        <v>47</v>
      </c>
      <c r="W484" s="102" t="s">
        <v>136</v>
      </c>
      <c r="X484" s="102" t="s">
        <v>137</v>
      </c>
      <c r="Y484" s="103" t="s">
        <v>138</v>
      </c>
      <c r="Z484" s="103" t="s">
        <v>139</v>
      </c>
      <c r="AA484" s="103" t="s">
        <v>47</v>
      </c>
      <c r="AB484" s="103" t="s">
        <v>140</v>
      </c>
      <c r="AC484" s="104" t="s">
        <v>141</v>
      </c>
    </row>
    <row r="485" spans="1:29" ht="25.5" customHeight="1" x14ac:dyDescent="0.35">
      <c r="A485" s="188"/>
      <c r="B485" s="190"/>
      <c r="C485" s="99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0"/>
      <c r="E485" s="78" t="str">
        <f>IF(C485="","",IFERROR(VLOOKUP(C485,parametros!$A$11:$E$15,5,0),""))</f>
        <v/>
      </c>
      <c r="F485" s="79" t="str">
        <f t="shared" si="37"/>
        <v/>
      </c>
      <c r="G485" s="101"/>
      <c r="H485" s="91">
        <f t="shared" si="38"/>
        <v>0</v>
      </c>
      <c r="I485" s="91" t="str">
        <f t="shared" si="39"/>
        <v/>
      </c>
      <c r="J485" s="91" t="str">
        <f t="shared" si="40"/>
        <v/>
      </c>
      <c r="K485" s="92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2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58"/>
      <c r="U485" s="217" t="str">
        <f t="shared" si="41"/>
        <v/>
      </c>
      <c r="V485" s="215" t="s">
        <v>47</v>
      </c>
      <c r="W485" s="102" t="s">
        <v>136</v>
      </c>
      <c r="X485" s="102" t="s">
        <v>137</v>
      </c>
      <c r="Y485" s="103" t="s">
        <v>138</v>
      </c>
      <c r="Z485" s="103" t="s">
        <v>139</v>
      </c>
      <c r="AA485" s="103" t="s">
        <v>47</v>
      </c>
      <c r="AB485" s="103" t="s">
        <v>140</v>
      </c>
      <c r="AC485" s="104" t="s">
        <v>141</v>
      </c>
    </row>
    <row r="486" spans="1:29" ht="25.5" customHeight="1" x14ac:dyDescent="0.35">
      <c r="A486" s="188"/>
      <c r="B486" s="190"/>
      <c r="C486" s="99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0"/>
      <c r="E486" s="78" t="str">
        <f>IF(C486="","",IFERROR(VLOOKUP(C486,parametros!$A$11:$E$15,5,0),""))</f>
        <v/>
      </c>
      <c r="F486" s="79" t="str">
        <f t="shared" si="37"/>
        <v/>
      </c>
      <c r="G486" s="101"/>
      <c r="H486" s="91">
        <f t="shared" si="38"/>
        <v>0</v>
      </c>
      <c r="I486" s="91" t="str">
        <f t="shared" si="39"/>
        <v/>
      </c>
      <c r="J486" s="91" t="str">
        <f t="shared" si="40"/>
        <v/>
      </c>
      <c r="K486" s="92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2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58"/>
      <c r="U486" s="217" t="str">
        <f t="shared" si="41"/>
        <v/>
      </c>
      <c r="V486" s="215" t="s">
        <v>47</v>
      </c>
      <c r="W486" s="102" t="s">
        <v>136</v>
      </c>
      <c r="X486" s="102" t="s">
        <v>137</v>
      </c>
      <c r="Y486" s="103" t="s">
        <v>138</v>
      </c>
      <c r="Z486" s="103" t="s">
        <v>139</v>
      </c>
      <c r="AA486" s="103" t="s">
        <v>47</v>
      </c>
      <c r="AB486" s="103" t="s">
        <v>140</v>
      </c>
      <c r="AC486" s="104" t="s">
        <v>141</v>
      </c>
    </row>
    <row r="487" spans="1:29" ht="25.5" customHeight="1" x14ac:dyDescent="0.35">
      <c r="A487" s="188"/>
      <c r="B487" s="190"/>
      <c r="C487" s="99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0"/>
      <c r="E487" s="78" t="str">
        <f>IF(C487="","",IFERROR(VLOOKUP(C487,parametros!$A$11:$E$15,5,0),""))</f>
        <v/>
      </c>
      <c r="F487" s="79" t="str">
        <f t="shared" si="37"/>
        <v/>
      </c>
      <c r="G487" s="101"/>
      <c r="H487" s="91">
        <f t="shared" si="38"/>
        <v>0</v>
      </c>
      <c r="I487" s="91" t="str">
        <f t="shared" si="39"/>
        <v/>
      </c>
      <c r="J487" s="91" t="str">
        <f t="shared" si="40"/>
        <v/>
      </c>
      <c r="K487" s="92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2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58"/>
      <c r="U487" s="217" t="str">
        <f t="shared" si="41"/>
        <v/>
      </c>
      <c r="V487" s="215" t="s">
        <v>47</v>
      </c>
      <c r="W487" s="102" t="s">
        <v>136</v>
      </c>
      <c r="X487" s="102" t="s">
        <v>137</v>
      </c>
      <c r="Y487" s="103" t="s">
        <v>138</v>
      </c>
      <c r="Z487" s="103" t="s">
        <v>139</v>
      </c>
      <c r="AA487" s="103" t="s">
        <v>47</v>
      </c>
      <c r="AB487" s="103" t="s">
        <v>140</v>
      </c>
      <c r="AC487" s="104" t="s">
        <v>141</v>
      </c>
    </row>
    <row r="488" spans="1:29" ht="25.5" customHeight="1" x14ac:dyDescent="0.35">
      <c r="A488" s="188"/>
      <c r="B488" s="190"/>
      <c r="C488" s="99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0"/>
      <c r="E488" s="78" t="str">
        <f>IF(C488="","",IFERROR(VLOOKUP(C488,parametros!$A$11:$E$15,5,0),""))</f>
        <v/>
      </c>
      <c r="F488" s="79" t="str">
        <f t="shared" si="37"/>
        <v/>
      </c>
      <c r="G488" s="101"/>
      <c r="H488" s="91">
        <f t="shared" si="38"/>
        <v>0</v>
      </c>
      <c r="I488" s="91" t="str">
        <f t="shared" si="39"/>
        <v/>
      </c>
      <c r="J488" s="91" t="str">
        <f t="shared" si="40"/>
        <v/>
      </c>
      <c r="K488" s="92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2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58"/>
      <c r="U488" s="217" t="str">
        <f t="shared" si="41"/>
        <v/>
      </c>
      <c r="V488" s="215" t="s">
        <v>47</v>
      </c>
      <c r="W488" s="102" t="s">
        <v>136</v>
      </c>
      <c r="X488" s="102" t="s">
        <v>137</v>
      </c>
      <c r="Y488" s="103" t="s">
        <v>138</v>
      </c>
      <c r="Z488" s="103" t="s">
        <v>139</v>
      </c>
      <c r="AA488" s="103" t="s">
        <v>47</v>
      </c>
      <c r="AB488" s="103" t="s">
        <v>140</v>
      </c>
      <c r="AC488" s="104" t="s">
        <v>141</v>
      </c>
    </row>
    <row r="489" spans="1:29" ht="25.5" customHeight="1" x14ac:dyDescent="0.35">
      <c r="A489" s="188"/>
      <c r="B489" s="190"/>
      <c r="C489" s="99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0"/>
      <c r="E489" s="78" t="str">
        <f>IF(C489="","",IFERROR(VLOOKUP(C489,parametros!$A$11:$E$15,5,0),""))</f>
        <v/>
      </c>
      <c r="F489" s="79" t="str">
        <f t="shared" si="37"/>
        <v/>
      </c>
      <c r="G489" s="101"/>
      <c r="H489" s="91">
        <f t="shared" si="38"/>
        <v>0</v>
      </c>
      <c r="I489" s="91" t="str">
        <f t="shared" si="39"/>
        <v/>
      </c>
      <c r="J489" s="91" t="str">
        <f t="shared" si="40"/>
        <v/>
      </c>
      <c r="K489" s="92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2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58"/>
      <c r="U489" s="217" t="str">
        <f t="shared" si="41"/>
        <v/>
      </c>
      <c r="V489" s="215" t="s">
        <v>47</v>
      </c>
      <c r="W489" s="102" t="s">
        <v>136</v>
      </c>
      <c r="X489" s="102" t="s">
        <v>137</v>
      </c>
      <c r="Y489" s="103" t="s">
        <v>138</v>
      </c>
      <c r="Z489" s="103" t="s">
        <v>139</v>
      </c>
      <c r="AA489" s="103" t="s">
        <v>47</v>
      </c>
      <c r="AB489" s="103" t="s">
        <v>140</v>
      </c>
      <c r="AC489" s="104" t="s">
        <v>141</v>
      </c>
    </row>
    <row r="490" spans="1:29" ht="25.5" customHeight="1" x14ac:dyDescent="0.35">
      <c r="A490" s="188"/>
      <c r="B490" s="190"/>
      <c r="C490" s="99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0"/>
      <c r="E490" s="78" t="str">
        <f>IF(C490="","",IFERROR(VLOOKUP(C490,parametros!$A$11:$E$15,5,0),""))</f>
        <v/>
      </c>
      <c r="F490" s="79" t="str">
        <f t="shared" si="37"/>
        <v/>
      </c>
      <c r="G490" s="101"/>
      <c r="H490" s="91">
        <f t="shared" si="38"/>
        <v>0</v>
      </c>
      <c r="I490" s="91" t="str">
        <f t="shared" si="39"/>
        <v/>
      </c>
      <c r="J490" s="91" t="str">
        <f t="shared" si="40"/>
        <v/>
      </c>
      <c r="K490" s="92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2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58"/>
      <c r="U490" s="217" t="str">
        <f t="shared" si="41"/>
        <v/>
      </c>
      <c r="V490" s="215" t="s">
        <v>47</v>
      </c>
      <c r="W490" s="102" t="s">
        <v>136</v>
      </c>
      <c r="X490" s="102" t="s">
        <v>137</v>
      </c>
      <c r="Y490" s="103" t="s">
        <v>138</v>
      </c>
      <c r="Z490" s="103" t="s">
        <v>139</v>
      </c>
      <c r="AA490" s="103" t="s">
        <v>47</v>
      </c>
      <c r="AB490" s="103" t="s">
        <v>140</v>
      </c>
      <c r="AC490" s="104" t="s">
        <v>141</v>
      </c>
    </row>
    <row r="491" spans="1:29" ht="25.5" customHeight="1" x14ac:dyDescent="0.35">
      <c r="A491" s="188"/>
      <c r="B491" s="190"/>
      <c r="C491" s="99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0"/>
      <c r="E491" s="78" t="str">
        <f>IF(C491="","",IFERROR(VLOOKUP(C491,parametros!$A$11:$E$15,5,0),""))</f>
        <v/>
      </c>
      <c r="F491" s="79" t="str">
        <f t="shared" si="37"/>
        <v/>
      </c>
      <c r="G491" s="101"/>
      <c r="H491" s="91">
        <f t="shared" si="38"/>
        <v>0</v>
      </c>
      <c r="I491" s="91" t="str">
        <f t="shared" si="39"/>
        <v/>
      </c>
      <c r="J491" s="91" t="str">
        <f t="shared" si="40"/>
        <v/>
      </c>
      <c r="K491" s="92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2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58"/>
      <c r="U491" s="217" t="str">
        <f t="shared" si="41"/>
        <v/>
      </c>
      <c r="V491" s="215" t="s">
        <v>47</v>
      </c>
      <c r="W491" s="102" t="s">
        <v>136</v>
      </c>
      <c r="X491" s="102" t="s">
        <v>137</v>
      </c>
      <c r="Y491" s="103" t="s">
        <v>138</v>
      </c>
      <c r="Z491" s="103" t="s">
        <v>139</v>
      </c>
      <c r="AA491" s="103" t="s">
        <v>47</v>
      </c>
      <c r="AB491" s="103" t="s">
        <v>140</v>
      </c>
      <c r="AC491" s="104" t="s">
        <v>141</v>
      </c>
    </row>
    <row r="492" spans="1:29" ht="25.5" customHeight="1" x14ac:dyDescent="0.35">
      <c r="A492" s="188"/>
      <c r="B492" s="190"/>
      <c r="C492" s="99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0"/>
      <c r="E492" s="78" t="str">
        <f>IF(C492="","",IFERROR(VLOOKUP(C492,parametros!$A$11:$E$15,5,0),""))</f>
        <v/>
      </c>
      <c r="F492" s="79" t="str">
        <f t="shared" si="37"/>
        <v/>
      </c>
      <c r="G492" s="101"/>
      <c r="H492" s="91">
        <f t="shared" si="38"/>
        <v>0</v>
      </c>
      <c r="I492" s="91" t="str">
        <f t="shared" si="39"/>
        <v/>
      </c>
      <c r="J492" s="91" t="str">
        <f t="shared" si="40"/>
        <v/>
      </c>
      <c r="K492" s="92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2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58"/>
      <c r="U492" s="217" t="str">
        <f t="shared" si="41"/>
        <v/>
      </c>
      <c r="V492" s="215" t="s">
        <v>47</v>
      </c>
      <c r="W492" s="102" t="s">
        <v>136</v>
      </c>
      <c r="X492" s="102" t="s">
        <v>137</v>
      </c>
      <c r="Y492" s="103" t="s">
        <v>138</v>
      </c>
      <c r="Z492" s="103" t="s">
        <v>139</v>
      </c>
      <c r="AA492" s="103" t="s">
        <v>47</v>
      </c>
      <c r="AB492" s="103" t="s">
        <v>140</v>
      </c>
      <c r="AC492" s="104" t="s">
        <v>141</v>
      </c>
    </row>
    <row r="493" spans="1:29" ht="25.5" customHeight="1" x14ac:dyDescent="0.35">
      <c r="A493" s="188"/>
      <c r="B493" s="190"/>
      <c r="C493" s="99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0"/>
      <c r="E493" s="78" t="str">
        <f>IF(C493="","",IFERROR(VLOOKUP(C493,parametros!$A$11:$E$15,5,0),""))</f>
        <v/>
      </c>
      <c r="F493" s="79" t="str">
        <f t="shared" si="37"/>
        <v/>
      </c>
      <c r="G493" s="101"/>
      <c r="H493" s="91">
        <f t="shared" si="38"/>
        <v>0</v>
      </c>
      <c r="I493" s="91" t="str">
        <f t="shared" si="39"/>
        <v/>
      </c>
      <c r="J493" s="91" t="str">
        <f t="shared" si="40"/>
        <v/>
      </c>
      <c r="K493" s="92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2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58"/>
      <c r="U493" s="217" t="str">
        <f t="shared" si="41"/>
        <v/>
      </c>
      <c r="V493" s="215" t="s">
        <v>47</v>
      </c>
      <c r="W493" s="102" t="s">
        <v>136</v>
      </c>
      <c r="X493" s="102" t="s">
        <v>137</v>
      </c>
      <c r="Y493" s="103" t="s">
        <v>138</v>
      </c>
      <c r="Z493" s="103" t="s">
        <v>139</v>
      </c>
      <c r="AA493" s="103" t="s">
        <v>47</v>
      </c>
      <c r="AB493" s="103" t="s">
        <v>140</v>
      </c>
      <c r="AC493" s="104" t="s">
        <v>141</v>
      </c>
    </row>
    <row r="494" spans="1:29" ht="25.5" customHeight="1" x14ac:dyDescent="0.35">
      <c r="A494" s="188"/>
      <c r="B494" s="190"/>
      <c r="C494" s="99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0"/>
      <c r="E494" s="78" t="str">
        <f>IF(C494="","",IFERROR(VLOOKUP(C494,parametros!$A$11:$E$15,5,0),""))</f>
        <v/>
      </c>
      <c r="F494" s="79" t="str">
        <f t="shared" si="37"/>
        <v/>
      </c>
      <c r="G494" s="101"/>
      <c r="H494" s="91">
        <f t="shared" si="38"/>
        <v>0</v>
      </c>
      <c r="I494" s="91" t="str">
        <f t="shared" si="39"/>
        <v/>
      </c>
      <c r="J494" s="91" t="str">
        <f t="shared" si="40"/>
        <v/>
      </c>
      <c r="K494" s="92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2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58"/>
      <c r="U494" s="217" t="str">
        <f t="shared" si="41"/>
        <v/>
      </c>
      <c r="V494" s="215" t="s">
        <v>47</v>
      </c>
      <c r="W494" s="102" t="s">
        <v>136</v>
      </c>
      <c r="X494" s="102" t="s">
        <v>137</v>
      </c>
      <c r="Y494" s="103" t="s">
        <v>138</v>
      </c>
      <c r="Z494" s="103" t="s">
        <v>139</v>
      </c>
      <c r="AA494" s="103" t="s">
        <v>47</v>
      </c>
      <c r="AB494" s="103" t="s">
        <v>140</v>
      </c>
      <c r="AC494" s="104" t="s">
        <v>141</v>
      </c>
    </row>
    <row r="495" spans="1:29" ht="25.5" customHeight="1" x14ac:dyDescent="0.35">
      <c r="A495" s="188"/>
      <c r="B495" s="190"/>
      <c r="C495" s="99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0"/>
      <c r="E495" s="78" t="str">
        <f>IF(C495="","",IFERROR(VLOOKUP(C495,parametros!$A$11:$E$15,5,0),""))</f>
        <v/>
      </c>
      <c r="F495" s="79" t="str">
        <f t="shared" si="37"/>
        <v/>
      </c>
      <c r="G495" s="101"/>
      <c r="H495" s="91">
        <f t="shared" si="38"/>
        <v>0</v>
      </c>
      <c r="I495" s="91" t="str">
        <f t="shared" si="39"/>
        <v/>
      </c>
      <c r="J495" s="91" t="str">
        <f t="shared" si="40"/>
        <v/>
      </c>
      <c r="K495" s="92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2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58"/>
      <c r="U495" s="217" t="str">
        <f t="shared" si="41"/>
        <v/>
      </c>
      <c r="V495" s="215" t="s">
        <v>47</v>
      </c>
      <c r="W495" s="102" t="s">
        <v>136</v>
      </c>
      <c r="X495" s="102" t="s">
        <v>137</v>
      </c>
      <c r="Y495" s="103" t="s">
        <v>138</v>
      </c>
      <c r="Z495" s="103" t="s">
        <v>139</v>
      </c>
      <c r="AA495" s="103" t="s">
        <v>47</v>
      </c>
      <c r="AB495" s="103" t="s">
        <v>140</v>
      </c>
      <c r="AC495" s="104" t="s">
        <v>141</v>
      </c>
    </row>
    <row r="496" spans="1:29" ht="25.5" customHeight="1" x14ac:dyDescent="0.35">
      <c r="A496" s="188"/>
      <c r="B496" s="190"/>
      <c r="C496" s="99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0"/>
      <c r="E496" s="78" t="str">
        <f>IF(C496="","",IFERROR(VLOOKUP(C496,parametros!$A$11:$E$15,5,0),""))</f>
        <v/>
      </c>
      <c r="F496" s="79" t="str">
        <f t="shared" si="37"/>
        <v/>
      </c>
      <c r="G496" s="101"/>
      <c r="H496" s="91">
        <f t="shared" si="38"/>
        <v>0</v>
      </c>
      <c r="I496" s="91" t="str">
        <f t="shared" si="39"/>
        <v/>
      </c>
      <c r="J496" s="91" t="str">
        <f t="shared" si="40"/>
        <v/>
      </c>
      <c r="K496" s="92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2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58"/>
      <c r="U496" s="217" t="str">
        <f t="shared" si="41"/>
        <v/>
      </c>
      <c r="V496" s="215" t="s">
        <v>47</v>
      </c>
      <c r="W496" s="102" t="s">
        <v>136</v>
      </c>
      <c r="X496" s="102" t="s">
        <v>137</v>
      </c>
      <c r="Y496" s="103" t="s">
        <v>138</v>
      </c>
      <c r="Z496" s="103" t="s">
        <v>139</v>
      </c>
      <c r="AA496" s="103" t="s">
        <v>47</v>
      </c>
      <c r="AB496" s="103" t="s">
        <v>140</v>
      </c>
      <c r="AC496" s="104" t="s">
        <v>141</v>
      </c>
    </row>
    <row r="497" spans="1:29" ht="25.5" customHeight="1" x14ac:dyDescent="0.35">
      <c r="A497" s="188"/>
      <c r="B497" s="190"/>
      <c r="C497" s="99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0"/>
      <c r="E497" s="78" t="str">
        <f>IF(C497="","",IFERROR(VLOOKUP(C497,parametros!$A$11:$E$15,5,0),""))</f>
        <v/>
      </c>
      <c r="F497" s="79" t="str">
        <f t="shared" si="37"/>
        <v/>
      </c>
      <c r="G497" s="101"/>
      <c r="H497" s="91">
        <f t="shared" si="38"/>
        <v>0</v>
      </c>
      <c r="I497" s="91" t="str">
        <f t="shared" si="39"/>
        <v/>
      </c>
      <c r="J497" s="91" t="str">
        <f t="shared" si="40"/>
        <v/>
      </c>
      <c r="K497" s="92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2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58"/>
      <c r="U497" s="217" t="str">
        <f t="shared" si="41"/>
        <v/>
      </c>
      <c r="V497" s="215" t="s">
        <v>47</v>
      </c>
      <c r="W497" s="102" t="s">
        <v>136</v>
      </c>
      <c r="X497" s="102" t="s">
        <v>137</v>
      </c>
      <c r="Y497" s="103" t="s">
        <v>138</v>
      </c>
      <c r="Z497" s="103" t="s">
        <v>139</v>
      </c>
      <c r="AA497" s="103" t="s">
        <v>47</v>
      </c>
      <c r="AB497" s="103" t="s">
        <v>140</v>
      </c>
      <c r="AC497" s="104" t="s">
        <v>141</v>
      </c>
    </row>
    <row r="498" spans="1:29" ht="25.5" customHeight="1" x14ac:dyDescent="0.35">
      <c r="A498" s="188"/>
      <c r="B498" s="190"/>
      <c r="C498" s="99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0"/>
      <c r="E498" s="78" t="str">
        <f>IF(C498="","",IFERROR(VLOOKUP(C498,parametros!$A$11:$E$15,5,0),""))</f>
        <v/>
      </c>
      <c r="F498" s="79" t="str">
        <f t="shared" si="37"/>
        <v/>
      </c>
      <c r="G498" s="101"/>
      <c r="H498" s="91">
        <f t="shared" si="38"/>
        <v>0</v>
      </c>
      <c r="I498" s="91" t="str">
        <f t="shared" si="39"/>
        <v/>
      </c>
      <c r="J498" s="91" t="str">
        <f t="shared" si="40"/>
        <v/>
      </c>
      <c r="K498" s="92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2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58"/>
      <c r="U498" s="217" t="str">
        <f t="shared" si="41"/>
        <v/>
      </c>
      <c r="V498" s="215" t="s">
        <v>47</v>
      </c>
      <c r="W498" s="102" t="s">
        <v>136</v>
      </c>
      <c r="X498" s="102" t="s">
        <v>137</v>
      </c>
      <c r="Y498" s="103" t="s">
        <v>138</v>
      </c>
      <c r="Z498" s="103" t="s">
        <v>139</v>
      </c>
      <c r="AA498" s="103" t="s">
        <v>47</v>
      </c>
      <c r="AB498" s="103" t="s">
        <v>140</v>
      </c>
      <c r="AC498" s="104" t="s">
        <v>141</v>
      </c>
    </row>
    <row r="499" spans="1:29" ht="25.5" customHeight="1" x14ac:dyDescent="0.35">
      <c r="A499" s="188"/>
      <c r="B499" s="190"/>
      <c r="C499" s="99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0"/>
      <c r="E499" s="78" t="str">
        <f>IF(C499="","",IFERROR(VLOOKUP(C499,parametros!$A$11:$E$15,5,0),""))</f>
        <v/>
      </c>
      <c r="F499" s="79" t="str">
        <f t="shared" si="37"/>
        <v/>
      </c>
      <c r="G499" s="101"/>
      <c r="H499" s="91">
        <f t="shared" si="38"/>
        <v>0</v>
      </c>
      <c r="I499" s="91" t="str">
        <f t="shared" si="39"/>
        <v/>
      </c>
      <c r="J499" s="91" t="str">
        <f t="shared" si="40"/>
        <v/>
      </c>
      <c r="K499" s="92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2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58"/>
      <c r="U499" s="217" t="str">
        <f t="shared" si="41"/>
        <v/>
      </c>
      <c r="V499" s="215" t="s">
        <v>47</v>
      </c>
      <c r="W499" s="102" t="s">
        <v>136</v>
      </c>
      <c r="X499" s="102" t="s">
        <v>137</v>
      </c>
      <c r="Y499" s="103" t="s">
        <v>138</v>
      </c>
      <c r="Z499" s="103" t="s">
        <v>139</v>
      </c>
      <c r="AA499" s="103" t="s">
        <v>47</v>
      </c>
      <c r="AB499" s="103" t="s">
        <v>140</v>
      </c>
      <c r="AC499" s="104" t="s">
        <v>141</v>
      </c>
    </row>
    <row r="500" spans="1:29" ht="25.5" customHeight="1" x14ac:dyDescent="0.35">
      <c r="A500" s="188"/>
      <c r="B500" s="190"/>
      <c r="C500" s="99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0"/>
      <c r="E500" s="78" t="str">
        <f>IF(C500="","",IFERROR(VLOOKUP(C500,parametros!$A$11:$E$15,5,0),""))</f>
        <v/>
      </c>
      <c r="F500" s="79" t="str">
        <f t="shared" si="37"/>
        <v/>
      </c>
      <c r="G500" s="101"/>
      <c r="H500" s="91">
        <f t="shared" si="38"/>
        <v>0</v>
      </c>
      <c r="I500" s="91" t="str">
        <f t="shared" si="39"/>
        <v/>
      </c>
      <c r="J500" s="91" t="str">
        <f t="shared" si="40"/>
        <v/>
      </c>
      <c r="K500" s="92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2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58"/>
      <c r="U500" s="217" t="str">
        <f t="shared" si="41"/>
        <v/>
      </c>
      <c r="V500" s="215" t="s">
        <v>47</v>
      </c>
      <c r="W500" s="102" t="s">
        <v>136</v>
      </c>
      <c r="X500" s="102" t="s">
        <v>137</v>
      </c>
      <c r="Y500" s="103" t="s">
        <v>138</v>
      </c>
      <c r="Z500" s="103" t="s">
        <v>139</v>
      </c>
      <c r="AA500" s="103" t="s">
        <v>47</v>
      </c>
      <c r="AB500" s="103" t="s">
        <v>140</v>
      </c>
      <c r="AC500" s="104" t="s">
        <v>141</v>
      </c>
    </row>
    <row r="501" spans="1:29" ht="25.5" customHeight="1" x14ac:dyDescent="0.35">
      <c r="A501" s="188"/>
      <c r="B501" s="190"/>
      <c r="C501" s="99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0"/>
      <c r="E501" s="78" t="str">
        <f>IF(C501="","",IFERROR(VLOOKUP(C501,parametros!$A$11:$E$15,5,0),""))</f>
        <v/>
      </c>
      <c r="F501" s="79" t="str">
        <f t="shared" si="37"/>
        <v/>
      </c>
      <c r="G501" s="101"/>
      <c r="H501" s="91">
        <f t="shared" si="38"/>
        <v>0</v>
      </c>
      <c r="I501" s="91" t="str">
        <f t="shared" si="39"/>
        <v/>
      </c>
      <c r="J501" s="91" t="str">
        <f t="shared" si="40"/>
        <v/>
      </c>
      <c r="K501" s="92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2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58"/>
      <c r="U501" s="217" t="str">
        <f t="shared" si="41"/>
        <v/>
      </c>
      <c r="V501" s="215" t="s">
        <v>47</v>
      </c>
      <c r="W501" s="102" t="s">
        <v>136</v>
      </c>
      <c r="X501" s="102" t="s">
        <v>137</v>
      </c>
      <c r="Y501" s="103" t="s">
        <v>138</v>
      </c>
      <c r="Z501" s="103" t="s">
        <v>139</v>
      </c>
      <c r="AA501" s="103" t="s">
        <v>47</v>
      </c>
      <c r="AB501" s="103" t="s">
        <v>140</v>
      </c>
      <c r="AC501" s="104" t="s">
        <v>141</v>
      </c>
    </row>
    <row r="502" spans="1:29" ht="25.5" customHeight="1" x14ac:dyDescent="0.35">
      <c r="A502" s="188"/>
      <c r="B502" s="190"/>
      <c r="C502" s="99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0"/>
      <c r="E502" s="78" t="str">
        <f>IF(C502="","",IFERROR(VLOOKUP(C502,parametros!$A$11:$E$15,5,0),""))</f>
        <v/>
      </c>
      <c r="F502" s="79" t="str">
        <f t="shared" si="37"/>
        <v/>
      </c>
      <c r="G502" s="101"/>
      <c r="H502" s="91">
        <f t="shared" si="38"/>
        <v>0</v>
      </c>
      <c r="I502" s="91" t="str">
        <f t="shared" si="39"/>
        <v/>
      </c>
      <c r="J502" s="91" t="str">
        <f t="shared" si="40"/>
        <v/>
      </c>
      <c r="K502" s="92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2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58"/>
      <c r="U502" s="217" t="str">
        <f t="shared" si="41"/>
        <v/>
      </c>
      <c r="V502" s="215" t="s">
        <v>47</v>
      </c>
      <c r="W502" s="102" t="s">
        <v>136</v>
      </c>
      <c r="X502" s="102" t="s">
        <v>137</v>
      </c>
      <c r="Y502" s="103" t="s">
        <v>138</v>
      </c>
      <c r="Z502" s="103" t="s">
        <v>139</v>
      </c>
      <c r="AA502" s="103" t="s">
        <v>47</v>
      </c>
      <c r="AB502" s="103" t="s">
        <v>140</v>
      </c>
      <c r="AC502" s="104" t="s">
        <v>141</v>
      </c>
    </row>
    <row r="503" spans="1:29" ht="25.5" customHeight="1" x14ac:dyDescent="0.35">
      <c r="A503" s="188"/>
      <c r="B503" s="190"/>
      <c r="C503" s="99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0"/>
      <c r="E503" s="78" t="str">
        <f>IF(C503="","",IFERROR(VLOOKUP(C503,parametros!$A$11:$E$15,5,0),""))</f>
        <v/>
      </c>
      <c r="F503" s="79" t="str">
        <f t="shared" si="37"/>
        <v/>
      </c>
      <c r="G503" s="101"/>
      <c r="H503" s="91">
        <f t="shared" si="38"/>
        <v>0</v>
      </c>
      <c r="I503" s="91" t="str">
        <f t="shared" si="39"/>
        <v/>
      </c>
      <c r="J503" s="91" t="str">
        <f t="shared" si="40"/>
        <v/>
      </c>
      <c r="K503" s="92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2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58"/>
      <c r="U503" s="217" t="str">
        <f t="shared" si="41"/>
        <v/>
      </c>
      <c r="V503" s="215" t="s">
        <v>47</v>
      </c>
      <c r="W503" s="102" t="s">
        <v>136</v>
      </c>
      <c r="X503" s="102" t="s">
        <v>137</v>
      </c>
      <c r="Y503" s="103" t="s">
        <v>138</v>
      </c>
      <c r="Z503" s="103" t="s">
        <v>139</v>
      </c>
      <c r="AA503" s="103" t="s">
        <v>47</v>
      </c>
      <c r="AB503" s="103" t="s">
        <v>140</v>
      </c>
      <c r="AC503" s="104" t="s">
        <v>141</v>
      </c>
    </row>
    <row r="504" spans="1:29" ht="25.5" customHeight="1" x14ac:dyDescent="0.35">
      <c r="A504" s="188"/>
      <c r="B504" s="190"/>
      <c r="C504" s="99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0"/>
      <c r="E504" s="78" t="str">
        <f>IF(C504="","",IFERROR(VLOOKUP(C504,parametros!$A$11:$E$15,5,0),""))</f>
        <v/>
      </c>
      <c r="F504" s="79" t="str">
        <f t="shared" si="37"/>
        <v/>
      </c>
      <c r="G504" s="101"/>
      <c r="H504" s="91">
        <f t="shared" si="38"/>
        <v>0</v>
      </c>
      <c r="I504" s="91" t="str">
        <f t="shared" si="39"/>
        <v/>
      </c>
      <c r="J504" s="91" t="str">
        <f t="shared" si="40"/>
        <v/>
      </c>
      <c r="K504" s="92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2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58"/>
      <c r="U504" s="217" t="str">
        <f t="shared" si="41"/>
        <v/>
      </c>
      <c r="V504" s="215" t="s">
        <v>47</v>
      </c>
      <c r="W504" s="102" t="s">
        <v>136</v>
      </c>
      <c r="X504" s="102" t="s">
        <v>137</v>
      </c>
      <c r="Y504" s="103" t="s">
        <v>138</v>
      </c>
      <c r="Z504" s="103" t="s">
        <v>139</v>
      </c>
      <c r="AA504" s="103" t="s">
        <v>47</v>
      </c>
      <c r="AB504" s="103" t="s">
        <v>140</v>
      </c>
      <c r="AC504" s="104" t="s">
        <v>141</v>
      </c>
    </row>
    <row r="505" spans="1:29" ht="25.5" customHeight="1" x14ac:dyDescent="0.35">
      <c r="A505" s="188"/>
      <c r="B505" s="190"/>
      <c r="C505" s="99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0"/>
      <c r="E505" s="78" t="str">
        <f>IF(C505="","",IFERROR(VLOOKUP(C505,parametros!$A$11:$E$15,5,0),""))</f>
        <v/>
      </c>
      <c r="F505" s="79" t="str">
        <f t="shared" si="37"/>
        <v/>
      </c>
      <c r="G505" s="101"/>
      <c r="H505" s="91">
        <f t="shared" si="38"/>
        <v>0</v>
      </c>
      <c r="I505" s="91" t="str">
        <f t="shared" si="39"/>
        <v/>
      </c>
      <c r="J505" s="91" t="str">
        <f t="shared" si="40"/>
        <v/>
      </c>
      <c r="K505" s="92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2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58"/>
      <c r="U505" s="217" t="str">
        <f t="shared" si="41"/>
        <v/>
      </c>
      <c r="V505" s="215" t="s">
        <v>47</v>
      </c>
      <c r="W505" s="102" t="s">
        <v>136</v>
      </c>
      <c r="X505" s="102" t="s">
        <v>137</v>
      </c>
      <c r="Y505" s="103" t="s">
        <v>138</v>
      </c>
      <c r="Z505" s="103" t="s">
        <v>139</v>
      </c>
      <c r="AA505" s="103" t="s">
        <v>47</v>
      </c>
      <c r="AB505" s="103" t="s">
        <v>140</v>
      </c>
      <c r="AC505" s="104" t="s">
        <v>141</v>
      </c>
    </row>
    <row r="506" spans="1:29" ht="25.5" customHeight="1" x14ac:dyDescent="0.35">
      <c r="A506" s="188"/>
      <c r="B506" s="190"/>
      <c r="C506" s="99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0"/>
      <c r="E506" s="78" t="str">
        <f>IF(C506="","",IFERROR(VLOOKUP(C506,parametros!$A$11:$E$15,5,0),""))</f>
        <v/>
      </c>
      <c r="F506" s="79" t="str">
        <f t="shared" si="37"/>
        <v/>
      </c>
      <c r="G506" s="101"/>
      <c r="H506" s="91">
        <f t="shared" si="38"/>
        <v>0</v>
      </c>
      <c r="I506" s="91" t="str">
        <f t="shared" si="39"/>
        <v/>
      </c>
      <c r="J506" s="91" t="str">
        <f t="shared" si="40"/>
        <v/>
      </c>
      <c r="K506" s="92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2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58"/>
      <c r="U506" s="217" t="str">
        <f t="shared" si="41"/>
        <v/>
      </c>
      <c r="V506" s="215" t="s">
        <v>47</v>
      </c>
      <c r="W506" s="102" t="s">
        <v>136</v>
      </c>
      <c r="X506" s="102" t="s">
        <v>137</v>
      </c>
      <c r="Y506" s="103" t="s">
        <v>138</v>
      </c>
      <c r="Z506" s="103" t="s">
        <v>139</v>
      </c>
      <c r="AA506" s="103" t="s">
        <v>47</v>
      </c>
      <c r="AB506" s="103" t="s">
        <v>140</v>
      </c>
      <c r="AC506" s="104" t="s">
        <v>141</v>
      </c>
    </row>
    <row r="507" spans="1:29" ht="25.5" customHeight="1" x14ac:dyDescent="0.35">
      <c r="A507" s="188"/>
      <c r="B507" s="190"/>
      <c r="C507" s="99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0"/>
      <c r="E507" s="78" t="str">
        <f>IF(C507="","",IFERROR(VLOOKUP(C507,parametros!$A$11:$E$15,5,0),""))</f>
        <v/>
      </c>
      <c r="F507" s="79" t="str">
        <f t="shared" si="37"/>
        <v/>
      </c>
      <c r="G507" s="101"/>
      <c r="H507" s="91">
        <f t="shared" si="38"/>
        <v>0</v>
      </c>
      <c r="I507" s="91" t="str">
        <f t="shared" si="39"/>
        <v/>
      </c>
      <c r="J507" s="91" t="str">
        <f t="shared" si="40"/>
        <v/>
      </c>
      <c r="K507" s="92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2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58"/>
      <c r="U507" s="217" t="str">
        <f t="shared" si="41"/>
        <v/>
      </c>
      <c r="V507" s="215" t="s">
        <v>47</v>
      </c>
      <c r="W507" s="102" t="s">
        <v>136</v>
      </c>
      <c r="X507" s="102" t="s">
        <v>137</v>
      </c>
      <c r="Y507" s="103" t="s">
        <v>138</v>
      </c>
      <c r="Z507" s="103" t="s">
        <v>139</v>
      </c>
      <c r="AA507" s="103" t="s">
        <v>47</v>
      </c>
      <c r="AB507" s="103" t="s">
        <v>140</v>
      </c>
      <c r="AC507" s="104" t="s">
        <v>141</v>
      </c>
    </row>
    <row r="508" spans="1:29" ht="25.5" customHeight="1" x14ac:dyDescent="0.35">
      <c r="A508" s="188"/>
      <c r="B508" s="190"/>
      <c r="C508" s="99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0"/>
      <c r="E508" s="78" t="str">
        <f>IF(C508="","",IFERROR(VLOOKUP(C508,parametros!$A$11:$E$15,5,0),""))</f>
        <v/>
      </c>
      <c r="F508" s="79" t="str">
        <f t="shared" si="37"/>
        <v/>
      </c>
      <c r="G508" s="101"/>
      <c r="H508" s="91">
        <f t="shared" si="38"/>
        <v>0</v>
      </c>
      <c r="I508" s="91" t="str">
        <f t="shared" si="39"/>
        <v/>
      </c>
      <c r="J508" s="91" t="str">
        <f t="shared" si="40"/>
        <v/>
      </c>
      <c r="K508" s="92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2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58"/>
      <c r="U508" s="217" t="str">
        <f t="shared" si="41"/>
        <v/>
      </c>
      <c r="V508" s="215" t="s">
        <v>47</v>
      </c>
      <c r="W508" s="102" t="s">
        <v>136</v>
      </c>
      <c r="X508" s="102" t="s">
        <v>137</v>
      </c>
      <c r="Y508" s="103" t="s">
        <v>138</v>
      </c>
      <c r="Z508" s="103" t="s">
        <v>139</v>
      </c>
      <c r="AA508" s="103" t="s">
        <v>47</v>
      </c>
      <c r="AB508" s="103" t="s">
        <v>140</v>
      </c>
      <c r="AC508" s="104" t="s">
        <v>141</v>
      </c>
    </row>
    <row r="509" spans="1:29" ht="25.5" customHeight="1" x14ac:dyDescent="0.35">
      <c r="A509" s="188"/>
      <c r="B509" s="190"/>
      <c r="C509" s="99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0"/>
      <c r="E509" s="78" t="str">
        <f>IF(C509="","",IFERROR(VLOOKUP(C509,parametros!$A$11:$E$15,5,0),""))</f>
        <v/>
      </c>
      <c r="F509" s="79" t="str">
        <f t="shared" si="37"/>
        <v/>
      </c>
      <c r="G509" s="101"/>
      <c r="H509" s="91">
        <f t="shared" si="38"/>
        <v>0</v>
      </c>
      <c r="I509" s="91" t="str">
        <f t="shared" si="39"/>
        <v/>
      </c>
      <c r="J509" s="91" t="str">
        <f t="shared" si="40"/>
        <v/>
      </c>
      <c r="K509" s="92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2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58"/>
      <c r="U509" s="217" t="str">
        <f t="shared" si="41"/>
        <v/>
      </c>
      <c r="V509" s="215" t="s">
        <v>47</v>
      </c>
      <c r="W509" s="102" t="s">
        <v>136</v>
      </c>
      <c r="X509" s="102" t="s">
        <v>137</v>
      </c>
      <c r="Y509" s="103" t="s">
        <v>138</v>
      </c>
      <c r="Z509" s="103" t="s">
        <v>139</v>
      </c>
      <c r="AA509" s="103" t="s">
        <v>47</v>
      </c>
      <c r="AB509" s="103" t="s">
        <v>140</v>
      </c>
      <c r="AC509" s="104" t="s">
        <v>141</v>
      </c>
    </row>
    <row r="510" spans="1:29" ht="25.5" customHeight="1" x14ac:dyDescent="0.35">
      <c r="A510" s="188"/>
      <c r="B510" s="190"/>
      <c r="C510" s="99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0"/>
      <c r="E510" s="78" t="str">
        <f>IF(C510="","",IFERROR(VLOOKUP(C510,parametros!$A$11:$E$15,5,0),""))</f>
        <v/>
      </c>
      <c r="F510" s="79" t="str">
        <f t="shared" si="37"/>
        <v/>
      </c>
      <c r="G510" s="101"/>
      <c r="H510" s="91">
        <f t="shared" si="38"/>
        <v>0</v>
      </c>
      <c r="I510" s="91" t="str">
        <f t="shared" si="39"/>
        <v/>
      </c>
      <c r="J510" s="91" t="str">
        <f t="shared" si="40"/>
        <v/>
      </c>
      <c r="K510" s="92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2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58"/>
      <c r="U510" s="217" t="str">
        <f t="shared" si="41"/>
        <v/>
      </c>
      <c r="V510" s="215" t="s">
        <v>47</v>
      </c>
      <c r="W510" s="102" t="s">
        <v>136</v>
      </c>
      <c r="X510" s="102" t="s">
        <v>137</v>
      </c>
      <c r="Y510" s="103" t="s">
        <v>138</v>
      </c>
      <c r="Z510" s="103" t="s">
        <v>139</v>
      </c>
      <c r="AA510" s="103" t="s">
        <v>47</v>
      </c>
      <c r="AB510" s="103" t="s">
        <v>140</v>
      </c>
      <c r="AC510" s="104" t="s">
        <v>141</v>
      </c>
    </row>
    <row r="511" spans="1:29" ht="25.5" customHeight="1" x14ac:dyDescent="0.35">
      <c r="A511" s="188"/>
      <c r="B511" s="190"/>
      <c r="C511" s="99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0"/>
      <c r="E511" s="78" t="str">
        <f>IF(C511="","",IFERROR(VLOOKUP(C511,parametros!$A$11:$E$15,5,0),""))</f>
        <v/>
      </c>
      <c r="F511" s="79" t="str">
        <f t="shared" si="37"/>
        <v/>
      </c>
      <c r="G511" s="101"/>
      <c r="H511" s="91">
        <f t="shared" si="38"/>
        <v>0</v>
      </c>
      <c r="I511" s="91" t="str">
        <f t="shared" si="39"/>
        <v/>
      </c>
      <c r="J511" s="91" t="str">
        <f t="shared" si="40"/>
        <v/>
      </c>
      <c r="K511" s="92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2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58"/>
      <c r="U511" s="217" t="str">
        <f t="shared" si="41"/>
        <v/>
      </c>
      <c r="V511" s="215" t="s">
        <v>47</v>
      </c>
      <c r="W511" s="102" t="s">
        <v>136</v>
      </c>
      <c r="X511" s="102" t="s">
        <v>137</v>
      </c>
      <c r="Y511" s="103" t="s">
        <v>138</v>
      </c>
      <c r="Z511" s="103" t="s">
        <v>139</v>
      </c>
      <c r="AA511" s="103" t="s">
        <v>47</v>
      </c>
      <c r="AB511" s="103" t="s">
        <v>140</v>
      </c>
      <c r="AC511" s="104" t="s">
        <v>141</v>
      </c>
    </row>
    <row r="512" spans="1:29" ht="25.5" customHeight="1" x14ac:dyDescent="0.35">
      <c r="A512" s="188"/>
      <c r="B512" s="190"/>
      <c r="C512" s="99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0"/>
      <c r="E512" s="78" t="str">
        <f>IF(C512="","",IFERROR(VLOOKUP(C512,parametros!$A$11:$E$15,5,0),""))</f>
        <v/>
      </c>
      <c r="F512" s="79" t="str">
        <f t="shared" si="37"/>
        <v/>
      </c>
      <c r="G512" s="101"/>
      <c r="H512" s="91">
        <f t="shared" si="38"/>
        <v>0</v>
      </c>
      <c r="I512" s="91" t="str">
        <f t="shared" si="39"/>
        <v/>
      </c>
      <c r="J512" s="91" t="str">
        <f t="shared" si="40"/>
        <v/>
      </c>
      <c r="K512" s="92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2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58"/>
      <c r="U512" s="217" t="str">
        <f t="shared" si="41"/>
        <v/>
      </c>
      <c r="V512" s="215" t="s">
        <v>47</v>
      </c>
      <c r="W512" s="102" t="s">
        <v>136</v>
      </c>
      <c r="X512" s="102" t="s">
        <v>137</v>
      </c>
      <c r="Y512" s="103" t="s">
        <v>138</v>
      </c>
      <c r="Z512" s="103" t="s">
        <v>139</v>
      </c>
      <c r="AA512" s="103" t="s">
        <v>47</v>
      </c>
      <c r="AB512" s="103" t="s">
        <v>140</v>
      </c>
      <c r="AC512" s="104" t="s">
        <v>141</v>
      </c>
    </row>
    <row r="513" spans="1:29" ht="25.5" customHeight="1" x14ac:dyDescent="0.35">
      <c r="A513" s="188"/>
      <c r="B513" s="190"/>
      <c r="C513" s="99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0"/>
      <c r="E513" s="78" t="str">
        <f>IF(C513="","",IFERROR(VLOOKUP(C513,parametros!$A$11:$E$15,5,0),""))</f>
        <v/>
      </c>
      <c r="F513" s="79" t="str">
        <f t="shared" si="37"/>
        <v/>
      </c>
      <c r="G513" s="101"/>
      <c r="H513" s="91">
        <f t="shared" si="38"/>
        <v>0</v>
      </c>
      <c r="I513" s="91" t="str">
        <f t="shared" si="39"/>
        <v/>
      </c>
      <c r="J513" s="91" t="str">
        <f t="shared" si="40"/>
        <v/>
      </c>
      <c r="K513" s="92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2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58"/>
      <c r="U513" s="217" t="str">
        <f t="shared" si="41"/>
        <v/>
      </c>
      <c r="V513" s="215" t="s">
        <v>47</v>
      </c>
      <c r="W513" s="102" t="s">
        <v>136</v>
      </c>
      <c r="X513" s="102" t="s">
        <v>137</v>
      </c>
      <c r="Y513" s="103" t="s">
        <v>138</v>
      </c>
      <c r="Z513" s="103" t="s">
        <v>139</v>
      </c>
      <c r="AA513" s="103" t="s">
        <v>47</v>
      </c>
      <c r="AB513" s="103" t="s">
        <v>140</v>
      </c>
      <c r="AC513" s="104" t="s">
        <v>141</v>
      </c>
    </row>
    <row r="514" spans="1:29" ht="25.5" customHeight="1" x14ac:dyDescent="0.35">
      <c r="A514" s="188"/>
      <c r="B514" s="190"/>
      <c r="C514" s="99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0"/>
      <c r="E514" s="78" t="str">
        <f>IF(C514="","",IFERROR(VLOOKUP(C514,parametros!$A$11:$E$15,5,0),""))</f>
        <v/>
      </c>
      <c r="F514" s="79" t="str">
        <f t="shared" ref="F514:F577" si="42">IF(OR(D514="",E514=""),"",ROUND(D514*E514,2))</f>
        <v/>
      </c>
      <c r="G514" s="101"/>
      <c r="H514" s="91">
        <f t="shared" ref="H514:H577" si="43">IF(G514="Sim",IF(OR(F514="",D514="",L514=""),"",IF(L514="Sim",ROUND(F514-D514,2),0)),0)</f>
        <v>0</v>
      </c>
      <c r="I514" s="91" t="str">
        <f t="shared" ref="I514:I577" si="44">IF(G514="Sim",0,IF(OR(F514="",L514=""),"",F514))</f>
        <v/>
      </c>
      <c r="J514" s="91" t="str">
        <f t="shared" ref="J514:J577" si="45">IF(G514="Sim",0,IF(OR(F514="",D514="",L514=""),"",IF(L514="Sim",ROUND(F514-D514,2),0)))</f>
        <v/>
      </c>
      <c r="K514" s="92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2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58"/>
      <c r="U514" s="217" t="str">
        <f t="shared" ref="U514:U577" si="46">IF(OR($D514="",$H514=""),"",ROUND($D514+$H514,2))</f>
        <v/>
      </c>
      <c r="V514" s="215" t="s">
        <v>47</v>
      </c>
      <c r="W514" s="102" t="s">
        <v>136</v>
      </c>
      <c r="X514" s="102" t="s">
        <v>137</v>
      </c>
      <c r="Y514" s="103" t="s">
        <v>138</v>
      </c>
      <c r="Z514" s="103" t="s">
        <v>139</v>
      </c>
      <c r="AA514" s="103" t="s">
        <v>47</v>
      </c>
      <c r="AB514" s="103" t="s">
        <v>140</v>
      </c>
      <c r="AC514" s="104" t="s">
        <v>141</v>
      </c>
    </row>
    <row r="515" spans="1:29" ht="25.5" customHeight="1" x14ac:dyDescent="0.35">
      <c r="A515" s="188"/>
      <c r="B515" s="190"/>
      <c r="C515" s="99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0"/>
      <c r="E515" s="78" t="str">
        <f>IF(C515="","",IFERROR(VLOOKUP(C515,parametros!$A$11:$E$15,5,0),""))</f>
        <v/>
      </c>
      <c r="F515" s="79" t="str">
        <f t="shared" si="42"/>
        <v/>
      </c>
      <c r="G515" s="101"/>
      <c r="H515" s="91">
        <f t="shared" si="43"/>
        <v>0</v>
      </c>
      <c r="I515" s="91" t="str">
        <f t="shared" si="44"/>
        <v/>
      </c>
      <c r="J515" s="91" t="str">
        <f t="shared" si="45"/>
        <v/>
      </c>
      <c r="K515" s="92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2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58"/>
      <c r="U515" s="217" t="str">
        <f t="shared" si="46"/>
        <v/>
      </c>
      <c r="V515" s="215" t="s">
        <v>47</v>
      </c>
      <c r="W515" s="102" t="s">
        <v>136</v>
      </c>
      <c r="X515" s="102" t="s">
        <v>137</v>
      </c>
      <c r="Y515" s="103" t="s">
        <v>138</v>
      </c>
      <c r="Z515" s="103" t="s">
        <v>139</v>
      </c>
      <c r="AA515" s="103" t="s">
        <v>47</v>
      </c>
      <c r="AB515" s="103" t="s">
        <v>140</v>
      </c>
      <c r="AC515" s="104" t="s">
        <v>141</v>
      </c>
    </row>
    <row r="516" spans="1:29" ht="25.5" customHeight="1" x14ac:dyDescent="0.35">
      <c r="A516" s="188"/>
      <c r="B516" s="190"/>
      <c r="C516" s="99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0"/>
      <c r="E516" s="78" t="str">
        <f>IF(C516="","",IFERROR(VLOOKUP(C516,parametros!$A$11:$E$15,5,0),""))</f>
        <v/>
      </c>
      <c r="F516" s="79" t="str">
        <f t="shared" si="42"/>
        <v/>
      </c>
      <c r="G516" s="101"/>
      <c r="H516" s="91">
        <f t="shared" si="43"/>
        <v>0</v>
      </c>
      <c r="I516" s="91" t="str">
        <f t="shared" si="44"/>
        <v/>
      </c>
      <c r="J516" s="91" t="str">
        <f t="shared" si="45"/>
        <v/>
      </c>
      <c r="K516" s="92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2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58"/>
      <c r="U516" s="217" t="str">
        <f t="shared" si="46"/>
        <v/>
      </c>
      <c r="V516" s="215" t="s">
        <v>47</v>
      </c>
      <c r="W516" s="102" t="s">
        <v>136</v>
      </c>
      <c r="X516" s="102" t="s">
        <v>137</v>
      </c>
      <c r="Y516" s="103" t="s">
        <v>138</v>
      </c>
      <c r="Z516" s="103" t="s">
        <v>139</v>
      </c>
      <c r="AA516" s="103" t="s">
        <v>47</v>
      </c>
      <c r="AB516" s="103" t="s">
        <v>140</v>
      </c>
      <c r="AC516" s="104" t="s">
        <v>141</v>
      </c>
    </row>
    <row r="517" spans="1:29" ht="25.5" customHeight="1" x14ac:dyDescent="0.35">
      <c r="A517" s="188"/>
      <c r="B517" s="190"/>
      <c r="C517" s="99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0"/>
      <c r="E517" s="78" t="str">
        <f>IF(C517="","",IFERROR(VLOOKUP(C517,parametros!$A$11:$E$15,5,0),""))</f>
        <v/>
      </c>
      <c r="F517" s="79" t="str">
        <f t="shared" si="42"/>
        <v/>
      </c>
      <c r="G517" s="101"/>
      <c r="H517" s="91">
        <f t="shared" si="43"/>
        <v>0</v>
      </c>
      <c r="I517" s="91" t="str">
        <f t="shared" si="44"/>
        <v/>
      </c>
      <c r="J517" s="91" t="str">
        <f t="shared" si="45"/>
        <v/>
      </c>
      <c r="K517" s="92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2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58"/>
      <c r="U517" s="217" t="str">
        <f t="shared" si="46"/>
        <v/>
      </c>
      <c r="V517" s="215" t="s">
        <v>47</v>
      </c>
      <c r="W517" s="102" t="s">
        <v>136</v>
      </c>
      <c r="X517" s="102" t="s">
        <v>137</v>
      </c>
      <c r="Y517" s="103" t="s">
        <v>138</v>
      </c>
      <c r="Z517" s="103" t="s">
        <v>139</v>
      </c>
      <c r="AA517" s="103" t="s">
        <v>47</v>
      </c>
      <c r="AB517" s="103" t="s">
        <v>140</v>
      </c>
      <c r="AC517" s="104" t="s">
        <v>141</v>
      </c>
    </row>
    <row r="518" spans="1:29" ht="25.5" customHeight="1" x14ac:dyDescent="0.35">
      <c r="A518" s="188"/>
      <c r="B518" s="190"/>
      <c r="C518" s="99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0"/>
      <c r="E518" s="78" t="str">
        <f>IF(C518="","",IFERROR(VLOOKUP(C518,parametros!$A$11:$E$15,5,0),""))</f>
        <v/>
      </c>
      <c r="F518" s="79" t="str">
        <f t="shared" si="42"/>
        <v/>
      </c>
      <c r="G518" s="101"/>
      <c r="H518" s="91">
        <f t="shared" si="43"/>
        <v>0</v>
      </c>
      <c r="I518" s="91" t="str">
        <f t="shared" si="44"/>
        <v/>
      </c>
      <c r="J518" s="91" t="str">
        <f t="shared" si="45"/>
        <v/>
      </c>
      <c r="K518" s="92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2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58"/>
      <c r="U518" s="217" t="str">
        <f t="shared" si="46"/>
        <v/>
      </c>
      <c r="V518" s="215" t="s">
        <v>47</v>
      </c>
      <c r="W518" s="102" t="s">
        <v>136</v>
      </c>
      <c r="X518" s="102" t="s">
        <v>137</v>
      </c>
      <c r="Y518" s="103" t="s">
        <v>138</v>
      </c>
      <c r="Z518" s="103" t="s">
        <v>139</v>
      </c>
      <c r="AA518" s="103" t="s">
        <v>47</v>
      </c>
      <c r="AB518" s="103" t="s">
        <v>140</v>
      </c>
      <c r="AC518" s="104" t="s">
        <v>141</v>
      </c>
    </row>
    <row r="519" spans="1:29" ht="25.5" customHeight="1" x14ac:dyDescent="0.35">
      <c r="A519" s="188"/>
      <c r="B519" s="190"/>
      <c r="C519" s="99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0"/>
      <c r="E519" s="78" t="str">
        <f>IF(C519="","",IFERROR(VLOOKUP(C519,parametros!$A$11:$E$15,5,0),""))</f>
        <v/>
      </c>
      <c r="F519" s="79" t="str">
        <f t="shared" si="42"/>
        <v/>
      </c>
      <c r="G519" s="101"/>
      <c r="H519" s="91">
        <f t="shared" si="43"/>
        <v>0</v>
      </c>
      <c r="I519" s="91" t="str">
        <f t="shared" si="44"/>
        <v/>
      </c>
      <c r="J519" s="91" t="str">
        <f t="shared" si="45"/>
        <v/>
      </c>
      <c r="K519" s="92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2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58"/>
      <c r="U519" s="217" t="str">
        <f t="shared" si="46"/>
        <v/>
      </c>
      <c r="V519" s="215" t="s">
        <v>47</v>
      </c>
      <c r="W519" s="102" t="s">
        <v>136</v>
      </c>
      <c r="X519" s="102" t="s">
        <v>137</v>
      </c>
      <c r="Y519" s="103" t="s">
        <v>138</v>
      </c>
      <c r="Z519" s="103" t="s">
        <v>139</v>
      </c>
      <c r="AA519" s="103" t="s">
        <v>47</v>
      </c>
      <c r="AB519" s="103" t="s">
        <v>140</v>
      </c>
      <c r="AC519" s="104" t="s">
        <v>141</v>
      </c>
    </row>
    <row r="520" spans="1:29" ht="25.5" customHeight="1" x14ac:dyDescent="0.35">
      <c r="A520" s="188"/>
      <c r="B520" s="190"/>
      <c r="C520" s="99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0"/>
      <c r="E520" s="78" t="str">
        <f>IF(C520="","",IFERROR(VLOOKUP(C520,parametros!$A$11:$E$15,5,0),""))</f>
        <v/>
      </c>
      <c r="F520" s="79" t="str">
        <f t="shared" si="42"/>
        <v/>
      </c>
      <c r="G520" s="101"/>
      <c r="H520" s="91">
        <f t="shared" si="43"/>
        <v>0</v>
      </c>
      <c r="I520" s="91" t="str">
        <f t="shared" si="44"/>
        <v/>
      </c>
      <c r="J520" s="91" t="str">
        <f t="shared" si="45"/>
        <v/>
      </c>
      <c r="K520" s="92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2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58"/>
      <c r="U520" s="217" t="str">
        <f t="shared" si="46"/>
        <v/>
      </c>
      <c r="V520" s="215" t="s">
        <v>47</v>
      </c>
      <c r="W520" s="102" t="s">
        <v>136</v>
      </c>
      <c r="X520" s="102" t="s">
        <v>137</v>
      </c>
      <c r="Y520" s="103" t="s">
        <v>138</v>
      </c>
      <c r="Z520" s="103" t="s">
        <v>139</v>
      </c>
      <c r="AA520" s="103" t="s">
        <v>47</v>
      </c>
      <c r="AB520" s="103" t="s">
        <v>140</v>
      </c>
      <c r="AC520" s="104" t="s">
        <v>141</v>
      </c>
    </row>
    <row r="521" spans="1:29" ht="25.5" customHeight="1" x14ac:dyDescent="0.35">
      <c r="A521" s="188"/>
      <c r="B521" s="190"/>
      <c r="C521" s="99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0"/>
      <c r="E521" s="78" t="str">
        <f>IF(C521="","",IFERROR(VLOOKUP(C521,parametros!$A$11:$E$15,5,0),""))</f>
        <v/>
      </c>
      <c r="F521" s="79" t="str">
        <f t="shared" si="42"/>
        <v/>
      </c>
      <c r="G521" s="101"/>
      <c r="H521" s="91">
        <f t="shared" si="43"/>
        <v>0</v>
      </c>
      <c r="I521" s="91" t="str">
        <f t="shared" si="44"/>
        <v/>
      </c>
      <c r="J521" s="91" t="str">
        <f t="shared" si="45"/>
        <v/>
      </c>
      <c r="K521" s="92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2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58"/>
      <c r="U521" s="217" t="str">
        <f t="shared" si="46"/>
        <v/>
      </c>
      <c r="V521" s="215" t="s">
        <v>47</v>
      </c>
      <c r="W521" s="102" t="s">
        <v>136</v>
      </c>
      <c r="X521" s="102" t="s">
        <v>137</v>
      </c>
      <c r="Y521" s="103" t="s">
        <v>138</v>
      </c>
      <c r="Z521" s="103" t="s">
        <v>139</v>
      </c>
      <c r="AA521" s="103" t="s">
        <v>47</v>
      </c>
      <c r="AB521" s="103" t="s">
        <v>140</v>
      </c>
      <c r="AC521" s="104" t="s">
        <v>141</v>
      </c>
    </row>
    <row r="522" spans="1:29" ht="25.5" customHeight="1" x14ac:dyDescent="0.35">
      <c r="A522" s="188"/>
      <c r="B522" s="190"/>
      <c r="C522" s="99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0"/>
      <c r="E522" s="78" t="str">
        <f>IF(C522="","",IFERROR(VLOOKUP(C522,parametros!$A$11:$E$15,5,0),""))</f>
        <v/>
      </c>
      <c r="F522" s="79" t="str">
        <f t="shared" si="42"/>
        <v/>
      </c>
      <c r="G522" s="101"/>
      <c r="H522" s="91">
        <f t="shared" si="43"/>
        <v>0</v>
      </c>
      <c r="I522" s="91" t="str">
        <f t="shared" si="44"/>
        <v/>
      </c>
      <c r="J522" s="91" t="str">
        <f t="shared" si="45"/>
        <v/>
      </c>
      <c r="K522" s="92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2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58"/>
      <c r="U522" s="217" t="str">
        <f t="shared" si="46"/>
        <v/>
      </c>
      <c r="V522" s="215" t="s">
        <v>47</v>
      </c>
      <c r="W522" s="102" t="s">
        <v>136</v>
      </c>
      <c r="X522" s="102" t="s">
        <v>137</v>
      </c>
      <c r="Y522" s="103" t="s">
        <v>138</v>
      </c>
      <c r="Z522" s="103" t="s">
        <v>139</v>
      </c>
      <c r="AA522" s="103" t="s">
        <v>47</v>
      </c>
      <c r="AB522" s="103" t="s">
        <v>140</v>
      </c>
      <c r="AC522" s="104" t="s">
        <v>141</v>
      </c>
    </row>
    <row r="523" spans="1:29" ht="25.5" customHeight="1" x14ac:dyDescent="0.35">
      <c r="A523" s="188"/>
      <c r="B523" s="190"/>
      <c r="C523" s="99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0"/>
      <c r="E523" s="78" t="str">
        <f>IF(C523="","",IFERROR(VLOOKUP(C523,parametros!$A$11:$E$15,5,0),""))</f>
        <v/>
      </c>
      <c r="F523" s="79" t="str">
        <f t="shared" si="42"/>
        <v/>
      </c>
      <c r="G523" s="101"/>
      <c r="H523" s="91">
        <f t="shared" si="43"/>
        <v>0</v>
      </c>
      <c r="I523" s="91" t="str">
        <f t="shared" si="44"/>
        <v/>
      </c>
      <c r="J523" s="91" t="str">
        <f t="shared" si="45"/>
        <v/>
      </c>
      <c r="K523" s="92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2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58"/>
      <c r="U523" s="217" t="str">
        <f t="shared" si="46"/>
        <v/>
      </c>
      <c r="V523" s="215" t="s">
        <v>47</v>
      </c>
      <c r="W523" s="102" t="s">
        <v>136</v>
      </c>
      <c r="X523" s="102" t="s">
        <v>137</v>
      </c>
      <c r="Y523" s="103" t="s">
        <v>138</v>
      </c>
      <c r="Z523" s="103" t="s">
        <v>139</v>
      </c>
      <c r="AA523" s="103" t="s">
        <v>47</v>
      </c>
      <c r="AB523" s="103" t="s">
        <v>140</v>
      </c>
      <c r="AC523" s="104" t="s">
        <v>141</v>
      </c>
    </row>
    <row r="524" spans="1:29" ht="25.5" customHeight="1" x14ac:dyDescent="0.35">
      <c r="A524" s="188"/>
      <c r="B524" s="190"/>
      <c r="C524" s="99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0"/>
      <c r="E524" s="78" t="str">
        <f>IF(C524="","",IFERROR(VLOOKUP(C524,parametros!$A$11:$E$15,5,0),""))</f>
        <v/>
      </c>
      <c r="F524" s="79" t="str">
        <f t="shared" si="42"/>
        <v/>
      </c>
      <c r="G524" s="101"/>
      <c r="H524" s="91">
        <f t="shared" si="43"/>
        <v>0</v>
      </c>
      <c r="I524" s="91" t="str">
        <f t="shared" si="44"/>
        <v/>
      </c>
      <c r="J524" s="91" t="str">
        <f t="shared" si="45"/>
        <v/>
      </c>
      <c r="K524" s="92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2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58"/>
      <c r="U524" s="217" t="str">
        <f t="shared" si="46"/>
        <v/>
      </c>
      <c r="V524" s="215" t="s">
        <v>47</v>
      </c>
      <c r="W524" s="102" t="s">
        <v>136</v>
      </c>
      <c r="X524" s="102" t="s">
        <v>137</v>
      </c>
      <c r="Y524" s="103" t="s">
        <v>138</v>
      </c>
      <c r="Z524" s="103" t="s">
        <v>139</v>
      </c>
      <c r="AA524" s="103" t="s">
        <v>47</v>
      </c>
      <c r="AB524" s="103" t="s">
        <v>140</v>
      </c>
      <c r="AC524" s="104" t="s">
        <v>141</v>
      </c>
    </row>
    <row r="525" spans="1:29" ht="25.5" customHeight="1" x14ac:dyDescent="0.35">
      <c r="A525" s="188"/>
      <c r="B525" s="190"/>
      <c r="C525" s="99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0"/>
      <c r="E525" s="78" t="str">
        <f>IF(C525="","",IFERROR(VLOOKUP(C525,parametros!$A$11:$E$15,5,0),""))</f>
        <v/>
      </c>
      <c r="F525" s="79" t="str">
        <f t="shared" si="42"/>
        <v/>
      </c>
      <c r="G525" s="101"/>
      <c r="H525" s="91">
        <f t="shared" si="43"/>
        <v>0</v>
      </c>
      <c r="I525" s="91" t="str">
        <f t="shared" si="44"/>
        <v/>
      </c>
      <c r="J525" s="91" t="str">
        <f t="shared" si="45"/>
        <v/>
      </c>
      <c r="K525" s="92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2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58"/>
      <c r="U525" s="217" t="str">
        <f t="shared" si="46"/>
        <v/>
      </c>
      <c r="V525" s="215" t="s">
        <v>47</v>
      </c>
      <c r="W525" s="102" t="s">
        <v>136</v>
      </c>
      <c r="X525" s="102" t="s">
        <v>137</v>
      </c>
      <c r="Y525" s="103" t="s">
        <v>138</v>
      </c>
      <c r="Z525" s="103" t="s">
        <v>139</v>
      </c>
      <c r="AA525" s="103" t="s">
        <v>47</v>
      </c>
      <c r="AB525" s="103" t="s">
        <v>140</v>
      </c>
      <c r="AC525" s="104" t="s">
        <v>141</v>
      </c>
    </row>
    <row r="526" spans="1:29" ht="25.5" customHeight="1" x14ac:dyDescent="0.35">
      <c r="A526" s="188"/>
      <c r="B526" s="190"/>
      <c r="C526" s="99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0"/>
      <c r="E526" s="78" t="str">
        <f>IF(C526="","",IFERROR(VLOOKUP(C526,parametros!$A$11:$E$15,5,0),""))</f>
        <v/>
      </c>
      <c r="F526" s="79" t="str">
        <f t="shared" si="42"/>
        <v/>
      </c>
      <c r="G526" s="101"/>
      <c r="H526" s="91">
        <f t="shared" si="43"/>
        <v>0</v>
      </c>
      <c r="I526" s="91" t="str">
        <f t="shared" si="44"/>
        <v/>
      </c>
      <c r="J526" s="91" t="str">
        <f t="shared" si="45"/>
        <v/>
      </c>
      <c r="K526" s="92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2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58"/>
      <c r="U526" s="217" t="str">
        <f t="shared" si="46"/>
        <v/>
      </c>
      <c r="V526" s="215" t="s">
        <v>47</v>
      </c>
      <c r="W526" s="102" t="s">
        <v>136</v>
      </c>
      <c r="X526" s="102" t="s">
        <v>137</v>
      </c>
      <c r="Y526" s="103" t="s">
        <v>138</v>
      </c>
      <c r="Z526" s="103" t="s">
        <v>139</v>
      </c>
      <c r="AA526" s="103" t="s">
        <v>47</v>
      </c>
      <c r="AB526" s="103" t="s">
        <v>140</v>
      </c>
      <c r="AC526" s="104" t="s">
        <v>141</v>
      </c>
    </row>
    <row r="527" spans="1:29" ht="25.5" customHeight="1" x14ac:dyDescent="0.35">
      <c r="A527" s="188"/>
      <c r="B527" s="190"/>
      <c r="C527" s="99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0"/>
      <c r="E527" s="78" t="str">
        <f>IF(C527="","",IFERROR(VLOOKUP(C527,parametros!$A$11:$E$15,5,0),""))</f>
        <v/>
      </c>
      <c r="F527" s="79" t="str">
        <f t="shared" si="42"/>
        <v/>
      </c>
      <c r="G527" s="101"/>
      <c r="H527" s="91">
        <f t="shared" si="43"/>
        <v>0</v>
      </c>
      <c r="I527" s="91" t="str">
        <f t="shared" si="44"/>
        <v/>
      </c>
      <c r="J527" s="91" t="str">
        <f t="shared" si="45"/>
        <v/>
      </c>
      <c r="K527" s="92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2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58"/>
      <c r="U527" s="217" t="str">
        <f t="shared" si="46"/>
        <v/>
      </c>
      <c r="V527" s="215" t="s">
        <v>47</v>
      </c>
      <c r="W527" s="102" t="s">
        <v>136</v>
      </c>
      <c r="X527" s="102" t="s">
        <v>137</v>
      </c>
      <c r="Y527" s="103" t="s">
        <v>138</v>
      </c>
      <c r="Z527" s="103" t="s">
        <v>139</v>
      </c>
      <c r="AA527" s="103" t="s">
        <v>47</v>
      </c>
      <c r="AB527" s="103" t="s">
        <v>140</v>
      </c>
      <c r="AC527" s="104" t="s">
        <v>141</v>
      </c>
    </row>
    <row r="528" spans="1:29" ht="25.5" customHeight="1" x14ac:dyDescent="0.35">
      <c r="A528" s="188"/>
      <c r="B528" s="190"/>
      <c r="C528" s="99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0"/>
      <c r="E528" s="78" t="str">
        <f>IF(C528="","",IFERROR(VLOOKUP(C528,parametros!$A$11:$E$15,5,0),""))</f>
        <v/>
      </c>
      <c r="F528" s="79" t="str">
        <f t="shared" si="42"/>
        <v/>
      </c>
      <c r="G528" s="101"/>
      <c r="H528" s="91">
        <f t="shared" si="43"/>
        <v>0</v>
      </c>
      <c r="I528" s="91" t="str">
        <f t="shared" si="44"/>
        <v/>
      </c>
      <c r="J528" s="91" t="str">
        <f t="shared" si="45"/>
        <v/>
      </c>
      <c r="K528" s="92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2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58"/>
      <c r="U528" s="217" t="str">
        <f t="shared" si="46"/>
        <v/>
      </c>
      <c r="V528" s="215" t="s">
        <v>47</v>
      </c>
      <c r="W528" s="102" t="s">
        <v>136</v>
      </c>
      <c r="X528" s="102" t="s">
        <v>137</v>
      </c>
      <c r="Y528" s="103" t="s">
        <v>138</v>
      </c>
      <c r="Z528" s="103" t="s">
        <v>139</v>
      </c>
      <c r="AA528" s="103" t="s">
        <v>47</v>
      </c>
      <c r="AB528" s="103" t="s">
        <v>140</v>
      </c>
      <c r="AC528" s="104" t="s">
        <v>141</v>
      </c>
    </row>
    <row r="529" spans="1:29" ht="25.5" customHeight="1" x14ac:dyDescent="0.35">
      <c r="A529" s="188"/>
      <c r="B529" s="190"/>
      <c r="C529" s="99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0"/>
      <c r="E529" s="78" t="str">
        <f>IF(C529="","",IFERROR(VLOOKUP(C529,parametros!$A$11:$E$15,5,0),""))</f>
        <v/>
      </c>
      <c r="F529" s="79" t="str">
        <f t="shared" si="42"/>
        <v/>
      </c>
      <c r="G529" s="101"/>
      <c r="H529" s="91">
        <f t="shared" si="43"/>
        <v>0</v>
      </c>
      <c r="I529" s="91" t="str">
        <f t="shared" si="44"/>
        <v/>
      </c>
      <c r="J529" s="91" t="str">
        <f t="shared" si="45"/>
        <v/>
      </c>
      <c r="K529" s="92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2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58"/>
      <c r="U529" s="217" t="str">
        <f t="shared" si="46"/>
        <v/>
      </c>
      <c r="V529" s="215" t="s">
        <v>47</v>
      </c>
      <c r="W529" s="102" t="s">
        <v>136</v>
      </c>
      <c r="X529" s="102" t="s">
        <v>137</v>
      </c>
      <c r="Y529" s="103" t="s">
        <v>138</v>
      </c>
      <c r="Z529" s="103" t="s">
        <v>139</v>
      </c>
      <c r="AA529" s="103" t="s">
        <v>47</v>
      </c>
      <c r="AB529" s="103" t="s">
        <v>140</v>
      </c>
      <c r="AC529" s="104" t="s">
        <v>141</v>
      </c>
    </row>
    <row r="530" spans="1:29" ht="25.5" customHeight="1" x14ac:dyDescent="0.35">
      <c r="A530" s="188"/>
      <c r="B530" s="190"/>
      <c r="C530" s="99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0"/>
      <c r="E530" s="78" t="str">
        <f>IF(C530="","",IFERROR(VLOOKUP(C530,parametros!$A$11:$E$15,5,0),""))</f>
        <v/>
      </c>
      <c r="F530" s="79" t="str">
        <f t="shared" si="42"/>
        <v/>
      </c>
      <c r="G530" s="101"/>
      <c r="H530" s="91">
        <f t="shared" si="43"/>
        <v>0</v>
      </c>
      <c r="I530" s="91" t="str">
        <f t="shared" si="44"/>
        <v/>
      </c>
      <c r="J530" s="91" t="str">
        <f t="shared" si="45"/>
        <v/>
      </c>
      <c r="K530" s="92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2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58"/>
      <c r="U530" s="217" t="str">
        <f t="shared" si="46"/>
        <v/>
      </c>
      <c r="V530" s="215" t="s">
        <v>47</v>
      </c>
      <c r="W530" s="102" t="s">
        <v>136</v>
      </c>
      <c r="X530" s="102" t="s">
        <v>137</v>
      </c>
      <c r="Y530" s="103" t="s">
        <v>138</v>
      </c>
      <c r="Z530" s="103" t="s">
        <v>139</v>
      </c>
      <c r="AA530" s="103" t="s">
        <v>47</v>
      </c>
      <c r="AB530" s="103" t="s">
        <v>140</v>
      </c>
      <c r="AC530" s="104" t="s">
        <v>141</v>
      </c>
    </row>
    <row r="531" spans="1:29" ht="25.5" customHeight="1" x14ac:dyDescent="0.35">
      <c r="A531" s="188"/>
      <c r="B531" s="190"/>
      <c r="C531" s="99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0"/>
      <c r="E531" s="78" t="str">
        <f>IF(C531="","",IFERROR(VLOOKUP(C531,parametros!$A$11:$E$15,5,0),""))</f>
        <v/>
      </c>
      <c r="F531" s="79" t="str">
        <f t="shared" si="42"/>
        <v/>
      </c>
      <c r="G531" s="101"/>
      <c r="H531" s="91">
        <f t="shared" si="43"/>
        <v>0</v>
      </c>
      <c r="I531" s="91" t="str">
        <f t="shared" si="44"/>
        <v/>
      </c>
      <c r="J531" s="91" t="str">
        <f t="shared" si="45"/>
        <v/>
      </c>
      <c r="K531" s="92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2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58"/>
      <c r="U531" s="217" t="str">
        <f t="shared" si="46"/>
        <v/>
      </c>
      <c r="V531" s="215" t="s">
        <v>47</v>
      </c>
      <c r="W531" s="102" t="s">
        <v>136</v>
      </c>
      <c r="X531" s="102" t="s">
        <v>137</v>
      </c>
      <c r="Y531" s="103" t="s">
        <v>138</v>
      </c>
      <c r="Z531" s="103" t="s">
        <v>139</v>
      </c>
      <c r="AA531" s="103" t="s">
        <v>47</v>
      </c>
      <c r="AB531" s="103" t="s">
        <v>140</v>
      </c>
      <c r="AC531" s="104" t="s">
        <v>141</v>
      </c>
    </row>
    <row r="532" spans="1:29" ht="25.5" customHeight="1" x14ac:dyDescent="0.35">
      <c r="A532" s="188"/>
      <c r="B532" s="190"/>
      <c r="C532" s="99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0"/>
      <c r="E532" s="78" t="str">
        <f>IF(C532="","",IFERROR(VLOOKUP(C532,parametros!$A$11:$E$15,5,0),""))</f>
        <v/>
      </c>
      <c r="F532" s="79" t="str">
        <f t="shared" si="42"/>
        <v/>
      </c>
      <c r="G532" s="101"/>
      <c r="H532" s="91">
        <f t="shared" si="43"/>
        <v>0</v>
      </c>
      <c r="I532" s="91" t="str">
        <f t="shared" si="44"/>
        <v/>
      </c>
      <c r="J532" s="91" t="str">
        <f t="shared" si="45"/>
        <v/>
      </c>
      <c r="K532" s="92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2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58"/>
      <c r="U532" s="217" t="str">
        <f t="shared" si="46"/>
        <v/>
      </c>
      <c r="V532" s="215" t="s">
        <v>47</v>
      </c>
      <c r="W532" s="102" t="s">
        <v>136</v>
      </c>
      <c r="X532" s="102" t="s">
        <v>137</v>
      </c>
      <c r="Y532" s="103" t="s">
        <v>138</v>
      </c>
      <c r="Z532" s="103" t="s">
        <v>139</v>
      </c>
      <c r="AA532" s="103" t="s">
        <v>47</v>
      </c>
      <c r="AB532" s="103" t="s">
        <v>140</v>
      </c>
      <c r="AC532" s="104" t="s">
        <v>141</v>
      </c>
    </row>
    <row r="533" spans="1:29" ht="25.5" customHeight="1" x14ac:dyDescent="0.35">
      <c r="A533" s="188"/>
      <c r="B533" s="190"/>
      <c r="C533" s="99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0"/>
      <c r="E533" s="78" t="str">
        <f>IF(C533="","",IFERROR(VLOOKUP(C533,parametros!$A$11:$E$15,5,0),""))</f>
        <v/>
      </c>
      <c r="F533" s="79" t="str">
        <f t="shared" si="42"/>
        <v/>
      </c>
      <c r="G533" s="101"/>
      <c r="H533" s="91">
        <f t="shared" si="43"/>
        <v>0</v>
      </c>
      <c r="I533" s="91" t="str">
        <f t="shared" si="44"/>
        <v/>
      </c>
      <c r="J533" s="91" t="str">
        <f t="shared" si="45"/>
        <v/>
      </c>
      <c r="K533" s="92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2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58"/>
      <c r="U533" s="217" t="str">
        <f t="shared" si="46"/>
        <v/>
      </c>
      <c r="V533" s="215" t="s">
        <v>47</v>
      </c>
      <c r="W533" s="102" t="s">
        <v>136</v>
      </c>
      <c r="X533" s="102" t="s">
        <v>137</v>
      </c>
      <c r="Y533" s="103" t="s">
        <v>138</v>
      </c>
      <c r="Z533" s="103" t="s">
        <v>139</v>
      </c>
      <c r="AA533" s="103" t="s">
        <v>47</v>
      </c>
      <c r="AB533" s="103" t="s">
        <v>140</v>
      </c>
      <c r="AC533" s="104" t="s">
        <v>141</v>
      </c>
    </row>
    <row r="534" spans="1:29" ht="25.5" customHeight="1" x14ac:dyDescent="0.35">
      <c r="A534" s="188"/>
      <c r="B534" s="190"/>
      <c r="C534" s="99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0"/>
      <c r="E534" s="78" t="str">
        <f>IF(C534="","",IFERROR(VLOOKUP(C534,parametros!$A$11:$E$15,5,0),""))</f>
        <v/>
      </c>
      <c r="F534" s="79" t="str">
        <f t="shared" si="42"/>
        <v/>
      </c>
      <c r="G534" s="101"/>
      <c r="H534" s="91">
        <f t="shared" si="43"/>
        <v>0</v>
      </c>
      <c r="I534" s="91" t="str">
        <f t="shared" si="44"/>
        <v/>
      </c>
      <c r="J534" s="91" t="str">
        <f t="shared" si="45"/>
        <v/>
      </c>
      <c r="K534" s="92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2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58"/>
      <c r="U534" s="217" t="str">
        <f t="shared" si="46"/>
        <v/>
      </c>
      <c r="V534" s="215" t="s">
        <v>47</v>
      </c>
      <c r="W534" s="102" t="s">
        <v>136</v>
      </c>
      <c r="X534" s="102" t="s">
        <v>137</v>
      </c>
      <c r="Y534" s="103" t="s">
        <v>138</v>
      </c>
      <c r="Z534" s="103" t="s">
        <v>139</v>
      </c>
      <c r="AA534" s="103" t="s">
        <v>47</v>
      </c>
      <c r="AB534" s="103" t="s">
        <v>140</v>
      </c>
      <c r="AC534" s="104" t="s">
        <v>141</v>
      </c>
    </row>
    <row r="535" spans="1:29" ht="25.5" customHeight="1" x14ac:dyDescent="0.35">
      <c r="A535" s="188"/>
      <c r="B535" s="190"/>
      <c r="C535" s="99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0"/>
      <c r="E535" s="78" t="str">
        <f>IF(C535="","",IFERROR(VLOOKUP(C535,parametros!$A$11:$E$15,5,0),""))</f>
        <v/>
      </c>
      <c r="F535" s="79" t="str">
        <f t="shared" si="42"/>
        <v/>
      </c>
      <c r="G535" s="101"/>
      <c r="H535" s="91">
        <f t="shared" si="43"/>
        <v>0</v>
      </c>
      <c r="I535" s="91" t="str">
        <f t="shared" si="44"/>
        <v/>
      </c>
      <c r="J535" s="91" t="str">
        <f t="shared" si="45"/>
        <v/>
      </c>
      <c r="K535" s="92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2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58"/>
      <c r="U535" s="217" t="str">
        <f t="shared" si="46"/>
        <v/>
      </c>
      <c r="V535" s="215" t="s">
        <v>47</v>
      </c>
      <c r="W535" s="102" t="s">
        <v>136</v>
      </c>
      <c r="X535" s="102" t="s">
        <v>137</v>
      </c>
      <c r="Y535" s="103" t="s">
        <v>138</v>
      </c>
      <c r="Z535" s="103" t="s">
        <v>139</v>
      </c>
      <c r="AA535" s="103" t="s">
        <v>47</v>
      </c>
      <c r="AB535" s="103" t="s">
        <v>140</v>
      </c>
      <c r="AC535" s="104" t="s">
        <v>141</v>
      </c>
    </row>
    <row r="536" spans="1:29" ht="25.5" customHeight="1" x14ac:dyDescent="0.35">
      <c r="A536" s="188"/>
      <c r="B536" s="190"/>
      <c r="C536" s="99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0"/>
      <c r="E536" s="78" t="str">
        <f>IF(C536="","",IFERROR(VLOOKUP(C536,parametros!$A$11:$E$15,5,0),""))</f>
        <v/>
      </c>
      <c r="F536" s="79" t="str">
        <f t="shared" si="42"/>
        <v/>
      </c>
      <c r="G536" s="101"/>
      <c r="H536" s="91">
        <f t="shared" si="43"/>
        <v>0</v>
      </c>
      <c r="I536" s="91" t="str">
        <f t="shared" si="44"/>
        <v/>
      </c>
      <c r="J536" s="91" t="str">
        <f t="shared" si="45"/>
        <v/>
      </c>
      <c r="K536" s="92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2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58"/>
      <c r="U536" s="217" t="str">
        <f t="shared" si="46"/>
        <v/>
      </c>
      <c r="V536" s="215" t="s">
        <v>47</v>
      </c>
      <c r="W536" s="102" t="s">
        <v>136</v>
      </c>
      <c r="X536" s="102" t="s">
        <v>137</v>
      </c>
      <c r="Y536" s="103" t="s">
        <v>138</v>
      </c>
      <c r="Z536" s="103" t="s">
        <v>139</v>
      </c>
      <c r="AA536" s="103" t="s">
        <v>47</v>
      </c>
      <c r="AB536" s="103" t="s">
        <v>140</v>
      </c>
      <c r="AC536" s="104" t="s">
        <v>141</v>
      </c>
    </row>
    <row r="537" spans="1:29" ht="25.5" customHeight="1" x14ac:dyDescent="0.35">
      <c r="A537" s="188"/>
      <c r="B537" s="190"/>
      <c r="C537" s="99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0"/>
      <c r="E537" s="78" t="str">
        <f>IF(C537="","",IFERROR(VLOOKUP(C537,parametros!$A$11:$E$15,5,0),""))</f>
        <v/>
      </c>
      <c r="F537" s="79" t="str">
        <f t="shared" si="42"/>
        <v/>
      </c>
      <c r="G537" s="101"/>
      <c r="H537" s="91">
        <f t="shared" si="43"/>
        <v>0</v>
      </c>
      <c r="I537" s="91" t="str">
        <f t="shared" si="44"/>
        <v/>
      </c>
      <c r="J537" s="91" t="str">
        <f t="shared" si="45"/>
        <v/>
      </c>
      <c r="K537" s="92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2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58"/>
      <c r="U537" s="217" t="str">
        <f t="shared" si="46"/>
        <v/>
      </c>
      <c r="V537" s="215" t="s">
        <v>47</v>
      </c>
      <c r="W537" s="102" t="s">
        <v>136</v>
      </c>
      <c r="X537" s="102" t="s">
        <v>137</v>
      </c>
      <c r="Y537" s="103" t="s">
        <v>138</v>
      </c>
      <c r="Z537" s="103" t="s">
        <v>139</v>
      </c>
      <c r="AA537" s="103" t="s">
        <v>47</v>
      </c>
      <c r="AB537" s="103" t="s">
        <v>140</v>
      </c>
      <c r="AC537" s="104" t="s">
        <v>141</v>
      </c>
    </row>
    <row r="538" spans="1:29" ht="25.5" customHeight="1" x14ac:dyDescent="0.35">
      <c r="A538" s="188"/>
      <c r="B538" s="190"/>
      <c r="C538" s="99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0"/>
      <c r="E538" s="78" t="str">
        <f>IF(C538="","",IFERROR(VLOOKUP(C538,parametros!$A$11:$E$15,5,0),""))</f>
        <v/>
      </c>
      <c r="F538" s="79" t="str">
        <f t="shared" si="42"/>
        <v/>
      </c>
      <c r="G538" s="101"/>
      <c r="H538" s="91">
        <f t="shared" si="43"/>
        <v>0</v>
      </c>
      <c r="I538" s="91" t="str">
        <f t="shared" si="44"/>
        <v/>
      </c>
      <c r="J538" s="91" t="str">
        <f t="shared" si="45"/>
        <v/>
      </c>
      <c r="K538" s="92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2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58"/>
      <c r="U538" s="217" t="str">
        <f t="shared" si="46"/>
        <v/>
      </c>
      <c r="V538" s="215" t="s">
        <v>47</v>
      </c>
      <c r="W538" s="102" t="s">
        <v>136</v>
      </c>
      <c r="X538" s="102" t="s">
        <v>137</v>
      </c>
      <c r="Y538" s="103" t="s">
        <v>138</v>
      </c>
      <c r="Z538" s="103" t="s">
        <v>139</v>
      </c>
      <c r="AA538" s="103" t="s">
        <v>47</v>
      </c>
      <c r="AB538" s="103" t="s">
        <v>140</v>
      </c>
      <c r="AC538" s="104" t="s">
        <v>141</v>
      </c>
    </row>
    <row r="539" spans="1:29" ht="25.5" customHeight="1" x14ac:dyDescent="0.35">
      <c r="A539" s="188"/>
      <c r="B539" s="190"/>
      <c r="C539" s="99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0"/>
      <c r="E539" s="78" t="str">
        <f>IF(C539="","",IFERROR(VLOOKUP(C539,parametros!$A$11:$E$15,5,0),""))</f>
        <v/>
      </c>
      <c r="F539" s="79" t="str">
        <f t="shared" si="42"/>
        <v/>
      </c>
      <c r="G539" s="101"/>
      <c r="H539" s="91">
        <f t="shared" si="43"/>
        <v>0</v>
      </c>
      <c r="I539" s="91" t="str">
        <f t="shared" si="44"/>
        <v/>
      </c>
      <c r="J539" s="91" t="str">
        <f t="shared" si="45"/>
        <v/>
      </c>
      <c r="K539" s="92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2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58"/>
      <c r="U539" s="217" t="str">
        <f t="shared" si="46"/>
        <v/>
      </c>
      <c r="V539" s="215" t="s">
        <v>47</v>
      </c>
      <c r="W539" s="102" t="s">
        <v>136</v>
      </c>
      <c r="X539" s="102" t="s">
        <v>137</v>
      </c>
      <c r="Y539" s="103" t="s">
        <v>138</v>
      </c>
      <c r="Z539" s="103" t="s">
        <v>139</v>
      </c>
      <c r="AA539" s="103" t="s">
        <v>47</v>
      </c>
      <c r="AB539" s="103" t="s">
        <v>140</v>
      </c>
      <c r="AC539" s="104" t="s">
        <v>141</v>
      </c>
    </row>
    <row r="540" spans="1:29" ht="25.5" customHeight="1" x14ac:dyDescent="0.35">
      <c r="A540" s="188"/>
      <c r="B540" s="190"/>
      <c r="C540" s="99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0"/>
      <c r="E540" s="78" t="str">
        <f>IF(C540="","",IFERROR(VLOOKUP(C540,parametros!$A$11:$E$15,5,0),""))</f>
        <v/>
      </c>
      <c r="F540" s="79" t="str">
        <f t="shared" si="42"/>
        <v/>
      </c>
      <c r="G540" s="101"/>
      <c r="H540" s="91">
        <f t="shared" si="43"/>
        <v>0</v>
      </c>
      <c r="I540" s="91" t="str">
        <f t="shared" si="44"/>
        <v/>
      </c>
      <c r="J540" s="91" t="str">
        <f t="shared" si="45"/>
        <v/>
      </c>
      <c r="K540" s="92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2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58"/>
      <c r="U540" s="217" t="str">
        <f t="shared" si="46"/>
        <v/>
      </c>
      <c r="V540" s="215" t="s">
        <v>47</v>
      </c>
      <c r="W540" s="102" t="s">
        <v>136</v>
      </c>
      <c r="X540" s="102" t="s">
        <v>137</v>
      </c>
      <c r="Y540" s="103" t="s">
        <v>138</v>
      </c>
      <c r="Z540" s="103" t="s">
        <v>139</v>
      </c>
      <c r="AA540" s="103" t="s">
        <v>47</v>
      </c>
      <c r="AB540" s="103" t="s">
        <v>140</v>
      </c>
      <c r="AC540" s="104" t="s">
        <v>141</v>
      </c>
    </row>
    <row r="541" spans="1:29" ht="25.5" customHeight="1" x14ac:dyDescent="0.35">
      <c r="A541" s="188"/>
      <c r="B541" s="190"/>
      <c r="C541" s="99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0"/>
      <c r="E541" s="78" t="str">
        <f>IF(C541="","",IFERROR(VLOOKUP(C541,parametros!$A$11:$E$15,5,0),""))</f>
        <v/>
      </c>
      <c r="F541" s="79" t="str">
        <f t="shared" si="42"/>
        <v/>
      </c>
      <c r="G541" s="101"/>
      <c r="H541" s="91">
        <f t="shared" si="43"/>
        <v>0</v>
      </c>
      <c r="I541" s="91" t="str">
        <f t="shared" si="44"/>
        <v/>
      </c>
      <c r="J541" s="91" t="str">
        <f t="shared" si="45"/>
        <v/>
      </c>
      <c r="K541" s="92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2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58"/>
      <c r="U541" s="217" t="str">
        <f t="shared" si="46"/>
        <v/>
      </c>
      <c r="V541" s="215" t="s">
        <v>47</v>
      </c>
      <c r="W541" s="102" t="s">
        <v>136</v>
      </c>
      <c r="X541" s="102" t="s">
        <v>137</v>
      </c>
      <c r="Y541" s="103" t="s">
        <v>138</v>
      </c>
      <c r="Z541" s="103" t="s">
        <v>139</v>
      </c>
      <c r="AA541" s="103" t="s">
        <v>47</v>
      </c>
      <c r="AB541" s="103" t="s">
        <v>140</v>
      </c>
      <c r="AC541" s="104" t="s">
        <v>141</v>
      </c>
    </row>
    <row r="542" spans="1:29" ht="25.5" customHeight="1" x14ac:dyDescent="0.35">
      <c r="A542" s="188"/>
      <c r="B542" s="190"/>
      <c r="C542" s="99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0"/>
      <c r="E542" s="78" t="str">
        <f>IF(C542="","",IFERROR(VLOOKUP(C542,parametros!$A$11:$E$15,5,0),""))</f>
        <v/>
      </c>
      <c r="F542" s="79" t="str">
        <f t="shared" si="42"/>
        <v/>
      </c>
      <c r="G542" s="101"/>
      <c r="H542" s="91">
        <f t="shared" si="43"/>
        <v>0</v>
      </c>
      <c r="I542" s="91" t="str">
        <f t="shared" si="44"/>
        <v/>
      </c>
      <c r="J542" s="91" t="str">
        <f t="shared" si="45"/>
        <v/>
      </c>
      <c r="K542" s="92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2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58"/>
      <c r="U542" s="217" t="str">
        <f t="shared" si="46"/>
        <v/>
      </c>
      <c r="V542" s="215" t="s">
        <v>47</v>
      </c>
      <c r="W542" s="102" t="s">
        <v>136</v>
      </c>
      <c r="X542" s="102" t="s">
        <v>137</v>
      </c>
      <c r="Y542" s="103" t="s">
        <v>138</v>
      </c>
      <c r="Z542" s="103" t="s">
        <v>139</v>
      </c>
      <c r="AA542" s="103" t="s">
        <v>47</v>
      </c>
      <c r="AB542" s="103" t="s">
        <v>140</v>
      </c>
      <c r="AC542" s="104" t="s">
        <v>141</v>
      </c>
    </row>
    <row r="543" spans="1:29" ht="25.5" customHeight="1" x14ac:dyDescent="0.35">
      <c r="A543" s="188"/>
      <c r="B543" s="190"/>
      <c r="C543" s="99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0"/>
      <c r="E543" s="78" t="str">
        <f>IF(C543="","",IFERROR(VLOOKUP(C543,parametros!$A$11:$E$15,5,0),""))</f>
        <v/>
      </c>
      <c r="F543" s="79" t="str">
        <f t="shared" si="42"/>
        <v/>
      </c>
      <c r="G543" s="101"/>
      <c r="H543" s="91">
        <f t="shared" si="43"/>
        <v>0</v>
      </c>
      <c r="I543" s="91" t="str">
        <f t="shared" si="44"/>
        <v/>
      </c>
      <c r="J543" s="91" t="str">
        <f t="shared" si="45"/>
        <v/>
      </c>
      <c r="K543" s="92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2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58"/>
      <c r="U543" s="217" t="str">
        <f t="shared" si="46"/>
        <v/>
      </c>
      <c r="V543" s="215" t="s">
        <v>47</v>
      </c>
      <c r="W543" s="102" t="s">
        <v>136</v>
      </c>
      <c r="X543" s="102" t="s">
        <v>137</v>
      </c>
      <c r="Y543" s="103" t="s">
        <v>138</v>
      </c>
      <c r="Z543" s="103" t="s">
        <v>139</v>
      </c>
      <c r="AA543" s="103" t="s">
        <v>47</v>
      </c>
      <c r="AB543" s="103" t="s">
        <v>140</v>
      </c>
      <c r="AC543" s="104" t="s">
        <v>141</v>
      </c>
    </row>
    <row r="544" spans="1:29" ht="25.5" customHeight="1" x14ac:dyDescent="0.35">
      <c r="A544" s="188"/>
      <c r="B544" s="190"/>
      <c r="C544" s="99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0"/>
      <c r="E544" s="78" t="str">
        <f>IF(C544="","",IFERROR(VLOOKUP(C544,parametros!$A$11:$E$15,5,0),""))</f>
        <v/>
      </c>
      <c r="F544" s="79" t="str">
        <f t="shared" si="42"/>
        <v/>
      </c>
      <c r="G544" s="101"/>
      <c r="H544" s="91">
        <f t="shared" si="43"/>
        <v>0</v>
      </c>
      <c r="I544" s="91" t="str">
        <f t="shared" si="44"/>
        <v/>
      </c>
      <c r="J544" s="91" t="str">
        <f t="shared" si="45"/>
        <v/>
      </c>
      <c r="K544" s="92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2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58"/>
      <c r="U544" s="217" t="str">
        <f t="shared" si="46"/>
        <v/>
      </c>
      <c r="V544" s="215" t="s">
        <v>47</v>
      </c>
      <c r="W544" s="102" t="s">
        <v>136</v>
      </c>
      <c r="X544" s="102" t="s">
        <v>137</v>
      </c>
      <c r="Y544" s="103" t="s">
        <v>138</v>
      </c>
      <c r="Z544" s="103" t="s">
        <v>139</v>
      </c>
      <c r="AA544" s="103" t="s">
        <v>47</v>
      </c>
      <c r="AB544" s="103" t="s">
        <v>140</v>
      </c>
      <c r="AC544" s="104" t="s">
        <v>141</v>
      </c>
    </row>
    <row r="545" spans="1:29" ht="25.5" customHeight="1" x14ac:dyDescent="0.35">
      <c r="A545" s="188"/>
      <c r="B545" s="190"/>
      <c r="C545" s="99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0"/>
      <c r="E545" s="78" t="str">
        <f>IF(C545="","",IFERROR(VLOOKUP(C545,parametros!$A$11:$E$15,5,0),""))</f>
        <v/>
      </c>
      <c r="F545" s="79" t="str">
        <f t="shared" si="42"/>
        <v/>
      </c>
      <c r="G545" s="101"/>
      <c r="H545" s="91">
        <f t="shared" si="43"/>
        <v>0</v>
      </c>
      <c r="I545" s="91" t="str">
        <f t="shared" si="44"/>
        <v/>
      </c>
      <c r="J545" s="91" t="str">
        <f t="shared" si="45"/>
        <v/>
      </c>
      <c r="K545" s="92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2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58"/>
      <c r="U545" s="217" t="str">
        <f t="shared" si="46"/>
        <v/>
      </c>
      <c r="V545" s="215" t="s">
        <v>47</v>
      </c>
      <c r="W545" s="102" t="s">
        <v>136</v>
      </c>
      <c r="X545" s="102" t="s">
        <v>137</v>
      </c>
      <c r="Y545" s="103" t="s">
        <v>138</v>
      </c>
      <c r="Z545" s="103" t="s">
        <v>139</v>
      </c>
      <c r="AA545" s="103" t="s">
        <v>47</v>
      </c>
      <c r="AB545" s="103" t="s">
        <v>140</v>
      </c>
      <c r="AC545" s="104" t="s">
        <v>141</v>
      </c>
    </row>
    <row r="546" spans="1:29" ht="25.5" customHeight="1" x14ac:dyDescent="0.35">
      <c r="A546" s="188"/>
      <c r="B546" s="190"/>
      <c r="C546" s="99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0"/>
      <c r="E546" s="78" t="str">
        <f>IF(C546="","",IFERROR(VLOOKUP(C546,parametros!$A$11:$E$15,5,0),""))</f>
        <v/>
      </c>
      <c r="F546" s="79" t="str">
        <f t="shared" si="42"/>
        <v/>
      </c>
      <c r="G546" s="101"/>
      <c r="H546" s="91">
        <f t="shared" si="43"/>
        <v>0</v>
      </c>
      <c r="I546" s="91" t="str">
        <f t="shared" si="44"/>
        <v/>
      </c>
      <c r="J546" s="91" t="str">
        <f t="shared" si="45"/>
        <v/>
      </c>
      <c r="K546" s="92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2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58"/>
      <c r="U546" s="217" t="str">
        <f t="shared" si="46"/>
        <v/>
      </c>
      <c r="V546" s="215" t="s">
        <v>47</v>
      </c>
      <c r="W546" s="102" t="s">
        <v>136</v>
      </c>
      <c r="X546" s="102" t="s">
        <v>137</v>
      </c>
      <c r="Y546" s="103" t="s">
        <v>138</v>
      </c>
      <c r="Z546" s="103" t="s">
        <v>139</v>
      </c>
      <c r="AA546" s="103" t="s">
        <v>47</v>
      </c>
      <c r="AB546" s="103" t="s">
        <v>140</v>
      </c>
      <c r="AC546" s="104" t="s">
        <v>141</v>
      </c>
    </row>
    <row r="547" spans="1:29" ht="25.5" customHeight="1" x14ac:dyDescent="0.35">
      <c r="A547" s="188"/>
      <c r="B547" s="190"/>
      <c r="C547" s="99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0"/>
      <c r="E547" s="78" t="str">
        <f>IF(C547="","",IFERROR(VLOOKUP(C547,parametros!$A$11:$E$15,5,0),""))</f>
        <v/>
      </c>
      <c r="F547" s="79" t="str">
        <f t="shared" si="42"/>
        <v/>
      </c>
      <c r="G547" s="101"/>
      <c r="H547" s="91">
        <f t="shared" si="43"/>
        <v>0</v>
      </c>
      <c r="I547" s="91" t="str">
        <f t="shared" si="44"/>
        <v/>
      </c>
      <c r="J547" s="91" t="str">
        <f t="shared" si="45"/>
        <v/>
      </c>
      <c r="K547" s="92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2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58"/>
      <c r="U547" s="217" t="str">
        <f t="shared" si="46"/>
        <v/>
      </c>
      <c r="V547" s="215" t="s">
        <v>47</v>
      </c>
      <c r="W547" s="102" t="s">
        <v>136</v>
      </c>
      <c r="X547" s="102" t="s">
        <v>137</v>
      </c>
      <c r="Y547" s="103" t="s">
        <v>138</v>
      </c>
      <c r="Z547" s="103" t="s">
        <v>139</v>
      </c>
      <c r="AA547" s="103" t="s">
        <v>47</v>
      </c>
      <c r="AB547" s="103" t="s">
        <v>140</v>
      </c>
      <c r="AC547" s="104" t="s">
        <v>141</v>
      </c>
    </row>
    <row r="548" spans="1:29" ht="25.5" customHeight="1" x14ac:dyDescent="0.35">
      <c r="A548" s="188"/>
      <c r="B548" s="190"/>
      <c r="C548" s="99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0"/>
      <c r="E548" s="78" t="str">
        <f>IF(C548="","",IFERROR(VLOOKUP(C548,parametros!$A$11:$E$15,5,0),""))</f>
        <v/>
      </c>
      <c r="F548" s="79" t="str">
        <f t="shared" si="42"/>
        <v/>
      </c>
      <c r="G548" s="101"/>
      <c r="H548" s="91">
        <f t="shared" si="43"/>
        <v>0</v>
      </c>
      <c r="I548" s="91" t="str">
        <f t="shared" si="44"/>
        <v/>
      </c>
      <c r="J548" s="91" t="str">
        <f t="shared" si="45"/>
        <v/>
      </c>
      <c r="K548" s="92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2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58"/>
      <c r="U548" s="217" t="str">
        <f t="shared" si="46"/>
        <v/>
      </c>
      <c r="V548" s="215" t="s">
        <v>47</v>
      </c>
      <c r="W548" s="102" t="s">
        <v>136</v>
      </c>
      <c r="X548" s="102" t="s">
        <v>137</v>
      </c>
      <c r="Y548" s="103" t="s">
        <v>138</v>
      </c>
      <c r="Z548" s="103" t="s">
        <v>139</v>
      </c>
      <c r="AA548" s="103" t="s">
        <v>47</v>
      </c>
      <c r="AB548" s="103" t="s">
        <v>140</v>
      </c>
      <c r="AC548" s="104" t="s">
        <v>141</v>
      </c>
    </row>
    <row r="549" spans="1:29" ht="25.5" customHeight="1" x14ac:dyDescent="0.35">
      <c r="A549" s="188"/>
      <c r="B549" s="190"/>
      <c r="C549" s="99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0"/>
      <c r="E549" s="78" t="str">
        <f>IF(C549="","",IFERROR(VLOOKUP(C549,parametros!$A$11:$E$15,5,0),""))</f>
        <v/>
      </c>
      <c r="F549" s="79" t="str">
        <f t="shared" si="42"/>
        <v/>
      </c>
      <c r="G549" s="101"/>
      <c r="H549" s="91">
        <f t="shared" si="43"/>
        <v>0</v>
      </c>
      <c r="I549" s="91" t="str">
        <f t="shared" si="44"/>
        <v/>
      </c>
      <c r="J549" s="91" t="str">
        <f t="shared" si="45"/>
        <v/>
      </c>
      <c r="K549" s="92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2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58"/>
      <c r="U549" s="217" t="str">
        <f t="shared" si="46"/>
        <v/>
      </c>
      <c r="V549" s="215" t="s">
        <v>47</v>
      </c>
      <c r="W549" s="102" t="s">
        <v>136</v>
      </c>
      <c r="X549" s="102" t="s">
        <v>137</v>
      </c>
      <c r="Y549" s="103" t="s">
        <v>138</v>
      </c>
      <c r="Z549" s="103" t="s">
        <v>139</v>
      </c>
      <c r="AA549" s="103" t="s">
        <v>47</v>
      </c>
      <c r="AB549" s="103" t="s">
        <v>140</v>
      </c>
      <c r="AC549" s="104" t="s">
        <v>141</v>
      </c>
    </row>
    <row r="550" spans="1:29" ht="25.5" customHeight="1" x14ac:dyDescent="0.35">
      <c r="A550" s="188"/>
      <c r="B550" s="190"/>
      <c r="C550" s="99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0"/>
      <c r="E550" s="78" t="str">
        <f>IF(C550="","",IFERROR(VLOOKUP(C550,parametros!$A$11:$E$15,5,0),""))</f>
        <v/>
      </c>
      <c r="F550" s="79" t="str">
        <f t="shared" si="42"/>
        <v/>
      </c>
      <c r="G550" s="101"/>
      <c r="H550" s="91">
        <f t="shared" si="43"/>
        <v>0</v>
      </c>
      <c r="I550" s="91" t="str">
        <f t="shared" si="44"/>
        <v/>
      </c>
      <c r="J550" s="91" t="str">
        <f t="shared" si="45"/>
        <v/>
      </c>
      <c r="K550" s="92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2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58"/>
      <c r="U550" s="217" t="str">
        <f t="shared" si="46"/>
        <v/>
      </c>
      <c r="V550" s="215" t="s">
        <v>47</v>
      </c>
      <c r="W550" s="102" t="s">
        <v>136</v>
      </c>
      <c r="X550" s="102" t="s">
        <v>137</v>
      </c>
      <c r="Y550" s="103" t="s">
        <v>138</v>
      </c>
      <c r="Z550" s="103" t="s">
        <v>139</v>
      </c>
      <c r="AA550" s="103" t="s">
        <v>47</v>
      </c>
      <c r="AB550" s="103" t="s">
        <v>140</v>
      </c>
      <c r="AC550" s="104" t="s">
        <v>141</v>
      </c>
    </row>
    <row r="551" spans="1:29" ht="25.5" customHeight="1" x14ac:dyDescent="0.35">
      <c r="A551" s="188"/>
      <c r="B551" s="190"/>
      <c r="C551" s="99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0"/>
      <c r="E551" s="78" t="str">
        <f>IF(C551="","",IFERROR(VLOOKUP(C551,parametros!$A$11:$E$15,5,0),""))</f>
        <v/>
      </c>
      <c r="F551" s="79" t="str">
        <f t="shared" si="42"/>
        <v/>
      </c>
      <c r="G551" s="101"/>
      <c r="H551" s="91">
        <f t="shared" si="43"/>
        <v>0</v>
      </c>
      <c r="I551" s="91" t="str">
        <f t="shared" si="44"/>
        <v/>
      </c>
      <c r="J551" s="91" t="str">
        <f t="shared" si="45"/>
        <v/>
      </c>
      <c r="K551" s="92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2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58"/>
      <c r="U551" s="217" t="str">
        <f t="shared" si="46"/>
        <v/>
      </c>
      <c r="V551" s="215" t="s">
        <v>47</v>
      </c>
      <c r="W551" s="102" t="s">
        <v>136</v>
      </c>
      <c r="X551" s="102" t="s">
        <v>137</v>
      </c>
      <c r="Y551" s="103" t="s">
        <v>138</v>
      </c>
      <c r="Z551" s="103" t="s">
        <v>139</v>
      </c>
      <c r="AA551" s="103" t="s">
        <v>47</v>
      </c>
      <c r="AB551" s="103" t="s">
        <v>140</v>
      </c>
      <c r="AC551" s="104" t="s">
        <v>141</v>
      </c>
    </row>
    <row r="552" spans="1:29" ht="25.5" customHeight="1" x14ac:dyDescent="0.35">
      <c r="A552" s="188"/>
      <c r="B552" s="190"/>
      <c r="C552" s="99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0"/>
      <c r="E552" s="78" t="str">
        <f>IF(C552="","",IFERROR(VLOOKUP(C552,parametros!$A$11:$E$15,5,0),""))</f>
        <v/>
      </c>
      <c r="F552" s="79" t="str">
        <f t="shared" si="42"/>
        <v/>
      </c>
      <c r="G552" s="101"/>
      <c r="H552" s="91">
        <f t="shared" si="43"/>
        <v>0</v>
      </c>
      <c r="I552" s="91" t="str">
        <f t="shared" si="44"/>
        <v/>
      </c>
      <c r="J552" s="91" t="str">
        <f t="shared" si="45"/>
        <v/>
      </c>
      <c r="K552" s="92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2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58"/>
      <c r="U552" s="217" t="str">
        <f t="shared" si="46"/>
        <v/>
      </c>
      <c r="V552" s="215" t="s">
        <v>47</v>
      </c>
      <c r="W552" s="102" t="s">
        <v>136</v>
      </c>
      <c r="X552" s="102" t="s">
        <v>137</v>
      </c>
      <c r="Y552" s="103" t="s">
        <v>138</v>
      </c>
      <c r="Z552" s="103" t="s">
        <v>139</v>
      </c>
      <c r="AA552" s="103" t="s">
        <v>47</v>
      </c>
      <c r="AB552" s="103" t="s">
        <v>140</v>
      </c>
      <c r="AC552" s="104" t="s">
        <v>141</v>
      </c>
    </row>
    <row r="553" spans="1:29" ht="25.5" customHeight="1" x14ac:dyDescent="0.35">
      <c r="A553" s="188"/>
      <c r="B553" s="190"/>
      <c r="C553" s="99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0"/>
      <c r="E553" s="78" t="str">
        <f>IF(C553="","",IFERROR(VLOOKUP(C553,parametros!$A$11:$E$15,5,0),""))</f>
        <v/>
      </c>
      <c r="F553" s="79" t="str">
        <f t="shared" si="42"/>
        <v/>
      </c>
      <c r="G553" s="101"/>
      <c r="H553" s="91">
        <f t="shared" si="43"/>
        <v>0</v>
      </c>
      <c r="I553" s="91" t="str">
        <f t="shared" si="44"/>
        <v/>
      </c>
      <c r="J553" s="91" t="str">
        <f t="shared" si="45"/>
        <v/>
      </c>
      <c r="K553" s="92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2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58"/>
      <c r="U553" s="217" t="str">
        <f t="shared" si="46"/>
        <v/>
      </c>
      <c r="V553" s="215" t="s">
        <v>47</v>
      </c>
      <c r="W553" s="102" t="s">
        <v>136</v>
      </c>
      <c r="X553" s="102" t="s">
        <v>137</v>
      </c>
      <c r="Y553" s="103" t="s">
        <v>138</v>
      </c>
      <c r="Z553" s="103" t="s">
        <v>139</v>
      </c>
      <c r="AA553" s="103" t="s">
        <v>47</v>
      </c>
      <c r="AB553" s="103" t="s">
        <v>140</v>
      </c>
      <c r="AC553" s="104" t="s">
        <v>141</v>
      </c>
    </row>
    <row r="554" spans="1:29" ht="25.5" customHeight="1" x14ac:dyDescent="0.35">
      <c r="A554" s="188"/>
      <c r="B554" s="190"/>
      <c r="C554" s="99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0"/>
      <c r="E554" s="78" t="str">
        <f>IF(C554="","",IFERROR(VLOOKUP(C554,parametros!$A$11:$E$15,5,0),""))</f>
        <v/>
      </c>
      <c r="F554" s="79" t="str">
        <f t="shared" si="42"/>
        <v/>
      </c>
      <c r="G554" s="101"/>
      <c r="H554" s="91">
        <f t="shared" si="43"/>
        <v>0</v>
      </c>
      <c r="I554" s="91" t="str">
        <f t="shared" si="44"/>
        <v/>
      </c>
      <c r="J554" s="91" t="str">
        <f t="shared" si="45"/>
        <v/>
      </c>
      <c r="K554" s="92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2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58"/>
      <c r="U554" s="217" t="str">
        <f t="shared" si="46"/>
        <v/>
      </c>
      <c r="V554" s="215" t="s">
        <v>47</v>
      </c>
      <c r="W554" s="102" t="s">
        <v>136</v>
      </c>
      <c r="X554" s="102" t="s">
        <v>137</v>
      </c>
      <c r="Y554" s="103" t="s">
        <v>138</v>
      </c>
      <c r="Z554" s="103" t="s">
        <v>139</v>
      </c>
      <c r="AA554" s="103" t="s">
        <v>47</v>
      </c>
      <c r="AB554" s="103" t="s">
        <v>140</v>
      </c>
      <c r="AC554" s="104" t="s">
        <v>141</v>
      </c>
    </row>
    <row r="555" spans="1:29" ht="25.5" customHeight="1" x14ac:dyDescent="0.35">
      <c r="A555" s="188"/>
      <c r="B555" s="190"/>
      <c r="C555" s="99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0"/>
      <c r="E555" s="78" t="str">
        <f>IF(C555="","",IFERROR(VLOOKUP(C555,parametros!$A$11:$E$15,5,0),""))</f>
        <v/>
      </c>
      <c r="F555" s="79" t="str">
        <f t="shared" si="42"/>
        <v/>
      </c>
      <c r="G555" s="101"/>
      <c r="H555" s="91">
        <f t="shared" si="43"/>
        <v>0</v>
      </c>
      <c r="I555" s="91" t="str">
        <f t="shared" si="44"/>
        <v/>
      </c>
      <c r="J555" s="91" t="str">
        <f t="shared" si="45"/>
        <v/>
      </c>
      <c r="K555" s="92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2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58"/>
      <c r="U555" s="217" t="str">
        <f t="shared" si="46"/>
        <v/>
      </c>
      <c r="V555" s="215" t="s">
        <v>47</v>
      </c>
      <c r="W555" s="102" t="s">
        <v>136</v>
      </c>
      <c r="X555" s="102" t="s">
        <v>137</v>
      </c>
      <c r="Y555" s="103" t="s">
        <v>138</v>
      </c>
      <c r="Z555" s="103" t="s">
        <v>139</v>
      </c>
      <c r="AA555" s="103" t="s">
        <v>47</v>
      </c>
      <c r="AB555" s="103" t="s">
        <v>140</v>
      </c>
      <c r="AC555" s="104" t="s">
        <v>141</v>
      </c>
    </row>
    <row r="556" spans="1:29" ht="25.5" customHeight="1" x14ac:dyDescent="0.35">
      <c r="A556" s="188"/>
      <c r="B556" s="190"/>
      <c r="C556" s="99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0"/>
      <c r="E556" s="78" t="str">
        <f>IF(C556="","",IFERROR(VLOOKUP(C556,parametros!$A$11:$E$15,5,0),""))</f>
        <v/>
      </c>
      <c r="F556" s="79" t="str">
        <f t="shared" si="42"/>
        <v/>
      </c>
      <c r="G556" s="101"/>
      <c r="H556" s="91">
        <f t="shared" si="43"/>
        <v>0</v>
      </c>
      <c r="I556" s="91" t="str">
        <f t="shared" si="44"/>
        <v/>
      </c>
      <c r="J556" s="91" t="str">
        <f t="shared" si="45"/>
        <v/>
      </c>
      <c r="K556" s="92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2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58"/>
      <c r="U556" s="217" t="str">
        <f t="shared" si="46"/>
        <v/>
      </c>
      <c r="V556" s="215" t="s">
        <v>47</v>
      </c>
      <c r="W556" s="102" t="s">
        <v>136</v>
      </c>
      <c r="X556" s="102" t="s">
        <v>137</v>
      </c>
      <c r="Y556" s="103" t="s">
        <v>138</v>
      </c>
      <c r="Z556" s="103" t="s">
        <v>139</v>
      </c>
      <c r="AA556" s="103" t="s">
        <v>47</v>
      </c>
      <c r="AB556" s="103" t="s">
        <v>140</v>
      </c>
      <c r="AC556" s="104" t="s">
        <v>141</v>
      </c>
    </row>
    <row r="557" spans="1:29" ht="25.5" customHeight="1" x14ac:dyDescent="0.35">
      <c r="A557" s="188"/>
      <c r="B557" s="190"/>
      <c r="C557" s="99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0"/>
      <c r="E557" s="78" t="str">
        <f>IF(C557="","",IFERROR(VLOOKUP(C557,parametros!$A$11:$E$15,5,0),""))</f>
        <v/>
      </c>
      <c r="F557" s="79" t="str">
        <f t="shared" si="42"/>
        <v/>
      </c>
      <c r="G557" s="101"/>
      <c r="H557" s="91">
        <f t="shared" si="43"/>
        <v>0</v>
      </c>
      <c r="I557" s="91" t="str">
        <f t="shared" si="44"/>
        <v/>
      </c>
      <c r="J557" s="91" t="str">
        <f t="shared" si="45"/>
        <v/>
      </c>
      <c r="K557" s="92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2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58"/>
      <c r="U557" s="217" t="str">
        <f t="shared" si="46"/>
        <v/>
      </c>
      <c r="V557" s="215" t="s">
        <v>47</v>
      </c>
      <c r="W557" s="102" t="s">
        <v>136</v>
      </c>
      <c r="X557" s="102" t="s">
        <v>137</v>
      </c>
      <c r="Y557" s="103" t="s">
        <v>138</v>
      </c>
      <c r="Z557" s="103" t="s">
        <v>139</v>
      </c>
      <c r="AA557" s="103" t="s">
        <v>47</v>
      </c>
      <c r="AB557" s="103" t="s">
        <v>140</v>
      </c>
      <c r="AC557" s="104" t="s">
        <v>141</v>
      </c>
    </row>
    <row r="558" spans="1:29" ht="25.5" customHeight="1" x14ac:dyDescent="0.35">
      <c r="A558" s="188"/>
      <c r="B558" s="190"/>
      <c r="C558" s="99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0"/>
      <c r="E558" s="78" t="str">
        <f>IF(C558="","",IFERROR(VLOOKUP(C558,parametros!$A$11:$E$15,5,0),""))</f>
        <v/>
      </c>
      <c r="F558" s="79" t="str">
        <f t="shared" si="42"/>
        <v/>
      </c>
      <c r="G558" s="101"/>
      <c r="H558" s="91">
        <f t="shared" si="43"/>
        <v>0</v>
      </c>
      <c r="I558" s="91" t="str">
        <f t="shared" si="44"/>
        <v/>
      </c>
      <c r="J558" s="91" t="str">
        <f t="shared" si="45"/>
        <v/>
      </c>
      <c r="K558" s="92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2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58"/>
      <c r="U558" s="217" t="str">
        <f t="shared" si="46"/>
        <v/>
      </c>
      <c r="V558" s="215" t="s">
        <v>47</v>
      </c>
      <c r="W558" s="102" t="s">
        <v>136</v>
      </c>
      <c r="X558" s="102" t="s">
        <v>137</v>
      </c>
      <c r="Y558" s="103" t="s">
        <v>138</v>
      </c>
      <c r="Z558" s="103" t="s">
        <v>139</v>
      </c>
      <c r="AA558" s="103" t="s">
        <v>47</v>
      </c>
      <c r="AB558" s="103" t="s">
        <v>140</v>
      </c>
      <c r="AC558" s="104" t="s">
        <v>141</v>
      </c>
    </row>
    <row r="559" spans="1:29" ht="25.5" customHeight="1" x14ac:dyDescent="0.35">
      <c r="A559" s="188"/>
      <c r="B559" s="190"/>
      <c r="C559" s="99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0"/>
      <c r="E559" s="78" t="str">
        <f>IF(C559="","",IFERROR(VLOOKUP(C559,parametros!$A$11:$E$15,5,0),""))</f>
        <v/>
      </c>
      <c r="F559" s="79" t="str">
        <f t="shared" si="42"/>
        <v/>
      </c>
      <c r="G559" s="101"/>
      <c r="H559" s="91">
        <f t="shared" si="43"/>
        <v>0</v>
      </c>
      <c r="I559" s="91" t="str">
        <f t="shared" si="44"/>
        <v/>
      </c>
      <c r="J559" s="91" t="str">
        <f t="shared" si="45"/>
        <v/>
      </c>
      <c r="K559" s="92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2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58"/>
      <c r="U559" s="217" t="str">
        <f t="shared" si="46"/>
        <v/>
      </c>
      <c r="V559" s="215" t="s">
        <v>47</v>
      </c>
      <c r="W559" s="102" t="s">
        <v>136</v>
      </c>
      <c r="X559" s="102" t="s">
        <v>137</v>
      </c>
      <c r="Y559" s="103" t="s">
        <v>138</v>
      </c>
      <c r="Z559" s="103" t="s">
        <v>139</v>
      </c>
      <c r="AA559" s="103" t="s">
        <v>47</v>
      </c>
      <c r="AB559" s="103" t="s">
        <v>140</v>
      </c>
      <c r="AC559" s="104" t="s">
        <v>141</v>
      </c>
    </row>
    <row r="560" spans="1:29" ht="25.5" customHeight="1" x14ac:dyDescent="0.35">
      <c r="A560" s="188"/>
      <c r="B560" s="190"/>
      <c r="C560" s="99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0"/>
      <c r="E560" s="78" t="str">
        <f>IF(C560="","",IFERROR(VLOOKUP(C560,parametros!$A$11:$E$15,5,0),""))</f>
        <v/>
      </c>
      <c r="F560" s="79" t="str">
        <f t="shared" si="42"/>
        <v/>
      </c>
      <c r="G560" s="101"/>
      <c r="H560" s="91">
        <f t="shared" si="43"/>
        <v>0</v>
      </c>
      <c r="I560" s="91" t="str">
        <f t="shared" si="44"/>
        <v/>
      </c>
      <c r="J560" s="91" t="str">
        <f t="shared" si="45"/>
        <v/>
      </c>
      <c r="K560" s="92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2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58"/>
      <c r="U560" s="217" t="str">
        <f t="shared" si="46"/>
        <v/>
      </c>
      <c r="V560" s="215" t="s">
        <v>47</v>
      </c>
      <c r="W560" s="102" t="s">
        <v>136</v>
      </c>
      <c r="X560" s="102" t="s">
        <v>137</v>
      </c>
      <c r="Y560" s="103" t="s">
        <v>138</v>
      </c>
      <c r="Z560" s="103" t="s">
        <v>139</v>
      </c>
      <c r="AA560" s="103" t="s">
        <v>47</v>
      </c>
      <c r="AB560" s="103" t="s">
        <v>140</v>
      </c>
      <c r="AC560" s="104" t="s">
        <v>141</v>
      </c>
    </row>
    <row r="561" spans="1:29" ht="25.5" customHeight="1" x14ac:dyDescent="0.35">
      <c r="A561" s="188"/>
      <c r="B561" s="190"/>
      <c r="C561" s="99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0"/>
      <c r="E561" s="78" t="str">
        <f>IF(C561="","",IFERROR(VLOOKUP(C561,parametros!$A$11:$E$15,5,0),""))</f>
        <v/>
      </c>
      <c r="F561" s="79" t="str">
        <f t="shared" si="42"/>
        <v/>
      </c>
      <c r="G561" s="101"/>
      <c r="H561" s="91">
        <f t="shared" si="43"/>
        <v>0</v>
      </c>
      <c r="I561" s="91" t="str">
        <f t="shared" si="44"/>
        <v/>
      </c>
      <c r="J561" s="91" t="str">
        <f t="shared" si="45"/>
        <v/>
      </c>
      <c r="K561" s="92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2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58"/>
      <c r="U561" s="217" t="str">
        <f t="shared" si="46"/>
        <v/>
      </c>
      <c r="V561" s="215" t="s">
        <v>47</v>
      </c>
      <c r="W561" s="102" t="s">
        <v>136</v>
      </c>
      <c r="X561" s="102" t="s">
        <v>137</v>
      </c>
      <c r="Y561" s="103" t="s">
        <v>138</v>
      </c>
      <c r="Z561" s="103" t="s">
        <v>139</v>
      </c>
      <c r="AA561" s="103" t="s">
        <v>47</v>
      </c>
      <c r="AB561" s="103" t="s">
        <v>140</v>
      </c>
      <c r="AC561" s="104" t="s">
        <v>141</v>
      </c>
    </row>
    <row r="562" spans="1:29" ht="25.5" customHeight="1" x14ac:dyDescent="0.35">
      <c r="A562" s="188"/>
      <c r="B562" s="190"/>
      <c r="C562" s="99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0"/>
      <c r="E562" s="78" t="str">
        <f>IF(C562="","",IFERROR(VLOOKUP(C562,parametros!$A$11:$E$15,5,0),""))</f>
        <v/>
      </c>
      <c r="F562" s="79" t="str">
        <f t="shared" si="42"/>
        <v/>
      </c>
      <c r="G562" s="101"/>
      <c r="H562" s="91">
        <f t="shared" si="43"/>
        <v>0</v>
      </c>
      <c r="I562" s="91" t="str">
        <f t="shared" si="44"/>
        <v/>
      </c>
      <c r="J562" s="91" t="str">
        <f t="shared" si="45"/>
        <v/>
      </c>
      <c r="K562" s="92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2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58"/>
      <c r="U562" s="217" t="str">
        <f t="shared" si="46"/>
        <v/>
      </c>
      <c r="V562" s="215" t="s">
        <v>47</v>
      </c>
      <c r="W562" s="102" t="s">
        <v>136</v>
      </c>
      <c r="X562" s="102" t="s">
        <v>137</v>
      </c>
      <c r="Y562" s="103" t="s">
        <v>138</v>
      </c>
      <c r="Z562" s="103" t="s">
        <v>139</v>
      </c>
      <c r="AA562" s="103" t="s">
        <v>47</v>
      </c>
      <c r="AB562" s="103" t="s">
        <v>140</v>
      </c>
      <c r="AC562" s="104" t="s">
        <v>141</v>
      </c>
    </row>
    <row r="563" spans="1:29" ht="25.5" customHeight="1" x14ac:dyDescent="0.35">
      <c r="A563" s="188"/>
      <c r="B563" s="190"/>
      <c r="C563" s="99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0"/>
      <c r="E563" s="78" t="str">
        <f>IF(C563="","",IFERROR(VLOOKUP(C563,parametros!$A$11:$E$15,5,0),""))</f>
        <v/>
      </c>
      <c r="F563" s="79" t="str">
        <f t="shared" si="42"/>
        <v/>
      </c>
      <c r="G563" s="101"/>
      <c r="H563" s="91">
        <f t="shared" si="43"/>
        <v>0</v>
      </c>
      <c r="I563" s="91" t="str">
        <f t="shared" si="44"/>
        <v/>
      </c>
      <c r="J563" s="91" t="str">
        <f t="shared" si="45"/>
        <v/>
      </c>
      <c r="K563" s="92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2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58"/>
      <c r="U563" s="217" t="str">
        <f t="shared" si="46"/>
        <v/>
      </c>
      <c r="V563" s="215" t="s">
        <v>47</v>
      </c>
      <c r="W563" s="102" t="s">
        <v>136</v>
      </c>
      <c r="X563" s="102" t="s">
        <v>137</v>
      </c>
      <c r="Y563" s="103" t="s">
        <v>138</v>
      </c>
      <c r="Z563" s="103" t="s">
        <v>139</v>
      </c>
      <c r="AA563" s="103" t="s">
        <v>47</v>
      </c>
      <c r="AB563" s="103" t="s">
        <v>140</v>
      </c>
      <c r="AC563" s="104" t="s">
        <v>141</v>
      </c>
    </row>
    <row r="564" spans="1:29" ht="25.5" customHeight="1" x14ac:dyDescent="0.35">
      <c r="A564" s="188"/>
      <c r="B564" s="190"/>
      <c r="C564" s="99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0"/>
      <c r="E564" s="78" t="str">
        <f>IF(C564="","",IFERROR(VLOOKUP(C564,parametros!$A$11:$E$15,5,0),""))</f>
        <v/>
      </c>
      <c r="F564" s="79" t="str">
        <f t="shared" si="42"/>
        <v/>
      </c>
      <c r="G564" s="101"/>
      <c r="H564" s="91">
        <f t="shared" si="43"/>
        <v>0</v>
      </c>
      <c r="I564" s="91" t="str">
        <f t="shared" si="44"/>
        <v/>
      </c>
      <c r="J564" s="91" t="str">
        <f t="shared" si="45"/>
        <v/>
      </c>
      <c r="K564" s="92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2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58"/>
      <c r="U564" s="217" t="str">
        <f t="shared" si="46"/>
        <v/>
      </c>
      <c r="V564" s="215" t="s">
        <v>47</v>
      </c>
      <c r="W564" s="102" t="s">
        <v>136</v>
      </c>
      <c r="X564" s="102" t="s">
        <v>137</v>
      </c>
      <c r="Y564" s="103" t="s">
        <v>138</v>
      </c>
      <c r="Z564" s="103" t="s">
        <v>139</v>
      </c>
      <c r="AA564" s="103" t="s">
        <v>47</v>
      </c>
      <c r="AB564" s="103" t="s">
        <v>140</v>
      </c>
      <c r="AC564" s="104" t="s">
        <v>141</v>
      </c>
    </row>
    <row r="565" spans="1:29" ht="25.5" customHeight="1" x14ac:dyDescent="0.35">
      <c r="A565" s="188"/>
      <c r="B565" s="190"/>
      <c r="C565" s="99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0"/>
      <c r="E565" s="78" t="str">
        <f>IF(C565="","",IFERROR(VLOOKUP(C565,parametros!$A$11:$E$15,5,0),""))</f>
        <v/>
      </c>
      <c r="F565" s="79" t="str">
        <f t="shared" si="42"/>
        <v/>
      </c>
      <c r="G565" s="101"/>
      <c r="H565" s="91">
        <f t="shared" si="43"/>
        <v>0</v>
      </c>
      <c r="I565" s="91" t="str">
        <f t="shared" si="44"/>
        <v/>
      </c>
      <c r="J565" s="91" t="str">
        <f t="shared" si="45"/>
        <v/>
      </c>
      <c r="K565" s="92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2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58"/>
      <c r="U565" s="217" t="str">
        <f t="shared" si="46"/>
        <v/>
      </c>
      <c r="V565" s="215" t="s">
        <v>47</v>
      </c>
      <c r="W565" s="102" t="s">
        <v>136</v>
      </c>
      <c r="X565" s="102" t="s">
        <v>137</v>
      </c>
      <c r="Y565" s="103" t="s">
        <v>138</v>
      </c>
      <c r="Z565" s="103" t="s">
        <v>139</v>
      </c>
      <c r="AA565" s="103" t="s">
        <v>47</v>
      </c>
      <c r="AB565" s="103" t="s">
        <v>140</v>
      </c>
      <c r="AC565" s="104" t="s">
        <v>141</v>
      </c>
    </row>
    <row r="566" spans="1:29" ht="25.5" customHeight="1" x14ac:dyDescent="0.35">
      <c r="A566" s="188"/>
      <c r="B566" s="190"/>
      <c r="C566" s="99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0"/>
      <c r="E566" s="78" t="str">
        <f>IF(C566="","",IFERROR(VLOOKUP(C566,parametros!$A$11:$E$15,5,0),""))</f>
        <v/>
      </c>
      <c r="F566" s="79" t="str">
        <f t="shared" si="42"/>
        <v/>
      </c>
      <c r="G566" s="101"/>
      <c r="H566" s="91">
        <f t="shared" si="43"/>
        <v>0</v>
      </c>
      <c r="I566" s="91" t="str">
        <f t="shared" si="44"/>
        <v/>
      </c>
      <c r="J566" s="91" t="str">
        <f t="shared" si="45"/>
        <v/>
      </c>
      <c r="K566" s="92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2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58"/>
      <c r="U566" s="217" t="str">
        <f t="shared" si="46"/>
        <v/>
      </c>
      <c r="V566" s="215" t="s">
        <v>47</v>
      </c>
      <c r="W566" s="102" t="s">
        <v>136</v>
      </c>
      <c r="X566" s="102" t="s">
        <v>137</v>
      </c>
      <c r="Y566" s="103" t="s">
        <v>138</v>
      </c>
      <c r="Z566" s="103" t="s">
        <v>139</v>
      </c>
      <c r="AA566" s="103" t="s">
        <v>47</v>
      </c>
      <c r="AB566" s="103" t="s">
        <v>140</v>
      </c>
      <c r="AC566" s="104" t="s">
        <v>141</v>
      </c>
    </row>
    <row r="567" spans="1:29" ht="25.5" customHeight="1" x14ac:dyDescent="0.35">
      <c r="A567" s="188"/>
      <c r="B567" s="190"/>
      <c r="C567" s="99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0"/>
      <c r="E567" s="78" t="str">
        <f>IF(C567="","",IFERROR(VLOOKUP(C567,parametros!$A$11:$E$15,5,0),""))</f>
        <v/>
      </c>
      <c r="F567" s="79" t="str">
        <f t="shared" si="42"/>
        <v/>
      </c>
      <c r="G567" s="101"/>
      <c r="H567" s="91">
        <f t="shared" si="43"/>
        <v>0</v>
      </c>
      <c r="I567" s="91" t="str">
        <f t="shared" si="44"/>
        <v/>
      </c>
      <c r="J567" s="91" t="str">
        <f t="shared" si="45"/>
        <v/>
      </c>
      <c r="K567" s="92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2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58"/>
      <c r="U567" s="217" t="str">
        <f t="shared" si="46"/>
        <v/>
      </c>
      <c r="V567" s="215" t="s">
        <v>47</v>
      </c>
      <c r="W567" s="102" t="s">
        <v>136</v>
      </c>
      <c r="X567" s="102" t="s">
        <v>137</v>
      </c>
      <c r="Y567" s="103" t="s">
        <v>138</v>
      </c>
      <c r="Z567" s="103" t="s">
        <v>139</v>
      </c>
      <c r="AA567" s="103" t="s">
        <v>47</v>
      </c>
      <c r="AB567" s="103" t="s">
        <v>140</v>
      </c>
      <c r="AC567" s="104" t="s">
        <v>141</v>
      </c>
    </row>
    <row r="568" spans="1:29" ht="25.5" customHeight="1" x14ac:dyDescent="0.35">
      <c r="A568" s="188"/>
      <c r="B568" s="190"/>
      <c r="C568" s="99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0"/>
      <c r="E568" s="78" t="str">
        <f>IF(C568="","",IFERROR(VLOOKUP(C568,parametros!$A$11:$E$15,5,0),""))</f>
        <v/>
      </c>
      <c r="F568" s="79" t="str">
        <f t="shared" si="42"/>
        <v/>
      </c>
      <c r="G568" s="101"/>
      <c r="H568" s="91">
        <f t="shared" si="43"/>
        <v>0</v>
      </c>
      <c r="I568" s="91" t="str">
        <f t="shared" si="44"/>
        <v/>
      </c>
      <c r="J568" s="91" t="str">
        <f t="shared" si="45"/>
        <v/>
      </c>
      <c r="K568" s="92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2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58"/>
      <c r="U568" s="217" t="str">
        <f t="shared" si="46"/>
        <v/>
      </c>
      <c r="V568" s="215" t="s">
        <v>47</v>
      </c>
      <c r="W568" s="102" t="s">
        <v>136</v>
      </c>
      <c r="X568" s="102" t="s">
        <v>137</v>
      </c>
      <c r="Y568" s="103" t="s">
        <v>138</v>
      </c>
      <c r="Z568" s="103" t="s">
        <v>139</v>
      </c>
      <c r="AA568" s="103" t="s">
        <v>47</v>
      </c>
      <c r="AB568" s="103" t="s">
        <v>140</v>
      </c>
      <c r="AC568" s="104" t="s">
        <v>141</v>
      </c>
    </row>
    <row r="569" spans="1:29" ht="25.5" customHeight="1" x14ac:dyDescent="0.35">
      <c r="A569" s="188"/>
      <c r="B569" s="190"/>
      <c r="C569" s="99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0"/>
      <c r="E569" s="78" t="str">
        <f>IF(C569="","",IFERROR(VLOOKUP(C569,parametros!$A$11:$E$15,5,0),""))</f>
        <v/>
      </c>
      <c r="F569" s="79" t="str">
        <f t="shared" si="42"/>
        <v/>
      </c>
      <c r="G569" s="101"/>
      <c r="H569" s="91">
        <f t="shared" si="43"/>
        <v>0</v>
      </c>
      <c r="I569" s="91" t="str">
        <f t="shared" si="44"/>
        <v/>
      </c>
      <c r="J569" s="91" t="str">
        <f t="shared" si="45"/>
        <v/>
      </c>
      <c r="K569" s="92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2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58"/>
      <c r="U569" s="217" t="str">
        <f t="shared" si="46"/>
        <v/>
      </c>
      <c r="V569" s="215" t="s">
        <v>47</v>
      </c>
      <c r="W569" s="102" t="s">
        <v>136</v>
      </c>
      <c r="X569" s="102" t="s">
        <v>137</v>
      </c>
      <c r="Y569" s="103" t="s">
        <v>138</v>
      </c>
      <c r="Z569" s="103" t="s">
        <v>139</v>
      </c>
      <c r="AA569" s="103" t="s">
        <v>47</v>
      </c>
      <c r="AB569" s="103" t="s">
        <v>140</v>
      </c>
      <c r="AC569" s="104" t="s">
        <v>141</v>
      </c>
    </row>
    <row r="570" spans="1:29" ht="25.5" customHeight="1" x14ac:dyDescent="0.35">
      <c r="A570" s="188"/>
      <c r="B570" s="190"/>
      <c r="C570" s="99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0"/>
      <c r="E570" s="78" t="str">
        <f>IF(C570="","",IFERROR(VLOOKUP(C570,parametros!$A$11:$E$15,5,0),""))</f>
        <v/>
      </c>
      <c r="F570" s="79" t="str">
        <f t="shared" si="42"/>
        <v/>
      </c>
      <c r="G570" s="101"/>
      <c r="H570" s="91">
        <f t="shared" si="43"/>
        <v>0</v>
      </c>
      <c r="I570" s="91" t="str">
        <f t="shared" si="44"/>
        <v/>
      </c>
      <c r="J570" s="91" t="str">
        <f t="shared" si="45"/>
        <v/>
      </c>
      <c r="K570" s="92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2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58"/>
      <c r="U570" s="217" t="str">
        <f t="shared" si="46"/>
        <v/>
      </c>
      <c r="V570" s="215" t="s">
        <v>47</v>
      </c>
      <c r="W570" s="102" t="s">
        <v>136</v>
      </c>
      <c r="X570" s="102" t="s">
        <v>137</v>
      </c>
      <c r="Y570" s="103" t="s">
        <v>138</v>
      </c>
      <c r="Z570" s="103" t="s">
        <v>139</v>
      </c>
      <c r="AA570" s="103" t="s">
        <v>47</v>
      </c>
      <c r="AB570" s="103" t="s">
        <v>140</v>
      </c>
      <c r="AC570" s="104" t="s">
        <v>141</v>
      </c>
    </row>
    <row r="571" spans="1:29" ht="25.5" customHeight="1" x14ac:dyDescent="0.35">
      <c r="A571" s="188"/>
      <c r="B571" s="190"/>
      <c r="C571" s="99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0"/>
      <c r="E571" s="78" t="str">
        <f>IF(C571="","",IFERROR(VLOOKUP(C571,parametros!$A$11:$E$15,5,0),""))</f>
        <v/>
      </c>
      <c r="F571" s="79" t="str">
        <f t="shared" si="42"/>
        <v/>
      </c>
      <c r="G571" s="101"/>
      <c r="H571" s="91">
        <f t="shared" si="43"/>
        <v>0</v>
      </c>
      <c r="I571" s="91" t="str">
        <f t="shared" si="44"/>
        <v/>
      </c>
      <c r="J571" s="91" t="str">
        <f t="shared" si="45"/>
        <v/>
      </c>
      <c r="K571" s="92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2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58"/>
      <c r="U571" s="217" t="str">
        <f t="shared" si="46"/>
        <v/>
      </c>
      <c r="V571" s="215" t="s">
        <v>47</v>
      </c>
      <c r="W571" s="102" t="s">
        <v>136</v>
      </c>
      <c r="X571" s="102" t="s">
        <v>137</v>
      </c>
      <c r="Y571" s="103" t="s">
        <v>138</v>
      </c>
      <c r="Z571" s="103" t="s">
        <v>139</v>
      </c>
      <c r="AA571" s="103" t="s">
        <v>47</v>
      </c>
      <c r="AB571" s="103" t="s">
        <v>140</v>
      </c>
      <c r="AC571" s="104" t="s">
        <v>141</v>
      </c>
    </row>
    <row r="572" spans="1:29" ht="25.5" customHeight="1" x14ac:dyDescent="0.35">
      <c r="A572" s="188"/>
      <c r="B572" s="190"/>
      <c r="C572" s="99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0"/>
      <c r="E572" s="78" t="str">
        <f>IF(C572="","",IFERROR(VLOOKUP(C572,parametros!$A$11:$E$15,5,0),""))</f>
        <v/>
      </c>
      <c r="F572" s="79" t="str">
        <f t="shared" si="42"/>
        <v/>
      </c>
      <c r="G572" s="101"/>
      <c r="H572" s="91">
        <f t="shared" si="43"/>
        <v>0</v>
      </c>
      <c r="I572" s="91" t="str">
        <f t="shared" si="44"/>
        <v/>
      </c>
      <c r="J572" s="91" t="str">
        <f t="shared" si="45"/>
        <v/>
      </c>
      <c r="K572" s="92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2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58"/>
      <c r="U572" s="217" t="str">
        <f t="shared" si="46"/>
        <v/>
      </c>
      <c r="V572" s="215" t="s">
        <v>47</v>
      </c>
      <c r="W572" s="102" t="s">
        <v>136</v>
      </c>
      <c r="X572" s="102" t="s">
        <v>137</v>
      </c>
      <c r="Y572" s="103" t="s">
        <v>138</v>
      </c>
      <c r="Z572" s="103" t="s">
        <v>139</v>
      </c>
      <c r="AA572" s="103" t="s">
        <v>47</v>
      </c>
      <c r="AB572" s="103" t="s">
        <v>140</v>
      </c>
      <c r="AC572" s="104" t="s">
        <v>141</v>
      </c>
    </row>
    <row r="573" spans="1:29" ht="25.5" customHeight="1" x14ac:dyDescent="0.35">
      <c r="A573" s="188"/>
      <c r="B573" s="190"/>
      <c r="C573" s="99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0"/>
      <c r="E573" s="78" t="str">
        <f>IF(C573="","",IFERROR(VLOOKUP(C573,parametros!$A$11:$E$15,5,0),""))</f>
        <v/>
      </c>
      <c r="F573" s="79" t="str">
        <f t="shared" si="42"/>
        <v/>
      </c>
      <c r="G573" s="101"/>
      <c r="H573" s="91">
        <f t="shared" si="43"/>
        <v>0</v>
      </c>
      <c r="I573" s="91" t="str">
        <f t="shared" si="44"/>
        <v/>
      </c>
      <c r="J573" s="91" t="str">
        <f t="shared" si="45"/>
        <v/>
      </c>
      <c r="K573" s="92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2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58"/>
      <c r="U573" s="217" t="str">
        <f t="shared" si="46"/>
        <v/>
      </c>
      <c r="V573" s="215" t="s">
        <v>47</v>
      </c>
      <c r="W573" s="102" t="s">
        <v>136</v>
      </c>
      <c r="X573" s="102" t="s">
        <v>137</v>
      </c>
      <c r="Y573" s="103" t="s">
        <v>138</v>
      </c>
      <c r="Z573" s="103" t="s">
        <v>139</v>
      </c>
      <c r="AA573" s="103" t="s">
        <v>47</v>
      </c>
      <c r="AB573" s="103" t="s">
        <v>140</v>
      </c>
      <c r="AC573" s="104" t="s">
        <v>141</v>
      </c>
    </row>
    <row r="574" spans="1:29" ht="25.5" customHeight="1" x14ac:dyDescent="0.35">
      <c r="A574" s="188"/>
      <c r="B574" s="190"/>
      <c r="C574" s="99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0"/>
      <c r="E574" s="78" t="str">
        <f>IF(C574="","",IFERROR(VLOOKUP(C574,parametros!$A$11:$E$15,5,0),""))</f>
        <v/>
      </c>
      <c r="F574" s="79" t="str">
        <f t="shared" si="42"/>
        <v/>
      </c>
      <c r="G574" s="101"/>
      <c r="H574" s="91">
        <f t="shared" si="43"/>
        <v>0</v>
      </c>
      <c r="I574" s="91" t="str">
        <f t="shared" si="44"/>
        <v/>
      </c>
      <c r="J574" s="91" t="str">
        <f t="shared" si="45"/>
        <v/>
      </c>
      <c r="K574" s="92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2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58"/>
      <c r="U574" s="217" t="str">
        <f t="shared" si="46"/>
        <v/>
      </c>
      <c r="V574" s="215" t="s">
        <v>47</v>
      </c>
      <c r="W574" s="102" t="s">
        <v>136</v>
      </c>
      <c r="X574" s="102" t="s">
        <v>137</v>
      </c>
      <c r="Y574" s="103" t="s">
        <v>138</v>
      </c>
      <c r="Z574" s="103" t="s">
        <v>139</v>
      </c>
      <c r="AA574" s="103" t="s">
        <v>47</v>
      </c>
      <c r="AB574" s="103" t="s">
        <v>140</v>
      </c>
      <c r="AC574" s="104" t="s">
        <v>141</v>
      </c>
    </row>
    <row r="575" spans="1:29" ht="25.5" customHeight="1" x14ac:dyDescent="0.35">
      <c r="A575" s="188"/>
      <c r="B575" s="190"/>
      <c r="C575" s="99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0"/>
      <c r="E575" s="78" t="str">
        <f>IF(C575="","",IFERROR(VLOOKUP(C575,parametros!$A$11:$E$15,5,0),""))</f>
        <v/>
      </c>
      <c r="F575" s="79" t="str">
        <f t="shared" si="42"/>
        <v/>
      </c>
      <c r="G575" s="101"/>
      <c r="H575" s="91">
        <f t="shared" si="43"/>
        <v>0</v>
      </c>
      <c r="I575" s="91" t="str">
        <f t="shared" si="44"/>
        <v/>
      </c>
      <c r="J575" s="91" t="str">
        <f t="shared" si="45"/>
        <v/>
      </c>
      <c r="K575" s="92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2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58"/>
      <c r="U575" s="217" t="str">
        <f t="shared" si="46"/>
        <v/>
      </c>
      <c r="V575" s="215" t="s">
        <v>47</v>
      </c>
      <c r="W575" s="102" t="s">
        <v>136</v>
      </c>
      <c r="X575" s="102" t="s">
        <v>137</v>
      </c>
      <c r="Y575" s="103" t="s">
        <v>138</v>
      </c>
      <c r="Z575" s="103" t="s">
        <v>139</v>
      </c>
      <c r="AA575" s="103" t="s">
        <v>47</v>
      </c>
      <c r="AB575" s="103" t="s">
        <v>140</v>
      </c>
      <c r="AC575" s="104" t="s">
        <v>141</v>
      </c>
    </row>
    <row r="576" spans="1:29" ht="25.5" customHeight="1" x14ac:dyDescent="0.35">
      <c r="A576" s="188"/>
      <c r="B576" s="190"/>
      <c r="C576" s="99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0"/>
      <c r="E576" s="78" t="str">
        <f>IF(C576="","",IFERROR(VLOOKUP(C576,parametros!$A$11:$E$15,5,0),""))</f>
        <v/>
      </c>
      <c r="F576" s="79" t="str">
        <f t="shared" si="42"/>
        <v/>
      </c>
      <c r="G576" s="101"/>
      <c r="H576" s="91">
        <f t="shared" si="43"/>
        <v>0</v>
      </c>
      <c r="I576" s="91" t="str">
        <f t="shared" si="44"/>
        <v/>
      </c>
      <c r="J576" s="91" t="str">
        <f t="shared" si="45"/>
        <v/>
      </c>
      <c r="K576" s="92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2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58"/>
      <c r="U576" s="217" t="str">
        <f t="shared" si="46"/>
        <v/>
      </c>
      <c r="V576" s="215" t="s">
        <v>47</v>
      </c>
      <c r="W576" s="102" t="s">
        <v>136</v>
      </c>
      <c r="X576" s="102" t="s">
        <v>137</v>
      </c>
      <c r="Y576" s="103" t="s">
        <v>138</v>
      </c>
      <c r="Z576" s="103" t="s">
        <v>139</v>
      </c>
      <c r="AA576" s="103" t="s">
        <v>47</v>
      </c>
      <c r="AB576" s="103" t="s">
        <v>140</v>
      </c>
      <c r="AC576" s="104" t="s">
        <v>141</v>
      </c>
    </row>
    <row r="577" spans="1:29" ht="25.5" customHeight="1" x14ac:dyDescent="0.35">
      <c r="A577" s="188"/>
      <c r="B577" s="190"/>
      <c r="C577" s="99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0"/>
      <c r="E577" s="78" t="str">
        <f>IF(C577="","",IFERROR(VLOOKUP(C577,parametros!$A$11:$E$15,5,0),""))</f>
        <v/>
      </c>
      <c r="F577" s="79" t="str">
        <f t="shared" si="42"/>
        <v/>
      </c>
      <c r="G577" s="101"/>
      <c r="H577" s="91">
        <f t="shared" si="43"/>
        <v>0</v>
      </c>
      <c r="I577" s="91" t="str">
        <f t="shared" si="44"/>
        <v/>
      </c>
      <c r="J577" s="91" t="str">
        <f t="shared" si="45"/>
        <v/>
      </c>
      <c r="K577" s="92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2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58"/>
      <c r="U577" s="217" t="str">
        <f t="shared" si="46"/>
        <v/>
      </c>
      <c r="V577" s="215" t="s">
        <v>47</v>
      </c>
      <c r="W577" s="102" t="s">
        <v>136</v>
      </c>
      <c r="X577" s="102" t="s">
        <v>137</v>
      </c>
      <c r="Y577" s="103" t="s">
        <v>138</v>
      </c>
      <c r="Z577" s="103" t="s">
        <v>139</v>
      </c>
      <c r="AA577" s="103" t="s">
        <v>47</v>
      </c>
      <c r="AB577" s="103" t="s">
        <v>140</v>
      </c>
      <c r="AC577" s="104" t="s">
        <v>141</v>
      </c>
    </row>
    <row r="578" spans="1:29" ht="25.5" customHeight="1" x14ac:dyDescent="0.35">
      <c r="A578" s="188"/>
      <c r="B578" s="190"/>
      <c r="C578" s="99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0"/>
      <c r="E578" s="78" t="str">
        <f>IF(C578="","",IFERROR(VLOOKUP(C578,parametros!$A$11:$E$15,5,0),""))</f>
        <v/>
      </c>
      <c r="F578" s="79" t="str">
        <f t="shared" ref="F578:F641" si="47">IF(OR(D578="",E578=""),"",ROUND(D578*E578,2))</f>
        <v/>
      </c>
      <c r="G578" s="101"/>
      <c r="H578" s="91">
        <f t="shared" ref="H578:H641" si="48">IF(G578="Sim",IF(OR(F578="",D578="",L578=""),"",IF(L578="Sim",ROUND(F578-D578,2),0)),0)</f>
        <v>0</v>
      </c>
      <c r="I578" s="91" t="str">
        <f t="shared" ref="I578:I641" si="49">IF(G578="Sim",0,IF(OR(F578="",L578=""),"",F578))</f>
        <v/>
      </c>
      <c r="J578" s="91" t="str">
        <f t="shared" ref="J578:J641" si="50">IF(G578="Sim",0,IF(OR(F578="",D578="",L578=""),"",IF(L578="Sim",ROUND(F578-D578,2),0)))</f>
        <v/>
      </c>
      <c r="K578" s="92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2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58"/>
      <c r="U578" s="217" t="str">
        <f t="shared" ref="U578:U641" si="51">IF(OR($D578="",$H578=""),"",ROUND($D578+$H578,2))</f>
        <v/>
      </c>
      <c r="V578" s="215" t="s">
        <v>47</v>
      </c>
      <c r="W578" s="102" t="s">
        <v>136</v>
      </c>
      <c r="X578" s="102" t="s">
        <v>137</v>
      </c>
      <c r="Y578" s="103" t="s">
        <v>138</v>
      </c>
      <c r="Z578" s="103" t="s">
        <v>139</v>
      </c>
      <c r="AA578" s="103" t="s">
        <v>47</v>
      </c>
      <c r="AB578" s="103" t="s">
        <v>140</v>
      </c>
      <c r="AC578" s="104" t="s">
        <v>141</v>
      </c>
    </row>
    <row r="579" spans="1:29" ht="25.5" customHeight="1" x14ac:dyDescent="0.35">
      <c r="A579" s="188"/>
      <c r="B579" s="190"/>
      <c r="C579" s="99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0"/>
      <c r="E579" s="78" t="str">
        <f>IF(C579="","",IFERROR(VLOOKUP(C579,parametros!$A$11:$E$15,5,0),""))</f>
        <v/>
      </c>
      <c r="F579" s="79" t="str">
        <f t="shared" si="47"/>
        <v/>
      </c>
      <c r="G579" s="101"/>
      <c r="H579" s="91">
        <f t="shared" si="48"/>
        <v>0</v>
      </c>
      <c r="I579" s="91" t="str">
        <f t="shared" si="49"/>
        <v/>
      </c>
      <c r="J579" s="91" t="str">
        <f t="shared" si="50"/>
        <v/>
      </c>
      <c r="K579" s="92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2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58"/>
      <c r="U579" s="217" t="str">
        <f t="shared" si="51"/>
        <v/>
      </c>
      <c r="V579" s="215" t="s">
        <v>47</v>
      </c>
      <c r="W579" s="102" t="s">
        <v>136</v>
      </c>
      <c r="X579" s="102" t="s">
        <v>137</v>
      </c>
      <c r="Y579" s="103" t="s">
        <v>138</v>
      </c>
      <c r="Z579" s="103" t="s">
        <v>139</v>
      </c>
      <c r="AA579" s="103" t="s">
        <v>47</v>
      </c>
      <c r="AB579" s="103" t="s">
        <v>140</v>
      </c>
      <c r="AC579" s="104" t="s">
        <v>141</v>
      </c>
    </row>
    <row r="580" spans="1:29" ht="25.5" customHeight="1" x14ac:dyDescent="0.35">
      <c r="A580" s="188"/>
      <c r="B580" s="190"/>
      <c r="C580" s="99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0"/>
      <c r="E580" s="78" t="str">
        <f>IF(C580="","",IFERROR(VLOOKUP(C580,parametros!$A$11:$E$15,5,0),""))</f>
        <v/>
      </c>
      <c r="F580" s="79" t="str">
        <f t="shared" si="47"/>
        <v/>
      </c>
      <c r="G580" s="101"/>
      <c r="H580" s="91">
        <f t="shared" si="48"/>
        <v>0</v>
      </c>
      <c r="I580" s="91" t="str">
        <f t="shared" si="49"/>
        <v/>
      </c>
      <c r="J580" s="91" t="str">
        <f t="shared" si="50"/>
        <v/>
      </c>
      <c r="K580" s="92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2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58"/>
      <c r="U580" s="217" t="str">
        <f t="shared" si="51"/>
        <v/>
      </c>
      <c r="V580" s="215" t="s">
        <v>47</v>
      </c>
      <c r="W580" s="102" t="s">
        <v>136</v>
      </c>
      <c r="X580" s="102" t="s">
        <v>137</v>
      </c>
      <c r="Y580" s="103" t="s">
        <v>138</v>
      </c>
      <c r="Z580" s="103" t="s">
        <v>139</v>
      </c>
      <c r="AA580" s="103" t="s">
        <v>47</v>
      </c>
      <c r="AB580" s="103" t="s">
        <v>140</v>
      </c>
      <c r="AC580" s="104" t="s">
        <v>141</v>
      </c>
    </row>
    <row r="581" spans="1:29" ht="25.5" customHeight="1" x14ac:dyDescent="0.35">
      <c r="A581" s="188"/>
      <c r="B581" s="190"/>
      <c r="C581" s="99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0"/>
      <c r="E581" s="78" t="str">
        <f>IF(C581="","",IFERROR(VLOOKUP(C581,parametros!$A$11:$E$15,5,0),""))</f>
        <v/>
      </c>
      <c r="F581" s="79" t="str">
        <f t="shared" si="47"/>
        <v/>
      </c>
      <c r="G581" s="101"/>
      <c r="H581" s="91">
        <f t="shared" si="48"/>
        <v>0</v>
      </c>
      <c r="I581" s="91" t="str">
        <f t="shared" si="49"/>
        <v/>
      </c>
      <c r="J581" s="91" t="str">
        <f t="shared" si="50"/>
        <v/>
      </c>
      <c r="K581" s="92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2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58"/>
      <c r="U581" s="217" t="str">
        <f t="shared" si="51"/>
        <v/>
      </c>
      <c r="V581" s="215" t="s">
        <v>47</v>
      </c>
      <c r="W581" s="102" t="s">
        <v>136</v>
      </c>
      <c r="X581" s="102" t="s">
        <v>137</v>
      </c>
      <c r="Y581" s="103" t="s">
        <v>138</v>
      </c>
      <c r="Z581" s="103" t="s">
        <v>139</v>
      </c>
      <c r="AA581" s="103" t="s">
        <v>47</v>
      </c>
      <c r="AB581" s="103" t="s">
        <v>140</v>
      </c>
      <c r="AC581" s="104" t="s">
        <v>141</v>
      </c>
    </row>
    <row r="582" spans="1:29" ht="25.5" customHeight="1" x14ac:dyDescent="0.35">
      <c r="A582" s="188"/>
      <c r="B582" s="190"/>
      <c r="C582" s="99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0"/>
      <c r="E582" s="78" t="str">
        <f>IF(C582="","",IFERROR(VLOOKUP(C582,parametros!$A$11:$E$15,5,0),""))</f>
        <v/>
      </c>
      <c r="F582" s="79" t="str">
        <f t="shared" si="47"/>
        <v/>
      </c>
      <c r="G582" s="101"/>
      <c r="H582" s="91">
        <f t="shared" si="48"/>
        <v>0</v>
      </c>
      <c r="I582" s="91" t="str">
        <f t="shared" si="49"/>
        <v/>
      </c>
      <c r="J582" s="91" t="str">
        <f t="shared" si="50"/>
        <v/>
      </c>
      <c r="K582" s="92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2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58"/>
      <c r="U582" s="217" t="str">
        <f t="shared" si="51"/>
        <v/>
      </c>
      <c r="V582" s="215" t="s">
        <v>47</v>
      </c>
      <c r="W582" s="102" t="s">
        <v>136</v>
      </c>
      <c r="X582" s="102" t="s">
        <v>137</v>
      </c>
      <c r="Y582" s="103" t="s">
        <v>138</v>
      </c>
      <c r="Z582" s="103" t="s">
        <v>139</v>
      </c>
      <c r="AA582" s="103" t="s">
        <v>47</v>
      </c>
      <c r="AB582" s="103" t="s">
        <v>140</v>
      </c>
      <c r="AC582" s="104" t="s">
        <v>141</v>
      </c>
    </row>
    <row r="583" spans="1:29" ht="25.5" customHeight="1" x14ac:dyDescent="0.35">
      <c r="A583" s="188"/>
      <c r="B583" s="190"/>
      <c r="C583" s="99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0"/>
      <c r="E583" s="78" t="str">
        <f>IF(C583="","",IFERROR(VLOOKUP(C583,parametros!$A$11:$E$15,5,0),""))</f>
        <v/>
      </c>
      <c r="F583" s="79" t="str">
        <f t="shared" si="47"/>
        <v/>
      </c>
      <c r="G583" s="101"/>
      <c r="H583" s="91">
        <f t="shared" si="48"/>
        <v>0</v>
      </c>
      <c r="I583" s="91" t="str">
        <f t="shared" si="49"/>
        <v/>
      </c>
      <c r="J583" s="91" t="str">
        <f t="shared" si="50"/>
        <v/>
      </c>
      <c r="K583" s="92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2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58"/>
      <c r="U583" s="217" t="str">
        <f t="shared" si="51"/>
        <v/>
      </c>
      <c r="V583" s="215" t="s">
        <v>47</v>
      </c>
      <c r="W583" s="102" t="s">
        <v>136</v>
      </c>
      <c r="X583" s="102" t="s">
        <v>137</v>
      </c>
      <c r="Y583" s="103" t="s">
        <v>138</v>
      </c>
      <c r="Z583" s="103" t="s">
        <v>139</v>
      </c>
      <c r="AA583" s="103" t="s">
        <v>47</v>
      </c>
      <c r="AB583" s="103" t="s">
        <v>140</v>
      </c>
      <c r="AC583" s="104" t="s">
        <v>141</v>
      </c>
    </row>
    <row r="584" spans="1:29" ht="25.5" customHeight="1" x14ac:dyDescent="0.35">
      <c r="A584" s="188"/>
      <c r="B584" s="190"/>
      <c r="C584" s="99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0"/>
      <c r="E584" s="78" t="str">
        <f>IF(C584="","",IFERROR(VLOOKUP(C584,parametros!$A$11:$E$15,5,0),""))</f>
        <v/>
      </c>
      <c r="F584" s="79" t="str">
        <f t="shared" si="47"/>
        <v/>
      </c>
      <c r="G584" s="101"/>
      <c r="H584" s="91">
        <f t="shared" si="48"/>
        <v>0</v>
      </c>
      <c r="I584" s="91" t="str">
        <f t="shared" si="49"/>
        <v/>
      </c>
      <c r="J584" s="91" t="str">
        <f t="shared" si="50"/>
        <v/>
      </c>
      <c r="K584" s="92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2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58"/>
      <c r="U584" s="217" t="str">
        <f t="shared" si="51"/>
        <v/>
      </c>
      <c r="V584" s="215" t="s">
        <v>47</v>
      </c>
      <c r="W584" s="102" t="s">
        <v>136</v>
      </c>
      <c r="X584" s="102" t="s">
        <v>137</v>
      </c>
      <c r="Y584" s="103" t="s">
        <v>138</v>
      </c>
      <c r="Z584" s="103" t="s">
        <v>139</v>
      </c>
      <c r="AA584" s="103" t="s">
        <v>47</v>
      </c>
      <c r="AB584" s="103" t="s">
        <v>140</v>
      </c>
      <c r="AC584" s="104" t="s">
        <v>141</v>
      </c>
    </row>
    <row r="585" spans="1:29" ht="25.5" customHeight="1" x14ac:dyDescent="0.35">
      <c r="A585" s="188"/>
      <c r="B585" s="190"/>
      <c r="C585" s="99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0"/>
      <c r="E585" s="78" t="str">
        <f>IF(C585="","",IFERROR(VLOOKUP(C585,parametros!$A$11:$E$15,5,0),""))</f>
        <v/>
      </c>
      <c r="F585" s="79" t="str">
        <f t="shared" si="47"/>
        <v/>
      </c>
      <c r="G585" s="101"/>
      <c r="H585" s="91">
        <f t="shared" si="48"/>
        <v>0</v>
      </c>
      <c r="I585" s="91" t="str">
        <f t="shared" si="49"/>
        <v/>
      </c>
      <c r="J585" s="91" t="str">
        <f t="shared" si="50"/>
        <v/>
      </c>
      <c r="K585" s="92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2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58"/>
      <c r="U585" s="217" t="str">
        <f t="shared" si="51"/>
        <v/>
      </c>
      <c r="V585" s="215" t="s">
        <v>47</v>
      </c>
      <c r="W585" s="102" t="s">
        <v>136</v>
      </c>
      <c r="X585" s="102" t="s">
        <v>137</v>
      </c>
      <c r="Y585" s="103" t="s">
        <v>138</v>
      </c>
      <c r="Z585" s="103" t="s">
        <v>139</v>
      </c>
      <c r="AA585" s="103" t="s">
        <v>47</v>
      </c>
      <c r="AB585" s="103" t="s">
        <v>140</v>
      </c>
      <c r="AC585" s="104" t="s">
        <v>141</v>
      </c>
    </row>
    <row r="586" spans="1:29" ht="25.5" customHeight="1" x14ac:dyDescent="0.35">
      <c r="A586" s="188"/>
      <c r="B586" s="190"/>
      <c r="C586" s="99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0"/>
      <c r="E586" s="78" t="str">
        <f>IF(C586="","",IFERROR(VLOOKUP(C586,parametros!$A$11:$E$15,5,0),""))</f>
        <v/>
      </c>
      <c r="F586" s="79" t="str">
        <f t="shared" si="47"/>
        <v/>
      </c>
      <c r="G586" s="101"/>
      <c r="H586" s="91">
        <f t="shared" si="48"/>
        <v>0</v>
      </c>
      <c r="I586" s="91" t="str">
        <f t="shared" si="49"/>
        <v/>
      </c>
      <c r="J586" s="91" t="str">
        <f t="shared" si="50"/>
        <v/>
      </c>
      <c r="K586" s="92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2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58"/>
      <c r="U586" s="217" t="str">
        <f t="shared" si="51"/>
        <v/>
      </c>
      <c r="V586" s="215" t="s">
        <v>47</v>
      </c>
      <c r="W586" s="102" t="s">
        <v>136</v>
      </c>
      <c r="X586" s="102" t="s">
        <v>137</v>
      </c>
      <c r="Y586" s="103" t="s">
        <v>138</v>
      </c>
      <c r="Z586" s="103" t="s">
        <v>139</v>
      </c>
      <c r="AA586" s="103" t="s">
        <v>47</v>
      </c>
      <c r="AB586" s="103" t="s">
        <v>140</v>
      </c>
      <c r="AC586" s="104" t="s">
        <v>141</v>
      </c>
    </row>
    <row r="587" spans="1:29" ht="25.5" customHeight="1" x14ac:dyDescent="0.35">
      <c r="A587" s="188"/>
      <c r="B587" s="190"/>
      <c r="C587" s="99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0"/>
      <c r="E587" s="78" t="str">
        <f>IF(C587="","",IFERROR(VLOOKUP(C587,parametros!$A$11:$E$15,5,0),""))</f>
        <v/>
      </c>
      <c r="F587" s="79" t="str">
        <f t="shared" si="47"/>
        <v/>
      </c>
      <c r="G587" s="101"/>
      <c r="H587" s="91">
        <f t="shared" si="48"/>
        <v>0</v>
      </c>
      <c r="I587" s="91" t="str">
        <f t="shared" si="49"/>
        <v/>
      </c>
      <c r="J587" s="91" t="str">
        <f t="shared" si="50"/>
        <v/>
      </c>
      <c r="K587" s="92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2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58"/>
      <c r="U587" s="217" t="str">
        <f t="shared" si="51"/>
        <v/>
      </c>
      <c r="V587" s="215" t="s">
        <v>47</v>
      </c>
      <c r="W587" s="102" t="s">
        <v>136</v>
      </c>
      <c r="X587" s="102" t="s">
        <v>137</v>
      </c>
      <c r="Y587" s="103" t="s">
        <v>138</v>
      </c>
      <c r="Z587" s="103" t="s">
        <v>139</v>
      </c>
      <c r="AA587" s="103" t="s">
        <v>47</v>
      </c>
      <c r="AB587" s="103" t="s">
        <v>140</v>
      </c>
      <c r="AC587" s="104" t="s">
        <v>141</v>
      </c>
    </row>
    <row r="588" spans="1:29" ht="25.5" customHeight="1" x14ac:dyDescent="0.35">
      <c r="A588" s="188"/>
      <c r="B588" s="190"/>
      <c r="C588" s="99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0"/>
      <c r="E588" s="78" t="str">
        <f>IF(C588="","",IFERROR(VLOOKUP(C588,parametros!$A$11:$E$15,5,0),""))</f>
        <v/>
      </c>
      <c r="F588" s="79" t="str">
        <f t="shared" si="47"/>
        <v/>
      </c>
      <c r="G588" s="101"/>
      <c r="H588" s="91">
        <f t="shared" si="48"/>
        <v>0</v>
      </c>
      <c r="I588" s="91" t="str">
        <f t="shared" si="49"/>
        <v/>
      </c>
      <c r="J588" s="91" t="str">
        <f t="shared" si="50"/>
        <v/>
      </c>
      <c r="K588" s="92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2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58"/>
      <c r="U588" s="217" t="str">
        <f t="shared" si="51"/>
        <v/>
      </c>
      <c r="V588" s="215" t="s">
        <v>47</v>
      </c>
      <c r="W588" s="102" t="s">
        <v>136</v>
      </c>
      <c r="X588" s="102" t="s">
        <v>137</v>
      </c>
      <c r="Y588" s="103" t="s">
        <v>138</v>
      </c>
      <c r="Z588" s="103" t="s">
        <v>139</v>
      </c>
      <c r="AA588" s="103" t="s">
        <v>47</v>
      </c>
      <c r="AB588" s="103" t="s">
        <v>140</v>
      </c>
      <c r="AC588" s="104" t="s">
        <v>141</v>
      </c>
    </row>
    <row r="589" spans="1:29" ht="25.5" customHeight="1" x14ac:dyDescent="0.35">
      <c r="A589" s="188"/>
      <c r="B589" s="190"/>
      <c r="C589" s="99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0"/>
      <c r="E589" s="78" t="str">
        <f>IF(C589="","",IFERROR(VLOOKUP(C589,parametros!$A$11:$E$15,5,0),""))</f>
        <v/>
      </c>
      <c r="F589" s="79" t="str">
        <f t="shared" si="47"/>
        <v/>
      </c>
      <c r="G589" s="101"/>
      <c r="H589" s="91">
        <f t="shared" si="48"/>
        <v>0</v>
      </c>
      <c r="I589" s="91" t="str">
        <f t="shared" si="49"/>
        <v/>
      </c>
      <c r="J589" s="91" t="str">
        <f t="shared" si="50"/>
        <v/>
      </c>
      <c r="K589" s="92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2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58"/>
      <c r="U589" s="217" t="str">
        <f t="shared" si="51"/>
        <v/>
      </c>
      <c r="V589" s="215" t="s">
        <v>47</v>
      </c>
      <c r="W589" s="102" t="s">
        <v>136</v>
      </c>
      <c r="X589" s="102" t="s">
        <v>137</v>
      </c>
      <c r="Y589" s="103" t="s">
        <v>138</v>
      </c>
      <c r="Z589" s="103" t="s">
        <v>139</v>
      </c>
      <c r="AA589" s="103" t="s">
        <v>47</v>
      </c>
      <c r="AB589" s="103" t="s">
        <v>140</v>
      </c>
      <c r="AC589" s="104" t="s">
        <v>141</v>
      </c>
    </row>
    <row r="590" spans="1:29" ht="25.5" customHeight="1" x14ac:dyDescent="0.35">
      <c r="A590" s="188"/>
      <c r="B590" s="190"/>
      <c r="C590" s="99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0"/>
      <c r="E590" s="78" t="str">
        <f>IF(C590="","",IFERROR(VLOOKUP(C590,parametros!$A$11:$E$15,5,0),""))</f>
        <v/>
      </c>
      <c r="F590" s="79" t="str">
        <f t="shared" si="47"/>
        <v/>
      </c>
      <c r="G590" s="101"/>
      <c r="H590" s="91">
        <f t="shared" si="48"/>
        <v>0</v>
      </c>
      <c r="I590" s="91" t="str">
        <f t="shared" si="49"/>
        <v/>
      </c>
      <c r="J590" s="91" t="str">
        <f t="shared" si="50"/>
        <v/>
      </c>
      <c r="K590" s="92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2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58"/>
      <c r="U590" s="217" t="str">
        <f t="shared" si="51"/>
        <v/>
      </c>
      <c r="V590" s="215" t="s">
        <v>47</v>
      </c>
      <c r="W590" s="102" t="s">
        <v>136</v>
      </c>
      <c r="X590" s="102" t="s">
        <v>137</v>
      </c>
      <c r="Y590" s="103" t="s">
        <v>138</v>
      </c>
      <c r="Z590" s="103" t="s">
        <v>139</v>
      </c>
      <c r="AA590" s="103" t="s">
        <v>47</v>
      </c>
      <c r="AB590" s="103" t="s">
        <v>140</v>
      </c>
      <c r="AC590" s="104" t="s">
        <v>141</v>
      </c>
    </row>
    <row r="591" spans="1:29" ht="25.5" customHeight="1" x14ac:dyDescent="0.35">
      <c r="A591" s="188"/>
      <c r="B591" s="190"/>
      <c r="C591" s="99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0"/>
      <c r="E591" s="78" t="str">
        <f>IF(C591="","",IFERROR(VLOOKUP(C591,parametros!$A$11:$E$15,5,0),""))</f>
        <v/>
      </c>
      <c r="F591" s="79" t="str">
        <f t="shared" si="47"/>
        <v/>
      </c>
      <c r="G591" s="101"/>
      <c r="H591" s="91">
        <f t="shared" si="48"/>
        <v>0</v>
      </c>
      <c r="I591" s="91" t="str">
        <f t="shared" si="49"/>
        <v/>
      </c>
      <c r="J591" s="91" t="str">
        <f t="shared" si="50"/>
        <v/>
      </c>
      <c r="K591" s="92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2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58"/>
      <c r="U591" s="217" t="str">
        <f t="shared" si="51"/>
        <v/>
      </c>
      <c r="V591" s="215" t="s">
        <v>47</v>
      </c>
      <c r="W591" s="102" t="s">
        <v>136</v>
      </c>
      <c r="X591" s="102" t="s">
        <v>137</v>
      </c>
      <c r="Y591" s="103" t="s">
        <v>138</v>
      </c>
      <c r="Z591" s="103" t="s">
        <v>139</v>
      </c>
      <c r="AA591" s="103" t="s">
        <v>47</v>
      </c>
      <c r="AB591" s="103" t="s">
        <v>140</v>
      </c>
      <c r="AC591" s="104" t="s">
        <v>141</v>
      </c>
    </row>
    <row r="592" spans="1:29" ht="25.5" customHeight="1" x14ac:dyDescent="0.35">
      <c r="A592" s="188"/>
      <c r="B592" s="190"/>
      <c r="C592" s="99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0"/>
      <c r="E592" s="78" t="str">
        <f>IF(C592="","",IFERROR(VLOOKUP(C592,parametros!$A$11:$E$15,5,0),""))</f>
        <v/>
      </c>
      <c r="F592" s="79" t="str">
        <f t="shared" si="47"/>
        <v/>
      </c>
      <c r="G592" s="101"/>
      <c r="H592" s="91">
        <f t="shared" si="48"/>
        <v>0</v>
      </c>
      <c r="I592" s="91" t="str">
        <f t="shared" si="49"/>
        <v/>
      </c>
      <c r="J592" s="91" t="str">
        <f t="shared" si="50"/>
        <v/>
      </c>
      <c r="K592" s="92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2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58"/>
      <c r="U592" s="217" t="str">
        <f t="shared" si="51"/>
        <v/>
      </c>
      <c r="V592" s="215" t="s">
        <v>47</v>
      </c>
      <c r="W592" s="102" t="s">
        <v>136</v>
      </c>
      <c r="X592" s="102" t="s">
        <v>137</v>
      </c>
      <c r="Y592" s="103" t="s">
        <v>138</v>
      </c>
      <c r="Z592" s="103" t="s">
        <v>139</v>
      </c>
      <c r="AA592" s="103" t="s">
        <v>47</v>
      </c>
      <c r="AB592" s="103" t="s">
        <v>140</v>
      </c>
      <c r="AC592" s="104" t="s">
        <v>141</v>
      </c>
    </row>
    <row r="593" spans="1:29" ht="25.5" customHeight="1" x14ac:dyDescent="0.35">
      <c r="A593" s="188"/>
      <c r="B593" s="190"/>
      <c r="C593" s="99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0"/>
      <c r="E593" s="78" t="str">
        <f>IF(C593="","",IFERROR(VLOOKUP(C593,parametros!$A$11:$E$15,5,0),""))</f>
        <v/>
      </c>
      <c r="F593" s="79" t="str">
        <f t="shared" si="47"/>
        <v/>
      </c>
      <c r="G593" s="101"/>
      <c r="H593" s="91">
        <f t="shared" si="48"/>
        <v>0</v>
      </c>
      <c r="I593" s="91" t="str">
        <f t="shared" si="49"/>
        <v/>
      </c>
      <c r="J593" s="91" t="str">
        <f t="shared" si="50"/>
        <v/>
      </c>
      <c r="K593" s="92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2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58"/>
      <c r="U593" s="217" t="str">
        <f t="shared" si="51"/>
        <v/>
      </c>
      <c r="V593" s="215" t="s">
        <v>47</v>
      </c>
      <c r="W593" s="102" t="s">
        <v>136</v>
      </c>
      <c r="X593" s="102" t="s">
        <v>137</v>
      </c>
      <c r="Y593" s="103" t="s">
        <v>138</v>
      </c>
      <c r="Z593" s="103" t="s">
        <v>139</v>
      </c>
      <c r="AA593" s="103" t="s">
        <v>47</v>
      </c>
      <c r="AB593" s="103" t="s">
        <v>140</v>
      </c>
      <c r="AC593" s="104" t="s">
        <v>141</v>
      </c>
    </row>
    <row r="594" spans="1:29" ht="25.5" customHeight="1" x14ac:dyDescent="0.35">
      <c r="A594" s="188"/>
      <c r="B594" s="190"/>
      <c r="C594" s="99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0"/>
      <c r="E594" s="78" t="str">
        <f>IF(C594="","",IFERROR(VLOOKUP(C594,parametros!$A$11:$E$15,5,0),""))</f>
        <v/>
      </c>
      <c r="F594" s="79" t="str">
        <f t="shared" si="47"/>
        <v/>
      </c>
      <c r="G594" s="101"/>
      <c r="H594" s="91">
        <f t="shared" si="48"/>
        <v>0</v>
      </c>
      <c r="I594" s="91" t="str">
        <f t="shared" si="49"/>
        <v/>
      </c>
      <c r="J594" s="91" t="str">
        <f t="shared" si="50"/>
        <v/>
      </c>
      <c r="K594" s="92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2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58"/>
      <c r="U594" s="217" t="str">
        <f t="shared" si="51"/>
        <v/>
      </c>
      <c r="V594" s="215" t="s">
        <v>47</v>
      </c>
      <c r="W594" s="102" t="s">
        <v>136</v>
      </c>
      <c r="X594" s="102" t="s">
        <v>137</v>
      </c>
      <c r="Y594" s="103" t="s">
        <v>138</v>
      </c>
      <c r="Z594" s="103" t="s">
        <v>139</v>
      </c>
      <c r="AA594" s="103" t="s">
        <v>47</v>
      </c>
      <c r="AB594" s="103" t="s">
        <v>140</v>
      </c>
      <c r="AC594" s="104" t="s">
        <v>141</v>
      </c>
    </row>
    <row r="595" spans="1:29" ht="25.5" customHeight="1" x14ac:dyDescent="0.35">
      <c r="A595" s="188"/>
      <c r="B595" s="190"/>
      <c r="C595" s="99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0"/>
      <c r="E595" s="78" t="str">
        <f>IF(C595="","",IFERROR(VLOOKUP(C595,parametros!$A$11:$E$15,5,0),""))</f>
        <v/>
      </c>
      <c r="F595" s="79" t="str">
        <f t="shared" si="47"/>
        <v/>
      </c>
      <c r="G595" s="101"/>
      <c r="H595" s="91">
        <f t="shared" si="48"/>
        <v>0</v>
      </c>
      <c r="I595" s="91" t="str">
        <f t="shared" si="49"/>
        <v/>
      </c>
      <c r="J595" s="91" t="str">
        <f t="shared" si="50"/>
        <v/>
      </c>
      <c r="K595" s="92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2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58"/>
      <c r="U595" s="217" t="str">
        <f t="shared" si="51"/>
        <v/>
      </c>
      <c r="V595" s="215" t="s">
        <v>47</v>
      </c>
      <c r="W595" s="102" t="s">
        <v>136</v>
      </c>
      <c r="X595" s="102" t="s">
        <v>137</v>
      </c>
      <c r="Y595" s="103" t="s">
        <v>138</v>
      </c>
      <c r="Z595" s="103" t="s">
        <v>139</v>
      </c>
      <c r="AA595" s="103" t="s">
        <v>47</v>
      </c>
      <c r="AB595" s="103" t="s">
        <v>140</v>
      </c>
      <c r="AC595" s="104" t="s">
        <v>141</v>
      </c>
    </row>
    <row r="596" spans="1:29" ht="25.5" customHeight="1" x14ac:dyDescent="0.35">
      <c r="A596" s="188"/>
      <c r="B596" s="190"/>
      <c r="C596" s="99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0"/>
      <c r="E596" s="78" t="str">
        <f>IF(C596="","",IFERROR(VLOOKUP(C596,parametros!$A$11:$E$15,5,0),""))</f>
        <v/>
      </c>
      <c r="F596" s="79" t="str">
        <f t="shared" si="47"/>
        <v/>
      </c>
      <c r="G596" s="101"/>
      <c r="H596" s="91">
        <f t="shared" si="48"/>
        <v>0</v>
      </c>
      <c r="I596" s="91" t="str">
        <f t="shared" si="49"/>
        <v/>
      </c>
      <c r="J596" s="91" t="str">
        <f t="shared" si="50"/>
        <v/>
      </c>
      <c r="K596" s="92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2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58"/>
      <c r="U596" s="217" t="str">
        <f t="shared" si="51"/>
        <v/>
      </c>
      <c r="V596" s="215" t="s">
        <v>47</v>
      </c>
      <c r="W596" s="102" t="s">
        <v>136</v>
      </c>
      <c r="X596" s="102" t="s">
        <v>137</v>
      </c>
      <c r="Y596" s="103" t="s">
        <v>138</v>
      </c>
      <c r="Z596" s="103" t="s">
        <v>139</v>
      </c>
      <c r="AA596" s="103" t="s">
        <v>47</v>
      </c>
      <c r="AB596" s="103" t="s">
        <v>140</v>
      </c>
      <c r="AC596" s="104" t="s">
        <v>141</v>
      </c>
    </row>
    <row r="597" spans="1:29" ht="25.5" customHeight="1" x14ac:dyDescent="0.35">
      <c r="A597" s="188"/>
      <c r="B597" s="190"/>
      <c r="C597" s="99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0"/>
      <c r="E597" s="78" t="str">
        <f>IF(C597="","",IFERROR(VLOOKUP(C597,parametros!$A$11:$E$15,5,0),""))</f>
        <v/>
      </c>
      <c r="F597" s="79" t="str">
        <f t="shared" si="47"/>
        <v/>
      </c>
      <c r="G597" s="101"/>
      <c r="H597" s="91">
        <f t="shared" si="48"/>
        <v>0</v>
      </c>
      <c r="I597" s="91" t="str">
        <f t="shared" si="49"/>
        <v/>
      </c>
      <c r="J597" s="91" t="str">
        <f t="shared" si="50"/>
        <v/>
      </c>
      <c r="K597" s="92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2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58"/>
      <c r="U597" s="217" t="str">
        <f t="shared" si="51"/>
        <v/>
      </c>
      <c r="V597" s="215" t="s">
        <v>47</v>
      </c>
      <c r="W597" s="102" t="s">
        <v>136</v>
      </c>
      <c r="X597" s="102" t="s">
        <v>137</v>
      </c>
      <c r="Y597" s="103" t="s">
        <v>138</v>
      </c>
      <c r="Z597" s="103" t="s">
        <v>139</v>
      </c>
      <c r="AA597" s="103" t="s">
        <v>47</v>
      </c>
      <c r="AB597" s="103" t="s">
        <v>140</v>
      </c>
      <c r="AC597" s="104" t="s">
        <v>141</v>
      </c>
    </row>
    <row r="598" spans="1:29" ht="25.5" customHeight="1" x14ac:dyDescent="0.35">
      <c r="A598" s="188"/>
      <c r="B598" s="190"/>
      <c r="C598" s="99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0"/>
      <c r="E598" s="78" t="str">
        <f>IF(C598="","",IFERROR(VLOOKUP(C598,parametros!$A$11:$E$15,5,0),""))</f>
        <v/>
      </c>
      <c r="F598" s="79" t="str">
        <f t="shared" si="47"/>
        <v/>
      </c>
      <c r="G598" s="101"/>
      <c r="H598" s="91">
        <f t="shared" si="48"/>
        <v>0</v>
      </c>
      <c r="I598" s="91" t="str">
        <f t="shared" si="49"/>
        <v/>
      </c>
      <c r="J598" s="91" t="str">
        <f t="shared" si="50"/>
        <v/>
      </c>
      <c r="K598" s="92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2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58"/>
      <c r="U598" s="217" t="str">
        <f t="shared" si="51"/>
        <v/>
      </c>
      <c r="V598" s="215" t="s">
        <v>47</v>
      </c>
      <c r="W598" s="102" t="s">
        <v>136</v>
      </c>
      <c r="X598" s="102" t="s">
        <v>137</v>
      </c>
      <c r="Y598" s="103" t="s">
        <v>138</v>
      </c>
      <c r="Z598" s="103" t="s">
        <v>139</v>
      </c>
      <c r="AA598" s="103" t="s">
        <v>47</v>
      </c>
      <c r="AB598" s="103" t="s">
        <v>140</v>
      </c>
      <c r="AC598" s="104" t="s">
        <v>141</v>
      </c>
    </row>
    <row r="599" spans="1:29" ht="25.5" customHeight="1" x14ac:dyDescent="0.35">
      <c r="A599" s="188"/>
      <c r="B599" s="190"/>
      <c r="C599" s="99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0"/>
      <c r="E599" s="78" t="str">
        <f>IF(C599="","",IFERROR(VLOOKUP(C599,parametros!$A$11:$E$15,5,0),""))</f>
        <v/>
      </c>
      <c r="F599" s="79" t="str">
        <f t="shared" si="47"/>
        <v/>
      </c>
      <c r="G599" s="101"/>
      <c r="H599" s="91">
        <f t="shared" si="48"/>
        <v>0</v>
      </c>
      <c r="I599" s="91" t="str">
        <f t="shared" si="49"/>
        <v/>
      </c>
      <c r="J599" s="91" t="str">
        <f t="shared" si="50"/>
        <v/>
      </c>
      <c r="K599" s="92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2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58"/>
      <c r="U599" s="217" t="str">
        <f t="shared" si="51"/>
        <v/>
      </c>
      <c r="V599" s="215" t="s">
        <v>47</v>
      </c>
      <c r="W599" s="102" t="s">
        <v>136</v>
      </c>
      <c r="X599" s="102" t="s">
        <v>137</v>
      </c>
      <c r="Y599" s="103" t="s">
        <v>138</v>
      </c>
      <c r="Z599" s="103" t="s">
        <v>139</v>
      </c>
      <c r="AA599" s="103" t="s">
        <v>47</v>
      </c>
      <c r="AB599" s="103" t="s">
        <v>140</v>
      </c>
      <c r="AC599" s="104" t="s">
        <v>141</v>
      </c>
    </row>
    <row r="600" spans="1:29" ht="25.5" customHeight="1" x14ac:dyDescent="0.35">
      <c r="A600" s="188"/>
      <c r="B600" s="190"/>
      <c r="C600" s="99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0"/>
      <c r="E600" s="78" t="str">
        <f>IF(C600="","",IFERROR(VLOOKUP(C600,parametros!$A$11:$E$15,5,0),""))</f>
        <v/>
      </c>
      <c r="F600" s="79" t="str">
        <f t="shared" si="47"/>
        <v/>
      </c>
      <c r="G600" s="101"/>
      <c r="H600" s="91">
        <f t="shared" si="48"/>
        <v>0</v>
      </c>
      <c r="I600" s="91" t="str">
        <f t="shared" si="49"/>
        <v/>
      </c>
      <c r="J600" s="91" t="str">
        <f t="shared" si="50"/>
        <v/>
      </c>
      <c r="K600" s="92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2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58"/>
      <c r="U600" s="217" t="str">
        <f t="shared" si="51"/>
        <v/>
      </c>
      <c r="V600" s="215" t="s">
        <v>47</v>
      </c>
      <c r="W600" s="102" t="s">
        <v>136</v>
      </c>
      <c r="X600" s="102" t="s">
        <v>137</v>
      </c>
      <c r="Y600" s="103" t="s">
        <v>138</v>
      </c>
      <c r="Z600" s="103" t="s">
        <v>139</v>
      </c>
      <c r="AA600" s="103" t="s">
        <v>47</v>
      </c>
      <c r="AB600" s="103" t="s">
        <v>140</v>
      </c>
      <c r="AC600" s="104" t="s">
        <v>141</v>
      </c>
    </row>
    <row r="601" spans="1:29" ht="25.5" customHeight="1" x14ac:dyDescent="0.35">
      <c r="A601" s="188"/>
      <c r="B601" s="190"/>
      <c r="C601" s="99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0"/>
      <c r="E601" s="78" t="str">
        <f>IF(C601="","",IFERROR(VLOOKUP(C601,parametros!$A$11:$E$15,5,0),""))</f>
        <v/>
      </c>
      <c r="F601" s="79" t="str">
        <f t="shared" si="47"/>
        <v/>
      </c>
      <c r="G601" s="101"/>
      <c r="H601" s="91">
        <f t="shared" si="48"/>
        <v>0</v>
      </c>
      <c r="I601" s="91" t="str">
        <f t="shared" si="49"/>
        <v/>
      </c>
      <c r="J601" s="91" t="str">
        <f t="shared" si="50"/>
        <v/>
      </c>
      <c r="K601" s="92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2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58"/>
      <c r="U601" s="217" t="str">
        <f t="shared" si="51"/>
        <v/>
      </c>
      <c r="V601" s="215" t="s">
        <v>47</v>
      </c>
      <c r="W601" s="102" t="s">
        <v>136</v>
      </c>
      <c r="X601" s="102" t="s">
        <v>137</v>
      </c>
      <c r="Y601" s="103" t="s">
        <v>138</v>
      </c>
      <c r="Z601" s="103" t="s">
        <v>139</v>
      </c>
      <c r="AA601" s="103" t="s">
        <v>47</v>
      </c>
      <c r="AB601" s="103" t="s">
        <v>140</v>
      </c>
      <c r="AC601" s="104" t="s">
        <v>141</v>
      </c>
    </row>
    <row r="602" spans="1:29" ht="25.5" customHeight="1" x14ac:dyDescent="0.35">
      <c r="A602" s="188"/>
      <c r="B602" s="190"/>
      <c r="C602" s="99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0"/>
      <c r="E602" s="78" t="str">
        <f>IF(C602="","",IFERROR(VLOOKUP(C602,parametros!$A$11:$E$15,5,0),""))</f>
        <v/>
      </c>
      <c r="F602" s="79" t="str">
        <f t="shared" si="47"/>
        <v/>
      </c>
      <c r="G602" s="101"/>
      <c r="H602" s="91">
        <f t="shared" si="48"/>
        <v>0</v>
      </c>
      <c r="I602" s="91" t="str">
        <f t="shared" si="49"/>
        <v/>
      </c>
      <c r="J602" s="91" t="str">
        <f t="shared" si="50"/>
        <v/>
      </c>
      <c r="K602" s="92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2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58"/>
      <c r="U602" s="217" t="str">
        <f t="shared" si="51"/>
        <v/>
      </c>
      <c r="V602" s="215" t="s">
        <v>47</v>
      </c>
      <c r="W602" s="102" t="s">
        <v>136</v>
      </c>
      <c r="X602" s="102" t="s">
        <v>137</v>
      </c>
      <c r="Y602" s="103" t="s">
        <v>138</v>
      </c>
      <c r="Z602" s="103" t="s">
        <v>139</v>
      </c>
      <c r="AA602" s="103" t="s">
        <v>47</v>
      </c>
      <c r="AB602" s="103" t="s">
        <v>140</v>
      </c>
      <c r="AC602" s="104" t="s">
        <v>141</v>
      </c>
    </row>
    <row r="603" spans="1:29" ht="25.5" customHeight="1" x14ac:dyDescent="0.35">
      <c r="A603" s="188"/>
      <c r="B603" s="190"/>
      <c r="C603" s="99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0"/>
      <c r="E603" s="78" t="str">
        <f>IF(C603="","",IFERROR(VLOOKUP(C603,parametros!$A$11:$E$15,5,0),""))</f>
        <v/>
      </c>
      <c r="F603" s="79" t="str">
        <f t="shared" si="47"/>
        <v/>
      </c>
      <c r="G603" s="101"/>
      <c r="H603" s="91">
        <f t="shared" si="48"/>
        <v>0</v>
      </c>
      <c r="I603" s="91" t="str">
        <f t="shared" si="49"/>
        <v/>
      </c>
      <c r="J603" s="91" t="str">
        <f t="shared" si="50"/>
        <v/>
      </c>
      <c r="K603" s="92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2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58"/>
      <c r="U603" s="217" t="str">
        <f t="shared" si="51"/>
        <v/>
      </c>
      <c r="V603" s="215" t="s">
        <v>47</v>
      </c>
      <c r="W603" s="102" t="s">
        <v>136</v>
      </c>
      <c r="X603" s="102" t="s">
        <v>137</v>
      </c>
      <c r="Y603" s="103" t="s">
        <v>138</v>
      </c>
      <c r="Z603" s="103" t="s">
        <v>139</v>
      </c>
      <c r="AA603" s="103" t="s">
        <v>47</v>
      </c>
      <c r="AB603" s="103" t="s">
        <v>140</v>
      </c>
      <c r="AC603" s="104" t="s">
        <v>141</v>
      </c>
    </row>
    <row r="604" spans="1:29" ht="25.5" customHeight="1" x14ac:dyDescent="0.35">
      <c r="A604" s="188"/>
      <c r="B604" s="190"/>
      <c r="C604" s="99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0"/>
      <c r="E604" s="78" t="str">
        <f>IF(C604="","",IFERROR(VLOOKUP(C604,parametros!$A$11:$E$15,5,0),""))</f>
        <v/>
      </c>
      <c r="F604" s="79" t="str">
        <f t="shared" si="47"/>
        <v/>
      </c>
      <c r="G604" s="101"/>
      <c r="H604" s="91">
        <f t="shared" si="48"/>
        <v>0</v>
      </c>
      <c r="I604" s="91" t="str">
        <f t="shared" si="49"/>
        <v/>
      </c>
      <c r="J604" s="91" t="str">
        <f t="shared" si="50"/>
        <v/>
      </c>
      <c r="K604" s="92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2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58"/>
      <c r="U604" s="217" t="str">
        <f t="shared" si="51"/>
        <v/>
      </c>
      <c r="V604" s="215" t="s">
        <v>47</v>
      </c>
      <c r="W604" s="102" t="s">
        <v>136</v>
      </c>
      <c r="X604" s="102" t="s">
        <v>137</v>
      </c>
      <c r="Y604" s="103" t="s">
        <v>138</v>
      </c>
      <c r="Z604" s="103" t="s">
        <v>139</v>
      </c>
      <c r="AA604" s="103" t="s">
        <v>47</v>
      </c>
      <c r="AB604" s="103" t="s">
        <v>140</v>
      </c>
      <c r="AC604" s="104" t="s">
        <v>141</v>
      </c>
    </row>
    <row r="605" spans="1:29" ht="25.5" customHeight="1" x14ac:dyDescent="0.35">
      <c r="A605" s="188"/>
      <c r="B605" s="190"/>
      <c r="C605" s="99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0"/>
      <c r="E605" s="78" t="str">
        <f>IF(C605="","",IFERROR(VLOOKUP(C605,parametros!$A$11:$E$15,5,0),""))</f>
        <v/>
      </c>
      <c r="F605" s="79" t="str">
        <f t="shared" si="47"/>
        <v/>
      </c>
      <c r="G605" s="101"/>
      <c r="H605" s="91">
        <f t="shared" si="48"/>
        <v>0</v>
      </c>
      <c r="I605" s="91" t="str">
        <f t="shared" si="49"/>
        <v/>
      </c>
      <c r="J605" s="91" t="str">
        <f t="shared" si="50"/>
        <v/>
      </c>
      <c r="K605" s="92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2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58"/>
      <c r="U605" s="217" t="str">
        <f t="shared" si="51"/>
        <v/>
      </c>
      <c r="V605" s="215" t="s">
        <v>47</v>
      </c>
      <c r="W605" s="102" t="s">
        <v>136</v>
      </c>
      <c r="X605" s="102" t="s">
        <v>137</v>
      </c>
      <c r="Y605" s="103" t="s">
        <v>138</v>
      </c>
      <c r="Z605" s="103" t="s">
        <v>139</v>
      </c>
      <c r="AA605" s="103" t="s">
        <v>47</v>
      </c>
      <c r="AB605" s="103" t="s">
        <v>140</v>
      </c>
      <c r="AC605" s="104" t="s">
        <v>141</v>
      </c>
    </row>
    <row r="606" spans="1:29" ht="25.5" customHeight="1" x14ac:dyDescent="0.35">
      <c r="A606" s="188"/>
      <c r="B606" s="190"/>
      <c r="C606" s="99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0"/>
      <c r="E606" s="78" t="str">
        <f>IF(C606="","",IFERROR(VLOOKUP(C606,parametros!$A$11:$E$15,5,0),""))</f>
        <v/>
      </c>
      <c r="F606" s="79" t="str">
        <f t="shared" si="47"/>
        <v/>
      </c>
      <c r="G606" s="101"/>
      <c r="H606" s="91">
        <f t="shared" si="48"/>
        <v>0</v>
      </c>
      <c r="I606" s="91" t="str">
        <f t="shared" si="49"/>
        <v/>
      </c>
      <c r="J606" s="91" t="str">
        <f t="shared" si="50"/>
        <v/>
      </c>
      <c r="K606" s="92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2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58"/>
      <c r="U606" s="217" t="str">
        <f t="shared" si="51"/>
        <v/>
      </c>
      <c r="V606" s="215" t="s">
        <v>47</v>
      </c>
      <c r="W606" s="102" t="s">
        <v>136</v>
      </c>
      <c r="X606" s="102" t="s">
        <v>137</v>
      </c>
      <c r="Y606" s="103" t="s">
        <v>138</v>
      </c>
      <c r="Z606" s="103" t="s">
        <v>139</v>
      </c>
      <c r="AA606" s="103" t="s">
        <v>47</v>
      </c>
      <c r="AB606" s="103" t="s">
        <v>140</v>
      </c>
      <c r="AC606" s="104" t="s">
        <v>141</v>
      </c>
    </row>
    <row r="607" spans="1:29" ht="25.5" customHeight="1" x14ac:dyDescent="0.35">
      <c r="A607" s="188"/>
      <c r="B607" s="190"/>
      <c r="C607" s="99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0"/>
      <c r="E607" s="78" t="str">
        <f>IF(C607="","",IFERROR(VLOOKUP(C607,parametros!$A$11:$E$15,5,0),""))</f>
        <v/>
      </c>
      <c r="F607" s="79" t="str">
        <f t="shared" si="47"/>
        <v/>
      </c>
      <c r="G607" s="101"/>
      <c r="H607" s="91">
        <f t="shared" si="48"/>
        <v>0</v>
      </c>
      <c r="I607" s="91" t="str">
        <f t="shared" si="49"/>
        <v/>
      </c>
      <c r="J607" s="91" t="str">
        <f t="shared" si="50"/>
        <v/>
      </c>
      <c r="K607" s="92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2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58"/>
      <c r="U607" s="217" t="str">
        <f t="shared" si="51"/>
        <v/>
      </c>
      <c r="V607" s="215" t="s">
        <v>47</v>
      </c>
      <c r="W607" s="102" t="s">
        <v>136</v>
      </c>
      <c r="X607" s="102" t="s">
        <v>137</v>
      </c>
      <c r="Y607" s="103" t="s">
        <v>138</v>
      </c>
      <c r="Z607" s="103" t="s">
        <v>139</v>
      </c>
      <c r="AA607" s="103" t="s">
        <v>47</v>
      </c>
      <c r="AB607" s="103" t="s">
        <v>140</v>
      </c>
      <c r="AC607" s="104" t="s">
        <v>141</v>
      </c>
    </row>
    <row r="608" spans="1:29" ht="25.5" customHeight="1" x14ac:dyDescent="0.35">
      <c r="A608" s="188"/>
      <c r="B608" s="190"/>
      <c r="C608" s="99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0"/>
      <c r="E608" s="78" t="str">
        <f>IF(C608="","",IFERROR(VLOOKUP(C608,parametros!$A$11:$E$15,5,0),""))</f>
        <v/>
      </c>
      <c r="F608" s="79" t="str">
        <f t="shared" si="47"/>
        <v/>
      </c>
      <c r="G608" s="101"/>
      <c r="H608" s="91">
        <f t="shared" si="48"/>
        <v>0</v>
      </c>
      <c r="I608" s="91" t="str">
        <f t="shared" si="49"/>
        <v/>
      </c>
      <c r="J608" s="91" t="str">
        <f t="shared" si="50"/>
        <v/>
      </c>
      <c r="K608" s="92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2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58"/>
      <c r="U608" s="217" t="str">
        <f t="shared" si="51"/>
        <v/>
      </c>
      <c r="V608" s="215" t="s">
        <v>47</v>
      </c>
      <c r="W608" s="102" t="s">
        <v>136</v>
      </c>
      <c r="X608" s="102" t="s">
        <v>137</v>
      </c>
      <c r="Y608" s="103" t="s">
        <v>138</v>
      </c>
      <c r="Z608" s="103" t="s">
        <v>139</v>
      </c>
      <c r="AA608" s="103" t="s">
        <v>47</v>
      </c>
      <c r="AB608" s="103" t="s">
        <v>140</v>
      </c>
      <c r="AC608" s="104" t="s">
        <v>141</v>
      </c>
    </row>
    <row r="609" spans="1:29" ht="25.5" customHeight="1" x14ac:dyDescent="0.35">
      <c r="A609" s="188"/>
      <c r="B609" s="190"/>
      <c r="C609" s="99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0"/>
      <c r="E609" s="78" t="str">
        <f>IF(C609="","",IFERROR(VLOOKUP(C609,parametros!$A$11:$E$15,5,0),""))</f>
        <v/>
      </c>
      <c r="F609" s="79" t="str">
        <f t="shared" si="47"/>
        <v/>
      </c>
      <c r="G609" s="101"/>
      <c r="H609" s="91">
        <f t="shared" si="48"/>
        <v>0</v>
      </c>
      <c r="I609" s="91" t="str">
        <f t="shared" si="49"/>
        <v/>
      </c>
      <c r="J609" s="91" t="str">
        <f t="shared" si="50"/>
        <v/>
      </c>
      <c r="K609" s="92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2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58"/>
      <c r="U609" s="217" t="str">
        <f t="shared" si="51"/>
        <v/>
      </c>
      <c r="V609" s="215" t="s">
        <v>47</v>
      </c>
      <c r="W609" s="102" t="s">
        <v>136</v>
      </c>
      <c r="X609" s="102" t="s">
        <v>137</v>
      </c>
      <c r="Y609" s="103" t="s">
        <v>138</v>
      </c>
      <c r="Z609" s="103" t="s">
        <v>139</v>
      </c>
      <c r="AA609" s="103" t="s">
        <v>47</v>
      </c>
      <c r="AB609" s="103" t="s">
        <v>140</v>
      </c>
      <c r="AC609" s="104" t="s">
        <v>141</v>
      </c>
    </row>
    <row r="610" spans="1:29" ht="25.5" customHeight="1" x14ac:dyDescent="0.35">
      <c r="A610" s="188"/>
      <c r="B610" s="190"/>
      <c r="C610" s="99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0"/>
      <c r="E610" s="78" t="str">
        <f>IF(C610="","",IFERROR(VLOOKUP(C610,parametros!$A$11:$E$15,5,0),""))</f>
        <v/>
      </c>
      <c r="F610" s="79" t="str">
        <f t="shared" si="47"/>
        <v/>
      </c>
      <c r="G610" s="101"/>
      <c r="H610" s="91">
        <f t="shared" si="48"/>
        <v>0</v>
      </c>
      <c r="I610" s="91" t="str">
        <f t="shared" si="49"/>
        <v/>
      </c>
      <c r="J610" s="91" t="str">
        <f t="shared" si="50"/>
        <v/>
      </c>
      <c r="K610" s="92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2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58"/>
      <c r="U610" s="217" t="str">
        <f t="shared" si="51"/>
        <v/>
      </c>
      <c r="V610" s="215" t="s">
        <v>47</v>
      </c>
      <c r="W610" s="102" t="s">
        <v>136</v>
      </c>
      <c r="X610" s="102" t="s">
        <v>137</v>
      </c>
      <c r="Y610" s="103" t="s">
        <v>138</v>
      </c>
      <c r="Z610" s="103" t="s">
        <v>139</v>
      </c>
      <c r="AA610" s="103" t="s">
        <v>47</v>
      </c>
      <c r="AB610" s="103" t="s">
        <v>140</v>
      </c>
      <c r="AC610" s="104" t="s">
        <v>141</v>
      </c>
    </row>
    <row r="611" spans="1:29" ht="25.5" customHeight="1" x14ac:dyDescent="0.35">
      <c r="A611" s="188"/>
      <c r="B611" s="190"/>
      <c r="C611" s="99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0"/>
      <c r="E611" s="78" t="str">
        <f>IF(C611="","",IFERROR(VLOOKUP(C611,parametros!$A$11:$E$15,5,0),""))</f>
        <v/>
      </c>
      <c r="F611" s="79" t="str">
        <f t="shared" si="47"/>
        <v/>
      </c>
      <c r="G611" s="101"/>
      <c r="H611" s="91">
        <f t="shared" si="48"/>
        <v>0</v>
      </c>
      <c r="I611" s="91" t="str">
        <f t="shared" si="49"/>
        <v/>
      </c>
      <c r="J611" s="91" t="str">
        <f t="shared" si="50"/>
        <v/>
      </c>
      <c r="K611" s="92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2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58"/>
      <c r="U611" s="217" t="str">
        <f t="shared" si="51"/>
        <v/>
      </c>
      <c r="V611" s="215" t="s">
        <v>47</v>
      </c>
      <c r="W611" s="102" t="s">
        <v>136</v>
      </c>
      <c r="X611" s="102" t="s">
        <v>137</v>
      </c>
      <c r="Y611" s="103" t="s">
        <v>138</v>
      </c>
      <c r="Z611" s="103" t="s">
        <v>139</v>
      </c>
      <c r="AA611" s="103" t="s">
        <v>47</v>
      </c>
      <c r="AB611" s="103" t="s">
        <v>140</v>
      </c>
      <c r="AC611" s="104" t="s">
        <v>141</v>
      </c>
    </row>
    <row r="612" spans="1:29" ht="25.5" customHeight="1" x14ac:dyDescent="0.35">
      <c r="A612" s="188"/>
      <c r="B612" s="190"/>
      <c r="C612" s="99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0"/>
      <c r="E612" s="78" t="str">
        <f>IF(C612="","",IFERROR(VLOOKUP(C612,parametros!$A$11:$E$15,5,0),""))</f>
        <v/>
      </c>
      <c r="F612" s="79" t="str">
        <f t="shared" si="47"/>
        <v/>
      </c>
      <c r="G612" s="101"/>
      <c r="H612" s="91">
        <f t="shared" si="48"/>
        <v>0</v>
      </c>
      <c r="I612" s="91" t="str">
        <f t="shared" si="49"/>
        <v/>
      </c>
      <c r="J612" s="91" t="str">
        <f t="shared" si="50"/>
        <v/>
      </c>
      <c r="K612" s="92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2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58"/>
      <c r="U612" s="217" t="str">
        <f t="shared" si="51"/>
        <v/>
      </c>
      <c r="V612" s="215" t="s">
        <v>47</v>
      </c>
      <c r="W612" s="102" t="s">
        <v>136</v>
      </c>
      <c r="X612" s="102" t="s">
        <v>137</v>
      </c>
      <c r="Y612" s="103" t="s">
        <v>138</v>
      </c>
      <c r="Z612" s="103" t="s">
        <v>139</v>
      </c>
      <c r="AA612" s="103" t="s">
        <v>47</v>
      </c>
      <c r="AB612" s="103" t="s">
        <v>140</v>
      </c>
      <c r="AC612" s="104" t="s">
        <v>141</v>
      </c>
    </row>
    <row r="613" spans="1:29" ht="25.5" customHeight="1" x14ac:dyDescent="0.35">
      <c r="A613" s="188"/>
      <c r="B613" s="190"/>
      <c r="C613" s="99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0"/>
      <c r="E613" s="78" t="str">
        <f>IF(C613="","",IFERROR(VLOOKUP(C613,parametros!$A$11:$E$15,5,0),""))</f>
        <v/>
      </c>
      <c r="F613" s="79" t="str">
        <f t="shared" si="47"/>
        <v/>
      </c>
      <c r="G613" s="101"/>
      <c r="H613" s="91">
        <f t="shared" si="48"/>
        <v>0</v>
      </c>
      <c r="I613" s="91" t="str">
        <f t="shared" si="49"/>
        <v/>
      </c>
      <c r="J613" s="91" t="str">
        <f t="shared" si="50"/>
        <v/>
      </c>
      <c r="K613" s="92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2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58"/>
      <c r="U613" s="217" t="str">
        <f t="shared" si="51"/>
        <v/>
      </c>
      <c r="V613" s="215" t="s">
        <v>47</v>
      </c>
      <c r="W613" s="102" t="s">
        <v>136</v>
      </c>
      <c r="X613" s="102" t="s">
        <v>137</v>
      </c>
      <c r="Y613" s="103" t="s">
        <v>138</v>
      </c>
      <c r="Z613" s="103" t="s">
        <v>139</v>
      </c>
      <c r="AA613" s="103" t="s">
        <v>47</v>
      </c>
      <c r="AB613" s="103" t="s">
        <v>140</v>
      </c>
      <c r="AC613" s="104" t="s">
        <v>141</v>
      </c>
    </row>
    <row r="614" spans="1:29" ht="25.5" customHeight="1" x14ac:dyDescent="0.35">
      <c r="A614" s="188"/>
      <c r="B614" s="190"/>
      <c r="C614" s="99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0"/>
      <c r="E614" s="78" t="str">
        <f>IF(C614="","",IFERROR(VLOOKUP(C614,parametros!$A$11:$E$15,5,0),""))</f>
        <v/>
      </c>
      <c r="F614" s="79" t="str">
        <f t="shared" si="47"/>
        <v/>
      </c>
      <c r="G614" s="101"/>
      <c r="H614" s="91">
        <f t="shared" si="48"/>
        <v>0</v>
      </c>
      <c r="I614" s="91" t="str">
        <f t="shared" si="49"/>
        <v/>
      </c>
      <c r="J614" s="91" t="str">
        <f t="shared" si="50"/>
        <v/>
      </c>
      <c r="K614" s="92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2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58"/>
      <c r="U614" s="217" t="str">
        <f t="shared" si="51"/>
        <v/>
      </c>
      <c r="V614" s="215" t="s">
        <v>47</v>
      </c>
      <c r="W614" s="102" t="s">
        <v>136</v>
      </c>
      <c r="X614" s="102" t="s">
        <v>137</v>
      </c>
      <c r="Y614" s="103" t="s">
        <v>138</v>
      </c>
      <c r="Z614" s="103" t="s">
        <v>139</v>
      </c>
      <c r="AA614" s="103" t="s">
        <v>47</v>
      </c>
      <c r="AB614" s="103" t="s">
        <v>140</v>
      </c>
      <c r="AC614" s="104" t="s">
        <v>141</v>
      </c>
    </row>
    <row r="615" spans="1:29" ht="25.5" customHeight="1" x14ac:dyDescent="0.35">
      <c r="A615" s="188"/>
      <c r="B615" s="190"/>
      <c r="C615" s="99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0"/>
      <c r="E615" s="78" t="str">
        <f>IF(C615="","",IFERROR(VLOOKUP(C615,parametros!$A$11:$E$15,5,0),""))</f>
        <v/>
      </c>
      <c r="F615" s="79" t="str">
        <f t="shared" si="47"/>
        <v/>
      </c>
      <c r="G615" s="101"/>
      <c r="H615" s="91">
        <f t="shared" si="48"/>
        <v>0</v>
      </c>
      <c r="I615" s="91" t="str">
        <f t="shared" si="49"/>
        <v/>
      </c>
      <c r="J615" s="91" t="str">
        <f t="shared" si="50"/>
        <v/>
      </c>
      <c r="K615" s="92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2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58"/>
      <c r="U615" s="217" t="str">
        <f t="shared" si="51"/>
        <v/>
      </c>
      <c r="V615" s="215" t="s">
        <v>47</v>
      </c>
      <c r="W615" s="102" t="s">
        <v>136</v>
      </c>
      <c r="X615" s="102" t="s">
        <v>137</v>
      </c>
      <c r="Y615" s="103" t="s">
        <v>138</v>
      </c>
      <c r="Z615" s="103" t="s">
        <v>139</v>
      </c>
      <c r="AA615" s="103" t="s">
        <v>47</v>
      </c>
      <c r="AB615" s="103" t="s">
        <v>140</v>
      </c>
      <c r="AC615" s="104" t="s">
        <v>141</v>
      </c>
    </row>
    <row r="616" spans="1:29" ht="25.5" customHeight="1" x14ac:dyDescent="0.35">
      <c r="A616" s="188"/>
      <c r="B616" s="190"/>
      <c r="C616" s="99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0"/>
      <c r="E616" s="78" t="str">
        <f>IF(C616="","",IFERROR(VLOOKUP(C616,parametros!$A$11:$E$15,5,0),""))</f>
        <v/>
      </c>
      <c r="F616" s="79" t="str">
        <f t="shared" si="47"/>
        <v/>
      </c>
      <c r="G616" s="101"/>
      <c r="H616" s="91">
        <f t="shared" si="48"/>
        <v>0</v>
      </c>
      <c r="I616" s="91" t="str">
        <f t="shared" si="49"/>
        <v/>
      </c>
      <c r="J616" s="91" t="str">
        <f t="shared" si="50"/>
        <v/>
      </c>
      <c r="K616" s="92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2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58"/>
      <c r="U616" s="217" t="str">
        <f t="shared" si="51"/>
        <v/>
      </c>
      <c r="V616" s="215" t="s">
        <v>47</v>
      </c>
      <c r="W616" s="102" t="s">
        <v>136</v>
      </c>
      <c r="X616" s="102" t="s">
        <v>137</v>
      </c>
      <c r="Y616" s="103" t="s">
        <v>138</v>
      </c>
      <c r="Z616" s="103" t="s">
        <v>139</v>
      </c>
      <c r="AA616" s="103" t="s">
        <v>47</v>
      </c>
      <c r="AB616" s="103" t="s">
        <v>140</v>
      </c>
      <c r="AC616" s="104" t="s">
        <v>141</v>
      </c>
    </row>
    <row r="617" spans="1:29" ht="25.5" customHeight="1" x14ac:dyDescent="0.35">
      <c r="A617" s="188"/>
      <c r="B617" s="190"/>
      <c r="C617" s="99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0"/>
      <c r="E617" s="78" t="str">
        <f>IF(C617="","",IFERROR(VLOOKUP(C617,parametros!$A$11:$E$15,5,0),""))</f>
        <v/>
      </c>
      <c r="F617" s="79" t="str">
        <f t="shared" si="47"/>
        <v/>
      </c>
      <c r="G617" s="101"/>
      <c r="H617" s="91">
        <f t="shared" si="48"/>
        <v>0</v>
      </c>
      <c r="I617" s="91" t="str">
        <f t="shared" si="49"/>
        <v/>
      </c>
      <c r="J617" s="91" t="str">
        <f t="shared" si="50"/>
        <v/>
      </c>
      <c r="K617" s="92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2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58"/>
      <c r="U617" s="217" t="str">
        <f t="shared" si="51"/>
        <v/>
      </c>
      <c r="V617" s="215" t="s">
        <v>47</v>
      </c>
      <c r="W617" s="102" t="s">
        <v>136</v>
      </c>
      <c r="X617" s="102" t="s">
        <v>137</v>
      </c>
      <c r="Y617" s="103" t="s">
        <v>138</v>
      </c>
      <c r="Z617" s="103" t="s">
        <v>139</v>
      </c>
      <c r="AA617" s="103" t="s">
        <v>47</v>
      </c>
      <c r="AB617" s="103" t="s">
        <v>140</v>
      </c>
      <c r="AC617" s="104" t="s">
        <v>141</v>
      </c>
    </row>
    <row r="618" spans="1:29" ht="25.5" customHeight="1" x14ac:dyDescent="0.35">
      <c r="A618" s="188"/>
      <c r="B618" s="190"/>
      <c r="C618" s="99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0"/>
      <c r="E618" s="78" t="str">
        <f>IF(C618="","",IFERROR(VLOOKUP(C618,parametros!$A$11:$E$15,5,0),""))</f>
        <v/>
      </c>
      <c r="F618" s="79" t="str">
        <f t="shared" si="47"/>
        <v/>
      </c>
      <c r="G618" s="101"/>
      <c r="H618" s="91">
        <f t="shared" si="48"/>
        <v>0</v>
      </c>
      <c r="I618" s="91" t="str">
        <f t="shared" si="49"/>
        <v/>
      </c>
      <c r="J618" s="91" t="str">
        <f t="shared" si="50"/>
        <v/>
      </c>
      <c r="K618" s="92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2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58"/>
      <c r="U618" s="217" t="str">
        <f t="shared" si="51"/>
        <v/>
      </c>
      <c r="V618" s="215" t="s">
        <v>47</v>
      </c>
      <c r="W618" s="102" t="s">
        <v>136</v>
      </c>
      <c r="X618" s="102" t="s">
        <v>137</v>
      </c>
      <c r="Y618" s="103" t="s">
        <v>138</v>
      </c>
      <c r="Z618" s="103" t="s">
        <v>139</v>
      </c>
      <c r="AA618" s="103" t="s">
        <v>47</v>
      </c>
      <c r="AB618" s="103" t="s">
        <v>140</v>
      </c>
      <c r="AC618" s="104" t="s">
        <v>141</v>
      </c>
    </row>
    <row r="619" spans="1:29" ht="25.5" customHeight="1" x14ac:dyDescent="0.35">
      <c r="A619" s="188"/>
      <c r="B619" s="190"/>
      <c r="C619" s="99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0"/>
      <c r="E619" s="78" t="str">
        <f>IF(C619="","",IFERROR(VLOOKUP(C619,parametros!$A$11:$E$15,5,0),""))</f>
        <v/>
      </c>
      <c r="F619" s="79" t="str">
        <f t="shared" si="47"/>
        <v/>
      </c>
      <c r="G619" s="101"/>
      <c r="H619" s="91">
        <f t="shared" si="48"/>
        <v>0</v>
      </c>
      <c r="I619" s="91" t="str">
        <f t="shared" si="49"/>
        <v/>
      </c>
      <c r="J619" s="91" t="str">
        <f t="shared" si="50"/>
        <v/>
      </c>
      <c r="K619" s="92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2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58"/>
      <c r="U619" s="217" t="str">
        <f t="shared" si="51"/>
        <v/>
      </c>
      <c r="V619" s="215" t="s">
        <v>47</v>
      </c>
      <c r="W619" s="102" t="s">
        <v>136</v>
      </c>
      <c r="X619" s="102" t="s">
        <v>137</v>
      </c>
      <c r="Y619" s="103" t="s">
        <v>138</v>
      </c>
      <c r="Z619" s="103" t="s">
        <v>139</v>
      </c>
      <c r="AA619" s="103" t="s">
        <v>47</v>
      </c>
      <c r="AB619" s="103" t="s">
        <v>140</v>
      </c>
      <c r="AC619" s="104" t="s">
        <v>141</v>
      </c>
    </row>
    <row r="620" spans="1:29" ht="25.5" customHeight="1" x14ac:dyDescent="0.35">
      <c r="A620" s="188"/>
      <c r="B620" s="190"/>
      <c r="C620" s="99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0"/>
      <c r="E620" s="78" t="str">
        <f>IF(C620="","",IFERROR(VLOOKUP(C620,parametros!$A$11:$E$15,5,0),""))</f>
        <v/>
      </c>
      <c r="F620" s="79" t="str">
        <f t="shared" si="47"/>
        <v/>
      </c>
      <c r="G620" s="101"/>
      <c r="H620" s="91">
        <f t="shared" si="48"/>
        <v>0</v>
      </c>
      <c r="I620" s="91" t="str">
        <f t="shared" si="49"/>
        <v/>
      </c>
      <c r="J620" s="91" t="str">
        <f t="shared" si="50"/>
        <v/>
      </c>
      <c r="K620" s="92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2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58"/>
      <c r="U620" s="217" t="str">
        <f t="shared" si="51"/>
        <v/>
      </c>
      <c r="V620" s="215" t="s">
        <v>47</v>
      </c>
      <c r="W620" s="102" t="s">
        <v>136</v>
      </c>
      <c r="X620" s="102" t="s">
        <v>137</v>
      </c>
      <c r="Y620" s="103" t="s">
        <v>138</v>
      </c>
      <c r="Z620" s="103" t="s">
        <v>139</v>
      </c>
      <c r="AA620" s="103" t="s">
        <v>47</v>
      </c>
      <c r="AB620" s="103" t="s">
        <v>140</v>
      </c>
      <c r="AC620" s="104" t="s">
        <v>141</v>
      </c>
    </row>
    <row r="621" spans="1:29" ht="25.5" customHeight="1" x14ac:dyDescent="0.35">
      <c r="A621" s="188"/>
      <c r="B621" s="190"/>
      <c r="C621" s="99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0"/>
      <c r="E621" s="78" t="str">
        <f>IF(C621="","",IFERROR(VLOOKUP(C621,parametros!$A$11:$E$15,5,0),""))</f>
        <v/>
      </c>
      <c r="F621" s="79" t="str">
        <f t="shared" si="47"/>
        <v/>
      </c>
      <c r="G621" s="101"/>
      <c r="H621" s="91">
        <f t="shared" si="48"/>
        <v>0</v>
      </c>
      <c r="I621" s="91" t="str">
        <f t="shared" si="49"/>
        <v/>
      </c>
      <c r="J621" s="91" t="str">
        <f t="shared" si="50"/>
        <v/>
      </c>
      <c r="K621" s="92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2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58"/>
      <c r="U621" s="217" t="str">
        <f t="shared" si="51"/>
        <v/>
      </c>
      <c r="V621" s="215" t="s">
        <v>47</v>
      </c>
      <c r="W621" s="102" t="s">
        <v>136</v>
      </c>
      <c r="X621" s="102" t="s">
        <v>137</v>
      </c>
      <c r="Y621" s="103" t="s">
        <v>138</v>
      </c>
      <c r="Z621" s="103" t="s">
        <v>139</v>
      </c>
      <c r="AA621" s="103" t="s">
        <v>47</v>
      </c>
      <c r="AB621" s="103" t="s">
        <v>140</v>
      </c>
      <c r="AC621" s="104" t="s">
        <v>141</v>
      </c>
    </row>
    <row r="622" spans="1:29" ht="25.5" customHeight="1" x14ac:dyDescent="0.35">
      <c r="A622" s="188"/>
      <c r="B622" s="190"/>
      <c r="C622" s="99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0"/>
      <c r="E622" s="78" t="str">
        <f>IF(C622="","",IFERROR(VLOOKUP(C622,parametros!$A$11:$E$15,5,0),""))</f>
        <v/>
      </c>
      <c r="F622" s="79" t="str">
        <f t="shared" si="47"/>
        <v/>
      </c>
      <c r="G622" s="101"/>
      <c r="H622" s="91">
        <f t="shared" si="48"/>
        <v>0</v>
      </c>
      <c r="I622" s="91" t="str">
        <f t="shared" si="49"/>
        <v/>
      </c>
      <c r="J622" s="91" t="str">
        <f t="shared" si="50"/>
        <v/>
      </c>
      <c r="K622" s="92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2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58"/>
      <c r="U622" s="217" t="str">
        <f t="shared" si="51"/>
        <v/>
      </c>
      <c r="V622" s="215" t="s">
        <v>47</v>
      </c>
      <c r="W622" s="102" t="s">
        <v>136</v>
      </c>
      <c r="X622" s="102" t="s">
        <v>137</v>
      </c>
      <c r="Y622" s="103" t="s">
        <v>138</v>
      </c>
      <c r="Z622" s="103" t="s">
        <v>139</v>
      </c>
      <c r="AA622" s="103" t="s">
        <v>47</v>
      </c>
      <c r="AB622" s="103" t="s">
        <v>140</v>
      </c>
      <c r="AC622" s="104" t="s">
        <v>141</v>
      </c>
    </row>
    <row r="623" spans="1:29" ht="25.5" customHeight="1" x14ac:dyDescent="0.35">
      <c r="A623" s="188"/>
      <c r="B623" s="190"/>
      <c r="C623" s="99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0"/>
      <c r="E623" s="78" t="str">
        <f>IF(C623="","",IFERROR(VLOOKUP(C623,parametros!$A$11:$E$15,5,0),""))</f>
        <v/>
      </c>
      <c r="F623" s="79" t="str">
        <f t="shared" si="47"/>
        <v/>
      </c>
      <c r="G623" s="101"/>
      <c r="H623" s="91">
        <f t="shared" si="48"/>
        <v>0</v>
      </c>
      <c r="I623" s="91" t="str">
        <f t="shared" si="49"/>
        <v/>
      </c>
      <c r="J623" s="91" t="str">
        <f t="shared" si="50"/>
        <v/>
      </c>
      <c r="K623" s="92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2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58"/>
      <c r="U623" s="217" t="str">
        <f t="shared" si="51"/>
        <v/>
      </c>
      <c r="V623" s="215" t="s">
        <v>47</v>
      </c>
      <c r="W623" s="102" t="s">
        <v>136</v>
      </c>
      <c r="X623" s="102" t="s">
        <v>137</v>
      </c>
      <c r="Y623" s="103" t="s">
        <v>138</v>
      </c>
      <c r="Z623" s="103" t="s">
        <v>139</v>
      </c>
      <c r="AA623" s="103" t="s">
        <v>47</v>
      </c>
      <c r="AB623" s="103" t="s">
        <v>140</v>
      </c>
      <c r="AC623" s="104" t="s">
        <v>141</v>
      </c>
    </row>
    <row r="624" spans="1:29" ht="25.5" customHeight="1" x14ac:dyDescent="0.35">
      <c r="A624" s="188"/>
      <c r="B624" s="190"/>
      <c r="C624" s="99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0"/>
      <c r="E624" s="78" t="str">
        <f>IF(C624="","",IFERROR(VLOOKUP(C624,parametros!$A$11:$E$15,5,0),""))</f>
        <v/>
      </c>
      <c r="F624" s="79" t="str">
        <f t="shared" si="47"/>
        <v/>
      </c>
      <c r="G624" s="101"/>
      <c r="H624" s="91">
        <f t="shared" si="48"/>
        <v>0</v>
      </c>
      <c r="I624" s="91" t="str">
        <f t="shared" si="49"/>
        <v/>
      </c>
      <c r="J624" s="91" t="str">
        <f t="shared" si="50"/>
        <v/>
      </c>
      <c r="K624" s="92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2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58"/>
      <c r="U624" s="217" t="str">
        <f t="shared" si="51"/>
        <v/>
      </c>
      <c r="V624" s="215" t="s">
        <v>47</v>
      </c>
      <c r="W624" s="102" t="s">
        <v>136</v>
      </c>
      <c r="X624" s="102" t="s">
        <v>137</v>
      </c>
      <c r="Y624" s="103" t="s">
        <v>138</v>
      </c>
      <c r="Z624" s="103" t="s">
        <v>139</v>
      </c>
      <c r="AA624" s="103" t="s">
        <v>47</v>
      </c>
      <c r="AB624" s="103" t="s">
        <v>140</v>
      </c>
      <c r="AC624" s="104" t="s">
        <v>141</v>
      </c>
    </row>
    <row r="625" spans="1:29" ht="25.5" customHeight="1" x14ac:dyDescent="0.35">
      <c r="A625" s="188"/>
      <c r="B625" s="190"/>
      <c r="C625" s="99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0"/>
      <c r="E625" s="78" t="str">
        <f>IF(C625="","",IFERROR(VLOOKUP(C625,parametros!$A$11:$E$15,5,0),""))</f>
        <v/>
      </c>
      <c r="F625" s="79" t="str">
        <f t="shared" si="47"/>
        <v/>
      </c>
      <c r="G625" s="101"/>
      <c r="H625" s="91">
        <f t="shared" si="48"/>
        <v>0</v>
      </c>
      <c r="I625" s="91" t="str">
        <f t="shared" si="49"/>
        <v/>
      </c>
      <c r="J625" s="91" t="str">
        <f t="shared" si="50"/>
        <v/>
      </c>
      <c r="K625" s="92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2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58"/>
      <c r="U625" s="217" t="str">
        <f t="shared" si="51"/>
        <v/>
      </c>
      <c r="V625" s="215" t="s">
        <v>47</v>
      </c>
      <c r="W625" s="102" t="s">
        <v>136</v>
      </c>
      <c r="X625" s="102" t="s">
        <v>137</v>
      </c>
      <c r="Y625" s="103" t="s">
        <v>138</v>
      </c>
      <c r="Z625" s="103" t="s">
        <v>139</v>
      </c>
      <c r="AA625" s="103" t="s">
        <v>47</v>
      </c>
      <c r="AB625" s="103" t="s">
        <v>140</v>
      </c>
      <c r="AC625" s="104" t="s">
        <v>141</v>
      </c>
    </row>
    <row r="626" spans="1:29" ht="25.5" customHeight="1" x14ac:dyDescent="0.35">
      <c r="A626" s="188"/>
      <c r="B626" s="190"/>
      <c r="C626" s="99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0"/>
      <c r="E626" s="78" t="str">
        <f>IF(C626="","",IFERROR(VLOOKUP(C626,parametros!$A$11:$E$15,5,0),""))</f>
        <v/>
      </c>
      <c r="F626" s="79" t="str">
        <f t="shared" si="47"/>
        <v/>
      </c>
      <c r="G626" s="101"/>
      <c r="H626" s="91">
        <f t="shared" si="48"/>
        <v>0</v>
      </c>
      <c r="I626" s="91" t="str">
        <f t="shared" si="49"/>
        <v/>
      </c>
      <c r="J626" s="91" t="str">
        <f t="shared" si="50"/>
        <v/>
      </c>
      <c r="K626" s="92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2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58"/>
      <c r="U626" s="217" t="str">
        <f t="shared" si="51"/>
        <v/>
      </c>
      <c r="V626" s="215" t="s">
        <v>47</v>
      </c>
      <c r="W626" s="102" t="s">
        <v>136</v>
      </c>
      <c r="X626" s="102" t="s">
        <v>137</v>
      </c>
      <c r="Y626" s="103" t="s">
        <v>138</v>
      </c>
      <c r="Z626" s="103" t="s">
        <v>139</v>
      </c>
      <c r="AA626" s="103" t="s">
        <v>47</v>
      </c>
      <c r="AB626" s="103" t="s">
        <v>140</v>
      </c>
      <c r="AC626" s="104" t="s">
        <v>141</v>
      </c>
    </row>
    <row r="627" spans="1:29" ht="25.5" customHeight="1" x14ac:dyDescent="0.35">
      <c r="A627" s="188"/>
      <c r="B627" s="190"/>
      <c r="C627" s="99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0"/>
      <c r="E627" s="78" t="str">
        <f>IF(C627="","",IFERROR(VLOOKUP(C627,parametros!$A$11:$E$15,5,0),""))</f>
        <v/>
      </c>
      <c r="F627" s="79" t="str">
        <f t="shared" si="47"/>
        <v/>
      </c>
      <c r="G627" s="101"/>
      <c r="H627" s="91">
        <f t="shared" si="48"/>
        <v>0</v>
      </c>
      <c r="I627" s="91" t="str">
        <f t="shared" si="49"/>
        <v/>
      </c>
      <c r="J627" s="91" t="str">
        <f t="shared" si="50"/>
        <v/>
      </c>
      <c r="K627" s="92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2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58"/>
      <c r="U627" s="217" t="str">
        <f t="shared" si="51"/>
        <v/>
      </c>
      <c r="V627" s="215" t="s">
        <v>47</v>
      </c>
      <c r="W627" s="102" t="s">
        <v>136</v>
      </c>
      <c r="X627" s="102" t="s">
        <v>137</v>
      </c>
      <c r="Y627" s="103" t="s">
        <v>138</v>
      </c>
      <c r="Z627" s="103" t="s">
        <v>139</v>
      </c>
      <c r="AA627" s="103" t="s">
        <v>47</v>
      </c>
      <c r="AB627" s="103" t="s">
        <v>140</v>
      </c>
      <c r="AC627" s="104" t="s">
        <v>141</v>
      </c>
    </row>
    <row r="628" spans="1:29" ht="25.5" customHeight="1" x14ac:dyDescent="0.35">
      <c r="A628" s="188"/>
      <c r="B628" s="190"/>
      <c r="C628" s="99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0"/>
      <c r="E628" s="78" t="str">
        <f>IF(C628="","",IFERROR(VLOOKUP(C628,parametros!$A$11:$E$15,5,0),""))</f>
        <v/>
      </c>
      <c r="F628" s="79" t="str">
        <f t="shared" si="47"/>
        <v/>
      </c>
      <c r="G628" s="101"/>
      <c r="H628" s="91">
        <f t="shared" si="48"/>
        <v>0</v>
      </c>
      <c r="I628" s="91" t="str">
        <f t="shared" si="49"/>
        <v/>
      </c>
      <c r="J628" s="91" t="str">
        <f t="shared" si="50"/>
        <v/>
      </c>
      <c r="K628" s="92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2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58"/>
      <c r="U628" s="217" t="str">
        <f t="shared" si="51"/>
        <v/>
      </c>
      <c r="V628" s="215" t="s">
        <v>47</v>
      </c>
      <c r="W628" s="102" t="s">
        <v>136</v>
      </c>
      <c r="X628" s="102" t="s">
        <v>137</v>
      </c>
      <c r="Y628" s="103" t="s">
        <v>138</v>
      </c>
      <c r="Z628" s="103" t="s">
        <v>139</v>
      </c>
      <c r="AA628" s="103" t="s">
        <v>47</v>
      </c>
      <c r="AB628" s="103" t="s">
        <v>140</v>
      </c>
      <c r="AC628" s="104" t="s">
        <v>141</v>
      </c>
    </row>
    <row r="629" spans="1:29" ht="25.5" customHeight="1" x14ac:dyDescent="0.35">
      <c r="A629" s="188"/>
      <c r="B629" s="190"/>
      <c r="C629" s="99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0"/>
      <c r="E629" s="78" t="str">
        <f>IF(C629="","",IFERROR(VLOOKUP(C629,parametros!$A$11:$E$15,5,0),""))</f>
        <v/>
      </c>
      <c r="F629" s="79" t="str">
        <f t="shared" si="47"/>
        <v/>
      </c>
      <c r="G629" s="101"/>
      <c r="H629" s="91">
        <f t="shared" si="48"/>
        <v>0</v>
      </c>
      <c r="I629" s="91" t="str">
        <f t="shared" si="49"/>
        <v/>
      </c>
      <c r="J629" s="91" t="str">
        <f t="shared" si="50"/>
        <v/>
      </c>
      <c r="K629" s="92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2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58"/>
      <c r="U629" s="217" t="str">
        <f t="shared" si="51"/>
        <v/>
      </c>
      <c r="V629" s="215" t="s">
        <v>47</v>
      </c>
      <c r="W629" s="102" t="s">
        <v>136</v>
      </c>
      <c r="X629" s="102" t="s">
        <v>137</v>
      </c>
      <c r="Y629" s="103" t="s">
        <v>138</v>
      </c>
      <c r="Z629" s="103" t="s">
        <v>139</v>
      </c>
      <c r="AA629" s="103" t="s">
        <v>47</v>
      </c>
      <c r="AB629" s="103" t="s">
        <v>140</v>
      </c>
      <c r="AC629" s="104" t="s">
        <v>141</v>
      </c>
    </row>
    <row r="630" spans="1:29" ht="25.5" customHeight="1" x14ac:dyDescent="0.35">
      <c r="A630" s="188"/>
      <c r="B630" s="190"/>
      <c r="C630" s="99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0"/>
      <c r="E630" s="78" t="str">
        <f>IF(C630="","",IFERROR(VLOOKUP(C630,parametros!$A$11:$E$15,5,0),""))</f>
        <v/>
      </c>
      <c r="F630" s="79" t="str">
        <f t="shared" si="47"/>
        <v/>
      </c>
      <c r="G630" s="101"/>
      <c r="H630" s="91">
        <f t="shared" si="48"/>
        <v>0</v>
      </c>
      <c r="I630" s="91" t="str">
        <f t="shared" si="49"/>
        <v/>
      </c>
      <c r="J630" s="91" t="str">
        <f t="shared" si="50"/>
        <v/>
      </c>
      <c r="K630" s="92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2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58"/>
      <c r="U630" s="217" t="str">
        <f t="shared" si="51"/>
        <v/>
      </c>
      <c r="V630" s="215" t="s">
        <v>47</v>
      </c>
      <c r="W630" s="102" t="s">
        <v>136</v>
      </c>
      <c r="X630" s="102" t="s">
        <v>137</v>
      </c>
      <c r="Y630" s="103" t="s">
        <v>138</v>
      </c>
      <c r="Z630" s="103" t="s">
        <v>139</v>
      </c>
      <c r="AA630" s="103" t="s">
        <v>47</v>
      </c>
      <c r="AB630" s="103" t="s">
        <v>140</v>
      </c>
      <c r="AC630" s="104" t="s">
        <v>141</v>
      </c>
    </row>
    <row r="631" spans="1:29" ht="25.5" customHeight="1" x14ac:dyDescent="0.35">
      <c r="A631" s="188"/>
      <c r="B631" s="190"/>
      <c r="C631" s="99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0"/>
      <c r="E631" s="78" t="str">
        <f>IF(C631="","",IFERROR(VLOOKUP(C631,parametros!$A$11:$E$15,5,0),""))</f>
        <v/>
      </c>
      <c r="F631" s="79" t="str">
        <f t="shared" si="47"/>
        <v/>
      </c>
      <c r="G631" s="101"/>
      <c r="H631" s="91">
        <f t="shared" si="48"/>
        <v>0</v>
      </c>
      <c r="I631" s="91" t="str">
        <f t="shared" si="49"/>
        <v/>
      </c>
      <c r="J631" s="91" t="str">
        <f t="shared" si="50"/>
        <v/>
      </c>
      <c r="K631" s="92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2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58"/>
      <c r="U631" s="217" t="str">
        <f t="shared" si="51"/>
        <v/>
      </c>
      <c r="V631" s="215" t="s">
        <v>47</v>
      </c>
      <c r="W631" s="102" t="s">
        <v>136</v>
      </c>
      <c r="X631" s="102" t="s">
        <v>137</v>
      </c>
      <c r="Y631" s="103" t="s">
        <v>138</v>
      </c>
      <c r="Z631" s="103" t="s">
        <v>139</v>
      </c>
      <c r="AA631" s="103" t="s">
        <v>47</v>
      </c>
      <c r="AB631" s="103" t="s">
        <v>140</v>
      </c>
      <c r="AC631" s="104" t="s">
        <v>141</v>
      </c>
    </row>
    <row r="632" spans="1:29" ht="25.5" customHeight="1" x14ac:dyDescent="0.35">
      <c r="A632" s="188"/>
      <c r="B632" s="190"/>
      <c r="C632" s="99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0"/>
      <c r="E632" s="78" t="str">
        <f>IF(C632="","",IFERROR(VLOOKUP(C632,parametros!$A$11:$E$15,5,0),""))</f>
        <v/>
      </c>
      <c r="F632" s="79" t="str">
        <f t="shared" si="47"/>
        <v/>
      </c>
      <c r="G632" s="101"/>
      <c r="H632" s="91">
        <f t="shared" si="48"/>
        <v>0</v>
      </c>
      <c r="I632" s="91" t="str">
        <f t="shared" si="49"/>
        <v/>
      </c>
      <c r="J632" s="91" t="str">
        <f t="shared" si="50"/>
        <v/>
      </c>
      <c r="K632" s="92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2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58"/>
      <c r="U632" s="217" t="str">
        <f t="shared" si="51"/>
        <v/>
      </c>
      <c r="V632" s="215" t="s">
        <v>47</v>
      </c>
      <c r="W632" s="102" t="s">
        <v>136</v>
      </c>
      <c r="X632" s="102" t="s">
        <v>137</v>
      </c>
      <c r="Y632" s="103" t="s">
        <v>138</v>
      </c>
      <c r="Z632" s="103" t="s">
        <v>139</v>
      </c>
      <c r="AA632" s="103" t="s">
        <v>47</v>
      </c>
      <c r="AB632" s="103" t="s">
        <v>140</v>
      </c>
      <c r="AC632" s="104" t="s">
        <v>141</v>
      </c>
    </row>
    <row r="633" spans="1:29" ht="25.5" customHeight="1" x14ac:dyDescent="0.35">
      <c r="A633" s="188"/>
      <c r="B633" s="190"/>
      <c r="C633" s="99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0"/>
      <c r="E633" s="78" t="str">
        <f>IF(C633="","",IFERROR(VLOOKUP(C633,parametros!$A$11:$E$15,5,0),""))</f>
        <v/>
      </c>
      <c r="F633" s="79" t="str">
        <f t="shared" si="47"/>
        <v/>
      </c>
      <c r="G633" s="101"/>
      <c r="H633" s="91">
        <f t="shared" si="48"/>
        <v>0</v>
      </c>
      <c r="I633" s="91" t="str">
        <f t="shared" si="49"/>
        <v/>
      </c>
      <c r="J633" s="91" t="str">
        <f t="shared" si="50"/>
        <v/>
      </c>
      <c r="K633" s="92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2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58"/>
      <c r="U633" s="217" t="str">
        <f t="shared" si="51"/>
        <v/>
      </c>
      <c r="V633" s="215" t="s">
        <v>47</v>
      </c>
      <c r="W633" s="102" t="s">
        <v>136</v>
      </c>
      <c r="X633" s="102" t="s">
        <v>137</v>
      </c>
      <c r="Y633" s="103" t="s">
        <v>138</v>
      </c>
      <c r="Z633" s="103" t="s">
        <v>139</v>
      </c>
      <c r="AA633" s="103" t="s">
        <v>47</v>
      </c>
      <c r="AB633" s="103" t="s">
        <v>140</v>
      </c>
      <c r="AC633" s="104" t="s">
        <v>141</v>
      </c>
    </row>
    <row r="634" spans="1:29" ht="25.5" customHeight="1" x14ac:dyDescent="0.35">
      <c r="A634" s="188"/>
      <c r="B634" s="190"/>
      <c r="C634" s="99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0"/>
      <c r="E634" s="78" t="str">
        <f>IF(C634="","",IFERROR(VLOOKUP(C634,parametros!$A$11:$E$15,5,0),""))</f>
        <v/>
      </c>
      <c r="F634" s="79" t="str">
        <f t="shared" si="47"/>
        <v/>
      </c>
      <c r="G634" s="101"/>
      <c r="H634" s="91">
        <f t="shared" si="48"/>
        <v>0</v>
      </c>
      <c r="I634" s="91" t="str">
        <f t="shared" si="49"/>
        <v/>
      </c>
      <c r="J634" s="91" t="str">
        <f t="shared" si="50"/>
        <v/>
      </c>
      <c r="K634" s="92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2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58"/>
      <c r="U634" s="217" t="str">
        <f t="shared" si="51"/>
        <v/>
      </c>
      <c r="V634" s="215" t="s">
        <v>47</v>
      </c>
      <c r="W634" s="102" t="s">
        <v>136</v>
      </c>
      <c r="X634" s="102" t="s">
        <v>137</v>
      </c>
      <c r="Y634" s="103" t="s">
        <v>138</v>
      </c>
      <c r="Z634" s="103" t="s">
        <v>139</v>
      </c>
      <c r="AA634" s="103" t="s">
        <v>47</v>
      </c>
      <c r="AB634" s="103" t="s">
        <v>140</v>
      </c>
      <c r="AC634" s="104" t="s">
        <v>141</v>
      </c>
    </row>
    <row r="635" spans="1:29" ht="25.5" customHeight="1" x14ac:dyDescent="0.35">
      <c r="A635" s="188"/>
      <c r="B635" s="190"/>
      <c r="C635" s="99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0"/>
      <c r="E635" s="78" t="str">
        <f>IF(C635="","",IFERROR(VLOOKUP(C635,parametros!$A$11:$E$15,5,0),""))</f>
        <v/>
      </c>
      <c r="F635" s="79" t="str">
        <f t="shared" si="47"/>
        <v/>
      </c>
      <c r="G635" s="101"/>
      <c r="H635" s="91">
        <f t="shared" si="48"/>
        <v>0</v>
      </c>
      <c r="I635" s="91" t="str">
        <f t="shared" si="49"/>
        <v/>
      </c>
      <c r="J635" s="91" t="str">
        <f t="shared" si="50"/>
        <v/>
      </c>
      <c r="K635" s="92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2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58"/>
      <c r="U635" s="217" t="str">
        <f t="shared" si="51"/>
        <v/>
      </c>
      <c r="V635" s="215" t="s">
        <v>47</v>
      </c>
      <c r="W635" s="102" t="s">
        <v>136</v>
      </c>
      <c r="X635" s="102" t="s">
        <v>137</v>
      </c>
      <c r="Y635" s="103" t="s">
        <v>138</v>
      </c>
      <c r="Z635" s="103" t="s">
        <v>139</v>
      </c>
      <c r="AA635" s="103" t="s">
        <v>47</v>
      </c>
      <c r="AB635" s="103" t="s">
        <v>140</v>
      </c>
      <c r="AC635" s="104" t="s">
        <v>141</v>
      </c>
    </row>
    <row r="636" spans="1:29" ht="25.5" customHeight="1" x14ac:dyDescent="0.35">
      <c r="A636" s="188"/>
      <c r="B636" s="190"/>
      <c r="C636" s="99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0"/>
      <c r="E636" s="78" t="str">
        <f>IF(C636="","",IFERROR(VLOOKUP(C636,parametros!$A$11:$E$15,5,0),""))</f>
        <v/>
      </c>
      <c r="F636" s="79" t="str">
        <f t="shared" si="47"/>
        <v/>
      </c>
      <c r="G636" s="101"/>
      <c r="H636" s="91">
        <f t="shared" si="48"/>
        <v>0</v>
      </c>
      <c r="I636" s="91" t="str">
        <f t="shared" si="49"/>
        <v/>
      </c>
      <c r="J636" s="91" t="str">
        <f t="shared" si="50"/>
        <v/>
      </c>
      <c r="K636" s="92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2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58"/>
      <c r="U636" s="217" t="str">
        <f t="shared" si="51"/>
        <v/>
      </c>
      <c r="V636" s="215" t="s">
        <v>47</v>
      </c>
      <c r="W636" s="102" t="s">
        <v>136</v>
      </c>
      <c r="X636" s="102" t="s">
        <v>137</v>
      </c>
      <c r="Y636" s="103" t="s">
        <v>138</v>
      </c>
      <c r="Z636" s="103" t="s">
        <v>139</v>
      </c>
      <c r="AA636" s="103" t="s">
        <v>47</v>
      </c>
      <c r="AB636" s="103" t="s">
        <v>140</v>
      </c>
      <c r="AC636" s="104" t="s">
        <v>141</v>
      </c>
    </row>
    <row r="637" spans="1:29" ht="25.5" customHeight="1" x14ac:dyDescent="0.35">
      <c r="A637" s="188"/>
      <c r="B637" s="190"/>
      <c r="C637" s="99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0"/>
      <c r="E637" s="78" t="str">
        <f>IF(C637="","",IFERROR(VLOOKUP(C637,parametros!$A$11:$E$15,5,0),""))</f>
        <v/>
      </c>
      <c r="F637" s="79" t="str">
        <f t="shared" si="47"/>
        <v/>
      </c>
      <c r="G637" s="101"/>
      <c r="H637" s="91">
        <f t="shared" si="48"/>
        <v>0</v>
      </c>
      <c r="I637" s="91" t="str">
        <f t="shared" si="49"/>
        <v/>
      </c>
      <c r="J637" s="91" t="str">
        <f t="shared" si="50"/>
        <v/>
      </c>
      <c r="K637" s="92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2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58"/>
      <c r="U637" s="217" t="str">
        <f t="shared" si="51"/>
        <v/>
      </c>
      <c r="V637" s="215" t="s">
        <v>47</v>
      </c>
      <c r="W637" s="102" t="s">
        <v>136</v>
      </c>
      <c r="X637" s="102" t="s">
        <v>137</v>
      </c>
      <c r="Y637" s="103" t="s">
        <v>138</v>
      </c>
      <c r="Z637" s="103" t="s">
        <v>139</v>
      </c>
      <c r="AA637" s="103" t="s">
        <v>47</v>
      </c>
      <c r="AB637" s="103" t="s">
        <v>140</v>
      </c>
      <c r="AC637" s="104" t="s">
        <v>141</v>
      </c>
    </row>
    <row r="638" spans="1:29" ht="25.5" customHeight="1" x14ac:dyDescent="0.35">
      <c r="A638" s="188"/>
      <c r="B638" s="190"/>
      <c r="C638" s="99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0"/>
      <c r="E638" s="78" t="str">
        <f>IF(C638="","",IFERROR(VLOOKUP(C638,parametros!$A$11:$E$15,5,0),""))</f>
        <v/>
      </c>
      <c r="F638" s="79" t="str">
        <f t="shared" si="47"/>
        <v/>
      </c>
      <c r="G638" s="101"/>
      <c r="H638" s="91">
        <f t="shared" si="48"/>
        <v>0</v>
      </c>
      <c r="I638" s="91" t="str">
        <f t="shared" si="49"/>
        <v/>
      </c>
      <c r="J638" s="91" t="str">
        <f t="shared" si="50"/>
        <v/>
      </c>
      <c r="K638" s="92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2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58"/>
      <c r="U638" s="217" t="str">
        <f t="shared" si="51"/>
        <v/>
      </c>
      <c r="V638" s="215" t="s">
        <v>47</v>
      </c>
      <c r="W638" s="102" t="s">
        <v>136</v>
      </c>
      <c r="X638" s="102" t="s">
        <v>137</v>
      </c>
      <c r="Y638" s="103" t="s">
        <v>138</v>
      </c>
      <c r="Z638" s="103" t="s">
        <v>139</v>
      </c>
      <c r="AA638" s="103" t="s">
        <v>47</v>
      </c>
      <c r="AB638" s="103" t="s">
        <v>140</v>
      </c>
      <c r="AC638" s="104" t="s">
        <v>141</v>
      </c>
    </row>
    <row r="639" spans="1:29" ht="25.5" customHeight="1" x14ac:dyDescent="0.35">
      <c r="A639" s="188"/>
      <c r="B639" s="190"/>
      <c r="C639" s="99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0"/>
      <c r="E639" s="78" t="str">
        <f>IF(C639="","",IFERROR(VLOOKUP(C639,parametros!$A$11:$E$15,5,0),""))</f>
        <v/>
      </c>
      <c r="F639" s="79" t="str">
        <f t="shared" si="47"/>
        <v/>
      </c>
      <c r="G639" s="101"/>
      <c r="H639" s="91">
        <f t="shared" si="48"/>
        <v>0</v>
      </c>
      <c r="I639" s="91" t="str">
        <f t="shared" si="49"/>
        <v/>
      </c>
      <c r="J639" s="91" t="str">
        <f t="shared" si="50"/>
        <v/>
      </c>
      <c r="K639" s="92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2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58"/>
      <c r="U639" s="217" t="str">
        <f t="shared" si="51"/>
        <v/>
      </c>
      <c r="V639" s="215" t="s">
        <v>47</v>
      </c>
      <c r="W639" s="102" t="s">
        <v>136</v>
      </c>
      <c r="X639" s="102" t="s">
        <v>137</v>
      </c>
      <c r="Y639" s="103" t="s">
        <v>138</v>
      </c>
      <c r="Z639" s="103" t="s">
        <v>139</v>
      </c>
      <c r="AA639" s="103" t="s">
        <v>47</v>
      </c>
      <c r="AB639" s="103" t="s">
        <v>140</v>
      </c>
      <c r="AC639" s="104" t="s">
        <v>141</v>
      </c>
    </row>
    <row r="640" spans="1:29" ht="25.5" customHeight="1" x14ac:dyDescent="0.35">
      <c r="A640" s="188"/>
      <c r="B640" s="190"/>
      <c r="C640" s="99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0"/>
      <c r="E640" s="78" t="str">
        <f>IF(C640="","",IFERROR(VLOOKUP(C640,parametros!$A$11:$E$15,5,0),""))</f>
        <v/>
      </c>
      <c r="F640" s="79" t="str">
        <f t="shared" si="47"/>
        <v/>
      </c>
      <c r="G640" s="101"/>
      <c r="H640" s="91">
        <f t="shared" si="48"/>
        <v>0</v>
      </c>
      <c r="I640" s="91" t="str">
        <f t="shared" si="49"/>
        <v/>
      </c>
      <c r="J640" s="91" t="str">
        <f t="shared" si="50"/>
        <v/>
      </c>
      <c r="K640" s="92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2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58"/>
      <c r="U640" s="217" t="str">
        <f t="shared" si="51"/>
        <v/>
      </c>
      <c r="V640" s="215" t="s">
        <v>47</v>
      </c>
      <c r="W640" s="102" t="s">
        <v>136</v>
      </c>
      <c r="X640" s="102" t="s">
        <v>137</v>
      </c>
      <c r="Y640" s="103" t="s">
        <v>138</v>
      </c>
      <c r="Z640" s="103" t="s">
        <v>139</v>
      </c>
      <c r="AA640" s="103" t="s">
        <v>47</v>
      </c>
      <c r="AB640" s="103" t="s">
        <v>140</v>
      </c>
      <c r="AC640" s="104" t="s">
        <v>141</v>
      </c>
    </row>
    <row r="641" spans="1:29" ht="25.5" customHeight="1" x14ac:dyDescent="0.35">
      <c r="A641" s="188"/>
      <c r="B641" s="190"/>
      <c r="C641" s="99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0"/>
      <c r="E641" s="78" t="str">
        <f>IF(C641="","",IFERROR(VLOOKUP(C641,parametros!$A$11:$E$15,5,0),""))</f>
        <v/>
      </c>
      <c r="F641" s="79" t="str">
        <f t="shared" si="47"/>
        <v/>
      </c>
      <c r="G641" s="101"/>
      <c r="H641" s="91">
        <f t="shared" si="48"/>
        <v>0</v>
      </c>
      <c r="I641" s="91" t="str">
        <f t="shared" si="49"/>
        <v/>
      </c>
      <c r="J641" s="91" t="str">
        <f t="shared" si="50"/>
        <v/>
      </c>
      <c r="K641" s="92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2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58"/>
      <c r="U641" s="217" t="str">
        <f t="shared" si="51"/>
        <v/>
      </c>
      <c r="V641" s="215" t="s">
        <v>47</v>
      </c>
      <c r="W641" s="102" t="s">
        <v>136</v>
      </c>
      <c r="X641" s="102" t="s">
        <v>137</v>
      </c>
      <c r="Y641" s="103" t="s">
        <v>138</v>
      </c>
      <c r="Z641" s="103" t="s">
        <v>139</v>
      </c>
      <c r="AA641" s="103" t="s">
        <v>47</v>
      </c>
      <c r="AB641" s="103" t="s">
        <v>140</v>
      </c>
      <c r="AC641" s="104" t="s">
        <v>141</v>
      </c>
    </row>
    <row r="642" spans="1:29" ht="25.5" customHeight="1" x14ac:dyDescent="0.35">
      <c r="A642" s="188"/>
      <c r="B642" s="190"/>
      <c r="C642" s="99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0"/>
      <c r="E642" s="78" t="str">
        <f>IF(C642="","",IFERROR(VLOOKUP(C642,parametros!$A$11:$E$15,5,0),""))</f>
        <v/>
      </c>
      <c r="F642" s="79" t="str">
        <f t="shared" ref="F642:F705" si="52">IF(OR(D642="",E642=""),"",ROUND(D642*E642,2))</f>
        <v/>
      </c>
      <c r="G642" s="101"/>
      <c r="H642" s="91">
        <f t="shared" ref="H642:H705" si="53">IF(G642="Sim",IF(OR(F642="",D642="",L642=""),"",IF(L642="Sim",ROUND(F642-D642,2),0)),0)</f>
        <v>0</v>
      </c>
      <c r="I642" s="91" t="str">
        <f t="shared" ref="I642:I705" si="54">IF(G642="Sim",0,IF(OR(F642="",L642=""),"",F642))</f>
        <v/>
      </c>
      <c r="J642" s="91" t="str">
        <f t="shared" ref="J642:J705" si="55">IF(G642="Sim",0,IF(OR(F642="",D642="",L642=""),"",IF(L642="Sim",ROUND(F642-D642,2),0)))</f>
        <v/>
      </c>
      <c r="K642" s="92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2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58"/>
      <c r="U642" s="217" t="str">
        <f t="shared" ref="U642:U705" si="56">IF(OR($D642="",$H642=""),"",ROUND($D642+$H642,2))</f>
        <v/>
      </c>
      <c r="V642" s="215" t="s">
        <v>47</v>
      </c>
      <c r="W642" s="102" t="s">
        <v>136</v>
      </c>
      <c r="X642" s="102" t="s">
        <v>137</v>
      </c>
      <c r="Y642" s="103" t="s">
        <v>138</v>
      </c>
      <c r="Z642" s="103" t="s">
        <v>139</v>
      </c>
      <c r="AA642" s="103" t="s">
        <v>47</v>
      </c>
      <c r="AB642" s="103" t="s">
        <v>140</v>
      </c>
      <c r="AC642" s="104" t="s">
        <v>141</v>
      </c>
    </row>
    <row r="643" spans="1:29" ht="25.5" customHeight="1" x14ac:dyDescent="0.35">
      <c r="A643" s="188"/>
      <c r="B643" s="190"/>
      <c r="C643" s="99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0"/>
      <c r="E643" s="78" t="str">
        <f>IF(C643="","",IFERROR(VLOOKUP(C643,parametros!$A$11:$E$15,5,0),""))</f>
        <v/>
      </c>
      <c r="F643" s="79" t="str">
        <f t="shared" si="52"/>
        <v/>
      </c>
      <c r="G643" s="101"/>
      <c r="H643" s="91">
        <f t="shared" si="53"/>
        <v>0</v>
      </c>
      <c r="I643" s="91" t="str">
        <f t="shared" si="54"/>
        <v/>
      </c>
      <c r="J643" s="91" t="str">
        <f t="shared" si="55"/>
        <v/>
      </c>
      <c r="K643" s="92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2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58"/>
      <c r="U643" s="217" t="str">
        <f t="shared" si="56"/>
        <v/>
      </c>
      <c r="V643" s="215" t="s">
        <v>47</v>
      </c>
      <c r="W643" s="102" t="s">
        <v>136</v>
      </c>
      <c r="X643" s="102" t="s">
        <v>137</v>
      </c>
      <c r="Y643" s="103" t="s">
        <v>138</v>
      </c>
      <c r="Z643" s="103" t="s">
        <v>139</v>
      </c>
      <c r="AA643" s="103" t="s">
        <v>47</v>
      </c>
      <c r="AB643" s="103" t="s">
        <v>140</v>
      </c>
      <c r="AC643" s="104" t="s">
        <v>141</v>
      </c>
    </row>
    <row r="644" spans="1:29" ht="25.5" customHeight="1" x14ac:dyDescent="0.35">
      <c r="A644" s="188"/>
      <c r="B644" s="190"/>
      <c r="C644" s="99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0"/>
      <c r="E644" s="78" t="str">
        <f>IF(C644="","",IFERROR(VLOOKUP(C644,parametros!$A$11:$E$15,5,0),""))</f>
        <v/>
      </c>
      <c r="F644" s="79" t="str">
        <f t="shared" si="52"/>
        <v/>
      </c>
      <c r="G644" s="101"/>
      <c r="H644" s="91">
        <f t="shared" si="53"/>
        <v>0</v>
      </c>
      <c r="I644" s="91" t="str">
        <f t="shared" si="54"/>
        <v/>
      </c>
      <c r="J644" s="91" t="str">
        <f t="shared" si="55"/>
        <v/>
      </c>
      <c r="K644" s="92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2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58"/>
      <c r="U644" s="217" t="str">
        <f t="shared" si="56"/>
        <v/>
      </c>
      <c r="V644" s="215" t="s">
        <v>47</v>
      </c>
      <c r="W644" s="102" t="s">
        <v>136</v>
      </c>
      <c r="X644" s="102" t="s">
        <v>137</v>
      </c>
      <c r="Y644" s="103" t="s">
        <v>138</v>
      </c>
      <c r="Z644" s="103" t="s">
        <v>139</v>
      </c>
      <c r="AA644" s="103" t="s">
        <v>47</v>
      </c>
      <c r="AB644" s="103" t="s">
        <v>140</v>
      </c>
      <c r="AC644" s="104" t="s">
        <v>141</v>
      </c>
    </row>
    <row r="645" spans="1:29" ht="25.5" customHeight="1" x14ac:dyDescent="0.35">
      <c r="A645" s="188"/>
      <c r="B645" s="190"/>
      <c r="C645" s="99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0"/>
      <c r="E645" s="78" t="str">
        <f>IF(C645="","",IFERROR(VLOOKUP(C645,parametros!$A$11:$E$15,5,0),""))</f>
        <v/>
      </c>
      <c r="F645" s="79" t="str">
        <f t="shared" si="52"/>
        <v/>
      </c>
      <c r="G645" s="101"/>
      <c r="H645" s="91">
        <f t="shared" si="53"/>
        <v>0</v>
      </c>
      <c r="I645" s="91" t="str">
        <f t="shared" si="54"/>
        <v/>
      </c>
      <c r="J645" s="91" t="str">
        <f t="shared" si="55"/>
        <v/>
      </c>
      <c r="K645" s="92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2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58"/>
      <c r="U645" s="217" t="str">
        <f t="shared" si="56"/>
        <v/>
      </c>
      <c r="V645" s="215" t="s">
        <v>47</v>
      </c>
      <c r="W645" s="102" t="s">
        <v>136</v>
      </c>
      <c r="X645" s="102" t="s">
        <v>137</v>
      </c>
      <c r="Y645" s="103" t="s">
        <v>138</v>
      </c>
      <c r="Z645" s="103" t="s">
        <v>139</v>
      </c>
      <c r="AA645" s="103" t="s">
        <v>47</v>
      </c>
      <c r="AB645" s="103" t="s">
        <v>140</v>
      </c>
      <c r="AC645" s="104" t="s">
        <v>141</v>
      </c>
    </row>
    <row r="646" spans="1:29" ht="25.5" customHeight="1" x14ac:dyDescent="0.35">
      <c r="A646" s="188"/>
      <c r="B646" s="190"/>
      <c r="C646" s="99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0"/>
      <c r="E646" s="78" t="str">
        <f>IF(C646="","",IFERROR(VLOOKUP(C646,parametros!$A$11:$E$15,5,0),""))</f>
        <v/>
      </c>
      <c r="F646" s="79" t="str">
        <f t="shared" si="52"/>
        <v/>
      </c>
      <c r="G646" s="101"/>
      <c r="H646" s="91">
        <f t="shared" si="53"/>
        <v>0</v>
      </c>
      <c r="I646" s="91" t="str">
        <f t="shared" si="54"/>
        <v/>
      </c>
      <c r="J646" s="91" t="str">
        <f t="shared" si="55"/>
        <v/>
      </c>
      <c r="K646" s="92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2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58"/>
      <c r="U646" s="217" t="str">
        <f t="shared" si="56"/>
        <v/>
      </c>
      <c r="V646" s="215" t="s">
        <v>47</v>
      </c>
      <c r="W646" s="102" t="s">
        <v>136</v>
      </c>
      <c r="X646" s="102" t="s">
        <v>137</v>
      </c>
      <c r="Y646" s="103" t="s">
        <v>138</v>
      </c>
      <c r="Z646" s="103" t="s">
        <v>139</v>
      </c>
      <c r="AA646" s="103" t="s">
        <v>47</v>
      </c>
      <c r="AB646" s="103" t="s">
        <v>140</v>
      </c>
      <c r="AC646" s="104" t="s">
        <v>141</v>
      </c>
    </row>
    <row r="647" spans="1:29" ht="25.5" customHeight="1" x14ac:dyDescent="0.35">
      <c r="A647" s="188"/>
      <c r="B647" s="190"/>
      <c r="C647" s="99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0"/>
      <c r="E647" s="78" t="str">
        <f>IF(C647="","",IFERROR(VLOOKUP(C647,parametros!$A$11:$E$15,5,0),""))</f>
        <v/>
      </c>
      <c r="F647" s="79" t="str">
        <f t="shared" si="52"/>
        <v/>
      </c>
      <c r="G647" s="101"/>
      <c r="H647" s="91">
        <f t="shared" si="53"/>
        <v>0</v>
      </c>
      <c r="I647" s="91" t="str">
        <f t="shared" si="54"/>
        <v/>
      </c>
      <c r="J647" s="91" t="str">
        <f t="shared" si="55"/>
        <v/>
      </c>
      <c r="K647" s="92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2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58"/>
      <c r="U647" s="217" t="str">
        <f t="shared" si="56"/>
        <v/>
      </c>
      <c r="V647" s="215" t="s">
        <v>47</v>
      </c>
      <c r="W647" s="102" t="s">
        <v>136</v>
      </c>
      <c r="X647" s="102" t="s">
        <v>137</v>
      </c>
      <c r="Y647" s="103" t="s">
        <v>138</v>
      </c>
      <c r="Z647" s="103" t="s">
        <v>139</v>
      </c>
      <c r="AA647" s="103" t="s">
        <v>47</v>
      </c>
      <c r="AB647" s="103" t="s">
        <v>140</v>
      </c>
      <c r="AC647" s="104" t="s">
        <v>141</v>
      </c>
    </row>
    <row r="648" spans="1:29" ht="25.5" customHeight="1" x14ac:dyDescent="0.35">
      <c r="A648" s="188"/>
      <c r="B648" s="190"/>
      <c r="C648" s="99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0"/>
      <c r="E648" s="78" t="str">
        <f>IF(C648="","",IFERROR(VLOOKUP(C648,parametros!$A$11:$E$15,5,0),""))</f>
        <v/>
      </c>
      <c r="F648" s="79" t="str">
        <f t="shared" si="52"/>
        <v/>
      </c>
      <c r="G648" s="101"/>
      <c r="H648" s="91">
        <f t="shared" si="53"/>
        <v>0</v>
      </c>
      <c r="I648" s="91" t="str">
        <f t="shared" si="54"/>
        <v/>
      </c>
      <c r="J648" s="91" t="str">
        <f t="shared" si="55"/>
        <v/>
      </c>
      <c r="K648" s="92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2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58"/>
      <c r="U648" s="217" t="str">
        <f t="shared" si="56"/>
        <v/>
      </c>
      <c r="V648" s="215" t="s">
        <v>47</v>
      </c>
      <c r="W648" s="102" t="s">
        <v>136</v>
      </c>
      <c r="X648" s="102" t="s">
        <v>137</v>
      </c>
      <c r="Y648" s="103" t="s">
        <v>138</v>
      </c>
      <c r="Z648" s="103" t="s">
        <v>139</v>
      </c>
      <c r="AA648" s="103" t="s">
        <v>47</v>
      </c>
      <c r="AB648" s="103" t="s">
        <v>140</v>
      </c>
      <c r="AC648" s="104" t="s">
        <v>141</v>
      </c>
    </row>
    <row r="649" spans="1:29" ht="25.5" customHeight="1" x14ac:dyDescent="0.35">
      <c r="A649" s="188"/>
      <c r="B649" s="190"/>
      <c r="C649" s="99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0"/>
      <c r="E649" s="78" t="str">
        <f>IF(C649="","",IFERROR(VLOOKUP(C649,parametros!$A$11:$E$15,5,0),""))</f>
        <v/>
      </c>
      <c r="F649" s="79" t="str">
        <f t="shared" si="52"/>
        <v/>
      </c>
      <c r="G649" s="101"/>
      <c r="H649" s="91">
        <f t="shared" si="53"/>
        <v>0</v>
      </c>
      <c r="I649" s="91" t="str">
        <f t="shared" si="54"/>
        <v/>
      </c>
      <c r="J649" s="91" t="str">
        <f t="shared" si="55"/>
        <v/>
      </c>
      <c r="K649" s="92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2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58"/>
      <c r="U649" s="217" t="str">
        <f t="shared" si="56"/>
        <v/>
      </c>
      <c r="V649" s="215" t="s">
        <v>47</v>
      </c>
      <c r="W649" s="102" t="s">
        <v>136</v>
      </c>
      <c r="X649" s="102" t="s">
        <v>137</v>
      </c>
      <c r="Y649" s="103" t="s">
        <v>138</v>
      </c>
      <c r="Z649" s="103" t="s">
        <v>139</v>
      </c>
      <c r="AA649" s="103" t="s">
        <v>47</v>
      </c>
      <c r="AB649" s="103" t="s">
        <v>140</v>
      </c>
      <c r="AC649" s="104" t="s">
        <v>141</v>
      </c>
    </row>
    <row r="650" spans="1:29" ht="25.5" customHeight="1" x14ac:dyDescent="0.35">
      <c r="A650" s="188"/>
      <c r="B650" s="190"/>
      <c r="C650" s="99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0"/>
      <c r="E650" s="78" t="str">
        <f>IF(C650="","",IFERROR(VLOOKUP(C650,parametros!$A$11:$E$15,5,0),""))</f>
        <v/>
      </c>
      <c r="F650" s="79" t="str">
        <f t="shared" si="52"/>
        <v/>
      </c>
      <c r="G650" s="101"/>
      <c r="H650" s="91">
        <f t="shared" si="53"/>
        <v>0</v>
      </c>
      <c r="I650" s="91" t="str">
        <f t="shared" si="54"/>
        <v/>
      </c>
      <c r="J650" s="91" t="str">
        <f t="shared" si="55"/>
        <v/>
      </c>
      <c r="K650" s="92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2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58"/>
      <c r="U650" s="217" t="str">
        <f t="shared" si="56"/>
        <v/>
      </c>
      <c r="V650" s="215" t="s">
        <v>47</v>
      </c>
      <c r="W650" s="102" t="s">
        <v>136</v>
      </c>
      <c r="X650" s="102" t="s">
        <v>137</v>
      </c>
      <c r="Y650" s="103" t="s">
        <v>138</v>
      </c>
      <c r="Z650" s="103" t="s">
        <v>139</v>
      </c>
      <c r="AA650" s="103" t="s">
        <v>47</v>
      </c>
      <c r="AB650" s="103" t="s">
        <v>140</v>
      </c>
      <c r="AC650" s="104" t="s">
        <v>141</v>
      </c>
    </row>
    <row r="651" spans="1:29" ht="25.5" customHeight="1" x14ac:dyDescent="0.35">
      <c r="A651" s="188"/>
      <c r="B651" s="190"/>
      <c r="C651" s="99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0"/>
      <c r="E651" s="78" t="str">
        <f>IF(C651="","",IFERROR(VLOOKUP(C651,parametros!$A$11:$E$15,5,0),""))</f>
        <v/>
      </c>
      <c r="F651" s="79" t="str">
        <f t="shared" si="52"/>
        <v/>
      </c>
      <c r="G651" s="101"/>
      <c r="H651" s="91">
        <f t="shared" si="53"/>
        <v>0</v>
      </c>
      <c r="I651" s="91" t="str">
        <f t="shared" si="54"/>
        <v/>
      </c>
      <c r="J651" s="91" t="str">
        <f t="shared" si="55"/>
        <v/>
      </c>
      <c r="K651" s="92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2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58"/>
      <c r="U651" s="217" t="str">
        <f t="shared" si="56"/>
        <v/>
      </c>
      <c r="V651" s="215" t="s">
        <v>47</v>
      </c>
      <c r="W651" s="102" t="s">
        <v>136</v>
      </c>
      <c r="X651" s="102" t="s">
        <v>137</v>
      </c>
      <c r="Y651" s="103" t="s">
        <v>138</v>
      </c>
      <c r="Z651" s="103" t="s">
        <v>139</v>
      </c>
      <c r="AA651" s="103" t="s">
        <v>47</v>
      </c>
      <c r="AB651" s="103" t="s">
        <v>140</v>
      </c>
      <c r="AC651" s="104" t="s">
        <v>141</v>
      </c>
    </row>
    <row r="652" spans="1:29" ht="25.5" customHeight="1" x14ac:dyDescent="0.35">
      <c r="A652" s="188"/>
      <c r="B652" s="190"/>
      <c r="C652" s="99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0"/>
      <c r="E652" s="78" t="str">
        <f>IF(C652="","",IFERROR(VLOOKUP(C652,parametros!$A$11:$E$15,5,0),""))</f>
        <v/>
      </c>
      <c r="F652" s="79" t="str">
        <f t="shared" si="52"/>
        <v/>
      </c>
      <c r="G652" s="101"/>
      <c r="H652" s="91">
        <f t="shared" si="53"/>
        <v>0</v>
      </c>
      <c r="I652" s="91" t="str">
        <f t="shared" si="54"/>
        <v/>
      </c>
      <c r="J652" s="91" t="str">
        <f t="shared" si="55"/>
        <v/>
      </c>
      <c r="K652" s="92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2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58"/>
      <c r="U652" s="217" t="str">
        <f t="shared" si="56"/>
        <v/>
      </c>
      <c r="V652" s="215" t="s">
        <v>47</v>
      </c>
      <c r="W652" s="102" t="s">
        <v>136</v>
      </c>
      <c r="X652" s="102" t="s">
        <v>137</v>
      </c>
      <c r="Y652" s="103" t="s">
        <v>138</v>
      </c>
      <c r="Z652" s="103" t="s">
        <v>139</v>
      </c>
      <c r="AA652" s="103" t="s">
        <v>47</v>
      </c>
      <c r="AB652" s="103" t="s">
        <v>140</v>
      </c>
      <c r="AC652" s="104" t="s">
        <v>141</v>
      </c>
    </row>
    <row r="653" spans="1:29" ht="25.5" customHeight="1" x14ac:dyDescent="0.35">
      <c r="A653" s="188"/>
      <c r="B653" s="190"/>
      <c r="C653" s="99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0"/>
      <c r="E653" s="78" t="str">
        <f>IF(C653="","",IFERROR(VLOOKUP(C653,parametros!$A$11:$E$15,5,0),""))</f>
        <v/>
      </c>
      <c r="F653" s="79" t="str">
        <f t="shared" si="52"/>
        <v/>
      </c>
      <c r="G653" s="101"/>
      <c r="H653" s="91">
        <f t="shared" si="53"/>
        <v>0</v>
      </c>
      <c r="I653" s="91" t="str">
        <f t="shared" si="54"/>
        <v/>
      </c>
      <c r="J653" s="91" t="str">
        <f t="shared" si="55"/>
        <v/>
      </c>
      <c r="K653" s="92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2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58"/>
      <c r="U653" s="217" t="str">
        <f t="shared" si="56"/>
        <v/>
      </c>
      <c r="V653" s="215" t="s">
        <v>47</v>
      </c>
      <c r="W653" s="102" t="s">
        <v>136</v>
      </c>
      <c r="X653" s="102" t="s">
        <v>137</v>
      </c>
      <c r="Y653" s="103" t="s">
        <v>138</v>
      </c>
      <c r="Z653" s="103" t="s">
        <v>139</v>
      </c>
      <c r="AA653" s="103" t="s">
        <v>47</v>
      </c>
      <c r="AB653" s="103" t="s">
        <v>140</v>
      </c>
      <c r="AC653" s="104" t="s">
        <v>141</v>
      </c>
    </row>
    <row r="654" spans="1:29" ht="25.5" customHeight="1" x14ac:dyDescent="0.35">
      <c r="A654" s="188"/>
      <c r="B654" s="190"/>
      <c r="C654" s="99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0"/>
      <c r="E654" s="78" t="str">
        <f>IF(C654="","",IFERROR(VLOOKUP(C654,parametros!$A$11:$E$15,5,0),""))</f>
        <v/>
      </c>
      <c r="F654" s="79" t="str">
        <f t="shared" si="52"/>
        <v/>
      </c>
      <c r="G654" s="101"/>
      <c r="H654" s="91">
        <f t="shared" si="53"/>
        <v>0</v>
      </c>
      <c r="I654" s="91" t="str">
        <f t="shared" si="54"/>
        <v/>
      </c>
      <c r="J654" s="91" t="str">
        <f t="shared" si="55"/>
        <v/>
      </c>
      <c r="K654" s="92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2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58"/>
      <c r="U654" s="217" t="str">
        <f t="shared" si="56"/>
        <v/>
      </c>
      <c r="V654" s="215" t="s">
        <v>47</v>
      </c>
      <c r="W654" s="102" t="s">
        <v>136</v>
      </c>
      <c r="X654" s="102" t="s">
        <v>137</v>
      </c>
      <c r="Y654" s="103" t="s">
        <v>138</v>
      </c>
      <c r="Z654" s="103" t="s">
        <v>139</v>
      </c>
      <c r="AA654" s="103" t="s">
        <v>47</v>
      </c>
      <c r="AB654" s="103" t="s">
        <v>140</v>
      </c>
      <c r="AC654" s="104" t="s">
        <v>141</v>
      </c>
    </row>
    <row r="655" spans="1:29" ht="25.5" customHeight="1" x14ac:dyDescent="0.35">
      <c r="A655" s="188"/>
      <c r="B655" s="190"/>
      <c r="C655" s="99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0"/>
      <c r="E655" s="78" t="str">
        <f>IF(C655="","",IFERROR(VLOOKUP(C655,parametros!$A$11:$E$15,5,0),""))</f>
        <v/>
      </c>
      <c r="F655" s="79" t="str">
        <f t="shared" si="52"/>
        <v/>
      </c>
      <c r="G655" s="101"/>
      <c r="H655" s="91">
        <f t="shared" si="53"/>
        <v>0</v>
      </c>
      <c r="I655" s="91" t="str">
        <f t="shared" si="54"/>
        <v/>
      </c>
      <c r="J655" s="91" t="str">
        <f t="shared" si="55"/>
        <v/>
      </c>
      <c r="K655" s="92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2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58"/>
      <c r="U655" s="217" t="str">
        <f t="shared" si="56"/>
        <v/>
      </c>
      <c r="V655" s="215" t="s">
        <v>47</v>
      </c>
      <c r="W655" s="102" t="s">
        <v>136</v>
      </c>
      <c r="X655" s="102" t="s">
        <v>137</v>
      </c>
      <c r="Y655" s="103" t="s">
        <v>138</v>
      </c>
      <c r="Z655" s="103" t="s">
        <v>139</v>
      </c>
      <c r="AA655" s="103" t="s">
        <v>47</v>
      </c>
      <c r="AB655" s="103" t="s">
        <v>140</v>
      </c>
      <c r="AC655" s="104" t="s">
        <v>141</v>
      </c>
    </row>
    <row r="656" spans="1:29" ht="25.5" customHeight="1" x14ac:dyDescent="0.35">
      <c r="A656" s="188"/>
      <c r="B656" s="190"/>
      <c r="C656" s="99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0"/>
      <c r="E656" s="78" t="str">
        <f>IF(C656="","",IFERROR(VLOOKUP(C656,parametros!$A$11:$E$15,5,0),""))</f>
        <v/>
      </c>
      <c r="F656" s="79" t="str">
        <f t="shared" si="52"/>
        <v/>
      </c>
      <c r="G656" s="101"/>
      <c r="H656" s="91">
        <f t="shared" si="53"/>
        <v>0</v>
      </c>
      <c r="I656" s="91" t="str">
        <f t="shared" si="54"/>
        <v/>
      </c>
      <c r="J656" s="91" t="str">
        <f t="shared" si="55"/>
        <v/>
      </c>
      <c r="K656" s="92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2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58"/>
      <c r="U656" s="217" t="str">
        <f t="shared" si="56"/>
        <v/>
      </c>
      <c r="V656" s="215" t="s">
        <v>47</v>
      </c>
      <c r="W656" s="102" t="s">
        <v>136</v>
      </c>
      <c r="X656" s="102" t="s">
        <v>137</v>
      </c>
      <c r="Y656" s="103" t="s">
        <v>138</v>
      </c>
      <c r="Z656" s="103" t="s">
        <v>139</v>
      </c>
      <c r="AA656" s="103" t="s">
        <v>47</v>
      </c>
      <c r="AB656" s="103" t="s">
        <v>140</v>
      </c>
      <c r="AC656" s="104" t="s">
        <v>141</v>
      </c>
    </row>
    <row r="657" spans="1:29" ht="25.5" customHeight="1" x14ac:dyDescent="0.35">
      <c r="A657" s="188"/>
      <c r="B657" s="190"/>
      <c r="C657" s="99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0"/>
      <c r="E657" s="78" t="str">
        <f>IF(C657="","",IFERROR(VLOOKUP(C657,parametros!$A$11:$E$15,5,0),""))</f>
        <v/>
      </c>
      <c r="F657" s="79" t="str">
        <f t="shared" si="52"/>
        <v/>
      </c>
      <c r="G657" s="101"/>
      <c r="H657" s="91">
        <f t="shared" si="53"/>
        <v>0</v>
      </c>
      <c r="I657" s="91" t="str">
        <f t="shared" si="54"/>
        <v/>
      </c>
      <c r="J657" s="91" t="str">
        <f t="shared" si="55"/>
        <v/>
      </c>
      <c r="K657" s="92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2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58"/>
      <c r="U657" s="217" t="str">
        <f t="shared" si="56"/>
        <v/>
      </c>
      <c r="V657" s="215" t="s">
        <v>47</v>
      </c>
      <c r="W657" s="102" t="s">
        <v>136</v>
      </c>
      <c r="X657" s="102" t="s">
        <v>137</v>
      </c>
      <c r="Y657" s="103" t="s">
        <v>138</v>
      </c>
      <c r="Z657" s="103" t="s">
        <v>139</v>
      </c>
      <c r="AA657" s="103" t="s">
        <v>47</v>
      </c>
      <c r="AB657" s="103" t="s">
        <v>140</v>
      </c>
      <c r="AC657" s="104" t="s">
        <v>141</v>
      </c>
    </row>
    <row r="658" spans="1:29" ht="25.5" customHeight="1" x14ac:dyDescent="0.35">
      <c r="A658" s="188"/>
      <c r="B658" s="190"/>
      <c r="C658" s="99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0"/>
      <c r="E658" s="78" t="str">
        <f>IF(C658="","",IFERROR(VLOOKUP(C658,parametros!$A$11:$E$15,5,0),""))</f>
        <v/>
      </c>
      <c r="F658" s="79" t="str">
        <f t="shared" si="52"/>
        <v/>
      </c>
      <c r="G658" s="101"/>
      <c r="H658" s="91">
        <f t="shared" si="53"/>
        <v>0</v>
      </c>
      <c r="I658" s="91" t="str">
        <f t="shared" si="54"/>
        <v/>
      </c>
      <c r="J658" s="91" t="str">
        <f t="shared" si="55"/>
        <v/>
      </c>
      <c r="K658" s="92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2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58"/>
      <c r="U658" s="217" t="str">
        <f t="shared" si="56"/>
        <v/>
      </c>
      <c r="V658" s="215" t="s">
        <v>47</v>
      </c>
      <c r="W658" s="102" t="s">
        <v>136</v>
      </c>
      <c r="X658" s="102" t="s">
        <v>137</v>
      </c>
      <c r="Y658" s="103" t="s">
        <v>138</v>
      </c>
      <c r="Z658" s="103" t="s">
        <v>139</v>
      </c>
      <c r="AA658" s="103" t="s">
        <v>47</v>
      </c>
      <c r="AB658" s="103" t="s">
        <v>140</v>
      </c>
      <c r="AC658" s="104" t="s">
        <v>141</v>
      </c>
    </row>
    <row r="659" spans="1:29" ht="25.5" customHeight="1" x14ac:dyDescent="0.35">
      <c r="A659" s="188"/>
      <c r="B659" s="190"/>
      <c r="C659" s="99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0"/>
      <c r="E659" s="78" t="str">
        <f>IF(C659="","",IFERROR(VLOOKUP(C659,parametros!$A$11:$E$15,5,0),""))</f>
        <v/>
      </c>
      <c r="F659" s="79" t="str">
        <f t="shared" si="52"/>
        <v/>
      </c>
      <c r="G659" s="101"/>
      <c r="H659" s="91">
        <f t="shared" si="53"/>
        <v>0</v>
      </c>
      <c r="I659" s="91" t="str">
        <f t="shared" si="54"/>
        <v/>
      </c>
      <c r="J659" s="91" t="str">
        <f t="shared" si="55"/>
        <v/>
      </c>
      <c r="K659" s="92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2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58"/>
      <c r="U659" s="217" t="str">
        <f t="shared" si="56"/>
        <v/>
      </c>
      <c r="V659" s="215" t="s">
        <v>47</v>
      </c>
      <c r="W659" s="102" t="s">
        <v>136</v>
      </c>
      <c r="X659" s="102" t="s">
        <v>137</v>
      </c>
      <c r="Y659" s="103" t="s">
        <v>138</v>
      </c>
      <c r="Z659" s="103" t="s">
        <v>139</v>
      </c>
      <c r="AA659" s="103" t="s">
        <v>47</v>
      </c>
      <c r="AB659" s="103" t="s">
        <v>140</v>
      </c>
      <c r="AC659" s="104" t="s">
        <v>141</v>
      </c>
    </row>
    <row r="660" spans="1:29" ht="25.5" customHeight="1" x14ac:dyDescent="0.35">
      <c r="A660" s="188"/>
      <c r="B660" s="190"/>
      <c r="C660" s="99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0"/>
      <c r="E660" s="78" t="str">
        <f>IF(C660="","",IFERROR(VLOOKUP(C660,parametros!$A$11:$E$15,5,0),""))</f>
        <v/>
      </c>
      <c r="F660" s="79" t="str">
        <f t="shared" si="52"/>
        <v/>
      </c>
      <c r="G660" s="101"/>
      <c r="H660" s="91">
        <f t="shared" si="53"/>
        <v>0</v>
      </c>
      <c r="I660" s="91" t="str">
        <f t="shared" si="54"/>
        <v/>
      </c>
      <c r="J660" s="91" t="str">
        <f t="shared" si="55"/>
        <v/>
      </c>
      <c r="K660" s="92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2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58"/>
      <c r="U660" s="217" t="str">
        <f t="shared" si="56"/>
        <v/>
      </c>
      <c r="V660" s="215" t="s">
        <v>47</v>
      </c>
      <c r="W660" s="102" t="s">
        <v>136</v>
      </c>
      <c r="X660" s="102" t="s">
        <v>137</v>
      </c>
      <c r="Y660" s="103" t="s">
        <v>138</v>
      </c>
      <c r="Z660" s="103" t="s">
        <v>139</v>
      </c>
      <c r="AA660" s="103" t="s">
        <v>47</v>
      </c>
      <c r="AB660" s="103" t="s">
        <v>140</v>
      </c>
      <c r="AC660" s="104" t="s">
        <v>141</v>
      </c>
    </row>
    <row r="661" spans="1:29" ht="25.5" customHeight="1" x14ac:dyDescent="0.35">
      <c r="A661" s="188"/>
      <c r="B661" s="190"/>
      <c r="C661" s="99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0"/>
      <c r="E661" s="78" t="str">
        <f>IF(C661="","",IFERROR(VLOOKUP(C661,parametros!$A$11:$E$15,5,0),""))</f>
        <v/>
      </c>
      <c r="F661" s="79" t="str">
        <f t="shared" si="52"/>
        <v/>
      </c>
      <c r="G661" s="101"/>
      <c r="H661" s="91">
        <f t="shared" si="53"/>
        <v>0</v>
      </c>
      <c r="I661" s="91" t="str">
        <f t="shared" si="54"/>
        <v/>
      </c>
      <c r="J661" s="91" t="str">
        <f t="shared" si="55"/>
        <v/>
      </c>
      <c r="K661" s="92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2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58"/>
      <c r="U661" s="217" t="str">
        <f t="shared" si="56"/>
        <v/>
      </c>
      <c r="V661" s="215" t="s">
        <v>47</v>
      </c>
      <c r="W661" s="102" t="s">
        <v>136</v>
      </c>
      <c r="X661" s="102" t="s">
        <v>137</v>
      </c>
      <c r="Y661" s="103" t="s">
        <v>138</v>
      </c>
      <c r="Z661" s="103" t="s">
        <v>139</v>
      </c>
      <c r="AA661" s="103" t="s">
        <v>47</v>
      </c>
      <c r="AB661" s="103" t="s">
        <v>140</v>
      </c>
      <c r="AC661" s="104" t="s">
        <v>141</v>
      </c>
    </row>
    <row r="662" spans="1:29" ht="25.5" customHeight="1" x14ac:dyDescent="0.35">
      <c r="A662" s="188"/>
      <c r="B662" s="190"/>
      <c r="C662" s="99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0"/>
      <c r="E662" s="78" t="str">
        <f>IF(C662="","",IFERROR(VLOOKUP(C662,parametros!$A$11:$E$15,5,0),""))</f>
        <v/>
      </c>
      <c r="F662" s="79" t="str">
        <f t="shared" si="52"/>
        <v/>
      </c>
      <c r="G662" s="101"/>
      <c r="H662" s="91">
        <f t="shared" si="53"/>
        <v>0</v>
      </c>
      <c r="I662" s="91" t="str">
        <f t="shared" si="54"/>
        <v/>
      </c>
      <c r="J662" s="91" t="str">
        <f t="shared" si="55"/>
        <v/>
      </c>
      <c r="K662" s="92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2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58"/>
      <c r="U662" s="217" t="str">
        <f t="shared" si="56"/>
        <v/>
      </c>
      <c r="V662" s="215" t="s">
        <v>47</v>
      </c>
      <c r="W662" s="102" t="s">
        <v>136</v>
      </c>
      <c r="X662" s="102" t="s">
        <v>137</v>
      </c>
      <c r="Y662" s="103" t="s">
        <v>138</v>
      </c>
      <c r="Z662" s="103" t="s">
        <v>139</v>
      </c>
      <c r="AA662" s="103" t="s">
        <v>47</v>
      </c>
      <c r="AB662" s="103" t="s">
        <v>140</v>
      </c>
      <c r="AC662" s="104" t="s">
        <v>141</v>
      </c>
    </row>
    <row r="663" spans="1:29" ht="25.5" customHeight="1" x14ac:dyDescent="0.35">
      <c r="A663" s="188"/>
      <c r="B663" s="190"/>
      <c r="C663" s="99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0"/>
      <c r="E663" s="78" t="str">
        <f>IF(C663="","",IFERROR(VLOOKUP(C663,parametros!$A$11:$E$15,5,0),""))</f>
        <v/>
      </c>
      <c r="F663" s="79" t="str">
        <f t="shared" si="52"/>
        <v/>
      </c>
      <c r="G663" s="101"/>
      <c r="H663" s="91">
        <f t="shared" si="53"/>
        <v>0</v>
      </c>
      <c r="I663" s="91" t="str">
        <f t="shared" si="54"/>
        <v/>
      </c>
      <c r="J663" s="91" t="str">
        <f t="shared" si="55"/>
        <v/>
      </c>
      <c r="K663" s="92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2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58"/>
      <c r="U663" s="217" t="str">
        <f t="shared" si="56"/>
        <v/>
      </c>
      <c r="V663" s="215" t="s">
        <v>47</v>
      </c>
      <c r="W663" s="102" t="s">
        <v>136</v>
      </c>
      <c r="X663" s="102" t="s">
        <v>137</v>
      </c>
      <c r="Y663" s="103" t="s">
        <v>138</v>
      </c>
      <c r="Z663" s="103" t="s">
        <v>139</v>
      </c>
      <c r="AA663" s="103" t="s">
        <v>47</v>
      </c>
      <c r="AB663" s="103" t="s">
        <v>140</v>
      </c>
      <c r="AC663" s="104" t="s">
        <v>141</v>
      </c>
    </row>
    <row r="664" spans="1:29" ht="25.5" customHeight="1" x14ac:dyDescent="0.35">
      <c r="A664" s="188"/>
      <c r="B664" s="190"/>
      <c r="C664" s="99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0"/>
      <c r="E664" s="78" t="str">
        <f>IF(C664="","",IFERROR(VLOOKUP(C664,parametros!$A$11:$E$15,5,0),""))</f>
        <v/>
      </c>
      <c r="F664" s="79" t="str">
        <f t="shared" si="52"/>
        <v/>
      </c>
      <c r="G664" s="101"/>
      <c r="H664" s="91">
        <f t="shared" si="53"/>
        <v>0</v>
      </c>
      <c r="I664" s="91" t="str">
        <f t="shared" si="54"/>
        <v/>
      </c>
      <c r="J664" s="91" t="str">
        <f t="shared" si="55"/>
        <v/>
      </c>
      <c r="K664" s="92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2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58"/>
      <c r="U664" s="217" t="str">
        <f t="shared" si="56"/>
        <v/>
      </c>
      <c r="V664" s="215" t="s">
        <v>47</v>
      </c>
      <c r="W664" s="102" t="s">
        <v>136</v>
      </c>
      <c r="X664" s="102" t="s">
        <v>137</v>
      </c>
      <c r="Y664" s="103" t="s">
        <v>138</v>
      </c>
      <c r="Z664" s="103" t="s">
        <v>139</v>
      </c>
      <c r="AA664" s="103" t="s">
        <v>47</v>
      </c>
      <c r="AB664" s="103" t="s">
        <v>140</v>
      </c>
      <c r="AC664" s="104" t="s">
        <v>141</v>
      </c>
    </row>
    <row r="665" spans="1:29" ht="25.5" customHeight="1" x14ac:dyDescent="0.35">
      <c r="A665" s="188"/>
      <c r="B665" s="190"/>
      <c r="C665" s="99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0"/>
      <c r="E665" s="78" t="str">
        <f>IF(C665="","",IFERROR(VLOOKUP(C665,parametros!$A$11:$E$15,5,0),""))</f>
        <v/>
      </c>
      <c r="F665" s="79" t="str">
        <f t="shared" si="52"/>
        <v/>
      </c>
      <c r="G665" s="101"/>
      <c r="H665" s="91">
        <f t="shared" si="53"/>
        <v>0</v>
      </c>
      <c r="I665" s="91" t="str">
        <f t="shared" si="54"/>
        <v/>
      </c>
      <c r="J665" s="91" t="str">
        <f t="shared" si="55"/>
        <v/>
      </c>
      <c r="K665" s="92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2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58"/>
      <c r="U665" s="217" t="str">
        <f t="shared" si="56"/>
        <v/>
      </c>
      <c r="V665" s="215" t="s">
        <v>47</v>
      </c>
      <c r="W665" s="102" t="s">
        <v>136</v>
      </c>
      <c r="X665" s="102" t="s">
        <v>137</v>
      </c>
      <c r="Y665" s="103" t="s">
        <v>138</v>
      </c>
      <c r="Z665" s="103" t="s">
        <v>139</v>
      </c>
      <c r="AA665" s="103" t="s">
        <v>47</v>
      </c>
      <c r="AB665" s="103" t="s">
        <v>140</v>
      </c>
      <c r="AC665" s="104" t="s">
        <v>141</v>
      </c>
    </row>
    <row r="666" spans="1:29" ht="25.5" customHeight="1" x14ac:dyDescent="0.35">
      <c r="A666" s="188"/>
      <c r="B666" s="190"/>
      <c r="C666" s="99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0"/>
      <c r="E666" s="78" t="str">
        <f>IF(C666="","",IFERROR(VLOOKUP(C666,parametros!$A$11:$E$15,5,0),""))</f>
        <v/>
      </c>
      <c r="F666" s="79" t="str">
        <f t="shared" si="52"/>
        <v/>
      </c>
      <c r="G666" s="101"/>
      <c r="H666" s="91">
        <f t="shared" si="53"/>
        <v>0</v>
      </c>
      <c r="I666" s="91" t="str">
        <f t="shared" si="54"/>
        <v/>
      </c>
      <c r="J666" s="91" t="str">
        <f t="shared" si="55"/>
        <v/>
      </c>
      <c r="K666" s="92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2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58"/>
      <c r="U666" s="217" t="str">
        <f t="shared" si="56"/>
        <v/>
      </c>
      <c r="V666" s="215" t="s">
        <v>47</v>
      </c>
      <c r="W666" s="102" t="s">
        <v>136</v>
      </c>
      <c r="X666" s="102" t="s">
        <v>137</v>
      </c>
      <c r="Y666" s="103" t="s">
        <v>138</v>
      </c>
      <c r="Z666" s="103" t="s">
        <v>139</v>
      </c>
      <c r="AA666" s="103" t="s">
        <v>47</v>
      </c>
      <c r="AB666" s="103" t="s">
        <v>140</v>
      </c>
      <c r="AC666" s="104" t="s">
        <v>141</v>
      </c>
    </row>
    <row r="667" spans="1:29" ht="25.5" customHeight="1" x14ac:dyDescent="0.35">
      <c r="A667" s="188"/>
      <c r="B667" s="190"/>
      <c r="C667" s="99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0"/>
      <c r="E667" s="78" t="str">
        <f>IF(C667="","",IFERROR(VLOOKUP(C667,parametros!$A$11:$E$15,5,0),""))</f>
        <v/>
      </c>
      <c r="F667" s="79" t="str">
        <f t="shared" si="52"/>
        <v/>
      </c>
      <c r="G667" s="101"/>
      <c r="H667" s="91">
        <f t="shared" si="53"/>
        <v>0</v>
      </c>
      <c r="I667" s="91" t="str">
        <f t="shared" si="54"/>
        <v/>
      </c>
      <c r="J667" s="91" t="str">
        <f t="shared" si="55"/>
        <v/>
      </c>
      <c r="K667" s="92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2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58"/>
      <c r="U667" s="217" t="str">
        <f t="shared" si="56"/>
        <v/>
      </c>
      <c r="V667" s="215" t="s">
        <v>47</v>
      </c>
      <c r="W667" s="102" t="s">
        <v>136</v>
      </c>
      <c r="X667" s="102" t="s">
        <v>137</v>
      </c>
      <c r="Y667" s="103" t="s">
        <v>138</v>
      </c>
      <c r="Z667" s="103" t="s">
        <v>139</v>
      </c>
      <c r="AA667" s="103" t="s">
        <v>47</v>
      </c>
      <c r="AB667" s="103" t="s">
        <v>140</v>
      </c>
      <c r="AC667" s="104" t="s">
        <v>141</v>
      </c>
    </row>
    <row r="668" spans="1:29" ht="25.5" customHeight="1" x14ac:dyDescent="0.35">
      <c r="A668" s="188"/>
      <c r="B668" s="190"/>
      <c r="C668" s="99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0"/>
      <c r="E668" s="78" t="str">
        <f>IF(C668="","",IFERROR(VLOOKUP(C668,parametros!$A$11:$E$15,5,0),""))</f>
        <v/>
      </c>
      <c r="F668" s="79" t="str">
        <f t="shared" si="52"/>
        <v/>
      </c>
      <c r="G668" s="101"/>
      <c r="H668" s="91">
        <f t="shared" si="53"/>
        <v>0</v>
      </c>
      <c r="I668" s="91" t="str">
        <f t="shared" si="54"/>
        <v/>
      </c>
      <c r="J668" s="91" t="str">
        <f t="shared" si="55"/>
        <v/>
      </c>
      <c r="K668" s="92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2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58"/>
      <c r="U668" s="217" t="str">
        <f t="shared" si="56"/>
        <v/>
      </c>
      <c r="V668" s="215" t="s">
        <v>47</v>
      </c>
      <c r="W668" s="102" t="s">
        <v>136</v>
      </c>
      <c r="X668" s="102" t="s">
        <v>137</v>
      </c>
      <c r="Y668" s="103" t="s">
        <v>138</v>
      </c>
      <c r="Z668" s="103" t="s">
        <v>139</v>
      </c>
      <c r="AA668" s="103" t="s">
        <v>47</v>
      </c>
      <c r="AB668" s="103" t="s">
        <v>140</v>
      </c>
      <c r="AC668" s="104" t="s">
        <v>141</v>
      </c>
    </row>
    <row r="669" spans="1:29" ht="25.5" customHeight="1" x14ac:dyDescent="0.35">
      <c r="A669" s="188"/>
      <c r="B669" s="190"/>
      <c r="C669" s="99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0"/>
      <c r="E669" s="78" t="str">
        <f>IF(C669="","",IFERROR(VLOOKUP(C669,parametros!$A$11:$E$15,5,0),""))</f>
        <v/>
      </c>
      <c r="F669" s="79" t="str">
        <f t="shared" si="52"/>
        <v/>
      </c>
      <c r="G669" s="101"/>
      <c r="H669" s="91">
        <f t="shared" si="53"/>
        <v>0</v>
      </c>
      <c r="I669" s="91" t="str">
        <f t="shared" si="54"/>
        <v/>
      </c>
      <c r="J669" s="91" t="str">
        <f t="shared" si="55"/>
        <v/>
      </c>
      <c r="K669" s="92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2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58"/>
      <c r="U669" s="217" t="str">
        <f t="shared" si="56"/>
        <v/>
      </c>
      <c r="V669" s="215" t="s">
        <v>47</v>
      </c>
      <c r="W669" s="102" t="s">
        <v>136</v>
      </c>
      <c r="X669" s="102" t="s">
        <v>137</v>
      </c>
      <c r="Y669" s="103" t="s">
        <v>138</v>
      </c>
      <c r="Z669" s="103" t="s">
        <v>139</v>
      </c>
      <c r="AA669" s="103" t="s">
        <v>47</v>
      </c>
      <c r="AB669" s="103" t="s">
        <v>140</v>
      </c>
      <c r="AC669" s="104" t="s">
        <v>141</v>
      </c>
    </row>
    <row r="670" spans="1:29" ht="25.5" customHeight="1" x14ac:dyDescent="0.35">
      <c r="A670" s="188"/>
      <c r="B670" s="190"/>
      <c r="C670" s="99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0"/>
      <c r="E670" s="78" t="str">
        <f>IF(C670="","",IFERROR(VLOOKUP(C670,parametros!$A$11:$E$15,5,0),""))</f>
        <v/>
      </c>
      <c r="F670" s="79" t="str">
        <f t="shared" si="52"/>
        <v/>
      </c>
      <c r="G670" s="101"/>
      <c r="H670" s="91">
        <f t="shared" si="53"/>
        <v>0</v>
      </c>
      <c r="I670" s="91" t="str">
        <f t="shared" si="54"/>
        <v/>
      </c>
      <c r="J670" s="91" t="str">
        <f t="shared" si="55"/>
        <v/>
      </c>
      <c r="K670" s="92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2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58"/>
      <c r="U670" s="217" t="str">
        <f t="shared" si="56"/>
        <v/>
      </c>
      <c r="V670" s="215" t="s">
        <v>47</v>
      </c>
      <c r="W670" s="102" t="s">
        <v>136</v>
      </c>
      <c r="X670" s="102" t="s">
        <v>137</v>
      </c>
      <c r="Y670" s="103" t="s">
        <v>138</v>
      </c>
      <c r="Z670" s="103" t="s">
        <v>139</v>
      </c>
      <c r="AA670" s="103" t="s">
        <v>47</v>
      </c>
      <c r="AB670" s="103" t="s">
        <v>140</v>
      </c>
      <c r="AC670" s="104" t="s">
        <v>141</v>
      </c>
    </row>
    <row r="671" spans="1:29" ht="25.5" customHeight="1" x14ac:dyDescent="0.35">
      <c r="A671" s="188"/>
      <c r="B671" s="190"/>
      <c r="C671" s="99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0"/>
      <c r="E671" s="78" t="str">
        <f>IF(C671="","",IFERROR(VLOOKUP(C671,parametros!$A$11:$E$15,5,0),""))</f>
        <v/>
      </c>
      <c r="F671" s="79" t="str">
        <f t="shared" si="52"/>
        <v/>
      </c>
      <c r="G671" s="101"/>
      <c r="H671" s="91">
        <f t="shared" si="53"/>
        <v>0</v>
      </c>
      <c r="I671" s="91" t="str">
        <f t="shared" si="54"/>
        <v/>
      </c>
      <c r="J671" s="91" t="str">
        <f t="shared" si="55"/>
        <v/>
      </c>
      <c r="K671" s="92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2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58"/>
      <c r="U671" s="217" t="str">
        <f t="shared" si="56"/>
        <v/>
      </c>
      <c r="V671" s="215" t="s">
        <v>47</v>
      </c>
      <c r="W671" s="102" t="s">
        <v>136</v>
      </c>
      <c r="X671" s="102" t="s">
        <v>137</v>
      </c>
      <c r="Y671" s="103" t="s">
        <v>138</v>
      </c>
      <c r="Z671" s="103" t="s">
        <v>139</v>
      </c>
      <c r="AA671" s="103" t="s">
        <v>47</v>
      </c>
      <c r="AB671" s="103" t="s">
        <v>140</v>
      </c>
      <c r="AC671" s="104" t="s">
        <v>141</v>
      </c>
    </row>
    <row r="672" spans="1:29" ht="25.5" customHeight="1" x14ac:dyDescent="0.35">
      <c r="A672" s="188"/>
      <c r="B672" s="190"/>
      <c r="C672" s="99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0"/>
      <c r="E672" s="78" t="str">
        <f>IF(C672="","",IFERROR(VLOOKUP(C672,parametros!$A$11:$E$15,5,0),""))</f>
        <v/>
      </c>
      <c r="F672" s="79" t="str">
        <f t="shared" si="52"/>
        <v/>
      </c>
      <c r="G672" s="101"/>
      <c r="H672" s="91">
        <f t="shared" si="53"/>
        <v>0</v>
      </c>
      <c r="I672" s="91" t="str">
        <f t="shared" si="54"/>
        <v/>
      </c>
      <c r="J672" s="91" t="str">
        <f t="shared" si="55"/>
        <v/>
      </c>
      <c r="K672" s="92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2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58"/>
      <c r="U672" s="217" t="str">
        <f t="shared" si="56"/>
        <v/>
      </c>
      <c r="V672" s="215" t="s">
        <v>47</v>
      </c>
      <c r="W672" s="102" t="s">
        <v>136</v>
      </c>
      <c r="X672" s="102" t="s">
        <v>137</v>
      </c>
      <c r="Y672" s="103" t="s">
        <v>138</v>
      </c>
      <c r="Z672" s="103" t="s">
        <v>139</v>
      </c>
      <c r="AA672" s="103" t="s">
        <v>47</v>
      </c>
      <c r="AB672" s="103" t="s">
        <v>140</v>
      </c>
      <c r="AC672" s="104" t="s">
        <v>141</v>
      </c>
    </row>
    <row r="673" spans="1:29" ht="25.5" customHeight="1" x14ac:dyDescent="0.35">
      <c r="A673" s="188"/>
      <c r="B673" s="190"/>
      <c r="C673" s="99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0"/>
      <c r="E673" s="78" t="str">
        <f>IF(C673="","",IFERROR(VLOOKUP(C673,parametros!$A$11:$E$15,5,0),""))</f>
        <v/>
      </c>
      <c r="F673" s="79" t="str">
        <f t="shared" si="52"/>
        <v/>
      </c>
      <c r="G673" s="101"/>
      <c r="H673" s="91">
        <f t="shared" si="53"/>
        <v>0</v>
      </c>
      <c r="I673" s="91" t="str">
        <f t="shared" si="54"/>
        <v/>
      </c>
      <c r="J673" s="91" t="str">
        <f t="shared" si="55"/>
        <v/>
      </c>
      <c r="K673" s="92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2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58"/>
      <c r="U673" s="217" t="str">
        <f t="shared" si="56"/>
        <v/>
      </c>
      <c r="V673" s="215" t="s">
        <v>47</v>
      </c>
      <c r="W673" s="102" t="s">
        <v>136</v>
      </c>
      <c r="X673" s="102" t="s">
        <v>137</v>
      </c>
      <c r="Y673" s="103" t="s">
        <v>138</v>
      </c>
      <c r="Z673" s="103" t="s">
        <v>139</v>
      </c>
      <c r="AA673" s="103" t="s">
        <v>47</v>
      </c>
      <c r="AB673" s="103" t="s">
        <v>140</v>
      </c>
      <c r="AC673" s="104" t="s">
        <v>141</v>
      </c>
    </row>
    <row r="674" spans="1:29" ht="25.5" customHeight="1" x14ac:dyDescent="0.35">
      <c r="A674" s="188"/>
      <c r="B674" s="190"/>
      <c r="C674" s="99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0"/>
      <c r="E674" s="78" t="str">
        <f>IF(C674="","",IFERROR(VLOOKUP(C674,parametros!$A$11:$E$15,5,0),""))</f>
        <v/>
      </c>
      <c r="F674" s="79" t="str">
        <f t="shared" si="52"/>
        <v/>
      </c>
      <c r="G674" s="101"/>
      <c r="H674" s="91">
        <f t="shared" si="53"/>
        <v>0</v>
      </c>
      <c r="I674" s="91" t="str">
        <f t="shared" si="54"/>
        <v/>
      </c>
      <c r="J674" s="91" t="str">
        <f t="shared" si="55"/>
        <v/>
      </c>
      <c r="K674" s="92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2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58"/>
      <c r="U674" s="217" t="str">
        <f t="shared" si="56"/>
        <v/>
      </c>
      <c r="V674" s="215" t="s">
        <v>47</v>
      </c>
      <c r="W674" s="102" t="s">
        <v>136</v>
      </c>
      <c r="X674" s="102" t="s">
        <v>137</v>
      </c>
      <c r="Y674" s="103" t="s">
        <v>138</v>
      </c>
      <c r="Z674" s="103" t="s">
        <v>139</v>
      </c>
      <c r="AA674" s="103" t="s">
        <v>47</v>
      </c>
      <c r="AB674" s="103" t="s">
        <v>140</v>
      </c>
      <c r="AC674" s="104" t="s">
        <v>141</v>
      </c>
    </row>
    <row r="675" spans="1:29" ht="25.5" customHeight="1" x14ac:dyDescent="0.35">
      <c r="A675" s="188"/>
      <c r="B675" s="190"/>
      <c r="C675" s="99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0"/>
      <c r="E675" s="78" t="str">
        <f>IF(C675="","",IFERROR(VLOOKUP(C675,parametros!$A$11:$E$15,5,0),""))</f>
        <v/>
      </c>
      <c r="F675" s="79" t="str">
        <f t="shared" si="52"/>
        <v/>
      </c>
      <c r="G675" s="101"/>
      <c r="H675" s="91">
        <f t="shared" si="53"/>
        <v>0</v>
      </c>
      <c r="I675" s="91" t="str">
        <f t="shared" si="54"/>
        <v/>
      </c>
      <c r="J675" s="91" t="str">
        <f t="shared" si="55"/>
        <v/>
      </c>
      <c r="K675" s="92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2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58"/>
      <c r="U675" s="217" t="str">
        <f t="shared" si="56"/>
        <v/>
      </c>
      <c r="V675" s="215" t="s">
        <v>47</v>
      </c>
      <c r="W675" s="102" t="s">
        <v>136</v>
      </c>
      <c r="X675" s="102" t="s">
        <v>137</v>
      </c>
      <c r="Y675" s="103" t="s">
        <v>138</v>
      </c>
      <c r="Z675" s="103" t="s">
        <v>139</v>
      </c>
      <c r="AA675" s="103" t="s">
        <v>47</v>
      </c>
      <c r="AB675" s="103" t="s">
        <v>140</v>
      </c>
      <c r="AC675" s="104" t="s">
        <v>141</v>
      </c>
    </row>
    <row r="676" spans="1:29" ht="25.5" customHeight="1" x14ac:dyDescent="0.35">
      <c r="A676" s="188"/>
      <c r="B676" s="190"/>
      <c r="C676" s="99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0"/>
      <c r="E676" s="78" t="str">
        <f>IF(C676="","",IFERROR(VLOOKUP(C676,parametros!$A$11:$E$15,5,0),""))</f>
        <v/>
      </c>
      <c r="F676" s="79" t="str">
        <f t="shared" si="52"/>
        <v/>
      </c>
      <c r="G676" s="101"/>
      <c r="H676" s="91">
        <f t="shared" si="53"/>
        <v>0</v>
      </c>
      <c r="I676" s="91" t="str">
        <f t="shared" si="54"/>
        <v/>
      </c>
      <c r="J676" s="91" t="str">
        <f t="shared" si="55"/>
        <v/>
      </c>
      <c r="K676" s="92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2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58"/>
      <c r="U676" s="217" t="str">
        <f t="shared" si="56"/>
        <v/>
      </c>
      <c r="V676" s="215" t="s">
        <v>47</v>
      </c>
      <c r="W676" s="102" t="s">
        <v>136</v>
      </c>
      <c r="X676" s="102" t="s">
        <v>137</v>
      </c>
      <c r="Y676" s="103" t="s">
        <v>138</v>
      </c>
      <c r="Z676" s="103" t="s">
        <v>139</v>
      </c>
      <c r="AA676" s="103" t="s">
        <v>47</v>
      </c>
      <c r="AB676" s="103" t="s">
        <v>140</v>
      </c>
      <c r="AC676" s="104" t="s">
        <v>141</v>
      </c>
    </row>
    <row r="677" spans="1:29" ht="25.5" customHeight="1" x14ac:dyDescent="0.35">
      <c r="A677" s="188"/>
      <c r="B677" s="190"/>
      <c r="C677" s="99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0"/>
      <c r="E677" s="78" t="str">
        <f>IF(C677="","",IFERROR(VLOOKUP(C677,parametros!$A$11:$E$15,5,0),""))</f>
        <v/>
      </c>
      <c r="F677" s="79" t="str">
        <f t="shared" si="52"/>
        <v/>
      </c>
      <c r="G677" s="101"/>
      <c r="H677" s="91">
        <f t="shared" si="53"/>
        <v>0</v>
      </c>
      <c r="I677" s="91" t="str">
        <f t="shared" si="54"/>
        <v/>
      </c>
      <c r="J677" s="91" t="str">
        <f t="shared" si="55"/>
        <v/>
      </c>
      <c r="K677" s="92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2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58"/>
      <c r="U677" s="217" t="str">
        <f t="shared" si="56"/>
        <v/>
      </c>
      <c r="V677" s="215" t="s">
        <v>47</v>
      </c>
      <c r="W677" s="102" t="s">
        <v>136</v>
      </c>
      <c r="X677" s="102" t="s">
        <v>137</v>
      </c>
      <c r="Y677" s="103" t="s">
        <v>138</v>
      </c>
      <c r="Z677" s="103" t="s">
        <v>139</v>
      </c>
      <c r="AA677" s="103" t="s">
        <v>47</v>
      </c>
      <c r="AB677" s="103" t="s">
        <v>140</v>
      </c>
      <c r="AC677" s="104" t="s">
        <v>141</v>
      </c>
    </row>
    <row r="678" spans="1:29" ht="25.5" customHeight="1" x14ac:dyDescent="0.35">
      <c r="A678" s="188"/>
      <c r="B678" s="190"/>
      <c r="C678" s="99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0"/>
      <c r="E678" s="78" t="str">
        <f>IF(C678="","",IFERROR(VLOOKUP(C678,parametros!$A$11:$E$15,5,0),""))</f>
        <v/>
      </c>
      <c r="F678" s="79" t="str">
        <f t="shared" si="52"/>
        <v/>
      </c>
      <c r="G678" s="101"/>
      <c r="H678" s="91">
        <f t="shared" si="53"/>
        <v>0</v>
      </c>
      <c r="I678" s="91" t="str">
        <f t="shared" si="54"/>
        <v/>
      </c>
      <c r="J678" s="91" t="str">
        <f t="shared" si="55"/>
        <v/>
      </c>
      <c r="K678" s="92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2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58"/>
      <c r="U678" s="217" t="str">
        <f t="shared" si="56"/>
        <v/>
      </c>
      <c r="V678" s="215" t="s">
        <v>47</v>
      </c>
      <c r="W678" s="102" t="s">
        <v>136</v>
      </c>
      <c r="X678" s="102" t="s">
        <v>137</v>
      </c>
      <c r="Y678" s="103" t="s">
        <v>138</v>
      </c>
      <c r="Z678" s="103" t="s">
        <v>139</v>
      </c>
      <c r="AA678" s="103" t="s">
        <v>47</v>
      </c>
      <c r="AB678" s="103" t="s">
        <v>140</v>
      </c>
      <c r="AC678" s="104" t="s">
        <v>141</v>
      </c>
    </row>
    <row r="679" spans="1:29" ht="25.5" customHeight="1" x14ac:dyDescent="0.35">
      <c r="A679" s="188"/>
      <c r="B679" s="190"/>
      <c r="C679" s="99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0"/>
      <c r="E679" s="78" t="str">
        <f>IF(C679="","",IFERROR(VLOOKUP(C679,parametros!$A$11:$E$15,5,0),""))</f>
        <v/>
      </c>
      <c r="F679" s="79" t="str">
        <f t="shared" si="52"/>
        <v/>
      </c>
      <c r="G679" s="101"/>
      <c r="H679" s="91">
        <f t="shared" si="53"/>
        <v>0</v>
      </c>
      <c r="I679" s="91" t="str">
        <f t="shared" si="54"/>
        <v/>
      </c>
      <c r="J679" s="91" t="str">
        <f t="shared" si="55"/>
        <v/>
      </c>
      <c r="K679" s="92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2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58"/>
      <c r="U679" s="217" t="str">
        <f t="shared" si="56"/>
        <v/>
      </c>
      <c r="V679" s="215" t="s">
        <v>47</v>
      </c>
      <c r="W679" s="102" t="s">
        <v>136</v>
      </c>
      <c r="X679" s="102" t="s">
        <v>137</v>
      </c>
      <c r="Y679" s="103" t="s">
        <v>138</v>
      </c>
      <c r="Z679" s="103" t="s">
        <v>139</v>
      </c>
      <c r="AA679" s="103" t="s">
        <v>47</v>
      </c>
      <c r="AB679" s="103" t="s">
        <v>140</v>
      </c>
      <c r="AC679" s="104" t="s">
        <v>141</v>
      </c>
    </row>
    <row r="680" spans="1:29" ht="25.5" customHeight="1" x14ac:dyDescent="0.35">
      <c r="A680" s="188"/>
      <c r="B680" s="190"/>
      <c r="C680" s="99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0"/>
      <c r="E680" s="78" t="str">
        <f>IF(C680="","",IFERROR(VLOOKUP(C680,parametros!$A$11:$E$15,5,0),""))</f>
        <v/>
      </c>
      <c r="F680" s="79" t="str">
        <f t="shared" si="52"/>
        <v/>
      </c>
      <c r="G680" s="101"/>
      <c r="H680" s="91">
        <f t="shared" si="53"/>
        <v>0</v>
      </c>
      <c r="I680" s="91" t="str">
        <f t="shared" si="54"/>
        <v/>
      </c>
      <c r="J680" s="91" t="str">
        <f t="shared" si="55"/>
        <v/>
      </c>
      <c r="K680" s="92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2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58"/>
      <c r="U680" s="217" t="str">
        <f t="shared" si="56"/>
        <v/>
      </c>
      <c r="V680" s="215" t="s">
        <v>47</v>
      </c>
      <c r="W680" s="102" t="s">
        <v>136</v>
      </c>
      <c r="X680" s="102" t="s">
        <v>137</v>
      </c>
      <c r="Y680" s="103" t="s">
        <v>138</v>
      </c>
      <c r="Z680" s="103" t="s">
        <v>139</v>
      </c>
      <c r="AA680" s="103" t="s">
        <v>47</v>
      </c>
      <c r="AB680" s="103" t="s">
        <v>140</v>
      </c>
      <c r="AC680" s="104" t="s">
        <v>141</v>
      </c>
    </row>
    <row r="681" spans="1:29" ht="25.5" customHeight="1" x14ac:dyDescent="0.35">
      <c r="A681" s="188"/>
      <c r="B681" s="190"/>
      <c r="C681" s="99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0"/>
      <c r="E681" s="78" t="str">
        <f>IF(C681="","",IFERROR(VLOOKUP(C681,parametros!$A$11:$E$15,5,0),""))</f>
        <v/>
      </c>
      <c r="F681" s="79" t="str">
        <f t="shared" si="52"/>
        <v/>
      </c>
      <c r="G681" s="101"/>
      <c r="H681" s="91">
        <f t="shared" si="53"/>
        <v>0</v>
      </c>
      <c r="I681" s="91" t="str">
        <f t="shared" si="54"/>
        <v/>
      </c>
      <c r="J681" s="91" t="str">
        <f t="shared" si="55"/>
        <v/>
      </c>
      <c r="K681" s="92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2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58"/>
      <c r="U681" s="217" t="str">
        <f t="shared" si="56"/>
        <v/>
      </c>
      <c r="V681" s="215" t="s">
        <v>47</v>
      </c>
      <c r="W681" s="102" t="s">
        <v>136</v>
      </c>
      <c r="X681" s="102" t="s">
        <v>137</v>
      </c>
      <c r="Y681" s="103" t="s">
        <v>138</v>
      </c>
      <c r="Z681" s="103" t="s">
        <v>139</v>
      </c>
      <c r="AA681" s="103" t="s">
        <v>47</v>
      </c>
      <c r="AB681" s="103" t="s">
        <v>140</v>
      </c>
      <c r="AC681" s="104" t="s">
        <v>141</v>
      </c>
    </row>
    <row r="682" spans="1:29" ht="25.5" customHeight="1" x14ac:dyDescent="0.35">
      <c r="A682" s="188"/>
      <c r="B682" s="190"/>
      <c r="C682" s="99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0"/>
      <c r="E682" s="78" t="str">
        <f>IF(C682="","",IFERROR(VLOOKUP(C682,parametros!$A$11:$E$15,5,0),""))</f>
        <v/>
      </c>
      <c r="F682" s="79" t="str">
        <f t="shared" si="52"/>
        <v/>
      </c>
      <c r="G682" s="101"/>
      <c r="H682" s="91">
        <f t="shared" si="53"/>
        <v>0</v>
      </c>
      <c r="I682" s="91" t="str">
        <f t="shared" si="54"/>
        <v/>
      </c>
      <c r="J682" s="91" t="str">
        <f t="shared" si="55"/>
        <v/>
      </c>
      <c r="K682" s="92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2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58"/>
      <c r="U682" s="217" t="str">
        <f t="shared" si="56"/>
        <v/>
      </c>
      <c r="V682" s="215" t="s">
        <v>47</v>
      </c>
      <c r="W682" s="102" t="s">
        <v>136</v>
      </c>
      <c r="X682" s="102" t="s">
        <v>137</v>
      </c>
      <c r="Y682" s="103" t="s">
        <v>138</v>
      </c>
      <c r="Z682" s="103" t="s">
        <v>139</v>
      </c>
      <c r="AA682" s="103" t="s">
        <v>47</v>
      </c>
      <c r="AB682" s="103" t="s">
        <v>140</v>
      </c>
      <c r="AC682" s="104" t="s">
        <v>141</v>
      </c>
    </row>
    <row r="683" spans="1:29" ht="25.5" customHeight="1" x14ac:dyDescent="0.35">
      <c r="A683" s="188"/>
      <c r="B683" s="190"/>
      <c r="C683" s="99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0"/>
      <c r="E683" s="78" t="str">
        <f>IF(C683="","",IFERROR(VLOOKUP(C683,parametros!$A$11:$E$15,5,0),""))</f>
        <v/>
      </c>
      <c r="F683" s="79" t="str">
        <f t="shared" si="52"/>
        <v/>
      </c>
      <c r="G683" s="101"/>
      <c r="H683" s="91">
        <f t="shared" si="53"/>
        <v>0</v>
      </c>
      <c r="I683" s="91" t="str">
        <f t="shared" si="54"/>
        <v/>
      </c>
      <c r="J683" s="91" t="str">
        <f t="shared" si="55"/>
        <v/>
      </c>
      <c r="K683" s="92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2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58"/>
      <c r="U683" s="217" t="str">
        <f t="shared" si="56"/>
        <v/>
      </c>
      <c r="V683" s="215" t="s">
        <v>47</v>
      </c>
      <c r="W683" s="102" t="s">
        <v>136</v>
      </c>
      <c r="X683" s="102" t="s">
        <v>137</v>
      </c>
      <c r="Y683" s="103" t="s">
        <v>138</v>
      </c>
      <c r="Z683" s="103" t="s">
        <v>139</v>
      </c>
      <c r="AA683" s="103" t="s">
        <v>47</v>
      </c>
      <c r="AB683" s="103" t="s">
        <v>140</v>
      </c>
      <c r="AC683" s="104" t="s">
        <v>141</v>
      </c>
    </row>
    <row r="684" spans="1:29" ht="25.5" customHeight="1" x14ac:dyDescent="0.35">
      <c r="A684" s="188"/>
      <c r="B684" s="190"/>
      <c r="C684" s="99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0"/>
      <c r="E684" s="78" t="str">
        <f>IF(C684="","",IFERROR(VLOOKUP(C684,parametros!$A$11:$E$15,5,0),""))</f>
        <v/>
      </c>
      <c r="F684" s="79" t="str">
        <f t="shared" si="52"/>
        <v/>
      </c>
      <c r="G684" s="101"/>
      <c r="H684" s="91">
        <f t="shared" si="53"/>
        <v>0</v>
      </c>
      <c r="I684" s="91" t="str">
        <f t="shared" si="54"/>
        <v/>
      </c>
      <c r="J684" s="91" t="str">
        <f t="shared" si="55"/>
        <v/>
      </c>
      <c r="K684" s="92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2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58"/>
      <c r="U684" s="217" t="str">
        <f t="shared" si="56"/>
        <v/>
      </c>
      <c r="V684" s="215" t="s">
        <v>47</v>
      </c>
      <c r="W684" s="102" t="s">
        <v>136</v>
      </c>
      <c r="X684" s="102" t="s">
        <v>137</v>
      </c>
      <c r="Y684" s="103" t="s">
        <v>138</v>
      </c>
      <c r="Z684" s="103" t="s">
        <v>139</v>
      </c>
      <c r="AA684" s="103" t="s">
        <v>47</v>
      </c>
      <c r="AB684" s="103" t="s">
        <v>140</v>
      </c>
      <c r="AC684" s="104" t="s">
        <v>141</v>
      </c>
    </row>
    <row r="685" spans="1:29" ht="25.5" customHeight="1" x14ac:dyDescent="0.35">
      <c r="A685" s="188"/>
      <c r="B685" s="190"/>
      <c r="C685" s="99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0"/>
      <c r="E685" s="78" t="str">
        <f>IF(C685="","",IFERROR(VLOOKUP(C685,parametros!$A$11:$E$15,5,0),""))</f>
        <v/>
      </c>
      <c r="F685" s="79" t="str">
        <f t="shared" si="52"/>
        <v/>
      </c>
      <c r="G685" s="101"/>
      <c r="H685" s="91">
        <f t="shared" si="53"/>
        <v>0</v>
      </c>
      <c r="I685" s="91" t="str">
        <f t="shared" si="54"/>
        <v/>
      </c>
      <c r="J685" s="91" t="str">
        <f t="shared" si="55"/>
        <v/>
      </c>
      <c r="K685" s="92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2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58"/>
      <c r="U685" s="217" t="str">
        <f t="shared" si="56"/>
        <v/>
      </c>
      <c r="V685" s="215" t="s">
        <v>47</v>
      </c>
      <c r="W685" s="102" t="s">
        <v>136</v>
      </c>
      <c r="X685" s="102" t="s">
        <v>137</v>
      </c>
      <c r="Y685" s="103" t="s">
        <v>138</v>
      </c>
      <c r="Z685" s="103" t="s">
        <v>139</v>
      </c>
      <c r="AA685" s="103" t="s">
        <v>47</v>
      </c>
      <c r="AB685" s="103" t="s">
        <v>140</v>
      </c>
      <c r="AC685" s="104" t="s">
        <v>141</v>
      </c>
    </row>
    <row r="686" spans="1:29" ht="25.5" customHeight="1" x14ac:dyDescent="0.35">
      <c r="A686" s="188"/>
      <c r="B686" s="190"/>
      <c r="C686" s="99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0"/>
      <c r="E686" s="78" t="str">
        <f>IF(C686="","",IFERROR(VLOOKUP(C686,parametros!$A$11:$E$15,5,0),""))</f>
        <v/>
      </c>
      <c r="F686" s="79" t="str">
        <f t="shared" si="52"/>
        <v/>
      </c>
      <c r="G686" s="101"/>
      <c r="H686" s="91">
        <f t="shared" si="53"/>
        <v>0</v>
      </c>
      <c r="I686" s="91" t="str">
        <f t="shared" si="54"/>
        <v/>
      </c>
      <c r="J686" s="91" t="str">
        <f t="shared" si="55"/>
        <v/>
      </c>
      <c r="K686" s="92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2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58"/>
      <c r="U686" s="217" t="str">
        <f t="shared" si="56"/>
        <v/>
      </c>
      <c r="V686" s="215" t="s">
        <v>47</v>
      </c>
      <c r="W686" s="102" t="s">
        <v>136</v>
      </c>
      <c r="X686" s="102" t="s">
        <v>137</v>
      </c>
      <c r="Y686" s="103" t="s">
        <v>138</v>
      </c>
      <c r="Z686" s="103" t="s">
        <v>139</v>
      </c>
      <c r="AA686" s="103" t="s">
        <v>47</v>
      </c>
      <c r="AB686" s="103" t="s">
        <v>140</v>
      </c>
      <c r="AC686" s="104" t="s">
        <v>141</v>
      </c>
    </row>
    <row r="687" spans="1:29" ht="25.5" customHeight="1" x14ac:dyDescent="0.35">
      <c r="A687" s="188"/>
      <c r="B687" s="190"/>
      <c r="C687" s="99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0"/>
      <c r="E687" s="78" t="str">
        <f>IF(C687="","",IFERROR(VLOOKUP(C687,parametros!$A$11:$E$15,5,0),""))</f>
        <v/>
      </c>
      <c r="F687" s="79" t="str">
        <f t="shared" si="52"/>
        <v/>
      </c>
      <c r="G687" s="101"/>
      <c r="H687" s="91">
        <f t="shared" si="53"/>
        <v>0</v>
      </c>
      <c r="I687" s="91" t="str">
        <f t="shared" si="54"/>
        <v/>
      </c>
      <c r="J687" s="91" t="str">
        <f t="shared" si="55"/>
        <v/>
      </c>
      <c r="K687" s="92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2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58"/>
      <c r="U687" s="217" t="str">
        <f t="shared" si="56"/>
        <v/>
      </c>
      <c r="V687" s="215" t="s">
        <v>47</v>
      </c>
      <c r="W687" s="102" t="s">
        <v>136</v>
      </c>
      <c r="X687" s="102" t="s">
        <v>137</v>
      </c>
      <c r="Y687" s="103" t="s">
        <v>138</v>
      </c>
      <c r="Z687" s="103" t="s">
        <v>139</v>
      </c>
      <c r="AA687" s="103" t="s">
        <v>47</v>
      </c>
      <c r="AB687" s="103" t="s">
        <v>140</v>
      </c>
      <c r="AC687" s="104" t="s">
        <v>141</v>
      </c>
    </row>
    <row r="688" spans="1:29" ht="25.5" customHeight="1" x14ac:dyDescent="0.35">
      <c r="A688" s="188"/>
      <c r="B688" s="190"/>
      <c r="C688" s="99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0"/>
      <c r="E688" s="78" t="str">
        <f>IF(C688="","",IFERROR(VLOOKUP(C688,parametros!$A$11:$E$15,5,0),""))</f>
        <v/>
      </c>
      <c r="F688" s="79" t="str">
        <f t="shared" si="52"/>
        <v/>
      </c>
      <c r="G688" s="101"/>
      <c r="H688" s="91">
        <f t="shared" si="53"/>
        <v>0</v>
      </c>
      <c r="I688" s="91" t="str">
        <f t="shared" si="54"/>
        <v/>
      </c>
      <c r="J688" s="91" t="str">
        <f t="shared" si="55"/>
        <v/>
      </c>
      <c r="K688" s="92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2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58"/>
      <c r="U688" s="217" t="str">
        <f t="shared" si="56"/>
        <v/>
      </c>
      <c r="V688" s="215" t="s">
        <v>47</v>
      </c>
      <c r="W688" s="102" t="s">
        <v>136</v>
      </c>
      <c r="X688" s="102" t="s">
        <v>137</v>
      </c>
      <c r="Y688" s="103" t="s">
        <v>138</v>
      </c>
      <c r="Z688" s="103" t="s">
        <v>139</v>
      </c>
      <c r="AA688" s="103" t="s">
        <v>47</v>
      </c>
      <c r="AB688" s="103" t="s">
        <v>140</v>
      </c>
      <c r="AC688" s="104" t="s">
        <v>141</v>
      </c>
    </row>
    <row r="689" spans="1:29" ht="25.5" customHeight="1" x14ac:dyDescent="0.35">
      <c r="A689" s="188"/>
      <c r="B689" s="190"/>
      <c r="C689" s="99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0"/>
      <c r="E689" s="78" t="str">
        <f>IF(C689="","",IFERROR(VLOOKUP(C689,parametros!$A$11:$E$15,5,0),""))</f>
        <v/>
      </c>
      <c r="F689" s="79" t="str">
        <f t="shared" si="52"/>
        <v/>
      </c>
      <c r="G689" s="101"/>
      <c r="H689" s="91">
        <f t="shared" si="53"/>
        <v>0</v>
      </c>
      <c r="I689" s="91" t="str">
        <f t="shared" si="54"/>
        <v/>
      </c>
      <c r="J689" s="91" t="str">
        <f t="shared" si="55"/>
        <v/>
      </c>
      <c r="K689" s="92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2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58"/>
      <c r="U689" s="217" t="str">
        <f t="shared" si="56"/>
        <v/>
      </c>
      <c r="V689" s="215" t="s">
        <v>47</v>
      </c>
      <c r="W689" s="102" t="s">
        <v>136</v>
      </c>
      <c r="X689" s="102" t="s">
        <v>137</v>
      </c>
      <c r="Y689" s="103" t="s">
        <v>138</v>
      </c>
      <c r="Z689" s="103" t="s">
        <v>139</v>
      </c>
      <c r="AA689" s="103" t="s">
        <v>47</v>
      </c>
      <c r="AB689" s="103" t="s">
        <v>140</v>
      </c>
      <c r="AC689" s="104" t="s">
        <v>141</v>
      </c>
    </row>
    <row r="690" spans="1:29" ht="25.5" customHeight="1" x14ac:dyDescent="0.35">
      <c r="A690" s="188"/>
      <c r="B690" s="190"/>
      <c r="C690" s="99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0"/>
      <c r="E690" s="78" t="str">
        <f>IF(C690="","",IFERROR(VLOOKUP(C690,parametros!$A$11:$E$15,5,0),""))</f>
        <v/>
      </c>
      <c r="F690" s="79" t="str">
        <f t="shared" si="52"/>
        <v/>
      </c>
      <c r="G690" s="101"/>
      <c r="H690" s="91">
        <f t="shared" si="53"/>
        <v>0</v>
      </c>
      <c r="I690" s="91" t="str">
        <f t="shared" si="54"/>
        <v/>
      </c>
      <c r="J690" s="91" t="str">
        <f t="shared" si="55"/>
        <v/>
      </c>
      <c r="K690" s="92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2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58"/>
      <c r="U690" s="217" t="str">
        <f t="shared" si="56"/>
        <v/>
      </c>
      <c r="V690" s="215" t="s">
        <v>47</v>
      </c>
      <c r="W690" s="102" t="s">
        <v>136</v>
      </c>
      <c r="X690" s="102" t="s">
        <v>137</v>
      </c>
      <c r="Y690" s="103" t="s">
        <v>138</v>
      </c>
      <c r="Z690" s="103" t="s">
        <v>139</v>
      </c>
      <c r="AA690" s="103" t="s">
        <v>47</v>
      </c>
      <c r="AB690" s="103" t="s">
        <v>140</v>
      </c>
      <c r="AC690" s="104" t="s">
        <v>141</v>
      </c>
    </row>
    <row r="691" spans="1:29" ht="25.5" customHeight="1" x14ac:dyDescent="0.35">
      <c r="A691" s="188"/>
      <c r="B691" s="190"/>
      <c r="C691" s="99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0"/>
      <c r="E691" s="78" t="str">
        <f>IF(C691="","",IFERROR(VLOOKUP(C691,parametros!$A$11:$E$15,5,0),""))</f>
        <v/>
      </c>
      <c r="F691" s="79" t="str">
        <f t="shared" si="52"/>
        <v/>
      </c>
      <c r="G691" s="101"/>
      <c r="H691" s="91">
        <f t="shared" si="53"/>
        <v>0</v>
      </c>
      <c r="I691" s="91" t="str">
        <f t="shared" si="54"/>
        <v/>
      </c>
      <c r="J691" s="91" t="str">
        <f t="shared" si="55"/>
        <v/>
      </c>
      <c r="K691" s="92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2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58"/>
      <c r="U691" s="217" t="str">
        <f t="shared" si="56"/>
        <v/>
      </c>
      <c r="V691" s="215" t="s">
        <v>47</v>
      </c>
      <c r="W691" s="102" t="s">
        <v>136</v>
      </c>
      <c r="X691" s="102" t="s">
        <v>137</v>
      </c>
      <c r="Y691" s="103" t="s">
        <v>138</v>
      </c>
      <c r="Z691" s="103" t="s">
        <v>139</v>
      </c>
      <c r="AA691" s="103" t="s">
        <v>47</v>
      </c>
      <c r="AB691" s="103" t="s">
        <v>140</v>
      </c>
      <c r="AC691" s="104" t="s">
        <v>141</v>
      </c>
    </row>
    <row r="692" spans="1:29" ht="25.5" customHeight="1" x14ac:dyDescent="0.35">
      <c r="A692" s="188"/>
      <c r="B692" s="190"/>
      <c r="C692" s="99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0"/>
      <c r="E692" s="78" t="str">
        <f>IF(C692="","",IFERROR(VLOOKUP(C692,parametros!$A$11:$E$15,5,0),""))</f>
        <v/>
      </c>
      <c r="F692" s="79" t="str">
        <f t="shared" si="52"/>
        <v/>
      </c>
      <c r="G692" s="101"/>
      <c r="H692" s="91">
        <f t="shared" si="53"/>
        <v>0</v>
      </c>
      <c r="I692" s="91" t="str">
        <f t="shared" si="54"/>
        <v/>
      </c>
      <c r="J692" s="91" t="str">
        <f t="shared" si="55"/>
        <v/>
      </c>
      <c r="K692" s="92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2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58"/>
      <c r="U692" s="217" t="str">
        <f t="shared" si="56"/>
        <v/>
      </c>
      <c r="V692" s="215" t="s">
        <v>47</v>
      </c>
      <c r="W692" s="102" t="s">
        <v>136</v>
      </c>
      <c r="X692" s="102" t="s">
        <v>137</v>
      </c>
      <c r="Y692" s="103" t="s">
        <v>138</v>
      </c>
      <c r="Z692" s="103" t="s">
        <v>139</v>
      </c>
      <c r="AA692" s="103" t="s">
        <v>47</v>
      </c>
      <c r="AB692" s="103" t="s">
        <v>140</v>
      </c>
      <c r="AC692" s="104" t="s">
        <v>141</v>
      </c>
    </row>
    <row r="693" spans="1:29" ht="25.5" customHeight="1" x14ac:dyDescent="0.35">
      <c r="A693" s="188"/>
      <c r="B693" s="190"/>
      <c r="C693" s="99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0"/>
      <c r="E693" s="78" t="str">
        <f>IF(C693="","",IFERROR(VLOOKUP(C693,parametros!$A$11:$E$15,5,0),""))</f>
        <v/>
      </c>
      <c r="F693" s="79" t="str">
        <f t="shared" si="52"/>
        <v/>
      </c>
      <c r="G693" s="101"/>
      <c r="H693" s="91">
        <f t="shared" si="53"/>
        <v>0</v>
      </c>
      <c r="I693" s="91" t="str">
        <f t="shared" si="54"/>
        <v/>
      </c>
      <c r="J693" s="91" t="str">
        <f t="shared" si="55"/>
        <v/>
      </c>
      <c r="K693" s="92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2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58"/>
      <c r="U693" s="217" t="str">
        <f t="shared" si="56"/>
        <v/>
      </c>
      <c r="V693" s="215" t="s">
        <v>47</v>
      </c>
      <c r="W693" s="102" t="s">
        <v>136</v>
      </c>
      <c r="X693" s="102" t="s">
        <v>137</v>
      </c>
      <c r="Y693" s="103" t="s">
        <v>138</v>
      </c>
      <c r="Z693" s="103" t="s">
        <v>139</v>
      </c>
      <c r="AA693" s="103" t="s">
        <v>47</v>
      </c>
      <c r="AB693" s="103" t="s">
        <v>140</v>
      </c>
      <c r="AC693" s="104" t="s">
        <v>141</v>
      </c>
    </row>
    <row r="694" spans="1:29" ht="25.5" customHeight="1" x14ac:dyDescent="0.35">
      <c r="A694" s="188"/>
      <c r="B694" s="190"/>
      <c r="C694" s="99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0"/>
      <c r="E694" s="78" t="str">
        <f>IF(C694="","",IFERROR(VLOOKUP(C694,parametros!$A$11:$E$15,5,0),""))</f>
        <v/>
      </c>
      <c r="F694" s="79" t="str">
        <f t="shared" si="52"/>
        <v/>
      </c>
      <c r="G694" s="101"/>
      <c r="H694" s="91">
        <f t="shared" si="53"/>
        <v>0</v>
      </c>
      <c r="I694" s="91" t="str">
        <f t="shared" si="54"/>
        <v/>
      </c>
      <c r="J694" s="91" t="str">
        <f t="shared" si="55"/>
        <v/>
      </c>
      <c r="K694" s="92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2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58"/>
      <c r="U694" s="217" t="str">
        <f t="shared" si="56"/>
        <v/>
      </c>
      <c r="V694" s="215" t="s">
        <v>47</v>
      </c>
      <c r="W694" s="102" t="s">
        <v>136</v>
      </c>
      <c r="X694" s="102" t="s">
        <v>137</v>
      </c>
      <c r="Y694" s="103" t="s">
        <v>138</v>
      </c>
      <c r="Z694" s="103" t="s">
        <v>139</v>
      </c>
      <c r="AA694" s="103" t="s">
        <v>47</v>
      </c>
      <c r="AB694" s="103" t="s">
        <v>140</v>
      </c>
      <c r="AC694" s="104" t="s">
        <v>141</v>
      </c>
    </row>
    <row r="695" spans="1:29" ht="25.5" customHeight="1" x14ac:dyDescent="0.35">
      <c r="A695" s="188"/>
      <c r="B695" s="190"/>
      <c r="C695" s="99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0"/>
      <c r="E695" s="78" t="str">
        <f>IF(C695="","",IFERROR(VLOOKUP(C695,parametros!$A$11:$E$15,5,0),""))</f>
        <v/>
      </c>
      <c r="F695" s="79" t="str">
        <f t="shared" si="52"/>
        <v/>
      </c>
      <c r="G695" s="101"/>
      <c r="H695" s="91">
        <f t="shared" si="53"/>
        <v>0</v>
      </c>
      <c r="I695" s="91" t="str">
        <f t="shared" si="54"/>
        <v/>
      </c>
      <c r="J695" s="91" t="str">
        <f t="shared" si="55"/>
        <v/>
      </c>
      <c r="K695" s="92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2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58"/>
      <c r="U695" s="217" t="str">
        <f t="shared" si="56"/>
        <v/>
      </c>
      <c r="V695" s="215" t="s">
        <v>47</v>
      </c>
      <c r="W695" s="102" t="s">
        <v>136</v>
      </c>
      <c r="X695" s="102" t="s">
        <v>137</v>
      </c>
      <c r="Y695" s="103" t="s">
        <v>138</v>
      </c>
      <c r="Z695" s="103" t="s">
        <v>139</v>
      </c>
      <c r="AA695" s="103" t="s">
        <v>47</v>
      </c>
      <c r="AB695" s="103" t="s">
        <v>140</v>
      </c>
      <c r="AC695" s="104" t="s">
        <v>141</v>
      </c>
    </row>
    <row r="696" spans="1:29" ht="25.5" customHeight="1" x14ac:dyDescent="0.35">
      <c r="A696" s="188"/>
      <c r="B696" s="190"/>
      <c r="C696" s="99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0"/>
      <c r="E696" s="78" t="str">
        <f>IF(C696="","",IFERROR(VLOOKUP(C696,parametros!$A$11:$E$15,5,0),""))</f>
        <v/>
      </c>
      <c r="F696" s="79" t="str">
        <f t="shared" si="52"/>
        <v/>
      </c>
      <c r="G696" s="101"/>
      <c r="H696" s="91">
        <f t="shared" si="53"/>
        <v>0</v>
      </c>
      <c r="I696" s="91" t="str">
        <f t="shared" si="54"/>
        <v/>
      </c>
      <c r="J696" s="91" t="str">
        <f t="shared" si="55"/>
        <v/>
      </c>
      <c r="K696" s="92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2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58"/>
      <c r="U696" s="217" t="str">
        <f t="shared" si="56"/>
        <v/>
      </c>
      <c r="V696" s="215" t="s">
        <v>47</v>
      </c>
      <c r="W696" s="102" t="s">
        <v>136</v>
      </c>
      <c r="X696" s="102" t="s">
        <v>137</v>
      </c>
      <c r="Y696" s="103" t="s">
        <v>138</v>
      </c>
      <c r="Z696" s="103" t="s">
        <v>139</v>
      </c>
      <c r="AA696" s="103" t="s">
        <v>47</v>
      </c>
      <c r="AB696" s="103" t="s">
        <v>140</v>
      </c>
      <c r="AC696" s="104" t="s">
        <v>141</v>
      </c>
    </row>
    <row r="697" spans="1:29" ht="25.5" customHeight="1" x14ac:dyDescent="0.35">
      <c r="A697" s="188"/>
      <c r="B697" s="190"/>
      <c r="C697" s="99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0"/>
      <c r="E697" s="78" t="str">
        <f>IF(C697="","",IFERROR(VLOOKUP(C697,parametros!$A$11:$E$15,5,0),""))</f>
        <v/>
      </c>
      <c r="F697" s="79" t="str">
        <f t="shared" si="52"/>
        <v/>
      </c>
      <c r="G697" s="101"/>
      <c r="H697" s="91">
        <f t="shared" si="53"/>
        <v>0</v>
      </c>
      <c r="I697" s="91" t="str">
        <f t="shared" si="54"/>
        <v/>
      </c>
      <c r="J697" s="91" t="str">
        <f t="shared" si="55"/>
        <v/>
      </c>
      <c r="K697" s="92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2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58"/>
      <c r="U697" s="217" t="str">
        <f t="shared" si="56"/>
        <v/>
      </c>
      <c r="V697" s="215" t="s">
        <v>47</v>
      </c>
      <c r="W697" s="102" t="s">
        <v>136</v>
      </c>
      <c r="X697" s="102" t="s">
        <v>137</v>
      </c>
      <c r="Y697" s="103" t="s">
        <v>138</v>
      </c>
      <c r="Z697" s="103" t="s">
        <v>139</v>
      </c>
      <c r="AA697" s="103" t="s">
        <v>47</v>
      </c>
      <c r="AB697" s="103" t="s">
        <v>140</v>
      </c>
      <c r="AC697" s="104" t="s">
        <v>141</v>
      </c>
    </row>
    <row r="698" spans="1:29" ht="25.5" customHeight="1" x14ac:dyDescent="0.35">
      <c r="A698" s="188"/>
      <c r="B698" s="190"/>
      <c r="C698" s="99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0"/>
      <c r="E698" s="78" t="str">
        <f>IF(C698="","",IFERROR(VLOOKUP(C698,parametros!$A$11:$E$15,5,0),""))</f>
        <v/>
      </c>
      <c r="F698" s="79" t="str">
        <f t="shared" si="52"/>
        <v/>
      </c>
      <c r="G698" s="101"/>
      <c r="H698" s="91">
        <f t="shared" si="53"/>
        <v>0</v>
      </c>
      <c r="I698" s="91" t="str">
        <f t="shared" si="54"/>
        <v/>
      </c>
      <c r="J698" s="91" t="str">
        <f t="shared" si="55"/>
        <v/>
      </c>
      <c r="K698" s="92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2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58"/>
      <c r="U698" s="217" t="str">
        <f t="shared" si="56"/>
        <v/>
      </c>
      <c r="V698" s="215" t="s">
        <v>47</v>
      </c>
      <c r="W698" s="102" t="s">
        <v>136</v>
      </c>
      <c r="X698" s="102" t="s">
        <v>137</v>
      </c>
      <c r="Y698" s="103" t="s">
        <v>138</v>
      </c>
      <c r="Z698" s="103" t="s">
        <v>139</v>
      </c>
      <c r="AA698" s="103" t="s">
        <v>47</v>
      </c>
      <c r="AB698" s="103" t="s">
        <v>140</v>
      </c>
      <c r="AC698" s="104" t="s">
        <v>141</v>
      </c>
    </row>
    <row r="699" spans="1:29" ht="25.5" customHeight="1" x14ac:dyDescent="0.35">
      <c r="A699" s="188"/>
      <c r="B699" s="190"/>
      <c r="C699" s="99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0"/>
      <c r="E699" s="78" t="str">
        <f>IF(C699="","",IFERROR(VLOOKUP(C699,parametros!$A$11:$E$15,5,0),""))</f>
        <v/>
      </c>
      <c r="F699" s="79" t="str">
        <f t="shared" si="52"/>
        <v/>
      </c>
      <c r="G699" s="101"/>
      <c r="H699" s="91">
        <f t="shared" si="53"/>
        <v>0</v>
      </c>
      <c r="I699" s="91" t="str">
        <f t="shared" si="54"/>
        <v/>
      </c>
      <c r="J699" s="91" t="str">
        <f t="shared" si="55"/>
        <v/>
      </c>
      <c r="K699" s="92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2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58"/>
      <c r="U699" s="217" t="str">
        <f t="shared" si="56"/>
        <v/>
      </c>
      <c r="V699" s="215" t="s">
        <v>47</v>
      </c>
      <c r="W699" s="102" t="s">
        <v>136</v>
      </c>
      <c r="X699" s="102" t="s">
        <v>137</v>
      </c>
      <c r="Y699" s="103" t="s">
        <v>138</v>
      </c>
      <c r="Z699" s="103" t="s">
        <v>139</v>
      </c>
      <c r="AA699" s="103" t="s">
        <v>47</v>
      </c>
      <c r="AB699" s="103" t="s">
        <v>140</v>
      </c>
      <c r="AC699" s="104" t="s">
        <v>141</v>
      </c>
    </row>
    <row r="700" spans="1:29" ht="25.5" customHeight="1" x14ac:dyDescent="0.35">
      <c r="A700" s="188"/>
      <c r="B700" s="190"/>
      <c r="C700" s="99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0"/>
      <c r="E700" s="78" t="str">
        <f>IF(C700="","",IFERROR(VLOOKUP(C700,parametros!$A$11:$E$15,5,0),""))</f>
        <v/>
      </c>
      <c r="F700" s="79" t="str">
        <f t="shared" si="52"/>
        <v/>
      </c>
      <c r="G700" s="101"/>
      <c r="H700" s="91">
        <f t="shared" si="53"/>
        <v>0</v>
      </c>
      <c r="I700" s="91" t="str">
        <f t="shared" si="54"/>
        <v/>
      </c>
      <c r="J700" s="91" t="str">
        <f t="shared" si="55"/>
        <v/>
      </c>
      <c r="K700" s="92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2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58"/>
      <c r="U700" s="217" t="str">
        <f t="shared" si="56"/>
        <v/>
      </c>
      <c r="V700" s="215" t="s">
        <v>47</v>
      </c>
      <c r="W700" s="102" t="s">
        <v>136</v>
      </c>
      <c r="X700" s="102" t="s">
        <v>137</v>
      </c>
      <c r="Y700" s="103" t="s">
        <v>138</v>
      </c>
      <c r="Z700" s="103" t="s">
        <v>139</v>
      </c>
      <c r="AA700" s="103" t="s">
        <v>47</v>
      </c>
      <c r="AB700" s="103" t="s">
        <v>140</v>
      </c>
      <c r="AC700" s="104" t="s">
        <v>141</v>
      </c>
    </row>
    <row r="701" spans="1:29" ht="25.5" customHeight="1" x14ac:dyDescent="0.35">
      <c r="A701" s="188"/>
      <c r="B701" s="190"/>
      <c r="C701" s="99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0"/>
      <c r="E701" s="78" t="str">
        <f>IF(C701="","",IFERROR(VLOOKUP(C701,parametros!$A$11:$E$15,5,0),""))</f>
        <v/>
      </c>
      <c r="F701" s="79" t="str">
        <f t="shared" si="52"/>
        <v/>
      </c>
      <c r="G701" s="101"/>
      <c r="H701" s="91">
        <f t="shared" si="53"/>
        <v>0</v>
      </c>
      <c r="I701" s="91" t="str">
        <f t="shared" si="54"/>
        <v/>
      </c>
      <c r="J701" s="91" t="str">
        <f t="shared" si="55"/>
        <v/>
      </c>
      <c r="K701" s="92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2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58"/>
      <c r="U701" s="217" t="str">
        <f t="shared" si="56"/>
        <v/>
      </c>
      <c r="V701" s="215" t="s">
        <v>47</v>
      </c>
      <c r="W701" s="102" t="s">
        <v>136</v>
      </c>
      <c r="X701" s="102" t="s">
        <v>137</v>
      </c>
      <c r="Y701" s="103" t="s">
        <v>138</v>
      </c>
      <c r="Z701" s="103" t="s">
        <v>139</v>
      </c>
      <c r="AA701" s="103" t="s">
        <v>47</v>
      </c>
      <c r="AB701" s="103" t="s">
        <v>140</v>
      </c>
      <c r="AC701" s="104" t="s">
        <v>141</v>
      </c>
    </row>
    <row r="702" spans="1:29" ht="25.5" customHeight="1" x14ac:dyDescent="0.35">
      <c r="A702" s="188"/>
      <c r="B702" s="190"/>
      <c r="C702" s="99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0"/>
      <c r="E702" s="78" t="str">
        <f>IF(C702="","",IFERROR(VLOOKUP(C702,parametros!$A$11:$E$15,5,0),""))</f>
        <v/>
      </c>
      <c r="F702" s="79" t="str">
        <f t="shared" si="52"/>
        <v/>
      </c>
      <c r="G702" s="101"/>
      <c r="H702" s="91">
        <f t="shared" si="53"/>
        <v>0</v>
      </c>
      <c r="I702" s="91" t="str">
        <f t="shared" si="54"/>
        <v/>
      </c>
      <c r="J702" s="91" t="str">
        <f t="shared" si="55"/>
        <v/>
      </c>
      <c r="K702" s="92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2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58"/>
      <c r="U702" s="217" t="str">
        <f t="shared" si="56"/>
        <v/>
      </c>
      <c r="V702" s="215" t="s">
        <v>47</v>
      </c>
      <c r="W702" s="102" t="s">
        <v>136</v>
      </c>
      <c r="X702" s="102" t="s">
        <v>137</v>
      </c>
      <c r="Y702" s="103" t="s">
        <v>138</v>
      </c>
      <c r="Z702" s="103" t="s">
        <v>139</v>
      </c>
      <c r="AA702" s="103" t="s">
        <v>47</v>
      </c>
      <c r="AB702" s="103" t="s">
        <v>140</v>
      </c>
      <c r="AC702" s="104" t="s">
        <v>141</v>
      </c>
    </row>
    <row r="703" spans="1:29" ht="25.5" customHeight="1" x14ac:dyDescent="0.35">
      <c r="A703" s="188"/>
      <c r="B703" s="190"/>
      <c r="C703" s="99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0"/>
      <c r="E703" s="78" t="str">
        <f>IF(C703="","",IFERROR(VLOOKUP(C703,parametros!$A$11:$E$15,5,0),""))</f>
        <v/>
      </c>
      <c r="F703" s="79" t="str">
        <f t="shared" si="52"/>
        <v/>
      </c>
      <c r="G703" s="101"/>
      <c r="H703" s="91">
        <f t="shared" si="53"/>
        <v>0</v>
      </c>
      <c r="I703" s="91" t="str">
        <f t="shared" si="54"/>
        <v/>
      </c>
      <c r="J703" s="91" t="str">
        <f t="shared" si="55"/>
        <v/>
      </c>
      <c r="K703" s="92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2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58"/>
      <c r="U703" s="217" t="str">
        <f t="shared" si="56"/>
        <v/>
      </c>
      <c r="V703" s="215" t="s">
        <v>47</v>
      </c>
      <c r="W703" s="102" t="s">
        <v>136</v>
      </c>
      <c r="X703" s="102" t="s">
        <v>137</v>
      </c>
      <c r="Y703" s="103" t="s">
        <v>138</v>
      </c>
      <c r="Z703" s="103" t="s">
        <v>139</v>
      </c>
      <c r="AA703" s="103" t="s">
        <v>47</v>
      </c>
      <c r="AB703" s="103" t="s">
        <v>140</v>
      </c>
      <c r="AC703" s="104" t="s">
        <v>141</v>
      </c>
    </row>
    <row r="704" spans="1:29" ht="25.5" customHeight="1" x14ac:dyDescent="0.35">
      <c r="A704" s="188"/>
      <c r="B704" s="190"/>
      <c r="C704" s="99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0"/>
      <c r="E704" s="78" t="str">
        <f>IF(C704="","",IFERROR(VLOOKUP(C704,parametros!$A$11:$E$15,5,0),""))</f>
        <v/>
      </c>
      <c r="F704" s="79" t="str">
        <f t="shared" si="52"/>
        <v/>
      </c>
      <c r="G704" s="101"/>
      <c r="H704" s="91">
        <f t="shared" si="53"/>
        <v>0</v>
      </c>
      <c r="I704" s="91" t="str">
        <f t="shared" si="54"/>
        <v/>
      </c>
      <c r="J704" s="91" t="str">
        <f t="shared" si="55"/>
        <v/>
      </c>
      <c r="K704" s="92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2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58"/>
      <c r="U704" s="217" t="str">
        <f t="shared" si="56"/>
        <v/>
      </c>
      <c r="V704" s="215" t="s">
        <v>47</v>
      </c>
      <c r="W704" s="102" t="s">
        <v>136</v>
      </c>
      <c r="X704" s="102" t="s">
        <v>137</v>
      </c>
      <c r="Y704" s="103" t="s">
        <v>138</v>
      </c>
      <c r="Z704" s="103" t="s">
        <v>139</v>
      </c>
      <c r="AA704" s="103" t="s">
        <v>47</v>
      </c>
      <c r="AB704" s="103" t="s">
        <v>140</v>
      </c>
      <c r="AC704" s="104" t="s">
        <v>141</v>
      </c>
    </row>
    <row r="705" spans="1:29" ht="25.5" customHeight="1" x14ac:dyDescent="0.35">
      <c r="A705" s="188"/>
      <c r="B705" s="190"/>
      <c r="C705" s="99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0"/>
      <c r="E705" s="78" t="str">
        <f>IF(C705="","",IFERROR(VLOOKUP(C705,parametros!$A$11:$E$15,5,0),""))</f>
        <v/>
      </c>
      <c r="F705" s="79" t="str">
        <f t="shared" si="52"/>
        <v/>
      </c>
      <c r="G705" s="101"/>
      <c r="H705" s="91">
        <f t="shared" si="53"/>
        <v>0</v>
      </c>
      <c r="I705" s="91" t="str">
        <f t="shared" si="54"/>
        <v/>
      </c>
      <c r="J705" s="91" t="str">
        <f t="shared" si="55"/>
        <v/>
      </c>
      <c r="K705" s="92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2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58"/>
      <c r="U705" s="217" t="str">
        <f t="shared" si="56"/>
        <v/>
      </c>
      <c r="V705" s="215" t="s">
        <v>47</v>
      </c>
      <c r="W705" s="102" t="s">
        <v>136</v>
      </c>
      <c r="X705" s="102" t="s">
        <v>137</v>
      </c>
      <c r="Y705" s="103" t="s">
        <v>138</v>
      </c>
      <c r="Z705" s="103" t="s">
        <v>139</v>
      </c>
      <c r="AA705" s="103" t="s">
        <v>47</v>
      </c>
      <c r="AB705" s="103" t="s">
        <v>140</v>
      </c>
      <c r="AC705" s="104" t="s">
        <v>141</v>
      </c>
    </row>
    <row r="706" spans="1:29" ht="25.5" customHeight="1" x14ac:dyDescent="0.35">
      <c r="A706" s="188"/>
      <c r="B706" s="190"/>
      <c r="C706" s="99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0"/>
      <c r="E706" s="78" t="str">
        <f>IF(C706="","",IFERROR(VLOOKUP(C706,parametros!$A$11:$E$15,5,0),""))</f>
        <v/>
      </c>
      <c r="F706" s="79" t="str">
        <f t="shared" ref="F706:F769" si="57">IF(OR(D706="",E706=""),"",ROUND(D706*E706,2))</f>
        <v/>
      </c>
      <c r="G706" s="101"/>
      <c r="H706" s="91">
        <f t="shared" ref="H706:H769" si="58">IF(G706="Sim",IF(OR(F706="",D706="",L706=""),"",IF(L706="Sim",ROUND(F706-D706,2),0)),0)</f>
        <v>0</v>
      </c>
      <c r="I706" s="91" t="str">
        <f t="shared" ref="I706:I769" si="59">IF(G706="Sim",0,IF(OR(F706="",L706=""),"",F706))</f>
        <v/>
      </c>
      <c r="J706" s="91" t="str">
        <f t="shared" ref="J706:J769" si="60">IF(G706="Sim",0,IF(OR(F706="",D706="",L706=""),"",IF(L706="Sim",ROUND(F706-D706,2),0)))</f>
        <v/>
      </c>
      <c r="K706" s="92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2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58"/>
      <c r="U706" s="217" t="str">
        <f t="shared" ref="U706:U769" si="61">IF(OR($D706="",$H706=""),"",ROUND($D706+$H706,2))</f>
        <v/>
      </c>
      <c r="V706" s="215" t="s">
        <v>47</v>
      </c>
      <c r="W706" s="102" t="s">
        <v>136</v>
      </c>
      <c r="X706" s="102" t="s">
        <v>137</v>
      </c>
      <c r="Y706" s="103" t="s">
        <v>138</v>
      </c>
      <c r="Z706" s="103" t="s">
        <v>139</v>
      </c>
      <c r="AA706" s="103" t="s">
        <v>47</v>
      </c>
      <c r="AB706" s="103" t="s">
        <v>140</v>
      </c>
      <c r="AC706" s="104" t="s">
        <v>141</v>
      </c>
    </row>
    <row r="707" spans="1:29" ht="25.5" customHeight="1" x14ac:dyDescent="0.35">
      <c r="A707" s="188"/>
      <c r="B707" s="190"/>
      <c r="C707" s="99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0"/>
      <c r="E707" s="78" t="str">
        <f>IF(C707="","",IFERROR(VLOOKUP(C707,parametros!$A$11:$E$15,5,0),""))</f>
        <v/>
      </c>
      <c r="F707" s="79" t="str">
        <f t="shared" si="57"/>
        <v/>
      </c>
      <c r="G707" s="101"/>
      <c r="H707" s="91">
        <f t="shared" si="58"/>
        <v>0</v>
      </c>
      <c r="I707" s="91" t="str">
        <f t="shared" si="59"/>
        <v/>
      </c>
      <c r="J707" s="91" t="str">
        <f t="shared" si="60"/>
        <v/>
      </c>
      <c r="K707" s="92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2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58"/>
      <c r="U707" s="217" t="str">
        <f t="shared" si="61"/>
        <v/>
      </c>
      <c r="V707" s="215" t="s">
        <v>47</v>
      </c>
      <c r="W707" s="102" t="s">
        <v>136</v>
      </c>
      <c r="X707" s="102" t="s">
        <v>137</v>
      </c>
      <c r="Y707" s="103" t="s">
        <v>138</v>
      </c>
      <c r="Z707" s="103" t="s">
        <v>139</v>
      </c>
      <c r="AA707" s="103" t="s">
        <v>47</v>
      </c>
      <c r="AB707" s="103" t="s">
        <v>140</v>
      </c>
      <c r="AC707" s="104" t="s">
        <v>141</v>
      </c>
    </row>
    <row r="708" spans="1:29" ht="25.5" customHeight="1" x14ac:dyDescent="0.35">
      <c r="A708" s="188"/>
      <c r="B708" s="190"/>
      <c r="C708" s="99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0"/>
      <c r="E708" s="78" t="str">
        <f>IF(C708="","",IFERROR(VLOOKUP(C708,parametros!$A$11:$E$15,5,0),""))</f>
        <v/>
      </c>
      <c r="F708" s="79" t="str">
        <f t="shared" si="57"/>
        <v/>
      </c>
      <c r="G708" s="101"/>
      <c r="H708" s="91">
        <f t="shared" si="58"/>
        <v>0</v>
      </c>
      <c r="I708" s="91" t="str">
        <f t="shared" si="59"/>
        <v/>
      </c>
      <c r="J708" s="91" t="str">
        <f t="shared" si="60"/>
        <v/>
      </c>
      <c r="K708" s="92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2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58"/>
      <c r="U708" s="217" t="str">
        <f t="shared" si="61"/>
        <v/>
      </c>
      <c r="V708" s="215" t="s">
        <v>47</v>
      </c>
      <c r="W708" s="102" t="s">
        <v>136</v>
      </c>
      <c r="X708" s="102" t="s">
        <v>137</v>
      </c>
      <c r="Y708" s="103" t="s">
        <v>138</v>
      </c>
      <c r="Z708" s="103" t="s">
        <v>139</v>
      </c>
      <c r="AA708" s="103" t="s">
        <v>47</v>
      </c>
      <c r="AB708" s="103" t="s">
        <v>140</v>
      </c>
      <c r="AC708" s="104" t="s">
        <v>141</v>
      </c>
    </row>
    <row r="709" spans="1:29" ht="25.5" customHeight="1" x14ac:dyDescent="0.35">
      <c r="A709" s="188"/>
      <c r="B709" s="190"/>
      <c r="C709" s="99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0"/>
      <c r="E709" s="78" t="str">
        <f>IF(C709="","",IFERROR(VLOOKUP(C709,parametros!$A$11:$E$15,5,0),""))</f>
        <v/>
      </c>
      <c r="F709" s="79" t="str">
        <f t="shared" si="57"/>
        <v/>
      </c>
      <c r="G709" s="101"/>
      <c r="H709" s="91">
        <f t="shared" si="58"/>
        <v>0</v>
      </c>
      <c r="I709" s="91" t="str">
        <f t="shared" si="59"/>
        <v/>
      </c>
      <c r="J709" s="91" t="str">
        <f t="shared" si="60"/>
        <v/>
      </c>
      <c r="K709" s="92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2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58"/>
      <c r="U709" s="217" t="str">
        <f t="shared" si="61"/>
        <v/>
      </c>
      <c r="V709" s="215" t="s">
        <v>47</v>
      </c>
      <c r="W709" s="102" t="s">
        <v>136</v>
      </c>
      <c r="X709" s="102" t="s">
        <v>137</v>
      </c>
      <c r="Y709" s="103" t="s">
        <v>138</v>
      </c>
      <c r="Z709" s="103" t="s">
        <v>139</v>
      </c>
      <c r="AA709" s="103" t="s">
        <v>47</v>
      </c>
      <c r="AB709" s="103" t="s">
        <v>140</v>
      </c>
      <c r="AC709" s="104" t="s">
        <v>141</v>
      </c>
    </row>
    <row r="710" spans="1:29" ht="25.5" customHeight="1" x14ac:dyDescent="0.35">
      <c r="A710" s="188"/>
      <c r="B710" s="190"/>
      <c r="C710" s="99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0"/>
      <c r="E710" s="78" t="str">
        <f>IF(C710="","",IFERROR(VLOOKUP(C710,parametros!$A$11:$E$15,5,0),""))</f>
        <v/>
      </c>
      <c r="F710" s="79" t="str">
        <f t="shared" si="57"/>
        <v/>
      </c>
      <c r="G710" s="101"/>
      <c r="H710" s="91">
        <f t="shared" si="58"/>
        <v>0</v>
      </c>
      <c r="I710" s="91" t="str">
        <f t="shared" si="59"/>
        <v/>
      </c>
      <c r="J710" s="91" t="str">
        <f t="shared" si="60"/>
        <v/>
      </c>
      <c r="K710" s="92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2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58"/>
      <c r="U710" s="217" t="str">
        <f t="shared" si="61"/>
        <v/>
      </c>
      <c r="V710" s="215" t="s">
        <v>47</v>
      </c>
      <c r="W710" s="102" t="s">
        <v>136</v>
      </c>
      <c r="X710" s="102" t="s">
        <v>137</v>
      </c>
      <c r="Y710" s="103" t="s">
        <v>138</v>
      </c>
      <c r="Z710" s="103" t="s">
        <v>139</v>
      </c>
      <c r="AA710" s="103" t="s">
        <v>47</v>
      </c>
      <c r="AB710" s="103" t="s">
        <v>140</v>
      </c>
      <c r="AC710" s="104" t="s">
        <v>141</v>
      </c>
    </row>
    <row r="711" spans="1:29" ht="25.5" customHeight="1" x14ac:dyDescent="0.35">
      <c r="A711" s="188"/>
      <c r="B711" s="190"/>
      <c r="C711" s="99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0"/>
      <c r="E711" s="78" t="str">
        <f>IF(C711="","",IFERROR(VLOOKUP(C711,parametros!$A$11:$E$15,5,0),""))</f>
        <v/>
      </c>
      <c r="F711" s="79" t="str">
        <f t="shared" si="57"/>
        <v/>
      </c>
      <c r="G711" s="101"/>
      <c r="H711" s="91">
        <f t="shared" si="58"/>
        <v>0</v>
      </c>
      <c r="I711" s="91" t="str">
        <f t="shared" si="59"/>
        <v/>
      </c>
      <c r="J711" s="91" t="str">
        <f t="shared" si="60"/>
        <v/>
      </c>
      <c r="K711" s="92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2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58"/>
      <c r="U711" s="217" t="str">
        <f t="shared" si="61"/>
        <v/>
      </c>
      <c r="V711" s="215" t="s">
        <v>47</v>
      </c>
      <c r="W711" s="102" t="s">
        <v>136</v>
      </c>
      <c r="X711" s="102" t="s">
        <v>137</v>
      </c>
      <c r="Y711" s="103" t="s">
        <v>138</v>
      </c>
      <c r="Z711" s="103" t="s">
        <v>139</v>
      </c>
      <c r="AA711" s="103" t="s">
        <v>47</v>
      </c>
      <c r="AB711" s="103" t="s">
        <v>140</v>
      </c>
      <c r="AC711" s="104" t="s">
        <v>141</v>
      </c>
    </row>
    <row r="712" spans="1:29" ht="25.5" customHeight="1" x14ac:dyDescent="0.35">
      <c r="A712" s="188"/>
      <c r="B712" s="190"/>
      <c r="C712" s="99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0"/>
      <c r="E712" s="78" t="str">
        <f>IF(C712="","",IFERROR(VLOOKUP(C712,parametros!$A$11:$E$15,5,0),""))</f>
        <v/>
      </c>
      <c r="F712" s="79" t="str">
        <f t="shared" si="57"/>
        <v/>
      </c>
      <c r="G712" s="101"/>
      <c r="H712" s="91">
        <f t="shared" si="58"/>
        <v>0</v>
      </c>
      <c r="I712" s="91" t="str">
        <f t="shared" si="59"/>
        <v/>
      </c>
      <c r="J712" s="91" t="str">
        <f t="shared" si="60"/>
        <v/>
      </c>
      <c r="K712" s="92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2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58"/>
      <c r="U712" s="217" t="str">
        <f t="shared" si="61"/>
        <v/>
      </c>
      <c r="V712" s="215" t="s">
        <v>47</v>
      </c>
      <c r="W712" s="102" t="s">
        <v>136</v>
      </c>
      <c r="X712" s="102" t="s">
        <v>137</v>
      </c>
      <c r="Y712" s="103" t="s">
        <v>138</v>
      </c>
      <c r="Z712" s="103" t="s">
        <v>139</v>
      </c>
      <c r="AA712" s="103" t="s">
        <v>47</v>
      </c>
      <c r="AB712" s="103" t="s">
        <v>140</v>
      </c>
      <c r="AC712" s="104" t="s">
        <v>141</v>
      </c>
    </row>
    <row r="713" spans="1:29" ht="25.5" customHeight="1" x14ac:dyDescent="0.35">
      <c r="A713" s="188"/>
      <c r="B713" s="190"/>
      <c r="C713" s="99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0"/>
      <c r="E713" s="78" t="str">
        <f>IF(C713="","",IFERROR(VLOOKUP(C713,parametros!$A$11:$E$15,5,0),""))</f>
        <v/>
      </c>
      <c r="F713" s="79" t="str">
        <f t="shared" si="57"/>
        <v/>
      </c>
      <c r="G713" s="101"/>
      <c r="H713" s="91">
        <f t="shared" si="58"/>
        <v>0</v>
      </c>
      <c r="I713" s="91" t="str">
        <f t="shared" si="59"/>
        <v/>
      </c>
      <c r="J713" s="91" t="str">
        <f t="shared" si="60"/>
        <v/>
      </c>
      <c r="K713" s="92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2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58"/>
      <c r="U713" s="217" t="str">
        <f t="shared" si="61"/>
        <v/>
      </c>
      <c r="V713" s="215" t="s">
        <v>47</v>
      </c>
      <c r="W713" s="102" t="s">
        <v>136</v>
      </c>
      <c r="X713" s="102" t="s">
        <v>137</v>
      </c>
      <c r="Y713" s="103" t="s">
        <v>138</v>
      </c>
      <c r="Z713" s="103" t="s">
        <v>139</v>
      </c>
      <c r="AA713" s="103" t="s">
        <v>47</v>
      </c>
      <c r="AB713" s="103" t="s">
        <v>140</v>
      </c>
      <c r="AC713" s="104" t="s">
        <v>141</v>
      </c>
    </row>
    <row r="714" spans="1:29" ht="25.5" customHeight="1" x14ac:dyDescent="0.35">
      <c r="A714" s="188"/>
      <c r="B714" s="190"/>
      <c r="C714" s="99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0"/>
      <c r="E714" s="78" t="str">
        <f>IF(C714="","",IFERROR(VLOOKUP(C714,parametros!$A$11:$E$15,5,0),""))</f>
        <v/>
      </c>
      <c r="F714" s="79" t="str">
        <f t="shared" si="57"/>
        <v/>
      </c>
      <c r="G714" s="101"/>
      <c r="H714" s="91">
        <f t="shared" si="58"/>
        <v>0</v>
      </c>
      <c r="I714" s="91" t="str">
        <f t="shared" si="59"/>
        <v/>
      </c>
      <c r="J714" s="91" t="str">
        <f t="shared" si="60"/>
        <v/>
      </c>
      <c r="K714" s="92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2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58"/>
      <c r="U714" s="217" t="str">
        <f t="shared" si="61"/>
        <v/>
      </c>
      <c r="V714" s="215" t="s">
        <v>47</v>
      </c>
      <c r="W714" s="102" t="s">
        <v>136</v>
      </c>
      <c r="X714" s="102" t="s">
        <v>137</v>
      </c>
      <c r="Y714" s="103" t="s">
        <v>138</v>
      </c>
      <c r="Z714" s="103" t="s">
        <v>139</v>
      </c>
      <c r="AA714" s="103" t="s">
        <v>47</v>
      </c>
      <c r="AB714" s="103" t="s">
        <v>140</v>
      </c>
      <c r="AC714" s="104" t="s">
        <v>141</v>
      </c>
    </row>
    <row r="715" spans="1:29" ht="25.5" customHeight="1" x14ac:dyDescent="0.35">
      <c r="A715" s="188"/>
      <c r="B715" s="190"/>
      <c r="C715" s="99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0"/>
      <c r="E715" s="78" t="str">
        <f>IF(C715="","",IFERROR(VLOOKUP(C715,parametros!$A$11:$E$15,5,0),""))</f>
        <v/>
      </c>
      <c r="F715" s="79" t="str">
        <f t="shared" si="57"/>
        <v/>
      </c>
      <c r="G715" s="101"/>
      <c r="H715" s="91">
        <f t="shared" si="58"/>
        <v>0</v>
      </c>
      <c r="I715" s="91" t="str">
        <f t="shared" si="59"/>
        <v/>
      </c>
      <c r="J715" s="91" t="str">
        <f t="shared" si="60"/>
        <v/>
      </c>
      <c r="K715" s="92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2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58"/>
      <c r="U715" s="217" t="str">
        <f t="shared" si="61"/>
        <v/>
      </c>
      <c r="V715" s="215" t="s">
        <v>47</v>
      </c>
      <c r="W715" s="102" t="s">
        <v>136</v>
      </c>
      <c r="X715" s="102" t="s">
        <v>137</v>
      </c>
      <c r="Y715" s="103" t="s">
        <v>138</v>
      </c>
      <c r="Z715" s="103" t="s">
        <v>139</v>
      </c>
      <c r="AA715" s="103" t="s">
        <v>47</v>
      </c>
      <c r="AB715" s="103" t="s">
        <v>140</v>
      </c>
      <c r="AC715" s="104" t="s">
        <v>141</v>
      </c>
    </row>
    <row r="716" spans="1:29" ht="25.5" customHeight="1" x14ac:dyDescent="0.35">
      <c r="A716" s="188"/>
      <c r="B716" s="190"/>
      <c r="C716" s="99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0"/>
      <c r="E716" s="78" t="str">
        <f>IF(C716="","",IFERROR(VLOOKUP(C716,parametros!$A$11:$E$15,5,0),""))</f>
        <v/>
      </c>
      <c r="F716" s="79" t="str">
        <f t="shared" si="57"/>
        <v/>
      </c>
      <c r="G716" s="101"/>
      <c r="H716" s="91">
        <f t="shared" si="58"/>
        <v>0</v>
      </c>
      <c r="I716" s="91" t="str">
        <f t="shared" si="59"/>
        <v/>
      </c>
      <c r="J716" s="91" t="str">
        <f t="shared" si="60"/>
        <v/>
      </c>
      <c r="K716" s="92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2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58"/>
      <c r="U716" s="217" t="str">
        <f t="shared" si="61"/>
        <v/>
      </c>
      <c r="V716" s="215" t="s">
        <v>47</v>
      </c>
      <c r="W716" s="102" t="s">
        <v>136</v>
      </c>
      <c r="X716" s="102" t="s">
        <v>137</v>
      </c>
      <c r="Y716" s="103" t="s">
        <v>138</v>
      </c>
      <c r="Z716" s="103" t="s">
        <v>139</v>
      </c>
      <c r="AA716" s="103" t="s">
        <v>47</v>
      </c>
      <c r="AB716" s="103" t="s">
        <v>140</v>
      </c>
      <c r="AC716" s="104" t="s">
        <v>141</v>
      </c>
    </row>
    <row r="717" spans="1:29" ht="25.5" customHeight="1" x14ac:dyDescent="0.35">
      <c r="A717" s="188"/>
      <c r="B717" s="190"/>
      <c r="C717" s="99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0"/>
      <c r="E717" s="78" t="str">
        <f>IF(C717="","",IFERROR(VLOOKUP(C717,parametros!$A$11:$E$15,5,0),""))</f>
        <v/>
      </c>
      <c r="F717" s="79" t="str">
        <f t="shared" si="57"/>
        <v/>
      </c>
      <c r="G717" s="101"/>
      <c r="H717" s="91">
        <f t="shared" si="58"/>
        <v>0</v>
      </c>
      <c r="I717" s="91" t="str">
        <f t="shared" si="59"/>
        <v/>
      </c>
      <c r="J717" s="91" t="str">
        <f t="shared" si="60"/>
        <v/>
      </c>
      <c r="K717" s="92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2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58"/>
      <c r="U717" s="217" t="str">
        <f t="shared" si="61"/>
        <v/>
      </c>
      <c r="V717" s="215" t="s">
        <v>47</v>
      </c>
      <c r="W717" s="102" t="s">
        <v>136</v>
      </c>
      <c r="X717" s="102" t="s">
        <v>137</v>
      </c>
      <c r="Y717" s="103" t="s">
        <v>138</v>
      </c>
      <c r="Z717" s="103" t="s">
        <v>139</v>
      </c>
      <c r="AA717" s="103" t="s">
        <v>47</v>
      </c>
      <c r="AB717" s="103" t="s">
        <v>140</v>
      </c>
      <c r="AC717" s="104" t="s">
        <v>141</v>
      </c>
    </row>
    <row r="718" spans="1:29" ht="25.5" customHeight="1" x14ac:dyDescent="0.35">
      <c r="A718" s="188"/>
      <c r="B718" s="190"/>
      <c r="C718" s="99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0"/>
      <c r="E718" s="78" t="str">
        <f>IF(C718="","",IFERROR(VLOOKUP(C718,parametros!$A$11:$E$15,5,0),""))</f>
        <v/>
      </c>
      <c r="F718" s="79" t="str">
        <f t="shared" si="57"/>
        <v/>
      </c>
      <c r="G718" s="101"/>
      <c r="H718" s="91">
        <f t="shared" si="58"/>
        <v>0</v>
      </c>
      <c r="I718" s="91" t="str">
        <f t="shared" si="59"/>
        <v/>
      </c>
      <c r="J718" s="91" t="str">
        <f t="shared" si="60"/>
        <v/>
      </c>
      <c r="K718" s="92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2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58"/>
      <c r="U718" s="217" t="str">
        <f t="shared" si="61"/>
        <v/>
      </c>
      <c r="V718" s="215" t="s">
        <v>47</v>
      </c>
      <c r="W718" s="102" t="s">
        <v>136</v>
      </c>
      <c r="X718" s="102" t="s">
        <v>137</v>
      </c>
      <c r="Y718" s="103" t="s">
        <v>138</v>
      </c>
      <c r="Z718" s="103" t="s">
        <v>139</v>
      </c>
      <c r="AA718" s="103" t="s">
        <v>47</v>
      </c>
      <c r="AB718" s="103" t="s">
        <v>140</v>
      </c>
      <c r="AC718" s="104" t="s">
        <v>141</v>
      </c>
    </row>
    <row r="719" spans="1:29" ht="25.5" customHeight="1" x14ac:dyDescent="0.35">
      <c r="A719" s="188"/>
      <c r="B719" s="190"/>
      <c r="C719" s="99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0"/>
      <c r="E719" s="78" t="str">
        <f>IF(C719="","",IFERROR(VLOOKUP(C719,parametros!$A$11:$E$15,5,0),""))</f>
        <v/>
      </c>
      <c r="F719" s="79" t="str">
        <f t="shared" si="57"/>
        <v/>
      </c>
      <c r="G719" s="101"/>
      <c r="H719" s="91">
        <f t="shared" si="58"/>
        <v>0</v>
      </c>
      <c r="I719" s="91" t="str">
        <f t="shared" si="59"/>
        <v/>
      </c>
      <c r="J719" s="91" t="str">
        <f t="shared" si="60"/>
        <v/>
      </c>
      <c r="K719" s="92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2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58"/>
      <c r="U719" s="217" t="str">
        <f t="shared" si="61"/>
        <v/>
      </c>
      <c r="V719" s="215" t="s">
        <v>47</v>
      </c>
      <c r="W719" s="102" t="s">
        <v>136</v>
      </c>
      <c r="X719" s="102" t="s">
        <v>137</v>
      </c>
      <c r="Y719" s="103" t="s">
        <v>138</v>
      </c>
      <c r="Z719" s="103" t="s">
        <v>139</v>
      </c>
      <c r="AA719" s="103" t="s">
        <v>47</v>
      </c>
      <c r="AB719" s="103" t="s">
        <v>140</v>
      </c>
      <c r="AC719" s="104" t="s">
        <v>141</v>
      </c>
    </row>
    <row r="720" spans="1:29" ht="25.5" customHeight="1" x14ac:dyDescent="0.35">
      <c r="A720" s="188"/>
      <c r="B720" s="190"/>
      <c r="C720" s="99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0"/>
      <c r="E720" s="78" t="str">
        <f>IF(C720="","",IFERROR(VLOOKUP(C720,parametros!$A$11:$E$15,5,0),""))</f>
        <v/>
      </c>
      <c r="F720" s="79" t="str">
        <f t="shared" si="57"/>
        <v/>
      </c>
      <c r="G720" s="101"/>
      <c r="H720" s="91">
        <f t="shared" si="58"/>
        <v>0</v>
      </c>
      <c r="I720" s="91" t="str">
        <f t="shared" si="59"/>
        <v/>
      </c>
      <c r="J720" s="91" t="str">
        <f t="shared" si="60"/>
        <v/>
      </c>
      <c r="K720" s="92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2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58"/>
      <c r="U720" s="217" t="str">
        <f t="shared" si="61"/>
        <v/>
      </c>
      <c r="V720" s="215" t="s">
        <v>47</v>
      </c>
      <c r="W720" s="102" t="s">
        <v>136</v>
      </c>
      <c r="X720" s="102" t="s">
        <v>137</v>
      </c>
      <c r="Y720" s="103" t="s">
        <v>138</v>
      </c>
      <c r="Z720" s="103" t="s">
        <v>139</v>
      </c>
      <c r="AA720" s="103" t="s">
        <v>47</v>
      </c>
      <c r="AB720" s="103" t="s">
        <v>140</v>
      </c>
      <c r="AC720" s="104" t="s">
        <v>141</v>
      </c>
    </row>
    <row r="721" spans="1:29" ht="25.5" customHeight="1" x14ac:dyDescent="0.35">
      <c r="A721" s="188"/>
      <c r="B721" s="190"/>
      <c r="C721" s="99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0"/>
      <c r="E721" s="78" t="str">
        <f>IF(C721="","",IFERROR(VLOOKUP(C721,parametros!$A$11:$E$15,5,0),""))</f>
        <v/>
      </c>
      <c r="F721" s="79" t="str">
        <f t="shared" si="57"/>
        <v/>
      </c>
      <c r="G721" s="101"/>
      <c r="H721" s="91">
        <f t="shared" si="58"/>
        <v>0</v>
      </c>
      <c r="I721" s="91" t="str">
        <f t="shared" si="59"/>
        <v/>
      </c>
      <c r="J721" s="91" t="str">
        <f t="shared" si="60"/>
        <v/>
      </c>
      <c r="K721" s="92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2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58"/>
      <c r="U721" s="217" t="str">
        <f t="shared" si="61"/>
        <v/>
      </c>
      <c r="V721" s="215" t="s">
        <v>47</v>
      </c>
      <c r="W721" s="102" t="s">
        <v>136</v>
      </c>
      <c r="X721" s="102" t="s">
        <v>137</v>
      </c>
      <c r="Y721" s="103" t="s">
        <v>138</v>
      </c>
      <c r="Z721" s="103" t="s">
        <v>139</v>
      </c>
      <c r="AA721" s="103" t="s">
        <v>47</v>
      </c>
      <c r="AB721" s="103" t="s">
        <v>140</v>
      </c>
      <c r="AC721" s="104" t="s">
        <v>141</v>
      </c>
    </row>
    <row r="722" spans="1:29" ht="25.5" customHeight="1" x14ac:dyDescent="0.35">
      <c r="A722" s="188"/>
      <c r="B722" s="190"/>
      <c r="C722" s="99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0"/>
      <c r="E722" s="78" t="str">
        <f>IF(C722="","",IFERROR(VLOOKUP(C722,parametros!$A$11:$E$15,5,0),""))</f>
        <v/>
      </c>
      <c r="F722" s="79" t="str">
        <f t="shared" si="57"/>
        <v/>
      </c>
      <c r="G722" s="101"/>
      <c r="H722" s="91">
        <f t="shared" si="58"/>
        <v>0</v>
      </c>
      <c r="I722" s="91" t="str">
        <f t="shared" si="59"/>
        <v/>
      </c>
      <c r="J722" s="91" t="str">
        <f t="shared" si="60"/>
        <v/>
      </c>
      <c r="K722" s="92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2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58"/>
      <c r="U722" s="217" t="str">
        <f t="shared" si="61"/>
        <v/>
      </c>
      <c r="V722" s="215" t="s">
        <v>47</v>
      </c>
      <c r="W722" s="102" t="s">
        <v>136</v>
      </c>
      <c r="X722" s="102" t="s">
        <v>137</v>
      </c>
      <c r="Y722" s="103" t="s">
        <v>138</v>
      </c>
      <c r="Z722" s="103" t="s">
        <v>139</v>
      </c>
      <c r="AA722" s="103" t="s">
        <v>47</v>
      </c>
      <c r="AB722" s="103" t="s">
        <v>140</v>
      </c>
      <c r="AC722" s="104" t="s">
        <v>141</v>
      </c>
    </row>
    <row r="723" spans="1:29" ht="25.5" customHeight="1" x14ac:dyDescent="0.35">
      <c r="A723" s="188"/>
      <c r="B723" s="190"/>
      <c r="C723" s="99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0"/>
      <c r="E723" s="78" t="str">
        <f>IF(C723="","",IFERROR(VLOOKUP(C723,parametros!$A$11:$E$15,5,0),""))</f>
        <v/>
      </c>
      <c r="F723" s="79" t="str">
        <f t="shared" si="57"/>
        <v/>
      </c>
      <c r="G723" s="101"/>
      <c r="H723" s="91">
        <f t="shared" si="58"/>
        <v>0</v>
      </c>
      <c r="I723" s="91" t="str">
        <f t="shared" si="59"/>
        <v/>
      </c>
      <c r="J723" s="91" t="str">
        <f t="shared" si="60"/>
        <v/>
      </c>
      <c r="K723" s="92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2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58"/>
      <c r="U723" s="217" t="str">
        <f t="shared" si="61"/>
        <v/>
      </c>
      <c r="V723" s="215" t="s">
        <v>47</v>
      </c>
      <c r="W723" s="102" t="s">
        <v>136</v>
      </c>
      <c r="X723" s="102" t="s">
        <v>137</v>
      </c>
      <c r="Y723" s="103" t="s">
        <v>138</v>
      </c>
      <c r="Z723" s="103" t="s">
        <v>139</v>
      </c>
      <c r="AA723" s="103" t="s">
        <v>47</v>
      </c>
      <c r="AB723" s="103" t="s">
        <v>140</v>
      </c>
      <c r="AC723" s="104" t="s">
        <v>141</v>
      </c>
    </row>
    <row r="724" spans="1:29" ht="25.5" customHeight="1" x14ac:dyDescent="0.35">
      <c r="A724" s="188"/>
      <c r="B724" s="190"/>
      <c r="C724" s="99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0"/>
      <c r="E724" s="78" t="str">
        <f>IF(C724="","",IFERROR(VLOOKUP(C724,parametros!$A$11:$E$15,5,0),""))</f>
        <v/>
      </c>
      <c r="F724" s="79" t="str">
        <f t="shared" si="57"/>
        <v/>
      </c>
      <c r="G724" s="101"/>
      <c r="H724" s="91">
        <f t="shared" si="58"/>
        <v>0</v>
      </c>
      <c r="I724" s="91" t="str">
        <f t="shared" si="59"/>
        <v/>
      </c>
      <c r="J724" s="91" t="str">
        <f t="shared" si="60"/>
        <v/>
      </c>
      <c r="K724" s="92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2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58"/>
      <c r="U724" s="217" t="str">
        <f t="shared" si="61"/>
        <v/>
      </c>
      <c r="V724" s="215" t="s">
        <v>47</v>
      </c>
      <c r="W724" s="102" t="s">
        <v>136</v>
      </c>
      <c r="X724" s="102" t="s">
        <v>137</v>
      </c>
      <c r="Y724" s="103" t="s">
        <v>138</v>
      </c>
      <c r="Z724" s="103" t="s">
        <v>139</v>
      </c>
      <c r="AA724" s="103" t="s">
        <v>47</v>
      </c>
      <c r="AB724" s="103" t="s">
        <v>140</v>
      </c>
      <c r="AC724" s="104" t="s">
        <v>141</v>
      </c>
    </row>
    <row r="725" spans="1:29" ht="25.5" customHeight="1" x14ac:dyDescent="0.35">
      <c r="A725" s="188"/>
      <c r="B725" s="190"/>
      <c r="C725" s="99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0"/>
      <c r="E725" s="78" t="str">
        <f>IF(C725="","",IFERROR(VLOOKUP(C725,parametros!$A$11:$E$15,5,0),""))</f>
        <v/>
      </c>
      <c r="F725" s="79" t="str">
        <f t="shared" si="57"/>
        <v/>
      </c>
      <c r="G725" s="101"/>
      <c r="H725" s="91">
        <f t="shared" si="58"/>
        <v>0</v>
      </c>
      <c r="I725" s="91" t="str">
        <f t="shared" si="59"/>
        <v/>
      </c>
      <c r="J725" s="91" t="str">
        <f t="shared" si="60"/>
        <v/>
      </c>
      <c r="K725" s="92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2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58"/>
      <c r="U725" s="217" t="str">
        <f t="shared" si="61"/>
        <v/>
      </c>
      <c r="V725" s="215" t="s">
        <v>47</v>
      </c>
      <c r="W725" s="102" t="s">
        <v>136</v>
      </c>
      <c r="X725" s="102" t="s">
        <v>137</v>
      </c>
      <c r="Y725" s="103" t="s">
        <v>138</v>
      </c>
      <c r="Z725" s="103" t="s">
        <v>139</v>
      </c>
      <c r="AA725" s="103" t="s">
        <v>47</v>
      </c>
      <c r="AB725" s="103" t="s">
        <v>140</v>
      </c>
      <c r="AC725" s="104" t="s">
        <v>141</v>
      </c>
    </row>
    <row r="726" spans="1:29" ht="25.5" customHeight="1" x14ac:dyDescent="0.35">
      <c r="A726" s="188"/>
      <c r="B726" s="190"/>
      <c r="C726" s="99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0"/>
      <c r="E726" s="78" t="str">
        <f>IF(C726="","",IFERROR(VLOOKUP(C726,parametros!$A$11:$E$15,5,0),""))</f>
        <v/>
      </c>
      <c r="F726" s="79" t="str">
        <f t="shared" si="57"/>
        <v/>
      </c>
      <c r="G726" s="101"/>
      <c r="H726" s="91">
        <f t="shared" si="58"/>
        <v>0</v>
      </c>
      <c r="I726" s="91" t="str">
        <f t="shared" si="59"/>
        <v/>
      </c>
      <c r="J726" s="91" t="str">
        <f t="shared" si="60"/>
        <v/>
      </c>
      <c r="K726" s="92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2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58"/>
      <c r="U726" s="217" t="str">
        <f t="shared" si="61"/>
        <v/>
      </c>
      <c r="V726" s="215" t="s">
        <v>47</v>
      </c>
      <c r="W726" s="102" t="s">
        <v>136</v>
      </c>
      <c r="X726" s="102" t="s">
        <v>137</v>
      </c>
      <c r="Y726" s="103" t="s">
        <v>138</v>
      </c>
      <c r="Z726" s="103" t="s">
        <v>139</v>
      </c>
      <c r="AA726" s="103" t="s">
        <v>47</v>
      </c>
      <c r="AB726" s="103" t="s">
        <v>140</v>
      </c>
      <c r="AC726" s="104" t="s">
        <v>141</v>
      </c>
    </row>
    <row r="727" spans="1:29" ht="25.5" customHeight="1" x14ac:dyDescent="0.35">
      <c r="A727" s="188"/>
      <c r="B727" s="190"/>
      <c r="C727" s="99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0"/>
      <c r="E727" s="78" t="str">
        <f>IF(C727="","",IFERROR(VLOOKUP(C727,parametros!$A$11:$E$15,5,0),""))</f>
        <v/>
      </c>
      <c r="F727" s="79" t="str">
        <f t="shared" si="57"/>
        <v/>
      </c>
      <c r="G727" s="101"/>
      <c r="H727" s="91">
        <f t="shared" si="58"/>
        <v>0</v>
      </c>
      <c r="I727" s="91" t="str">
        <f t="shared" si="59"/>
        <v/>
      </c>
      <c r="J727" s="91" t="str">
        <f t="shared" si="60"/>
        <v/>
      </c>
      <c r="K727" s="92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2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58"/>
      <c r="U727" s="217" t="str">
        <f t="shared" si="61"/>
        <v/>
      </c>
      <c r="V727" s="215" t="s">
        <v>47</v>
      </c>
      <c r="W727" s="102" t="s">
        <v>136</v>
      </c>
      <c r="X727" s="102" t="s">
        <v>137</v>
      </c>
      <c r="Y727" s="103" t="s">
        <v>138</v>
      </c>
      <c r="Z727" s="103" t="s">
        <v>139</v>
      </c>
      <c r="AA727" s="103" t="s">
        <v>47</v>
      </c>
      <c r="AB727" s="103" t="s">
        <v>140</v>
      </c>
      <c r="AC727" s="104" t="s">
        <v>141</v>
      </c>
    </row>
    <row r="728" spans="1:29" ht="25.5" customHeight="1" x14ac:dyDescent="0.35">
      <c r="A728" s="188"/>
      <c r="B728" s="190"/>
      <c r="C728" s="99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0"/>
      <c r="E728" s="78" t="str">
        <f>IF(C728="","",IFERROR(VLOOKUP(C728,parametros!$A$11:$E$15,5,0),""))</f>
        <v/>
      </c>
      <c r="F728" s="79" t="str">
        <f t="shared" si="57"/>
        <v/>
      </c>
      <c r="G728" s="101"/>
      <c r="H728" s="91">
        <f t="shared" si="58"/>
        <v>0</v>
      </c>
      <c r="I728" s="91" t="str">
        <f t="shared" si="59"/>
        <v/>
      </c>
      <c r="J728" s="91" t="str">
        <f t="shared" si="60"/>
        <v/>
      </c>
      <c r="K728" s="92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2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58"/>
      <c r="U728" s="217" t="str">
        <f t="shared" si="61"/>
        <v/>
      </c>
      <c r="V728" s="215" t="s">
        <v>47</v>
      </c>
      <c r="W728" s="102" t="s">
        <v>136</v>
      </c>
      <c r="X728" s="102" t="s">
        <v>137</v>
      </c>
      <c r="Y728" s="103" t="s">
        <v>138</v>
      </c>
      <c r="Z728" s="103" t="s">
        <v>139</v>
      </c>
      <c r="AA728" s="103" t="s">
        <v>47</v>
      </c>
      <c r="AB728" s="103" t="s">
        <v>140</v>
      </c>
      <c r="AC728" s="104" t="s">
        <v>141</v>
      </c>
    </row>
    <row r="729" spans="1:29" ht="25.5" customHeight="1" x14ac:dyDescent="0.35">
      <c r="A729" s="188"/>
      <c r="B729" s="190"/>
      <c r="C729" s="99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0"/>
      <c r="E729" s="78" t="str">
        <f>IF(C729="","",IFERROR(VLOOKUP(C729,parametros!$A$11:$E$15,5,0),""))</f>
        <v/>
      </c>
      <c r="F729" s="79" t="str">
        <f t="shared" si="57"/>
        <v/>
      </c>
      <c r="G729" s="101"/>
      <c r="H729" s="91">
        <f t="shared" si="58"/>
        <v>0</v>
      </c>
      <c r="I729" s="91" t="str">
        <f t="shared" si="59"/>
        <v/>
      </c>
      <c r="J729" s="91" t="str">
        <f t="shared" si="60"/>
        <v/>
      </c>
      <c r="K729" s="92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2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58"/>
      <c r="U729" s="217" t="str">
        <f t="shared" si="61"/>
        <v/>
      </c>
      <c r="V729" s="215" t="s">
        <v>47</v>
      </c>
      <c r="W729" s="102" t="s">
        <v>136</v>
      </c>
      <c r="X729" s="102" t="s">
        <v>137</v>
      </c>
      <c r="Y729" s="103" t="s">
        <v>138</v>
      </c>
      <c r="Z729" s="103" t="s">
        <v>139</v>
      </c>
      <c r="AA729" s="103" t="s">
        <v>47</v>
      </c>
      <c r="AB729" s="103" t="s">
        <v>140</v>
      </c>
      <c r="AC729" s="104" t="s">
        <v>141</v>
      </c>
    </row>
    <row r="730" spans="1:29" ht="25.5" customHeight="1" x14ac:dyDescent="0.35">
      <c r="A730" s="188"/>
      <c r="B730" s="190"/>
      <c r="C730" s="99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0"/>
      <c r="E730" s="78" t="str">
        <f>IF(C730="","",IFERROR(VLOOKUP(C730,parametros!$A$11:$E$15,5,0),""))</f>
        <v/>
      </c>
      <c r="F730" s="79" t="str">
        <f t="shared" si="57"/>
        <v/>
      </c>
      <c r="G730" s="101"/>
      <c r="H730" s="91">
        <f t="shared" si="58"/>
        <v>0</v>
      </c>
      <c r="I730" s="91" t="str">
        <f t="shared" si="59"/>
        <v/>
      </c>
      <c r="J730" s="91" t="str">
        <f t="shared" si="60"/>
        <v/>
      </c>
      <c r="K730" s="92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2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58"/>
      <c r="U730" s="217" t="str">
        <f t="shared" si="61"/>
        <v/>
      </c>
      <c r="V730" s="215" t="s">
        <v>47</v>
      </c>
      <c r="W730" s="102" t="s">
        <v>136</v>
      </c>
      <c r="X730" s="102" t="s">
        <v>137</v>
      </c>
      <c r="Y730" s="103" t="s">
        <v>138</v>
      </c>
      <c r="Z730" s="103" t="s">
        <v>139</v>
      </c>
      <c r="AA730" s="103" t="s">
        <v>47</v>
      </c>
      <c r="AB730" s="103" t="s">
        <v>140</v>
      </c>
      <c r="AC730" s="104" t="s">
        <v>141</v>
      </c>
    </row>
    <row r="731" spans="1:29" ht="25.5" customHeight="1" x14ac:dyDescent="0.35">
      <c r="A731" s="188"/>
      <c r="B731" s="190"/>
      <c r="C731" s="99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0"/>
      <c r="E731" s="78" t="str">
        <f>IF(C731="","",IFERROR(VLOOKUP(C731,parametros!$A$11:$E$15,5,0),""))</f>
        <v/>
      </c>
      <c r="F731" s="79" t="str">
        <f t="shared" si="57"/>
        <v/>
      </c>
      <c r="G731" s="101"/>
      <c r="H731" s="91">
        <f t="shared" si="58"/>
        <v>0</v>
      </c>
      <c r="I731" s="91" t="str">
        <f t="shared" si="59"/>
        <v/>
      </c>
      <c r="J731" s="91" t="str">
        <f t="shared" si="60"/>
        <v/>
      </c>
      <c r="K731" s="92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2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58"/>
      <c r="U731" s="217" t="str">
        <f t="shared" si="61"/>
        <v/>
      </c>
      <c r="V731" s="215" t="s">
        <v>47</v>
      </c>
      <c r="W731" s="102" t="s">
        <v>136</v>
      </c>
      <c r="X731" s="102" t="s">
        <v>137</v>
      </c>
      <c r="Y731" s="103" t="s">
        <v>138</v>
      </c>
      <c r="Z731" s="103" t="s">
        <v>139</v>
      </c>
      <c r="AA731" s="103" t="s">
        <v>47</v>
      </c>
      <c r="AB731" s="103" t="s">
        <v>140</v>
      </c>
      <c r="AC731" s="104" t="s">
        <v>141</v>
      </c>
    </row>
    <row r="732" spans="1:29" ht="25.5" customHeight="1" x14ac:dyDescent="0.35">
      <c r="A732" s="188"/>
      <c r="B732" s="190"/>
      <c r="C732" s="99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0"/>
      <c r="E732" s="78" t="str">
        <f>IF(C732="","",IFERROR(VLOOKUP(C732,parametros!$A$11:$E$15,5,0),""))</f>
        <v/>
      </c>
      <c r="F732" s="79" t="str">
        <f t="shared" si="57"/>
        <v/>
      </c>
      <c r="G732" s="101"/>
      <c r="H732" s="91">
        <f t="shared" si="58"/>
        <v>0</v>
      </c>
      <c r="I732" s="91" t="str">
        <f t="shared" si="59"/>
        <v/>
      </c>
      <c r="J732" s="91" t="str">
        <f t="shared" si="60"/>
        <v/>
      </c>
      <c r="K732" s="92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2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58"/>
      <c r="U732" s="217" t="str">
        <f t="shared" si="61"/>
        <v/>
      </c>
      <c r="V732" s="215" t="s">
        <v>47</v>
      </c>
      <c r="W732" s="102" t="s">
        <v>136</v>
      </c>
      <c r="X732" s="102" t="s">
        <v>137</v>
      </c>
      <c r="Y732" s="103" t="s">
        <v>138</v>
      </c>
      <c r="Z732" s="103" t="s">
        <v>139</v>
      </c>
      <c r="AA732" s="103" t="s">
        <v>47</v>
      </c>
      <c r="AB732" s="103" t="s">
        <v>140</v>
      </c>
      <c r="AC732" s="104" t="s">
        <v>141</v>
      </c>
    </row>
    <row r="733" spans="1:29" ht="25.5" customHeight="1" x14ac:dyDescent="0.35">
      <c r="A733" s="188"/>
      <c r="B733" s="190"/>
      <c r="C733" s="99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0"/>
      <c r="E733" s="78" t="str">
        <f>IF(C733="","",IFERROR(VLOOKUP(C733,parametros!$A$11:$E$15,5,0),""))</f>
        <v/>
      </c>
      <c r="F733" s="79" t="str">
        <f t="shared" si="57"/>
        <v/>
      </c>
      <c r="G733" s="101"/>
      <c r="H733" s="91">
        <f t="shared" si="58"/>
        <v>0</v>
      </c>
      <c r="I733" s="91" t="str">
        <f t="shared" si="59"/>
        <v/>
      </c>
      <c r="J733" s="91" t="str">
        <f t="shared" si="60"/>
        <v/>
      </c>
      <c r="K733" s="92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2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58"/>
      <c r="U733" s="217" t="str">
        <f t="shared" si="61"/>
        <v/>
      </c>
      <c r="V733" s="215" t="s">
        <v>47</v>
      </c>
      <c r="W733" s="102" t="s">
        <v>136</v>
      </c>
      <c r="X733" s="102" t="s">
        <v>137</v>
      </c>
      <c r="Y733" s="103" t="s">
        <v>138</v>
      </c>
      <c r="Z733" s="103" t="s">
        <v>139</v>
      </c>
      <c r="AA733" s="103" t="s">
        <v>47</v>
      </c>
      <c r="AB733" s="103" t="s">
        <v>140</v>
      </c>
      <c r="AC733" s="104" t="s">
        <v>141</v>
      </c>
    </row>
    <row r="734" spans="1:29" ht="25.5" customHeight="1" x14ac:dyDescent="0.35">
      <c r="A734" s="188"/>
      <c r="B734" s="190"/>
      <c r="C734" s="99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0"/>
      <c r="E734" s="78" t="str">
        <f>IF(C734="","",IFERROR(VLOOKUP(C734,parametros!$A$11:$E$15,5,0),""))</f>
        <v/>
      </c>
      <c r="F734" s="79" t="str">
        <f t="shared" si="57"/>
        <v/>
      </c>
      <c r="G734" s="101"/>
      <c r="H734" s="91">
        <f t="shared" si="58"/>
        <v>0</v>
      </c>
      <c r="I734" s="91" t="str">
        <f t="shared" si="59"/>
        <v/>
      </c>
      <c r="J734" s="91" t="str">
        <f t="shared" si="60"/>
        <v/>
      </c>
      <c r="K734" s="92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2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58"/>
      <c r="U734" s="217" t="str">
        <f t="shared" si="61"/>
        <v/>
      </c>
      <c r="V734" s="215" t="s">
        <v>47</v>
      </c>
      <c r="W734" s="102" t="s">
        <v>136</v>
      </c>
      <c r="X734" s="102" t="s">
        <v>137</v>
      </c>
      <c r="Y734" s="103" t="s">
        <v>138</v>
      </c>
      <c r="Z734" s="103" t="s">
        <v>139</v>
      </c>
      <c r="AA734" s="103" t="s">
        <v>47</v>
      </c>
      <c r="AB734" s="103" t="s">
        <v>140</v>
      </c>
      <c r="AC734" s="104" t="s">
        <v>141</v>
      </c>
    </row>
    <row r="735" spans="1:29" ht="25.5" customHeight="1" x14ac:dyDescent="0.35">
      <c r="A735" s="188"/>
      <c r="B735" s="190"/>
      <c r="C735" s="99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0"/>
      <c r="E735" s="78" t="str">
        <f>IF(C735="","",IFERROR(VLOOKUP(C735,parametros!$A$11:$E$15,5,0),""))</f>
        <v/>
      </c>
      <c r="F735" s="79" t="str">
        <f t="shared" si="57"/>
        <v/>
      </c>
      <c r="G735" s="101"/>
      <c r="H735" s="91">
        <f t="shared" si="58"/>
        <v>0</v>
      </c>
      <c r="I735" s="91" t="str">
        <f t="shared" si="59"/>
        <v/>
      </c>
      <c r="J735" s="91" t="str">
        <f t="shared" si="60"/>
        <v/>
      </c>
      <c r="K735" s="92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2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58"/>
      <c r="U735" s="217" t="str">
        <f t="shared" si="61"/>
        <v/>
      </c>
      <c r="V735" s="215" t="s">
        <v>47</v>
      </c>
      <c r="W735" s="102" t="s">
        <v>136</v>
      </c>
      <c r="X735" s="102" t="s">
        <v>137</v>
      </c>
      <c r="Y735" s="103" t="s">
        <v>138</v>
      </c>
      <c r="Z735" s="103" t="s">
        <v>139</v>
      </c>
      <c r="AA735" s="103" t="s">
        <v>47</v>
      </c>
      <c r="AB735" s="103" t="s">
        <v>140</v>
      </c>
      <c r="AC735" s="104" t="s">
        <v>141</v>
      </c>
    </row>
    <row r="736" spans="1:29" ht="25.5" customHeight="1" x14ac:dyDescent="0.35">
      <c r="A736" s="188"/>
      <c r="B736" s="190"/>
      <c r="C736" s="99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0"/>
      <c r="E736" s="78" t="str">
        <f>IF(C736="","",IFERROR(VLOOKUP(C736,parametros!$A$11:$E$15,5,0),""))</f>
        <v/>
      </c>
      <c r="F736" s="79" t="str">
        <f t="shared" si="57"/>
        <v/>
      </c>
      <c r="G736" s="101"/>
      <c r="H736" s="91">
        <f t="shared" si="58"/>
        <v>0</v>
      </c>
      <c r="I736" s="91" t="str">
        <f t="shared" si="59"/>
        <v/>
      </c>
      <c r="J736" s="91" t="str">
        <f t="shared" si="60"/>
        <v/>
      </c>
      <c r="K736" s="92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2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58"/>
      <c r="U736" s="217" t="str">
        <f t="shared" si="61"/>
        <v/>
      </c>
      <c r="V736" s="215" t="s">
        <v>47</v>
      </c>
      <c r="W736" s="102" t="s">
        <v>136</v>
      </c>
      <c r="X736" s="102" t="s">
        <v>137</v>
      </c>
      <c r="Y736" s="103" t="s">
        <v>138</v>
      </c>
      <c r="Z736" s="103" t="s">
        <v>139</v>
      </c>
      <c r="AA736" s="103" t="s">
        <v>47</v>
      </c>
      <c r="AB736" s="103" t="s">
        <v>140</v>
      </c>
      <c r="AC736" s="104" t="s">
        <v>141</v>
      </c>
    </row>
    <row r="737" spans="1:29" ht="25.5" customHeight="1" x14ac:dyDescent="0.35">
      <c r="A737" s="188"/>
      <c r="B737" s="190"/>
      <c r="C737" s="99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0"/>
      <c r="E737" s="78" t="str">
        <f>IF(C737="","",IFERROR(VLOOKUP(C737,parametros!$A$11:$E$15,5,0),""))</f>
        <v/>
      </c>
      <c r="F737" s="79" t="str">
        <f t="shared" si="57"/>
        <v/>
      </c>
      <c r="G737" s="101"/>
      <c r="H737" s="91">
        <f t="shared" si="58"/>
        <v>0</v>
      </c>
      <c r="I737" s="91" t="str">
        <f t="shared" si="59"/>
        <v/>
      </c>
      <c r="J737" s="91" t="str">
        <f t="shared" si="60"/>
        <v/>
      </c>
      <c r="K737" s="92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2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58"/>
      <c r="U737" s="217" t="str">
        <f t="shared" si="61"/>
        <v/>
      </c>
      <c r="V737" s="215" t="s">
        <v>47</v>
      </c>
      <c r="W737" s="102" t="s">
        <v>136</v>
      </c>
      <c r="X737" s="102" t="s">
        <v>137</v>
      </c>
      <c r="Y737" s="103" t="s">
        <v>138</v>
      </c>
      <c r="Z737" s="103" t="s">
        <v>139</v>
      </c>
      <c r="AA737" s="103" t="s">
        <v>47</v>
      </c>
      <c r="AB737" s="103" t="s">
        <v>140</v>
      </c>
      <c r="AC737" s="104" t="s">
        <v>141</v>
      </c>
    </row>
    <row r="738" spans="1:29" ht="25.5" customHeight="1" x14ac:dyDescent="0.35">
      <c r="A738" s="188"/>
      <c r="B738" s="190"/>
      <c r="C738" s="99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0"/>
      <c r="E738" s="78" t="str">
        <f>IF(C738="","",IFERROR(VLOOKUP(C738,parametros!$A$11:$E$15,5,0),""))</f>
        <v/>
      </c>
      <c r="F738" s="79" t="str">
        <f t="shared" si="57"/>
        <v/>
      </c>
      <c r="G738" s="101"/>
      <c r="H738" s="91">
        <f t="shared" si="58"/>
        <v>0</v>
      </c>
      <c r="I738" s="91" t="str">
        <f t="shared" si="59"/>
        <v/>
      </c>
      <c r="J738" s="91" t="str">
        <f t="shared" si="60"/>
        <v/>
      </c>
      <c r="K738" s="92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2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58"/>
      <c r="U738" s="217" t="str">
        <f t="shared" si="61"/>
        <v/>
      </c>
      <c r="V738" s="215" t="s">
        <v>47</v>
      </c>
      <c r="W738" s="102" t="s">
        <v>136</v>
      </c>
      <c r="X738" s="102" t="s">
        <v>137</v>
      </c>
      <c r="Y738" s="103" t="s">
        <v>138</v>
      </c>
      <c r="Z738" s="103" t="s">
        <v>139</v>
      </c>
      <c r="AA738" s="103" t="s">
        <v>47</v>
      </c>
      <c r="AB738" s="103" t="s">
        <v>140</v>
      </c>
      <c r="AC738" s="104" t="s">
        <v>141</v>
      </c>
    </row>
    <row r="739" spans="1:29" ht="25.5" customHeight="1" x14ac:dyDescent="0.35">
      <c r="A739" s="188"/>
      <c r="B739" s="190"/>
      <c r="C739" s="99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0"/>
      <c r="E739" s="78" t="str">
        <f>IF(C739="","",IFERROR(VLOOKUP(C739,parametros!$A$11:$E$15,5,0),""))</f>
        <v/>
      </c>
      <c r="F739" s="79" t="str">
        <f t="shared" si="57"/>
        <v/>
      </c>
      <c r="G739" s="101"/>
      <c r="H739" s="91">
        <f t="shared" si="58"/>
        <v>0</v>
      </c>
      <c r="I739" s="91" t="str">
        <f t="shared" si="59"/>
        <v/>
      </c>
      <c r="J739" s="91" t="str">
        <f t="shared" si="60"/>
        <v/>
      </c>
      <c r="K739" s="92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2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58"/>
      <c r="U739" s="217" t="str">
        <f t="shared" si="61"/>
        <v/>
      </c>
      <c r="V739" s="215" t="s">
        <v>47</v>
      </c>
      <c r="W739" s="102" t="s">
        <v>136</v>
      </c>
      <c r="X739" s="102" t="s">
        <v>137</v>
      </c>
      <c r="Y739" s="103" t="s">
        <v>138</v>
      </c>
      <c r="Z739" s="103" t="s">
        <v>139</v>
      </c>
      <c r="AA739" s="103" t="s">
        <v>47</v>
      </c>
      <c r="AB739" s="103" t="s">
        <v>140</v>
      </c>
      <c r="AC739" s="104" t="s">
        <v>141</v>
      </c>
    </row>
    <row r="740" spans="1:29" ht="25.5" customHeight="1" x14ac:dyDescent="0.35">
      <c r="A740" s="188"/>
      <c r="B740" s="190"/>
      <c r="C740" s="99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0"/>
      <c r="E740" s="78" t="str">
        <f>IF(C740="","",IFERROR(VLOOKUP(C740,parametros!$A$11:$E$15,5,0),""))</f>
        <v/>
      </c>
      <c r="F740" s="79" t="str">
        <f t="shared" si="57"/>
        <v/>
      </c>
      <c r="G740" s="101"/>
      <c r="H740" s="91">
        <f t="shared" si="58"/>
        <v>0</v>
      </c>
      <c r="I740" s="91" t="str">
        <f t="shared" si="59"/>
        <v/>
      </c>
      <c r="J740" s="91" t="str">
        <f t="shared" si="60"/>
        <v/>
      </c>
      <c r="K740" s="92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2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58"/>
      <c r="U740" s="217" t="str">
        <f t="shared" si="61"/>
        <v/>
      </c>
      <c r="V740" s="215" t="s">
        <v>47</v>
      </c>
      <c r="W740" s="102" t="s">
        <v>136</v>
      </c>
      <c r="X740" s="102" t="s">
        <v>137</v>
      </c>
      <c r="Y740" s="103" t="s">
        <v>138</v>
      </c>
      <c r="Z740" s="103" t="s">
        <v>139</v>
      </c>
      <c r="AA740" s="103" t="s">
        <v>47</v>
      </c>
      <c r="AB740" s="103" t="s">
        <v>140</v>
      </c>
      <c r="AC740" s="104" t="s">
        <v>141</v>
      </c>
    </row>
    <row r="741" spans="1:29" ht="25.5" customHeight="1" x14ac:dyDescent="0.35">
      <c r="A741" s="188"/>
      <c r="B741" s="190"/>
      <c r="C741" s="99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0"/>
      <c r="E741" s="78" t="str">
        <f>IF(C741="","",IFERROR(VLOOKUP(C741,parametros!$A$11:$E$15,5,0),""))</f>
        <v/>
      </c>
      <c r="F741" s="79" t="str">
        <f t="shared" si="57"/>
        <v/>
      </c>
      <c r="G741" s="101"/>
      <c r="H741" s="91">
        <f t="shared" si="58"/>
        <v>0</v>
      </c>
      <c r="I741" s="91" t="str">
        <f t="shared" si="59"/>
        <v/>
      </c>
      <c r="J741" s="91" t="str">
        <f t="shared" si="60"/>
        <v/>
      </c>
      <c r="K741" s="92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2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58"/>
      <c r="U741" s="217" t="str">
        <f t="shared" si="61"/>
        <v/>
      </c>
      <c r="V741" s="215" t="s">
        <v>47</v>
      </c>
      <c r="W741" s="102" t="s">
        <v>136</v>
      </c>
      <c r="X741" s="102" t="s">
        <v>137</v>
      </c>
      <c r="Y741" s="103" t="s">
        <v>138</v>
      </c>
      <c r="Z741" s="103" t="s">
        <v>139</v>
      </c>
      <c r="AA741" s="103" t="s">
        <v>47</v>
      </c>
      <c r="AB741" s="103" t="s">
        <v>140</v>
      </c>
      <c r="AC741" s="104" t="s">
        <v>141</v>
      </c>
    </row>
    <row r="742" spans="1:29" ht="25.5" customHeight="1" x14ac:dyDescent="0.35">
      <c r="A742" s="188"/>
      <c r="B742" s="190"/>
      <c r="C742" s="99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0"/>
      <c r="E742" s="78" t="str">
        <f>IF(C742="","",IFERROR(VLOOKUP(C742,parametros!$A$11:$E$15,5,0),""))</f>
        <v/>
      </c>
      <c r="F742" s="79" t="str">
        <f t="shared" si="57"/>
        <v/>
      </c>
      <c r="G742" s="101"/>
      <c r="H742" s="91">
        <f t="shared" si="58"/>
        <v>0</v>
      </c>
      <c r="I742" s="91" t="str">
        <f t="shared" si="59"/>
        <v/>
      </c>
      <c r="J742" s="91" t="str">
        <f t="shared" si="60"/>
        <v/>
      </c>
      <c r="K742" s="92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2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58"/>
      <c r="U742" s="217" t="str">
        <f t="shared" si="61"/>
        <v/>
      </c>
      <c r="V742" s="215" t="s">
        <v>47</v>
      </c>
      <c r="W742" s="102" t="s">
        <v>136</v>
      </c>
      <c r="X742" s="102" t="s">
        <v>137</v>
      </c>
      <c r="Y742" s="103" t="s">
        <v>138</v>
      </c>
      <c r="Z742" s="103" t="s">
        <v>139</v>
      </c>
      <c r="AA742" s="103" t="s">
        <v>47</v>
      </c>
      <c r="AB742" s="103" t="s">
        <v>140</v>
      </c>
      <c r="AC742" s="104" t="s">
        <v>141</v>
      </c>
    </row>
    <row r="743" spans="1:29" ht="25.5" customHeight="1" x14ac:dyDescent="0.35">
      <c r="A743" s="188"/>
      <c r="B743" s="190"/>
      <c r="C743" s="99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0"/>
      <c r="E743" s="78" t="str">
        <f>IF(C743="","",IFERROR(VLOOKUP(C743,parametros!$A$11:$E$15,5,0),""))</f>
        <v/>
      </c>
      <c r="F743" s="79" t="str">
        <f t="shared" si="57"/>
        <v/>
      </c>
      <c r="G743" s="101"/>
      <c r="H743" s="91">
        <f t="shared" si="58"/>
        <v>0</v>
      </c>
      <c r="I743" s="91" t="str">
        <f t="shared" si="59"/>
        <v/>
      </c>
      <c r="J743" s="91" t="str">
        <f t="shared" si="60"/>
        <v/>
      </c>
      <c r="K743" s="92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2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58"/>
      <c r="U743" s="217" t="str">
        <f t="shared" si="61"/>
        <v/>
      </c>
      <c r="V743" s="215" t="s">
        <v>47</v>
      </c>
      <c r="W743" s="102" t="s">
        <v>136</v>
      </c>
      <c r="X743" s="102" t="s">
        <v>137</v>
      </c>
      <c r="Y743" s="103" t="s">
        <v>138</v>
      </c>
      <c r="Z743" s="103" t="s">
        <v>139</v>
      </c>
      <c r="AA743" s="103" t="s">
        <v>47</v>
      </c>
      <c r="AB743" s="103" t="s">
        <v>140</v>
      </c>
      <c r="AC743" s="104" t="s">
        <v>141</v>
      </c>
    </row>
    <row r="744" spans="1:29" ht="25.5" customHeight="1" x14ac:dyDescent="0.35">
      <c r="A744" s="188"/>
      <c r="B744" s="190"/>
      <c r="C744" s="99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0"/>
      <c r="E744" s="78" t="str">
        <f>IF(C744="","",IFERROR(VLOOKUP(C744,parametros!$A$11:$E$15,5,0),""))</f>
        <v/>
      </c>
      <c r="F744" s="79" t="str">
        <f t="shared" si="57"/>
        <v/>
      </c>
      <c r="G744" s="101"/>
      <c r="H744" s="91">
        <f t="shared" si="58"/>
        <v>0</v>
      </c>
      <c r="I744" s="91" t="str">
        <f t="shared" si="59"/>
        <v/>
      </c>
      <c r="J744" s="91" t="str">
        <f t="shared" si="60"/>
        <v/>
      </c>
      <c r="K744" s="92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2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58"/>
      <c r="U744" s="217" t="str">
        <f t="shared" si="61"/>
        <v/>
      </c>
      <c r="V744" s="215" t="s">
        <v>47</v>
      </c>
      <c r="W744" s="102" t="s">
        <v>136</v>
      </c>
      <c r="X744" s="102" t="s">
        <v>137</v>
      </c>
      <c r="Y744" s="103" t="s">
        <v>138</v>
      </c>
      <c r="Z744" s="103" t="s">
        <v>139</v>
      </c>
      <c r="AA744" s="103" t="s">
        <v>47</v>
      </c>
      <c r="AB744" s="103" t="s">
        <v>140</v>
      </c>
      <c r="AC744" s="104" t="s">
        <v>141</v>
      </c>
    </row>
    <row r="745" spans="1:29" ht="25.5" customHeight="1" x14ac:dyDescent="0.35">
      <c r="A745" s="188"/>
      <c r="B745" s="190"/>
      <c r="C745" s="99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0"/>
      <c r="E745" s="78" t="str">
        <f>IF(C745="","",IFERROR(VLOOKUP(C745,parametros!$A$11:$E$15,5,0),""))</f>
        <v/>
      </c>
      <c r="F745" s="79" t="str">
        <f t="shared" si="57"/>
        <v/>
      </c>
      <c r="G745" s="101"/>
      <c r="H745" s="91">
        <f t="shared" si="58"/>
        <v>0</v>
      </c>
      <c r="I745" s="91" t="str">
        <f t="shared" si="59"/>
        <v/>
      </c>
      <c r="J745" s="91" t="str">
        <f t="shared" si="60"/>
        <v/>
      </c>
      <c r="K745" s="92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2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58"/>
      <c r="U745" s="217" t="str">
        <f t="shared" si="61"/>
        <v/>
      </c>
      <c r="V745" s="215" t="s">
        <v>47</v>
      </c>
      <c r="W745" s="102" t="s">
        <v>136</v>
      </c>
      <c r="X745" s="102" t="s">
        <v>137</v>
      </c>
      <c r="Y745" s="103" t="s">
        <v>138</v>
      </c>
      <c r="Z745" s="103" t="s">
        <v>139</v>
      </c>
      <c r="AA745" s="103" t="s">
        <v>47</v>
      </c>
      <c r="AB745" s="103" t="s">
        <v>140</v>
      </c>
      <c r="AC745" s="104" t="s">
        <v>141</v>
      </c>
    </row>
    <row r="746" spans="1:29" ht="25.5" customHeight="1" x14ac:dyDescent="0.35">
      <c r="A746" s="188"/>
      <c r="B746" s="190"/>
      <c r="C746" s="99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0"/>
      <c r="E746" s="78" t="str">
        <f>IF(C746="","",IFERROR(VLOOKUP(C746,parametros!$A$11:$E$15,5,0),""))</f>
        <v/>
      </c>
      <c r="F746" s="79" t="str">
        <f t="shared" si="57"/>
        <v/>
      </c>
      <c r="G746" s="101"/>
      <c r="H746" s="91">
        <f t="shared" si="58"/>
        <v>0</v>
      </c>
      <c r="I746" s="91" t="str">
        <f t="shared" si="59"/>
        <v/>
      </c>
      <c r="J746" s="91" t="str">
        <f t="shared" si="60"/>
        <v/>
      </c>
      <c r="K746" s="92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2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58"/>
      <c r="U746" s="217" t="str">
        <f t="shared" si="61"/>
        <v/>
      </c>
      <c r="V746" s="215" t="s">
        <v>47</v>
      </c>
      <c r="W746" s="102" t="s">
        <v>136</v>
      </c>
      <c r="X746" s="102" t="s">
        <v>137</v>
      </c>
      <c r="Y746" s="103" t="s">
        <v>138</v>
      </c>
      <c r="Z746" s="103" t="s">
        <v>139</v>
      </c>
      <c r="AA746" s="103" t="s">
        <v>47</v>
      </c>
      <c r="AB746" s="103" t="s">
        <v>140</v>
      </c>
      <c r="AC746" s="104" t="s">
        <v>141</v>
      </c>
    </row>
    <row r="747" spans="1:29" ht="25.5" customHeight="1" x14ac:dyDescent="0.35">
      <c r="A747" s="188"/>
      <c r="B747" s="190"/>
      <c r="C747" s="99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0"/>
      <c r="E747" s="78" t="str">
        <f>IF(C747="","",IFERROR(VLOOKUP(C747,parametros!$A$11:$E$15,5,0),""))</f>
        <v/>
      </c>
      <c r="F747" s="79" t="str">
        <f t="shared" si="57"/>
        <v/>
      </c>
      <c r="G747" s="101"/>
      <c r="H747" s="91">
        <f t="shared" si="58"/>
        <v>0</v>
      </c>
      <c r="I747" s="91" t="str">
        <f t="shared" si="59"/>
        <v/>
      </c>
      <c r="J747" s="91" t="str">
        <f t="shared" si="60"/>
        <v/>
      </c>
      <c r="K747" s="92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2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58"/>
      <c r="U747" s="217" t="str">
        <f t="shared" si="61"/>
        <v/>
      </c>
      <c r="V747" s="215" t="s">
        <v>47</v>
      </c>
      <c r="W747" s="102" t="s">
        <v>136</v>
      </c>
      <c r="X747" s="102" t="s">
        <v>137</v>
      </c>
      <c r="Y747" s="103" t="s">
        <v>138</v>
      </c>
      <c r="Z747" s="103" t="s">
        <v>139</v>
      </c>
      <c r="AA747" s="103" t="s">
        <v>47</v>
      </c>
      <c r="AB747" s="103" t="s">
        <v>140</v>
      </c>
      <c r="AC747" s="104" t="s">
        <v>141</v>
      </c>
    </row>
    <row r="748" spans="1:29" ht="25.5" customHeight="1" x14ac:dyDescent="0.35">
      <c r="A748" s="188"/>
      <c r="B748" s="190"/>
      <c r="C748" s="99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0"/>
      <c r="E748" s="78" t="str">
        <f>IF(C748="","",IFERROR(VLOOKUP(C748,parametros!$A$11:$E$15,5,0),""))</f>
        <v/>
      </c>
      <c r="F748" s="79" t="str">
        <f t="shared" si="57"/>
        <v/>
      </c>
      <c r="G748" s="101"/>
      <c r="H748" s="91">
        <f t="shared" si="58"/>
        <v>0</v>
      </c>
      <c r="I748" s="91" t="str">
        <f t="shared" si="59"/>
        <v/>
      </c>
      <c r="J748" s="91" t="str">
        <f t="shared" si="60"/>
        <v/>
      </c>
      <c r="K748" s="92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2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58"/>
      <c r="U748" s="217" t="str">
        <f t="shared" si="61"/>
        <v/>
      </c>
      <c r="V748" s="215" t="s">
        <v>47</v>
      </c>
      <c r="W748" s="102" t="s">
        <v>136</v>
      </c>
      <c r="X748" s="102" t="s">
        <v>137</v>
      </c>
      <c r="Y748" s="103" t="s">
        <v>138</v>
      </c>
      <c r="Z748" s="103" t="s">
        <v>139</v>
      </c>
      <c r="AA748" s="103" t="s">
        <v>47</v>
      </c>
      <c r="AB748" s="103" t="s">
        <v>140</v>
      </c>
      <c r="AC748" s="104" t="s">
        <v>141</v>
      </c>
    </row>
    <row r="749" spans="1:29" ht="25.5" customHeight="1" x14ac:dyDescent="0.35">
      <c r="A749" s="188"/>
      <c r="B749" s="190"/>
      <c r="C749" s="99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0"/>
      <c r="E749" s="78" t="str">
        <f>IF(C749="","",IFERROR(VLOOKUP(C749,parametros!$A$11:$E$15,5,0),""))</f>
        <v/>
      </c>
      <c r="F749" s="79" t="str">
        <f t="shared" si="57"/>
        <v/>
      </c>
      <c r="G749" s="101"/>
      <c r="H749" s="91">
        <f t="shared" si="58"/>
        <v>0</v>
      </c>
      <c r="I749" s="91" t="str">
        <f t="shared" si="59"/>
        <v/>
      </c>
      <c r="J749" s="91" t="str">
        <f t="shared" si="60"/>
        <v/>
      </c>
      <c r="K749" s="92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2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58"/>
      <c r="U749" s="217" t="str">
        <f t="shared" si="61"/>
        <v/>
      </c>
      <c r="V749" s="215" t="s">
        <v>47</v>
      </c>
      <c r="W749" s="102" t="s">
        <v>136</v>
      </c>
      <c r="X749" s="102" t="s">
        <v>137</v>
      </c>
      <c r="Y749" s="103" t="s">
        <v>138</v>
      </c>
      <c r="Z749" s="103" t="s">
        <v>139</v>
      </c>
      <c r="AA749" s="103" t="s">
        <v>47</v>
      </c>
      <c r="AB749" s="103" t="s">
        <v>140</v>
      </c>
      <c r="AC749" s="104" t="s">
        <v>141</v>
      </c>
    </row>
    <row r="750" spans="1:29" ht="25.5" customHeight="1" x14ac:dyDescent="0.35">
      <c r="A750" s="188"/>
      <c r="B750" s="190"/>
      <c r="C750" s="99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0"/>
      <c r="E750" s="78" t="str">
        <f>IF(C750="","",IFERROR(VLOOKUP(C750,parametros!$A$11:$E$15,5,0),""))</f>
        <v/>
      </c>
      <c r="F750" s="79" t="str">
        <f t="shared" si="57"/>
        <v/>
      </c>
      <c r="G750" s="101"/>
      <c r="H750" s="91">
        <f t="shared" si="58"/>
        <v>0</v>
      </c>
      <c r="I750" s="91" t="str">
        <f t="shared" si="59"/>
        <v/>
      </c>
      <c r="J750" s="91" t="str">
        <f t="shared" si="60"/>
        <v/>
      </c>
      <c r="K750" s="92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2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58"/>
      <c r="U750" s="217" t="str">
        <f t="shared" si="61"/>
        <v/>
      </c>
      <c r="V750" s="215" t="s">
        <v>47</v>
      </c>
      <c r="W750" s="102" t="s">
        <v>136</v>
      </c>
      <c r="X750" s="102" t="s">
        <v>137</v>
      </c>
      <c r="Y750" s="103" t="s">
        <v>138</v>
      </c>
      <c r="Z750" s="103" t="s">
        <v>139</v>
      </c>
      <c r="AA750" s="103" t="s">
        <v>47</v>
      </c>
      <c r="AB750" s="103" t="s">
        <v>140</v>
      </c>
      <c r="AC750" s="104" t="s">
        <v>141</v>
      </c>
    </row>
    <row r="751" spans="1:29" ht="25.5" customHeight="1" x14ac:dyDescent="0.35">
      <c r="A751" s="188"/>
      <c r="B751" s="190"/>
      <c r="C751" s="99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0"/>
      <c r="E751" s="78" t="str">
        <f>IF(C751="","",IFERROR(VLOOKUP(C751,parametros!$A$11:$E$15,5,0),""))</f>
        <v/>
      </c>
      <c r="F751" s="79" t="str">
        <f t="shared" si="57"/>
        <v/>
      </c>
      <c r="G751" s="101"/>
      <c r="H751" s="91">
        <f t="shared" si="58"/>
        <v>0</v>
      </c>
      <c r="I751" s="91" t="str">
        <f t="shared" si="59"/>
        <v/>
      </c>
      <c r="J751" s="91" t="str">
        <f t="shared" si="60"/>
        <v/>
      </c>
      <c r="K751" s="92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2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58"/>
      <c r="U751" s="217" t="str">
        <f t="shared" si="61"/>
        <v/>
      </c>
      <c r="V751" s="215" t="s">
        <v>47</v>
      </c>
      <c r="W751" s="102" t="s">
        <v>136</v>
      </c>
      <c r="X751" s="102" t="s">
        <v>137</v>
      </c>
      <c r="Y751" s="103" t="s">
        <v>138</v>
      </c>
      <c r="Z751" s="103" t="s">
        <v>139</v>
      </c>
      <c r="AA751" s="103" t="s">
        <v>47</v>
      </c>
      <c r="AB751" s="103" t="s">
        <v>140</v>
      </c>
      <c r="AC751" s="104" t="s">
        <v>141</v>
      </c>
    </row>
    <row r="752" spans="1:29" ht="25.5" customHeight="1" x14ac:dyDescent="0.35">
      <c r="A752" s="188"/>
      <c r="B752" s="190"/>
      <c r="C752" s="99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0"/>
      <c r="E752" s="78" t="str">
        <f>IF(C752="","",IFERROR(VLOOKUP(C752,parametros!$A$11:$E$15,5,0),""))</f>
        <v/>
      </c>
      <c r="F752" s="79" t="str">
        <f t="shared" si="57"/>
        <v/>
      </c>
      <c r="G752" s="101"/>
      <c r="H752" s="91">
        <f t="shared" si="58"/>
        <v>0</v>
      </c>
      <c r="I752" s="91" t="str">
        <f t="shared" si="59"/>
        <v/>
      </c>
      <c r="J752" s="91" t="str">
        <f t="shared" si="60"/>
        <v/>
      </c>
      <c r="K752" s="92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2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58"/>
      <c r="U752" s="217" t="str">
        <f t="shared" si="61"/>
        <v/>
      </c>
      <c r="V752" s="215" t="s">
        <v>47</v>
      </c>
      <c r="W752" s="102" t="s">
        <v>136</v>
      </c>
      <c r="X752" s="102" t="s">
        <v>137</v>
      </c>
      <c r="Y752" s="103" t="s">
        <v>138</v>
      </c>
      <c r="Z752" s="103" t="s">
        <v>139</v>
      </c>
      <c r="AA752" s="103" t="s">
        <v>47</v>
      </c>
      <c r="AB752" s="103" t="s">
        <v>140</v>
      </c>
      <c r="AC752" s="104" t="s">
        <v>141</v>
      </c>
    </row>
    <row r="753" spans="1:29" ht="25.5" customHeight="1" x14ac:dyDescent="0.35">
      <c r="A753" s="188"/>
      <c r="B753" s="190"/>
      <c r="C753" s="99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0"/>
      <c r="E753" s="78" t="str">
        <f>IF(C753="","",IFERROR(VLOOKUP(C753,parametros!$A$11:$E$15,5,0),""))</f>
        <v/>
      </c>
      <c r="F753" s="79" t="str">
        <f t="shared" si="57"/>
        <v/>
      </c>
      <c r="G753" s="101"/>
      <c r="H753" s="91">
        <f t="shared" si="58"/>
        <v>0</v>
      </c>
      <c r="I753" s="91" t="str">
        <f t="shared" si="59"/>
        <v/>
      </c>
      <c r="J753" s="91" t="str">
        <f t="shared" si="60"/>
        <v/>
      </c>
      <c r="K753" s="92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2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58"/>
      <c r="U753" s="217" t="str">
        <f t="shared" si="61"/>
        <v/>
      </c>
      <c r="V753" s="215" t="s">
        <v>47</v>
      </c>
      <c r="W753" s="102" t="s">
        <v>136</v>
      </c>
      <c r="X753" s="102" t="s">
        <v>137</v>
      </c>
      <c r="Y753" s="103" t="s">
        <v>138</v>
      </c>
      <c r="Z753" s="103" t="s">
        <v>139</v>
      </c>
      <c r="AA753" s="103" t="s">
        <v>47</v>
      </c>
      <c r="AB753" s="103" t="s">
        <v>140</v>
      </c>
      <c r="AC753" s="104" t="s">
        <v>141</v>
      </c>
    </row>
    <row r="754" spans="1:29" ht="25.5" customHeight="1" x14ac:dyDescent="0.35">
      <c r="A754" s="188"/>
      <c r="B754" s="190"/>
      <c r="C754" s="99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0"/>
      <c r="E754" s="78" t="str">
        <f>IF(C754="","",IFERROR(VLOOKUP(C754,parametros!$A$11:$E$15,5,0),""))</f>
        <v/>
      </c>
      <c r="F754" s="79" t="str">
        <f t="shared" si="57"/>
        <v/>
      </c>
      <c r="G754" s="101"/>
      <c r="H754" s="91">
        <f t="shared" si="58"/>
        <v>0</v>
      </c>
      <c r="I754" s="91" t="str">
        <f t="shared" si="59"/>
        <v/>
      </c>
      <c r="J754" s="91" t="str">
        <f t="shared" si="60"/>
        <v/>
      </c>
      <c r="K754" s="92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2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58"/>
      <c r="U754" s="217" t="str">
        <f t="shared" si="61"/>
        <v/>
      </c>
      <c r="V754" s="215" t="s">
        <v>47</v>
      </c>
      <c r="W754" s="102" t="s">
        <v>136</v>
      </c>
      <c r="X754" s="102" t="s">
        <v>137</v>
      </c>
      <c r="Y754" s="103" t="s">
        <v>138</v>
      </c>
      <c r="Z754" s="103" t="s">
        <v>139</v>
      </c>
      <c r="AA754" s="103" t="s">
        <v>47</v>
      </c>
      <c r="AB754" s="103" t="s">
        <v>140</v>
      </c>
      <c r="AC754" s="104" t="s">
        <v>141</v>
      </c>
    </row>
    <row r="755" spans="1:29" ht="25.5" customHeight="1" x14ac:dyDescent="0.35">
      <c r="A755" s="188"/>
      <c r="B755" s="190"/>
      <c r="C755" s="99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0"/>
      <c r="E755" s="78" t="str">
        <f>IF(C755="","",IFERROR(VLOOKUP(C755,parametros!$A$11:$E$15,5,0),""))</f>
        <v/>
      </c>
      <c r="F755" s="79" t="str">
        <f t="shared" si="57"/>
        <v/>
      </c>
      <c r="G755" s="101"/>
      <c r="H755" s="91">
        <f t="shared" si="58"/>
        <v>0</v>
      </c>
      <c r="I755" s="91" t="str">
        <f t="shared" si="59"/>
        <v/>
      </c>
      <c r="J755" s="91" t="str">
        <f t="shared" si="60"/>
        <v/>
      </c>
      <c r="K755" s="92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2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58"/>
      <c r="U755" s="217" t="str">
        <f t="shared" si="61"/>
        <v/>
      </c>
      <c r="V755" s="215" t="s">
        <v>47</v>
      </c>
      <c r="W755" s="102" t="s">
        <v>136</v>
      </c>
      <c r="X755" s="102" t="s">
        <v>137</v>
      </c>
      <c r="Y755" s="103" t="s">
        <v>138</v>
      </c>
      <c r="Z755" s="103" t="s">
        <v>139</v>
      </c>
      <c r="AA755" s="103" t="s">
        <v>47</v>
      </c>
      <c r="AB755" s="103" t="s">
        <v>140</v>
      </c>
      <c r="AC755" s="104" t="s">
        <v>141</v>
      </c>
    </row>
    <row r="756" spans="1:29" ht="25.5" customHeight="1" x14ac:dyDescent="0.35">
      <c r="A756" s="188"/>
      <c r="B756" s="190"/>
      <c r="C756" s="99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0"/>
      <c r="E756" s="78" t="str">
        <f>IF(C756="","",IFERROR(VLOOKUP(C756,parametros!$A$11:$E$15,5,0),""))</f>
        <v/>
      </c>
      <c r="F756" s="79" t="str">
        <f t="shared" si="57"/>
        <v/>
      </c>
      <c r="G756" s="101"/>
      <c r="H756" s="91">
        <f t="shared" si="58"/>
        <v>0</v>
      </c>
      <c r="I756" s="91" t="str">
        <f t="shared" si="59"/>
        <v/>
      </c>
      <c r="J756" s="91" t="str">
        <f t="shared" si="60"/>
        <v/>
      </c>
      <c r="K756" s="92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2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58"/>
      <c r="U756" s="217" t="str">
        <f t="shared" si="61"/>
        <v/>
      </c>
      <c r="V756" s="215" t="s">
        <v>47</v>
      </c>
      <c r="W756" s="102" t="s">
        <v>136</v>
      </c>
      <c r="X756" s="102" t="s">
        <v>137</v>
      </c>
      <c r="Y756" s="103" t="s">
        <v>138</v>
      </c>
      <c r="Z756" s="103" t="s">
        <v>139</v>
      </c>
      <c r="AA756" s="103" t="s">
        <v>47</v>
      </c>
      <c r="AB756" s="103" t="s">
        <v>140</v>
      </c>
      <c r="AC756" s="104" t="s">
        <v>141</v>
      </c>
    </row>
    <row r="757" spans="1:29" ht="25.5" customHeight="1" x14ac:dyDescent="0.35">
      <c r="A757" s="188"/>
      <c r="B757" s="190"/>
      <c r="C757" s="99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0"/>
      <c r="E757" s="78" t="str">
        <f>IF(C757="","",IFERROR(VLOOKUP(C757,parametros!$A$11:$E$15,5,0),""))</f>
        <v/>
      </c>
      <c r="F757" s="79" t="str">
        <f t="shared" si="57"/>
        <v/>
      </c>
      <c r="G757" s="101"/>
      <c r="H757" s="91">
        <f t="shared" si="58"/>
        <v>0</v>
      </c>
      <c r="I757" s="91" t="str">
        <f t="shared" si="59"/>
        <v/>
      </c>
      <c r="J757" s="91" t="str">
        <f t="shared" si="60"/>
        <v/>
      </c>
      <c r="K757" s="92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2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58"/>
      <c r="U757" s="217" t="str">
        <f t="shared" si="61"/>
        <v/>
      </c>
      <c r="V757" s="215" t="s">
        <v>47</v>
      </c>
      <c r="W757" s="102" t="s">
        <v>136</v>
      </c>
      <c r="X757" s="102" t="s">
        <v>137</v>
      </c>
      <c r="Y757" s="103" t="s">
        <v>138</v>
      </c>
      <c r="Z757" s="103" t="s">
        <v>139</v>
      </c>
      <c r="AA757" s="103" t="s">
        <v>47</v>
      </c>
      <c r="AB757" s="103" t="s">
        <v>140</v>
      </c>
      <c r="AC757" s="104" t="s">
        <v>141</v>
      </c>
    </row>
    <row r="758" spans="1:29" ht="25.5" customHeight="1" x14ac:dyDescent="0.35">
      <c r="A758" s="188"/>
      <c r="B758" s="190"/>
      <c r="C758" s="99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0"/>
      <c r="E758" s="78" t="str">
        <f>IF(C758="","",IFERROR(VLOOKUP(C758,parametros!$A$11:$E$15,5,0),""))</f>
        <v/>
      </c>
      <c r="F758" s="79" t="str">
        <f t="shared" si="57"/>
        <v/>
      </c>
      <c r="G758" s="101"/>
      <c r="H758" s="91">
        <f t="shared" si="58"/>
        <v>0</v>
      </c>
      <c r="I758" s="91" t="str">
        <f t="shared" si="59"/>
        <v/>
      </c>
      <c r="J758" s="91" t="str">
        <f t="shared" si="60"/>
        <v/>
      </c>
      <c r="K758" s="92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2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58"/>
      <c r="U758" s="217" t="str">
        <f t="shared" si="61"/>
        <v/>
      </c>
      <c r="V758" s="215" t="s">
        <v>47</v>
      </c>
      <c r="W758" s="102" t="s">
        <v>136</v>
      </c>
      <c r="X758" s="102" t="s">
        <v>137</v>
      </c>
      <c r="Y758" s="103" t="s">
        <v>138</v>
      </c>
      <c r="Z758" s="103" t="s">
        <v>139</v>
      </c>
      <c r="AA758" s="103" t="s">
        <v>47</v>
      </c>
      <c r="AB758" s="103" t="s">
        <v>140</v>
      </c>
      <c r="AC758" s="104" t="s">
        <v>141</v>
      </c>
    </row>
    <row r="759" spans="1:29" ht="25.5" customHeight="1" x14ac:dyDescent="0.35">
      <c r="A759" s="188"/>
      <c r="B759" s="190"/>
      <c r="C759" s="99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0"/>
      <c r="E759" s="78" t="str">
        <f>IF(C759="","",IFERROR(VLOOKUP(C759,parametros!$A$11:$E$15,5,0),""))</f>
        <v/>
      </c>
      <c r="F759" s="79" t="str">
        <f t="shared" si="57"/>
        <v/>
      </c>
      <c r="G759" s="101"/>
      <c r="H759" s="91">
        <f t="shared" si="58"/>
        <v>0</v>
      </c>
      <c r="I759" s="91" t="str">
        <f t="shared" si="59"/>
        <v/>
      </c>
      <c r="J759" s="91" t="str">
        <f t="shared" si="60"/>
        <v/>
      </c>
      <c r="K759" s="92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2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58"/>
      <c r="U759" s="217" t="str">
        <f t="shared" si="61"/>
        <v/>
      </c>
      <c r="V759" s="215" t="s">
        <v>47</v>
      </c>
      <c r="W759" s="102" t="s">
        <v>136</v>
      </c>
      <c r="X759" s="102" t="s">
        <v>137</v>
      </c>
      <c r="Y759" s="103" t="s">
        <v>138</v>
      </c>
      <c r="Z759" s="103" t="s">
        <v>139</v>
      </c>
      <c r="AA759" s="103" t="s">
        <v>47</v>
      </c>
      <c r="AB759" s="103" t="s">
        <v>140</v>
      </c>
      <c r="AC759" s="104" t="s">
        <v>141</v>
      </c>
    </row>
    <row r="760" spans="1:29" ht="25.5" customHeight="1" x14ac:dyDescent="0.35">
      <c r="A760" s="188"/>
      <c r="B760" s="190"/>
      <c r="C760" s="99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0"/>
      <c r="E760" s="78" t="str">
        <f>IF(C760="","",IFERROR(VLOOKUP(C760,parametros!$A$11:$E$15,5,0),""))</f>
        <v/>
      </c>
      <c r="F760" s="79" t="str">
        <f t="shared" si="57"/>
        <v/>
      </c>
      <c r="G760" s="101"/>
      <c r="H760" s="91">
        <f t="shared" si="58"/>
        <v>0</v>
      </c>
      <c r="I760" s="91" t="str">
        <f t="shared" si="59"/>
        <v/>
      </c>
      <c r="J760" s="91" t="str">
        <f t="shared" si="60"/>
        <v/>
      </c>
      <c r="K760" s="92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2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58"/>
      <c r="U760" s="217" t="str">
        <f t="shared" si="61"/>
        <v/>
      </c>
      <c r="V760" s="215" t="s">
        <v>47</v>
      </c>
      <c r="W760" s="102" t="s">
        <v>136</v>
      </c>
      <c r="X760" s="102" t="s">
        <v>137</v>
      </c>
      <c r="Y760" s="103" t="s">
        <v>138</v>
      </c>
      <c r="Z760" s="103" t="s">
        <v>139</v>
      </c>
      <c r="AA760" s="103" t="s">
        <v>47</v>
      </c>
      <c r="AB760" s="103" t="s">
        <v>140</v>
      </c>
      <c r="AC760" s="104" t="s">
        <v>141</v>
      </c>
    </row>
    <row r="761" spans="1:29" ht="25.5" customHeight="1" x14ac:dyDescent="0.35">
      <c r="A761" s="188"/>
      <c r="B761" s="190"/>
      <c r="C761" s="99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0"/>
      <c r="E761" s="78" t="str">
        <f>IF(C761="","",IFERROR(VLOOKUP(C761,parametros!$A$11:$E$15,5,0),""))</f>
        <v/>
      </c>
      <c r="F761" s="79" t="str">
        <f t="shared" si="57"/>
        <v/>
      </c>
      <c r="G761" s="101"/>
      <c r="H761" s="91">
        <f t="shared" si="58"/>
        <v>0</v>
      </c>
      <c r="I761" s="91" t="str">
        <f t="shared" si="59"/>
        <v/>
      </c>
      <c r="J761" s="91" t="str">
        <f t="shared" si="60"/>
        <v/>
      </c>
      <c r="K761" s="92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2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58"/>
      <c r="U761" s="217" t="str">
        <f t="shared" si="61"/>
        <v/>
      </c>
      <c r="V761" s="215" t="s">
        <v>47</v>
      </c>
      <c r="W761" s="102" t="s">
        <v>136</v>
      </c>
      <c r="X761" s="102" t="s">
        <v>137</v>
      </c>
      <c r="Y761" s="103" t="s">
        <v>138</v>
      </c>
      <c r="Z761" s="103" t="s">
        <v>139</v>
      </c>
      <c r="AA761" s="103" t="s">
        <v>47</v>
      </c>
      <c r="AB761" s="103" t="s">
        <v>140</v>
      </c>
      <c r="AC761" s="104" t="s">
        <v>141</v>
      </c>
    </row>
    <row r="762" spans="1:29" ht="25.5" customHeight="1" x14ac:dyDescent="0.35">
      <c r="A762" s="188"/>
      <c r="B762" s="190"/>
      <c r="C762" s="99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0"/>
      <c r="E762" s="78" t="str">
        <f>IF(C762="","",IFERROR(VLOOKUP(C762,parametros!$A$11:$E$15,5,0),""))</f>
        <v/>
      </c>
      <c r="F762" s="79" t="str">
        <f t="shared" si="57"/>
        <v/>
      </c>
      <c r="G762" s="101"/>
      <c r="H762" s="91">
        <f t="shared" si="58"/>
        <v>0</v>
      </c>
      <c r="I762" s="91" t="str">
        <f t="shared" si="59"/>
        <v/>
      </c>
      <c r="J762" s="91" t="str">
        <f t="shared" si="60"/>
        <v/>
      </c>
      <c r="K762" s="92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2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58"/>
      <c r="U762" s="217" t="str">
        <f t="shared" si="61"/>
        <v/>
      </c>
      <c r="V762" s="215" t="s">
        <v>47</v>
      </c>
      <c r="W762" s="102" t="s">
        <v>136</v>
      </c>
      <c r="X762" s="102" t="s">
        <v>137</v>
      </c>
      <c r="Y762" s="103" t="s">
        <v>138</v>
      </c>
      <c r="Z762" s="103" t="s">
        <v>139</v>
      </c>
      <c r="AA762" s="103" t="s">
        <v>47</v>
      </c>
      <c r="AB762" s="103" t="s">
        <v>140</v>
      </c>
      <c r="AC762" s="104" t="s">
        <v>141</v>
      </c>
    </row>
    <row r="763" spans="1:29" ht="25.5" customHeight="1" x14ac:dyDescent="0.35">
      <c r="A763" s="188"/>
      <c r="B763" s="190"/>
      <c r="C763" s="99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0"/>
      <c r="E763" s="78" t="str">
        <f>IF(C763="","",IFERROR(VLOOKUP(C763,parametros!$A$11:$E$15,5,0),""))</f>
        <v/>
      </c>
      <c r="F763" s="79" t="str">
        <f t="shared" si="57"/>
        <v/>
      </c>
      <c r="G763" s="101"/>
      <c r="H763" s="91">
        <f t="shared" si="58"/>
        <v>0</v>
      </c>
      <c r="I763" s="91" t="str">
        <f t="shared" si="59"/>
        <v/>
      </c>
      <c r="J763" s="91" t="str">
        <f t="shared" si="60"/>
        <v/>
      </c>
      <c r="K763" s="92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2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58"/>
      <c r="U763" s="217" t="str">
        <f t="shared" si="61"/>
        <v/>
      </c>
      <c r="V763" s="215" t="s">
        <v>47</v>
      </c>
      <c r="W763" s="102" t="s">
        <v>136</v>
      </c>
      <c r="X763" s="102" t="s">
        <v>137</v>
      </c>
      <c r="Y763" s="103" t="s">
        <v>138</v>
      </c>
      <c r="Z763" s="103" t="s">
        <v>139</v>
      </c>
      <c r="AA763" s="103" t="s">
        <v>47</v>
      </c>
      <c r="AB763" s="103" t="s">
        <v>140</v>
      </c>
      <c r="AC763" s="104" t="s">
        <v>141</v>
      </c>
    </row>
    <row r="764" spans="1:29" ht="25.5" customHeight="1" x14ac:dyDescent="0.35">
      <c r="A764" s="188"/>
      <c r="B764" s="190"/>
      <c r="C764" s="99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0"/>
      <c r="E764" s="78" t="str">
        <f>IF(C764="","",IFERROR(VLOOKUP(C764,parametros!$A$11:$E$15,5,0),""))</f>
        <v/>
      </c>
      <c r="F764" s="79" t="str">
        <f t="shared" si="57"/>
        <v/>
      </c>
      <c r="G764" s="101"/>
      <c r="H764" s="91">
        <f t="shared" si="58"/>
        <v>0</v>
      </c>
      <c r="I764" s="91" t="str">
        <f t="shared" si="59"/>
        <v/>
      </c>
      <c r="J764" s="91" t="str">
        <f t="shared" si="60"/>
        <v/>
      </c>
      <c r="K764" s="92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2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58"/>
      <c r="U764" s="217" t="str">
        <f t="shared" si="61"/>
        <v/>
      </c>
      <c r="V764" s="215" t="s">
        <v>47</v>
      </c>
      <c r="W764" s="102" t="s">
        <v>136</v>
      </c>
      <c r="X764" s="102" t="s">
        <v>137</v>
      </c>
      <c r="Y764" s="103" t="s">
        <v>138</v>
      </c>
      <c r="Z764" s="103" t="s">
        <v>139</v>
      </c>
      <c r="AA764" s="103" t="s">
        <v>47</v>
      </c>
      <c r="AB764" s="103" t="s">
        <v>140</v>
      </c>
      <c r="AC764" s="104" t="s">
        <v>141</v>
      </c>
    </row>
    <row r="765" spans="1:29" ht="25.5" customHeight="1" x14ac:dyDescent="0.35">
      <c r="A765" s="188"/>
      <c r="B765" s="190"/>
      <c r="C765" s="99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0"/>
      <c r="E765" s="78" t="str">
        <f>IF(C765="","",IFERROR(VLOOKUP(C765,parametros!$A$11:$E$15,5,0),""))</f>
        <v/>
      </c>
      <c r="F765" s="79" t="str">
        <f t="shared" si="57"/>
        <v/>
      </c>
      <c r="G765" s="101"/>
      <c r="H765" s="91">
        <f t="shared" si="58"/>
        <v>0</v>
      </c>
      <c r="I765" s="91" t="str">
        <f t="shared" si="59"/>
        <v/>
      </c>
      <c r="J765" s="91" t="str">
        <f t="shared" si="60"/>
        <v/>
      </c>
      <c r="K765" s="92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2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58"/>
      <c r="U765" s="217" t="str">
        <f t="shared" si="61"/>
        <v/>
      </c>
      <c r="V765" s="215" t="s">
        <v>47</v>
      </c>
      <c r="W765" s="102" t="s">
        <v>136</v>
      </c>
      <c r="X765" s="102" t="s">
        <v>137</v>
      </c>
      <c r="Y765" s="103" t="s">
        <v>138</v>
      </c>
      <c r="Z765" s="103" t="s">
        <v>139</v>
      </c>
      <c r="AA765" s="103" t="s">
        <v>47</v>
      </c>
      <c r="AB765" s="103" t="s">
        <v>140</v>
      </c>
      <c r="AC765" s="104" t="s">
        <v>141</v>
      </c>
    </row>
    <row r="766" spans="1:29" ht="25.5" customHeight="1" x14ac:dyDescent="0.35">
      <c r="A766" s="188"/>
      <c r="B766" s="190"/>
      <c r="C766" s="99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0"/>
      <c r="E766" s="78" t="str">
        <f>IF(C766="","",IFERROR(VLOOKUP(C766,parametros!$A$11:$E$15,5,0),""))</f>
        <v/>
      </c>
      <c r="F766" s="79" t="str">
        <f t="shared" si="57"/>
        <v/>
      </c>
      <c r="G766" s="101"/>
      <c r="H766" s="91">
        <f t="shared" si="58"/>
        <v>0</v>
      </c>
      <c r="I766" s="91" t="str">
        <f t="shared" si="59"/>
        <v/>
      </c>
      <c r="J766" s="91" t="str">
        <f t="shared" si="60"/>
        <v/>
      </c>
      <c r="K766" s="92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2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58"/>
      <c r="U766" s="217" t="str">
        <f t="shared" si="61"/>
        <v/>
      </c>
      <c r="V766" s="215" t="s">
        <v>47</v>
      </c>
      <c r="W766" s="102" t="s">
        <v>136</v>
      </c>
      <c r="X766" s="102" t="s">
        <v>137</v>
      </c>
      <c r="Y766" s="103" t="s">
        <v>138</v>
      </c>
      <c r="Z766" s="103" t="s">
        <v>139</v>
      </c>
      <c r="AA766" s="103" t="s">
        <v>47</v>
      </c>
      <c r="AB766" s="103" t="s">
        <v>140</v>
      </c>
      <c r="AC766" s="104" t="s">
        <v>141</v>
      </c>
    </row>
    <row r="767" spans="1:29" ht="25.5" customHeight="1" x14ac:dyDescent="0.35">
      <c r="A767" s="188"/>
      <c r="B767" s="190"/>
      <c r="C767" s="99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0"/>
      <c r="E767" s="78" t="str">
        <f>IF(C767="","",IFERROR(VLOOKUP(C767,parametros!$A$11:$E$15,5,0),""))</f>
        <v/>
      </c>
      <c r="F767" s="79" t="str">
        <f t="shared" si="57"/>
        <v/>
      </c>
      <c r="G767" s="101"/>
      <c r="H767" s="91">
        <f t="shared" si="58"/>
        <v>0</v>
      </c>
      <c r="I767" s="91" t="str">
        <f t="shared" si="59"/>
        <v/>
      </c>
      <c r="J767" s="91" t="str">
        <f t="shared" si="60"/>
        <v/>
      </c>
      <c r="K767" s="92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2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58"/>
      <c r="U767" s="217" t="str">
        <f t="shared" si="61"/>
        <v/>
      </c>
      <c r="V767" s="215" t="s">
        <v>47</v>
      </c>
      <c r="W767" s="102" t="s">
        <v>136</v>
      </c>
      <c r="X767" s="102" t="s">
        <v>137</v>
      </c>
      <c r="Y767" s="103" t="s">
        <v>138</v>
      </c>
      <c r="Z767" s="103" t="s">
        <v>139</v>
      </c>
      <c r="AA767" s="103" t="s">
        <v>47</v>
      </c>
      <c r="AB767" s="103" t="s">
        <v>140</v>
      </c>
      <c r="AC767" s="104" t="s">
        <v>141</v>
      </c>
    </row>
    <row r="768" spans="1:29" ht="25.5" customHeight="1" x14ac:dyDescent="0.35">
      <c r="A768" s="188"/>
      <c r="B768" s="190"/>
      <c r="C768" s="99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0"/>
      <c r="E768" s="78" t="str">
        <f>IF(C768="","",IFERROR(VLOOKUP(C768,parametros!$A$11:$E$15,5,0),""))</f>
        <v/>
      </c>
      <c r="F768" s="79" t="str">
        <f t="shared" si="57"/>
        <v/>
      </c>
      <c r="G768" s="101"/>
      <c r="H768" s="91">
        <f t="shared" si="58"/>
        <v>0</v>
      </c>
      <c r="I768" s="91" t="str">
        <f t="shared" si="59"/>
        <v/>
      </c>
      <c r="J768" s="91" t="str">
        <f t="shared" si="60"/>
        <v/>
      </c>
      <c r="K768" s="92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2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58"/>
      <c r="U768" s="217" t="str">
        <f t="shared" si="61"/>
        <v/>
      </c>
      <c r="V768" s="215" t="s">
        <v>47</v>
      </c>
      <c r="W768" s="102" t="s">
        <v>136</v>
      </c>
      <c r="X768" s="102" t="s">
        <v>137</v>
      </c>
      <c r="Y768" s="103" t="s">
        <v>138</v>
      </c>
      <c r="Z768" s="103" t="s">
        <v>139</v>
      </c>
      <c r="AA768" s="103" t="s">
        <v>47</v>
      </c>
      <c r="AB768" s="103" t="s">
        <v>140</v>
      </c>
      <c r="AC768" s="104" t="s">
        <v>141</v>
      </c>
    </row>
    <row r="769" spans="1:29" ht="25.5" customHeight="1" x14ac:dyDescent="0.35">
      <c r="A769" s="188"/>
      <c r="B769" s="190"/>
      <c r="C769" s="99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0"/>
      <c r="E769" s="78" t="str">
        <f>IF(C769="","",IFERROR(VLOOKUP(C769,parametros!$A$11:$E$15,5,0),""))</f>
        <v/>
      </c>
      <c r="F769" s="79" t="str">
        <f t="shared" si="57"/>
        <v/>
      </c>
      <c r="G769" s="101"/>
      <c r="H769" s="91">
        <f t="shared" si="58"/>
        <v>0</v>
      </c>
      <c r="I769" s="91" t="str">
        <f t="shared" si="59"/>
        <v/>
      </c>
      <c r="J769" s="91" t="str">
        <f t="shared" si="60"/>
        <v/>
      </c>
      <c r="K769" s="92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2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58"/>
      <c r="U769" s="217" t="str">
        <f t="shared" si="61"/>
        <v/>
      </c>
      <c r="V769" s="215" t="s">
        <v>47</v>
      </c>
      <c r="W769" s="102" t="s">
        <v>136</v>
      </c>
      <c r="X769" s="102" t="s">
        <v>137</v>
      </c>
      <c r="Y769" s="103" t="s">
        <v>138</v>
      </c>
      <c r="Z769" s="103" t="s">
        <v>139</v>
      </c>
      <c r="AA769" s="103" t="s">
        <v>47</v>
      </c>
      <c r="AB769" s="103" t="s">
        <v>140</v>
      </c>
      <c r="AC769" s="104" t="s">
        <v>141</v>
      </c>
    </row>
    <row r="770" spans="1:29" ht="25.5" customHeight="1" x14ac:dyDescent="0.35">
      <c r="A770" s="188"/>
      <c r="B770" s="190"/>
      <c r="C770" s="99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0"/>
      <c r="E770" s="78" t="str">
        <f>IF(C770="","",IFERROR(VLOOKUP(C770,parametros!$A$11:$E$15,5,0),""))</f>
        <v/>
      </c>
      <c r="F770" s="79" t="str">
        <f t="shared" ref="F770:F833" si="62">IF(OR(D770="",E770=""),"",ROUND(D770*E770,2))</f>
        <v/>
      </c>
      <c r="G770" s="101"/>
      <c r="H770" s="91">
        <f t="shared" ref="H770:H833" si="63">IF(G770="Sim",IF(OR(F770="",D770="",L770=""),"",IF(L770="Sim",ROUND(F770-D770,2),0)),0)</f>
        <v>0</v>
      </c>
      <c r="I770" s="91" t="str">
        <f t="shared" ref="I770:I833" si="64">IF(G770="Sim",0,IF(OR(F770="",L770=""),"",F770))</f>
        <v/>
      </c>
      <c r="J770" s="91" t="str">
        <f t="shared" ref="J770:J833" si="65">IF(G770="Sim",0,IF(OR(F770="",D770="",L770=""),"",IF(L770="Sim",ROUND(F770-D770,2),0)))</f>
        <v/>
      </c>
      <c r="K770" s="92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2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58"/>
      <c r="U770" s="217" t="str">
        <f t="shared" ref="U770:U833" si="66">IF(OR($D770="",$H770=""),"",ROUND($D770+$H770,2))</f>
        <v/>
      </c>
      <c r="V770" s="215" t="s">
        <v>47</v>
      </c>
      <c r="W770" s="102" t="s">
        <v>136</v>
      </c>
      <c r="X770" s="102" t="s">
        <v>137</v>
      </c>
      <c r="Y770" s="103" t="s">
        <v>138</v>
      </c>
      <c r="Z770" s="103" t="s">
        <v>139</v>
      </c>
      <c r="AA770" s="103" t="s">
        <v>47</v>
      </c>
      <c r="AB770" s="103" t="s">
        <v>140</v>
      </c>
      <c r="AC770" s="104" t="s">
        <v>141</v>
      </c>
    </row>
    <row r="771" spans="1:29" ht="25.5" customHeight="1" x14ac:dyDescent="0.35">
      <c r="A771" s="188"/>
      <c r="B771" s="190"/>
      <c r="C771" s="99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0"/>
      <c r="E771" s="78" t="str">
        <f>IF(C771="","",IFERROR(VLOOKUP(C771,parametros!$A$11:$E$15,5,0),""))</f>
        <v/>
      </c>
      <c r="F771" s="79" t="str">
        <f t="shared" si="62"/>
        <v/>
      </c>
      <c r="G771" s="101"/>
      <c r="H771" s="91">
        <f t="shared" si="63"/>
        <v>0</v>
      </c>
      <c r="I771" s="91" t="str">
        <f t="shared" si="64"/>
        <v/>
      </c>
      <c r="J771" s="91" t="str">
        <f t="shared" si="65"/>
        <v/>
      </c>
      <c r="K771" s="92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2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58"/>
      <c r="U771" s="217" t="str">
        <f t="shared" si="66"/>
        <v/>
      </c>
      <c r="V771" s="215" t="s">
        <v>47</v>
      </c>
      <c r="W771" s="102" t="s">
        <v>136</v>
      </c>
      <c r="X771" s="102" t="s">
        <v>137</v>
      </c>
      <c r="Y771" s="103" t="s">
        <v>138</v>
      </c>
      <c r="Z771" s="103" t="s">
        <v>139</v>
      </c>
      <c r="AA771" s="103" t="s">
        <v>47</v>
      </c>
      <c r="AB771" s="103" t="s">
        <v>140</v>
      </c>
      <c r="AC771" s="104" t="s">
        <v>141</v>
      </c>
    </row>
    <row r="772" spans="1:29" ht="25.5" customHeight="1" x14ac:dyDescent="0.35">
      <c r="A772" s="188"/>
      <c r="B772" s="190"/>
      <c r="C772" s="99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0"/>
      <c r="E772" s="78" t="str">
        <f>IF(C772="","",IFERROR(VLOOKUP(C772,parametros!$A$11:$E$15,5,0),""))</f>
        <v/>
      </c>
      <c r="F772" s="79" t="str">
        <f t="shared" si="62"/>
        <v/>
      </c>
      <c r="G772" s="101"/>
      <c r="H772" s="91">
        <f t="shared" si="63"/>
        <v>0</v>
      </c>
      <c r="I772" s="91" t="str">
        <f t="shared" si="64"/>
        <v/>
      </c>
      <c r="J772" s="91" t="str">
        <f t="shared" si="65"/>
        <v/>
      </c>
      <c r="K772" s="92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2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58"/>
      <c r="U772" s="217" t="str">
        <f t="shared" si="66"/>
        <v/>
      </c>
      <c r="V772" s="215" t="s">
        <v>47</v>
      </c>
      <c r="W772" s="102" t="s">
        <v>136</v>
      </c>
      <c r="X772" s="102" t="s">
        <v>137</v>
      </c>
      <c r="Y772" s="103" t="s">
        <v>138</v>
      </c>
      <c r="Z772" s="103" t="s">
        <v>139</v>
      </c>
      <c r="AA772" s="103" t="s">
        <v>47</v>
      </c>
      <c r="AB772" s="103" t="s">
        <v>140</v>
      </c>
      <c r="AC772" s="104" t="s">
        <v>141</v>
      </c>
    </row>
    <row r="773" spans="1:29" ht="25.5" customHeight="1" x14ac:dyDescent="0.35">
      <c r="A773" s="188"/>
      <c r="B773" s="190"/>
      <c r="C773" s="99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0"/>
      <c r="E773" s="78" t="str">
        <f>IF(C773="","",IFERROR(VLOOKUP(C773,parametros!$A$11:$E$15,5,0),""))</f>
        <v/>
      </c>
      <c r="F773" s="79" t="str">
        <f t="shared" si="62"/>
        <v/>
      </c>
      <c r="G773" s="101"/>
      <c r="H773" s="91">
        <f t="shared" si="63"/>
        <v>0</v>
      </c>
      <c r="I773" s="91" t="str">
        <f t="shared" si="64"/>
        <v/>
      </c>
      <c r="J773" s="91" t="str">
        <f t="shared" si="65"/>
        <v/>
      </c>
      <c r="K773" s="92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2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58"/>
      <c r="U773" s="217" t="str">
        <f t="shared" si="66"/>
        <v/>
      </c>
      <c r="V773" s="215" t="s">
        <v>47</v>
      </c>
      <c r="W773" s="102" t="s">
        <v>136</v>
      </c>
      <c r="X773" s="102" t="s">
        <v>137</v>
      </c>
      <c r="Y773" s="103" t="s">
        <v>138</v>
      </c>
      <c r="Z773" s="103" t="s">
        <v>139</v>
      </c>
      <c r="AA773" s="103" t="s">
        <v>47</v>
      </c>
      <c r="AB773" s="103" t="s">
        <v>140</v>
      </c>
      <c r="AC773" s="104" t="s">
        <v>141</v>
      </c>
    </row>
    <row r="774" spans="1:29" ht="25.5" customHeight="1" x14ac:dyDescent="0.35">
      <c r="A774" s="188"/>
      <c r="B774" s="190"/>
      <c r="C774" s="99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0"/>
      <c r="E774" s="78" t="str">
        <f>IF(C774="","",IFERROR(VLOOKUP(C774,parametros!$A$11:$E$15,5,0),""))</f>
        <v/>
      </c>
      <c r="F774" s="79" t="str">
        <f t="shared" si="62"/>
        <v/>
      </c>
      <c r="G774" s="101"/>
      <c r="H774" s="91">
        <f t="shared" si="63"/>
        <v>0</v>
      </c>
      <c r="I774" s="91" t="str">
        <f t="shared" si="64"/>
        <v/>
      </c>
      <c r="J774" s="91" t="str">
        <f t="shared" si="65"/>
        <v/>
      </c>
      <c r="K774" s="92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2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58"/>
      <c r="U774" s="217" t="str">
        <f t="shared" si="66"/>
        <v/>
      </c>
      <c r="V774" s="215" t="s">
        <v>47</v>
      </c>
      <c r="W774" s="102" t="s">
        <v>136</v>
      </c>
      <c r="X774" s="102" t="s">
        <v>137</v>
      </c>
      <c r="Y774" s="103" t="s">
        <v>138</v>
      </c>
      <c r="Z774" s="103" t="s">
        <v>139</v>
      </c>
      <c r="AA774" s="103" t="s">
        <v>47</v>
      </c>
      <c r="AB774" s="103" t="s">
        <v>140</v>
      </c>
      <c r="AC774" s="104" t="s">
        <v>141</v>
      </c>
    </row>
    <row r="775" spans="1:29" ht="25.5" customHeight="1" x14ac:dyDescent="0.35">
      <c r="A775" s="188"/>
      <c r="B775" s="190"/>
      <c r="C775" s="99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0"/>
      <c r="E775" s="78" t="str">
        <f>IF(C775="","",IFERROR(VLOOKUP(C775,parametros!$A$11:$E$15,5,0),""))</f>
        <v/>
      </c>
      <c r="F775" s="79" t="str">
        <f t="shared" si="62"/>
        <v/>
      </c>
      <c r="G775" s="101"/>
      <c r="H775" s="91">
        <f t="shared" si="63"/>
        <v>0</v>
      </c>
      <c r="I775" s="91" t="str">
        <f t="shared" si="64"/>
        <v/>
      </c>
      <c r="J775" s="91" t="str">
        <f t="shared" si="65"/>
        <v/>
      </c>
      <c r="K775" s="92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2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58"/>
      <c r="U775" s="217" t="str">
        <f t="shared" si="66"/>
        <v/>
      </c>
      <c r="V775" s="215" t="s">
        <v>47</v>
      </c>
      <c r="W775" s="102" t="s">
        <v>136</v>
      </c>
      <c r="X775" s="102" t="s">
        <v>137</v>
      </c>
      <c r="Y775" s="103" t="s">
        <v>138</v>
      </c>
      <c r="Z775" s="103" t="s">
        <v>139</v>
      </c>
      <c r="AA775" s="103" t="s">
        <v>47</v>
      </c>
      <c r="AB775" s="103" t="s">
        <v>140</v>
      </c>
      <c r="AC775" s="104" t="s">
        <v>141</v>
      </c>
    </row>
    <row r="776" spans="1:29" ht="25.5" customHeight="1" x14ac:dyDescent="0.35">
      <c r="A776" s="188"/>
      <c r="B776" s="190"/>
      <c r="C776" s="99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0"/>
      <c r="E776" s="78" t="str">
        <f>IF(C776="","",IFERROR(VLOOKUP(C776,parametros!$A$11:$E$15,5,0),""))</f>
        <v/>
      </c>
      <c r="F776" s="79" t="str">
        <f t="shared" si="62"/>
        <v/>
      </c>
      <c r="G776" s="101"/>
      <c r="H776" s="91">
        <f t="shared" si="63"/>
        <v>0</v>
      </c>
      <c r="I776" s="91" t="str">
        <f t="shared" si="64"/>
        <v/>
      </c>
      <c r="J776" s="91" t="str">
        <f t="shared" si="65"/>
        <v/>
      </c>
      <c r="K776" s="92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2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58"/>
      <c r="U776" s="217" t="str">
        <f t="shared" si="66"/>
        <v/>
      </c>
      <c r="V776" s="215" t="s">
        <v>47</v>
      </c>
      <c r="W776" s="102" t="s">
        <v>136</v>
      </c>
      <c r="X776" s="102" t="s">
        <v>137</v>
      </c>
      <c r="Y776" s="103" t="s">
        <v>138</v>
      </c>
      <c r="Z776" s="103" t="s">
        <v>139</v>
      </c>
      <c r="AA776" s="103" t="s">
        <v>47</v>
      </c>
      <c r="AB776" s="103" t="s">
        <v>140</v>
      </c>
      <c r="AC776" s="104" t="s">
        <v>141</v>
      </c>
    </row>
    <row r="777" spans="1:29" ht="25.5" customHeight="1" x14ac:dyDescent="0.35">
      <c r="A777" s="188"/>
      <c r="B777" s="190"/>
      <c r="C777" s="99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0"/>
      <c r="E777" s="78" t="str">
        <f>IF(C777="","",IFERROR(VLOOKUP(C777,parametros!$A$11:$E$15,5,0),""))</f>
        <v/>
      </c>
      <c r="F777" s="79" t="str">
        <f t="shared" si="62"/>
        <v/>
      </c>
      <c r="G777" s="101"/>
      <c r="H777" s="91">
        <f t="shared" si="63"/>
        <v>0</v>
      </c>
      <c r="I777" s="91" t="str">
        <f t="shared" si="64"/>
        <v/>
      </c>
      <c r="J777" s="91" t="str">
        <f t="shared" si="65"/>
        <v/>
      </c>
      <c r="K777" s="92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2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58"/>
      <c r="U777" s="217" t="str">
        <f t="shared" si="66"/>
        <v/>
      </c>
      <c r="V777" s="215" t="s">
        <v>47</v>
      </c>
      <c r="W777" s="102" t="s">
        <v>136</v>
      </c>
      <c r="X777" s="102" t="s">
        <v>137</v>
      </c>
      <c r="Y777" s="103" t="s">
        <v>138</v>
      </c>
      <c r="Z777" s="103" t="s">
        <v>139</v>
      </c>
      <c r="AA777" s="103" t="s">
        <v>47</v>
      </c>
      <c r="AB777" s="103" t="s">
        <v>140</v>
      </c>
      <c r="AC777" s="104" t="s">
        <v>141</v>
      </c>
    </row>
    <row r="778" spans="1:29" ht="25.5" customHeight="1" x14ac:dyDescent="0.35">
      <c r="A778" s="188"/>
      <c r="B778" s="190"/>
      <c r="C778" s="99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0"/>
      <c r="E778" s="78" t="str">
        <f>IF(C778="","",IFERROR(VLOOKUP(C778,parametros!$A$11:$E$15,5,0),""))</f>
        <v/>
      </c>
      <c r="F778" s="79" t="str">
        <f t="shared" si="62"/>
        <v/>
      </c>
      <c r="G778" s="101"/>
      <c r="H778" s="91">
        <f t="shared" si="63"/>
        <v>0</v>
      </c>
      <c r="I778" s="91" t="str">
        <f t="shared" si="64"/>
        <v/>
      </c>
      <c r="J778" s="91" t="str">
        <f t="shared" si="65"/>
        <v/>
      </c>
      <c r="K778" s="92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2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58"/>
      <c r="U778" s="217" t="str">
        <f t="shared" si="66"/>
        <v/>
      </c>
      <c r="V778" s="215" t="s">
        <v>47</v>
      </c>
      <c r="W778" s="102" t="s">
        <v>136</v>
      </c>
      <c r="X778" s="102" t="s">
        <v>137</v>
      </c>
      <c r="Y778" s="103" t="s">
        <v>138</v>
      </c>
      <c r="Z778" s="103" t="s">
        <v>139</v>
      </c>
      <c r="AA778" s="103" t="s">
        <v>47</v>
      </c>
      <c r="AB778" s="103" t="s">
        <v>140</v>
      </c>
      <c r="AC778" s="104" t="s">
        <v>141</v>
      </c>
    </row>
    <row r="779" spans="1:29" ht="25.5" customHeight="1" x14ac:dyDescent="0.35">
      <c r="A779" s="188"/>
      <c r="B779" s="190"/>
      <c r="C779" s="99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0"/>
      <c r="E779" s="78" t="str">
        <f>IF(C779="","",IFERROR(VLOOKUP(C779,parametros!$A$11:$E$15,5,0),""))</f>
        <v/>
      </c>
      <c r="F779" s="79" t="str">
        <f t="shared" si="62"/>
        <v/>
      </c>
      <c r="G779" s="101"/>
      <c r="H779" s="91">
        <f t="shared" si="63"/>
        <v>0</v>
      </c>
      <c r="I779" s="91" t="str">
        <f t="shared" si="64"/>
        <v/>
      </c>
      <c r="J779" s="91" t="str">
        <f t="shared" si="65"/>
        <v/>
      </c>
      <c r="K779" s="92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2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58"/>
      <c r="U779" s="217" t="str">
        <f t="shared" si="66"/>
        <v/>
      </c>
      <c r="V779" s="215" t="s">
        <v>47</v>
      </c>
      <c r="W779" s="102" t="s">
        <v>136</v>
      </c>
      <c r="X779" s="102" t="s">
        <v>137</v>
      </c>
      <c r="Y779" s="103" t="s">
        <v>138</v>
      </c>
      <c r="Z779" s="103" t="s">
        <v>139</v>
      </c>
      <c r="AA779" s="103" t="s">
        <v>47</v>
      </c>
      <c r="AB779" s="103" t="s">
        <v>140</v>
      </c>
      <c r="AC779" s="104" t="s">
        <v>141</v>
      </c>
    </row>
    <row r="780" spans="1:29" ht="25.5" customHeight="1" x14ac:dyDescent="0.35">
      <c r="A780" s="188"/>
      <c r="B780" s="190"/>
      <c r="C780" s="99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0"/>
      <c r="E780" s="78" t="str">
        <f>IF(C780="","",IFERROR(VLOOKUP(C780,parametros!$A$11:$E$15,5,0),""))</f>
        <v/>
      </c>
      <c r="F780" s="79" t="str">
        <f t="shared" si="62"/>
        <v/>
      </c>
      <c r="G780" s="101"/>
      <c r="H780" s="91">
        <f t="shared" si="63"/>
        <v>0</v>
      </c>
      <c r="I780" s="91" t="str">
        <f t="shared" si="64"/>
        <v/>
      </c>
      <c r="J780" s="91" t="str">
        <f t="shared" si="65"/>
        <v/>
      </c>
      <c r="K780" s="92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2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58"/>
      <c r="U780" s="217" t="str">
        <f t="shared" si="66"/>
        <v/>
      </c>
      <c r="V780" s="215" t="s">
        <v>47</v>
      </c>
      <c r="W780" s="102" t="s">
        <v>136</v>
      </c>
      <c r="X780" s="102" t="s">
        <v>137</v>
      </c>
      <c r="Y780" s="103" t="s">
        <v>138</v>
      </c>
      <c r="Z780" s="103" t="s">
        <v>139</v>
      </c>
      <c r="AA780" s="103" t="s">
        <v>47</v>
      </c>
      <c r="AB780" s="103" t="s">
        <v>140</v>
      </c>
      <c r="AC780" s="104" t="s">
        <v>141</v>
      </c>
    </row>
    <row r="781" spans="1:29" ht="25.5" customHeight="1" x14ac:dyDescent="0.35">
      <c r="A781" s="188"/>
      <c r="B781" s="190"/>
      <c r="C781" s="99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0"/>
      <c r="E781" s="78" t="str">
        <f>IF(C781="","",IFERROR(VLOOKUP(C781,parametros!$A$11:$E$15,5,0),""))</f>
        <v/>
      </c>
      <c r="F781" s="79" t="str">
        <f t="shared" si="62"/>
        <v/>
      </c>
      <c r="G781" s="101"/>
      <c r="H781" s="91">
        <f t="shared" si="63"/>
        <v>0</v>
      </c>
      <c r="I781" s="91" t="str">
        <f t="shared" si="64"/>
        <v/>
      </c>
      <c r="J781" s="91" t="str">
        <f t="shared" si="65"/>
        <v/>
      </c>
      <c r="K781" s="92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2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58"/>
      <c r="U781" s="217" t="str">
        <f t="shared" si="66"/>
        <v/>
      </c>
      <c r="V781" s="215" t="s">
        <v>47</v>
      </c>
      <c r="W781" s="102" t="s">
        <v>136</v>
      </c>
      <c r="X781" s="102" t="s">
        <v>137</v>
      </c>
      <c r="Y781" s="103" t="s">
        <v>138</v>
      </c>
      <c r="Z781" s="103" t="s">
        <v>139</v>
      </c>
      <c r="AA781" s="103" t="s">
        <v>47</v>
      </c>
      <c r="AB781" s="103" t="s">
        <v>140</v>
      </c>
      <c r="AC781" s="104" t="s">
        <v>141</v>
      </c>
    </row>
    <row r="782" spans="1:29" ht="25.5" customHeight="1" x14ac:dyDescent="0.35">
      <c r="A782" s="188"/>
      <c r="B782" s="190"/>
      <c r="C782" s="99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0"/>
      <c r="E782" s="78" t="str">
        <f>IF(C782="","",IFERROR(VLOOKUP(C782,parametros!$A$11:$E$15,5,0),""))</f>
        <v/>
      </c>
      <c r="F782" s="79" t="str">
        <f t="shared" si="62"/>
        <v/>
      </c>
      <c r="G782" s="101"/>
      <c r="H782" s="91">
        <f t="shared" si="63"/>
        <v>0</v>
      </c>
      <c r="I782" s="91" t="str">
        <f t="shared" si="64"/>
        <v/>
      </c>
      <c r="J782" s="91" t="str">
        <f t="shared" si="65"/>
        <v/>
      </c>
      <c r="K782" s="92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2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58"/>
      <c r="U782" s="217" t="str">
        <f t="shared" si="66"/>
        <v/>
      </c>
      <c r="V782" s="215" t="s">
        <v>47</v>
      </c>
      <c r="W782" s="102" t="s">
        <v>136</v>
      </c>
      <c r="X782" s="102" t="s">
        <v>137</v>
      </c>
      <c r="Y782" s="103" t="s">
        <v>138</v>
      </c>
      <c r="Z782" s="103" t="s">
        <v>139</v>
      </c>
      <c r="AA782" s="103" t="s">
        <v>47</v>
      </c>
      <c r="AB782" s="103" t="s">
        <v>140</v>
      </c>
      <c r="AC782" s="104" t="s">
        <v>141</v>
      </c>
    </row>
    <row r="783" spans="1:29" ht="25.5" customHeight="1" x14ac:dyDescent="0.35">
      <c r="A783" s="188"/>
      <c r="B783" s="190"/>
      <c r="C783" s="99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0"/>
      <c r="E783" s="78" t="str">
        <f>IF(C783="","",IFERROR(VLOOKUP(C783,parametros!$A$11:$E$15,5,0),""))</f>
        <v/>
      </c>
      <c r="F783" s="79" t="str">
        <f t="shared" si="62"/>
        <v/>
      </c>
      <c r="G783" s="101"/>
      <c r="H783" s="91">
        <f t="shared" si="63"/>
        <v>0</v>
      </c>
      <c r="I783" s="91" t="str">
        <f t="shared" si="64"/>
        <v/>
      </c>
      <c r="J783" s="91" t="str">
        <f t="shared" si="65"/>
        <v/>
      </c>
      <c r="K783" s="92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2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58"/>
      <c r="U783" s="217" t="str">
        <f t="shared" si="66"/>
        <v/>
      </c>
      <c r="V783" s="215" t="s">
        <v>47</v>
      </c>
      <c r="W783" s="102" t="s">
        <v>136</v>
      </c>
      <c r="X783" s="102" t="s">
        <v>137</v>
      </c>
      <c r="Y783" s="103" t="s">
        <v>138</v>
      </c>
      <c r="Z783" s="103" t="s">
        <v>139</v>
      </c>
      <c r="AA783" s="103" t="s">
        <v>47</v>
      </c>
      <c r="AB783" s="103" t="s">
        <v>140</v>
      </c>
      <c r="AC783" s="104" t="s">
        <v>141</v>
      </c>
    </row>
    <row r="784" spans="1:29" ht="25.5" customHeight="1" x14ac:dyDescent="0.35">
      <c r="A784" s="188"/>
      <c r="B784" s="190"/>
      <c r="C784" s="99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0"/>
      <c r="E784" s="78" t="str">
        <f>IF(C784="","",IFERROR(VLOOKUP(C784,parametros!$A$11:$E$15,5,0),""))</f>
        <v/>
      </c>
      <c r="F784" s="79" t="str">
        <f t="shared" si="62"/>
        <v/>
      </c>
      <c r="G784" s="101"/>
      <c r="H784" s="91">
        <f t="shared" si="63"/>
        <v>0</v>
      </c>
      <c r="I784" s="91" t="str">
        <f t="shared" si="64"/>
        <v/>
      </c>
      <c r="J784" s="91" t="str">
        <f t="shared" si="65"/>
        <v/>
      </c>
      <c r="K784" s="92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2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58"/>
      <c r="U784" s="217" t="str">
        <f t="shared" si="66"/>
        <v/>
      </c>
      <c r="V784" s="215" t="s">
        <v>47</v>
      </c>
      <c r="W784" s="102" t="s">
        <v>136</v>
      </c>
      <c r="X784" s="102" t="s">
        <v>137</v>
      </c>
      <c r="Y784" s="103" t="s">
        <v>138</v>
      </c>
      <c r="Z784" s="103" t="s">
        <v>139</v>
      </c>
      <c r="AA784" s="103" t="s">
        <v>47</v>
      </c>
      <c r="AB784" s="103" t="s">
        <v>140</v>
      </c>
      <c r="AC784" s="104" t="s">
        <v>141</v>
      </c>
    </row>
    <row r="785" spans="1:29" ht="25.5" customHeight="1" x14ac:dyDescent="0.35">
      <c r="A785" s="188"/>
      <c r="B785" s="190"/>
      <c r="C785" s="99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0"/>
      <c r="E785" s="78" t="str">
        <f>IF(C785="","",IFERROR(VLOOKUP(C785,parametros!$A$11:$E$15,5,0),""))</f>
        <v/>
      </c>
      <c r="F785" s="79" t="str">
        <f t="shared" si="62"/>
        <v/>
      </c>
      <c r="G785" s="101"/>
      <c r="H785" s="91">
        <f t="shared" si="63"/>
        <v>0</v>
      </c>
      <c r="I785" s="91" t="str">
        <f t="shared" si="64"/>
        <v/>
      </c>
      <c r="J785" s="91" t="str">
        <f t="shared" si="65"/>
        <v/>
      </c>
      <c r="K785" s="92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2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58"/>
      <c r="U785" s="217" t="str">
        <f t="shared" si="66"/>
        <v/>
      </c>
      <c r="V785" s="215" t="s">
        <v>47</v>
      </c>
      <c r="W785" s="102" t="s">
        <v>136</v>
      </c>
      <c r="X785" s="102" t="s">
        <v>137</v>
      </c>
      <c r="Y785" s="103" t="s">
        <v>138</v>
      </c>
      <c r="Z785" s="103" t="s">
        <v>139</v>
      </c>
      <c r="AA785" s="103" t="s">
        <v>47</v>
      </c>
      <c r="AB785" s="103" t="s">
        <v>140</v>
      </c>
      <c r="AC785" s="104" t="s">
        <v>141</v>
      </c>
    </row>
    <row r="786" spans="1:29" ht="25.5" customHeight="1" x14ac:dyDescent="0.35">
      <c r="A786" s="188"/>
      <c r="B786" s="190"/>
      <c r="C786" s="99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0"/>
      <c r="E786" s="78" t="str">
        <f>IF(C786="","",IFERROR(VLOOKUP(C786,parametros!$A$11:$E$15,5,0),""))</f>
        <v/>
      </c>
      <c r="F786" s="79" t="str">
        <f t="shared" si="62"/>
        <v/>
      </c>
      <c r="G786" s="101"/>
      <c r="H786" s="91">
        <f t="shared" si="63"/>
        <v>0</v>
      </c>
      <c r="I786" s="91" t="str">
        <f t="shared" si="64"/>
        <v/>
      </c>
      <c r="J786" s="91" t="str">
        <f t="shared" si="65"/>
        <v/>
      </c>
      <c r="K786" s="92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2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58"/>
      <c r="U786" s="217" t="str">
        <f t="shared" si="66"/>
        <v/>
      </c>
      <c r="V786" s="215" t="s">
        <v>47</v>
      </c>
      <c r="W786" s="102" t="s">
        <v>136</v>
      </c>
      <c r="X786" s="102" t="s">
        <v>137</v>
      </c>
      <c r="Y786" s="103" t="s">
        <v>138</v>
      </c>
      <c r="Z786" s="103" t="s">
        <v>139</v>
      </c>
      <c r="AA786" s="103" t="s">
        <v>47</v>
      </c>
      <c r="AB786" s="103" t="s">
        <v>140</v>
      </c>
      <c r="AC786" s="104" t="s">
        <v>141</v>
      </c>
    </row>
    <row r="787" spans="1:29" ht="25.5" customHeight="1" x14ac:dyDescent="0.35">
      <c r="A787" s="188"/>
      <c r="B787" s="190"/>
      <c r="C787" s="99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0"/>
      <c r="E787" s="78" t="str">
        <f>IF(C787="","",IFERROR(VLOOKUP(C787,parametros!$A$11:$E$15,5,0),""))</f>
        <v/>
      </c>
      <c r="F787" s="79" t="str">
        <f t="shared" si="62"/>
        <v/>
      </c>
      <c r="G787" s="101"/>
      <c r="H787" s="91">
        <f t="shared" si="63"/>
        <v>0</v>
      </c>
      <c r="I787" s="91" t="str">
        <f t="shared" si="64"/>
        <v/>
      </c>
      <c r="J787" s="91" t="str">
        <f t="shared" si="65"/>
        <v/>
      </c>
      <c r="K787" s="92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2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58"/>
      <c r="U787" s="217" t="str">
        <f t="shared" si="66"/>
        <v/>
      </c>
      <c r="V787" s="215" t="s">
        <v>47</v>
      </c>
      <c r="W787" s="102" t="s">
        <v>136</v>
      </c>
      <c r="X787" s="102" t="s">
        <v>137</v>
      </c>
      <c r="Y787" s="103" t="s">
        <v>138</v>
      </c>
      <c r="Z787" s="103" t="s">
        <v>139</v>
      </c>
      <c r="AA787" s="103" t="s">
        <v>47</v>
      </c>
      <c r="AB787" s="103" t="s">
        <v>140</v>
      </c>
      <c r="AC787" s="104" t="s">
        <v>141</v>
      </c>
    </row>
    <row r="788" spans="1:29" ht="25.5" customHeight="1" x14ac:dyDescent="0.35">
      <c r="A788" s="188"/>
      <c r="B788" s="190"/>
      <c r="C788" s="99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0"/>
      <c r="E788" s="78" t="str">
        <f>IF(C788="","",IFERROR(VLOOKUP(C788,parametros!$A$11:$E$15,5,0),""))</f>
        <v/>
      </c>
      <c r="F788" s="79" t="str">
        <f t="shared" si="62"/>
        <v/>
      </c>
      <c r="G788" s="101"/>
      <c r="H788" s="91">
        <f t="shared" si="63"/>
        <v>0</v>
      </c>
      <c r="I788" s="91" t="str">
        <f t="shared" si="64"/>
        <v/>
      </c>
      <c r="J788" s="91" t="str">
        <f t="shared" si="65"/>
        <v/>
      </c>
      <c r="K788" s="92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2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58"/>
      <c r="U788" s="217" t="str">
        <f t="shared" si="66"/>
        <v/>
      </c>
      <c r="V788" s="215" t="s">
        <v>47</v>
      </c>
      <c r="W788" s="102" t="s">
        <v>136</v>
      </c>
      <c r="X788" s="102" t="s">
        <v>137</v>
      </c>
      <c r="Y788" s="103" t="s">
        <v>138</v>
      </c>
      <c r="Z788" s="103" t="s">
        <v>139</v>
      </c>
      <c r="AA788" s="103" t="s">
        <v>47</v>
      </c>
      <c r="AB788" s="103" t="s">
        <v>140</v>
      </c>
      <c r="AC788" s="104" t="s">
        <v>141</v>
      </c>
    </row>
    <row r="789" spans="1:29" ht="25.5" customHeight="1" x14ac:dyDescent="0.35">
      <c r="A789" s="188"/>
      <c r="B789" s="190"/>
      <c r="C789" s="99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0"/>
      <c r="E789" s="78" t="str">
        <f>IF(C789="","",IFERROR(VLOOKUP(C789,parametros!$A$11:$E$15,5,0),""))</f>
        <v/>
      </c>
      <c r="F789" s="79" t="str">
        <f t="shared" si="62"/>
        <v/>
      </c>
      <c r="G789" s="101"/>
      <c r="H789" s="91">
        <f t="shared" si="63"/>
        <v>0</v>
      </c>
      <c r="I789" s="91" t="str">
        <f t="shared" si="64"/>
        <v/>
      </c>
      <c r="J789" s="91" t="str">
        <f t="shared" si="65"/>
        <v/>
      </c>
      <c r="K789" s="92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2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58"/>
      <c r="U789" s="217" t="str">
        <f t="shared" si="66"/>
        <v/>
      </c>
      <c r="V789" s="215" t="s">
        <v>47</v>
      </c>
      <c r="W789" s="102" t="s">
        <v>136</v>
      </c>
      <c r="X789" s="102" t="s">
        <v>137</v>
      </c>
      <c r="Y789" s="103" t="s">
        <v>138</v>
      </c>
      <c r="Z789" s="103" t="s">
        <v>139</v>
      </c>
      <c r="AA789" s="103" t="s">
        <v>47</v>
      </c>
      <c r="AB789" s="103" t="s">
        <v>140</v>
      </c>
      <c r="AC789" s="104" t="s">
        <v>141</v>
      </c>
    </row>
    <row r="790" spans="1:29" ht="25.5" customHeight="1" x14ac:dyDescent="0.35">
      <c r="A790" s="188"/>
      <c r="B790" s="190"/>
      <c r="C790" s="99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0"/>
      <c r="E790" s="78" t="str">
        <f>IF(C790="","",IFERROR(VLOOKUP(C790,parametros!$A$11:$E$15,5,0),""))</f>
        <v/>
      </c>
      <c r="F790" s="79" t="str">
        <f t="shared" si="62"/>
        <v/>
      </c>
      <c r="G790" s="101"/>
      <c r="H790" s="91">
        <f t="shared" si="63"/>
        <v>0</v>
      </c>
      <c r="I790" s="91" t="str">
        <f t="shared" si="64"/>
        <v/>
      </c>
      <c r="J790" s="91" t="str">
        <f t="shared" si="65"/>
        <v/>
      </c>
      <c r="K790" s="92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2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58"/>
      <c r="U790" s="217" t="str">
        <f t="shared" si="66"/>
        <v/>
      </c>
      <c r="V790" s="215" t="s">
        <v>47</v>
      </c>
      <c r="W790" s="102" t="s">
        <v>136</v>
      </c>
      <c r="X790" s="102" t="s">
        <v>137</v>
      </c>
      <c r="Y790" s="103" t="s">
        <v>138</v>
      </c>
      <c r="Z790" s="103" t="s">
        <v>139</v>
      </c>
      <c r="AA790" s="103" t="s">
        <v>47</v>
      </c>
      <c r="AB790" s="103" t="s">
        <v>140</v>
      </c>
      <c r="AC790" s="104" t="s">
        <v>141</v>
      </c>
    </row>
    <row r="791" spans="1:29" ht="25.5" customHeight="1" x14ac:dyDescent="0.35">
      <c r="A791" s="188"/>
      <c r="B791" s="190"/>
      <c r="C791" s="99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0"/>
      <c r="E791" s="78" t="str">
        <f>IF(C791="","",IFERROR(VLOOKUP(C791,parametros!$A$11:$E$15,5,0),""))</f>
        <v/>
      </c>
      <c r="F791" s="79" t="str">
        <f t="shared" si="62"/>
        <v/>
      </c>
      <c r="G791" s="101"/>
      <c r="H791" s="91">
        <f t="shared" si="63"/>
        <v>0</v>
      </c>
      <c r="I791" s="91" t="str">
        <f t="shared" si="64"/>
        <v/>
      </c>
      <c r="J791" s="91" t="str">
        <f t="shared" si="65"/>
        <v/>
      </c>
      <c r="K791" s="92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2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58"/>
      <c r="U791" s="217" t="str">
        <f t="shared" si="66"/>
        <v/>
      </c>
      <c r="V791" s="215" t="s">
        <v>47</v>
      </c>
      <c r="W791" s="102" t="s">
        <v>136</v>
      </c>
      <c r="X791" s="102" t="s">
        <v>137</v>
      </c>
      <c r="Y791" s="103" t="s">
        <v>138</v>
      </c>
      <c r="Z791" s="103" t="s">
        <v>139</v>
      </c>
      <c r="AA791" s="103" t="s">
        <v>47</v>
      </c>
      <c r="AB791" s="103" t="s">
        <v>140</v>
      </c>
      <c r="AC791" s="104" t="s">
        <v>141</v>
      </c>
    </row>
    <row r="792" spans="1:29" ht="25.5" customHeight="1" x14ac:dyDescent="0.35">
      <c r="A792" s="188"/>
      <c r="B792" s="190"/>
      <c r="C792" s="99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0"/>
      <c r="E792" s="78" t="str">
        <f>IF(C792="","",IFERROR(VLOOKUP(C792,parametros!$A$11:$E$15,5,0),""))</f>
        <v/>
      </c>
      <c r="F792" s="79" t="str">
        <f t="shared" si="62"/>
        <v/>
      </c>
      <c r="G792" s="101"/>
      <c r="H792" s="91">
        <f t="shared" si="63"/>
        <v>0</v>
      </c>
      <c r="I792" s="91" t="str">
        <f t="shared" si="64"/>
        <v/>
      </c>
      <c r="J792" s="91" t="str">
        <f t="shared" si="65"/>
        <v/>
      </c>
      <c r="K792" s="92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2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58"/>
      <c r="U792" s="217" t="str">
        <f t="shared" si="66"/>
        <v/>
      </c>
      <c r="V792" s="215" t="s">
        <v>47</v>
      </c>
      <c r="W792" s="102" t="s">
        <v>136</v>
      </c>
      <c r="X792" s="102" t="s">
        <v>137</v>
      </c>
      <c r="Y792" s="103" t="s">
        <v>138</v>
      </c>
      <c r="Z792" s="103" t="s">
        <v>139</v>
      </c>
      <c r="AA792" s="103" t="s">
        <v>47</v>
      </c>
      <c r="AB792" s="103" t="s">
        <v>140</v>
      </c>
      <c r="AC792" s="104" t="s">
        <v>141</v>
      </c>
    </row>
    <row r="793" spans="1:29" ht="25.5" customHeight="1" x14ac:dyDescent="0.35">
      <c r="A793" s="188"/>
      <c r="B793" s="190"/>
      <c r="C793" s="99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0"/>
      <c r="E793" s="78" t="str">
        <f>IF(C793="","",IFERROR(VLOOKUP(C793,parametros!$A$11:$E$15,5,0),""))</f>
        <v/>
      </c>
      <c r="F793" s="79" t="str">
        <f t="shared" si="62"/>
        <v/>
      </c>
      <c r="G793" s="101"/>
      <c r="H793" s="91">
        <f t="shared" si="63"/>
        <v>0</v>
      </c>
      <c r="I793" s="91" t="str">
        <f t="shared" si="64"/>
        <v/>
      </c>
      <c r="J793" s="91" t="str">
        <f t="shared" si="65"/>
        <v/>
      </c>
      <c r="K793" s="92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2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58"/>
      <c r="U793" s="217" t="str">
        <f t="shared" si="66"/>
        <v/>
      </c>
      <c r="V793" s="215" t="s">
        <v>47</v>
      </c>
      <c r="W793" s="102" t="s">
        <v>136</v>
      </c>
      <c r="X793" s="102" t="s">
        <v>137</v>
      </c>
      <c r="Y793" s="103" t="s">
        <v>138</v>
      </c>
      <c r="Z793" s="103" t="s">
        <v>139</v>
      </c>
      <c r="AA793" s="103" t="s">
        <v>47</v>
      </c>
      <c r="AB793" s="103" t="s">
        <v>140</v>
      </c>
      <c r="AC793" s="104" t="s">
        <v>141</v>
      </c>
    </row>
    <row r="794" spans="1:29" ht="25.5" customHeight="1" x14ac:dyDescent="0.35">
      <c r="A794" s="188"/>
      <c r="B794" s="190"/>
      <c r="C794" s="99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0"/>
      <c r="E794" s="78" t="str">
        <f>IF(C794="","",IFERROR(VLOOKUP(C794,parametros!$A$11:$E$15,5,0),""))</f>
        <v/>
      </c>
      <c r="F794" s="79" t="str">
        <f t="shared" si="62"/>
        <v/>
      </c>
      <c r="G794" s="101"/>
      <c r="H794" s="91">
        <f t="shared" si="63"/>
        <v>0</v>
      </c>
      <c r="I794" s="91" t="str">
        <f t="shared" si="64"/>
        <v/>
      </c>
      <c r="J794" s="91" t="str">
        <f t="shared" si="65"/>
        <v/>
      </c>
      <c r="K794" s="92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2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58"/>
      <c r="U794" s="217" t="str">
        <f t="shared" si="66"/>
        <v/>
      </c>
      <c r="V794" s="215" t="s">
        <v>47</v>
      </c>
      <c r="W794" s="102" t="s">
        <v>136</v>
      </c>
      <c r="X794" s="102" t="s">
        <v>137</v>
      </c>
      <c r="Y794" s="103" t="s">
        <v>138</v>
      </c>
      <c r="Z794" s="103" t="s">
        <v>139</v>
      </c>
      <c r="AA794" s="103" t="s">
        <v>47</v>
      </c>
      <c r="AB794" s="103" t="s">
        <v>140</v>
      </c>
      <c r="AC794" s="104" t="s">
        <v>141</v>
      </c>
    </row>
    <row r="795" spans="1:29" ht="25.5" customHeight="1" x14ac:dyDescent="0.35">
      <c r="A795" s="188"/>
      <c r="B795" s="190"/>
      <c r="C795" s="99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0"/>
      <c r="E795" s="78" t="str">
        <f>IF(C795="","",IFERROR(VLOOKUP(C795,parametros!$A$11:$E$15,5,0),""))</f>
        <v/>
      </c>
      <c r="F795" s="79" t="str">
        <f t="shared" si="62"/>
        <v/>
      </c>
      <c r="G795" s="101"/>
      <c r="H795" s="91">
        <f t="shared" si="63"/>
        <v>0</v>
      </c>
      <c r="I795" s="91" t="str">
        <f t="shared" si="64"/>
        <v/>
      </c>
      <c r="J795" s="91" t="str">
        <f t="shared" si="65"/>
        <v/>
      </c>
      <c r="K795" s="92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2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58"/>
      <c r="U795" s="217" t="str">
        <f t="shared" si="66"/>
        <v/>
      </c>
      <c r="V795" s="215" t="s">
        <v>47</v>
      </c>
      <c r="W795" s="102" t="s">
        <v>136</v>
      </c>
      <c r="X795" s="102" t="s">
        <v>137</v>
      </c>
      <c r="Y795" s="103" t="s">
        <v>138</v>
      </c>
      <c r="Z795" s="103" t="s">
        <v>139</v>
      </c>
      <c r="AA795" s="103" t="s">
        <v>47</v>
      </c>
      <c r="AB795" s="103" t="s">
        <v>140</v>
      </c>
      <c r="AC795" s="104" t="s">
        <v>141</v>
      </c>
    </row>
    <row r="796" spans="1:29" ht="25.5" customHeight="1" x14ac:dyDescent="0.35">
      <c r="A796" s="188"/>
      <c r="B796" s="190"/>
      <c r="C796" s="99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0"/>
      <c r="E796" s="78" t="str">
        <f>IF(C796="","",IFERROR(VLOOKUP(C796,parametros!$A$11:$E$15,5,0),""))</f>
        <v/>
      </c>
      <c r="F796" s="79" t="str">
        <f t="shared" si="62"/>
        <v/>
      </c>
      <c r="G796" s="101"/>
      <c r="H796" s="91">
        <f t="shared" si="63"/>
        <v>0</v>
      </c>
      <c r="I796" s="91" t="str">
        <f t="shared" si="64"/>
        <v/>
      </c>
      <c r="J796" s="91" t="str">
        <f t="shared" si="65"/>
        <v/>
      </c>
      <c r="K796" s="92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2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58"/>
      <c r="U796" s="217" t="str">
        <f t="shared" si="66"/>
        <v/>
      </c>
      <c r="V796" s="215" t="s">
        <v>47</v>
      </c>
      <c r="W796" s="102" t="s">
        <v>136</v>
      </c>
      <c r="X796" s="102" t="s">
        <v>137</v>
      </c>
      <c r="Y796" s="103" t="s">
        <v>138</v>
      </c>
      <c r="Z796" s="103" t="s">
        <v>139</v>
      </c>
      <c r="AA796" s="103" t="s">
        <v>47</v>
      </c>
      <c r="AB796" s="103" t="s">
        <v>140</v>
      </c>
      <c r="AC796" s="104" t="s">
        <v>141</v>
      </c>
    </row>
    <row r="797" spans="1:29" ht="25.5" customHeight="1" x14ac:dyDescent="0.35">
      <c r="A797" s="188"/>
      <c r="B797" s="190"/>
      <c r="C797" s="99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0"/>
      <c r="E797" s="78" t="str">
        <f>IF(C797="","",IFERROR(VLOOKUP(C797,parametros!$A$11:$E$15,5,0),""))</f>
        <v/>
      </c>
      <c r="F797" s="79" t="str">
        <f t="shared" si="62"/>
        <v/>
      </c>
      <c r="G797" s="101"/>
      <c r="H797" s="91">
        <f t="shared" si="63"/>
        <v>0</v>
      </c>
      <c r="I797" s="91" t="str">
        <f t="shared" si="64"/>
        <v/>
      </c>
      <c r="J797" s="91" t="str">
        <f t="shared" si="65"/>
        <v/>
      </c>
      <c r="K797" s="92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2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58"/>
      <c r="U797" s="217" t="str">
        <f t="shared" si="66"/>
        <v/>
      </c>
      <c r="V797" s="215" t="s">
        <v>47</v>
      </c>
      <c r="W797" s="102" t="s">
        <v>136</v>
      </c>
      <c r="X797" s="102" t="s">
        <v>137</v>
      </c>
      <c r="Y797" s="103" t="s">
        <v>138</v>
      </c>
      <c r="Z797" s="103" t="s">
        <v>139</v>
      </c>
      <c r="AA797" s="103" t="s">
        <v>47</v>
      </c>
      <c r="AB797" s="103" t="s">
        <v>140</v>
      </c>
      <c r="AC797" s="104" t="s">
        <v>141</v>
      </c>
    </row>
    <row r="798" spans="1:29" ht="25.5" customHeight="1" x14ac:dyDescent="0.35">
      <c r="A798" s="188"/>
      <c r="B798" s="190"/>
      <c r="C798" s="99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0"/>
      <c r="E798" s="78" t="str">
        <f>IF(C798="","",IFERROR(VLOOKUP(C798,parametros!$A$11:$E$15,5,0),""))</f>
        <v/>
      </c>
      <c r="F798" s="79" t="str">
        <f t="shared" si="62"/>
        <v/>
      </c>
      <c r="G798" s="101"/>
      <c r="H798" s="91">
        <f t="shared" si="63"/>
        <v>0</v>
      </c>
      <c r="I798" s="91" t="str">
        <f t="shared" si="64"/>
        <v/>
      </c>
      <c r="J798" s="91" t="str">
        <f t="shared" si="65"/>
        <v/>
      </c>
      <c r="K798" s="92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2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58"/>
      <c r="U798" s="217" t="str">
        <f t="shared" si="66"/>
        <v/>
      </c>
      <c r="V798" s="215" t="s">
        <v>47</v>
      </c>
      <c r="W798" s="102" t="s">
        <v>136</v>
      </c>
      <c r="X798" s="102" t="s">
        <v>137</v>
      </c>
      <c r="Y798" s="103" t="s">
        <v>138</v>
      </c>
      <c r="Z798" s="103" t="s">
        <v>139</v>
      </c>
      <c r="AA798" s="103" t="s">
        <v>47</v>
      </c>
      <c r="AB798" s="103" t="s">
        <v>140</v>
      </c>
      <c r="AC798" s="104" t="s">
        <v>141</v>
      </c>
    </row>
    <row r="799" spans="1:29" ht="25.5" customHeight="1" x14ac:dyDescent="0.35">
      <c r="A799" s="188"/>
      <c r="B799" s="190"/>
      <c r="C799" s="99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0"/>
      <c r="E799" s="78" t="str">
        <f>IF(C799="","",IFERROR(VLOOKUP(C799,parametros!$A$11:$E$15,5,0),""))</f>
        <v/>
      </c>
      <c r="F799" s="79" t="str">
        <f t="shared" si="62"/>
        <v/>
      </c>
      <c r="G799" s="101"/>
      <c r="H799" s="91">
        <f t="shared" si="63"/>
        <v>0</v>
      </c>
      <c r="I799" s="91" t="str">
        <f t="shared" si="64"/>
        <v/>
      </c>
      <c r="J799" s="91" t="str">
        <f t="shared" si="65"/>
        <v/>
      </c>
      <c r="K799" s="92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2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58"/>
      <c r="U799" s="217" t="str">
        <f t="shared" si="66"/>
        <v/>
      </c>
      <c r="V799" s="215" t="s">
        <v>47</v>
      </c>
      <c r="W799" s="102" t="s">
        <v>136</v>
      </c>
      <c r="X799" s="102" t="s">
        <v>137</v>
      </c>
      <c r="Y799" s="103" t="s">
        <v>138</v>
      </c>
      <c r="Z799" s="103" t="s">
        <v>139</v>
      </c>
      <c r="AA799" s="103" t="s">
        <v>47</v>
      </c>
      <c r="AB799" s="103" t="s">
        <v>140</v>
      </c>
      <c r="AC799" s="104" t="s">
        <v>141</v>
      </c>
    </row>
    <row r="800" spans="1:29" ht="25.5" customHeight="1" x14ac:dyDescent="0.35">
      <c r="A800" s="188"/>
      <c r="B800" s="190"/>
      <c r="C800" s="99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0"/>
      <c r="E800" s="78" t="str">
        <f>IF(C800="","",IFERROR(VLOOKUP(C800,parametros!$A$11:$E$15,5,0),""))</f>
        <v/>
      </c>
      <c r="F800" s="79" t="str">
        <f t="shared" si="62"/>
        <v/>
      </c>
      <c r="G800" s="101"/>
      <c r="H800" s="91">
        <f t="shared" si="63"/>
        <v>0</v>
      </c>
      <c r="I800" s="91" t="str">
        <f t="shared" si="64"/>
        <v/>
      </c>
      <c r="J800" s="91" t="str">
        <f t="shared" si="65"/>
        <v/>
      </c>
      <c r="K800" s="92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2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58"/>
      <c r="U800" s="217" t="str">
        <f t="shared" si="66"/>
        <v/>
      </c>
      <c r="V800" s="215" t="s">
        <v>47</v>
      </c>
      <c r="W800" s="102" t="s">
        <v>136</v>
      </c>
      <c r="X800" s="102" t="s">
        <v>137</v>
      </c>
      <c r="Y800" s="103" t="s">
        <v>138</v>
      </c>
      <c r="Z800" s="103" t="s">
        <v>139</v>
      </c>
      <c r="AA800" s="103" t="s">
        <v>47</v>
      </c>
      <c r="AB800" s="103" t="s">
        <v>140</v>
      </c>
      <c r="AC800" s="104" t="s">
        <v>141</v>
      </c>
    </row>
    <row r="801" spans="1:29" ht="25.5" customHeight="1" x14ac:dyDescent="0.35">
      <c r="A801" s="188"/>
      <c r="B801" s="190"/>
      <c r="C801" s="99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0"/>
      <c r="E801" s="78" t="str">
        <f>IF(C801="","",IFERROR(VLOOKUP(C801,parametros!$A$11:$E$15,5,0),""))</f>
        <v/>
      </c>
      <c r="F801" s="79" t="str">
        <f t="shared" si="62"/>
        <v/>
      </c>
      <c r="G801" s="101"/>
      <c r="H801" s="91">
        <f t="shared" si="63"/>
        <v>0</v>
      </c>
      <c r="I801" s="91" t="str">
        <f t="shared" si="64"/>
        <v/>
      </c>
      <c r="J801" s="91" t="str">
        <f t="shared" si="65"/>
        <v/>
      </c>
      <c r="K801" s="92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2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58"/>
      <c r="U801" s="217" t="str">
        <f t="shared" si="66"/>
        <v/>
      </c>
      <c r="V801" s="215" t="s">
        <v>47</v>
      </c>
      <c r="W801" s="102" t="s">
        <v>136</v>
      </c>
      <c r="X801" s="102" t="s">
        <v>137</v>
      </c>
      <c r="Y801" s="103" t="s">
        <v>138</v>
      </c>
      <c r="Z801" s="103" t="s">
        <v>139</v>
      </c>
      <c r="AA801" s="103" t="s">
        <v>47</v>
      </c>
      <c r="AB801" s="103" t="s">
        <v>140</v>
      </c>
      <c r="AC801" s="104" t="s">
        <v>141</v>
      </c>
    </row>
    <row r="802" spans="1:29" ht="25.5" customHeight="1" x14ac:dyDescent="0.35">
      <c r="A802" s="188"/>
      <c r="B802" s="190"/>
      <c r="C802" s="99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0"/>
      <c r="E802" s="78" t="str">
        <f>IF(C802="","",IFERROR(VLOOKUP(C802,parametros!$A$11:$E$15,5,0),""))</f>
        <v/>
      </c>
      <c r="F802" s="79" t="str">
        <f t="shared" si="62"/>
        <v/>
      </c>
      <c r="G802" s="101"/>
      <c r="H802" s="91">
        <f t="shared" si="63"/>
        <v>0</v>
      </c>
      <c r="I802" s="91" t="str">
        <f t="shared" si="64"/>
        <v/>
      </c>
      <c r="J802" s="91" t="str">
        <f t="shared" si="65"/>
        <v/>
      </c>
      <c r="K802" s="92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2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58"/>
      <c r="U802" s="217" t="str">
        <f t="shared" si="66"/>
        <v/>
      </c>
      <c r="V802" s="215" t="s">
        <v>47</v>
      </c>
      <c r="W802" s="102" t="s">
        <v>136</v>
      </c>
      <c r="X802" s="102" t="s">
        <v>137</v>
      </c>
      <c r="Y802" s="103" t="s">
        <v>138</v>
      </c>
      <c r="Z802" s="103" t="s">
        <v>139</v>
      </c>
      <c r="AA802" s="103" t="s">
        <v>47</v>
      </c>
      <c r="AB802" s="103" t="s">
        <v>140</v>
      </c>
      <c r="AC802" s="104" t="s">
        <v>141</v>
      </c>
    </row>
    <row r="803" spans="1:29" ht="25.5" customHeight="1" x14ac:dyDescent="0.35">
      <c r="A803" s="188"/>
      <c r="B803" s="190"/>
      <c r="C803" s="99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0"/>
      <c r="E803" s="78" t="str">
        <f>IF(C803="","",IFERROR(VLOOKUP(C803,parametros!$A$11:$E$15,5,0),""))</f>
        <v/>
      </c>
      <c r="F803" s="79" t="str">
        <f t="shared" si="62"/>
        <v/>
      </c>
      <c r="G803" s="101"/>
      <c r="H803" s="91">
        <f t="shared" si="63"/>
        <v>0</v>
      </c>
      <c r="I803" s="91" t="str">
        <f t="shared" si="64"/>
        <v/>
      </c>
      <c r="J803" s="91" t="str">
        <f t="shared" si="65"/>
        <v/>
      </c>
      <c r="K803" s="92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2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58"/>
      <c r="U803" s="217" t="str">
        <f t="shared" si="66"/>
        <v/>
      </c>
      <c r="V803" s="215" t="s">
        <v>47</v>
      </c>
      <c r="W803" s="102" t="s">
        <v>136</v>
      </c>
      <c r="X803" s="102" t="s">
        <v>137</v>
      </c>
      <c r="Y803" s="103" t="s">
        <v>138</v>
      </c>
      <c r="Z803" s="103" t="s">
        <v>139</v>
      </c>
      <c r="AA803" s="103" t="s">
        <v>47</v>
      </c>
      <c r="AB803" s="103" t="s">
        <v>140</v>
      </c>
      <c r="AC803" s="104" t="s">
        <v>141</v>
      </c>
    </row>
    <row r="804" spans="1:29" ht="25.5" customHeight="1" x14ac:dyDescent="0.35">
      <c r="A804" s="188"/>
      <c r="B804" s="190"/>
      <c r="C804" s="99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0"/>
      <c r="E804" s="78" t="str">
        <f>IF(C804="","",IFERROR(VLOOKUP(C804,parametros!$A$11:$E$15,5,0),""))</f>
        <v/>
      </c>
      <c r="F804" s="79" t="str">
        <f t="shared" si="62"/>
        <v/>
      </c>
      <c r="G804" s="101"/>
      <c r="H804" s="91">
        <f t="shared" si="63"/>
        <v>0</v>
      </c>
      <c r="I804" s="91" t="str">
        <f t="shared" si="64"/>
        <v/>
      </c>
      <c r="J804" s="91" t="str">
        <f t="shared" si="65"/>
        <v/>
      </c>
      <c r="K804" s="92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2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58"/>
      <c r="U804" s="217" t="str">
        <f t="shared" si="66"/>
        <v/>
      </c>
      <c r="V804" s="215" t="s">
        <v>47</v>
      </c>
      <c r="W804" s="102" t="s">
        <v>136</v>
      </c>
      <c r="X804" s="102" t="s">
        <v>137</v>
      </c>
      <c r="Y804" s="103" t="s">
        <v>138</v>
      </c>
      <c r="Z804" s="103" t="s">
        <v>139</v>
      </c>
      <c r="AA804" s="103" t="s">
        <v>47</v>
      </c>
      <c r="AB804" s="103" t="s">
        <v>140</v>
      </c>
      <c r="AC804" s="104" t="s">
        <v>141</v>
      </c>
    </row>
    <row r="805" spans="1:29" ht="25.5" customHeight="1" x14ac:dyDescent="0.35">
      <c r="A805" s="188"/>
      <c r="B805" s="190"/>
      <c r="C805" s="99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0"/>
      <c r="E805" s="78" t="str">
        <f>IF(C805="","",IFERROR(VLOOKUP(C805,parametros!$A$11:$E$15,5,0),""))</f>
        <v/>
      </c>
      <c r="F805" s="79" t="str">
        <f t="shared" si="62"/>
        <v/>
      </c>
      <c r="G805" s="101"/>
      <c r="H805" s="91">
        <f t="shared" si="63"/>
        <v>0</v>
      </c>
      <c r="I805" s="91" t="str">
        <f t="shared" si="64"/>
        <v/>
      </c>
      <c r="J805" s="91" t="str">
        <f t="shared" si="65"/>
        <v/>
      </c>
      <c r="K805" s="92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2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58"/>
      <c r="U805" s="217" t="str">
        <f t="shared" si="66"/>
        <v/>
      </c>
      <c r="V805" s="215" t="s">
        <v>47</v>
      </c>
      <c r="W805" s="102" t="s">
        <v>136</v>
      </c>
      <c r="X805" s="102" t="s">
        <v>137</v>
      </c>
      <c r="Y805" s="103" t="s">
        <v>138</v>
      </c>
      <c r="Z805" s="103" t="s">
        <v>139</v>
      </c>
      <c r="AA805" s="103" t="s">
        <v>47</v>
      </c>
      <c r="AB805" s="103" t="s">
        <v>140</v>
      </c>
      <c r="AC805" s="104" t="s">
        <v>141</v>
      </c>
    </row>
    <row r="806" spans="1:29" ht="25.5" customHeight="1" x14ac:dyDescent="0.35">
      <c r="A806" s="188"/>
      <c r="B806" s="190"/>
      <c r="C806" s="99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0"/>
      <c r="E806" s="78" t="str">
        <f>IF(C806="","",IFERROR(VLOOKUP(C806,parametros!$A$11:$E$15,5,0),""))</f>
        <v/>
      </c>
      <c r="F806" s="79" t="str">
        <f t="shared" si="62"/>
        <v/>
      </c>
      <c r="G806" s="101"/>
      <c r="H806" s="91">
        <f t="shared" si="63"/>
        <v>0</v>
      </c>
      <c r="I806" s="91" t="str">
        <f t="shared" si="64"/>
        <v/>
      </c>
      <c r="J806" s="91" t="str">
        <f t="shared" si="65"/>
        <v/>
      </c>
      <c r="K806" s="92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2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58"/>
      <c r="U806" s="217" t="str">
        <f t="shared" si="66"/>
        <v/>
      </c>
      <c r="V806" s="215" t="s">
        <v>47</v>
      </c>
      <c r="W806" s="102" t="s">
        <v>136</v>
      </c>
      <c r="X806" s="102" t="s">
        <v>137</v>
      </c>
      <c r="Y806" s="103" t="s">
        <v>138</v>
      </c>
      <c r="Z806" s="103" t="s">
        <v>139</v>
      </c>
      <c r="AA806" s="103" t="s">
        <v>47</v>
      </c>
      <c r="AB806" s="103" t="s">
        <v>140</v>
      </c>
      <c r="AC806" s="104" t="s">
        <v>141</v>
      </c>
    </row>
    <row r="807" spans="1:29" ht="25.5" customHeight="1" x14ac:dyDescent="0.35">
      <c r="A807" s="188"/>
      <c r="B807" s="190"/>
      <c r="C807" s="99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0"/>
      <c r="E807" s="78" t="str">
        <f>IF(C807="","",IFERROR(VLOOKUP(C807,parametros!$A$11:$E$15,5,0),""))</f>
        <v/>
      </c>
      <c r="F807" s="79" t="str">
        <f t="shared" si="62"/>
        <v/>
      </c>
      <c r="G807" s="101"/>
      <c r="H807" s="91">
        <f t="shared" si="63"/>
        <v>0</v>
      </c>
      <c r="I807" s="91" t="str">
        <f t="shared" si="64"/>
        <v/>
      </c>
      <c r="J807" s="91" t="str">
        <f t="shared" si="65"/>
        <v/>
      </c>
      <c r="K807" s="92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2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58"/>
      <c r="U807" s="217" t="str">
        <f t="shared" si="66"/>
        <v/>
      </c>
      <c r="V807" s="215" t="s">
        <v>47</v>
      </c>
      <c r="W807" s="102" t="s">
        <v>136</v>
      </c>
      <c r="X807" s="102" t="s">
        <v>137</v>
      </c>
      <c r="Y807" s="103" t="s">
        <v>138</v>
      </c>
      <c r="Z807" s="103" t="s">
        <v>139</v>
      </c>
      <c r="AA807" s="103" t="s">
        <v>47</v>
      </c>
      <c r="AB807" s="103" t="s">
        <v>140</v>
      </c>
      <c r="AC807" s="104" t="s">
        <v>141</v>
      </c>
    </row>
    <row r="808" spans="1:29" ht="25.5" customHeight="1" x14ac:dyDescent="0.35">
      <c r="A808" s="188"/>
      <c r="B808" s="190"/>
      <c r="C808" s="99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0"/>
      <c r="E808" s="78" t="str">
        <f>IF(C808="","",IFERROR(VLOOKUP(C808,parametros!$A$11:$E$15,5,0),""))</f>
        <v/>
      </c>
      <c r="F808" s="79" t="str">
        <f t="shared" si="62"/>
        <v/>
      </c>
      <c r="G808" s="101"/>
      <c r="H808" s="91">
        <f t="shared" si="63"/>
        <v>0</v>
      </c>
      <c r="I808" s="91" t="str">
        <f t="shared" si="64"/>
        <v/>
      </c>
      <c r="J808" s="91" t="str">
        <f t="shared" si="65"/>
        <v/>
      </c>
      <c r="K808" s="92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2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58"/>
      <c r="U808" s="217" t="str">
        <f t="shared" si="66"/>
        <v/>
      </c>
      <c r="V808" s="215" t="s">
        <v>47</v>
      </c>
      <c r="W808" s="102" t="s">
        <v>136</v>
      </c>
      <c r="X808" s="102" t="s">
        <v>137</v>
      </c>
      <c r="Y808" s="103" t="s">
        <v>138</v>
      </c>
      <c r="Z808" s="103" t="s">
        <v>139</v>
      </c>
      <c r="AA808" s="103" t="s">
        <v>47</v>
      </c>
      <c r="AB808" s="103" t="s">
        <v>140</v>
      </c>
      <c r="AC808" s="104" t="s">
        <v>141</v>
      </c>
    </row>
    <row r="809" spans="1:29" ht="25.5" customHeight="1" x14ac:dyDescent="0.35">
      <c r="A809" s="188"/>
      <c r="B809" s="190"/>
      <c r="C809" s="99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0"/>
      <c r="E809" s="78" t="str">
        <f>IF(C809="","",IFERROR(VLOOKUP(C809,parametros!$A$11:$E$15,5,0),""))</f>
        <v/>
      </c>
      <c r="F809" s="79" t="str">
        <f t="shared" si="62"/>
        <v/>
      </c>
      <c r="G809" s="101"/>
      <c r="H809" s="91">
        <f t="shared" si="63"/>
        <v>0</v>
      </c>
      <c r="I809" s="91" t="str">
        <f t="shared" si="64"/>
        <v/>
      </c>
      <c r="J809" s="91" t="str">
        <f t="shared" si="65"/>
        <v/>
      </c>
      <c r="K809" s="92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2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58"/>
      <c r="U809" s="217" t="str">
        <f t="shared" si="66"/>
        <v/>
      </c>
      <c r="V809" s="215" t="s">
        <v>47</v>
      </c>
      <c r="W809" s="102" t="s">
        <v>136</v>
      </c>
      <c r="X809" s="102" t="s">
        <v>137</v>
      </c>
      <c r="Y809" s="103" t="s">
        <v>138</v>
      </c>
      <c r="Z809" s="103" t="s">
        <v>139</v>
      </c>
      <c r="AA809" s="103" t="s">
        <v>47</v>
      </c>
      <c r="AB809" s="103" t="s">
        <v>140</v>
      </c>
      <c r="AC809" s="104" t="s">
        <v>141</v>
      </c>
    </row>
    <row r="810" spans="1:29" ht="25.5" customHeight="1" x14ac:dyDescent="0.35">
      <c r="A810" s="188"/>
      <c r="B810" s="190"/>
      <c r="C810" s="99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0"/>
      <c r="E810" s="78" t="str">
        <f>IF(C810="","",IFERROR(VLOOKUP(C810,parametros!$A$11:$E$15,5,0),""))</f>
        <v/>
      </c>
      <c r="F810" s="79" t="str">
        <f t="shared" si="62"/>
        <v/>
      </c>
      <c r="G810" s="101"/>
      <c r="H810" s="91">
        <f t="shared" si="63"/>
        <v>0</v>
      </c>
      <c r="I810" s="91" t="str">
        <f t="shared" si="64"/>
        <v/>
      </c>
      <c r="J810" s="91" t="str">
        <f t="shared" si="65"/>
        <v/>
      </c>
      <c r="K810" s="92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2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58"/>
      <c r="U810" s="217" t="str">
        <f t="shared" si="66"/>
        <v/>
      </c>
      <c r="V810" s="215" t="s">
        <v>47</v>
      </c>
      <c r="W810" s="102" t="s">
        <v>136</v>
      </c>
      <c r="X810" s="102" t="s">
        <v>137</v>
      </c>
      <c r="Y810" s="103" t="s">
        <v>138</v>
      </c>
      <c r="Z810" s="103" t="s">
        <v>139</v>
      </c>
      <c r="AA810" s="103" t="s">
        <v>47</v>
      </c>
      <c r="AB810" s="103" t="s">
        <v>140</v>
      </c>
      <c r="AC810" s="104" t="s">
        <v>141</v>
      </c>
    </row>
    <row r="811" spans="1:29" ht="25.5" customHeight="1" x14ac:dyDescent="0.35">
      <c r="A811" s="188"/>
      <c r="B811" s="190"/>
      <c r="C811" s="99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0"/>
      <c r="E811" s="78" t="str">
        <f>IF(C811="","",IFERROR(VLOOKUP(C811,parametros!$A$11:$E$15,5,0),""))</f>
        <v/>
      </c>
      <c r="F811" s="79" t="str">
        <f t="shared" si="62"/>
        <v/>
      </c>
      <c r="G811" s="101"/>
      <c r="H811" s="91">
        <f t="shared" si="63"/>
        <v>0</v>
      </c>
      <c r="I811" s="91" t="str">
        <f t="shared" si="64"/>
        <v/>
      </c>
      <c r="J811" s="91" t="str">
        <f t="shared" si="65"/>
        <v/>
      </c>
      <c r="K811" s="92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2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58"/>
      <c r="U811" s="217" t="str">
        <f t="shared" si="66"/>
        <v/>
      </c>
      <c r="V811" s="215" t="s">
        <v>47</v>
      </c>
      <c r="W811" s="102" t="s">
        <v>136</v>
      </c>
      <c r="X811" s="102" t="s">
        <v>137</v>
      </c>
      <c r="Y811" s="103" t="s">
        <v>138</v>
      </c>
      <c r="Z811" s="103" t="s">
        <v>139</v>
      </c>
      <c r="AA811" s="103" t="s">
        <v>47</v>
      </c>
      <c r="AB811" s="103" t="s">
        <v>140</v>
      </c>
      <c r="AC811" s="104" t="s">
        <v>141</v>
      </c>
    </row>
    <row r="812" spans="1:29" ht="25.5" customHeight="1" x14ac:dyDescent="0.35">
      <c r="A812" s="188"/>
      <c r="B812" s="190"/>
      <c r="C812" s="99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0"/>
      <c r="E812" s="78" t="str">
        <f>IF(C812="","",IFERROR(VLOOKUP(C812,parametros!$A$11:$E$15,5,0),""))</f>
        <v/>
      </c>
      <c r="F812" s="79" t="str">
        <f t="shared" si="62"/>
        <v/>
      </c>
      <c r="G812" s="101"/>
      <c r="H812" s="91">
        <f t="shared" si="63"/>
        <v>0</v>
      </c>
      <c r="I812" s="91" t="str">
        <f t="shared" si="64"/>
        <v/>
      </c>
      <c r="J812" s="91" t="str">
        <f t="shared" si="65"/>
        <v/>
      </c>
      <c r="K812" s="92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2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58"/>
      <c r="U812" s="217" t="str">
        <f t="shared" si="66"/>
        <v/>
      </c>
      <c r="V812" s="215" t="s">
        <v>47</v>
      </c>
      <c r="W812" s="102" t="s">
        <v>136</v>
      </c>
      <c r="X812" s="102" t="s">
        <v>137</v>
      </c>
      <c r="Y812" s="103" t="s">
        <v>138</v>
      </c>
      <c r="Z812" s="103" t="s">
        <v>139</v>
      </c>
      <c r="AA812" s="103" t="s">
        <v>47</v>
      </c>
      <c r="AB812" s="103" t="s">
        <v>140</v>
      </c>
      <c r="AC812" s="104" t="s">
        <v>141</v>
      </c>
    </row>
    <row r="813" spans="1:29" ht="25.5" customHeight="1" x14ac:dyDescent="0.35">
      <c r="A813" s="188"/>
      <c r="B813" s="190"/>
      <c r="C813" s="99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0"/>
      <c r="E813" s="78" t="str">
        <f>IF(C813="","",IFERROR(VLOOKUP(C813,parametros!$A$11:$E$15,5,0),""))</f>
        <v/>
      </c>
      <c r="F813" s="79" t="str">
        <f t="shared" si="62"/>
        <v/>
      </c>
      <c r="G813" s="101"/>
      <c r="H813" s="91">
        <f t="shared" si="63"/>
        <v>0</v>
      </c>
      <c r="I813" s="91" t="str">
        <f t="shared" si="64"/>
        <v/>
      </c>
      <c r="J813" s="91" t="str">
        <f t="shared" si="65"/>
        <v/>
      </c>
      <c r="K813" s="92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2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58"/>
      <c r="U813" s="217" t="str">
        <f t="shared" si="66"/>
        <v/>
      </c>
      <c r="V813" s="215" t="s">
        <v>47</v>
      </c>
      <c r="W813" s="102" t="s">
        <v>136</v>
      </c>
      <c r="X813" s="102" t="s">
        <v>137</v>
      </c>
      <c r="Y813" s="103" t="s">
        <v>138</v>
      </c>
      <c r="Z813" s="103" t="s">
        <v>139</v>
      </c>
      <c r="AA813" s="103" t="s">
        <v>47</v>
      </c>
      <c r="AB813" s="103" t="s">
        <v>140</v>
      </c>
      <c r="AC813" s="104" t="s">
        <v>141</v>
      </c>
    </row>
    <row r="814" spans="1:29" ht="25.5" customHeight="1" x14ac:dyDescent="0.35">
      <c r="A814" s="188"/>
      <c r="B814" s="190"/>
      <c r="C814" s="99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0"/>
      <c r="E814" s="78" t="str">
        <f>IF(C814="","",IFERROR(VLOOKUP(C814,parametros!$A$11:$E$15,5,0),""))</f>
        <v/>
      </c>
      <c r="F814" s="79" t="str">
        <f t="shared" si="62"/>
        <v/>
      </c>
      <c r="G814" s="101"/>
      <c r="H814" s="91">
        <f t="shared" si="63"/>
        <v>0</v>
      </c>
      <c r="I814" s="91" t="str">
        <f t="shared" si="64"/>
        <v/>
      </c>
      <c r="J814" s="91" t="str">
        <f t="shared" si="65"/>
        <v/>
      </c>
      <c r="K814" s="92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2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58"/>
      <c r="U814" s="217" t="str">
        <f t="shared" si="66"/>
        <v/>
      </c>
      <c r="V814" s="215" t="s">
        <v>47</v>
      </c>
      <c r="W814" s="102" t="s">
        <v>136</v>
      </c>
      <c r="X814" s="102" t="s">
        <v>137</v>
      </c>
      <c r="Y814" s="103" t="s">
        <v>138</v>
      </c>
      <c r="Z814" s="103" t="s">
        <v>139</v>
      </c>
      <c r="AA814" s="103" t="s">
        <v>47</v>
      </c>
      <c r="AB814" s="103" t="s">
        <v>140</v>
      </c>
      <c r="AC814" s="104" t="s">
        <v>141</v>
      </c>
    </row>
    <row r="815" spans="1:29" ht="25.5" customHeight="1" x14ac:dyDescent="0.35">
      <c r="A815" s="188"/>
      <c r="B815" s="190"/>
      <c r="C815" s="99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0"/>
      <c r="E815" s="78" t="str">
        <f>IF(C815="","",IFERROR(VLOOKUP(C815,parametros!$A$11:$E$15,5,0),""))</f>
        <v/>
      </c>
      <c r="F815" s="79" t="str">
        <f t="shared" si="62"/>
        <v/>
      </c>
      <c r="G815" s="101"/>
      <c r="H815" s="91">
        <f t="shared" si="63"/>
        <v>0</v>
      </c>
      <c r="I815" s="91" t="str">
        <f t="shared" si="64"/>
        <v/>
      </c>
      <c r="J815" s="91" t="str">
        <f t="shared" si="65"/>
        <v/>
      </c>
      <c r="K815" s="92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2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58"/>
      <c r="U815" s="217" t="str">
        <f t="shared" si="66"/>
        <v/>
      </c>
      <c r="V815" s="215" t="s">
        <v>47</v>
      </c>
      <c r="W815" s="102" t="s">
        <v>136</v>
      </c>
      <c r="X815" s="102" t="s">
        <v>137</v>
      </c>
      <c r="Y815" s="103" t="s">
        <v>138</v>
      </c>
      <c r="Z815" s="103" t="s">
        <v>139</v>
      </c>
      <c r="AA815" s="103" t="s">
        <v>47</v>
      </c>
      <c r="AB815" s="103" t="s">
        <v>140</v>
      </c>
      <c r="AC815" s="104" t="s">
        <v>141</v>
      </c>
    </row>
    <row r="816" spans="1:29" ht="25.5" customHeight="1" x14ac:dyDescent="0.35">
      <c r="A816" s="188"/>
      <c r="B816" s="190"/>
      <c r="C816" s="99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0"/>
      <c r="E816" s="78" t="str">
        <f>IF(C816="","",IFERROR(VLOOKUP(C816,parametros!$A$11:$E$15,5,0),""))</f>
        <v/>
      </c>
      <c r="F816" s="79" t="str">
        <f t="shared" si="62"/>
        <v/>
      </c>
      <c r="G816" s="101"/>
      <c r="H816" s="91">
        <f t="shared" si="63"/>
        <v>0</v>
      </c>
      <c r="I816" s="91" t="str">
        <f t="shared" si="64"/>
        <v/>
      </c>
      <c r="J816" s="91" t="str">
        <f t="shared" si="65"/>
        <v/>
      </c>
      <c r="K816" s="92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2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58"/>
      <c r="U816" s="217" t="str">
        <f t="shared" si="66"/>
        <v/>
      </c>
      <c r="V816" s="215" t="s">
        <v>47</v>
      </c>
      <c r="W816" s="102" t="s">
        <v>136</v>
      </c>
      <c r="X816" s="102" t="s">
        <v>137</v>
      </c>
      <c r="Y816" s="103" t="s">
        <v>138</v>
      </c>
      <c r="Z816" s="103" t="s">
        <v>139</v>
      </c>
      <c r="AA816" s="103" t="s">
        <v>47</v>
      </c>
      <c r="AB816" s="103" t="s">
        <v>140</v>
      </c>
      <c r="AC816" s="104" t="s">
        <v>141</v>
      </c>
    </row>
    <row r="817" spans="1:29" ht="25.5" customHeight="1" x14ac:dyDescent="0.35">
      <c r="A817" s="188"/>
      <c r="B817" s="190"/>
      <c r="C817" s="99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0"/>
      <c r="E817" s="78" t="str">
        <f>IF(C817="","",IFERROR(VLOOKUP(C817,parametros!$A$11:$E$15,5,0),""))</f>
        <v/>
      </c>
      <c r="F817" s="79" t="str">
        <f t="shared" si="62"/>
        <v/>
      </c>
      <c r="G817" s="101"/>
      <c r="H817" s="91">
        <f t="shared" si="63"/>
        <v>0</v>
      </c>
      <c r="I817" s="91" t="str">
        <f t="shared" si="64"/>
        <v/>
      </c>
      <c r="J817" s="91" t="str">
        <f t="shared" si="65"/>
        <v/>
      </c>
      <c r="K817" s="92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2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58"/>
      <c r="U817" s="217" t="str">
        <f t="shared" si="66"/>
        <v/>
      </c>
      <c r="V817" s="215" t="s">
        <v>47</v>
      </c>
      <c r="W817" s="102" t="s">
        <v>136</v>
      </c>
      <c r="X817" s="102" t="s">
        <v>137</v>
      </c>
      <c r="Y817" s="103" t="s">
        <v>138</v>
      </c>
      <c r="Z817" s="103" t="s">
        <v>139</v>
      </c>
      <c r="AA817" s="103" t="s">
        <v>47</v>
      </c>
      <c r="AB817" s="103" t="s">
        <v>140</v>
      </c>
      <c r="AC817" s="104" t="s">
        <v>141</v>
      </c>
    </row>
    <row r="818" spans="1:29" ht="25.5" customHeight="1" x14ac:dyDescent="0.35">
      <c r="A818" s="188"/>
      <c r="B818" s="190"/>
      <c r="C818" s="99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0"/>
      <c r="E818" s="78" t="str">
        <f>IF(C818="","",IFERROR(VLOOKUP(C818,parametros!$A$11:$E$15,5,0),""))</f>
        <v/>
      </c>
      <c r="F818" s="79" t="str">
        <f t="shared" si="62"/>
        <v/>
      </c>
      <c r="G818" s="101"/>
      <c r="H818" s="91">
        <f t="shared" si="63"/>
        <v>0</v>
      </c>
      <c r="I818" s="91" t="str">
        <f t="shared" si="64"/>
        <v/>
      </c>
      <c r="J818" s="91" t="str">
        <f t="shared" si="65"/>
        <v/>
      </c>
      <c r="K818" s="92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2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58"/>
      <c r="U818" s="217" t="str">
        <f t="shared" si="66"/>
        <v/>
      </c>
      <c r="V818" s="215" t="s">
        <v>47</v>
      </c>
      <c r="W818" s="102" t="s">
        <v>136</v>
      </c>
      <c r="X818" s="102" t="s">
        <v>137</v>
      </c>
      <c r="Y818" s="103" t="s">
        <v>138</v>
      </c>
      <c r="Z818" s="103" t="s">
        <v>139</v>
      </c>
      <c r="AA818" s="103" t="s">
        <v>47</v>
      </c>
      <c r="AB818" s="103" t="s">
        <v>140</v>
      </c>
      <c r="AC818" s="104" t="s">
        <v>141</v>
      </c>
    </row>
    <row r="819" spans="1:29" ht="25.5" customHeight="1" x14ac:dyDescent="0.35">
      <c r="A819" s="188"/>
      <c r="B819" s="190"/>
      <c r="C819" s="99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0"/>
      <c r="E819" s="78" t="str">
        <f>IF(C819="","",IFERROR(VLOOKUP(C819,parametros!$A$11:$E$15,5,0),""))</f>
        <v/>
      </c>
      <c r="F819" s="79" t="str">
        <f t="shared" si="62"/>
        <v/>
      </c>
      <c r="G819" s="101"/>
      <c r="H819" s="91">
        <f t="shared" si="63"/>
        <v>0</v>
      </c>
      <c r="I819" s="91" t="str">
        <f t="shared" si="64"/>
        <v/>
      </c>
      <c r="J819" s="91" t="str">
        <f t="shared" si="65"/>
        <v/>
      </c>
      <c r="K819" s="92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2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58"/>
      <c r="U819" s="217" t="str">
        <f t="shared" si="66"/>
        <v/>
      </c>
      <c r="V819" s="215" t="s">
        <v>47</v>
      </c>
      <c r="W819" s="102" t="s">
        <v>136</v>
      </c>
      <c r="X819" s="102" t="s">
        <v>137</v>
      </c>
      <c r="Y819" s="103" t="s">
        <v>138</v>
      </c>
      <c r="Z819" s="103" t="s">
        <v>139</v>
      </c>
      <c r="AA819" s="103" t="s">
        <v>47</v>
      </c>
      <c r="AB819" s="103" t="s">
        <v>140</v>
      </c>
      <c r="AC819" s="104" t="s">
        <v>141</v>
      </c>
    </row>
    <row r="820" spans="1:29" ht="25.5" customHeight="1" x14ac:dyDescent="0.35">
      <c r="A820" s="188"/>
      <c r="B820" s="190"/>
      <c r="C820" s="99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0"/>
      <c r="E820" s="78" t="str">
        <f>IF(C820="","",IFERROR(VLOOKUP(C820,parametros!$A$11:$E$15,5,0),""))</f>
        <v/>
      </c>
      <c r="F820" s="79" t="str">
        <f t="shared" si="62"/>
        <v/>
      </c>
      <c r="G820" s="101"/>
      <c r="H820" s="91">
        <f t="shared" si="63"/>
        <v>0</v>
      </c>
      <c r="I820" s="91" t="str">
        <f t="shared" si="64"/>
        <v/>
      </c>
      <c r="J820" s="91" t="str">
        <f t="shared" si="65"/>
        <v/>
      </c>
      <c r="K820" s="92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2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58"/>
      <c r="U820" s="217" t="str">
        <f t="shared" si="66"/>
        <v/>
      </c>
      <c r="V820" s="215" t="s">
        <v>47</v>
      </c>
      <c r="W820" s="102" t="s">
        <v>136</v>
      </c>
      <c r="X820" s="102" t="s">
        <v>137</v>
      </c>
      <c r="Y820" s="103" t="s">
        <v>138</v>
      </c>
      <c r="Z820" s="103" t="s">
        <v>139</v>
      </c>
      <c r="AA820" s="103" t="s">
        <v>47</v>
      </c>
      <c r="AB820" s="103" t="s">
        <v>140</v>
      </c>
      <c r="AC820" s="104" t="s">
        <v>141</v>
      </c>
    </row>
    <row r="821" spans="1:29" ht="25.5" customHeight="1" x14ac:dyDescent="0.35">
      <c r="A821" s="188"/>
      <c r="B821" s="190"/>
      <c r="C821" s="99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0"/>
      <c r="E821" s="78" t="str">
        <f>IF(C821="","",IFERROR(VLOOKUP(C821,parametros!$A$11:$E$15,5,0),""))</f>
        <v/>
      </c>
      <c r="F821" s="79" t="str">
        <f t="shared" si="62"/>
        <v/>
      </c>
      <c r="G821" s="101"/>
      <c r="H821" s="91">
        <f t="shared" si="63"/>
        <v>0</v>
      </c>
      <c r="I821" s="91" t="str">
        <f t="shared" si="64"/>
        <v/>
      </c>
      <c r="J821" s="91" t="str">
        <f t="shared" si="65"/>
        <v/>
      </c>
      <c r="K821" s="92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2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58"/>
      <c r="U821" s="217" t="str">
        <f t="shared" si="66"/>
        <v/>
      </c>
      <c r="V821" s="215" t="s">
        <v>47</v>
      </c>
      <c r="W821" s="102" t="s">
        <v>136</v>
      </c>
      <c r="X821" s="102" t="s">
        <v>137</v>
      </c>
      <c r="Y821" s="103" t="s">
        <v>138</v>
      </c>
      <c r="Z821" s="103" t="s">
        <v>139</v>
      </c>
      <c r="AA821" s="103" t="s">
        <v>47</v>
      </c>
      <c r="AB821" s="103" t="s">
        <v>140</v>
      </c>
      <c r="AC821" s="104" t="s">
        <v>141</v>
      </c>
    </row>
    <row r="822" spans="1:29" ht="25.5" customHeight="1" x14ac:dyDescent="0.35">
      <c r="A822" s="188"/>
      <c r="B822" s="190"/>
      <c r="C822" s="99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0"/>
      <c r="E822" s="78" t="str">
        <f>IF(C822="","",IFERROR(VLOOKUP(C822,parametros!$A$11:$E$15,5,0),""))</f>
        <v/>
      </c>
      <c r="F822" s="79" t="str">
        <f t="shared" si="62"/>
        <v/>
      </c>
      <c r="G822" s="101"/>
      <c r="H822" s="91">
        <f t="shared" si="63"/>
        <v>0</v>
      </c>
      <c r="I822" s="91" t="str">
        <f t="shared" si="64"/>
        <v/>
      </c>
      <c r="J822" s="91" t="str">
        <f t="shared" si="65"/>
        <v/>
      </c>
      <c r="K822" s="92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2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58"/>
      <c r="U822" s="217" t="str">
        <f t="shared" si="66"/>
        <v/>
      </c>
      <c r="V822" s="215" t="s">
        <v>47</v>
      </c>
      <c r="W822" s="102" t="s">
        <v>136</v>
      </c>
      <c r="X822" s="102" t="s">
        <v>137</v>
      </c>
      <c r="Y822" s="103" t="s">
        <v>138</v>
      </c>
      <c r="Z822" s="103" t="s">
        <v>139</v>
      </c>
      <c r="AA822" s="103" t="s">
        <v>47</v>
      </c>
      <c r="AB822" s="103" t="s">
        <v>140</v>
      </c>
      <c r="AC822" s="104" t="s">
        <v>141</v>
      </c>
    </row>
    <row r="823" spans="1:29" ht="25.5" customHeight="1" x14ac:dyDescent="0.35">
      <c r="A823" s="188"/>
      <c r="B823" s="190"/>
      <c r="C823" s="99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0"/>
      <c r="E823" s="78" t="str">
        <f>IF(C823="","",IFERROR(VLOOKUP(C823,parametros!$A$11:$E$15,5,0),""))</f>
        <v/>
      </c>
      <c r="F823" s="79" t="str">
        <f t="shared" si="62"/>
        <v/>
      </c>
      <c r="G823" s="101"/>
      <c r="H823" s="91">
        <f t="shared" si="63"/>
        <v>0</v>
      </c>
      <c r="I823" s="91" t="str">
        <f t="shared" si="64"/>
        <v/>
      </c>
      <c r="J823" s="91" t="str">
        <f t="shared" si="65"/>
        <v/>
      </c>
      <c r="K823" s="92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2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58"/>
      <c r="U823" s="217" t="str">
        <f t="shared" si="66"/>
        <v/>
      </c>
      <c r="V823" s="215" t="s">
        <v>47</v>
      </c>
      <c r="W823" s="102" t="s">
        <v>136</v>
      </c>
      <c r="X823" s="102" t="s">
        <v>137</v>
      </c>
      <c r="Y823" s="103" t="s">
        <v>138</v>
      </c>
      <c r="Z823" s="103" t="s">
        <v>139</v>
      </c>
      <c r="AA823" s="103" t="s">
        <v>47</v>
      </c>
      <c r="AB823" s="103" t="s">
        <v>140</v>
      </c>
      <c r="AC823" s="104" t="s">
        <v>141</v>
      </c>
    </row>
    <row r="824" spans="1:29" ht="25.5" customHeight="1" x14ac:dyDescent="0.35">
      <c r="A824" s="188"/>
      <c r="B824" s="190"/>
      <c r="C824" s="99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0"/>
      <c r="E824" s="78" t="str">
        <f>IF(C824="","",IFERROR(VLOOKUP(C824,parametros!$A$11:$E$15,5,0),""))</f>
        <v/>
      </c>
      <c r="F824" s="79" t="str">
        <f t="shared" si="62"/>
        <v/>
      </c>
      <c r="G824" s="101"/>
      <c r="H824" s="91">
        <f t="shared" si="63"/>
        <v>0</v>
      </c>
      <c r="I824" s="91" t="str">
        <f t="shared" si="64"/>
        <v/>
      </c>
      <c r="J824" s="91" t="str">
        <f t="shared" si="65"/>
        <v/>
      </c>
      <c r="K824" s="92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2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58"/>
      <c r="U824" s="217" t="str">
        <f t="shared" si="66"/>
        <v/>
      </c>
      <c r="V824" s="215" t="s">
        <v>47</v>
      </c>
      <c r="W824" s="102" t="s">
        <v>136</v>
      </c>
      <c r="X824" s="102" t="s">
        <v>137</v>
      </c>
      <c r="Y824" s="103" t="s">
        <v>138</v>
      </c>
      <c r="Z824" s="103" t="s">
        <v>139</v>
      </c>
      <c r="AA824" s="103" t="s">
        <v>47</v>
      </c>
      <c r="AB824" s="103" t="s">
        <v>140</v>
      </c>
      <c r="AC824" s="104" t="s">
        <v>141</v>
      </c>
    </row>
    <row r="825" spans="1:29" ht="25.5" customHeight="1" x14ac:dyDescent="0.35">
      <c r="A825" s="188"/>
      <c r="B825" s="190"/>
      <c r="C825" s="99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0"/>
      <c r="E825" s="78" t="str">
        <f>IF(C825="","",IFERROR(VLOOKUP(C825,parametros!$A$11:$E$15,5,0),""))</f>
        <v/>
      </c>
      <c r="F825" s="79" t="str">
        <f t="shared" si="62"/>
        <v/>
      </c>
      <c r="G825" s="101"/>
      <c r="H825" s="91">
        <f t="shared" si="63"/>
        <v>0</v>
      </c>
      <c r="I825" s="91" t="str">
        <f t="shared" si="64"/>
        <v/>
      </c>
      <c r="J825" s="91" t="str">
        <f t="shared" si="65"/>
        <v/>
      </c>
      <c r="K825" s="92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2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58"/>
      <c r="U825" s="217" t="str">
        <f t="shared" si="66"/>
        <v/>
      </c>
      <c r="V825" s="215" t="s">
        <v>47</v>
      </c>
      <c r="W825" s="102" t="s">
        <v>136</v>
      </c>
      <c r="X825" s="102" t="s">
        <v>137</v>
      </c>
      <c r="Y825" s="103" t="s">
        <v>138</v>
      </c>
      <c r="Z825" s="103" t="s">
        <v>139</v>
      </c>
      <c r="AA825" s="103" t="s">
        <v>47</v>
      </c>
      <c r="AB825" s="103" t="s">
        <v>140</v>
      </c>
      <c r="AC825" s="104" t="s">
        <v>141</v>
      </c>
    </row>
    <row r="826" spans="1:29" ht="25.5" customHeight="1" x14ac:dyDescent="0.35">
      <c r="A826" s="188"/>
      <c r="B826" s="190"/>
      <c r="C826" s="99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0"/>
      <c r="E826" s="78" t="str">
        <f>IF(C826="","",IFERROR(VLOOKUP(C826,parametros!$A$11:$E$15,5,0),""))</f>
        <v/>
      </c>
      <c r="F826" s="79" t="str">
        <f t="shared" si="62"/>
        <v/>
      </c>
      <c r="G826" s="101"/>
      <c r="H826" s="91">
        <f t="shared" si="63"/>
        <v>0</v>
      </c>
      <c r="I826" s="91" t="str">
        <f t="shared" si="64"/>
        <v/>
      </c>
      <c r="J826" s="91" t="str">
        <f t="shared" si="65"/>
        <v/>
      </c>
      <c r="K826" s="92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2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58"/>
      <c r="U826" s="217" t="str">
        <f t="shared" si="66"/>
        <v/>
      </c>
      <c r="V826" s="215" t="s">
        <v>47</v>
      </c>
      <c r="W826" s="102" t="s">
        <v>136</v>
      </c>
      <c r="X826" s="102" t="s">
        <v>137</v>
      </c>
      <c r="Y826" s="103" t="s">
        <v>138</v>
      </c>
      <c r="Z826" s="103" t="s">
        <v>139</v>
      </c>
      <c r="AA826" s="103" t="s">
        <v>47</v>
      </c>
      <c r="AB826" s="103" t="s">
        <v>140</v>
      </c>
      <c r="AC826" s="104" t="s">
        <v>141</v>
      </c>
    </row>
    <row r="827" spans="1:29" ht="25.5" customHeight="1" x14ac:dyDescent="0.35">
      <c r="A827" s="188"/>
      <c r="B827" s="190"/>
      <c r="C827" s="99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0"/>
      <c r="E827" s="78" t="str">
        <f>IF(C827="","",IFERROR(VLOOKUP(C827,parametros!$A$11:$E$15,5,0),""))</f>
        <v/>
      </c>
      <c r="F827" s="79" t="str">
        <f t="shared" si="62"/>
        <v/>
      </c>
      <c r="G827" s="101"/>
      <c r="H827" s="91">
        <f t="shared" si="63"/>
        <v>0</v>
      </c>
      <c r="I827" s="91" t="str">
        <f t="shared" si="64"/>
        <v/>
      </c>
      <c r="J827" s="91" t="str">
        <f t="shared" si="65"/>
        <v/>
      </c>
      <c r="K827" s="92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2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58"/>
      <c r="U827" s="217" t="str">
        <f t="shared" si="66"/>
        <v/>
      </c>
      <c r="V827" s="215" t="s">
        <v>47</v>
      </c>
      <c r="W827" s="102" t="s">
        <v>136</v>
      </c>
      <c r="X827" s="102" t="s">
        <v>137</v>
      </c>
      <c r="Y827" s="103" t="s">
        <v>138</v>
      </c>
      <c r="Z827" s="103" t="s">
        <v>139</v>
      </c>
      <c r="AA827" s="103" t="s">
        <v>47</v>
      </c>
      <c r="AB827" s="103" t="s">
        <v>140</v>
      </c>
      <c r="AC827" s="104" t="s">
        <v>141</v>
      </c>
    </row>
    <row r="828" spans="1:29" ht="25.5" customHeight="1" x14ac:dyDescent="0.35">
      <c r="A828" s="188"/>
      <c r="B828" s="190"/>
      <c r="C828" s="99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0"/>
      <c r="E828" s="78" t="str">
        <f>IF(C828="","",IFERROR(VLOOKUP(C828,parametros!$A$11:$E$15,5,0),""))</f>
        <v/>
      </c>
      <c r="F828" s="79" t="str">
        <f t="shared" si="62"/>
        <v/>
      </c>
      <c r="G828" s="101"/>
      <c r="H828" s="91">
        <f t="shared" si="63"/>
        <v>0</v>
      </c>
      <c r="I828" s="91" t="str">
        <f t="shared" si="64"/>
        <v/>
      </c>
      <c r="J828" s="91" t="str">
        <f t="shared" si="65"/>
        <v/>
      </c>
      <c r="K828" s="92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2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58"/>
      <c r="U828" s="217" t="str">
        <f t="shared" si="66"/>
        <v/>
      </c>
      <c r="V828" s="215" t="s">
        <v>47</v>
      </c>
      <c r="W828" s="102" t="s">
        <v>136</v>
      </c>
      <c r="X828" s="102" t="s">
        <v>137</v>
      </c>
      <c r="Y828" s="103" t="s">
        <v>138</v>
      </c>
      <c r="Z828" s="103" t="s">
        <v>139</v>
      </c>
      <c r="AA828" s="103" t="s">
        <v>47</v>
      </c>
      <c r="AB828" s="103" t="s">
        <v>140</v>
      </c>
      <c r="AC828" s="104" t="s">
        <v>141</v>
      </c>
    </row>
    <row r="829" spans="1:29" ht="25.5" customHeight="1" x14ac:dyDescent="0.35">
      <c r="A829" s="188"/>
      <c r="B829" s="190"/>
      <c r="C829" s="99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0"/>
      <c r="E829" s="78" t="str">
        <f>IF(C829="","",IFERROR(VLOOKUP(C829,parametros!$A$11:$E$15,5,0),""))</f>
        <v/>
      </c>
      <c r="F829" s="79" t="str">
        <f t="shared" si="62"/>
        <v/>
      </c>
      <c r="G829" s="101"/>
      <c r="H829" s="91">
        <f t="shared" si="63"/>
        <v>0</v>
      </c>
      <c r="I829" s="91" t="str">
        <f t="shared" si="64"/>
        <v/>
      </c>
      <c r="J829" s="91" t="str">
        <f t="shared" si="65"/>
        <v/>
      </c>
      <c r="K829" s="92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2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58"/>
      <c r="U829" s="217" t="str">
        <f t="shared" si="66"/>
        <v/>
      </c>
      <c r="V829" s="215" t="s">
        <v>47</v>
      </c>
      <c r="W829" s="102" t="s">
        <v>136</v>
      </c>
      <c r="X829" s="102" t="s">
        <v>137</v>
      </c>
      <c r="Y829" s="103" t="s">
        <v>138</v>
      </c>
      <c r="Z829" s="103" t="s">
        <v>139</v>
      </c>
      <c r="AA829" s="103" t="s">
        <v>47</v>
      </c>
      <c r="AB829" s="103" t="s">
        <v>140</v>
      </c>
      <c r="AC829" s="104" t="s">
        <v>141</v>
      </c>
    </row>
    <row r="830" spans="1:29" ht="25.5" customHeight="1" x14ac:dyDescent="0.35">
      <c r="A830" s="188"/>
      <c r="B830" s="190"/>
      <c r="C830" s="99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0"/>
      <c r="E830" s="78" t="str">
        <f>IF(C830="","",IFERROR(VLOOKUP(C830,parametros!$A$11:$E$15,5,0),""))</f>
        <v/>
      </c>
      <c r="F830" s="79" t="str">
        <f t="shared" si="62"/>
        <v/>
      </c>
      <c r="G830" s="101"/>
      <c r="H830" s="91">
        <f t="shared" si="63"/>
        <v>0</v>
      </c>
      <c r="I830" s="91" t="str">
        <f t="shared" si="64"/>
        <v/>
      </c>
      <c r="J830" s="91" t="str">
        <f t="shared" si="65"/>
        <v/>
      </c>
      <c r="K830" s="92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2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58"/>
      <c r="U830" s="217" t="str">
        <f t="shared" si="66"/>
        <v/>
      </c>
      <c r="V830" s="215" t="s">
        <v>47</v>
      </c>
      <c r="W830" s="102" t="s">
        <v>136</v>
      </c>
      <c r="X830" s="102" t="s">
        <v>137</v>
      </c>
      <c r="Y830" s="103" t="s">
        <v>138</v>
      </c>
      <c r="Z830" s="103" t="s">
        <v>139</v>
      </c>
      <c r="AA830" s="103" t="s">
        <v>47</v>
      </c>
      <c r="AB830" s="103" t="s">
        <v>140</v>
      </c>
      <c r="AC830" s="104" t="s">
        <v>141</v>
      </c>
    </row>
    <row r="831" spans="1:29" ht="25.5" customHeight="1" x14ac:dyDescent="0.35">
      <c r="A831" s="188"/>
      <c r="B831" s="190"/>
      <c r="C831" s="99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0"/>
      <c r="E831" s="78" t="str">
        <f>IF(C831="","",IFERROR(VLOOKUP(C831,parametros!$A$11:$E$15,5,0),""))</f>
        <v/>
      </c>
      <c r="F831" s="79" t="str">
        <f t="shared" si="62"/>
        <v/>
      </c>
      <c r="G831" s="101"/>
      <c r="H831" s="91">
        <f t="shared" si="63"/>
        <v>0</v>
      </c>
      <c r="I831" s="91" t="str">
        <f t="shared" si="64"/>
        <v/>
      </c>
      <c r="J831" s="91" t="str">
        <f t="shared" si="65"/>
        <v/>
      </c>
      <c r="K831" s="92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2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58"/>
      <c r="U831" s="217" t="str">
        <f t="shared" si="66"/>
        <v/>
      </c>
      <c r="V831" s="215" t="s">
        <v>47</v>
      </c>
      <c r="W831" s="102" t="s">
        <v>136</v>
      </c>
      <c r="X831" s="102" t="s">
        <v>137</v>
      </c>
      <c r="Y831" s="103" t="s">
        <v>138</v>
      </c>
      <c r="Z831" s="103" t="s">
        <v>139</v>
      </c>
      <c r="AA831" s="103" t="s">
        <v>47</v>
      </c>
      <c r="AB831" s="103" t="s">
        <v>140</v>
      </c>
      <c r="AC831" s="104" t="s">
        <v>141</v>
      </c>
    </row>
    <row r="832" spans="1:29" ht="25.5" customHeight="1" x14ac:dyDescent="0.35">
      <c r="A832" s="188"/>
      <c r="B832" s="190"/>
      <c r="C832" s="99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0"/>
      <c r="E832" s="78" t="str">
        <f>IF(C832="","",IFERROR(VLOOKUP(C832,parametros!$A$11:$E$15,5,0),""))</f>
        <v/>
      </c>
      <c r="F832" s="79" t="str">
        <f t="shared" si="62"/>
        <v/>
      </c>
      <c r="G832" s="101"/>
      <c r="H832" s="91">
        <f t="shared" si="63"/>
        <v>0</v>
      </c>
      <c r="I832" s="91" t="str">
        <f t="shared" si="64"/>
        <v/>
      </c>
      <c r="J832" s="91" t="str">
        <f t="shared" si="65"/>
        <v/>
      </c>
      <c r="K832" s="92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2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58"/>
      <c r="U832" s="217" t="str">
        <f t="shared" si="66"/>
        <v/>
      </c>
      <c r="V832" s="215" t="s">
        <v>47</v>
      </c>
      <c r="W832" s="102" t="s">
        <v>136</v>
      </c>
      <c r="X832" s="102" t="s">
        <v>137</v>
      </c>
      <c r="Y832" s="103" t="s">
        <v>138</v>
      </c>
      <c r="Z832" s="103" t="s">
        <v>139</v>
      </c>
      <c r="AA832" s="103" t="s">
        <v>47</v>
      </c>
      <c r="AB832" s="103" t="s">
        <v>140</v>
      </c>
      <c r="AC832" s="104" t="s">
        <v>141</v>
      </c>
    </row>
    <row r="833" spans="1:29" ht="25.5" customHeight="1" x14ac:dyDescent="0.35">
      <c r="A833" s="188"/>
      <c r="B833" s="190"/>
      <c r="C833" s="99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0"/>
      <c r="E833" s="78" t="str">
        <f>IF(C833="","",IFERROR(VLOOKUP(C833,parametros!$A$11:$E$15,5,0),""))</f>
        <v/>
      </c>
      <c r="F833" s="79" t="str">
        <f t="shared" si="62"/>
        <v/>
      </c>
      <c r="G833" s="101"/>
      <c r="H833" s="91">
        <f t="shared" si="63"/>
        <v>0</v>
      </c>
      <c r="I833" s="91" t="str">
        <f t="shared" si="64"/>
        <v/>
      </c>
      <c r="J833" s="91" t="str">
        <f t="shared" si="65"/>
        <v/>
      </c>
      <c r="K833" s="92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2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58"/>
      <c r="U833" s="217" t="str">
        <f t="shared" si="66"/>
        <v/>
      </c>
      <c r="V833" s="215" t="s">
        <v>47</v>
      </c>
      <c r="W833" s="102" t="s">
        <v>136</v>
      </c>
      <c r="X833" s="102" t="s">
        <v>137</v>
      </c>
      <c r="Y833" s="103" t="s">
        <v>138</v>
      </c>
      <c r="Z833" s="103" t="s">
        <v>139</v>
      </c>
      <c r="AA833" s="103" t="s">
        <v>47</v>
      </c>
      <c r="AB833" s="103" t="s">
        <v>140</v>
      </c>
      <c r="AC833" s="104" t="s">
        <v>141</v>
      </c>
    </row>
    <row r="834" spans="1:29" ht="25.5" customHeight="1" x14ac:dyDescent="0.35">
      <c r="A834" s="188"/>
      <c r="B834" s="190"/>
      <c r="C834" s="99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0"/>
      <c r="E834" s="78" t="str">
        <f>IF(C834="","",IFERROR(VLOOKUP(C834,parametros!$A$11:$E$15,5,0),""))</f>
        <v/>
      </c>
      <c r="F834" s="79" t="str">
        <f t="shared" ref="F834:F897" si="67">IF(OR(D834="",E834=""),"",ROUND(D834*E834,2))</f>
        <v/>
      </c>
      <c r="G834" s="101"/>
      <c r="H834" s="91">
        <f t="shared" ref="H834:H897" si="68">IF(G834="Sim",IF(OR(F834="",D834="",L834=""),"",IF(L834="Sim",ROUND(F834-D834,2),0)),0)</f>
        <v>0</v>
      </c>
      <c r="I834" s="91" t="str">
        <f t="shared" ref="I834:I897" si="69">IF(G834="Sim",0,IF(OR(F834="",L834=""),"",F834))</f>
        <v/>
      </c>
      <c r="J834" s="91" t="str">
        <f t="shared" ref="J834:J897" si="70">IF(G834="Sim",0,IF(OR(F834="",D834="",L834=""),"",IF(L834="Sim",ROUND(F834-D834,2),0)))</f>
        <v/>
      </c>
      <c r="K834" s="92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2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58"/>
      <c r="U834" s="217" t="str">
        <f t="shared" ref="U834:U897" si="71">IF(OR($D834="",$H834=""),"",ROUND($D834+$H834,2))</f>
        <v/>
      </c>
      <c r="V834" s="215" t="s">
        <v>47</v>
      </c>
      <c r="W834" s="102" t="s">
        <v>136</v>
      </c>
      <c r="X834" s="102" t="s">
        <v>137</v>
      </c>
      <c r="Y834" s="103" t="s">
        <v>138</v>
      </c>
      <c r="Z834" s="103" t="s">
        <v>139</v>
      </c>
      <c r="AA834" s="103" t="s">
        <v>47</v>
      </c>
      <c r="AB834" s="103" t="s">
        <v>140</v>
      </c>
      <c r="AC834" s="104" t="s">
        <v>141</v>
      </c>
    </row>
    <row r="835" spans="1:29" ht="25.5" customHeight="1" x14ac:dyDescent="0.35">
      <c r="A835" s="188"/>
      <c r="B835" s="190"/>
      <c r="C835" s="99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0"/>
      <c r="E835" s="78" t="str">
        <f>IF(C835="","",IFERROR(VLOOKUP(C835,parametros!$A$11:$E$15,5,0),""))</f>
        <v/>
      </c>
      <c r="F835" s="79" t="str">
        <f t="shared" si="67"/>
        <v/>
      </c>
      <c r="G835" s="101"/>
      <c r="H835" s="91">
        <f t="shared" si="68"/>
        <v>0</v>
      </c>
      <c r="I835" s="91" t="str">
        <f t="shared" si="69"/>
        <v/>
      </c>
      <c r="J835" s="91" t="str">
        <f t="shared" si="70"/>
        <v/>
      </c>
      <c r="K835" s="92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2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58"/>
      <c r="U835" s="217" t="str">
        <f t="shared" si="71"/>
        <v/>
      </c>
      <c r="V835" s="215" t="s">
        <v>47</v>
      </c>
      <c r="W835" s="102" t="s">
        <v>136</v>
      </c>
      <c r="X835" s="102" t="s">
        <v>137</v>
      </c>
      <c r="Y835" s="103" t="s">
        <v>138</v>
      </c>
      <c r="Z835" s="103" t="s">
        <v>139</v>
      </c>
      <c r="AA835" s="103" t="s">
        <v>47</v>
      </c>
      <c r="AB835" s="103" t="s">
        <v>140</v>
      </c>
      <c r="AC835" s="104" t="s">
        <v>141</v>
      </c>
    </row>
    <row r="836" spans="1:29" ht="25.5" customHeight="1" x14ac:dyDescent="0.35">
      <c r="A836" s="188"/>
      <c r="B836" s="190"/>
      <c r="C836" s="99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0"/>
      <c r="E836" s="78" t="str">
        <f>IF(C836="","",IFERROR(VLOOKUP(C836,parametros!$A$11:$E$15,5,0),""))</f>
        <v/>
      </c>
      <c r="F836" s="79" t="str">
        <f t="shared" si="67"/>
        <v/>
      </c>
      <c r="G836" s="101"/>
      <c r="H836" s="91">
        <f t="shared" si="68"/>
        <v>0</v>
      </c>
      <c r="I836" s="91" t="str">
        <f t="shared" si="69"/>
        <v/>
      </c>
      <c r="J836" s="91" t="str">
        <f t="shared" si="70"/>
        <v/>
      </c>
      <c r="K836" s="92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2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58"/>
      <c r="U836" s="217" t="str">
        <f t="shared" si="71"/>
        <v/>
      </c>
      <c r="V836" s="215" t="s">
        <v>47</v>
      </c>
      <c r="W836" s="102" t="s">
        <v>136</v>
      </c>
      <c r="X836" s="102" t="s">
        <v>137</v>
      </c>
      <c r="Y836" s="103" t="s">
        <v>138</v>
      </c>
      <c r="Z836" s="103" t="s">
        <v>139</v>
      </c>
      <c r="AA836" s="103" t="s">
        <v>47</v>
      </c>
      <c r="AB836" s="103" t="s">
        <v>140</v>
      </c>
      <c r="AC836" s="104" t="s">
        <v>141</v>
      </c>
    </row>
    <row r="837" spans="1:29" ht="25.5" customHeight="1" x14ac:dyDescent="0.35">
      <c r="A837" s="188"/>
      <c r="B837" s="190"/>
      <c r="C837" s="99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0"/>
      <c r="E837" s="78" t="str">
        <f>IF(C837="","",IFERROR(VLOOKUP(C837,parametros!$A$11:$E$15,5,0),""))</f>
        <v/>
      </c>
      <c r="F837" s="79" t="str">
        <f t="shared" si="67"/>
        <v/>
      </c>
      <c r="G837" s="101"/>
      <c r="H837" s="91">
        <f t="shared" si="68"/>
        <v>0</v>
      </c>
      <c r="I837" s="91" t="str">
        <f t="shared" si="69"/>
        <v/>
      </c>
      <c r="J837" s="91" t="str">
        <f t="shared" si="70"/>
        <v/>
      </c>
      <c r="K837" s="92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2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58"/>
      <c r="U837" s="217" t="str">
        <f t="shared" si="71"/>
        <v/>
      </c>
      <c r="V837" s="215" t="s">
        <v>47</v>
      </c>
      <c r="W837" s="102" t="s">
        <v>136</v>
      </c>
      <c r="X837" s="102" t="s">
        <v>137</v>
      </c>
      <c r="Y837" s="103" t="s">
        <v>138</v>
      </c>
      <c r="Z837" s="103" t="s">
        <v>139</v>
      </c>
      <c r="AA837" s="103" t="s">
        <v>47</v>
      </c>
      <c r="AB837" s="103" t="s">
        <v>140</v>
      </c>
      <c r="AC837" s="104" t="s">
        <v>141</v>
      </c>
    </row>
    <row r="838" spans="1:29" ht="25.5" customHeight="1" x14ac:dyDescent="0.35">
      <c r="A838" s="188"/>
      <c r="B838" s="190"/>
      <c r="C838" s="99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0"/>
      <c r="E838" s="78" t="str">
        <f>IF(C838="","",IFERROR(VLOOKUP(C838,parametros!$A$11:$E$15,5,0),""))</f>
        <v/>
      </c>
      <c r="F838" s="79" t="str">
        <f t="shared" si="67"/>
        <v/>
      </c>
      <c r="G838" s="101"/>
      <c r="H838" s="91">
        <f t="shared" si="68"/>
        <v>0</v>
      </c>
      <c r="I838" s="91" t="str">
        <f t="shared" si="69"/>
        <v/>
      </c>
      <c r="J838" s="91" t="str">
        <f t="shared" si="70"/>
        <v/>
      </c>
      <c r="K838" s="92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2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58"/>
      <c r="U838" s="217" t="str">
        <f t="shared" si="71"/>
        <v/>
      </c>
      <c r="V838" s="215" t="s">
        <v>47</v>
      </c>
      <c r="W838" s="102" t="s">
        <v>136</v>
      </c>
      <c r="X838" s="102" t="s">
        <v>137</v>
      </c>
      <c r="Y838" s="103" t="s">
        <v>138</v>
      </c>
      <c r="Z838" s="103" t="s">
        <v>139</v>
      </c>
      <c r="AA838" s="103" t="s">
        <v>47</v>
      </c>
      <c r="AB838" s="103" t="s">
        <v>140</v>
      </c>
      <c r="AC838" s="104" t="s">
        <v>141</v>
      </c>
    </row>
    <row r="839" spans="1:29" ht="25.5" customHeight="1" x14ac:dyDescent="0.35">
      <c r="A839" s="188"/>
      <c r="B839" s="190"/>
      <c r="C839" s="99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0"/>
      <c r="E839" s="78" t="str">
        <f>IF(C839="","",IFERROR(VLOOKUP(C839,parametros!$A$11:$E$15,5,0),""))</f>
        <v/>
      </c>
      <c r="F839" s="79" t="str">
        <f t="shared" si="67"/>
        <v/>
      </c>
      <c r="G839" s="101"/>
      <c r="H839" s="91">
        <f t="shared" si="68"/>
        <v>0</v>
      </c>
      <c r="I839" s="91" t="str">
        <f t="shared" si="69"/>
        <v/>
      </c>
      <c r="J839" s="91" t="str">
        <f t="shared" si="70"/>
        <v/>
      </c>
      <c r="K839" s="92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2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58"/>
      <c r="U839" s="217" t="str">
        <f t="shared" si="71"/>
        <v/>
      </c>
      <c r="V839" s="215" t="s">
        <v>47</v>
      </c>
      <c r="W839" s="102" t="s">
        <v>136</v>
      </c>
      <c r="X839" s="102" t="s">
        <v>137</v>
      </c>
      <c r="Y839" s="103" t="s">
        <v>138</v>
      </c>
      <c r="Z839" s="103" t="s">
        <v>139</v>
      </c>
      <c r="AA839" s="103" t="s">
        <v>47</v>
      </c>
      <c r="AB839" s="103" t="s">
        <v>140</v>
      </c>
      <c r="AC839" s="104" t="s">
        <v>141</v>
      </c>
    </row>
    <row r="840" spans="1:29" ht="25.5" customHeight="1" x14ac:dyDescent="0.35">
      <c r="A840" s="188"/>
      <c r="B840" s="190"/>
      <c r="C840" s="99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0"/>
      <c r="E840" s="78" t="str">
        <f>IF(C840="","",IFERROR(VLOOKUP(C840,parametros!$A$11:$E$15,5,0),""))</f>
        <v/>
      </c>
      <c r="F840" s="79" t="str">
        <f t="shared" si="67"/>
        <v/>
      </c>
      <c r="G840" s="101"/>
      <c r="H840" s="91">
        <f t="shared" si="68"/>
        <v>0</v>
      </c>
      <c r="I840" s="91" t="str">
        <f t="shared" si="69"/>
        <v/>
      </c>
      <c r="J840" s="91" t="str">
        <f t="shared" si="70"/>
        <v/>
      </c>
      <c r="K840" s="92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2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58"/>
      <c r="U840" s="217" t="str">
        <f t="shared" si="71"/>
        <v/>
      </c>
      <c r="V840" s="215" t="s">
        <v>47</v>
      </c>
      <c r="W840" s="102" t="s">
        <v>136</v>
      </c>
      <c r="X840" s="102" t="s">
        <v>137</v>
      </c>
      <c r="Y840" s="103" t="s">
        <v>138</v>
      </c>
      <c r="Z840" s="103" t="s">
        <v>139</v>
      </c>
      <c r="AA840" s="103" t="s">
        <v>47</v>
      </c>
      <c r="AB840" s="103" t="s">
        <v>140</v>
      </c>
      <c r="AC840" s="104" t="s">
        <v>141</v>
      </c>
    </row>
    <row r="841" spans="1:29" ht="25.5" customHeight="1" x14ac:dyDescent="0.35">
      <c r="A841" s="188"/>
      <c r="B841" s="190"/>
      <c r="C841" s="99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0"/>
      <c r="E841" s="78" t="str">
        <f>IF(C841="","",IFERROR(VLOOKUP(C841,parametros!$A$11:$E$15,5,0),""))</f>
        <v/>
      </c>
      <c r="F841" s="79" t="str">
        <f t="shared" si="67"/>
        <v/>
      </c>
      <c r="G841" s="101"/>
      <c r="H841" s="91">
        <f t="shared" si="68"/>
        <v>0</v>
      </c>
      <c r="I841" s="91" t="str">
        <f t="shared" si="69"/>
        <v/>
      </c>
      <c r="J841" s="91" t="str">
        <f t="shared" si="70"/>
        <v/>
      </c>
      <c r="K841" s="92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2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58"/>
      <c r="U841" s="217" t="str">
        <f t="shared" si="71"/>
        <v/>
      </c>
      <c r="V841" s="215" t="s">
        <v>47</v>
      </c>
      <c r="W841" s="102" t="s">
        <v>136</v>
      </c>
      <c r="X841" s="102" t="s">
        <v>137</v>
      </c>
      <c r="Y841" s="103" t="s">
        <v>138</v>
      </c>
      <c r="Z841" s="103" t="s">
        <v>139</v>
      </c>
      <c r="AA841" s="103" t="s">
        <v>47</v>
      </c>
      <c r="AB841" s="103" t="s">
        <v>140</v>
      </c>
      <c r="AC841" s="104" t="s">
        <v>141</v>
      </c>
    </row>
    <row r="842" spans="1:29" ht="25.5" customHeight="1" x14ac:dyDescent="0.35">
      <c r="A842" s="188"/>
      <c r="B842" s="190"/>
      <c r="C842" s="99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0"/>
      <c r="E842" s="78" t="str">
        <f>IF(C842="","",IFERROR(VLOOKUP(C842,parametros!$A$11:$E$15,5,0),""))</f>
        <v/>
      </c>
      <c r="F842" s="79" t="str">
        <f t="shared" si="67"/>
        <v/>
      </c>
      <c r="G842" s="101"/>
      <c r="H842" s="91">
        <f t="shared" si="68"/>
        <v>0</v>
      </c>
      <c r="I842" s="91" t="str">
        <f t="shared" si="69"/>
        <v/>
      </c>
      <c r="J842" s="91" t="str">
        <f t="shared" si="70"/>
        <v/>
      </c>
      <c r="K842" s="92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2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58"/>
      <c r="U842" s="217" t="str">
        <f t="shared" si="71"/>
        <v/>
      </c>
      <c r="V842" s="215" t="s">
        <v>47</v>
      </c>
      <c r="W842" s="102" t="s">
        <v>136</v>
      </c>
      <c r="X842" s="102" t="s">
        <v>137</v>
      </c>
      <c r="Y842" s="103" t="s">
        <v>138</v>
      </c>
      <c r="Z842" s="103" t="s">
        <v>139</v>
      </c>
      <c r="AA842" s="103" t="s">
        <v>47</v>
      </c>
      <c r="AB842" s="103" t="s">
        <v>140</v>
      </c>
      <c r="AC842" s="104" t="s">
        <v>141</v>
      </c>
    </row>
    <row r="843" spans="1:29" ht="25.5" customHeight="1" x14ac:dyDescent="0.35">
      <c r="A843" s="188"/>
      <c r="B843" s="190"/>
      <c r="C843" s="99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0"/>
      <c r="E843" s="78" t="str">
        <f>IF(C843="","",IFERROR(VLOOKUP(C843,parametros!$A$11:$E$15,5,0),""))</f>
        <v/>
      </c>
      <c r="F843" s="79" t="str">
        <f t="shared" si="67"/>
        <v/>
      </c>
      <c r="G843" s="101"/>
      <c r="H843" s="91">
        <f t="shared" si="68"/>
        <v>0</v>
      </c>
      <c r="I843" s="91" t="str">
        <f t="shared" si="69"/>
        <v/>
      </c>
      <c r="J843" s="91" t="str">
        <f t="shared" si="70"/>
        <v/>
      </c>
      <c r="K843" s="92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2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58"/>
      <c r="U843" s="217" t="str">
        <f t="shared" si="71"/>
        <v/>
      </c>
      <c r="V843" s="215" t="s">
        <v>47</v>
      </c>
      <c r="W843" s="102" t="s">
        <v>136</v>
      </c>
      <c r="X843" s="102" t="s">
        <v>137</v>
      </c>
      <c r="Y843" s="103" t="s">
        <v>138</v>
      </c>
      <c r="Z843" s="103" t="s">
        <v>139</v>
      </c>
      <c r="AA843" s="103" t="s">
        <v>47</v>
      </c>
      <c r="AB843" s="103" t="s">
        <v>140</v>
      </c>
      <c r="AC843" s="104" t="s">
        <v>141</v>
      </c>
    </row>
    <row r="844" spans="1:29" ht="25.5" customHeight="1" x14ac:dyDescent="0.35">
      <c r="A844" s="188"/>
      <c r="B844" s="190"/>
      <c r="C844" s="99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0"/>
      <c r="E844" s="78" t="str">
        <f>IF(C844="","",IFERROR(VLOOKUP(C844,parametros!$A$11:$E$15,5,0),""))</f>
        <v/>
      </c>
      <c r="F844" s="79" t="str">
        <f t="shared" si="67"/>
        <v/>
      </c>
      <c r="G844" s="101"/>
      <c r="H844" s="91">
        <f t="shared" si="68"/>
        <v>0</v>
      </c>
      <c r="I844" s="91" t="str">
        <f t="shared" si="69"/>
        <v/>
      </c>
      <c r="J844" s="91" t="str">
        <f t="shared" si="70"/>
        <v/>
      </c>
      <c r="K844" s="92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2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58"/>
      <c r="U844" s="217" t="str">
        <f t="shared" si="71"/>
        <v/>
      </c>
      <c r="V844" s="215" t="s">
        <v>47</v>
      </c>
      <c r="W844" s="102" t="s">
        <v>136</v>
      </c>
      <c r="X844" s="102" t="s">
        <v>137</v>
      </c>
      <c r="Y844" s="103" t="s">
        <v>138</v>
      </c>
      <c r="Z844" s="103" t="s">
        <v>139</v>
      </c>
      <c r="AA844" s="103" t="s">
        <v>47</v>
      </c>
      <c r="AB844" s="103" t="s">
        <v>140</v>
      </c>
      <c r="AC844" s="104" t="s">
        <v>141</v>
      </c>
    </row>
    <row r="845" spans="1:29" ht="25.5" customHeight="1" x14ac:dyDescent="0.35">
      <c r="A845" s="188"/>
      <c r="B845" s="190"/>
      <c r="C845" s="99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0"/>
      <c r="E845" s="78" t="str">
        <f>IF(C845="","",IFERROR(VLOOKUP(C845,parametros!$A$11:$E$15,5,0),""))</f>
        <v/>
      </c>
      <c r="F845" s="79" t="str">
        <f t="shared" si="67"/>
        <v/>
      </c>
      <c r="G845" s="101"/>
      <c r="H845" s="91">
        <f t="shared" si="68"/>
        <v>0</v>
      </c>
      <c r="I845" s="91" t="str">
        <f t="shared" si="69"/>
        <v/>
      </c>
      <c r="J845" s="91" t="str">
        <f t="shared" si="70"/>
        <v/>
      </c>
      <c r="K845" s="92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2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58"/>
      <c r="U845" s="217" t="str">
        <f t="shared" si="71"/>
        <v/>
      </c>
      <c r="V845" s="215" t="s">
        <v>47</v>
      </c>
      <c r="W845" s="102" t="s">
        <v>136</v>
      </c>
      <c r="X845" s="102" t="s">
        <v>137</v>
      </c>
      <c r="Y845" s="103" t="s">
        <v>138</v>
      </c>
      <c r="Z845" s="103" t="s">
        <v>139</v>
      </c>
      <c r="AA845" s="103" t="s">
        <v>47</v>
      </c>
      <c r="AB845" s="103" t="s">
        <v>140</v>
      </c>
      <c r="AC845" s="104" t="s">
        <v>141</v>
      </c>
    </row>
    <row r="846" spans="1:29" ht="25.5" customHeight="1" x14ac:dyDescent="0.35">
      <c r="A846" s="188"/>
      <c r="B846" s="190"/>
      <c r="C846" s="99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0"/>
      <c r="E846" s="78" t="str">
        <f>IF(C846="","",IFERROR(VLOOKUP(C846,parametros!$A$11:$E$15,5,0),""))</f>
        <v/>
      </c>
      <c r="F846" s="79" t="str">
        <f t="shared" si="67"/>
        <v/>
      </c>
      <c r="G846" s="101"/>
      <c r="H846" s="91">
        <f t="shared" si="68"/>
        <v>0</v>
      </c>
      <c r="I846" s="91" t="str">
        <f t="shared" si="69"/>
        <v/>
      </c>
      <c r="J846" s="91" t="str">
        <f t="shared" si="70"/>
        <v/>
      </c>
      <c r="K846" s="92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2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58"/>
      <c r="U846" s="217" t="str">
        <f t="shared" si="71"/>
        <v/>
      </c>
      <c r="V846" s="215" t="s">
        <v>47</v>
      </c>
      <c r="W846" s="102" t="s">
        <v>136</v>
      </c>
      <c r="X846" s="102" t="s">
        <v>137</v>
      </c>
      <c r="Y846" s="103" t="s">
        <v>138</v>
      </c>
      <c r="Z846" s="103" t="s">
        <v>139</v>
      </c>
      <c r="AA846" s="103" t="s">
        <v>47</v>
      </c>
      <c r="AB846" s="103" t="s">
        <v>140</v>
      </c>
      <c r="AC846" s="104" t="s">
        <v>141</v>
      </c>
    </row>
    <row r="847" spans="1:29" ht="25.5" customHeight="1" x14ac:dyDescent="0.35">
      <c r="A847" s="188"/>
      <c r="B847" s="190"/>
      <c r="C847" s="99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0"/>
      <c r="E847" s="78" t="str">
        <f>IF(C847="","",IFERROR(VLOOKUP(C847,parametros!$A$11:$E$15,5,0),""))</f>
        <v/>
      </c>
      <c r="F847" s="79" t="str">
        <f t="shared" si="67"/>
        <v/>
      </c>
      <c r="G847" s="101"/>
      <c r="H847" s="91">
        <f t="shared" si="68"/>
        <v>0</v>
      </c>
      <c r="I847" s="91" t="str">
        <f t="shared" si="69"/>
        <v/>
      </c>
      <c r="J847" s="91" t="str">
        <f t="shared" si="70"/>
        <v/>
      </c>
      <c r="K847" s="92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2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58"/>
      <c r="U847" s="217" t="str">
        <f t="shared" si="71"/>
        <v/>
      </c>
      <c r="V847" s="215" t="s">
        <v>47</v>
      </c>
      <c r="W847" s="102" t="s">
        <v>136</v>
      </c>
      <c r="X847" s="102" t="s">
        <v>137</v>
      </c>
      <c r="Y847" s="103" t="s">
        <v>138</v>
      </c>
      <c r="Z847" s="103" t="s">
        <v>139</v>
      </c>
      <c r="AA847" s="103" t="s">
        <v>47</v>
      </c>
      <c r="AB847" s="103" t="s">
        <v>140</v>
      </c>
      <c r="AC847" s="104" t="s">
        <v>141</v>
      </c>
    </row>
    <row r="848" spans="1:29" ht="25.5" customHeight="1" x14ac:dyDescent="0.35">
      <c r="A848" s="188"/>
      <c r="B848" s="190"/>
      <c r="C848" s="99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0"/>
      <c r="E848" s="78" t="str">
        <f>IF(C848="","",IFERROR(VLOOKUP(C848,parametros!$A$11:$E$15,5,0),""))</f>
        <v/>
      </c>
      <c r="F848" s="79" t="str">
        <f t="shared" si="67"/>
        <v/>
      </c>
      <c r="G848" s="101"/>
      <c r="H848" s="91">
        <f t="shared" si="68"/>
        <v>0</v>
      </c>
      <c r="I848" s="91" t="str">
        <f t="shared" si="69"/>
        <v/>
      </c>
      <c r="J848" s="91" t="str">
        <f t="shared" si="70"/>
        <v/>
      </c>
      <c r="K848" s="92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2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58"/>
      <c r="U848" s="217" t="str">
        <f t="shared" si="71"/>
        <v/>
      </c>
      <c r="V848" s="215" t="s">
        <v>47</v>
      </c>
      <c r="W848" s="102" t="s">
        <v>136</v>
      </c>
      <c r="X848" s="102" t="s">
        <v>137</v>
      </c>
      <c r="Y848" s="103" t="s">
        <v>138</v>
      </c>
      <c r="Z848" s="103" t="s">
        <v>139</v>
      </c>
      <c r="AA848" s="103" t="s">
        <v>47</v>
      </c>
      <c r="AB848" s="103" t="s">
        <v>140</v>
      </c>
      <c r="AC848" s="104" t="s">
        <v>141</v>
      </c>
    </row>
    <row r="849" spans="1:29" ht="25.5" customHeight="1" x14ac:dyDescent="0.35">
      <c r="A849" s="188"/>
      <c r="B849" s="190"/>
      <c r="C849" s="99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0"/>
      <c r="E849" s="78" t="str">
        <f>IF(C849="","",IFERROR(VLOOKUP(C849,parametros!$A$11:$E$15,5,0),""))</f>
        <v/>
      </c>
      <c r="F849" s="79" t="str">
        <f t="shared" si="67"/>
        <v/>
      </c>
      <c r="G849" s="101"/>
      <c r="H849" s="91">
        <f t="shared" si="68"/>
        <v>0</v>
      </c>
      <c r="I849" s="91" t="str">
        <f t="shared" si="69"/>
        <v/>
      </c>
      <c r="J849" s="91" t="str">
        <f t="shared" si="70"/>
        <v/>
      </c>
      <c r="K849" s="92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2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58"/>
      <c r="U849" s="217" t="str">
        <f t="shared" si="71"/>
        <v/>
      </c>
      <c r="V849" s="215" t="s">
        <v>47</v>
      </c>
      <c r="W849" s="102" t="s">
        <v>136</v>
      </c>
      <c r="X849" s="102" t="s">
        <v>137</v>
      </c>
      <c r="Y849" s="103" t="s">
        <v>138</v>
      </c>
      <c r="Z849" s="103" t="s">
        <v>139</v>
      </c>
      <c r="AA849" s="103" t="s">
        <v>47</v>
      </c>
      <c r="AB849" s="103" t="s">
        <v>140</v>
      </c>
      <c r="AC849" s="104" t="s">
        <v>141</v>
      </c>
    </row>
    <row r="850" spans="1:29" ht="25.5" customHeight="1" x14ac:dyDescent="0.35">
      <c r="A850" s="188"/>
      <c r="B850" s="190"/>
      <c r="C850" s="99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0"/>
      <c r="E850" s="78" t="str">
        <f>IF(C850="","",IFERROR(VLOOKUP(C850,parametros!$A$11:$E$15,5,0),""))</f>
        <v/>
      </c>
      <c r="F850" s="79" t="str">
        <f t="shared" si="67"/>
        <v/>
      </c>
      <c r="G850" s="101"/>
      <c r="H850" s="91">
        <f t="shared" si="68"/>
        <v>0</v>
      </c>
      <c r="I850" s="91" t="str">
        <f t="shared" si="69"/>
        <v/>
      </c>
      <c r="J850" s="91" t="str">
        <f t="shared" si="70"/>
        <v/>
      </c>
      <c r="K850" s="92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2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58"/>
      <c r="U850" s="217" t="str">
        <f t="shared" si="71"/>
        <v/>
      </c>
      <c r="V850" s="215" t="s">
        <v>47</v>
      </c>
      <c r="W850" s="102" t="s">
        <v>136</v>
      </c>
      <c r="X850" s="102" t="s">
        <v>137</v>
      </c>
      <c r="Y850" s="103" t="s">
        <v>138</v>
      </c>
      <c r="Z850" s="103" t="s">
        <v>139</v>
      </c>
      <c r="AA850" s="103" t="s">
        <v>47</v>
      </c>
      <c r="AB850" s="103" t="s">
        <v>140</v>
      </c>
      <c r="AC850" s="104" t="s">
        <v>141</v>
      </c>
    </row>
    <row r="851" spans="1:29" ht="25.5" customHeight="1" x14ac:dyDescent="0.35">
      <c r="A851" s="188"/>
      <c r="B851" s="190"/>
      <c r="C851" s="99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0"/>
      <c r="E851" s="78" t="str">
        <f>IF(C851="","",IFERROR(VLOOKUP(C851,parametros!$A$11:$E$15,5,0),""))</f>
        <v/>
      </c>
      <c r="F851" s="79" t="str">
        <f t="shared" si="67"/>
        <v/>
      </c>
      <c r="G851" s="101"/>
      <c r="H851" s="91">
        <f t="shared" si="68"/>
        <v>0</v>
      </c>
      <c r="I851" s="91" t="str">
        <f t="shared" si="69"/>
        <v/>
      </c>
      <c r="J851" s="91" t="str">
        <f t="shared" si="70"/>
        <v/>
      </c>
      <c r="K851" s="92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2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58"/>
      <c r="U851" s="217" t="str">
        <f t="shared" si="71"/>
        <v/>
      </c>
      <c r="V851" s="215" t="s">
        <v>47</v>
      </c>
      <c r="W851" s="102" t="s">
        <v>136</v>
      </c>
      <c r="X851" s="102" t="s">
        <v>137</v>
      </c>
      <c r="Y851" s="103" t="s">
        <v>138</v>
      </c>
      <c r="Z851" s="103" t="s">
        <v>139</v>
      </c>
      <c r="AA851" s="103" t="s">
        <v>47</v>
      </c>
      <c r="AB851" s="103" t="s">
        <v>140</v>
      </c>
      <c r="AC851" s="104" t="s">
        <v>141</v>
      </c>
    </row>
    <row r="852" spans="1:29" ht="25.5" customHeight="1" x14ac:dyDescent="0.35">
      <c r="A852" s="188"/>
      <c r="B852" s="190"/>
      <c r="C852" s="99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0"/>
      <c r="E852" s="78" t="str">
        <f>IF(C852="","",IFERROR(VLOOKUP(C852,parametros!$A$11:$E$15,5,0),""))</f>
        <v/>
      </c>
      <c r="F852" s="79" t="str">
        <f t="shared" si="67"/>
        <v/>
      </c>
      <c r="G852" s="101"/>
      <c r="H852" s="91">
        <f t="shared" si="68"/>
        <v>0</v>
      </c>
      <c r="I852" s="91" t="str">
        <f t="shared" si="69"/>
        <v/>
      </c>
      <c r="J852" s="91" t="str">
        <f t="shared" si="70"/>
        <v/>
      </c>
      <c r="K852" s="92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2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58"/>
      <c r="U852" s="217" t="str">
        <f t="shared" si="71"/>
        <v/>
      </c>
      <c r="V852" s="215" t="s">
        <v>47</v>
      </c>
      <c r="W852" s="102" t="s">
        <v>136</v>
      </c>
      <c r="X852" s="102" t="s">
        <v>137</v>
      </c>
      <c r="Y852" s="103" t="s">
        <v>138</v>
      </c>
      <c r="Z852" s="103" t="s">
        <v>139</v>
      </c>
      <c r="AA852" s="103" t="s">
        <v>47</v>
      </c>
      <c r="AB852" s="103" t="s">
        <v>140</v>
      </c>
      <c r="AC852" s="104" t="s">
        <v>141</v>
      </c>
    </row>
    <row r="853" spans="1:29" ht="25.5" customHeight="1" x14ac:dyDescent="0.35">
      <c r="A853" s="188"/>
      <c r="B853" s="190"/>
      <c r="C853" s="99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0"/>
      <c r="E853" s="78" t="str">
        <f>IF(C853="","",IFERROR(VLOOKUP(C853,parametros!$A$11:$E$15,5,0),""))</f>
        <v/>
      </c>
      <c r="F853" s="79" t="str">
        <f t="shared" si="67"/>
        <v/>
      </c>
      <c r="G853" s="101"/>
      <c r="H853" s="91">
        <f t="shared" si="68"/>
        <v>0</v>
      </c>
      <c r="I853" s="91" t="str">
        <f t="shared" si="69"/>
        <v/>
      </c>
      <c r="J853" s="91" t="str">
        <f t="shared" si="70"/>
        <v/>
      </c>
      <c r="K853" s="92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2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58"/>
      <c r="U853" s="217" t="str">
        <f t="shared" si="71"/>
        <v/>
      </c>
      <c r="V853" s="215" t="s">
        <v>47</v>
      </c>
      <c r="W853" s="102" t="s">
        <v>136</v>
      </c>
      <c r="X853" s="102" t="s">
        <v>137</v>
      </c>
      <c r="Y853" s="103" t="s">
        <v>138</v>
      </c>
      <c r="Z853" s="103" t="s">
        <v>139</v>
      </c>
      <c r="AA853" s="103" t="s">
        <v>47</v>
      </c>
      <c r="AB853" s="103" t="s">
        <v>140</v>
      </c>
      <c r="AC853" s="104" t="s">
        <v>141</v>
      </c>
    </row>
    <row r="854" spans="1:29" ht="25.5" customHeight="1" x14ac:dyDescent="0.35">
      <c r="A854" s="188"/>
      <c r="B854" s="190"/>
      <c r="C854" s="99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0"/>
      <c r="E854" s="78" t="str">
        <f>IF(C854="","",IFERROR(VLOOKUP(C854,parametros!$A$11:$E$15,5,0),""))</f>
        <v/>
      </c>
      <c r="F854" s="79" t="str">
        <f t="shared" si="67"/>
        <v/>
      </c>
      <c r="G854" s="101"/>
      <c r="H854" s="91">
        <f t="shared" si="68"/>
        <v>0</v>
      </c>
      <c r="I854" s="91" t="str">
        <f t="shared" si="69"/>
        <v/>
      </c>
      <c r="J854" s="91" t="str">
        <f t="shared" si="70"/>
        <v/>
      </c>
      <c r="K854" s="92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2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58"/>
      <c r="U854" s="217" t="str">
        <f t="shared" si="71"/>
        <v/>
      </c>
      <c r="V854" s="215" t="s">
        <v>47</v>
      </c>
      <c r="W854" s="102" t="s">
        <v>136</v>
      </c>
      <c r="X854" s="102" t="s">
        <v>137</v>
      </c>
      <c r="Y854" s="103" t="s">
        <v>138</v>
      </c>
      <c r="Z854" s="103" t="s">
        <v>139</v>
      </c>
      <c r="AA854" s="103" t="s">
        <v>47</v>
      </c>
      <c r="AB854" s="103" t="s">
        <v>140</v>
      </c>
      <c r="AC854" s="104" t="s">
        <v>141</v>
      </c>
    </row>
    <row r="855" spans="1:29" ht="25.5" customHeight="1" x14ac:dyDescent="0.35">
      <c r="A855" s="188"/>
      <c r="B855" s="190"/>
      <c r="C855" s="99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0"/>
      <c r="E855" s="78" t="str">
        <f>IF(C855="","",IFERROR(VLOOKUP(C855,parametros!$A$11:$E$15,5,0),""))</f>
        <v/>
      </c>
      <c r="F855" s="79" t="str">
        <f t="shared" si="67"/>
        <v/>
      </c>
      <c r="G855" s="101"/>
      <c r="H855" s="91">
        <f t="shared" si="68"/>
        <v>0</v>
      </c>
      <c r="I855" s="91" t="str">
        <f t="shared" si="69"/>
        <v/>
      </c>
      <c r="J855" s="91" t="str">
        <f t="shared" si="70"/>
        <v/>
      </c>
      <c r="K855" s="92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2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58"/>
      <c r="U855" s="217" t="str">
        <f t="shared" si="71"/>
        <v/>
      </c>
      <c r="V855" s="215" t="s">
        <v>47</v>
      </c>
      <c r="W855" s="102" t="s">
        <v>136</v>
      </c>
      <c r="X855" s="102" t="s">
        <v>137</v>
      </c>
      <c r="Y855" s="103" t="s">
        <v>138</v>
      </c>
      <c r="Z855" s="103" t="s">
        <v>139</v>
      </c>
      <c r="AA855" s="103" t="s">
        <v>47</v>
      </c>
      <c r="AB855" s="103" t="s">
        <v>140</v>
      </c>
      <c r="AC855" s="104" t="s">
        <v>141</v>
      </c>
    </row>
    <row r="856" spans="1:29" ht="25.5" customHeight="1" x14ac:dyDescent="0.35">
      <c r="A856" s="188"/>
      <c r="B856" s="190"/>
      <c r="C856" s="99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0"/>
      <c r="E856" s="78" t="str">
        <f>IF(C856="","",IFERROR(VLOOKUP(C856,parametros!$A$11:$E$15,5,0),""))</f>
        <v/>
      </c>
      <c r="F856" s="79" t="str">
        <f t="shared" si="67"/>
        <v/>
      </c>
      <c r="G856" s="101"/>
      <c r="H856" s="91">
        <f t="shared" si="68"/>
        <v>0</v>
      </c>
      <c r="I856" s="91" t="str">
        <f t="shared" si="69"/>
        <v/>
      </c>
      <c r="J856" s="91" t="str">
        <f t="shared" si="70"/>
        <v/>
      </c>
      <c r="K856" s="92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2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58"/>
      <c r="U856" s="217" t="str">
        <f t="shared" si="71"/>
        <v/>
      </c>
      <c r="V856" s="215" t="s">
        <v>47</v>
      </c>
      <c r="W856" s="102" t="s">
        <v>136</v>
      </c>
      <c r="X856" s="102" t="s">
        <v>137</v>
      </c>
      <c r="Y856" s="103" t="s">
        <v>138</v>
      </c>
      <c r="Z856" s="103" t="s">
        <v>139</v>
      </c>
      <c r="AA856" s="103" t="s">
        <v>47</v>
      </c>
      <c r="AB856" s="103" t="s">
        <v>140</v>
      </c>
      <c r="AC856" s="104" t="s">
        <v>141</v>
      </c>
    </row>
    <row r="857" spans="1:29" ht="25.5" customHeight="1" x14ac:dyDescent="0.35">
      <c r="A857" s="188"/>
      <c r="B857" s="190"/>
      <c r="C857" s="99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0"/>
      <c r="E857" s="78" t="str">
        <f>IF(C857="","",IFERROR(VLOOKUP(C857,parametros!$A$11:$E$15,5,0),""))</f>
        <v/>
      </c>
      <c r="F857" s="79" t="str">
        <f t="shared" si="67"/>
        <v/>
      </c>
      <c r="G857" s="101"/>
      <c r="H857" s="91">
        <f t="shared" si="68"/>
        <v>0</v>
      </c>
      <c r="I857" s="91" t="str">
        <f t="shared" si="69"/>
        <v/>
      </c>
      <c r="J857" s="91" t="str">
        <f t="shared" si="70"/>
        <v/>
      </c>
      <c r="K857" s="92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2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58"/>
      <c r="U857" s="217" t="str">
        <f t="shared" si="71"/>
        <v/>
      </c>
      <c r="V857" s="215" t="s">
        <v>47</v>
      </c>
      <c r="W857" s="102" t="s">
        <v>136</v>
      </c>
      <c r="X857" s="102" t="s">
        <v>137</v>
      </c>
      <c r="Y857" s="103" t="s">
        <v>138</v>
      </c>
      <c r="Z857" s="103" t="s">
        <v>139</v>
      </c>
      <c r="AA857" s="103" t="s">
        <v>47</v>
      </c>
      <c r="AB857" s="103" t="s">
        <v>140</v>
      </c>
      <c r="AC857" s="104" t="s">
        <v>141</v>
      </c>
    </row>
    <row r="858" spans="1:29" ht="25.5" customHeight="1" x14ac:dyDescent="0.35">
      <c r="A858" s="188"/>
      <c r="B858" s="190"/>
      <c r="C858" s="99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0"/>
      <c r="E858" s="78" t="str">
        <f>IF(C858="","",IFERROR(VLOOKUP(C858,parametros!$A$11:$E$15,5,0),""))</f>
        <v/>
      </c>
      <c r="F858" s="79" t="str">
        <f t="shared" si="67"/>
        <v/>
      </c>
      <c r="G858" s="101"/>
      <c r="H858" s="91">
        <f t="shared" si="68"/>
        <v>0</v>
      </c>
      <c r="I858" s="91" t="str">
        <f t="shared" si="69"/>
        <v/>
      </c>
      <c r="J858" s="91" t="str">
        <f t="shared" si="70"/>
        <v/>
      </c>
      <c r="K858" s="92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2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58"/>
      <c r="U858" s="217" t="str">
        <f t="shared" si="71"/>
        <v/>
      </c>
      <c r="V858" s="215" t="s">
        <v>47</v>
      </c>
      <c r="W858" s="102" t="s">
        <v>136</v>
      </c>
      <c r="X858" s="102" t="s">
        <v>137</v>
      </c>
      <c r="Y858" s="103" t="s">
        <v>138</v>
      </c>
      <c r="Z858" s="103" t="s">
        <v>139</v>
      </c>
      <c r="AA858" s="103" t="s">
        <v>47</v>
      </c>
      <c r="AB858" s="103" t="s">
        <v>140</v>
      </c>
      <c r="AC858" s="104" t="s">
        <v>141</v>
      </c>
    </row>
    <row r="859" spans="1:29" ht="25.5" customHeight="1" x14ac:dyDescent="0.35">
      <c r="A859" s="188"/>
      <c r="B859" s="190"/>
      <c r="C859" s="99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0"/>
      <c r="E859" s="78" t="str">
        <f>IF(C859="","",IFERROR(VLOOKUP(C859,parametros!$A$11:$E$15,5,0),""))</f>
        <v/>
      </c>
      <c r="F859" s="79" t="str">
        <f t="shared" si="67"/>
        <v/>
      </c>
      <c r="G859" s="101"/>
      <c r="H859" s="91">
        <f t="shared" si="68"/>
        <v>0</v>
      </c>
      <c r="I859" s="91" t="str">
        <f t="shared" si="69"/>
        <v/>
      </c>
      <c r="J859" s="91" t="str">
        <f t="shared" si="70"/>
        <v/>
      </c>
      <c r="K859" s="92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2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58"/>
      <c r="U859" s="217" t="str">
        <f t="shared" si="71"/>
        <v/>
      </c>
      <c r="V859" s="215" t="s">
        <v>47</v>
      </c>
      <c r="W859" s="102" t="s">
        <v>136</v>
      </c>
      <c r="X859" s="102" t="s">
        <v>137</v>
      </c>
      <c r="Y859" s="103" t="s">
        <v>138</v>
      </c>
      <c r="Z859" s="103" t="s">
        <v>139</v>
      </c>
      <c r="AA859" s="103" t="s">
        <v>47</v>
      </c>
      <c r="AB859" s="103" t="s">
        <v>140</v>
      </c>
      <c r="AC859" s="104" t="s">
        <v>141</v>
      </c>
    </row>
    <row r="860" spans="1:29" ht="25.5" customHeight="1" x14ac:dyDescent="0.35">
      <c r="A860" s="188"/>
      <c r="B860" s="190"/>
      <c r="C860" s="99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0"/>
      <c r="E860" s="78" t="str">
        <f>IF(C860="","",IFERROR(VLOOKUP(C860,parametros!$A$11:$E$15,5,0),""))</f>
        <v/>
      </c>
      <c r="F860" s="79" t="str">
        <f t="shared" si="67"/>
        <v/>
      </c>
      <c r="G860" s="101"/>
      <c r="H860" s="91">
        <f t="shared" si="68"/>
        <v>0</v>
      </c>
      <c r="I860" s="91" t="str">
        <f t="shared" si="69"/>
        <v/>
      </c>
      <c r="J860" s="91" t="str">
        <f t="shared" si="70"/>
        <v/>
      </c>
      <c r="K860" s="92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2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58"/>
      <c r="U860" s="217" t="str">
        <f t="shared" si="71"/>
        <v/>
      </c>
      <c r="V860" s="215" t="s">
        <v>47</v>
      </c>
      <c r="W860" s="102" t="s">
        <v>136</v>
      </c>
      <c r="X860" s="102" t="s">
        <v>137</v>
      </c>
      <c r="Y860" s="103" t="s">
        <v>138</v>
      </c>
      <c r="Z860" s="103" t="s">
        <v>139</v>
      </c>
      <c r="AA860" s="103" t="s">
        <v>47</v>
      </c>
      <c r="AB860" s="103" t="s">
        <v>140</v>
      </c>
      <c r="AC860" s="104" t="s">
        <v>141</v>
      </c>
    </row>
    <row r="861" spans="1:29" ht="25.5" customHeight="1" x14ac:dyDescent="0.35">
      <c r="A861" s="188"/>
      <c r="B861" s="190"/>
      <c r="C861" s="99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0"/>
      <c r="E861" s="78" t="str">
        <f>IF(C861="","",IFERROR(VLOOKUP(C861,parametros!$A$11:$E$15,5,0),""))</f>
        <v/>
      </c>
      <c r="F861" s="79" t="str">
        <f t="shared" si="67"/>
        <v/>
      </c>
      <c r="G861" s="101"/>
      <c r="H861" s="91">
        <f t="shared" si="68"/>
        <v>0</v>
      </c>
      <c r="I861" s="91" t="str">
        <f t="shared" si="69"/>
        <v/>
      </c>
      <c r="J861" s="91" t="str">
        <f t="shared" si="70"/>
        <v/>
      </c>
      <c r="K861" s="92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2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58"/>
      <c r="U861" s="217" t="str">
        <f t="shared" si="71"/>
        <v/>
      </c>
      <c r="V861" s="215" t="s">
        <v>47</v>
      </c>
      <c r="W861" s="102" t="s">
        <v>136</v>
      </c>
      <c r="X861" s="102" t="s">
        <v>137</v>
      </c>
      <c r="Y861" s="103" t="s">
        <v>138</v>
      </c>
      <c r="Z861" s="103" t="s">
        <v>139</v>
      </c>
      <c r="AA861" s="103" t="s">
        <v>47</v>
      </c>
      <c r="AB861" s="103" t="s">
        <v>140</v>
      </c>
      <c r="AC861" s="104" t="s">
        <v>141</v>
      </c>
    </row>
    <row r="862" spans="1:29" ht="25.5" customHeight="1" x14ac:dyDescent="0.35">
      <c r="A862" s="188"/>
      <c r="B862" s="190"/>
      <c r="C862" s="99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0"/>
      <c r="E862" s="78" t="str">
        <f>IF(C862="","",IFERROR(VLOOKUP(C862,parametros!$A$11:$E$15,5,0),""))</f>
        <v/>
      </c>
      <c r="F862" s="79" t="str">
        <f t="shared" si="67"/>
        <v/>
      </c>
      <c r="G862" s="101"/>
      <c r="H862" s="91">
        <f t="shared" si="68"/>
        <v>0</v>
      </c>
      <c r="I862" s="91" t="str">
        <f t="shared" si="69"/>
        <v/>
      </c>
      <c r="J862" s="91" t="str">
        <f t="shared" si="70"/>
        <v/>
      </c>
      <c r="K862" s="92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2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58"/>
      <c r="U862" s="217" t="str">
        <f t="shared" si="71"/>
        <v/>
      </c>
      <c r="V862" s="215" t="s">
        <v>47</v>
      </c>
      <c r="W862" s="102" t="s">
        <v>136</v>
      </c>
      <c r="X862" s="102" t="s">
        <v>137</v>
      </c>
      <c r="Y862" s="103" t="s">
        <v>138</v>
      </c>
      <c r="Z862" s="103" t="s">
        <v>139</v>
      </c>
      <c r="AA862" s="103" t="s">
        <v>47</v>
      </c>
      <c r="AB862" s="103" t="s">
        <v>140</v>
      </c>
      <c r="AC862" s="104" t="s">
        <v>141</v>
      </c>
    </row>
    <row r="863" spans="1:29" ht="25.5" customHeight="1" x14ac:dyDescent="0.35">
      <c r="A863" s="188"/>
      <c r="B863" s="190"/>
      <c r="C863" s="99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0"/>
      <c r="E863" s="78" t="str">
        <f>IF(C863="","",IFERROR(VLOOKUP(C863,parametros!$A$11:$E$15,5,0),""))</f>
        <v/>
      </c>
      <c r="F863" s="79" t="str">
        <f t="shared" si="67"/>
        <v/>
      </c>
      <c r="G863" s="101"/>
      <c r="H863" s="91">
        <f t="shared" si="68"/>
        <v>0</v>
      </c>
      <c r="I863" s="91" t="str">
        <f t="shared" si="69"/>
        <v/>
      </c>
      <c r="J863" s="91" t="str">
        <f t="shared" si="70"/>
        <v/>
      </c>
      <c r="K863" s="92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2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58"/>
      <c r="U863" s="217" t="str">
        <f t="shared" si="71"/>
        <v/>
      </c>
      <c r="V863" s="215" t="s">
        <v>47</v>
      </c>
      <c r="W863" s="102" t="s">
        <v>136</v>
      </c>
      <c r="X863" s="102" t="s">
        <v>137</v>
      </c>
      <c r="Y863" s="103" t="s">
        <v>138</v>
      </c>
      <c r="Z863" s="103" t="s">
        <v>139</v>
      </c>
      <c r="AA863" s="103" t="s">
        <v>47</v>
      </c>
      <c r="AB863" s="103" t="s">
        <v>140</v>
      </c>
      <c r="AC863" s="104" t="s">
        <v>141</v>
      </c>
    </row>
    <row r="864" spans="1:29" ht="25.5" customHeight="1" x14ac:dyDescent="0.35">
      <c r="A864" s="188"/>
      <c r="B864" s="190"/>
      <c r="C864" s="99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0"/>
      <c r="E864" s="78" t="str">
        <f>IF(C864="","",IFERROR(VLOOKUP(C864,parametros!$A$11:$E$15,5,0),""))</f>
        <v/>
      </c>
      <c r="F864" s="79" t="str">
        <f t="shared" si="67"/>
        <v/>
      </c>
      <c r="G864" s="101"/>
      <c r="H864" s="91">
        <f t="shared" si="68"/>
        <v>0</v>
      </c>
      <c r="I864" s="91" t="str">
        <f t="shared" si="69"/>
        <v/>
      </c>
      <c r="J864" s="91" t="str">
        <f t="shared" si="70"/>
        <v/>
      </c>
      <c r="K864" s="92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2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58"/>
      <c r="U864" s="217" t="str">
        <f t="shared" si="71"/>
        <v/>
      </c>
      <c r="V864" s="215" t="s">
        <v>47</v>
      </c>
      <c r="W864" s="102" t="s">
        <v>136</v>
      </c>
      <c r="X864" s="102" t="s">
        <v>137</v>
      </c>
      <c r="Y864" s="103" t="s">
        <v>138</v>
      </c>
      <c r="Z864" s="103" t="s">
        <v>139</v>
      </c>
      <c r="AA864" s="103" t="s">
        <v>47</v>
      </c>
      <c r="AB864" s="103" t="s">
        <v>140</v>
      </c>
      <c r="AC864" s="104" t="s">
        <v>141</v>
      </c>
    </row>
    <row r="865" spans="1:29" ht="25.5" customHeight="1" x14ac:dyDescent="0.35">
      <c r="A865" s="188"/>
      <c r="B865" s="190"/>
      <c r="C865" s="99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0"/>
      <c r="E865" s="78" t="str">
        <f>IF(C865="","",IFERROR(VLOOKUP(C865,parametros!$A$11:$E$15,5,0),""))</f>
        <v/>
      </c>
      <c r="F865" s="79" t="str">
        <f t="shared" si="67"/>
        <v/>
      </c>
      <c r="G865" s="101"/>
      <c r="H865" s="91">
        <f t="shared" si="68"/>
        <v>0</v>
      </c>
      <c r="I865" s="91" t="str">
        <f t="shared" si="69"/>
        <v/>
      </c>
      <c r="J865" s="91" t="str">
        <f t="shared" si="70"/>
        <v/>
      </c>
      <c r="K865" s="92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2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58"/>
      <c r="U865" s="217" t="str">
        <f t="shared" si="71"/>
        <v/>
      </c>
      <c r="V865" s="215" t="s">
        <v>47</v>
      </c>
      <c r="W865" s="102" t="s">
        <v>136</v>
      </c>
      <c r="X865" s="102" t="s">
        <v>137</v>
      </c>
      <c r="Y865" s="103" t="s">
        <v>138</v>
      </c>
      <c r="Z865" s="103" t="s">
        <v>139</v>
      </c>
      <c r="AA865" s="103" t="s">
        <v>47</v>
      </c>
      <c r="AB865" s="103" t="s">
        <v>140</v>
      </c>
      <c r="AC865" s="104" t="s">
        <v>141</v>
      </c>
    </row>
    <row r="866" spans="1:29" ht="25.5" customHeight="1" x14ac:dyDescent="0.35">
      <c r="A866" s="188"/>
      <c r="B866" s="190"/>
      <c r="C866" s="99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0"/>
      <c r="E866" s="78" t="str">
        <f>IF(C866="","",IFERROR(VLOOKUP(C866,parametros!$A$11:$E$15,5,0),""))</f>
        <v/>
      </c>
      <c r="F866" s="79" t="str">
        <f t="shared" si="67"/>
        <v/>
      </c>
      <c r="G866" s="101"/>
      <c r="H866" s="91">
        <f t="shared" si="68"/>
        <v>0</v>
      </c>
      <c r="I866" s="91" t="str">
        <f t="shared" si="69"/>
        <v/>
      </c>
      <c r="J866" s="91" t="str">
        <f t="shared" si="70"/>
        <v/>
      </c>
      <c r="K866" s="92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2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58"/>
      <c r="U866" s="217" t="str">
        <f t="shared" si="71"/>
        <v/>
      </c>
      <c r="V866" s="215" t="s">
        <v>47</v>
      </c>
      <c r="W866" s="102" t="s">
        <v>136</v>
      </c>
      <c r="X866" s="102" t="s">
        <v>137</v>
      </c>
      <c r="Y866" s="103" t="s">
        <v>138</v>
      </c>
      <c r="Z866" s="103" t="s">
        <v>139</v>
      </c>
      <c r="AA866" s="103" t="s">
        <v>47</v>
      </c>
      <c r="AB866" s="103" t="s">
        <v>140</v>
      </c>
      <c r="AC866" s="104" t="s">
        <v>141</v>
      </c>
    </row>
    <row r="867" spans="1:29" ht="25.5" customHeight="1" x14ac:dyDescent="0.35">
      <c r="A867" s="188"/>
      <c r="B867" s="190"/>
      <c r="C867" s="99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0"/>
      <c r="E867" s="78" t="str">
        <f>IF(C867="","",IFERROR(VLOOKUP(C867,parametros!$A$11:$E$15,5,0),""))</f>
        <v/>
      </c>
      <c r="F867" s="79" t="str">
        <f t="shared" si="67"/>
        <v/>
      </c>
      <c r="G867" s="101"/>
      <c r="H867" s="91">
        <f t="shared" si="68"/>
        <v>0</v>
      </c>
      <c r="I867" s="91" t="str">
        <f t="shared" si="69"/>
        <v/>
      </c>
      <c r="J867" s="91" t="str">
        <f t="shared" si="70"/>
        <v/>
      </c>
      <c r="K867" s="92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2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58"/>
      <c r="U867" s="217" t="str">
        <f t="shared" si="71"/>
        <v/>
      </c>
      <c r="V867" s="215" t="s">
        <v>47</v>
      </c>
      <c r="W867" s="102" t="s">
        <v>136</v>
      </c>
      <c r="X867" s="102" t="s">
        <v>137</v>
      </c>
      <c r="Y867" s="103" t="s">
        <v>138</v>
      </c>
      <c r="Z867" s="103" t="s">
        <v>139</v>
      </c>
      <c r="AA867" s="103" t="s">
        <v>47</v>
      </c>
      <c r="AB867" s="103" t="s">
        <v>140</v>
      </c>
      <c r="AC867" s="104" t="s">
        <v>141</v>
      </c>
    </row>
    <row r="868" spans="1:29" ht="25.5" customHeight="1" x14ac:dyDescent="0.35">
      <c r="A868" s="188"/>
      <c r="B868" s="190"/>
      <c r="C868" s="99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0"/>
      <c r="E868" s="78" t="str">
        <f>IF(C868="","",IFERROR(VLOOKUP(C868,parametros!$A$11:$E$15,5,0),""))</f>
        <v/>
      </c>
      <c r="F868" s="79" t="str">
        <f t="shared" si="67"/>
        <v/>
      </c>
      <c r="G868" s="101"/>
      <c r="H868" s="91">
        <f t="shared" si="68"/>
        <v>0</v>
      </c>
      <c r="I868" s="91" t="str">
        <f t="shared" si="69"/>
        <v/>
      </c>
      <c r="J868" s="91" t="str">
        <f t="shared" si="70"/>
        <v/>
      </c>
      <c r="K868" s="92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2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58"/>
      <c r="U868" s="217" t="str">
        <f t="shared" si="71"/>
        <v/>
      </c>
      <c r="V868" s="215" t="s">
        <v>47</v>
      </c>
      <c r="W868" s="102" t="s">
        <v>136</v>
      </c>
      <c r="X868" s="102" t="s">
        <v>137</v>
      </c>
      <c r="Y868" s="103" t="s">
        <v>138</v>
      </c>
      <c r="Z868" s="103" t="s">
        <v>139</v>
      </c>
      <c r="AA868" s="103" t="s">
        <v>47</v>
      </c>
      <c r="AB868" s="103" t="s">
        <v>140</v>
      </c>
      <c r="AC868" s="104" t="s">
        <v>141</v>
      </c>
    </row>
    <row r="869" spans="1:29" ht="25.5" customHeight="1" x14ac:dyDescent="0.35">
      <c r="A869" s="188"/>
      <c r="B869" s="190"/>
      <c r="C869" s="99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0"/>
      <c r="E869" s="78" t="str">
        <f>IF(C869="","",IFERROR(VLOOKUP(C869,parametros!$A$11:$E$15,5,0),""))</f>
        <v/>
      </c>
      <c r="F869" s="79" t="str">
        <f t="shared" si="67"/>
        <v/>
      </c>
      <c r="G869" s="101"/>
      <c r="H869" s="91">
        <f t="shared" si="68"/>
        <v>0</v>
      </c>
      <c r="I869" s="91" t="str">
        <f t="shared" si="69"/>
        <v/>
      </c>
      <c r="J869" s="91" t="str">
        <f t="shared" si="70"/>
        <v/>
      </c>
      <c r="K869" s="92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2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58"/>
      <c r="U869" s="217" t="str">
        <f t="shared" si="71"/>
        <v/>
      </c>
      <c r="V869" s="215" t="s">
        <v>47</v>
      </c>
      <c r="W869" s="102" t="s">
        <v>136</v>
      </c>
      <c r="X869" s="102" t="s">
        <v>137</v>
      </c>
      <c r="Y869" s="103" t="s">
        <v>138</v>
      </c>
      <c r="Z869" s="103" t="s">
        <v>139</v>
      </c>
      <c r="AA869" s="103" t="s">
        <v>47</v>
      </c>
      <c r="AB869" s="103" t="s">
        <v>140</v>
      </c>
      <c r="AC869" s="104" t="s">
        <v>141</v>
      </c>
    </row>
    <row r="870" spans="1:29" ht="25.5" customHeight="1" x14ac:dyDescent="0.35">
      <c r="A870" s="188"/>
      <c r="B870" s="190"/>
      <c r="C870" s="99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0"/>
      <c r="E870" s="78" t="str">
        <f>IF(C870="","",IFERROR(VLOOKUP(C870,parametros!$A$11:$E$15,5,0),""))</f>
        <v/>
      </c>
      <c r="F870" s="79" t="str">
        <f t="shared" si="67"/>
        <v/>
      </c>
      <c r="G870" s="101"/>
      <c r="H870" s="91">
        <f t="shared" si="68"/>
        <v>0</v>
      </c>
      <c r="I870" s="91" t="str">
        <f t="shared" si="69"/>
        <v/>
      </c>
      <c r="J870" s="91" t="str">
        <f t="shared" si="70"/>
        <v/>
      </c>
      <c r="K870" s="92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2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58"/>
      <c r="U870" s="217" t="str">
        <f t="shared" si="71"/>
        <v/>
      </c>
      <c r="V870" s="215" t="s">
        <v>47</v>
      </c>
      <c r="W870" s="102" t="s">
        <v>136</v>
      </c>
      <c r="X870" s="102" t="s">
        <v>137</v>
      </c>
      <c r="Y870" s="103" t="s">
        <v>138</v>
      </c>
      <c r="Z870" s="103" t="s">
        <v>139</v>
      </c>
      <c r="AA870" s="103" t="s">
        <v>47</v>
      </c>
      <c r="AB870" s="103" t="s">
        <v>140</v>
      </c>
      <c r="AC870" s="104" t="s">
        <v>141</v>
      </c>
    </row>
    <row r="871" spans="1:29" ht="25.5" customHeight="1" x14ac:dyDescent="0.35">
      <c r="A871" s="188"/>
      <c r="B871" s="190"/>
      <c r="C871" s="99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0"/>
      <c r="E871" s="78" t="str">
        <f>IF(C871="","",IFERROR(VLOOKUP(C871,parametros!$A$11:$E$15,5,0),""))</f>
        <v/>
      </c>
      <c r="F871" s="79" t="str">
        <f t="shared" si="67"/>
        <v/>
      </c>
      <c r="G871" s="101"/>
      <c r="H871" s="91">
        <f t="shared" si="68"/>
        <v>0</v>
      </c>
      <c r="I871" s="91" t="str">
        <f t="shared" si="69"/>
        <v/>
      </c>
      <c r="J871" s="91" t="str">
        <f t="shared" si="70"/>
        <v/>
      </c>
      <c r="K871" s="92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2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58"/>
      <c r="U871" s="217" t="str">
        <f t="shared" si="71"/>
        <v/>
      </c>
      <c r="V871" s="215" t="s">
        <v>47</v>
      </c>
      <c r="W871" s="102" t="s">
        <v>136</v>
      </c>
      <c r="X871" s="102" t="s">
        <v>137</v>
      </c>
      <c r="Y871" s="103" t="s">
        <v>138</v>
      </c>
      <c r="Z871" s="103" t="s">
        <v>139</v>
      </c>
      <c r="AA871" s="103" t="s">
        <v>47</v>
      </c>
      <c r="AB871" s="103" t="s">
        <v>140</v>
      </c>
      <c r="AC871" s="104" t="s">
        <v>141</v>
      </c>
    </row>
    <row r="872" spans="1:29" ht="25.5" customHeight="1" x14ac:dyDescent="0.35">
      <c r="A872" s="188"/>
      <c r="B872" s="190"/>
      <c r="C872" s="99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0"/>
      <c r="E872" s="78" t="str">
        <f>IF(C872="","",IFERROR(VLOOKUP(C872,parametros!$A$11:$E$15,5,0),""))</f>
        <v/>
      </c>
      <c r="F872" s="79" t="str">
        <f t="shared" si="67"/>
        <v/>
      </c>
      <c r="G872" s="101"/>
      <c r="H872" s="91">
        <f t="shared" si="68"/>
        <v>0</v>
      </c>
      <c r="I872" s="91" t="str">
        <f t="shared" si="69"/>
        <v/>
      </c>
      <c r="J872" s="91" t="str">
        <f t="shared" si="70"/>
        <v/>
      </c>
      <c r="K872" s="92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2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58"/>
      <c r="U872" s="217" t="str">
        <f t="shared" si="71"/>
        <v/>
      </c>
      <c r="V872" s="215" t="s">
        <v>47</v>
      </c>
      <c r="W872" s="102" t="s">
        <v>136</v>
      </c>
      <c r="X872" s="102" t="s">
        <v>137</v>
      </c>
      <c r="Y872" s="103" t="s">
        <v>138</v>
      </c>
      <c r="Z872" s="103" t="s">
        <v>139</v>
      </c>
      <c r="AA872" s="103" t="s">
        <v>47</v>
      </c>
      <c r="AB872" s="103" t="s">
        <v>140</v>
      </c>
      <c r="AC872" s="104" t="s">
        <v>141</v>
      </c>
    </row>
    <row r="873" spans="1:29" ht="25.5" customHeight="1" x14ac:dyDescent="0.35">
      <c r="A873" s="188"/>
      <c r="B873" s="190"/>
      <c r="C873" s="99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0"/>
      <c r="E873" s="78" t="str">
        <f>IF(C873="","",IFERROR(VLOOKUP(C873,parametros!$A$11:$E$15,5,0),""))</f>
        <v/>
      </c>
      <c r="F873" s="79" t="str">
        <f t="shared" si="67"/>
        <v/>
      </c>
      <c r="G873" s="101"/>
      <c r="H873" s="91">
        <f t="shared" si="68"/>
        <v>0</v>
      </c>
      <c r="I873" s="91" t="str">
        <f t="shared" si="69"/>
        <v/>
      </c>
      <c r="J873" s="91" t="str">
        <f t="shared" si="70"/>
        <v/>
      </c>
      <c r="K873" s="92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2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58"/>
      <c r="U873" s="217" t="str">
        <f t="shared" si="71"/>
        <v/>
      </c>
      <c r="V873" s="215" t="s">
        <v>47</v>
      </c>
      <c r="W873" s="102" t="s">
        <v>136</v>
      </c>
      <c r="X873" s="102" t="s">
        <v>137</v>
      </c>
      <c r="Y873" s="103" t="s">
        <v>138</v>
      </c>
      <c r="Z873" s="103" t="s">
        <v>139</v>
      </c>
      <c r="AA873" s="103" t="s">
        <v>47</v>
      </c>
      <c r="AB873" s="103" t="s">
        <v>140</v>
      </c>
      <c r="AC873" s="104" t="s">
        <v>141</v>
      </c>
    </row>
    <row r="874" spans="1:29" ht="25.5" customHeight="1" x14ac:dyDescent="0.35">
      <c r="A874" s="188"/>
      <c r="B874" s="190"/>
      <c r="C874" s="99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0"/>
      <c r="E874" s="78" t="str">
        <f>IF(C874="","",IFERROR(VLOOKUP(C874,parametros!$A$11:$E$15,5,0),""))</f>
        <v/>
      </c>
      <c r="F874" s="79" t="str">
        <f t="shared" si="67"/>
        <v/>
      </c>
      <c r="G874" s="101"/>
      <c r="H874" s="91">
        <f t="shared" si="68"/>
        <v>0</v>
      </c>
      <c r="I874" s="91" t="str">
        <f t="shared" si="69"/>
        <v/>
      </c>
      <c r="J874" s="91" t="str">
        <f t="shared" si="70"/>
        <v/>
      </c>
      <c r="K874" s="92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2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58"/>
      <c r="U874" s="217" t="str">
        <f t="shared" si="71"/>
        <v/>
      </c>
      <c r="V874" s="215" t="s">
        <v>47</v>
      </c>
      <c r="W874" s="102" t="s">
        <v>136</v>
      </c>
      <c r="X874" s="102" t="s">
        <v>137</v>
      </c>
      <c r="Y874" s="103" t="s">
        <v>138</v>
      </c>
      <c r="Z874" s="103" t="s">
        <v>139</v>
      </c>
      <c r="AA874" s="103" t="s">
        <v>47</v>
      </c>
      <c r="AB874" s="103" t="s">
        <v>140</v>
      </c>
      <c r="AC874" s="104" t="s">
        <v>141</v>
      </c>
    </row>
    <row r="875" spans="1:29" ht="25.5" customHeight="1" x14ac:dyDescent="0.35">
      <c r="A875" s="188"/>
      <c r="B875" s="190"/>
      <c r="C875" s="99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0"/>
      <c r="E875" s="78" t="str">
        <f>IF(C875="","",IFERROR(VLOOKUP(C875,parametros!$A$11:$E$15,5,0),""))</f>
        <v/>
      </c>
      <c r="F875" s="79" t="str">
        <f t="shared" si="67"/>
        <v/>
      </c>
      <c r="G875" s="101"/>
      <c r="H875" s="91">
        <f t="shared" si="68"/>
        <v>0</v>
      </c>
      <c r="I875" s="91" t="str">
        <f t="shared" si="69"/>
        <v/>
      </c>
      <c r="J875" s="91" t="str">
        <f t="shared" si="70"/>
        <v/>
      </c>
      <c r="K875" s="92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2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58"/>
      <c r="U875" s="217" t="str">
        <f t="shared" si="71"/>
        <v/>
      </c>
      <c r="V875" s="215" t="s">
        <v>47</v>
      </c>
      <c r="W875" s="102" t="s">
        <v>136</v>
      </c>
      <c r="X875" s="102" t="s">
        <v>137</v>
      </c>
      <c r="Y875" s="103" t="s">
        <v>138</v>
      </c>
      <c r="Z875" s="103" t="s">
        <v>139</v>
      </c>
      <c r="AA875" s="103" t="s">
        <v>47</v>
      </c>
      <c r="AB875" s="103" t="s">
        <v>140</v>
      </c>
      <c r="AC875" s="104" t="s">
        <v>141</v>
      </c>
    </row>
    <row r="876" spans="1:29" ht="25.5" customHeight="1" x14ac:dyDescent="0.35">
      <c r="A876" s="188"/>
      <c r="B876" s="190"/>
      <c r="C876" s="99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0"/>
      <c r="E876" s="78" t="str">
        <f>IF(C876="","",IFERROR(VLOOKUP(C876,parametros!$A$11:$E$15,5,0),""))</f>
        <v/>
      </c>
      <c r="F876" s="79" t="str">
        <f t="shared" si="67"/>
        <v/>
      </c>
      <c r="G876" s="101"/>
      <c r="H876" s="91">
        <f t="shared" si="68"/>
        <v>0</v>
      </c>
      <c r="I876" s="91" t="str">
        <f t="shared" si="69"/>
        <v/>
      </c>
      <c r="J876" s="91" t="str">
        <f t="shared" si="70"/>
        <v/>
      </c>
      <c r="K876" s="92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2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58"/>
      <c r="U876" s="217" t="str">
        <f t="shared" si="71"/>
        <v/>
      </c>
      <c r="V876" s="215" t="s">
        <v>47</v>
      </c>
      <c r="W876" s="102" t="s">
        <v>136</v>
      </c>
      <c r="X876" s="102" t="s">
        <v>137</v>
      </c>
      <c r="Y876" s="103" t="s">
        <v>138</v>
      </c>
      <c r="Z876" s="103" t="s">
        <v>139</v>
      </c>
      <c r="AA876" s="103" t="s">
        <v>47</v>
      </c>
      <c r="AB876" s="103" t="s">
        <v>140</v>
      </c>
      <c r="AC876" s="104" t="s">
        <v>141</v>
      </c>
    </row>
    <row r="877" spans="1:29" ht="25.5" customHeight="1" x14ac:dyDescent="0.35">
      <c r="A877" s="188"/>
      <c r="B877" s="190"/>
      <c r="C877" s="99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0"/>
      <c r="E877" s="78" t="str">
        <f>IF(C877="","",IFERROR(VLOOKUP(C877,parametros!$A$11:$E$15,5,0),""))</f>
        <v/>
      </c>
      <c r="F877" s="79" t="str">
        <f t="shared" si="67"/>
        <v/>
      </c>
      <c r="G877" s="101"/>
      <c r="H877" s="91">
        <f t="shared" si="68"/>
        <v>0</v>
      </c>
      <c r="I877" s="91" t="str">
        <f t="shared" si="69"/>
        <v/>
      </c>
      <c r="J877" s="91" t="str">
        <f t="shared" si="70"/>
        <v/>
      </c>
      <c r="K877" s="92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2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58"/>
      <c r="U877" s="217" t="str">
        <f t="shared" si="71"/>
        <v/>
      </c>
      <c r="V877" s="215" t="s">
        <v>47</v>
      </c>
      <c r="W877" s="102" t="s">
        <v>136</v>
      </c>
      <c r="X877" s="102" t="s">
        <v>137</v>
      </c>
      <c r="Y877" s="103" t="s">
        <v>138</v>
      </c>
      <c r="Z877" s="103" t="s">
        <v>139</v>
      </c>
      <c r="AA877" s="103" t="s">
        <v>47</v>
      </c>
      <c r="AB877" s="103" t="s">
        <v>140</v>
      </c>
      <c r="AC877" s="104" t="s">
        <v>141</v>
      </c>
    </row>
    <row r="878" spans="1:29" ht="25.5" customHeight="1" x14ac:dyDescent="0.35">
      <c r="A878" s="188"/>
      <c r="B878" s="190"/>
      <c r="C878" s="99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0"/>
      <c r="E878" s="78" t="str">
        <f>IF(C878="","",IFERROR(VLOOKUP(C878,parametros!$A$11:$E$15,5,0),""))</f>
        <v/>
      </c>
      <c r="F878" s="79" t="str">
        <f t="shared" si="67"/>
        <v/>
      </c>
      <c r="G878" s="101"/>
      <c r="H878" s="91">
        <f t="shared" si="68"/>
        <v>0</v>
      </c>
      <c r="I878" s="91" t="str">
        <f t="shared" si="69"/>
        <v/>
      </c>
      <c r="J878" s="91" t="str">
        <f t="shared" si="70"/>
        <v/>
      </c>
      <c r="K878" s="92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2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58"/>
      <c r="U878" s="217" t="str">
        <f t="shared" si="71"/>
        <v/>
      </c>
      <c r="V878" s="215" t="s">
        <v>47</v>
      </c>
      <c r="W878" s="102" t="s">
        <v>136</v>
      </c>
      <c r="X878" s="102" t="s">
        <v>137</v>
      </c>
      <c r="Y878" s="103" t="s">
        <v>138</v>
      </c>
      <c r="Z878" s="103" t="s">
        <v>139</v>
      </c>
      <c r="AA878" s="103" t="s">
        <v>47</v>
      </c>
      <c r="AB878" s="103" t="s">
        <v>140</v>
      </c>
      <c r="AC878" s="104" t="s">
        <v>141</v>
      </c>
    </row>
    <row r="879" spans="1:29" ht="25.5" customHeight="1" x14ac:dyDescent="0.35">
      <c r="A879" s="188"/>
      <c r="B879" s="190"/>
      <c r="C879" s="99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0"/>
      <c r="E879" s="78" t="str">
        <f>IF(C879="","",IFERROR(VLOOKUP(C879,parametros!$A$11:$E$15,5,0),""))</f>
        <v/>
      </c>
      <c r="F879" s="79" t="str">
        <f t="shared" si="67"/>
        <v/>
      </c>
      <c r="G879" s="101"/>
      <c r="H879" s="91">
        <f t="shared" si="68"/>
        <v>0</v>
      </c>
      <c r="I879" s="91" t="str">
        <f t="shared" si="69"/>
        <v/>
      </c>
      <c r="J879" s="91" t="str">
        <f t="shared" si="70"/>
        <v/>
      </c>
      <c r="K879" s="92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2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58"/>
      <c r="U879" s="217" t="str">
        <f t="shared" si="71"/>
        <v/>
      </c>
      <c r="V879" s="215" t="s">
        <v>47</v>
      </c>
      <c r="W879" s="102" t="s">
        <v>136</v>
      </c>
      <c r="X879" s="102" t="s">
        <v>137</v>
      </c>
      <c r="Y879" s="103" t="s">
        <v>138</v>
      </c>
      <c r="Z879" s="103" t="s">
        <v>139</v>
      </c>
      <c r="AA879" s="103" t="s">
        <v>47</v>
      </c>
      <c r="AB879" s="103" t="s">
        <v>140</v>
      </c>
      <c r="AC879" s="104" t="s">
        <v>141</v>
      </c>
    </row>
    <row r="880" spans="1:29" ht="25.5" customHeight="1" x14ac:dyDescent="0.35">
      <c r="A880" s="188"/>
      <c r="B880" s="190"/>
      <c r="C880" s="99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0"/>
      <c r="E880" s="78" t="str">
        <f>IF(C880="","",IFERROR(VLOOKUP(C880,parametros!$A$11:$E$15,5,0),""))</f>
        <v/>
      </c>
      <c r="F880" s="79" t="str">
        <f t="shared" si="67"/>
        <v/>
      </c>
      <c r="G880" s="101"/>
      <c r="H880" s="91">
        <f t="shared" si="68"/>
        <v>0</v>
      </c>
      <c r="I880" s="91" t="str">
        <f t="shared" si="69"/>
        <v/>
      </c>
      <c r="J880" s="91" t="str">
        <f t="shared" si="70"/>
        <v/>
      </c>
      <c r="K880" s="92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2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58"/>
      <c r="U880" s="217" t="str">
        <f t="shared" si="71"/>
        <v/>
      </c>
      <c r="V880" s="215" t="s">
        <v>47</v>
      </c>
      <c r="W880" s="102" t="s">
        <v>136</v>
      </c>
      <c r="X880" s="102" t="s">
        <v>137</v>
      </c>
      <c r="Y880" s="103" t="s">
        <v>138</v>
      </c>
      <c r="Z880" s="103" t="s">
        <v>139</v>
      </c>
      <c r="AA880" s="103" t="s">
        <v>47</v>
      </c>
      <c r="AB880" s="103" t="s">
        <v>140</v>
      </c>
      <c r="AC880" s="104" t="s">
        <v>141</v>
      </c>
    </row>
    <row r="881" spans="1:29" ht="25.5" customHeight="1" x14ac:dyDescent="0.35">
      <c r="A881" s="188"/>
      <c r="B881" s="190"/>
      <c r="C881" s="99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0"/>
      <c r="E881" s="78" t="str">
        <f>IF(C881="","",IFERROR(VLOOKUP(C881,parametros!$A$11:$E$15,5,0),""))</f>
        <v/>
      </c>
      <c r="F881" s="79" t="str">
        <f t="shared" si="67"/>
        <v/>
      </c>
      <c r="G881" s="101"/>
      <c r="H881" s="91">
        <f t="shared" si="68"/>
        <v>0</v>
      </c>
      <c r="I881" s="91" t="str">
        <f t="shared" si="69"/>
        <v/>
      </c>
      <c r="J881" s="91" t="str">
        <f t="shared" si="70"/>
        <v/>
      </c>
      <c r="K881" s="92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2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58"/>
      <c r="U881" s="217" t="str">
        <f t="shared" si="71"/>
        <v/>
      </c>
      <c r="V881" s="215" t="s">
        <v>47</v>
      </c>
      <c r="W881" s="102" t="s">
        <v>136</v>
      </c>
      <c r="X881" s="102" t="s">
        <v>137</v>
      </c>
      <c r="Y881" s="103" t="s">
        <v>138</v>
      </c>
      <c r="Z881" s="103" t="s">
        <v>139</v>
      </c>
      <c r="AA881" s="103" t="s">
        <v>47</v>
      </c>
      <c r="AB881" s="103" t="s">
        <v>140</v>
      </c>
      <c r="AC881" s="104" t="s">
        <v>141</v>
      </c>
    </row>
    <row r="882" spans="1:29" ht="25.5" customHeight="1" x14ac:dyDescent="0.35">
      <c r="A882" s="188"/>
      <c r="B882" s="190"/>
      <c r="C882" s="99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0"/>
      <c r="E882" s="78" t="str">
        <f>IF(C882="","",IFERROR(VLOOKUP(C882,parametros!$A$11:$E$15,5,0),""))</f>
        <v/>
      </c>
      <c r="F882" s="79" t="str">
        <f t="shared" si="67"/>
        <v/>
      </c>
      <c r="G882" s="101"/>
      <c r="H882" s="91">
        <f t="shared" si="68"/>
        <v>0</v>
      </c>
      <c r="I882" s="91" t="str">
        <f t="shared" si="69"/>
        <v/>
      </c>
      <c r="J882" s="91" t="str">
        <f t="shared" si="70"/>
        <v/>
      </c>
      <c r="K882" s="92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2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58"/>
      <c r="U882" s="217" t="str">
        <f t="shared" si="71"/>
        <v/>
      </c>
      <c r="V882" s="215" t="s">
        <v>47</v>
      </c>
      <c r="W882" s="102" t="s">
        <v>136</v>
      </c>
      <c r="X882" s="102" t="s">
        <v>137</v>
      </c>
      <c r="Y882" s="103" t="s">
        <v>138</v>
      </c>
      <c r="Z882" s="103" t="s">
        <v>139</v>
      </c>
      <c r="AA882" s="103" t="s">
        <v>47</v>
      </c>
      <c r="AB882" s="103" t="s">
        <v>140</v>
      </c>
      <c r="AC882" s="104" t="s">
        <v>141</v>
      </c>
    </row>
    <row r="883" spans="1:29" ht="25.5" customHeight="1" x14ac:dyDescent="0.35">
      <c r="A883" s="188"/>
      <c r="B883" s="190"/>
      <c r="C883" s="99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0"/>
      <c r="E883" s="78" t="str">
        <f>IF(C883="","",IFERROR(VLOOKUP(C883,parametros!$A$11:$E$15,5,0),""))</f>
        <v/>
      </c>
      <c r="F883" s="79" t="str">
        <f t="shared" si="67"/>
        <v/>
      </c>
      <c r="G883" s="101"/>
      <c r="H883" s="91">
        <f t="shared" si="68"/>
        <v>0</v>
      </c>
      <c r="I883" s="91" t="str">
        <f t="shared" si="69"/>
        <v/>
      </c>
      <c r="J883" s="91" t="str">
        <f t="shared" si="70"/>
        <v/>
      </c>
      <c r="K883" s="92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2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58"/>
      <c r="U883" s="217" t="str">
        <f t="shared" si="71"/>
        <v/>
      </c>
      <c r="V883" s="215" t="s">
        <v>47</v>
      </c>
      <c r="W883" s="102" t="s">
        <v>136</v>
      </c>
      <c r="X883" s="102" t="s">
        <v>137</v>
      </c>
      <c r="Y883" s="103" t="s">
        <v>138</v>
      </c>
      <c r="Z883" s="103" t="s">
        <v>139</v>
      </c>
      <c r="AA883" s="103" t="s">
        <v>47</v>
      </c>
      <c r="AB883" s="103" t="s">
        <v>140</v>
      </c>
      <c r="AC883" s="104" t="s">
        <v>141</v>
      </c>
    </row>
    <row r="884" spans="1:29" ht="25.5" customHeight="1" x14ac:dyDescent="0.35">
      <c r="A884" s="188"/>
      <c r="B884" s="190"/>
      <c r="C884" s="99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0"/>
      <c r="E884" s="78" t="str">
        <f>IF(C884="","",IFERROR(VLOOKUP(C884,parametros!$A$11:$E$15,5,0),""))</f>
        <v/>
      </c>
      <c r="F884" s="79" t="str">
        <f t="shared" si="67"/>
        <v/>
      </c>
      <c r="G884" s="101"/>
      <c r="H884" s="91">
        <f t="shared" si="68"/>
        <v>0</v>
      </c>
      <c r="I884" s="91" t="str">
        <f t="shared" si="69"/>
        <v/>
      </c>
      <c r="J884" s="91" t="str">
        <f t="shared" si="70"/>
        <v/>
      </c>
      <c r="K884" s="92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2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58"/>
      <c r="U884" s="217" t="str">
        <f t="shared" si="71"/>
        <v/>
      </c>
      <c r="V884" s="215" t="s">
        <v>47</v>
      </c>
      <c r="W884" s="102" t="s">
        <v>136</v>
      </c>
      <c r="X884" s="102" t="s">
        <v>137</v>
      </c>
      <c r="Y884" s="103" t="s">
        <v>138</v>
      </c>
      <c r="Z884" s="103" t="s">
        <v>139</v>
      </c>
      <c r="AA884" s="103" t="s">
        <v>47</v>
      </c>
      <c r="AB884" s="103" t="s">
        <v>140</v>
      </c>
      <c r="AC884" s="104" t="s">
        <v>141</v>
      </c>
    </row>
    <row r="885" spans="1:29" ht="25.5" customHeight="1" x14ac:dyDescent="0.35">
      <c r="A885" s="188"/>
      <c r="B885" s="190"/>
      <c r="C885" s="99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0"/>
      <c r="E885" s="78" t="str">
        <f>IF(C885="","",IFERROR(VLOOKUP(C885,parametros!$A$11:$E$15,5,0),""))</f>
        <v/>
      </c>
      <c r="F885" s="79" t="str">
        <f t="shared" si="67"/>
        <v/>
      </c>
      <c r="G885" s="101"/>
      <c r="H885" s="91">
        <f t="shared" si="68"/>
        <v>0</v>
      </c>
      <c r="I885" s="91" t="str">
        <f t="shared" si="69"/>
        <v/>
      </c>
      <c r="J885" s="91" t="str">
        <f t="shared" si="70"/>
        <v/>
      </c>
      <c r="K885" s="92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2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58"/>
      <c r="U885" s="217" t="str">
        <f t="shared" si="71"/>
        <v/>
      </c>
      <c r="V885" s="215" t="s">
        <v>47</v>
      </c>
      <c r="W885" s="102" t="s">
        <v>136</v>
      </c>
      <c r="X885" s="102" t="s">
        <v>137</v>
      </c>
      <c r="Y885" s="103" t="s">
        <v>138</v>
      </c>
      <c r="Z885" s="103" t="s">
        <v>139</v>
      </c>
      <c r="AA885" s="103" t="s">
        <v>47</v>
      </c>
      <c r="AB885" s="103" t="s">
        <v>140</v>
      </c>
      <c r="AC885" s="104" t="s">
        <v>141</v>
      </c>
    </row>
    <row r="886" spans="1:29" ht="25.5" customHeight="1" x14ac:dyDescent="0.35">
      <c r="A886" s="188"/>
      <c r="B886" s="190"/>
      <c r="C886" s="99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0"/>
      <c r="E886" s="78" t="str">
        <f>IF(C886="","",IFERROR(VLOOKUP(C886,parametros!$A$11:$E$15,5,0),""))</f>
        <v/>
      </c>
      <c r="F886" s="79" t="str">
        <f t="shared" si="67"/>
        <v/>
      </c>
      <c r="G886" s="101"/>
      <c r="H886" s="91">
        <f t="shared" si="68"/>
        <v>0</v>
      </c>
      <c r="I886" s="91" t="str">
        <f t="shared" si="69"/>
        <v/>
      </c>
      <c r="J886" s="91" t="str">
        <f t="shared" si="70"/>
        <v/>
      </c>
      <c r="K886" s="92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2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58"/>
      <c r="U886" s="217" t="str">
        <f t="shared" si="71"/>
        <v/>
      </c>
      <c r="V886" s="215" t="s">
        <v>47</v>
      </c>
      <c r="W886" s="102" t="s">
        <v>136</v>
      </c>
      <c r="X886" s="102" t="s">
        <v>137</v>
      </c>
      <c r="Y886" s="103" t="s">
        <v>138</v>
      </c>
      <c r="Z886" s="103" t="s">
        <v>139</v>
      </c>
      <c r="AA886" s="103" t="s">
        <v>47</v>
      </c>
      <c r="AB886" s="103" t="s">
        <v>140</v>
      </c>
      <c r="AC886" s="104" t="s">
        <v>141</v>
      </c>
    </row>
    <row r="887" spans="1:29" ht="25.5" customHeight="1" x14ac:dyDescent="0.35">
      <c r="A887" s="188"/>
      <c r="B887" s="190"/>
      <c r="C887" s="99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0"/>
      <c r="E887" s="78" t="str">
        <f>IF(C887="","",IFERROR(VLOOKUP(C887,parametros!$A$11:$E$15,5,0),""))</f>
        <v/>
      </c>
      <c r="F887" s="79" t="str">
        <f t="shared" si="67"/>
        <v/>
      </c>
      <c r="G887" s="101"/>
      <c r="H887" s="91">
        <f t="shared" si="68"/>
        <v>0</v>
      </c>
      <c r="I887" s="91" t="str">
        <f t="shared" si="69"/>
        <v/>
      </c>
      <c r="J887" s="91" t="str">
        <f t="shared" si="70"/>
        <v/>
      </c>
      <c r="K887" s="92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2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58"/>
      <c r="U887" s="217" t="str">
        <f t="shared" si="71"/>
        <v/>
      </c>
      <c r="V887" s="215" t="s">
        <v>47</v>
      </c>
      <c r="W887" s="102" t="s">
        <v>136</v>
      </c>
      <c r="X887" s="102" t="s">
        <v>137</v>
      </c>
      <c r="Y887" s="103" t="s">
        <v>138</v>
      </c>
      <c r="Z887" s="103" t="s">
        <v>139</v>
      </c>
      <c r="AA887" s="103" t="s">
        <v>47</v>
      </c>
      <c r="AB887" s="103" t="s">
        <v>140</v>
      </c>
      <c r="AC887" s="104" t="s">
        <v>141</v>
      </c>
    </row>
    <row r="888" spans="1:29" ht="25.5" customHeight="1" x14ac:dyDescent="0.35">
      <c r="A888" s="188"/>
      <c r="B888" s="190"/>
      <c r="C888" s="99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0"/>
      <c r="E888" s="78" t="str">
        <f>IF(C888="","",IFERROR(VLOOKUP(C888,parametros!$A$11:$E$15,5,0),""))</f>
        <v/>
      </c>
      <c r="F888" s="79" t="str">
        <f t="shared" si="67"/>
        <v/>
      </c>
      <c r="G888" s="101"/>
      <c r="H888" s="91">
        <f t="shared" si="68"/>
        <v>0</v>
      </c>
      <c r="I888" s="91" t="str">
        <f t="shared" si="69"/>
        <v/>
      </c>
      <c r="J888" s="91" t="str">
        <f t="shared" si="70"/>
        <v/>
      </c>
      <c r="K888" s="92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2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58"/>
      <c r="U888" s="217" t="str">
        <f t="shared" si="71"/>
        <v/>
      </c>
      <c r="V888" s="215" t="s">
        <v>47</v>
      </c>
      <c r="W888" s="102" t="s">
        <v>136</v>
      </c>
      <c r="X888" s="102" t="s">
        <v>137</v>
      </c>
      <c r="Y888" s="103" t="s">
        <v>138</v>
      </c>
      <c r="Z888" s="103" t="s">
        <v>139</v>
      </c>
      <c r="AA888" s="103" t="s">
        <v>47</v>
      </c>
      <c r="AB888" s="103" t="s">
        <v>140</v>
      </c>
      <c r="AC888" s="104" t="s">
        <v>141</v>
      </c>
    </row>
    <row r="889" spans="1:29" ht="25.5" customHeight="1" x14ac:dyDescent="0.35">
      <c r="A889" s="188"/>
      <c r="B889" s="190"/>
      <c r="C889" s="99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0"/>
      <c r="E889" s="78" t="str">
        <f>IF(C889="","",IFERROR(VLOOKUP(C889,parametros!$A$11:$E$15,5,0),""))</f>
        <v/>
      </c>
      <c r="F889" s="79" t="str">
        <f t="shared" si="67"/>
        <v/>
      </c>
      <c r="G889" s="101"/>
      <c r="H889" s="91">
        <f t="shared" si="68"/>
        <v>0</v>
      </c>
      <c r="I889" s="91" t="str">
        <f t="shared" si="69"/>
        <v/>
      </c>
      <c r="J889" s="91" t="str">
        <f t="shared" si="70"/>
        <v/>
      </c>
      <c r="K889" s="92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2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58"/>
      <c r="U889" s="217" t="str">
        <f t="shared" si="71"/>
        <v/>
      </c>
      <c r="V889" s="215" t="s">
        <v>47</v>
      </c>
      <c r="W889" s="102" t="s">
        <v>136</v>
      </c>
      <c r="X889" s="102" t="s">
        <v>137</v>
      </c>
      <c r="Y889" s="103" t="s">
        <v>138</v>
      </c>
      <c r="Z889" s="103" t="s">
        <v>139</v>
      </c>
      <c r="AA889" s="103" t="s">
        <v>47</v>
      </c>
      <c r="AB889" s="103" t="s">
        <v>140</v>
      </c>
      <c r="AC889" s="104" t="s">
        <v>141</v>
      </c>
    </row>
    <row r="890" spans="1:29" ht="25.5" customHeight="1" x14ac:dyDescent="0.35">
      <c r="A890" s="188"/>
      <c r="B890" s="190"/>
      <c r="C890" s="99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0"/>
      <c r="E890" s="78" t="str">
        <f>IF(C890="","",IFERROR(VLOOKUP(C890,parametros!$A$11:$E$15,5,0),""))</f>
        <v/>
      </c>
      <c r="F890" s="79" t="str">
        <f t="shared" si="67"/>
        <v/>
      </c>
      <c r="G890" s="101"/>
      <c r="H890" s="91">
        <f t="shared" si="68"/>
        <v>0</v>
      </c>
      <c r="I890" s="91" t="str">
        <f t="shared" si="69"/>
        <v/>
      </c>
      <c r="J890" s="91" t="str">
        <f t="shared" si="70"/>
        <v/>
      </c>
      <c r="K890" s="92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2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58"/>
      <c r="U890" s="217" t="str">
        <f t="shared" si="71"/>
        <v/>
      </c>
      <c r="V890" s="215" t="s">
        <v>47</v>
      </c>
      <c r="W890" s="102" t="s">
        <v>136</v>
      </c>
      <c r="X890" s="102" t="s">
        <v>137</v>
      </c>
      <c r="Y890" s="103" t="s">
        <v>138</v>
      </c>
      <c r="Z890" s="103" t="s">
        <v>139</v>
      </c>
      <c r="AA890" s="103" t="s">
        <v>47</v>
      </c>
      <c r="AB890" s="103" t="s">
        <v>140</v>
      </c>
      <c r="AC890" s="104" t="s">
        <v>141</v>
      </c>
    </row>
    <row r="891" spans="1:29" ht="25.5" customHeight="1" x14ac:dyDescent="0.35">
      <c r="A891" s="188"/>
      <c r="B891" s="190"/>
      <c r="C891" s="99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0"/>
      <c r="E891" s="78" t="str">
        <f>IF(C891="","",IFERROR(VLOOKUP(C891,parametros!$A$11:$E$15,5,0),""))</f>
        <v/>
      </c>
      <c r="F891" s="79" t="str">
        <f t="shared" si="67"/>
        <v/>
      </c>
      <c r="G891" s="101"/>
      <c r="H891" s="91">
        <f t="shared" si="68"/>
        <v>0</v>
      </c>
      <c r="I891" s="91" t="str">
        <f t="shared" si="69"/>
        <v/>
      </c>
      <c r="J891" s="91" t="str">
        <f t="shared" si="70"/>
        <v/>
      </c>
      <c r="K891" s="92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2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58"/>
      <c r="U891" s="217" t="str">
        <f t="shared" si="71"/>
        <v/>
      </c>
      <c r="V891" s="215" t="s">
        <v>47</v>
      </c>
      <c r="W891" s="102" t="s">
        <v>136</v>
      </c>
      <c r="X891" s="102" t="s">
        <v>137</v>
      </c>
      <c r="Y891" s="103" t="s">
        <v>138</v>
      </c>
      <c r="Z891" s="103" t="s">
        <v>139</v>
      </c>
      <c r="AA891" s="103" t="s">
        <v>47</v>
      </c>
      <c r="AB891" s="103" t="s">
        <v>140</v>
      </c>
      <c r="AC891" s="104" t="s">
        <v>141</v>
      </c>
    </row>
    <row r="892" spans="1:29" ht="25.5" customHeight="1" x14ac:dyDescent="0.35">
      <c r="A892" s="188"/>
      <c r="B892" s="190"/>
      <c r="C892" s="99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0"/>
      <c r="E892" s="78" t="str">
        <f>IF(C892="","",IFERROR(VLOOKUP(C892,parametros!$A$11:$E$15,5,0),""))</f>
        <v/>
      </c>
      <c r="F892" s="79" t="str">
        <f t="shared" si="67"/>
        <v/>
      </c>
      <c r="G892" s="101"/>
      <c r="H892" s="91">
        <f t="shared" si="68"/>
        <v>0</v>
      </c>
      <c r="I892" s="91" t="str">
        <f t="shared" si="69"/>
        <v/>
      </c>
      <c r="J892" s="91" t="str">
        <f t="shared" si="70"/>
        <v/>
      </c>
      <c r="K892" s="92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2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58"/>
      <c r="U892" s="217" t="str">
        <f t="shared" si="71"/>
        <v/>
      </c>
      <c r="V892" s="215" t="s">
        <v>47</v>
      </c>
      <c r="W892" s="102" t="s">
        <v>136</v>
      </c>
      <c r="X892" s="102" t="s">
        <v>137</v>
      </c>
      <c r="Y892" s="103" t="s">
        <v>138</v>
      </c>
      <c r="Z892" s="103" t="s">
        <v>139</v>
      </c>
      <c r="AA892" s="103" t="s">
        <v>47</v>
      </c>
      <c r="AB892" s="103" t="s">
        <v>140</v>
      </c>
      <c r="AC892" s="104" t="s">
        <v>141</v>
      </c>
    </row>
    <row r="893" spans="1:29" ht="25.5" customHeight="1" x14ac:dyDescent="0.35">
      <c r="A893" s="188"/>
      <c r="B893" s="190"/>
      <c r="C893" s="99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0"/>
      <c r="E893" s="78" t="str">
        <f>IF(C893="","",IFERROR(VLOOKUP(C893,parametros!$A$11:$E$15,5,0),""))</f>
        <v/>
      </c>
      <c r="F893" s="79" t="str">
        <f t="shared" si="67"/>
        <v/>
      </c>
      <c r="G893" s="101"/>
      <c r="H893" s="91">
        <f t="shared" si="68"/>
        <v>0</v>
      </c>
      <c r="I893" s="91" t="str">
        <f t="shared" si="69"/>
        <v/>
      </c>
      <c r="J893" s="91" t="str">
        <f t="shared" si="70"/>
        <v/>
      </c>
      <c r="K893" s="92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2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58"/>
      <c r="U893" s="217" t="str">
        <f t="shared" si="71"/>
        <v/>
      </c>
      <c r="V893" s="215" t="s">
        <v>47</v>
      </c>
      <c r="W893" s="102" t="s">
        <v>136</v>
      </c>
      <c r="X893" s="102" t="s">
        <v>137</v>
      </c>
      <c r="Y893" s="103" t="s">
        <v>138</v>
      </c>
      <c r="Z893" s="103" t="s">
        <v>139</v>
      </c>
      <c r="AA893" s="103" t="s">
        <v>47</v>
      </c>
      <c r="AB893" s="103" t="s">
        <v>140</v>
      </c>
      <c r="AC893" s="104" t="s">
        <v>141</v>
      </c>
    </row>
    <row r="894" spans="1:29" ht="25.5" customHeight="1" x14ac:dyDescent="0.35">
      <c r="A894" s="188"/>
      <c r="B894" s="190"/>
      <c r="C894" s="99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0"/>
      <c r="E894" s="78" t="str">
        <f>IF(C894="","",IFERROR(VLOOKUP(C894,parametros!$A$11:$E$15,5,0),""))</f>
        <v/>
      </c>
      <c r="F894" s="79" t="str">
        <f t="shared" si="67"/>
        <v/>
      </c>
      <c r="G894" s="101"/>
      <c r="H894" s="91">
        <f t="shared" si="68"/>
        <v>0</v>
      </c>
      <c r="I894" s="91" t="str">
        <f t="shared" si="69"/>
        <v/>
      </c>
      <c r="J894" s="91" t="str">
        <f t="shared" si="70"/>
        <v/>
      </c>
      <c r="K894" s="92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2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58"/>
      <c r="U894" s="217" t="str">
        <f t="shared" si="71"/>
        <v/>
      </c>
      <c r="V894" s="215" t="s">
        <v>47</v>
      </c>
      <c r="W894" s="102" t="s">
        <v>136</v>
      </c>
      <c r="X894" s="102" t="s">
        <v>137</v>
      </c>
      <c r="Y894" s="103" t="s">
        <v>138</v>
      </c>
      <c r="Z894" s="103" t="s">
        <v>139</v>
      </c>
      <c r="AA894" s="103" t="s">
        <v>47</v>
      </c>
      <c r="AB894" s="103" t="s">
        <v>140</v>
      </c>
      <c r="AC894" s="104" t="s">
        <v>141</v>
      </c>
    </row>
    <row r="895" spans="1:29" ht="25.5" customHeight="1" x14ac:dyDescent="0.35">
      <c r="A895" s="188"/>
      <c r="B895" s="190"/>
      <c r="C895" s="99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0"/>
      <c r="E895" s="78" t="str">
        <f>IF(C895="","",IFERROR(VLOOKUP(C895,parametros!$A$11:$E$15,5,0),""))</f>
        <v/>
      </c>
      <c r="F895" s="79" t="str">
        <f t="shared" si="67"/>
        <v/>
      </c>
      <c r="G895" s="101"/>
      <c r="H895" s="91">
        <f t="shared" si="68"/>
        <v>0</v>
      </c>
      <c r="I895" s="91" t="str">
        <f t="shared" si="69"/>
        <v/>
      </c>
      <c r="J895" s="91" t="str">
        <f t="shared" si="70"/>
        <v/>
      </c>
      <c r="K895" s="92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2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58"/>
      <c r="U895" s="217" t="str">
        <f t="shared" si="71"/>
        <v/>
      </c>
      <c r="V895" s="215" t="s">
        <v>47</v>
      </c>
      <c r="W895" s="102" t="s">
        <v>136</v>
      </c>
      <c r="X895" s="102" t="s">
        <v>137</v>
      </c>
      <c r="Y895" s="103" t="s">
        <v>138</v>
      </c>
      <c r="Z895" s="103" t="s">
        <v>139</v>
      </c>
      <c r="AA895" s="103" t="s">
        <v>47</v>
      </c>
      <c r="AB895" s="103" t="s">
        <v>140</v>
      </c>
      <c r="AC895" s="104" t="s">
        <v>141</v>
      </c>
    </row>
    <row r="896" spans="1:29" ht="25.5" customHeight="1" x14ac:dyDescent="0.35">
      <c r="A896" s="188"/>
      <c r="B896" s="190"/>
      <c r="C896" s="99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0"/>
      <c r="E896" s="78" t="str">
        <f>IF(C896="","",IFERROR(VLOOKUP(C896,parametros!$A$11:$E$15,5,0),""))</f>
        <v/>
      </c>
      <c r="F896" s="79" t="str">
        <f t="shared" si="67"/>
        <v/>
      </c>
      <c r="G896" s="101"/>
      <c r="H896" s="91">
        <f t="shared" si="68"/>
        <v>0</v>
      </c>
      <c r="I896" s="91" t="str">
        <f t="shared" si="69"/>
        <v/>
      </c>
      <c r="J896" s="91" t="str">
        <f t="shared" si="70"/>
        <v/>
      </c>
      <c r="K896" s="92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2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58"/>
      <c r="U896" s="217" t="str">
        <f t="shared" si="71"/>
        <v/>
      </c>
      <c r="V896" s="215" t="s">
        <v>47</v>
      </c>
      <c r="W896" s="102" t="s">
        <v>136</v>
      </c>
      <c r="X896" s="102" t="s">
        <v>137</v>
      </c>
      <c r="Y896" s="103" t="s">
        <v>138</v>
      </c>
      <c r="Z896" s="103" t="s">
        <v>139</v>
      </c>
      <c r="AA896" s="103" t="s">
        <v>47</v>
      </c>
      <c r="AB896" s="103" t="s">
        <v>140</v>
      </c>
      <c r="AC896" s="104" t="s">
        <v>141</v>
      </c>
    </row>
    <row r="897" spans="1:29" ht="25.5" customHeight="1" x14ac:dyDescent="0.35">
      <c r="A897" s="188"/>
      <c r="B897" s="190"/>
      <c r="C897" s="99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0"/>
      <c r="E897" s="78" t="str">
        <f>IF(C897="","",IFERROR(VLOOKUP(C897,parametros!$A$11:$E$15,5,0),""))</f>
        <v/>
      </c>
      <c r="F897" s="79" t="str">
        <f t="shared" si="67"/>
        <v/>
      </c>
      <c r="G897" s="101"/>
      <c r="H897" s="91">
        <f t="shared" si="68"/>
        <v>0</v>
      </c>
      <c r="I897" s="91" t="str">
        <f t="shared" si="69"/>
        <v/>
      </c>
      <c r="J897" s="91" t="str">
        <f t="shared" si="70"/>
        <v/>
      </c>
      <c r="K897" s="92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2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58"/>
      <c r="U897" s="217" t="str">
        <f t="shared" si="71"/>
        <v/>
      </c>
      <c r="V897" s="215" t="s">
        <v>47</v>
      </c>
      <c r="W897" s="102" t="s">
        <v>136</v>
      </c>
      <c r="X897" s="102" t="s">
        <v>137</v>
      </c>
      <c r="Y897" s="103" t="s">
        <v>138</v>
      </c>
      <c r="Z897" s="103" t="s">
        <v>139</v>
      </c>
      <c r="AA897" s="103" t="s">
        <v>47</v>
      </c>
      <c r="AB897" s="103" t="s">
        <v>140</v>
      </c>
      <c r="AC897" s="104" t="s">
        <v>141</v>
      </c>
    </row>
    <row r="898" spans="1:29" ht="25.5" customHeight="1" x14ac:dyDescent="0.35">
      <c r="A898" s="188"/>
      <c r="B898" s="190"/>
      <c r="C898" s="99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0"/>
      <c r="E898" s="78" t="str">
        <f>IF(C898="","",IFERROR(VLOOKUP(C898,parametros!$A$11:$E$15,5,0),""))</f>
        <v/>
      </c>
      <c r="F898" s="79" t="str">
        <f t="shared" ref="F898:F961" si="72">IF(OR(D898="",E898=""),"",ROUND(D898*E898,2))</f>
        <v/>
      </c>
      <c r="G898" s="101"/>
      <c r="H898" s="91">
        <f t="shared" ref="H898:H961" si="73">IF(G898="Sim",IF(OR(F898="",D898="",L898=""),"",IF(L898="Sim",ROUND(F898-D898,2),0)),0)</f>
        <v>0</v>
      </c>
      <c r="I898" s="91" t="str">
        <f t="shared" ref="I898:I961" si="74">IF(G898="Sim",0,IF(OR(F898="",L898=""),"",F898))</f>
        <v/>
      </c>
      <c r="J898" s="91" t="str">
        <f t="shared" ref="J898:J961" si="75">IF(G898="Sim",0,IF(OR(F898="",D898="",L898=""),"",IF(L898="Sim",ROUND(F898-D898,2),0)))</f>
        <v/>
      </c>
      <c r="K898" s="92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2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58"/>
      <c r="U898" s="217" t="str">
        <f t="shared" ref="U898:U961" si="76">IF(OR($D898="",$H898=""),"",ROUND($D898+$H898,2))</f>
        <v/>
      </c>
      <c r="V898" s="215" t="s">
        <v>47</v>
      </c>
      <c r="W898" s="102" t="s">
        <v>136</v>
      </c>
      <c r="X898" s="102" t="s">
        <v>137</v>
      </c>
      <c r="Y898" s="103" t="s">
        <v>138</v>
      </c>
      <c r="Z898" s="103" t="s">
        <v>139</v>
      </c>
      <c r="AA898" s="103" t="s">
        <v>47</v>
      </c>
      <c r="AB898" s="103" t="s">
        <v>140</v>
      </c>
      <c r="AC898" s="104" t="s">
        <v>141</v>
      </c>
    </row>
    <row r="899" spans="1:29" ht="25.5" customHeight="1" x14ac:dyDescent="0.35">
      <c r="A899" s="188"/>
      <c r="B899" s="190"/>
      <c r="C899" s="99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0"/>
      <c r="E899" s="78" t="str">
        <f>IF(C899="","",IFERROR(VLOOKUP(C899,parametros!$A$11:$E$15,5,0),""))</f>
        <v/>
      </c>
      <c r="F899" s="79" t="str">
        <f t="shared" si="72"/>
        <v/>
      </c>
      <c r="G899" s="101"/>
      <c r="H899" s="91">
        <f t="shared" si="73"/>
        <v>0</v>
      </c>
      <c r="I899" s="91" t="str">
        <f t="shared" si="74"/>
        <v/>
      </c>
      <c r="J899" s="91" t="str">
        <f t="shared" si="75"/>
        <v/>
      </c>
      <c r="K899" s="92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2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58"/>
      <c r="U899" s="217" t="str">
        <f t="shared" si="76"/>
        <v/>
      </c>
      <c r="V899" s="215" t="s">
        <v>47</v>
      </c>
      <c r="W899" s="102" t="s">
        <v>136</v>
      </c>
      <c r="X899" s="102" t="s">
        <v>137</v>
      </c>
      <c r="Y899" s="103" t="s">
        <v>138</v>
      </c>
      <c r="Z899" s="103" t="s">
        <v>139</v>
      </c>
      <c r="AA899" s="103" t="s">
        <v>47</v>
      </c>
      <c r="AB899" s="103" t="s">
        <v>140</v>
      </c>
      <c r="AC899" s="104" t="s">
        <v>141</v>
      </c>
    </row>
    <row r="900" spans="1:29" ht="25.5" customHeight="1" x14ac:dyDescent="0.35">
      <c r="A900" s="188"/>
      <c r="B900" s="190"/>
      <c r="C900" s="99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0"/>
      <c r="E900" s="78" t="str">
        <f>IF(C900="","",IFERROR(VLOOKUP(C900,parametros!$A$11:$E$15,5,0),""))</f>
        <v/>
      </c>
      <c r="F900" s="79" t="str">
        <f t="shared" si="72"/>
        <v/>
      </c>
      <c r="G900" s="101"/>
      <c r="H900" s="91">
        <f t="shared" si="73"/>
        <v>0</v>
      </c>
      <c r="I900" s="91" t="str">
        <f t="shared" si="74"/>
        <v/>
      </c>
      <c r="J900" s="91" t="str">
        <f t="shared" si="75"/>
        <v/>
      </c>
      <c r="K900" s="92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2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58"/>
      <c r="U900" s="217" t="str">
        <f t="shared" si="76"/>
        <v/>
      </c>
      <c r="V900" s="215" t="s">
        <v>47</v>
      </c>
      <c r="W900" s="102" t="s">
        <v>136</v>
      </c>
      <c r="X900" s="102" t="s">
        <v>137</v>
      </c>
      <c r="Y900" s="103" t="s">
        <v>138</v>
      </c>
      <c r="Z900" s="103" t="s">
        <v>139</v>
      </c>
      <c r="AA900" s="103" t="s">
        <v>47</v>
      </c>
      <c r="AB900" s="103" t="s">
        <v>140</v>
      </c>
      <c r="AC900" s="104" t="s">
        <v>141</v>
      </c>
    </row>
    <row r="901" spans="1:29" ht="25.5" customHeight="1" x14ac:dyDescent="0.35">
      <c r="A901" s="188"/>
      <c r="B901" s="190"/>
      <c r="C901" s="99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0"/>
      <c r="E901" s="78" t="str">
        <f>IF(C901="","",IFERROR(VLOOKUP(C901,parametros!$A$11:$E$15,5,0),""))</f>
        <v/>
      </c>
      <c r="F901" s="79" t="str">
        <f t="shared" si="72"/>
        <v/>
      </c>
      <c r="G901" s="101"/>
      <c r="H901" s="91">
        <f t="shared" si="73"/>
        <v>0</v>
      </c>
      <c r="I901" s="91" t="str">
        <f t="shared" si="74"/>
        <v/>
      </c>
      <c r="J901" s="91" t="str">
        <f t="shared" si="75"/>
        <v/>
      </c>
      <c r="K901" s="92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2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58"/>
      <c r="U901" s="217" t="str">
        <f t="shared" si="76"/>
        <v/>
      </c>
      <c r="V901" s="215" t="s">
        <v>47</v>
      </c>
      <c r="W901" s="102" t="s">
        <v>136</v>
      </c>
      <c r="X901" s="102" t="s">
        <v>137</v>
      </c>
      <c r="Y901" s="103" t="s">
        <v>138</v>
      </c>
      <c r="Z901" s="103" t="s">
        <v>139</v>
      </c>
      <c r="AA901" s="103" t="s">
        <v>47</v>
      </c>
      <c r="AB901" s="103" t="s">
        <v>140</v>
      </c>
      <c r="AC901" s="104" t="s">
        <v>141</v>
      </c>
    </row>
    <row r="902" spans="1:29" ht="25.5" customHeight="1" x14ac:dyDescent="0.35">
      <c r="A902" s="188"/>
      <c r="B902" s="190"/>
      <c r="C902" s="99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0"/>
      <c r="E902" s="78" t="str">
        <f>IF(C902="","",IFERROR(VLOOKUP(C902,parametros!$A$11:$E$15,5,0),""))</f>
        <v/>
      </c>
      <c r="F902" s="79" t="str">
        <f t="shared" si="72"/>
        <v/>
      </c>
      <c r="G902" s="101"/>
      <c r="H902" s="91">
        <f t="shared" si="73"/>
        <v>0</v>
      </c>
      <c r="I902" s="91" t="str">
        <f t="shared" si="74"/>
        <v/>
      </c>
      <c r="J902" s="91" t="str">
        <f t="shared" si="75"/>
        <v/>
      </c>
      <c r="K902" s="92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2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58"/>
      <c r="U902" s="217" t="str">
        <f t="shared" si="76"/>
        <v/>
      </c>
      <c r="V902" s="215" t="s">
        <v>47</v>
      </c>
      <c r="W902" s="102" t="s">
        <v>136</v>
      </c>
      <c r="X902" s="102" t="s">
        <v>137</v>
      </c>
      <c r="Y902" s="103" t="s">
        <v>138</v>
      </c>
      <c r="Z902" s="103" t="s">
        <v>139</v>
      </c>
      <c r="AA902" s="103" t="s">
        <v>47</v>
      </c>
      <c r="AB902" s="103" t="s">
        <v>140</v>
      </c>
      <c r="AC902" s="104" t="s">
        <v>141</v>
      </c>
    </row>
    <row r="903" spans="1:29" ht="25.5" customHeight="1" x14ac:dyDescent="0.35">
      <c r="A903" s="188"/>
      <c r="B903" s="190"/>
      <c r="C903" s="99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0"/>
      <c r="E903" s="78" t="str">
        <f>IF(C903="","",IFERROR(VLOOKUP(C903,parametros!$A$11:$E$15,5,0),""))</f>
        <v/>
      </c>
      <c r="F903" s="79" t="str">
        <f t="shared" si="72"/>
        <v/>
      </c>
      <c r="G903" s="101"/>
      <c r="H903" s="91">
        <f t="shared" si="73"/>
        <v>0</v>
      </c>
      <c r="I903" s="91" t="str">
        <f t="shared" si="74"/>
        <v/>
      </c>
      <c r="J903" s="91" t="str">
        <f t="shared" si="75"/>
        <v/>
      </c>
      <c r="K903" s="92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2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58"/>
      <c r="U903" s="217" t="str">
        <f t="shared" si="76"/>
        <v/>
      </c>
      <c r="V903" s="215" t="s">
        <v>47</v>
      </c>
      <c r="W903" s="102" t="s">
        <v>136</v>
      </c>
      <c r="X903" s="102" t="s">
        <v>137</v>
      </c>
      <c r="Y903" s="103" t="s">
        <v>138</v>
      </c>
      <c r="Z903" s="103" t="s">
        <v>139</v>
      </c>
      <c r="AA903" s="103" t="s">
        <v>47</v>
      </c>
      <c r="AB903" s="103" t="s">
        <v>140</v>
      </c>
      <c r="AC903" s="104" t="s">
        <v>141</v>
      </c>
    </row>
    <row r="904" spans="1:29" ht="25.5" customHeight="1" x14ac:dyDescent="0.35">
      <c r="A904" s="188"/>
      <c r="B904" s="190"/>
      <c r="C904" s="99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0"/>
      <c r="E904" s="78" t="str">
        <f>IF(C904="","",IFERROR(VLOOKUP(C904,parametros!$A$11:$E$15,5,0),""))</f>
        <v/>
      </c>
      <c r="F904" s="79" t="str">
        <f t="shared" si="72"/>
        <v/>
      </c>
      <c r="G904" s="101"/>
      <c r="H904" s="91">
        <f t="shared" si="73"/>
        <v>0</v>
      </c>
      <c r="I904" s="91" t="str">
        <f t="shared" si="74"/>
        <v/>
      </c>
      <c r="J904" s="91" t="str">
        <f t="shared" si="75"/>
        <v/>
      </c>
      <c r="K904" s="92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2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58"/>
      <c r="U904" s="217" t="str">
        <f t="shared" si="76"/>
        <v/>
      </c>
      <c r="V904" s="215" t="s">
        <v>47</v>
      </c>
      <c r="W904" s="102" t="s">
        <v>136</v>
      </c>
      <c r="X904" s="102" t="s">
        <v>137</v>
      </c>
      <c r="Y904" s="103" t="s">
        <v>138</v>
      </c>
      <c r="Z904" s="103" t="s">
        <v>139</v>
      </c>
      <c r="AA904" s="103" t="s">
        <v>47</v>
      </c>
      <c r="AB904" s="103" t="s">
        <v>140</v>
      </c>
      <c r="AC904" s="104" t="s">
        <v>141</v>
      </c>
    </row>
    <row r="905" spans="1:29" ht="25.5" customHeight="1" x14ac:dyDescent="0.35">
      <c r="A905" s="188"/>
      <c r="B905" s="190"/>
      <c r="C905" s="99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0"/>
      <c r="E905" s="78" t="str">
        <f>IF(C905="","",IFERROR(VLOOKUP(C905,parametros!$A$11:$E$15,5,0),""))</f>
        <v/>
      </c>
      <c r="F905" s="79" t="str">
        <f t="shared" si="72"/>
        <v/>
      </c>
      <c r="G905" s="101"/>
      <c r="H905" s="91">
        <f t="shared" si="73"/>
        <v>0</v>
      </c>
      <c r="I905" s="91" t="str">
        <f t="shared" si="74"/>
        <v/>
      </c>
      <c r="J905" s="91" t="str">
        <f t="shared" si="75"/>
        <v/>
      </c>
      <c r="K905" s="92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2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58"/>
      <c r="U905" s="217" t="str">
        <f t="shared" si="76"/>
        <v/>
      </c>
      <c r="V905" s="215" t="s">
        <v>47</v>
      </c>
      <c r="W905" s="102" t="s">
        <v>136</v>
      </c>
      <c r="X905" s="102" t="s">
        <v>137</v>
      </c>
      <c r="Y905" s="103" t="s">
        <v>138</v>
      </c>
      <c r="Z905" s="103" t="s">
        <v>139</v>
      </c>
      <c r="AA905" s="103" t="s">
        <v>47</v>
      </c>
      <c r="AB905" s="103" t="s">
        <v>140</v>
      </c>
      <c r="AC905" s="104" t="s">
        <v>141</v>
      </c>
    </row>
    <row r="906" spans="1:29" ht="25.5" customHeight="1" x14ac:dyDescent="0.35">
      <c r="A906" s="188"/>
      <c r="B906" s="190"/>
      <c r="C906" s="99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0"/>
      <c r="E906" s="78" t="str">
        <f>IF(C906="","",IFERROR(VLOOKUP(C906,parametros!$A$11:$E$15,5,0),""))</f>
        <v/>
      </c>
      <c r="F906" s="79" t="str">
        <f t="shared" si="72"/>
        <v/>
      </c>
      <c r="G906" s="101"/>
      <c r="H906" s="91">
        <f t="shared" si="73"/>
        <v>0</v>
      </c>
      <c r="I906" s="91" t="str">
        <f t="shared" si="74"/>
        <v/>
      </c>
      <c r="J906" s="91" t="str">
        <f t="shared" si="75"/>
        <v/>
      </c>
      <c r="K906" s="92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2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58"/>
      <c r="U906" s="217" t="str">
        <f t="shared" si="76"/>
        <v/>
      </c>
      <c r="V906" s="215" t="s">
        <v>47</v>
      </c>
      <c r="W906" s="102" t="s">
        <v>136</v>
      </c>
      <c r="X906" s="102" t="s">
        <v>137</v>
      </c>
      <c r="Y906" s="103" t="s">
        <v>138</v>
      </c>
      <c r="Z906" s="103" t="s">
        <v>139</v>
      </c>
      <c r="AA906" s="103" t="s">
        <v>47</v>
      </c>
      <c r="AB906" s="103" t="s">
        <v>140</v>
      </c>
      <c r="AC906" s="104" t="s">
        <v>141</v>
      </c>
    </row>
    <row r="907" spans="1:29" ht="25.5" customHeight="1" x14ac:dyDescent="0.35">
      <c r="A907" s="188"/>
      <c r="B907" s="190"/>
      <c r="C907" s="99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0"/>
      <c r="E907" s="78" t="str">
        <f>IF(C907="","",IFERROR(VLOOKUP(C907,parametros!$A$11:$E$15,5,0),""))</f>
        <v/>
      </c>
      <c r="F907" s="79" t="str">
        <f t="shared" si="72"/>
        <v/>
      </c>
      <c r="G907" s="101"/>
      <c r="H907" s="91">
        <f t="shared" si="73"/>
        <v>0</v>
      </c>
      <c r="I907" s="91" t="str">
        <f t="shared" si="74"/>
        <v/>
      </c>
      <c r="J907" s="91" t="str">
        <f t="shared" si="75"/>
        <v/>
      </c>
      <c r="K907" s="92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2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58"/>
      <c r="U907" s="217" t="str">
        <f t="shared" si="76"/>
        <v/>
      </c>
      <c r="V907" s="215" t="s">
        <v>47</v>
      </c>
      <c r="W907" s="102" t="s">
        <v>136</v>
      </c>
      <c r="X907" s="102" t="s">
        <v>137</v>
      </c>
      <c r="Y907" s="103" t="s">
        <v>138</v>
      </c>
      <c r="Z907" s="103" t="s">
        <v>139</v>
      </c>
      <c r="AA907" s="103" t="s">
        <v>47</v>
      </c>
      <c r="AB907" s="103" t="s">
        <v>140</v>
      </c>
      <c r="AC907" s="104" t="s">
        <v>141</v>
      </c>
    </row>
    <row r="908" spans="1:29" ht="25.5" customHeight="1" x14ac:dyDescent="0.35">
      <c r="A908" s="188"/>
      <c r="B908" s="190"/>
      <c r="C908" s="99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0"/>
      <c r="E908" s="78" t="str">
        <f>IF(C908="","",IFERROR(VLOOKUP(C908,parametros!$A$11:$E$15,5,0),""))</f>
        <v/>
      </c>
      <c r="F908" s="79" t="str">
        <f t="shared" si="72"/>
        <v/>
      </c>
      <c r="G908" s="101"/>
      <c r="H908" s="91">
        <f t="shared" si="73"/>
        <v>0</v>
      </c>
      <c r="I908" s="91" t="str">
        <f t="shared" si="74"/>
        <v/>
      </c>
      <c r="J908" s="91" t="str">
        <f t="shared" si="75"/>
        <v/>
      </c>
      <c r="K908" s="92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2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58"/>
      <c r="U908" s="217" t="str">
        <f t="shared" si="76"/>
        <v/>
      </c>
      <c r="V908" s="215" t="s">
        <v>47</v>
      </c>
      <c r="W908" s="102" t="s">
        <v>136</v>
      </c>
      <c r="X908" s="102" t="s">
        <v>137</v>
      </c>
      <c r="Y908" s="103" t="s">
        <v>138</v>
      </c>
      <c r="Z908" s="103" t="s">
        <v>139</v>
      </c>
      <c r="AA908" s="103" t="s">
        <v>47</v>
      </c>
      <c r="AB908" s="103" t="s">
        <v>140</v>
      </c>
      <c r="AC908" s="104" t="s">
        <v>141</v>
      </c>
    </row>
    <row r="909" spans="1:29" ht="25.5" customHeight="1" x14ac:dyDescent="0.35">
      <c r="A909" s="188"/>
      <c r="B909" s="190"/>
      <c r="C909" s="99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0"/>
      <c r="E909" s="78" t="str">
        <f>IF(C909="","",IFERROR(VLOOKUP(C909,parametros!$A$11:$E$15,5,0),""))</f>
        <v/>
      </c>
      <c r="F909" s="79" t="str">
        <f t="shared" si="72"/>
        <v/>
      </c>
      <c r="G909" s="101"/>
      <c r="H909" s="91">
        <f t="shared" si="73"/>
        <v>0</v>
      </c>
      <c r="I909" s="91" t="str">
        <f t="shared" si="74"/>
        <v/>
      </c>
      <c r="J909" s="91" t="str">
        <f t="shared" si="75"/>
        <v/>
      </c>
      <c r="K909" s="92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2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58"/>
      <c r="U909" s="217" t="str">
        <f t="shared" si="76"/>
        <v/>
      </c>
      <c r="V909" s="215" t="s">
        <v>47</v>
      </c>
      <c r="W909" s="102" t="s">
        <v>136</v>
      </c>
      <c r="X909" s="102" t="s">
        <v>137</v>
      </c>
      <c r="Y909" s="103" t="s">
        <v>138</v>
      </c>
      <c r="Z909" s="103" t="s">
        <v>139</v>
      </c>
      <c r="AA909" s="103" t="s">
        <v>47</v>
      </c>
      <c r="AB909" s="103" t="s">
        <v>140</v>
      </c>
      <c r="AC909" s="104" t="s">
        <v>141</v>
      </c>
    </row>
    <row r="910" spans="1:29" ht="25.5" customHeight="1" x14ac:dyDescent="0.35">
      <c r="A910" s="188"/>
      <c r="B910" s="190"/>
      <c r="C910" s="99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0"/>
      <c r="E910" s="78" t="str">
        <f>IF(C910="","",IFERROR(VLOOKUP(C910,parametros!$A$11:$E$15,5,0),""))</f>
        <v/>
      </c>
      <c r="F910" s="79" t="str">
        <f t="shared" si="72"/>
        <v/>
      </c>
      <c r="G910" s="101"/>
      <c r="H910" s="91">
        <f t="shared" si="73"/>
        <v>0</v>
      </c>
      <c r="I910" s="91" t="str">
        <f t="shared" si="74"/>
        <v/>
      </c>
      <c r="J910" s="91" t="str">
        <f t="shared" si="75"/>
        <v/>
      </c>
      <c r="K910" s="92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2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58"/>
      <c r="U910" s="217" t="str">
        <f t="shared" si="76"/>
        <v/>
      </c>
      <c r="V910" s="215" t="s">
        <v>47</v>
      </c>
      <c r="W910" s="102" t="s">
        <v>136</v>
      </c>
      <c r="X910" s="102" t="s">
        <v>137</v>
      </c>
      <c r="Y910" s="103" t="s">
        <v>138</v>
      </c>
      <c r="Z910" s="103" t="s">
        <v>139</v>
      </c>
      <c r="AA910" s="103" t="s">
        <v>47</v>
      </c>
      <c r="AB910" s="103" t="s">
        <v>140</v>
      </c>
      <c r="AC910" s="104" t="s">
        <v>141</v>
      </c>
    </row>
    <row r="911" spans="1:29" ht="25.5" customHeight="1" x14ac:dyDescent="0.35">
      <c r="A911" s="188"/>
      <c r="B911" s="190"/>
      <c r="C911" s="99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0"/>
      <c r="E911" s="78" t="str">
        <f>IF(C911="","",IFERROR(VLOOKUP(C911,parametros!$A$11:$E$15,5,0),""))</f>
        <v/>
      </c>
      <c r="F911" s="79" t="str">
        <f t="shared" si="72"/>
        <v/>
      </c>
      <c r="G911" s="101"/>
      <c r="H911" s="91">
        <f t="shared" si="73"/>
        <v>0</v>
      </c>
      <c r="I911" s="91" t="str">
        <f t="shared" si="74"/>
        <v/>
      </c>
      <c r="J911" s="91" t="str">
        <f t="shared" si="75"/>
        <v/>
      </c>
      <c r="K911" s="92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2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58"/>
      <c r="U911" s="217" t="str">
        <f t="shared" si="76"/>
        <v/>
      </c>
      <c r="V911" s="215" t="s">
        <v>47</v>
      </c>
      <c r="W911" s="102" t="s">
        <v>136</v>
      </c>
      <c r="X911" s="102" t="s">
        <v>137</v>
      </c>
      <c r="Y911" s="103" t="s">
        <v>138</v>
      </c>
      <c r="Z911" s="103" t="s">
        <v>139</v>
      </c>
      <c r="AA911" s="103" t="s">
        <v>47</v>
      </c>
      <c r="AB911" s="103" t="s">
        <v>140</v>
      </c>
      <c r="AC911" s="104" t="s">
        <v>141</v>
      </c>
    </row>
    <row r="912" spans="1:29" ht="25.5" customHeight="1" x14ac:dyDescent="0.35">
      <c r="A912" s="188"/>
      <c r="B912" s="190"/>
      <c r="C912" s="99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0"/>
      <c r="E912" s="78" t="str">
        <f>IF(C912="","",IFERROR(VLOOKUP(C912,parametros!$A$11:$E$15,5,0),""))</f>
        <v/>
      </c>
      <c r="F912" s="79" t="str">
        <f t="shared" si="72"/>
        <v/>
      </c>
      <c r="G912" s="101"/>
      <c r="H912" s="91">
        <f t="shared" si="73"/>
        <v>0</v>
      </c>
      <c r="I912" s="91" t="str">
        <f t="shared" si="74"/>
        <v/>
      </c>
      <c r="J912" s="91" t="str">
        <f t="shared" si="75"/>
        <v/>
      </c>
      <c r="K912" s="92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2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58"/>
      <c r="U912" s="217" t="str">
        <f t="shared" si="76"/>
        <v/>
      </c>
      <c r="V912" s="215" t="s">
        <v>47</v>
      </c>
      <c r="W912" s="102" t="s">
        <v>136</v>
      </c>
      <c r="X912" s="102" t="s">
        <v>137</v>
      </c>
      <c r="Y912" s="103" t="s">
        <v>138</v>
      </c>
      <c r="Z912" s="103" t="s">
        <v>139</v>
      </c>
      <c r="AA912" s="103" t="s">
        <v>47</v>
      </c>
      <c r="AB912" s="103" t="s">
        <v>140</v>
      </c>
      <c r="AC912" s="104" t="s">
        <v>141</v>
      </c>
    </row>
    <row r="913" spans="1:29" ht="25.5" customHeight="1" x14ac:dyDescent="0.35">
      <c r="A913" s="188"/>
      <c r="B913" s="190"/>
      <c r="C913" s="99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0"/>
      <c r="E913" s="78" t="str">
        <f>IF(C913="","",IFERROR(VLOOKUP(C913,parametros!$A$11:$E$15,5,0),""))</f>
        <v/>
      </c>
      <c r="F913" s="79" t="str">
        <f t="shared" si="72"/>
        <v/>
      </c>
      <c r="G913" s="101"/>
      <c r="H913" s="91">
        <f t="shared" si="73"/>
        <v>0</v>
      </c>
      <c r="I913" s="91" t="str">
        <f t="shared" si="74"/>
        <v/>
      </c>
      <c r="J913" s="91" t="str">
        <f t="shared" si="75"/>
        <v/>
      </c>
      <c r="K913" s="92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2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58"/>
      <c r="U913" s="217" t="str">
        <f t="shared" si="76"/>
        <v/>
      </c>
      <c r="V913" s="215" t="s">
        <v>47</v>
      </c>
      <c r="W913" s="102" t="s">
        <v>136</v>
      </c>
      <c r="X913" s="102" t="s">
        <v>137</v>
      </c>
      <c r="Y913" s="103" t="s">
        <v>138</v>
      </c>
      <c r="Z913" s="103" t="s">
        <v>139</v>
      </c>
      <c r="AA913" s="103" t="s">
        <v>47</v>
      </c>
      <c r="AB913" s="103" t="s">
        <v>140</v>
      </c>
      <c r="AC913" s="104" t="s">
        <v>141</v>
      </c>
    </row>
    <row r="914" spans="1:29" ht="25.5" customHeight="1" x14ac:dyDescent="0.35">
      <c r="A914" s="188"/>
      <c r="B914" s="190"/>
      <c r="C914" s="99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0"/>
      <c r="E914" s="78" t="str">
        <f>IF(C914="","",IFERROR(VLOOKUP(C914,parametros!$A$11:$E$15,5,0),""))</f>
        <v/>
      </c>
      <c r="F914" s="79" t="str">
        <f t="shared" si="72"/>
        <v/>
      </c>
      <c r="G914" s="101"/>
      <c r="H914" s="91">
        <f t="shared" si="73"/>
        <v>0</v>
      </c>
      <c r="I914" s="91" t="str">
        <f t="shared" si="74"/>
        <v/>
      </c>
      <c r="J914" s="91" t="str">
        <f t="shared" si="75"/>
        <v/>
      </c>
      <c r="K914" s="92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2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58"/>
      <c r="U914" s="217" t="str">
        <f t="shared" si="76"/>
        <v/>
      </c>
      <c r="V914" s="215" t="s">
        <v>47</v>
      </c>
      <c r="W914" s="102" t="s">
        <v>136</v>
      </c>
      <c r="X914" s="102" t="s">
        <v>137</v>
      </c>
      <c r="Y914" s="103" t="s">
        <v>138</v>
      </c>
      <c r="Z914" s="103" t="s">
        <v>139</v>
      </c>
      <c r="AA914" s="103" t="s">
        <v>47</v>
      </c>
      <c r="AB914" s="103" t="s">
        <v>140</v>
      </c>
      <c r="AC914" s="104" t="s">
        <v>141</v>
      </c>
    </row>
    <row r="915" spans="1:29" ht="25.5" customHeight="1" x14ac:dyDescent="0.35">
      <c r="A915" s="188"/>
      <c r="B915" s="190"/>
      <c r="C915" s="99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0"/>
      <c r="E915" s="78" t="str">
        <f>IF(C915="","",IFERROR(VLOOKUP(C915,parametros!$A$11:$E$15,5,0),""))</f>
        <v/>
      </c>
      <c r="F915" s="79" t="str">
        <f t="shared" si="72"/>
        <v/>
      </c>
      <c r="G915" s="101"/>
      <c r="H915" s="91">
        <f t="shared" si="73"/>
        <v>0</v>
      </c>
      <c r="I915" s="91" t="str">
        <f t="shared" si="74"/>
        <v/>
      </c>
      <c r="J915" s="91" t="str">
        <f t="shared" si="75"/>
        <v/>
      </c>
      <c r="K915" s="92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2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58"/>
      <c r="U915" s="217" t="str">
        <f t="shared" si="76"/>
        <v/>
      </c>
      <c r="V915" s="215" t="s">
        <v>47</v>
      </c>
      <c r="W915" s="102" t="s">
        <v>136</v>
      </c>
      <c r="X915" s="102" t="s">
        <v>137</v>
      </c>
      <c r="Y915" s="103" t="s">
        <v>138</v>
      </c>
      <c r="Z915" s="103" t="s">
        <v>139</v>
      </c>
      <c r="AA915" s="103" t="s">
        <v>47</v>
      </c>
      <c r="AB915" s="103" t="s">
        <v>140</v>
      </c>
      <c r="AC915" s="104" t="s">
        <v>141</v>
      </c>
    </row>
    <row r="916" spans="1:29" ht="25.5" customHeight="1" x14ac:dyDescent="0.35">
      <c r="A916" s="188"/>
      <c r="B916" s="190"/>
      <c r="C916" s="99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0"/>
      <c r="E916" s="78" t="str">
        <f>IF(C916="","",IFERROR(VLOOKUP(C916,parametros!$A$11:$E$15,5,0),""))</f>
        <v/>
      </c>
      <c r="F916" s="79" t="str">
        <f t="shared" si="72"/>
        <v/>
      </c>
      <c r="G916" s="101"/>
      <c r="H916" s="91">
        <f t="shared" si="73"/>
        <v>0</v>
      </c>
      <c r="I916" s="91" t="str">
        <f t="shared" si="74"/>
        <v/>
      </c>
      <c r="J916" s="91" t="str">
        <f t="shared" si="75"/>
        <v/>
      </c>
      <c r="K916" s="92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2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58"/>
      <c r="U916" s="217" t="str">
        <f t="shared" si="76"/>
        <v/>
      </c>
      <c r="V916" s="215" t="s">
        <v>47</v>
      </c>
      <c r="W916" s="102" t="s">
        <v>136</v>
      </c>
      <c r="X916" s="102" t="s">
        <v>137</v>
      </c>
      <c r="Y916" s="103" t="s">
        <v>138</v>
      </c>
      <c r="Z916" s="103" t="s">
        <v>139</v>
      </c>
      <c r="AA916" s="103" t="s">
        <v>47</v>
      </c>
      <c r="AB916" s="103" t="s">
        <v>140</v>
      </c>
      <c r="AC916" s="104" t="s">
        <v>141</v>
      </c>
    </row>
    <row r="917" spans="1:29" ht="25.5" customHeight="1" x14ac:dyDescent="0.35">
      <c r="A917" s="188"/>
      <c r="B917" s="190"/>
      <c r="C917" s="99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0"/>
      <c r="E917" s="78" t="str">
        <f>IF(C917="","",IFERROR(VLOOKUP(C917,parametros!$A$11:$E$15,5,0),""))</f>
        <v/>
      </c>
      <c r="F917" s="79" t="str">
        <f t="shared" si="72"/>
        <v/>
      </c>
      <c r="G917" s="101"/>
      <c r="H917" s="91">
        <f t="shared" si="73"/>
        <v>0</v>
      </c>
      <c r="I917" s="91" t="str">
        <f t="shared" si="74"/>
        <v/>
      </c>
      <c r="J917" s="91" t="str">
        <f t="shared" si="75"/>
        <v/>
      </c>
      <c r="K917" s="92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2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58"/>
      <c r="U917" s="217" t="str">
        <f t="shared" si="76"/>
        <v/>
      </c>
      <c r="V917" s="215" t="s">
        <v>47</v>
      </c>
      <c r="W917" s="102" t="s">
        <v>136</v>
      </c>
      <c r="X917" s="102" t="s">
        <v>137</v>
      </c>
      <c r="Y917" s="103" t="s">
        <v>138</v>
      </c>
      <c r="Z917" s="103" t="s">
        <v>139</v>
      </c>
      <c r="AA917" s="103" t="s">
        <v>47</v>
      </c>
      <c r="AB917" s="103" t="s">
        <v>140</v>
      </c>
      <c r="AC917" s="104" t="s">
        <v>141</v>
      </c>
    </row>
    <row r="918" spans="1:29" ht="25.5" customHeight="1" x14ac:dyDescent="0.35">
      <c r="A918" s="188"/>
      <c r="B918" s="190"/>
      <c r="C918" s="99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0"/>
      <c r="E918" s="78" t="str">
        <f>IF(C918="","",IFERROR(VLOOKUP(C918,parametros!$A$11:$E$15,5,0),""))</f>
        <v/>
      </c>
      <c r="F918" s="79" t="str">
        <f t="shared" si="72"/>
        <v/>
      </c>
      <c r="G918" s="101"/>
      <c r="H918" s="91">
        <f t="shared" si="73"/>
        <v>0</v>
      </c>
      <c r="I918" s="91" t="str">
        <f t="shared" si="74"/>
        <v/>
      </c>
      <c r="J918" s="91" t="str">
        <f t="shared" si="75"/>
        <v/>
      </c>
      <c r="K918" s="92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2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58"/>
      <c r="U918" s="217" t="str">
        <f t="shared" si="76"/>
        <v/>
      </c>
      <c r="V918" s="215" t="s">
        <v>47</v>
      </c>
      <c r="W918" s="102" t="s">
        <v>136</v>
      </c>
      <c r="X918" s="102" t="s">
        <v>137</v>
      </c>
      <c r="Y918" s="103" t="s">
        <v>138</v>
      </c>
      <c r="Z918" s="103" t="s">
        <v>139</v>
      </c>
      <c r="AA918" s="103" t="s">
        <v>47</v>
      </c>
      <c r="AB918" s="103" t="s">
        <v>140</v>
      </c>
      <c r="AC918" s="104" t="s">
        <v>141</v>
      </c>
    </row>
    <row r="919" spans="1:29" ht="25.5" customHeight="1" x14ac:dyDescent="0.35">
      <c r="A919" s="188"/>
      <c r="B919" s="190"/>
      <c r="C919" s="99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0"/>
      <c r="E919" s="78" t="str">
        <f>IF(C919="","",IFERROR(VLOOKUP(C919,parametros!$A$11:$E$15,5,0),""))</f>
        <v/>
      </c>
      <c r="F919" s="79" t="str">
        <f t="shared" si="72"/>
        <v/>
      </c>
      <c r="G919" s="101"/>
      <c r="H919" s="91">
        <f t="shared" si="73"/>
        <v>0</v>
      </c>
      <c r="I919" s="91" t="str">
        <f t="shared" si="74"/>
        <v/>
      </c>
      <c r="J919" s="91" t="str">
        <f t="shared" si="75"/>
        <v/>
      </c>
      <c r="K919" s="92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2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58"/>
      <c r="U919" s="217" t="str">
        <f t="shared" si="76"/>
        <v/>
      </c>
      <c r="V919" s="215" t="s">
        <v>47</v>
      </c>
      <c r="W919" s="102" t="s">
        <v>136</v>
      </c>
      <c r="X919" s="102" t="s">
        <v>137</v>
      </c>
      <c r="Y919" s="103" t="s">
        <v>138</v>
      </c>
      <c r="Z919" s="103" t="s">
        <v>139</v>
      </c>
      <c r="AA919" s="103" t="s">
        <v>47</v>
      </c>
      <c r="AB919" s="103" t="s">
        <v>140</v>
      </c>
      <c r="AC919" s="104" t="s">
        <v>141</v>
      </c>
    </row>
    <row r="920" spans="1:29" ht="25.5" customHeight="1" x14ac:dyDescent="0.35">
      <c r="A920" s="188"/>
      <c r="B920" s="190"/>
      <c r="C920" s="99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0"/>
      <c r="E920" s="78" t="str">
        <f>IF(C920="","",IFERROR(VLOOKUP(C920,parametros!$A$11:$E$15,5,0),""))</f>
        <v/>
      </c>
      <c r="F920" s="79" t="str">
        <f t="shared" si="72"/>
        <v/>
      </c>
      <c r="G920" s="101"/>
      <c r="H920" s="91">
        <f t="shared" si="73"/>
        <v>0</v>
      </c>
      <c r="I920" s="91" t="str">
        <f t="shared" si="74"/>
        <v/>
      </c>
      <c r="J920" s="91" t="str">
        <f t="shared" si="75"/>
        <v/>
      </c>
      <c r="K920" s="92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2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58"/>
      <c r="U920" s="217" t="str">
        <f t="shared" si="76"/>
        <v/>
      </c>
      <c r="V920" s="215" t="s">
        <v>47</v>
      </c>
      <c r="W920" s="102" t="s">
        <v>136</v>
      </c>
      <c r="X920" s="102" t="s">
        <v>137</v>
      </c>
      <c r="Y920" s="103" t="s">
        <v>138</v>
      </c>
      <c r="Z920" s="103" t="s">
        <v>139</v>
      </c>
      <c r="AA920" s="103" t="s">
        <v>47</v>
      </c>
      <c r="AB920" s="103" t="s">
        <v>140</v>
      </c>
      <c r="AC920" s="104" t="s">
        <v>141</v>
      </c>
    </row>
    <row r="921" spans="1:29" ht="25.5" customHeight="1" x14ac:dyDescent="0.35">
      <c r="A921" s="188"/>
      <c r="B921" s="190"/>
      <c r="C921" s="99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0"/>
      <c r="E921" s="78" t="str">
        <f>IF(C921="","",IFERROR(VLOOKUP(C921,parametros!$A$11:$E$15,5,0),""))</f>
        <v/>
      </c>
      <c r="F921" s="79" t="str">
        <f t="shared" si="72"/>
        <v/>
      </c>
      <c r="G921" s="101"/>
      <c r="H921" s="91">
        <f t="shared" si="73"/>
        <v>0</v>
      </c>
      <c r="I921" s="91" t="str">
        <f t="shared" si="74"/>
        <v/>
      </c>
      <c r="J921" s="91" t="str">
        <f t="shared" si="75"/>
        <v/>
      </c>
      <c r="K921" s="92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2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58"/>
      <c r="U921" s="217" t="str">
        <f t="shared" si="76"/>
        <v/>
      </c>
      <c r="V921" s="215" t="s">
        <v>47</v>
      </c>
      <c r="W921" s="102" t="s">
        <v>136</v>
      </c>
      <c r="X921" s="102" t="s">
        <v>137</v>
      </c>
      <c r="Y921" s="103" t="s">
        <v>138</v>
      </c>
      <c r="Z921" s="103" t="s">
        <v>139</v>
      </c>
      <c r="AA921" s="103" t="s">
        <v>47</v>
      </c>
      <c r="AB921" s="103" t="s">
        <v>140</v>
      </c>
      <c r="AC921" s="104" t="s">
        <v>141</v>
      </c>
    </row>
    <row r="922" spans="1:29" ht="25.5" customHeight="1" x14ac:dyDescent="0.35">
      <c r="A922" s="188"/>
      <c r="B922" s="190"/>
      <c r="C922" s="99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0"/>
      <c r="E922" s="78" t="str">
        <f>IF(C922="","",IFERROR(VLOOKUP(C922,parametros!$A$11:$E$15,5,0),""))</f>
        <v/>
      </c>
      <c r="F922" s="79" t="str">
        <f t="shared" si="72"/>
        <v/>
      </c>
      <c r="G922" s="101"/>
      <c r="H922" s="91">
        <f t="shared" si="73"/>
        <v>0</v>
      </c>
      <c r="I922" s="91" t="str">
        <f t="shared" si="74"/>
        <v/>
      </c>
      <c r="J922" s="91" t="str">
        <f t="shared" si="75"/>
        <v/>
      </c>
      <c r="K922" s="92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2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58"/>
      <c r="U922" s="217" t="str">
        <f t="shared" si="76"/>
        <v/>
      </c>
      <c r="V922" s="215" t="s">
        <v>47</v>
      </c>
      <c r="W922" s="102" t="s">
        <v>136</v>
      </c>
      <c r="X922" s="102" t="s">
        <v>137</v>
      </c>
      <c r="Y922" s="103" t="s">
        <v>138</v>
      </c>
      <c r="Z922" s="103" t="s">
        <v>139</v>
      </c>
      <c r="AA922" s="103" t="s">
        <v>47</v>
      </c>
      <c r="AB922" s="103" t="s">
        <v>140</v>
      </c>
      <c r="AC922" s="104" t="s">
        <v>141</v>
      </c>
    </row>
    <row r="923" spans="1:29" ht="25.5" customHeight="1" x14ac:dyDescent="0.35">
      <c r="A923" s="188"/>
      <c r="B923" s="190"/>
      <c r="C923" s="99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0"/>
      <c r="E923" s="78" t="str">
        <f>IF(C923="","",IFERROR(VLOOKUP(C923,parametros!$A$11:$E$15,5,0),""))</f>
        <v/>
      </c>
      <c r="F923" s="79" t="str">
        <f t="shared" si="72"/>
        <v/>
      </c>
      <c r="G923" s="101"/>
      <c r="H923" s="91">
        <f t="shared" si="73"/>
        <v>0</v>
      </c>
      <c r="I923" s="91" t="str">
        <f t="shared" si="74"/>
        <v/>
      </c>
      <c r="J923" s="91" t="str">
        <f t="shared" si="75"/>
        <v/>
      </c>
      <c r="K923" s="92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2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58"/>
      <c r="U923" s="217" t="str">
        <f t="shared" si="76"/>
        <v/>
      </c>
      <c r="V923" s="215" t="s">
        <v>47</v>
      </c>
      <c r="W923" s="102" t="s">
        <v>136</v>
      </c>
      <c r="X923" s="102" t="s">
        <v>137</v>
      </c>
      <c r="Y923" s="103" t="s">
        <v>138</v>
      </c>
      <c r="Z923" s="103" t="s">
        <v>139</v>
      </c>
      <c r="AA923" s="103" t="s">
        <v>47</v>
      </c>
      <c r="AB923" s="103" t="s">
        <v>140</v>
      </c>
      <c r="AC923" s="104" t="s">
        <v>141</v>
      </c>
    </row>
    <row r="924" spans="1:29" ht="25.5" customHeight="1" x14ac:dyDescent="0.35">
      <c r="A924" s="188"/>
      <c r="B924" s="190"/>
      <c r="C924" s="99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0"/>
      <c r="E924" s="78" t="str">
        <f>IF(C924="","",IFERROR(VLOOKUP(C924,parametros!$A$11:$E$15,5,0),""))</f>
        <v/>
      </c>
      <c r="F924" s="79" t="str">
        <f t="shared" si="72"/>
        <v/>
      </c>
      <c r="G924" s="101"/>
      <c r="H924" s="91">
        <f t="shared" si="73"/>
        <v>0</v>
      </c>
      <c r="I924" s="91" t="str">
        <f t="shared" si="74"/>
        <v/>
      </c>
      <c r="J924" s="91" t="str">
        <f t="shared" si="75"/>
        <v/>
      </c>
      <c r="K924" s="92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2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58"/>
      <c r="U924" s="217" t="str">
        <f t="shared" si="76"/>
        <v/>
      </c>
      <c r="V924" s="215" t="s">
        <v>47</v>
      </c>
      <c r="W924" s="102" t="s">
        <v>136</v>
      </c>
      <c r="X924" s="102" t="s">
        <v>137</v>
      </c>
      <c r="Y924" s="103" t="s">
        <v>138</v>
      </c>
      <c r="Z924" s="103" t="s">
        <v>139</v>
      </c>
      <c r="AA924" s="103" t="s">
        <v>47</v>
      </c>
      <c r="AB924" s="103" t="s">
        <v>140</v>
      </c>
      <c r="AC924" s="104" t="s">
        <v>141</v>
      </c>
    </row>
    <row r="925" spans="1:29" ht="25.5" customHeight="1" x14ac:dyDescent="0.35">
      <c r="A925" s="188"/>
      <c r="B925" s="190"/>
      <c r="C925" s="99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0"/>
      <c r="E925" s="78" t="str">
        <f>IF(C925="","",IFERROR(VLOOKUP(C925,parametros!$A$11:$E$15,5,0),""))</f>
        <v/>
      </c>
      <c r="F925" s="79" t="str">
        <f t="shared" si="72"/>
        <v/>
      </c>
      <c r="G925" s="101"/>
      <c r="H925" s="91">
        <f t="shared" si="73"/>
        <v>0</v>
      </c>
      <c r="I925" s="91" t="str">
        <f t="shared" si="74"/>
        <v/>
      </c>
      <c r="J925" s="91" t="str">
        <f t="shared" si="75"/>
        <v/>
      </c>
      <c r="K925" s="92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2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58"/>
      <c r="U925" s="217" t="str">
        <f t="shared" si="76"/>
        <v/>
      </c>
      <c r="V925" s="215" t="s">
        <v>47</v>
      </c>
      <c r="W925" s="102" t="s">
        <v>136</v>
      </c>
      <c r="X925" s="102" t="s">
        <v>137</v>
      </c>
      <c r="Y925" s="103" t="s">
        <v>138</v>
      </c>
      <c r="Z925" s="103" t="s">
        <v>139</v>
      </c>
      <c r="AA925" s="103" t="s">
        <v>47</v>
      </c>
      <c r="AB925" s="103" t="s">
        <v>140</v>
      </c>
      <c r="AC925" s="104" t="s">
        <v>141</v>
      </c>
    </row>
    <row r="926" spans="1:29" ht="25.5" customHeight="1" x14ac:dyDescent="0.35">
      <c r="A926" s="188"/>
      <c r="B926" s="190"/>
      <c r="C926" s="99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0"/>
      <c r="E926" s="78" t="str">
        <f>IF(C926="","",IFERROR(VLOOKUP(C926,parametros!$A$11:$E$15,5,0),""))</f>
        <v/>
      </c>
      <c r="F926" s="79" t="str">
        <f t="shared" si="72"/>
        <v/>
      </c>
      <c r="G926" s="101"/>
      <c r="H926" s="91">
        <f t="shared" si="73"/>
        <v>0</v>
      </c>
      <c r="I926" s="91" t="str">
        <f t="shared" si="74"/>
        <v/>
      </c>
      <c r="J926" s="91" t="str">
        <f t="shared" si="75"/>
        <v/>
      </c>
      <c r="K926" s="92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2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58"/>
      <c r="U926" s="217" t="str">
        <f t="shared" si="76"/>
        <v/>
      </c>
      <c r="V926" s="215" t="s">
        <v>47</v>
      </c>
      <c r="W926" s="102" t="s">
        <v>136</v>
      </c>
      <c r="X926" s="102" t="s">
        <v>137</v>
      </c>
      <c r="Y926" s="103" t="s">
        <v>138</v>
      </c>
      <c r="Z926" s="103" t="s">
        <v>139</v>
      </c>
      <c r="AA926" s="103" t="s">
        <v>47</v>
      </c>
      <c r="AB926" s="103" t="s">
        <v>140</v>
      </c>
      <c r="AC926" s="104" t="s">
        <v>141</v>
      </c>
    </row>
    <row r="927" spans="1:29" ht="25.5" customHeight="1" x14ac:dyDescent="0.35">
      <c r="A927" s="188"/>
      <c r="B927" s="190"/>
      <c r="C927" s="99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0"/>
      <c r="E927" s="78" t="str">
        <f>IF(C927="","",IFERROR(VLOOKUP(C927,parametros!$A$11:$E$15,5,0),""))</f>
        <v/>
      </c>
      <c r="F927" s="79" t="str">
        <f t="shared" si="72"/>
        <v/>
      </c>
      <c r="G927" s="101"/>
      <c r="H927" s="91">
        <f t="shared" si="73"/>
        <v>0</v>
      </c>
      <c r="I927" s="91" t="str">
        <f t="shared" si="74"/>
        <v/>
      </c>
      <c r="J927" s="91" t="str">
        <f t="shared" si="75"/>
        <v/>
      </c>
      <c r="K927" s="92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2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58"/>
      <c r="U927" s="217" t="str">
        <f t="shared" si="76"/>
        <v/>
      </c>
      <c r="V927" s="215" t="s">
        <v>47</v>
      </c>
      <c r="W927" s="102" t="s">
        <v>136</v>
      </c>
      <c r="X927" s="102" t="s">
        <v>137</v>
      </c>
      <c r="Y927" s="103" t="s">
        <v>138</v>
      </c>
      <c r="Z927" s="103" t="s">
        <v>139</v>
      </c>
      <c r="AA927" s="103" t="s">
        <v>47</v>
      </c>
      <c r="AB927" s="103" t="s">
        <v>140</v>
      </c>
      <c r="AC927" s="104" t="s">
        <v>141</v>
      </c>
    </row>
    <row r="928" spans="1:29" ht="25.5" customHeight="1" x14ac:dyDescent="0.35">
      <c r="A928" s="188"/>
      <c r="B928" s="190"/>
      <c r="C928" s="99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0"/>
      <c r="E928" s="78" t="str">
        <f>IF(C928="","",IFERROR(VLOOKUP(C928,parametros!$A$11:$E$15,5,0),""))</f>
        <v/>
      </c>
      <c r="F928" s="79" t="str">
        <f t="shared" si="72"/>
        <v/>
      </c>
      <c r="G928" s="101"/>
      <c r="H928" s="91">
        <f t="shared" si="73"/>
        <v>0</v>
      </c>
      <c r="I928" s="91" t="str">
        <f t="shared" si="74"/>
        <v/>
      </c>
      <c r="J928" s="91" t="str">
        <f t="shared" si="75"/>
        <v/>
      </c>
      <c r="K928" s="92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2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58"/>
      <c r="U928" s="217" t="str">
        <f t="shared" si="76"/>
        <v/>
      </c>
      <c r="V928" s="215" t="s">
        <v>47</v>
      </c>
      <c r="W928" s="102" t="s">
        <v>136</v>
      </c>
      <c r="X928" s="102" t="s">
        <v>137</v>
      </c>
      <c r="Y928" s="103" t="s">
        <v>138</v>
      </c>
      <c r="Z928" s="103" t="s">
        <v>139</v>
      </c>
      <c r="AA928" s="103" t="s">
        <v>47</v>
      </c>
      <c r="AB928" s="103" t="s">
        <v>140</v>
      </c>
      <c r="AC928" s="104" t="s">
        <v>141</v>
      </c>
    </row>
    <row r="929" spans="1:29" ht="25.5" customHeight="1" x14ac:dyDescent="0.35">
      <c r="A929" s="188"/>
      <c r="B929" s="190"/>
      <c r="C929" s="99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0"/>
      <c r="E929" s="78" t="str">
        <f>IF(C929="","",IFERROR(VLOOKUP(C929,parametros!$A$11:$E$15,5,0),""))</f>
        <v/>
      </c>
      <c r="F929" s="79" t="str">
        <f t="shared" si="72"/>
        <v/>
      </c>
      <c r="G929" s="101"/>
      <c r="H929" s="91">
        <f t="shared" si="73"/>
        <v>0</v>
      </c>
      <c r="I929" s="91" t="str">
        <f t="shared" si="74"/>
        <v/>
      </c>
      <c r="J929" s="91" t="str">
        <f t="shared" si="75"/>
        <v/>
      </c>
      <c r="K929" s="92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2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58"/>
      <c r="U929" s="217" t="str">
        <f t="shared" si="76"/>
        <v/>
      </c>
      <c r="V929" s="215" t="s">
        <v>47</v>
      </c>
      <c r="W929" s="102" t="s">
        <v>136</v>
      </c>
      <c r="X929" s="102" t="s">
        <v>137</v>
      </c>
      <c r="Y929" s="103" t="s">
        <v>138</v>
      </c>
      <c r="Z929" s="103" t="s">
        <v>139</v>
      </c>
      <c r="AA929" s="103" t="s">
        <v>47</v>
      </c>
      <c r="AB929" s="103" t="s">
        <v>140</v>
      </c>
      <c r="AC929" s="104" t="s">
        <v>141</v>
      </c>
    </row>
    <row r="930" spans="1:29" ht="25.5" customHeight="1" x14ac:dyDescent="0.35">
      <c r="A930" s="188"/>
      <c r="B930" s="190"/>
      <c r="C930" s="99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0"/>
      <c r="E930" s="78" t="str">
        <f>IF(C930="","",IFERROR(VLOOKUP(C930,parametros!$A$11:$E$15,5,0),""))</f>
        <v/>
      </c>
      <c r="F930" s="79" t="str">
        <f t="shared" si="72"/>
        <v/>
      </c>
      <c r="G930" s="101"/>
      <c r="H930" s="91">
        <f t="shared" si="73"/>
        <v>0</v>
      </c>
      <c r="I930" s="91" t="str">
        <f t="shared" si="74"/>
        <v/>
      </c>
      <c r="J930" s="91" t="str">
        <f t="shared" si="75"/>
        <v/>
      </c>
      <c r="K930" s="92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2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58"/>
      <c r="U930" s="217" t="str">
        <f t="shared" si="76"/>
        <v/>
      </c>
      <c r="V930" s="215" t="s">
        <v>47</v>
      </c>
      <c r="W930" s="102" t="s">
        <v>136</v>
      </c>
      <c r="X930" s="102" t="s">
        <v>137</v>
      </c>
      <c r="Y930" s="103" t="s">
        <v>138</v>
      </c>
      <c r="Z930" s="103" t="s">
        <v>139</v>
      </c>
      <c r="AA930" s="103" t="s">
        <v>47</v>
      </c>
      <c r="AB930" s="103" t="s">
        <v>140</v>
      </c>
      <c r="AC930" s="104" t="s">
        <v>141</v>
      </c>
    </row>
    <row r="931" spans="1:29" ht="25.5" customHeight="1" x14ac:dyDescent="0.35">
      <c r="A931" s="188"/>
      <c r="B931" s="190"/>
      <c r="C931" s="99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0"/>
      <c r="E931" s="78" t="str">
        <f>IF(C931="","",IFERROR(VLOOKUP(C931,parametros!$A$11:$E$15,5,0),""))</f>
        <v/>
      </c>
      <c r="F931" s="79" t="str">
        <f t="shared" si="72"/>
        <v/>
      </c>
      <c r="G931" s="101"/>
      <c r="H931" s="91">
        <f t="shared" si="73"/>
        <v>0</v>
      </c>
      <c r="I931" s="91" t="str">
        <f t="shared" si="74"/>
        <v/>
      </c>
      <c r="J931" s="91" t="str">
        <f t="shared" si="75"/>
        <v/>
      </c>
      <c r="K931" s="92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2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58"/>
      <c r="U931" s="217" t="str">
        <f t="shared" si="76"/>
        <v/>
      </c>
      <c r="V931" s="215" t="s">
        <v>47</v>
      </c>
      <c r="W931" s="102" t="s">
        <v>136</v>
      </c>
      <c r="X931" s="102" t="s">
        <v>137</v>
      </c>
      <c r="Y931" s="103" t="s">
        <v>138</v>
      </c>
      <c r="Z931" s="103" t="s">
        <v>139</v>
      </c>
      <c r="AA931" s="103" t="s">
        <v>47</v>
      </c>
      <c r="AB931" s="103" t="s">
        <v>140</v>
      </c>
      <c r="AC931" s="104" t="s">
        <v>141</v>
      </c>
    </row>
    <row r="932" spans="1:29" ht="25.5" customHeight="1" x14ac:dyDescent="0.35">
      <c r="A932" s="188"/>
      <c r="B932" s="190"/>
      <c r="C932" s="99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0"/>
      <c r="E932" s="78" t="str">
        <f>IF(C932="","",IFERROR(VLOOKUP(C932,parametros!$A$11:$E$15,5,0),""))</f>
        <v/>
      </c>
      <c r="F932" s="79" t="str">
        <f t="shared" si="72"/>
        <v/>
      </c>
      <c r="G932" s="101"/>
      <c r="H932" s="91">
        <f t="shared" si="73"/>
        <v>0</v>
      </c>
      <c r="I932" s="91" t="str">
        <f t="shared" si="74"/>
        <v/>
      </c>
      <c r="J932" s="91" t="str">
        <f t="shared" si="75"/>
        <v/>
      </c>
      <c r="K932" s="92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2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58"/>
      <c r="U932" s="217" t="str">
        <f t="shared" si="76"/>
        <v/>
      </c>
      <c r="V932" s="215" t="s">
        <v>47</v>
      </c>
      <c r="W932" s="102" t="s">
        <v>136</v>
      </c>
      <c r="X932" s="102" t="s">
        <v>137</v>
      </c>
      <c r="Y932" s="103" t="s">
        <v>138</v>
      </c>
      <c r="Z932" s="103" t="s">
        <v>139</v>
      </c>
      <c r="AA932" s="103" t="s">
        <v>47</v>
      </c>
      <c r="AB932" s="103" t="s">
        <v>140</v>
      </c>
      <c r="AC932" s="104" t="s">
        <v>141</v>
      </c>
    </row>
    <row r="933" spans="1:29" ht="25.5" customHeight="1" x14ac:dyDescent="0.35">
      <c r="A933" s="188"/>
      <c r="B933" s="190"/>
      <c r="C933" s="99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0"/>
      <c r="E933" s="78" t="str">
        <f>IF(C933="","",IFERROR(VLOOKUP(C933,parametros!$A$11:$E$15,5,0),""))</f>
        <v/>
      </c>
      <c r="F933" s="79" t="str">
        <f t="shared" si="72"/>
        <v/>
      </c>
      <c r="G933" s="101"/>
      <c r="H933" s="91">
        <f t="shared" si="73"/>
        <v>0</v>
      </c>
      <c r="I933" s="91" t="str">
        <f t="shared" si="74"/>
        <v/>
      </c>
      <c r="J933" s="91" t="str">
        <f t="shared" si="75"/>
        <v/>
      </c>
      <c r="K933" s="92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2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58"/>
      <c r="U933" s="217" t="str">
        <f t="shared" si="76"/>
        <v/>
      </c>
      <c r="V933" s="215" t="s">
        <v>47</v>
      </c>
      <c r="W933" s="102" t="s">
        <v>136</v>
      </c>
      <c r="X933" s="102" t="s">
        <v>137</v>
      </c>
      <c r="Y933" s="103" t="s">
        <v>138</v>
      </c>
      <c r="Z933" s="103" t="s">
        <v>139</v>
      </c>
      <c r="AA933" s="103" t="s">
        <v>47</v>
      </c>
      <c r="AB933" s="103" t="s">
        <v>140</v>
      </c>
      <c r="AC933" s="104" t="s">
        <v>141</v>
      </c>
    </row>
    <row r="934" spans="1:29" ht="25.5" customHeight="1" x14ac:dyDescent="0.35">
      <c r="A934" s="188"/>
      <c r="B934" s="190"/>
      <c r="C934" s="99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0"/>
      <c r="E934" s="78" t="str">
        <f>IF(C934="","",IFERROR(VLOOKUP(C934,parametros!$A$11:$E$15,5,0),""))</f>
        <v/>
      </c>
      <c r="F934" s="79" t="str">
        <f t="shared" si="72"/>
        <v/>
      </c>
      <c r="G934" s="101"/>
      <c r="H934" s="91">
        <f t="shared" si="73"/>
        <v>0</v>
      </c>
      <c r="I934" s="91" t="str">
        <f t="shared" si="74"/>
        <v/>
      </c>
      <c r="J934" s="91" t="str">
        <f t="shared" si="75"/>
        <v/>
      </c>
      <c r="K934" s="92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2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58"/>
      <c r="U934" s="217" t="str">
        <f t="shared" si="76"/>
        <v/>
      </c>
      <c r="V934" s="215" t="s">
        <v>47</v>
      </c>
      <c r="W934" s="102" t="s">
        <v>136</v>
      </c>
      <c r="X934" s="102" t="s">
        <v>137</v>
      </c>
      <c r="Y934" s="103" t="s">
        <v>138</v>
      </c>
      <c r="Z934" s="103" t="s">
        <v>139</v>
      </c>
      <c r="AA934" s="103" t="s">
        <v>47</v>
      </c>
      <c r="AB934" s="103" t="s">
        <v>140</v>
      </c>
      <c r="AC934" s="104" t="s">
        <v>141</v>
      </c>
    </row>
    <row r="935" spans="1:29" ht="25.5" customHeight="1" x14ac:dyDescent="0.35">
      <c r="A935" s="188"/>
      <c r="B935" s="190"/>
      <c r="C935" s="99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0"/>
      <c r="E935" s="78" t="str">
        <f>IF(C935="","",IFERROR(VLOOKUP(C935,parametros!$A$11:$E$15,5,0),""))</f>
        <v/>
      </c>
      <c r="F935" s="79" t="str">
        <f t="shared" si="72"/>
        <v/>
      </c>
      <c r="G935" s="101"/>
      <c r="H935" s="91">
        <f t="shared" si="73"/>
        <v>0</v>
      </c>
      <c r="I935" s="91" t="str">
        <f t="shared" si="74"/>
        <v/>
      </c>
      <c r="J935" s="91" t="str">
        <f t="shared" si="75"/>
        <v/>
      </c>
      <c r="K935" s="92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2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58"/>
      <c r="U935" s="217" t="str">
        <f t="shared" si="76"/>
        <v/>
      </c>
      <c r="V935" s="215" t="s">
        <v>47</v>
      </c>
      <c r="W935" s="102" t="s">
        <v>136</v>
      </c>
      <c r="X935" s="102" t="s">
        <v>137</v>
      </c>
      <c r="Y935" s="103" t="s">
        <v>138</v>
      </c>
      <c r="Z935" s="103" t="s">
        <v>139</v>
      </c>
      <c r="AA935" s="103" t="s">
        <v>47</v>
      </c>
      <c r="AB935" s="103" t="s">
        <v>140</v>
      </c>
      <c r="AC935" s="104" t="s">
        <v>141</v>
      </c>
    </row>
    <row r="936" spans="1:29" ht="25.5" customHeight="1" x14ac:dyDescent="0.35">
      <c r="A936" s="188"/>
      <c r="B936" s="190"/>
      <c r="C936" s="99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0"/>
      <c r="E936" s="78" t="str">
        <f>IF(C936="","",IFERROR(VLOOKUP(C936,parametros!$A$11:$E$15,5,0),""))</f>
        <v/>
      </c>
      <c r="F936" s="79" t="str">
        <f t="shared" si="72"/>
        <v/>
      </c>
      <c r="G936" s="101"/>
      <c r="H936" s="91">
        <f t="shared" si="73"/>
        <v>0</v>
      </c>
      <c r="I936" s="91" t="str">
        <f t="shared" si="74"/>
        <v/>
      </c>
      <c r="J936" s="91" t="str">
        <f t="shared" si="75"/>
        <v/>
      </c>
      <c r="K936" s="92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2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58"/>
      <c r="U936" s="217" t="str">
        <f t="shared" si="76"/>
        <v/>
      </c>
      <c r="V936" s="215" t="s">
        <v>47</v>
      </c>
      <c r="W936" s="102" t="s">
        <v>136</v>
      </c>
      <c r="X936" s="102" t="s">
        <v>137</v>
      </c>
      <c r="Y936" s="103" t="s">
        <v>138</v>
      </c>
      <c r="Z936" s="103" t="s">
        <v>139</v>
      </c>
      <c r="AA936" s="103" t="s">
        <v>47</v>
      </c>
      <c r="AB936" s="103" t="s">
        <v>140</v>
      </c>
      <c r="AC936" s="104" t="s">
        <v>141</v>
      </c>
    </row>
    <row r="937" spans="1:29" ht="25.5" customHeight="1" x14ac:dyDescent="0.35">
      <c r="A937" s="188"/>
      <c r="B937" s="190"/>
      <c r="C937" s="99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0"/>
      <c r="E937" s="78" t="str">
        <f>IF(C937="","",IFERROR(VLOOKUP(C937,parametros!$A$11:$E$15,5,0),""))</f>
        <v/>
      </c>
      <c r="F937" s="79" t="str">
        <f t="shared" si="72"/>
        <v/>
      </c>
      <c r="G937" s="101"/>
      <c r="H937" s="91">
        <f t="shared" si="73"/>
        <v>0</v>
      </c>
      <c r="I937" s="91" t="str">
        <f t="shared" si="74"/>
        <v/>
      </c>
      <c r="J937" s="91" t="str">
        <f t="shared" si="75"/>
        <v/>
      </c>
      <c r="K937" s="92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2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58"/>
      <c r="U937" s="217" t="str">
        <f t="shared" si="76"/>
        <v/>
      </c>
      <c r="V937" s="215" t="s">
        <v>47</v>
      </c>
      <c r="W937" s="102" t="s">
        <v>136</v>
      </c>
      <c r="X937" s="102" t="s">
        <v>137</v>
      </c>
      <c r="Y937" s="103" t="s">
        <v>138</v>
      </c>
      <c r="Z937" s="103" t="s">
        <v>139</v>
      </c>
      <c r="AA937" s="103" t="s">
        <v>47</v>
      </c>
      <c r="AB937" s="103" t="s">
        <v>140</v>
      </c>
      <c r="AC937" s="104" t="s">
        <v>141</v>
      </c>
    </row>
    <row r="938" spans="1:29" ht="25.5" customHeight="1" x14ac:dyDescent="0.35">
      <c r="A938" s="188"/>
      <c r="B938" s="190"/>
      <c r="C938" s="99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0"/>
      <c r="E938" s="78" t="str">
        <f>IF(C938="","",IFERROR(VLOOKUP(C938,parametros!$A$11:$E$15,5,0),""))</f>
        <v/>
      </c>
      <c r="F938" s="79" t="str">
        <f t="shared" si="72"/>
        <v/>
      </c>
      <c r="G938" s="101"/>
      <c r="H938" s="91">
        <f t="shared" si="73"/>
        <v>0</v>
      </c>
      <c r="I938" s="91" t="str">
        <f t="shared" si="74"/>
        <v/>
      </c>
      <c r="J938" s="91" t="str">
        <f t="shared" si="75"/>
        <v/>
      </c>
      <c r="K938" s="92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2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58"/>
      <c r="U938" s="217" t="str">
        <f t="shared" si="76"/>
        <v/>
      </c>
      <c r="V938" s="215" t="s">
        <v>47</v>
      </c>
      <c r="W938" s="102" t="s">
        <v>136</v>
      </c>
      <c r="X938" s="102" t="s">
        <v>137</v>
      </c>
      <c r="Y938" s="103" t="s">
        <v>138</v>
      </c>
      <c r="Z938" s="103" t="s">
        <v>139</v>
      </c>
      <c r="AA938" s="103" t="s">
        <v>47</v>
      </c>
      <c r="AB938" s="103" t="s">
        <v>140</v>
      </c>
      <c r="AC938" s="104" t="s">
        <v>141</v>
      </c>
    </row>
    <row r="939" spans="1:29" ht="25.5" customHeight="1" x14ac:dyDescent="0.35">
      <c r="A939" s="188"/>
      <c r="B939" s="190"/>
      <c r="C939" s="99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0"/>
      <c r="E939" s="78" t="str">
        <f>IF(C939="","",IFERROR(VLOOKUP(C939,parametros!$A$11:$E$15,5,0),""))</f>
        <v/>
      </c>
      <c r="F939" s="79" t="str">
        <f t="shared" si="72"/>
        <v/>
      </c>
      <c r="G939" s="101"/>
      <c r="H939" s="91">
        <f t="shared" si="73"/>
        <v>0</v>
      </c>
      <c r="I939" s="91" t="str">
        <f t="shared" si="74"/>
        <v/>
      </c>
      <c r="J939" s="91" t="str">
        <f t="shared" si="75"/>
        <v/>
      </c>
      <c r="K939" s="92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2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58"/>
      <c r="U939" s="217" t="str">
        <f t="shared" si="76"/>
        <v/>
      </c>
      <c r="V939" s="215" t="s">
        <v>47</v>
      </c>
      <c r="W939" s="102" t="s">
        <v>136</v>
      </c>
      <c r="X939" s="102" t="s">
        <v>137</v>
      </c>
      <c r="Y939" s="103" t="s">
        <v>138</v>
      </c>
      <c r="Z939" s="103" t="s">
        <v>139</v>
      </c>
      <c r="AA939" s="103" t="s">
        <v>47</v>
      </c>
      <c r="AB939" s="103" t="s">
        <v>140</v>
      </c>
      <c r="AC939" s="104" t="s">
        <v>141</v>
      </c>
    </row>
    <row r="940" spans="1:29" ht="25.5" customHeight="1" x14ac:dyDescent="0.35">
      <c r="A940" s="188"/>
      <c r="B940" s="190"/>
      <c r="C940" s="99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0"/>
      <c r="E940" s="78" t="str">
        <f>IF(C940="","",IFERROR(VLOOKUP(C940,parametros!$A$11:$E$15,5,0),""))</f>
        <v/>
      </c>
      <c r="F940" s="79" t="str">
        <f t="shared" si="72"/>
        <v/>
      </c>
      <c r="G940" s="101"/>
      <c r="H940" s="91">
        <f t="shared" si="73"/>
        <v>0</v>
      </c>
      <c r="I940" s="91" t="str">
        <f t="shared" si="74"/>
        <v/>
      </c>
      <c r="J940" s="91" t="str">
        <f t="shared" si="75"/>
        <v/>
      </c>
      <c r="K940" s="92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2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58"/>
      <c r="U940" s="217" t="str">
        <f t="shared" si="76"/>
        <v/>
      </c>
      <c r="V940" s="215" t="s">
        <v>47</v>
      </c>
      <c r="W940" s="102" t="s">
        <v>136</v>
      </c>
      <c r="X940" s="102" t="s">
        <v>137</v>
      </c>
      <c r="Y940" s="103" t="s">
        <v>138</v>
      </c>
      <c r="Z940" s="103" t="s">
        <v>139</v>
      </c>
      <c r="AA940" s="103" t="s">
        <v>47</v>
      </c>
      <c r="AB940" s="103" t="s">
        <v>140</v>
      </c>
      <c r="AC940" s="104" t="s">
        <v>141</v>
      </c>
    </row>
    <row r="941" spans="1:29" ht="25.5" customHeight="1" x14ac:dyDescent="0.35">
      <c r="A941" s="188"/>
      <c r="B941" s="190"/>
      <c r="C941" s="99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0"/>
      <c r="E941" s="78" t="str">
        <f>IF(C941="","",IFERROR(VLOOKUP(C941,parametros!$A$11:$E$15,5,0),""))</f>
        <v/>
      </c>
      <c r="F941" s="79" t="str">
        <f t="shared" si="72"/>
        <v/>
      </c>
      <c r="G941" s="101"/>
      <c r="H941" s="91">
        <f t="shared" si="73"/>
        <v>0</v>
      </c>
      <c r="I941" s="91" t="str">
        <f t="shared" si="74"/>
        <v/>
      </c>
      <c r="J941" s="91" t="str">
        <f t="shared" si="75"/>
        <v/>
      </c>
      <c r="K941" s="92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2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58"/>
      <c r="U941" s="217" t="str">
        <f t="shared" si="76"/>
        <v/>
      </c>
      <c r="V941" s="215" t="s">
        <v>47</v>
      </c>
      <c r="W941" s="102" t="s">
        <v>136</v>
      </c>
      <c r="X941" s="102" t="s">
        <v>137</v>
      </c>
      <c r="Y941" s="103" t="s">
        <v>138</v>
      </c>
      <c r="Z941" s="103" t="s">
        <v>139</v>
      </c>
      <c r="AA941" s="103" t="s">
        <v>47</v>
      </c>
      <c r="AB941" s="103" t="s">
        <v>140</v>
      </c>
      <c r="AC941" s="104" t="s">
        <v>141</v>
      </c>
    </row>
    <row r="942" spans="1:29" ht="25.5" customHeight="1" x14ac:dyDescent="0.35">
      <c r="A942" s="188"/>
      <c r="B942" s="190"/>
      <c r="C942" s="99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0"/>
      <c r="E942" s="78" t="str">
        <f>IF(C942="","",IFERROR(VLOOKUP(C942,parametros!$A$11:$E$15,5,0),""))</f>
        <v/>
      </c>
      <c r="F942" s="79" t="str">
        <f t="shared" si="72"/>
        <v/>
      </c>
      <c r="G942" s="101"/>
      <c r="H942" s="91">
        <f t="shared" si="73"/>
        <v>0</v>
      </c>
      <c r="I942" s="91" t="str">
        <f t="shared" si="74"/>
        <v/>
      </c>
      <c r="J942" s="91" t="str">
        <f t="shared" si="75"/>
        <v/>
      </c>
      <c r="K942" s="92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2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58"/>
      <c r="U942" s="217" t="str">
        <f t="shared" si="76"/>
        <v/>
      </c>
      <c r="V942" s="215" t="s">
        <v>47</v>
      </c>
      <c r="W942" s="102" t="s">
        <v>136</v>
      </c>
      <c r="X942" s="102" t="s">
        <v>137</v>
      </c>
      <c r="Y942" s="103" t="s">
        <v>138</v>
      </c>
      <c r="Z942" s="103" t="s">
        <v>139</v>
      </c>
      <c r="AA942" s="103" t="s">
        <v>47</v>
      </c>
      <c r="AB942" s="103" t="s">
        <v>140</v>
      </c>
      <c r="AC942" s="104" t="s">
        <v>141</v>
      </c>
    </row>
    <row r="943" spans="1:29" ht="25.5" customHeight="1" x14ac:dyDescent="0.35">
      <c r="A943" s="188"/>
      <c r="B943" s="190"/>
      <c r="C943" s="99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0"/>
      <c r="E943" s="78" t="str">
        <f>IF(C943="","",IFERROR(VLOOKUP(C943,parametros!$A$11:$E$15,5,0),""))</f>
        <v/>
      </c>
      <c r="F943" s="79" t="str">
        <f t="shared" si="72"/>
        <v/>
      </c>
      <c r="G943" s="101"/>
      <c r="H943" s="91">
        <f t="shared" si="73"/>
        <v>0</v>
      </c>
      <c r="I943" s="91" t="str">
        <f t="shared" si="74"/>
        <v/>
      </c>
      <c r="J943" s="91" t="str">
        <f t="shared" si="75"/>
        <v/>
      </c>
      <c r="K943" s="92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2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58"/>
      <c r="U943" s="217" t="str">
        <f t="shared" si="76"/>
        <v/>
      </c>
      <c r="V943" s="215" t="s">
        <v>47</v>
      </c>
      <c r="W943" s="102" t="s">
        <v>136</v>
      </c>
      <c r="X943" s="102" t="s">
        <v>137</v>
      </c>
      <c r="Y943" s="103" t="s">
        <v>138</v>
      </c>
      <c r="Z943" s="103" t="s">
        <v>139</v>
      </c>
      <c r="AA943" s="103" t="s">
        <v>47</v>
      </c>
      <c r="AB943" s="103" t="s">
        <v>140</v>
      </c>
      <c r="AC943" s="104" t="s">
        <v>141</v>
      </c>
    </row>
    <row r="944" spans="1:29" ht="25.5" customHeight="1" x14ac:dyDescent="0.35">
      <c r="A944" s="188"/>
      <c r="B944" s="190"/>
      <c r="C944" s="99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0"/>
      <c r="E944" s="78" t="str">
        <f>IF(C944="","",IFERROR(VLOOKUP(C944,parametros!$A$11:$E$15,5,0),""))</f>
        <v/>
      </c>
      <c r="F944" s="79" t="str">
        <f t="shared" si="72"/>
        <v/>
      </c>
      <c r="G944" s="101"/>
      <c r="H944" s="91">
        <f t="shared" si="73"/>
        <v>0</v>
      </c>
      <c r="I944" s="91" t="str">
        <f t="shared" si="74"/>
        <v/>
      </c>
      <c r="J944" s="91" t="str">
        <f t="shared" si="75"/>
        <v/>
      </c>
      <c r="K944" s="92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2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58"/>
      <c r="U944" s="217" t="str">
        <f t="shared" si="76"/>
        <v/>
      </c>
      <c r="V944" s="215" t="s">
        <v>47</v>
      </c>
      <c r="W944" s="102" t="s">
        <v>136</v>
      </c>
      <c r="X944" s="102" t="s">
        <v>137</v>
      </c>
      <c r="Y944" s="103" t="s">
        <v>138</v>
      </c>
      <c r="Z944" s="103" t="s">
        <v>139</v>
      </c>
      <c r="AA944" s="103" t="s">
        <v>47</v>
      </c>
      <c r="AB944" s="103" t="s">
        <v>140</v>
      </c>
      <c r="AC944" s="104" t="s">
        <v>141</v>
      </c>
    </row>
    <row r="945" spans="1:29" ht="25.5" customHeight="1" x14ac:dyDescent="0.35">
      <c r="A945" s="188"/>
      <c r="B945" s="190"/>
      <c r="C945" s="99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0"/>
      <c r="E945" s="78" t="str">
        <f>IF(C945="","",IFERROR(VLOOKUP(C945,parametros!$A$11:$E$15,5,0),""))</f>
        <v/>
      </c>
      <c r="F945" s="79" t="str">
        <f t="shared" si="72"/>
        <v/>
      </c>
      <c r="G945" s="101"/>
      <c r="H945" s="91">
        <f t="shared" si="73"/>
        <v>0</v>
      </c>
      <c r="I945" s="91" t="str">
        <f t="shared" si="74"/>
        <v/>
      </c>
      <c r="J945" s="91" t="str">
        <f t="shared" si="75"/>
        <v/>
      </c>
      <c r="K945" s="92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2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58"/>
      <c r="U945" s="217" t="str">
        <f t="shared" si="76"/>
        <v/>
      </c>
      <c r="V945" s="215" t="s">
        <v>47</v>
      </c>
      <c r="W945" s="102" t="s">
        <v>136</v>
      </c>
      <c r="X945" s="102" t="s">
        <v>137</v>
      </c>
      <c r="Y945" s="103" t="s">
        <v>138</v>
      </c>
      <c r="Z945" s="103" t="s">
        <v>139</v>
      </c>
      <c r="AA945" s="103" t="s">
        <v>47</v>
      </c>
      <c r="AB945" s="103" t="s">
        <v>140</v>
      </c>
      <c r="AC945" s="104" t="s">
        <v>141</v>
      </c>
    </row>
    <row r="946" spans="1:29" ht="25.5" customHeight="1" x14ac:dyDescent="0.35">
      <c r="A946" s="188"/>
      <c r="B946" s="190"/>
      <c r="C946" s="99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0"/>
      <c r="E946" s="78" t="str">
        <f>IF(C946="","",IFERROR(VLOOKUP(C946,parametros!$A$11:$E$15,5,0),""))</f>
        <v/>
      </c>
      <c r="F946" s="79" t="str">
        <f t="shared" si="72"/>
        <v/>
      </c>
      <c r="G946" s="101"/>
      <c r="H946" s="91">
        <f t="shared" si="73"/>
        <v>0</v>
      </c>
      <c r="I946" s="91" t="str">
        <f t="shared" si="74"/>
        <v/>
      </c>
      <c r="J946" s="91" t="str">
        <f t="shared" si="75"/>
        <v/>
      </c>
      <c r="K946" s="92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2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58"/>
      <c r="U946" s="217" t="str">
        <f t="shared" si="76"/>
        <v/>
      </c>
      <c r="V946" s="215" t="s">
        <v>47</v>
      </c>
      <c r="W946" s="102" t="s">
        <v>136</v>
      </c>
      <c r="X946" s="102" t="s">
        <v>137</v>
      </c>
      <c r="Y946" s="103" t="s">
        <v>138</v>
      </c>
      <c r="Z946" s="103" t="s">
        <v>139</v>
      </c>
      <c r="AA946" s="103" t="s">
        <v>47</v>
      </c>
      <c r="AB946" s="103" t="s">
        <v>140</v>
      </c>
      <c r="AC946" s="104" t="s">
        <v>141</v>
      </c>
    </row>
    <row r="947" spans="1:29" ht="25.5" customHeight="1" x14ac:dyDescent="0.35">
      <c r="A947" s="188"/>
      <c r="B947" s="190"/>
      <c r="C947" s="99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0"/>
      <c r="E947" s="78" t="str">
        <f>IF(C947="","",IFERROR(VLOOKUP(C947,parametros!$A$11:$E$15,5,0),""))</f>
        <v/>
      </c>
      <c r="F947" s="79" t="str">
        <f t="shared" si="72"/>
        <v/>
      </c>
      <c r="G947" s="101"/>
      <c r="H947" s="91">
        <f t="shared" si="73"/>
        <v>0</v>
      </c>
      <c r="I947" s="91" t="str">
        <f t="shared" si="74"/>
        <v/>
      </c>
      <c r="J947" s="91" t="str">
        <f t="shared" si="75"/>
        <v/>
      </c>
      <c r="K947" s="92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2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58"/>
      <c r="U947" s="217" t="str">
        <f t="shared" si="76"/>
        <v/>
      </c>
      <c r="V947" s="215" t="s">
        <v>47</v>
      </c>
      <c r="W947" s="102" t="s">
        <v>136</v>
      </c>
      <c r="X947" s="102" t="s">
        <v>137</v>
      </c>
      <c r="Y947" s="103" t="s">
        <v>138</v>
      </c>
      <c r="Z947" s="103" t="s">
        <v>139</v>
      </c>
      <c r="AA947" s="103" t="s">
        <v>47</v>
      </c>
      <c r="AB947" s="103" t="s">
        <v>140</v>
      </c>
      <c r="AC947" s="104" t="s">
        <v>141</v>
      </c>
    </row>
    <row r="948" spans="1:29" ht="25.5" customHeight="1" x14ac:dyDescent="0.35">
      <c r="A948" s="188"/>
      <c r="B948" s="190"/>
      <c r="C948" s="99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0"/>
      <c r="E948" s="78" t="str">
        <f>IF(C948="","",IFERROR(VLOOKUP(C948,parametros!$A$11:$E$15,5,0),""))</f>
        <v/>
      </c>
      <c r="F948" s="79" t="str">
        <f t="shared" si="72"/>
        <v/>
      </c>
      <c r="G948" s="101"/>
      <c r="H948" s="91">
        <f t="shared" si="73"/>
        <v>0</v>
      </c>
      <c r="I948" s="91" t="str">
        <f t="shared" si="74"/>
        <v/>
      </c>
      <c r="J948" s="91" t="str">
        <f t="shared" si="75"/>
        <v/>
      </c>
      <c r="K948" s="92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2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58"/>
      <c r="U948" s="217" t="str">
        <f t="shared" si="76"/>
        <v/>
      </c>
      <c r="V948" s="215" t="s">
        <v>47</v>
      </c>
      <c r="W948" s="102" t="s">
        <v>136</v>
      </c>
      <c r="X948" s="102" t="s">
        <v>137</v>
      </c>
      <c r="Y948" s="103" t="s">
        <v>138</v>
      </c>
      <c r="Z948" s="103" t="s">
        <v>139</v>
      </c>
      <c r="AA948" s="103" t="s">
        <v>47</v>
      </c>
      <c r="AB948" s="103" t="s">
        <v>140</v>
      </c>
      <c r="AC948" s="104" t="s">
        <v>141</v>
      </c>
    </row>
    <row r="949" spans="1:29" ht="25.5" customHeight="1" x14ac:dyDescent="0.35">
      <c r="A949" s="188"/>
      <c r="B949" s="190"/>
      <c r="C949" s="99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0"/>
      <c r="E949" s="78" t="str">
        <f>IF(C949="","",IFERROR(VLOOKUP(C949,parametros!$A$11:$E$15,5,0),""))</f>
        <v/>
      </c>
      <c r="F949" s="79" t="str">
        <f t="shared" si="72"/>
        <v/>
      </c>
      <c r="G949" s="101"/>
      <c r="H949" s="91">
        <f t="shared" si="73"/>
        <v>0</v>
      </c>
      <c r="I949" s="91" t="str">
        <f t="shared" si="74"/>
        <v/>
      </c>
      <c r="J949" s="91" t="str">
        <f t="shared" si="75"/>
        <v/>
      </c>
      <c r="K949" s="92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2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58"/>
      <c r="U949" s="217" t="str">
        <f t="shared" si="76"/>
        <v/>
      </c>
      <c r="V949" s="215" t="s">
        <v>47</v>
      </c>
      <c r="W949" s="102" t="s">
        <v>136</v>
      </c>
      <c r="X949" s="102" t="s">
        <v>137</v>
      </c>
      <c r="Y949" s="103" t="s">
        <v>138</v>
      </c>
      <c r="Z949" s="103" t="s">
        <v>139</v>
      </c>
      <c r="AA949" s="103" t="s">
        <v>47</v>
      </c>
      <c r="AB949" s="103" t="s">
        <v>140</v>
      </c>
      <c r="AC949" s="104" t="s">
        <v>141</v>
      </c>
    </row>
    <row r="950" spans="1:29" ht="25.5" customHeight="1" x14ac:dyDescent="0.35">
      <c r="A950" s="188"/>
      <c r="B950" s="190"/>
      <c r="C950" s="99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0"/>
      <c r="E950" s="78" t="str">
        <f>IF(C950="","",IFERROR(VLOOKUP(C950,parametros!$A$11:$E$15,5,0),""))</f>
        <v/>
      </c>
      <c r="F950" s="79" t="str">
        <f t="shared" si="72"/>
        <v/>
      </c>
      <c r="G950" s="101"/>
      <c r="H950" s="91">
        <f t="shared" si="73"/>
        <v>0</v>
      </c>
      <c r="I950" s="91" t="str">
        <f t="shared" si="74"/>
        <v/>
      </c>
      <c r="J950" s="91" t="str">
        <f t="shared" si="75"/>
        <v/>
      </c>
      <c r="K950" s="92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2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58"/>
      <c r="U950" s="217" t="str">
        <f t="shared" si="76"/>
        <v/>
      </c>
      <c r="V950" s="215" t="s">
        <v>47</v>
      </c>
      <c r="W950" s="102" t="s">
        <v>136</v>
      </c>
      <c r="X950" s="102" t="s">
        <v>137</v>
      </c>
      <c r="Y950" s="103" t="s">
        <v>138</v>
      </c>
      <c r="Z950" s="103" t="s">
        <v>139</v>
      </c>
      <c r="AA950" s="103" t="s">
        <v>47</v>
      </c>
      <c r="AB950" s="103" t="s">
        <v>140</v>
      </c>
      <c r="AC950" s="104" t="s">
        <v>141</v>
      </c>
    </row>
    <row r="951" spans="1:29" ht="25.5" customHeight="1" x14ac:dyDescent="0.35">
      <c r="A951" s="188"/>
      <c r="B951" s="190"/>
      <c r="C951" s="99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0"/>
      <c r="E951" s="78" t="str">
        <f>IF(C951="","",IFERROR(VLOOKUP(C951,parametros!$A$11:$E$15,5,0),""))</f>
        <v/>
      </c>
      <c r="F951" s="79" t="str">
        <f t="shared" si="72"/>
        <v/>
      </c>
      <c r="G951" s="101"/>
      <c r="H951" s="91">
        <f t="shared" si="73"/>
        <v>0</v>
      </c>
      <c r="I951" s="91" t="str">
        <f t="shared" si="74"/>
        <v/>
      </c>
      <c r="J951" s="91" t="str">
        <f t="shared" si="75"/>
        <v/>
      </c>
      <c r="K951" s="92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2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58"/>
      <c r="U951" s="217" t="str">
        <f t="shared" si="76"/>
        <v/>
      </c>
      <c r="V951" s="215" t="s">
        <v>47</v>
      </c>
      <c r="W951" s="102" t="s">
        <v>136</v>
      </c>
      <c r="X951" s="102" t="s">
        <v>137</v>
      </c>
      <c r="Y951" s="103" t="s">
        <v>138</v>
      </c>
      <c r="Z951" s="103" t="s">
        <v>139</v>
      </c>
      <c r="AA951" s="103" t="s">
        <v>47</v>
      </c>
      <c r="AB951" s="103" t="s">
        <v>140</v>
      </c>
      <c r="AC951" s="104" t="s">
        <v>141</v>
      </c>
    </row>
    <row r="952" spans="1:29" ht="25.5" customHeight="1" x14ac:dyDescent="0.35">
      <c r="A952" s="188"/>
      <c r="B952" s="190"/>
      <c r="C952" s="99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0"/>
      <c r="E952" s="78" t="str">
        <f>IF(C952="","",IFERROR(VLOOKUP(C952,parametros!$A$11:$E$15,5,0),""))</f>
        <v/>
      </c>
      <c r="F952" s="79" t="str">
        <f t="shared" si="72"/>
        <v/>
      </c>
      <c r="G952" s="101"/>
      <c r="H952" s="91">
        <f t="shared" si="73"/>
        <v>0</v>
      </c>
      <c r="I952" s="91" t="str">
        <f t="shared" si="74"/>
        <v/>
      </c>
      <c r="J952" s="91" t="str">
        <f t="shared" si="75"/>
        <v/>
      </c>
      <c r="K952" s="92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2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58"/>
      <c r="U952" s="217" t="str">
        <f t="shared" si="76"/>
        <v/>
      </c>
      <c r="V952" s="215" t="s">
        <v>47</v>
      </c>
      <c r="W952" s="102" t="s">
        <v>136</v>
      </c>
      <c r="X952" s="102" t="s">
        <v>137</v>
      </c>
      <c r="Y952" s="103" t="s">
        <v>138</v>
      </c>
      <c r="Z952" s="103" t="s">
        <v>139</v>
      </c>
      <c r="AA952" s="103" t="s">
        <v>47</v>
      </c>
      <c r="AB952" s="103" t="s">
        <v>140</v>
      </c>
      <c r="AC952" s="104" t="s">
        <v>141</v>
      </c>
    </row>
    <row r="953" spans="1:29" ht="25.5" customHeight="1" x14ac:dyDescent="0.35">
      <c r="A953" s="188"/>
      <c r="B953" s="190"/>
      <c r="C953" s="99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0"/>
      <c r="E953" s="78" t="str">
        <f>IF(C953="","",IFERROR(VLOOKUP(C953,parametros!$A$11:$E$15,5,0),""))</f>
        <v/>
      </c>
      <c r="F953" s="79" t="str">
        <f t="shared" si="72"/>
        <v/>
      </c>
      <c r="G953" s="101"/>
      <c r="H953" s="91">
        <f t="shared" si="73"/>
        <v>0</v>
      </c>
      <c r="I953" s="91" t="str">
        <f t="shared" si="74"/>
        <v/>
      </c>
      <c r="J953" s="91" t="str">
        <f t="shared" si="75"/>
        <v/>
      </c>
      <c r="K953" s="92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2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58"/>
      <c r="U953" s="217" t="str">
        <f t="shared" si="76"/>
        <v/>
      </c>
      <c r="V953" s="215" t="s">
        <v>47</v>
      </c>
      <c r="W953" s="102" t="s">
        <v>136</v>
      </c>
      <c r="X953" s="102" t="s">
        <v>137</v>
      </c>
      <c r="Y953" s="103" t="s">
        <v>138</v>
      </c>
      <c r="Z953" s="103" t="s">
        <v>139</v>
      </c>
      <c r="AA953" s="103" t="s">
        <v>47</v>
      </c>
      <c r="AB953" s="103" t="s">
        <v>140</v>
      </c>
      <c r="AC953" s="104" t="s">
        <v>141</v>
      </c>
    </row>
    <row r="954" spans="1:29" ht="25.5" customHeight="1" x14ac:dyDescent="0.35">
      <c r="A954" s="188"/>
      <c r="B954" s="190"/>
      <c r="C954" s="99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0"/>
      <c r="E954" s="78" t="str">
        <f>IF(C954="","",IFERROR(VLOOKUP(C954,parametros!$A$11:$E$15,5,0),""))</f>
        <v/>
      </c>
      <c r="F954" s="79" t="str">
        <f t="shared" si="72"/>
        <v/>
      </c>
      <c r="G954" s="101"/>
      <c r="H954" s="91">
        <f t="shared" si="73"/>
        <v>0</v>
      </c>
      <c r="I954" s="91" t="str">
        <f t="shared" si="74"/>
        <v/>
      </c>
      <c r="J954" s="91" t="str">
        <f t="shared" si="75"/>
        <v/>
      </c>
      <c r="K954" s="92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2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58"/>
      <c r="U954" s="217" t="str">
        <f t="shared" si="76"/>
        <v/>
      </c>
      <c r="V954" s="215" t="s">
        <v>47</v>
      </c>
      <c r="W954" s="102" t="s">
        <v>136</v>
      </c>
      <c r="X954" s="102" t="s">
        <v>137</v>
      </c>
      <c r="Y954" s="103" t="s">
        <v>138</v>
      </c>
      <c r="Z954" s="103" t="s">
        <v>139</v>
      </c>
      <c r="AA954" s="103" t="s">
        <v>47</v>
      </c>
      <c r="AB954" s="103" t="s">
        <v>140</v>
      </c>
      <c r="AC954" s="104" t="s">
        <v>141</v>
      </c>
    </row>
    <row r="955" spans="1:29" ht="25.5" customHeight="1" x14ac:dyDescent="0.35">
      <c r="A955" s="188"/>
      <c r="B955" s="190"/>
      <c r="C955" s="99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0"/>
      <c r="E955" s="78" t="str">
        <f>IF(C955="","",IFERROR(VLOOKUP(C955,parametros!$A$11:$E$15,5,0),""))</f>
        <v/>
      </c>
      <c r="F955" s="79" t="str">
        <f t="shared" si="72"/>
        <v/>
      </c>
      <c r="G955" s="101"/>
      <c r="H955" s="91">
        <f t="shared" si="73"/>
        <v>0</v>
      </c>
      <c r="I955" s="91" t="str">
        <f t="shared" si="74"/>
        <v/>
      </c>
      <c r="J955" s="91" t="str">
        <f t="shared" si="75"/>
        <v/>
      </c>
      <c r="K955" s="92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2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58"/>
      <c r="U955" s="217" t="str">
        <f t="shared" si="76"/>
        <v/>
      </c>
      <c r="V955" s="215" t="s">
        <v>47</v>
      </c>
      <c r="W955" s="102" t="s">
        <v>136</v>
      </c>
      <c r="X955" s="102" t="s">
        <v>137</v>
      </c>
      <c r="Y955" s="103" t="s">
        <v>138</v>
      </c>
      <c r="Z955" s="103" t="s">
        <v>139</v>
      </c>
      <c r="AA955" s="103" t="s">
        <v>47</v>
      </c>
      <c r="AB955" s="103" t="s">
        <v>140</v>
      </c>
      <c r="AC955" s="104" t="s">
        <v>141</v>
      </c>
    </row>
    <row r="956" spans="1:29" ht="25.5" customHeight="1" x14ac:dyDescent="0.35">
      <c r="A956" s="188"/>
      <c r="B956" s="190"/>
      <c r="C956" s="99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0"/>
      <c r="E956" s="78" t="str">
        <f>IF(C956="","",IFERROR(VLOOKUP(C956,parametros!$A$11:$E$15,5,0),""))</f>
        <v/>
      </c>
      <c r="F956" s="79" t="str">
        <f t="shared" si="72"/>
        <v/>
      </c>
      <c r="G956" s="101"/>
      <c r="H956" s="91">
        <f t="shared" si="73"/>
        <v>0</v>
      </c>
      <c r="I956" s="91" t="str">
        <f t="shared" si="74"/>
        <v/>
      </c>
      <c r="J956" s="91" t="str">
        <f t="shared" si="75"/>
        <v/>
      </c>
      <c r="K956" s="92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2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58"/>
      <c r="U956" s="217" t="str">
        <f t="shared" si="76"/>
        <v/>
      </c>
      <c r="V956" s="215" t="s">
        <v>47</v>
      </c>
      <c r="W956" s="102" t="s">
        <v>136</v>
      </c>
      <c r="X956" s="102" t="s">
        <v>137</v>
      </c>
      <c r="Y956" s="103" t="s">
        <v>138</v>
      </c>
      <c r="Z956" s="103" t="s">
        <v>139</v>
      </c>
      <c r="AA956" s="103" t="s">
        <v>47</v>
      </c>
      <c r="AB956" s="103" t="s">
        <v>140</v>
      </c>
      <c r="AC956" s="104" t="s">
        <v>141</v>
      </c>
    </row>
    <row r="957" spans="1:29" ht="25.5" customHeight="1" x14ac:dyDescent="0.35">
      <c r="A957" s="188"/>
      <c r="B957" s="190"/>
      <c r="C957" s="99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0"/>
      <c r="E957" s="78" t="str">
        <f>IF(C957="","",IFERROR(VLOOKUP(C957,parametros!$A$11:$E$15,5,0),""))</f>
        <v/>
      </c>
      <c r="F957" s="79" t="str">
        <f t="shared" si="72"/>
        <v/>
      </c>
      <c r="G957" s="101"/>
      <c r="H957" s="91">
        <f t="shared" si="73"/>
        <v>0</v>
      </c>
      <c r="I957" s="91" t="str">
        <f t="shared" si="74"/>
        <v/>
      </c>
      <c r="J957" s="91" t="str">
        <f t="shared" si="75"/>
        <v/>
      </c>
      <c r="K957" s="92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2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58"/>
      <c r="U957" s="217" t="str">
        <f t="shared" si="76"/>
        <v/>
      </c>
      <c r="V957" s="215" t="s">
        <v>47</v>
      </c>
      <c r="W957" s="102" t="s">
        <v>136</v>
      </c>
      <c r="X957" s="102" t="s">
        <v>137</v>
      </c>
      <c r="Y957" s="103" t="s">
        <v>138</v>
      </c>
      <c r="Z957" s="103" t="s">
        <v>139</v>
      </c>
      <c r="AA957" s="103" t="s">
        <v>47</v>
      </c>
      <c r="AB957" s="103" t="s">
        <v>140</v>
      </c>
      <c r="AC957" s="104" t="s">
        <v>141</v>
      </c>
    </row>
    <row r="958" spans="1:29" ht="25.5" customHeight="1" x14ac:dyDescent="0.35">
      <c r="A958" s="188"/>
      <c r="B958" s="190"/>
      <c r="C958" s="99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0"/>
      <c r="E958" s="78" t="str">
        <f>IF(C958="","",IFERROR(VLOOKUP(C958,parametros!$A$11:$E$15,5,0),""))</f>
        <v/>
      </c>
      <c r="F958" s="79" t="str">
        <f t="shared" si="72"/>
        <v/>
      </c>
      <c r="G958" s="101"/>
      <c r="H958" s="91">
        <f t="shared" si="73"/>
        <v>0</v>
      </c>
      <c r="I958" s="91" t="str">
        <f t="shared" si="74"/>
        <v/>
      </c>
      <c r="J958" s="91" t="str">
        <f t="shared" si="75"/>
        <v/>
      </c>
      <c r="K958" s="92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2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58"/>
      <c r="U958" s="217" t="str">
        <f t="shared" si="76"/>
        <v/>
      </c>
      <c r="V958" s="215" t="s">
        <v>47</v>
      </c>
      <c r="W958" s="102" t="s">
        <v>136</v>
      </c>
      <c r="X958" s="102" t="s">
        <v>137</v>
      </c>
      <c r="Y958" s="103" t="s">
        <v>138</v>
      </c>
      <c r="Z958" s="103" t="s">
        <v>139</v>
      </c>
      <c r="AA958" s="103" t="s">
        <v>47</v>
      </c>
      <c r="AB958" s="103" t="s">
        <v>140</v>
      </c>
      <c r="AC958" s="104" t="s">
        <v>141</v>
      </c>
    </row>
    <row r="959" spans="1:29" ht="25.5" customHeight="1" x14ac:dyDescent="0.35">
      <c r="A959" s="188"/>
      <c r="B959" s="190"/>
      <c r="C959" s="99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0"/>
      <c r="E959" s="78" t="str">
        <f>IF(C959="","",IFERROR(VLOOKUP(C959,parametros!$A$11:$E$15,5,0),""))</f>
        <v/>
      </c>
      <c r="F959" s="79" t="str">
        <f t="shared" si="72"/>
        <v/>
      </c>
      <c r="G959" s="101"/>
      <c r="H959" s="91">
        <f t="shared" si="73"/>
        <v>0</v>
      </c>
      <c r="I959" s="91" t="str">
        <f t="shared" si="74"/>
        <v/>
      </c>
      <c r="J959" s="91" t="str">
        <f t="shared" si="75"/>
        <v/>
      </c>
      <c r="K959" s="92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2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58"/>
      <c r="U959" s="217" t="str">
        <f t="shared" si="76"/>
        <v/>
      </c>
      <c r="V959" s="215" t="s">
        <v>47</v>
      </c>
      <c r="W959" s="102" t="s">
        <v>136</v>
      </c>
      <c r="X959" s="102" t="s">
        <v>137</v>
      </c>
      <c r="Y959" s="103" t="s">
        <v>138</v>
      </c>
      <c r="Z959" s="103" t="s">
        <v>139</v>
      </c>
      <c r="AA959" s="103" t="s">
        <v>47</v>
      </c>
      <c r="AB959" s="103" t="s">
        <v>140</v>
      </c>
      <c r="AC959" s="104" t="s">
        <v>141</v>
      </c>
    </row>
    <row r="960" spans="1:29" ht="25.5" customHeight="1" x14ac:dyDescent="0.35">
      <c r="A960" s="188"/>
      <c r="B960" s="190"/>
      <c r="C960" s="99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0"/>
      <c r="E960" s="78" t="str">
        <f>IF(C960="","",IFERROR(VLOOKUP(C960,parametros!$A$11:$E$15,5,0),""))</f>
        <v/>
      </c>
      <c r="F960" s="79" t="str">
        <f t="shared" si="72"/>
        <v/>
      </c>
      <c r="G960" s="101"/>
      <c r="H960" s="91">
        <f t="shared" si="73"/>
        <v>0</v>
      </c>
      <c r="I960" s="91" t="str">
        <f t="shared" si="74"/>
        <v/>
      </c>
      <c r="J960" s="91" t="str">
        <f t="shared" si="75"/>
        <v/>
      </c>
      <c r="K960" s="92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2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58"/>
      <c r="U960" s="217" t="str">
        <f t="shared" si="76"/>
        <v/>
      </c>
      <c r="V960" s="215" t="s">
        <v>47</v>
      </c>
      <c r="W960" s="102" t="s">
        <v>136</v>
      </c>
      <c r="X960" s="102" t="s">
        <v>137</v>
      </c>
      <c r="Y960" s="103" t="s">
        <v>138</v>
      </c>
      <c r="Z960" s="103" t="s">
        <v>139</v>
      </c>
      <c r="AA960" s="103" t="s">
        <v>47</v>
      </c>
      <c r="AB960" s="103" t="s">
        <v>140</v>
      </c>
      <c r="AC960" s="104" t="s">
        <v>141</v>
      </c>
    </row>
    <row r="961" spans="1:29" ht="25.5" customHeight="1" x14ac:dyDescent="0.35">
      <c r="A961" s="188"/>
      <c r="B961" s="190"/>
      <c r="C961" s="99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0"/>
      <c r="E961" s="78" t="str">
        <f>IF(C961="","",IFERROR(VLOOKUP(C961,parametros!$A$11:$E$15,5,0),""))</f>
        <v/>
      </c>
      <c r="F961" s="79" t="str">
        <f t="shared" si="72"/>
        <v/>
      </c>
      <c r="G961" s="101"/>
      <c r="H961" s="91">
        <f t="shared" si="73"/>
        <v>0</v>
      </c>
      <c r="I961" s="91" t="str">
        <f t="shared" si="74"/>
        <v/>
      </c>
      <c r="J961" s="91" t="str">
        <f t="shared" si="75"/>
        <v/>
      </c>
      <c r="K961" s="92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2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58"/>
      <c r="U961" s="217" t="str">
        <f t="shared" si="76"/>
        <v/>
      </c>
      <c r="V961" s="215" t="s">
        <v>47</v>
      </c>
      <c r="W961" s="102" t="s">
        <v>136</v>
      </c>
      <c r="X961" s="102" t="s">
        <v>137</v>
      </c>
      <c r="Y961" s="103" t="s">
        <v>138</v>
      </c>
      <c r="Z961" s="103" t="s">
        <v>139</v>
      </c>
      <c r="AA961" s="103" t="s">
        <v>47</v>
      </c>
      <c r="AB961" s="103" t="s">
        <v>140</v>
      </c>
      <c r="AC961" s="104" t="s">
        <v>141</v>
      </c>
    </row>
    <row r="962" spans="1:29" ht="25.5" customHeight="1" x14ac:dyDescent="0.35">
      <c r="A962" s="188"/>
      <c r="B962" s="190"/>
      <c r="C962" s="99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0"/>
      <c r="E962" s="78" t="str">
        <f>IF(C962="","",IFERROR(VLOOKUP(C962,parametros!$A$11:$E$15,5,0),""))</f>
        <v/>
      </c>
      <c r="F962" s="79" t="str">
        <f t="shared" ref="F962:F1025" si="77">IF(OR(D962="",E962=""),"",ROUND(D962*E962,2))</f>
        <v/>
      </c>
      <c r="G962" s="101"/>
      <c r="H962" s="91">
        <f t="shared" ref="H962:H1025" si="78">IF(G962="Sim",IF(OR(F962="",D962="",L962=""),"",IF(L962="Sim",ROUND(F962-D962,2),0)),0)</f>
        <v>0</v>
      </c>
      <c r="I962" s="91" t="str">
        <f t="shared" ref="I962:I1025" si="79">IF(G962="Sim",0,IF(OR(F962="",L962=""),"",F962))</f>
        <v/>
      </c>
      <c r="J962" s="91" t="str">
        <f t="shared" ref="J962:J1025" si="80">IF(G962="Sim",0,IF(OR(F962="",D962="",L962=""),"",IF(L962="Sim",ROUND(F962-D962,2),0)))</f>
        <v/>
      </c>
      <c r="K962" s="92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2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58"/>
      <c r="U962" s="217" t="str">
        <f t="shared" ref="U962:U1025" si="81">IF(OR($D962="",$H962=""),"",ROUND($D962+$H962,2))</f>
        <v/>
      </c>
      <c r="V962" s="215" t="s">
        <v>47</v>
      </c>
      <c r="W962" s="102" t="s">
        <v>136</v>
      </c>
      <c r="X962" s="102" t="s">
        <v>137</v>
      </c>
      <c r="Y962" s="103" t="s">
        <v>138</v>
      </c>
      <c r="Z962" s="103" t="s">
        <v>139</v>
      </c>
      <c r="AA962" s="103" t="s">
        <v>47</v>
      </c>
      <c r="AB962" s="103" t="s">
        <v>140</v>
      </c>
      <c r="AC962" s="104" t="s">
        <v>141</v>
      </c>
    </row>
    <row r="963" spans="1:29" ht="25.5" customHeight="1" x14ac:dyDescent="0.35">
      <c r="A963" s="188"/>
      <c r="B963" s="190"/>
      <c r="C963" s="99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0"/>
      <c r="E963" s="78" t="str">
        <f>IF(C963="","",IFERROR(VLOOKUP(C963,parametros!$A$11:$E$15,5,0),""))</f>
        <v/>
      </c>
      <c r="F963" s="79" t="str">
        <f t="shared" si="77"/>
        <v/>
      </c>
      <c r="G963" s="101"/>
      <c r="H963" s="91">
        <f t="shared" si="78"/>
        <v>0</v>
      </c>
      <c r="I963" s="91" t="str">
        <f t="shared" si="79"/>
        <v/>
      </c>
      <c r="J963" s="91" t="str">
        <f t="shared" si="80"/>
        <v/>
      </c>
      <c r="K963" s="92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2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58"/>
      <c r="U963" s="217" t="str">
        <f t="shared" si="81"/>
        <v/>
      </c>
      <c r="V963" s="215" t="s">
        <v>47</v>
      </c>
      <c r="W963" s="102" t="s">
        <v>136</v>
      </c>
      <c r="X963" s="102" t="s">
        <v>137</v>
      </c>
      <c r="Y963" s="103" t="s">
        <v>138</v>
      </c>
      <c r="Z963" s="103" t="s">
        <v>139</v>
      </c>
      <c r="AA963" s="103" t="s">
        <v>47</v>
      </c>
      <c r="AB963" s="103" t="s">
        <v>140</v>
      </c>
      <c r="AC963" s="104" t="s">
        <v>141</v>
      </c>
    </row>
    <row r="964" spans="1:29" ht="25.5" customHeight="1" x14ac:dyDescent="0.35">
      <c r="A964" s="188"/>
      <c r="B964" s="190"/>
      <c r="C964" s="99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0"/>
      <c r="E964" s="78" t="str">
        <f>IF(C964="","",IFERROR(VLOOKUP(C964,parametros!$A$11:$E$15,5,0),""))</f>
        <v/>
      </c>
      <c r="F964" s="79" t="str">
        <f t="shared" si="77"/>
        <v/>
      </c>
      <c r="G964" s="101"/>
      <c r="H964" s="91">
        <f t="shared" si="78"/>
        <v>0</v>
      </c>
      <c r="I964" s="91" t="str">
        <f t="shared" si="79"/>
        <v/>
      </c>
      <c r="J964" s="91" t="str">
        <f t="shared" si="80"/>
        <v/>
      </c>
      <c r="K964" s="92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2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58"/>
      <c r="U964" s="217" t="str">
        <f t="shared" si="81"/>
        <v/>
      </c>
      <c r="V964" s="215" t="s">
        <v>47</v>
      </c>
      <c r="W964" s="102" t="s">
        <v>136</v>
      </c>
      <c r="X964" s="102" t="s">
        <v>137</v>
      </c>
      <c r="Y964" s="103" t="s">
        <v>138</v>
      </c>
      <c r="Z964" s="103" t="s">
        <v>139</v>
      </c>
      <c r="AA964" s="103" t="s">
        <v>47</v>
      </c>
      <c r="AB964" s="103" t="s">
        <v>140</v>
      </c>
      <c r="AC964" s="104" t="s">
        <v>141</v>
      </c>
    </row>
    <row r="965" spans="1:29" ht="25.5" customHeight="1" x14ac:dyDescent="0.35">
      <c r="A965" s="188"/>
      <c r="B965" s="190"/>
      <c r="C965" s="99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0"/>
      <c r="E965" s="78" t="str">
        <f>IF(C965="","",IFERROR(VLOOKUP(C965,parametros!$A$11:$E$15,5,0),""))</f>
        <v/>
      </c>
      <c r="F965" s="79" t="str">
        <f t="shared" si="77"/>
        <v/>
      </c>
      <c r="G965" s="101"/>
      <c r="H965" s="91">
        <f t="shared" si="78"/>
        <v>0</v>
      </c>
      <c r="I965" s="91" t="str">
        <f t="shared" si="79"/>
        <v/>
      </c>
      <c r="J965" s="91" t="str">
        <f t="shared" si="80"/>
        <v/>
      </c>
      <c r="K965" s="92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2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58"/>
      <c r="U965" s="217" t="str">
        <f t="shared" si="81"/>
        <v/>
      </c>
      <c r="V965" s="215" t="s">
        <v>47</v>
      </c>
      <c r="W965" s="102" t="s">
        <v>136</v>
      </c>
      <c r="X965" s="102" t="s">
        <v>137</v>
      </c>
      <c r="Y965" s="103" t="s">
        <v>138</v>
      </c>
      <c r="Z965" s="103" t="s">
        <v>139</v>
      </c>
      <c r="AA965" s="103" t="s">
        <v>47</v>
      </c>
      <c r="AB965" s="103" t="s">
        <v>140</v>
      </c>
      <c r="AC965" s="104" t="s">
        <v>141</v>
      </c>
    </row>
    <row r="966" spans="1:29" ht="25.5" customHeight="1" x14ac:dyDescent="0.35">
      <c r="A966" s="188"/>
      <c r="B966" s="190"/>
      <c r="C966" s="99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0"/>
      <c r="E966" s="78" t="str">
        <f>IF(C966="","",IFERROR(VLOOKUP(C966,parametros!$A$11:$E$15,5,0),""))</f>
        <v/>
      </c>
      <c r="F966" s="79" t="str">
        <f t="shared" si="77"/>
        <v/>
      </c>
      <c r="G966" s="101"/>
      <c r="H966" s="91">
        <f t="shared" si="78"/>
        <v>0</v>
      </c>
      <c r="I966" s="91" t="str">
        <f t="shared" si="79"/>
        <v/>
      </c>
      <c r="J966" s="91" t="str">
        <f t="shared" si="80"/>
        <v/>
      </c>
      <c r="K966" s="92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2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58"/>
      <c r="U966" s="217" t="str">
        <f t="shared" si="81"/>
        <v/>
      </c>
      <c r="V966" s="215" t="s">
        <v>47</v>
      </c>
      <c r="W966" s="102" t="s">
        <v>136</v>
      </c>
      <c r="X966" s="102" t="s">
        <v>137</v>
      </c>
      <c r="Y966" s="103" t="s">
        <v>138</v>
      </c>
      <c r="Z966" s="103" t="s">
        <v>139</v>
      </c>
      <c r="AA966" s="103" t="s">
        <v>47</v>
      </c>
      <c r="AB966" s="103" t="s">
        <v>140</v>
      </c>
      <c r="AC966" s="104" t="s">
        <v>141</v>
      </c>
    </row>
    <row r="967" spans="1:29" ht="25.5" customHeight="1" x14ac:dyDescent="0.35">
      <c r="A967" s="188"/>
      <c r="B967" s="190"/>
      <c r="C967" s="99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0"/>
      <c r="E967" s="78" t="str">
        <f>IF(C967="","",IFERROR(VLOOKUP(C967,parametros!$A$11:$E$15,5,0),""))</f>
        <v/>
      </c>
      <c r="F967" s="79" t="str">
        <f t="shared" si="77"/>
        <v/>
      </c>
      <c r="G967" s="101"/>
      <c r="H967" s="91">
        <f t="shared" si="78"/>
        <v>0</v>
      </c>
      <c r="I967" s="91" t="str">
        <f t="shared" si="79"/>
        <v/>
      </c>
      <c r="J967" s="91" t="str">
        <f t="shared" si="80"/>
        <v/>
      </c>
      <c r="K967" s="92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2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58"/>
      <c r="U967" s="217" t="str">
        <f t="shared" si="81"/>
        <v/>
      </c>
      <c r="V967" s="215" t="s">
        <v>47</v>
      </c>
      <c r="W967" s="102" t="s">
        <v>136</v>
      </c>
      <c r="X967" s="102" t="s">
        <v>137</v>
      </c>
      <c r="Y967" s="103" t="s">
        <v>138</v>
      </c>
      <c r="Z967" s="103" t="s">
        <v>139</v>
      </c>
      <c r="AA967" s="103" t="s">
        <v>47</v>
      </c>
      <c r="AB967" s="103" t="s">
        <v>140</v>
      </c>
      <c r="AC967" s="104" t="s">
        <v>141</v>
      </c>
    </row>
    <row r="968" spans="1:29" ht="25.5" customHeight="1" x14ac:dyDescent="0.35">
      <c r="A968" s="188"/>
      <c r="B968" s="190"/>
      <c r="C968" s="99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0"/>
      <c r="E968" s="78" t="str">
        <f>IF(C968="","",IFERROR(VLOOKUP(C968,parametros!$A$11:$E$15,5,0),""))</f>
        <v/>
      </c>
      <c r="F968" s="79" t="str">
        <f t="shared" si="77"/>
        <v/>
      </c>
      <c r="G968" s="101"/>
      <c r="H968" s="91">
        <f t="shared" si="78"/>
        <v>0</v>
      </c>
      <c r="I968" s="91" t="str">
        <f t="shared" si="79"/>
        <v/>
      </c>
      <c r="J968" s="91" t="str">
        <f t="shared" si="80"/>
        <v/>
      </c>
      <c r="K968" s="92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2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58"/>
      <c r="U968" s="217" t="str">
        <f t="shared" si="81"/>
        <v/>
      </c>
      <c r="V968" s="215" t="s">
        <v>47</v>
      </c>
      <c r="W968" s="102" t="s">
        <v>136</v>
      </c>
      <c r="X968" s="102" t="s">
        <v>137</v>
      </c>
      <c r="Y968" s="103" t="s">
        <v>138</v>
      </c>
      <c r="Z968" s="103" t="s">
        <v>139</v>
      </c>
      <c r="AA968" s="103" t="s">
        <v>47</v>
      </c>
      <c r="AB968" s="103" t="s">
        <v>140</v>
      </c>
      <c r="AC968" s="104" t="s">
        <v>141</v>
      </c>
    </row>
    <row r="969" spans="1:29" ht="25.5" customHeight="1" x14ac:dyDescent="0.35">
      <c r="A969" s="188"/>
      <c r="B969" s="190"/>
      <c r="C969" s="99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0"/>
      <c r="E969" s="78" t="str">
        <f>IF(C969="","",IFERROR(VLOOKUP(C969,parametros!$A$11:$E$15,5,0),""))</f>
        <v/>
      </c>
      <c r="F969" s="79" t="str">
        <f t="shared" si="77"/>
        <v/>
      </c>
      <c r="G969" s="101"/>
      <c r="H969" s="91">
        <f t="shared" si="78"/>
        <v>0</v>
      </c>
      <c r="I969" s="91" t="str">
        <f t="shared" si="79"/>
        <v/>
      </c>
      <c r="J969" s="91" t="str">
        <f t="shared" si="80"/>
        <v/>
      </c>
      <c r="K969" s="92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2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58"/>
      <c r="U969" s="217" t="str">
        <f t="shared" si="81"/>
        <v/>
      </c>
      <c r="V969" s="215" t="s">
        <v>47</v>
      </c>
      <c r="W969" s="102" t="s">
        <v>136</v>
      </c>
      <c r="X969" s="102" t="s">
        <v>137</v>
      </c>
      <c r="Y969" s="103" t="s">
        <v>138</v>
      </c>
      <c r="Z969" s="103" t="s">
        <v>139</v>
      </c>
      <c r="AA969" s="103" t="s">
        <v>47</v>
      </c>
      <c r="AB969" s="103" t="s">
        <v>140</v>
      </c>
      <c r="AC969" s="104" t="s">
        <v>141</v>
      </c>
    </row>
    <row r="970" spans="1:29" ht="25.5" customHeight="1" x14ac:dyDescent="0.35">
      <c r="A970" s="188"/>
      <c r="B970" s="190"/>
      <c r="C970" s="99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0"/>
      <c r="E970" s="78" t="str">
        <f>IF(C970="","",IFERROR(VLOOKUP(C970,parametros!$A$11:$E$15,5,0),""))</f>
        <v/>
      </c>
      <c r="F970" s="79" t="str">
        <f t="shared" si="77"/>
        <v/>
      </c>
      <c r="G970" s="101"/>
      <c r="H970" s="91">
        <f t="shared" si="78"/>
        <v>0</v>
      </c>
      <c r="I970" s="91" t="str">
        <f t="shared" si="79"/>
        <v/>
      </c>
      <c r="J970" s="91" t="str">
        <f t="shared" si="80"/>
        <v/>
      </c>
      <c r="K970" s="92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2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58"/>
      <c r="U970" s="217" t="str">
        <f t="shared" si="81"/>
        <v/>
      </c>
      <c r="V970" s="215" t="s">
        <v>47</v>
      </c>
      <c r="W970" s="102" t="s">
        <v>136</v>
      </c>
      <c r="X970" s="102" t="s">
        <v>137</v>
      </c>
      <c r="Y970" s="103" t="s">
        <v>138</v>
      </c>
      <c r="Z970" s="103" t="s">
        <v>139</v>
      </c>
      <c r="AA970" s="103" t="s">
        <v>47</v>
      </c>
      <c r="AB970" s="103" t="s">
        <v>140</v>
      </c>
      <c r="AC970" s="104" t="s">
        <v>141</v>
      </c>
    </row>
    <row r="971" spans="1:29" ht="25.5" customHeight="1" x14ac:dyDescent="0.35">
      <c r="A971" s="188"/>
      <c r="B971" s="190"/>
      <c r="C971" s="99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0"/>
      <c r="E971" s="78" t="str">
        <f>IF(C971="","",IFERROR(VLOOKUP(C971,parametros!$A$11:$E$15,5,0),""))</f>
        <v/>
      </c>
      <c r="F971" s="79" t="str">
        <f t="shared" si="77"/>
        <v/>
      </c>
      <c r="G971" s="101"/>
      <c r="H971" s="91">
        <f t="shared" si="78"/>
        <v>0</v>
      </c>
      <c r="I971" s="91" t="str">
        <f t="shared" si="79"/>
        <v/>
      </c>
      <c r="J971" s="91" t="str">
        <f t="shared" si="80"/>
        <v/>
      </c>
      <c r="K971" s="92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2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58"/>
      <c r="U971" s="217" t="str">
        <f t="shared" si="81"/>
        <v/>
      </c>
      <c r="V971" s="215" t="s">
        <v>47</v>
      </c>
      <c r="W971" s="102" t="s">
        <v>136</v>
      </c>
      <c r="X971" s="102" t="s">
        <v>137</v>
      </c>
      <c r="Y971" s="103" t="s">
        <v>138</v>
      </c>
      <c r="Z971" s="103" t="s">
        <v>139</v>
      </c>
      <c r="AA971" s="103" t="s">
        <v>47</v>
      </c>
      <c r="AB971" s="103" t="s">
        <v>140</v>
      </c>
      <c r="AC971" s="104" t="s">
        <v>141</v>
      </c>
    </row>
    <row r="972" spans="1:29" ht="25.5" customHeight="1" x14ac:dyDescent="0.35">
      <c r="A972" s="188"/>
      <c r="B972" s="190"/>
      <c r="C972" s="99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0"/>
      <c r="E972" s="78" t="str">
        <f>IF(C972="","",IFERROR(VLOOKUP(C972,parametros!$A$11:$E$15,5,0),""))</f>
        <v/>
      </c>
      <c r="F972" s="79" t="str">
        <f t="shared" si="77"/>
        <v/>
      </c>
      <c r="G972" s="101"/>
      <c r="H972" s="91">
        <f t="shared" si="78"/>
        <v>0</v>
      </c>
      <c r="I972" s="91" t="str">
        <f t="shared" si="79"/>
        <v/>
      </c>
      <c r="J972" s="91" t="str">
        <f t="shared" si="80"/>
        <v/>
      </c>
      <c r="K972" s="92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2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58"/>
      <c r="U972" s="217" t="str">
        <f t="shared" si="81"/>
        <v/>
      </c>
      <c r="V972" s="215" t="s">
        <v>47</v>
      </c>
      <c r="W972" s="102" t="s">
        <v>136</v>
      </c>
      <c r="X972" s="102" t="s">
        <v>137</v>
      </c>
      <c r="Y972" s="103" t="s">
        <v>138</v>
      </c>
      <c r="Z972" s="103" t="s">
        <v>139</v>
      </c>
      <c r="AA972" s="103" t="s">
        <v>47</v>
      </c>
      <c r="AB972" s="103" t="s">
        <v>140</v>
      </c>
      <c r="AC972" s="104" t="s">
        <v>141</v>
      </c>
    </row>
    <row r="973" spans="1:29" ht="25.5" customHeight="1" x14ac:dyDescent="0.35">
      <c r="A973" s="188"/>
      <c r="B973" s="190"/>
      <c r="C973" s="99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0"/>
      <c r="E973" s="78" t="str">
        <f>IF(C973="","",IFERROR(VLOOKUP(C973,parametros!$A$11:$E$15,5,0),""))</f>
        <v/>
      </c>
      <c r="F973" s="79" t="str">
        <f t="shared" si="77"/>
        <v/>
      </c>
      <c r="G973" s="101"/>
      <c r="H973" s="91">
        <f t="shared" si="78"/>
        <v>0</v>
      </c>
      <c r="I973" s="91" t="str">
        <f t="shared" si="79"/>
        <v/>
      </c>
      <c r="J973" s="91" t="str">
        <f t="shared" si="80"/>
        <v/>
      </c>
      <c r="K973" s="92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2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58"/>
      <c r="U973" s="217" t="str">
        <f t="shared" si="81"/>
        <v/>
      </c>
      <c r="V973" s="215" t="s">
        <v>47</v>
      </c>
      <c r="W973" s="102" t="s">
        <v>136</v>
      </c>
      <c r="X973" s="102" t="s">
        <v>137</v>
      </c>
      <c r="Y973" s="103" t="s">
        <v>138</v>
      </c>
      <c r="Z973" s="103" t="s">
        <v>139</v>
      </c>
      <c r="AA973" s="103" t="s">
        <v>47</v>
      </c>
      <c r="AB973" s="103" t="s">
        <v>140</v>
      </c>
      <c r="AC973" s="104" t="s">
        <v>141</v>
      </c>
    </row>
    <row r="974" spans="1:29" ht="25.5" customHeight="1" x14ac:dyDescent="0.35">
      <c r="A974" s="188"/>
      <c r="B974" s="190"/>
      <c r="C974" s="99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0"/>
      <c r="E974" s="78" t="str">
        <f>IF(C974="","",IFERROR(VLOOKUP(C974,parametros!$A$11:$E$15,5,0),""))</f>
        <v/>
      </c>
      <c r="F974" s="79" t="str">
        <f t="shared" si="77"/>
        <v/>
      </c>
      <c r="G974" s="101"/>
      <c r="H974" s="91">
        <f t="shared" si="78"/>
        <v>0</v>
      </c>
      <c r="I974" s="91" t="str">
        <f t="shared" si="79"/>
        <v/>
      </c>
      <c r="J974" s="91" t="str">
        <f t="shared" si="80"/>
        <v/>
      </c>
      <c r="K974" s="92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2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58"/>
      <c r="U974" s="217" t="str">
        <f t="shared" si="81"/>
        <v/>
      </c>
      <c r="V974" s="215" t="s">
        <v>47</v>
      </c>
      <c r="W974" s="102" t="s">
        <v>136</v>
      </c>
      <c r="X974" s="102" t="s">
        <v>137</v>
      </c>
      <c r="Y974" s="103" t="s">
        <v>138</v>
      </c>
      <c r="Z974" s="103" t="s">
        <v>139</v>
      </c>
      <c r="AA974" s="103" t="s">
        <v>47</v>
      </c>
      <c r="AB974" s="103" t="s">
        <v>140</v>
      </c>
      <c r="AC974" s="104" t="s">
        <v>141</v>
      </c>
    </row>
    <row r="975" spans="1:29" ht="25.5" customHeight="1" x14ac:dyDescent="0.35">
      <c r="A975" s="188"/>
      <c r="B975" s="190"/>
      <c r="C975" s="99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0"/>
      <c r="E975" s="78" t="str">
        <f>IF(C975="","",IFERROR(VLOOKUP(C975,parametros!$A$11:$E$15,5,0),""))</f>
        <v/>
      </c>
      <c r="F975" s="79" t="str">
        <f t="shared" si="77"/>
        <v/>
      </c>
      <c r="G975" s="101"/>
      <c r="H975" s="91">
        <f t="shared" si="78"/>
        <v>0</v>
      </c>
      <c r="I975" s="91" t="str">
        <f t="shared" si="79"/>
        <v/>
      </c>
      <c r="J975" s="91" t="str">
        <f t="shared" si="80"/>
        <v/>
      </c>
      <c r="K975" s="92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2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58"/>
      <c r="U975" s="217" t="str">
        <f t="shared" si="81"/>
        <v/>
      </c>
      <c r="V975" s="215" t="s">
        <v>47</v>
      </c>
      <c r="W975" s="102" t="s">
        <v>136</v>
      </c>
      <c r="X975" s="102" t="s">
        <v>137</v>
      </c>
      <c r="Y975" s="103" t="s">
        <v>138</v>
      </c>
      <c r="Z975" s="103" t="s">
        <v>139</v>
      </c>
      <c r="AA975" s="103" t="s">
        <v>47</v>
      </c>
      <c r="AB975" s="103" t="s">
        <v>140</v>
      </c>
      <c r="AC975" s="104" t="s">
        <v>141</v>
      </c>
    </row>
    <row r="976" spans="1:29" ht="25.5" customHeight="1" x14ac:dyDescent="0.35">
      <c r="A976" s="188"/>
      <c r="B976" s="190"/>
      <c r="C976" s="99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0"/>
      <c r="E976" s="78" t="str">
        <f>IF(C976="","",IFERROR(VLOOKUP(C976,parametros!$A$11:$E$15,5,0),""))</f>
        <v/>
      </c>
      <c r="F976" s="79" t="str">
        <f t="shared" si="77"/>
        <v/>
      </c>
      <c r="G976" s="101"/>
      <c r="H976" s="91">
        <f t="shared" si="78"/>
        <v>0</v>
      </c>
      <c r="I976" s="91" t="str">
        <f t="shared" si="79"/>
        <v/>
      </c>
      <c r="J976" s="91" t="str">
        <f t="shared" si="80"/>
        <v/>
      </c>
      <c r="K976" s="92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2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58"/>
      <c r="U976" s="217" t="str">
        <f t="shared" si="81"/>
        <v/>
      </c>
      <c r="V976" s="215" t="s">
        <v>47</v>
      </c>
      <c r="W976" s="102" t="s">
        <v>136</v>
      </c>
      <c r="X976" s="102" t="s">
        <v>137</v>
      </c>
      <c r="Y976" s="103" t="s">
        <v>138</v>
      </c>
      <c r="Z976" s="103" t="s">
        <v>139</v>
      </c>
      <c r="AA976" s="103" t="s">
        <v>47</v>
      </c>
      <c r="AB976" s="103" t="s">
        <v>140</v>
      </c>
      <c r="AC976" s="104" t="s">
        <v>141</v>
      </c>
    </row>
    <row r="977" spans="1:29" ht="25.5" customHeight="1" x14ac:dyDescent="0.35">
      <c r="A977" s="188"/>
      <c r="B977" s="190"/>
      <c r="C977" s="99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0"/>
      <c r="E977" s="78" t="str">
        <f>IF(C977="","",IFERROR(VLOOKUP(C977,parametros!$A$11:$E$15,5,0),""))</f>
        <v/>
      </c>
      <c r="F977" s="79" t="str">
        <f t="shared" si="77"/>
        <v/>
      </c>
      <c r="G977" s="101"/>
      <c r="H977" s="91">
        <f t="shared" si="78"/>
        <v>0</v>
      </c>
      <c r="I977" s="91" t="str">
        <f t="shared" si="79"/>
        <v/>
      </c>
      <c r="J977" s="91" t="str">
        <f t="shared" si="80"/>
        <v/>
      </c>
      <c r="K977" s="92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2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58"/>
      <c r="U977" s="217" t="str">
        <f t="shared" si="81"/>
        <v/>
      </c>
      <c r="V977" s="215" t="s">
        <v>47</v>
      </c>
      <c r="W977" s="102" t="s">
        <v>136</v>
      </c>
      <c r="X977" s="102" t="s">
        <v>137</v>
      </c>
      <c r="Y977" s="103" t="s">
        <v>138</v>
      </c>
      <c r="Z977" s="103" t="s">
        <v>139</v>
      </c>
      <c r="AA977" s="103" t="s">
        <v>47</v>
      </c>
      <c r="AB977" s="103" t="s">
        <v>140</v>
      </c>
      <c r="AC977" s="104" t="s">
        <v>141</v>
      </c>
    </row>
    <row r="978" spans="1:29" ht="25.5" customHeight="1" x14ac:dyDescent="0.35">
      <c r="A978" s="188"/>
      <c r="B978" s="190"/>
      <c r="C978" s="99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0"/>
      <c r="E978" s="78" t="str">
        <f>IF(C978="","",IFERROR(VLOOKUP(C978,parametros!$A$11:$E$15,5,0),""))</f>
        <v/>
      </c>
      <c r="F978" s="79" t="str">
        <f t="shared" si="77"/>
        <v/>
      </c>
      <c r="G978" s="101"/>
      <c r="H978" s="91">
        <f t="shared" si="78"/>
        <v>0</v>
      </c>
      <c r="I978" s="91" t="str">
        <f t="shared" si="79"/>
        <v/>
      </c>
      <c r="J978" s="91" t="str">
        <f t="shared" si="80"/>
        <v/>
      </c>
      <c r="K978" s="92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2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58"/>
      <c r="U978" s="217" t="str">
        <f t="shared" si="81"/>
        <v/>
      </c>
      <c r="V978" s="215" t="s">
        <v>47</v>
      </c>
      <c r="W978" s="102" t="s">
        <v>136</v>
      </c>
      <c r="X978" s="102" t="s">
        <v>137</v>
      </c>
      <c r="Y978" s="103" t="s">
        <v>138</v>
      </c>
      <c r="Z978" s="103" t="s">
        <v>139</v>
      </c>
      <c r="AA978" s="103" t="s">
        <v>47</v>
      </c>
      <c r="AB978" s="103" t="s">
        <v>140</v>
      </c>
      <c r="AC978" s="104" t="s">
        <v>141</v>
      </c>
    </row>
    <row r="979" spans="1:29" ht="25.5" customHeight="1" x14ac:dyDescent="0.35">
      <c r="A979" s="188"/>
      <c r="B979" s="190"/>
      <c r="C979" s="99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0"/>
      <c r="E979" s="78" t="str">
        <f>IF(C979="","",IFERROR(VLOOKUP(C979,parametros!$A$11:$E$15,5,0),""))</f>
        <v/>
      </c>
      <c r="F979" s="79" t="str">
        <f t="shared" si="77"/>
        <v/>
      </c>
      <c r="G979" s="101"/>
      <c r="H979" s="91">
        <f t="shared" si="78"/>
        <v>0</v>
      </c>
      <c r="I979" s="91" t="str">
        <f t="shared" si="79"/>
        <v/>
      </c>
      <c r="J979" s="91" t="str">
        <f t="shared" si="80"/>
        <v/>
      </c>
      <c r="K979" s="92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2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58"/>
      <c r="U979" s="217" t="str">
        <f t="shared" si="81"/>
        <v/>
      </c>
      <c r="V979" s="215" t="s">
        <v>47</v>
      </c>
      <c r="W979" s="102" t="s">
        <v>136</v>
      </c>
      <c r="X979" s="102" t="s">
        <v>137</v>
      </c>
      <c r="Y979" s="103" t="s">
        <v>138</v>
      </c>
      <c r="Z979" s="103" t="s">
        <v>139</v>
      </c>
      <c r="AA979" s="103" t="s">
        <v>47</v>
      </c>
      <c r="AB979" s="103" t="s">
        <v>140</v>
      </c>
      <c r="AC979" s="104" t="s">
        <v>141</v>
      </c>
    </row>
    <row r="980" spans="1:29" ht="25.5" customHeight="1" x14ac:dyDescent="0.35">
      <c r="A980" s="188"/>
      <c r="B980" s="190"/>
      <c r="C980" s="99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0"/>
      <c r="E980" s="78" t="str">
        <f>IF(C980="","",IFERROR(VLOOKUP(C980,parametros!$A$11:$E$15,5,0),""))</f>
        <v/>
      </c>
      <c r="F980" s="79" t="str">
        <f t="shared" si="77"/>
        <v/>
      </c>
      <c r="G980" s="101"/>
      <c r="H980" s="91">
        <f t="shared" si="78"/>
        <v>0</v>
      </c>
      <c r="I980" s="91" t="str">
        <f t="shared" si="79"/>
        <v/>
      </c>
      <c r="J980" s="91" t="str">
        <f t="shared" si="80"/>
        <v/>
      </c>
      <c r="K980" s="92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2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58"/>
      <c r="U980" s="217" t="str">
        <f t="shared" si="81"/>
        <v/>
      </c>
      <c r="V980" s="215" t="s">
        <v>47</v>
      </c>
      <c r="W980" s="102" t="s">
        <v>136</v>
      </c>
      <c r="X980" s="102" t="s">
        <v>137</v>
      </c>
      <c r="Y980" s="103" t="s">
        <v>138</v>
      </c>
      <c r="Z980" s="103" t="s">
        <v>139</v>
      </c>
      <c r="AA980" s="103" t="s">
        <v>47</v>
      </c>
      <c r="AB980" s="103" t="s">
        <v>140</v>
      </c>
      <c r="AC980" s="104" t="s">
        <v>141</v>
      </c>
    </row>
    <row r="981" spans="1:29" ht="25.5" customHeight="1" x14ac:dyDescent="0.35">
      <c r="A981" s="188"/>
      <c r="B981" s="190"/>
      <c r="C981" s="99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0"/>
      <c r="E981" s="78" t="str">
        <f>IF(C981="","",IFERROR(VLOOKUP(C981,parametros!$A$11:$E$15,5,0),""))</f>
        <v/>
      </c>
      <c r="F981" s="79" t="str">
        <f t="shared" si="77"/>
        <v/>
      </c>
      <c r="G981" s="101"/>
      <c r="H981" s="91">
        <f t="shared" si="78"/>
        <v>0</v>
      </c>
      <c r="I981" s="91" t="str">
        <f t="shared" si="79"/>
        <v/>
      </c>
      <c r="J981" s="91" t="str">
        <f t="shared" si="80"/>
        <v/>
      </c>
      <c r="K981" s="92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2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58"/>
      <c r="U981" s="217" t="str">
        <f t="shared" si="81"/>
        <v/>
      </c>
      <c r="V981" s="215" t="s">
        <v>47</v>
      </c>
      <c r="W981" s="102" t="s">
        <v>136</v>
      </c>
      <c r="X981" s="102" t="s">
        <v>137</v>
      </c>
      <c r="Y981" s="103" t="s">
        <v>138</v>
      </c>
      <c r="Z981" s="103" t="s">
        <v>139</v>
      </c>
      <c r="AA981" s="103" t="s">
        <v>47</v>
      </c>
      <c r="AB981" s="103" t="s">
        <v>140</v>
      </c>
      <c r="AC981" s="104" t="s">
        <v>141</v>
      </c>
    </row>
    <row r="982" spans="1:29" ht="25.5" customHeight="1" x14ac:dyDescent="0.35">
      <c r="A982" s="188"/>
      <c r="B982" s="190"/>
      <c r="C982" s="99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0"/>
      <c r="E982" s="78" t="str">
        <f>IF(C982="","",IFERROR(VLOOKUP(C982,parametros!$A$11:$E$15,5,0),""))</f>
        <v/>
      </c>
      <c r="F982" s="79" t="str">
        <f t="shared" si="77"/>
        <v/>
      </c>
      <c r="G982" s="101"/>
      <c r="H982" s="91">
        <f t="shared" si="78"/>
        <v>0</v>
      </c>
      <c r="I982" s="91" t="str">
        <f t="shared" si="79"/>
        <v/>
      </c>
      <c r="J982" s="91" t="str">
        <f t="shared" si="80"/>
        <v/>
      </c>
      <c r="K982" s="92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2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58"/>
      <c r="U982" s="217" t="str">
        <f t="shared" si="81"/>
        <v/>
      </c>
      <c r="V982" s="215" t="s">
        <v>47</v>
      </c>
      <c r="W982" s="102" t="s">
        <v>136</v>
      </c>
      <c r="X982" s="102" t="s">
        <v>137</v>
      </c>
      <c r="Y982" s="103" t="s">
        <v>138</v>
      </c>
      <c r="Z982" s="103" t="s">
        <v>139</v>
      </c>
      <c r="AA982" s="103" t="s">
        <v>47</v>
      </c>
      <c r="AB982" s="103" t="s">
        <v>140</v>
      </c>
      <c r="AC982" s="104" t="s">
        <v>141</v>
      </c>
    </row>
    <row r="983" spans="1:29" ht="25.5" customHeight="1" x14ac:dyDescent="0.35">
      <c r="A983" s="188"/>
      <c r="B983" s="190"/>
      <c r="C983" s="99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0"/>
      <c r="E983" s="78" t="str">
        <f>IF(C983="","",IFERROR(VLOOKUP(C983,parametros!$A$11:$E$15,5,0),""))</f>
        <v/>
      </c>
      <c r="F983" s="79" t="str">
        <f t="shared" si="77"/>
        <v/>
      </c>
      <c r="G983" s="101"/>
      <c r="H983" s="91">
        <f t="shared" si="78"/>
        <v>0</v>
      </c>
      <c r="I983" s="91" t="str">
        <f t="shared" si="79"/>
        <v/>
      </c>
      <c r="J983" s="91" t="str">
        <f t="shared" si="80"/>
        <v/>
      </c>
      <c r="K983" s="92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2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58"/>
      <c r="U983" s="217" t="str">
        <f t="shared" si="81"/>
        <v/>
      </c>
      <c r="V983" s="215" t="s">
        <v>47</v>
      </c>
      <c r="W983" s="102" t="s">
        <v>136</v>
      </c>
      <c r="X983" s="102" t="s">
        <v>137</v>
      </c>
      <c r="Y983" s="103" t="s">
        <v>138</v>
      </c>
      <c r="Z983" s="103" t="s">
        <v>139</v>
      </c>
      <c r="AA983" s="103" t="s">
        <v>47</v>
      </c>
      <c r="AB983" s="103" t="s">
        <v>140</v>
      </c>
      <c r="AC983" s="104" t="s">
        <v>141</v>
      </c>
    </row>
    <row r="984" spans="1:29" ht="25.5" customHeight="1" x14ac:dyDescent="0.35">
      <c r="A984" s="188"/>
      <c r="B984" s="190"/>
      <c r="C984" s="99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0"/>
      <c r="E984" s="78" t="str">
        <f>IF(C984="","",IFERROR(VLOOKUP(C984,parametros!$A$11:$E$15,5,0),""))</f>
        <v/>
      </c>
      <c r="F984" s="79" t="str">
        <f t="shared" si="77"/>
        <v/>
      </c>
      <c r="G984" s="101"/>
      <c r="H984" s="91">
        <f t="shared" si="78"/>
        <v>0</v>
      </c>
      <c r="I984" s="91" t="str">
        <f t="shared" si="79"/>
        <v/>
      </c>
      <c r="J984" s="91" t="str">
        <f t="shared" si="80"/>
        <v/>
      </c>
      <c r="K984" s="92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2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58"/>
      <c r="U984" s="217" t="str">
        <f t="shared" si="81"/>
        <v/>
      </c>
      <c r="V984" s="215" t="s">
        <v>47</v>
      </c>
      <c r="W984" s="102" t="s">
        <v>136</v>
      </c>
      <c r="X984" s="102" t="s">
        <v>137</v>
      </c>
      <c r="Y984" s="103" t="s">
        <v>138</v>
      </c>
      <c r="Z984" s="103" t="s">
        <v>139</v>
      </c>
      <c r="AA984" s="103" t="s">
        <v>47</v>
      </c>
      <c r="AB984" s="103" t="s">
        <v>140</v>
      </c>
      <c r="AC984" s="104" t="s">
        <v>141</v>
      </c>
    </row>
    <row r="985" spans="1:29" ht="25.5" customHeight="1" x14ac:dyDescent="0.35">
      <c r="A985" s="188"/>
      <c r="B985" s="190"/>
      <c r="C985" s="99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0"/>
      <c r="E985" s="78" t="str">
        <f>IF(C985="","",IFERROR(VLOOKUP(C985,parametros!$A$11:$E$15,5,0),""))</f>
        <v/>
      </c>
      <c r="F985" s="79" t="str">
        <f t="shared" si="77"/>
        <v/>
      </c>
      <c r="G985" s="101"/>
      <c r="H985" s="91">
        <f t="shared" si="78"/>
        <v>0</v>
      </c>
      <c r="I985" s="91" t="str">
        <f t="shared" si="79"/>
        <v/>
      </c>
      <c r="J985" s="91" t="str">
        <f t="shared" si="80"/>
        <v/>
      </c>
      <c r="K985" s="92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2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58"/>
      <c r="U985" s="217" t="str">
        <f t="shared" si="81"/>
        <v/>
      </c>
      <c r="V985" s="215" t="s">
        <v>47</v>
      </c>
      <c r="W985" s="102" t="s">
        <v>136</v>
      </c>
      <c r="X985" s="102" t="s">
        <v>137</v>
      </c>
      <c r="Y985" s="103" t="s">
        <v>138</v>
      </c>
      <c r="Z985" s="103" t="s">
        <v>139</v>
      </c>
      <c r="AA985" s="103" t="s">
        <v>47</v>
      </c>
      <c r="AB985" s="103" t="s">
        <v>140</v>
      </c>
      <c r="AC985" s="104" t="s">
        <v>141</v>
      </c>
    </row>
    <row r="986" spans="1:29" ht="25.5" customHeight="1" x14ac:dyDescent="0.35">
      <c r="A986" s="188"/>
      <c r="B986" s="190"/>
      <c r="C986" s="99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0"/>
      <c r="E986" s="78" t="str">
        <f>IF(C986="","",IFERROR(VLOOKUP(C986,parametros!$A$11:$E$15,5,0),""))</f>
        <v/>
      </c>
      <c r="F986" s="79" t="str">
        <f t="shared" si="77"/>
        <v/>
      </c>
      <c r="G986" s="101"/>
      <c r="H986" s="91">
        <f t="shared" si="78"/>
        <v>0</v>
      </c>
      <c r="I986" s="91" t="str">
        <f t="shared" si="79"/>
        <v/>
      </c>
      <c r="J986" s="91" t="str">
        <f t="shared" si="80"/>
        <v/>
      </c>
      <c r="K986" s="92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2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58"/>
      <c r="U986" s="217" t="str">
        <f t="shared" si="81"/>
        <v/>
      </c>
      <c r="V986" s="215" t="s">
        <v>47</v>
      </c>
      <c r="W986" s="102" t="s">
        <v>136</v>
      </c>
      <c r="X986" s="102" t="s">
        <v>137</v>
      </c>
      <c r="Y986" s="103" t="s">
        <v>138</v>
      </c>
      <c r="Z986" s="103" t="s">
        <v>139</v>
      </c>
      <c r="AA986" s="103" t="s">
        <v>47</v>
      </c>
      <c r="AB986" s="103" t="s">
        <v>140</v>
      </c>
      <c r="AC986" s="104" t="s">
        <v>141</v>
      </c>
    </row>
    <row r="987" spans="1:29" ht="25.5" customHeight="1" x14ac:dyDescent="0.35">
      <c r="A987" s="188"/>
      <c r="B987" s="190"/>
      <c r="C987" s="99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0"/>
      <c r="E987" s="78" t="str">
        <f>IF(C987="","",IFERROR(VLOOKUP(C987,parametros!$A$11:$E$15,5,0),""))</f>
        <v/>
      </c>
      <c r="F987" s="79" t="str">
        <f t="shared" si="77"/>
        <v/>
      </c>
      <c r="G987" s="101"/>
      <c r="H987" s="91">
        <f t="shared" si="78"/>
        <v>0</v>
      </c>
      <c r="I987" s="91" t="str">
        <f t="shared" si="79"/>
        <v/>
      </c>
      <c r="J987" s="91" t="str">
        <f t="shared" si="80"/>
        <v/>
      </c>
      <c r="K987" s="92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2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58"/>
      <c r="U987" s="217" t="str">
        <f t="shared" si="81"/>
        <v/>
      </c>
      <c r="V987" s="215" t="s">
        <v>47</v>
      </c>
      <c r="W987" s="102" t="s">
        <v>136</v>
      </c>
      <c r="X987" s="102" t="s">
        <v>137</v>
      </c>
      <c r="Y987" s="103" t="s">
        <v>138</v>
      </c>
      <c r="Z987" s="103" t="s">
        <v>139</v>
      </c>
      <c r="AA987" s="103" t="s">
        <v>47</v>
      </c>
      <c r="AB987" s="103" t="s">
        <v>140</v>
      </c>
      <c r="AC987" s="104" t="s">
        <v>141</v>
      </c>
    </row>
    <row r="988" spans="1:29" ht="25.5" customHeight="1" x14ac:dyDescent="0.35">
      <c r="A988" s="188"/>
      <c r="B988" s="190"/>
      <c r="C988" s="99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0"/>
      <c r="E988" s="78" t="str">
        <f>IF(C988="","",IFERROR(VLOOKUP(C988,parametros!$A$11:$E$15,5,0),""))</f>
        <v/>
      </c>
      <c r="F988" s="79" t="str">
        <f t="shared" si="77"/>
        <v/>
      </c>
      <c r="G988" s="101"/>
      <c r="H988" s="91">
        <f t="shared" si="78"/>
        <v>0</v>
      </c>
      <c r="I988" s="91" t="str">
        <f t="shared" si="79"/>
        <v/>
      </c>
      <c r="J988" s="91" t="str">
        <f t="shared" si="80"/>
        <v/>
      </c>
      <c r="K988" s="92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2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58"/>
      <c r="U988" s="217" t="str">
        <f t="shared" si="81"/>
        <v/>
      </c>
      <c r="V988" s="215" t="s">
        <v>47</v>
      </c>
      <c r="W988" s="102" t="s">
        <v>136</v>
      </c>
      <c r="X988" s="102" t="s">
        <v>137</v>
      </c>
      <c r="Y988" s="103" t="s">
        <v>138</v>
      </c>
      <c r="Z988" s="103" t="s">
        <v>139</v>
      </c>
      <c r="AA988" s="103" t="s">
        <v>47</v>
      </c>
      <c r="AB988" s="103" t="s">
        <v>140</v>
      </c>
      <c r="AC988" s="104" t="s">
        <v>141</v>
      </c>
    </row>
    <row r="989" spans="1:29" ht="25.5" customHeight="1" x14ac:dyDescent="0.35">
      <c r="A989" s="188"/>
      <c r="B989" s="190"/>
      <c r="C989" s="99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0"/>
      <c r="E989" s="78" t="str">
        <f>IF(C989="","",IFERROR(VLOOKUP(C989,parametros!$A$11:$E$15,5,0),""))</f>
        <v/>
      </c>
      <c r="F989" s="79" t="str">
        <f t="shared" si="77"/>
        <v/>
      </c>
      <c r="G989" s="101"/>
      <c r="H989" s="91">
        <f t="shared" si="78"/>
        <v>0</v>
      </c>
      <c r="I989" s="91" t="str">
        <f t="shared" si="79"/>
        <v/>
      </c>
      <c r="J989" s="91" t="str">
        <f t="shared" si="80"/>
        <v/>
      </c>
      <c r="K989" s="92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2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58"/>
      <c r="U989" s="217" t="str">
        <f t="shared" si="81"/>
        <v/>
      </c>
      <c r="V989" s="215" t="s">
        <v>47</v>
      </c>
      <c r="W989" s="102" t="s">
        <v>136</v>
      </c>
      <c r="X989" s="102" t="s">
        <v>137</v>
      </c>
      <c r="Y989" s="103" t="s">
        <v>138</v>
      </c>
      <c r="Z989" s="103" t="s">
        <v>139</v>
      </c>
      <c r="AA989" s="103" t="s">
        <v>47</v>
      </c>
      <c r="AB989" s="103" t="s">
        <v>140</v>
      </c>
      <c r="AC989" s="104" t="s">
        <v>141</v>
      </c>
    </row>
    <row r="990" spans="1:29" ht="25.5" customHeight="1" x14ac:dyDescent="0.35">
      <c r="A990" s="188"/>
      <c r="B990" s="190"/>
      <c r="C990" s="99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0"/>
      <c r="E990" s="78" t="str">
        <f>IF(C990="","",IFERROR(VLOOKUP(C990,parametros!$A$11:$E$15,5,0),""))</f>
        <v/>
      </c>
      <c r="F990" s="79" t="str">
        <f t="shared" si="77"/>
        <v/>
      </c>
      <c r="G990" s="101"/>
      <c r="H990" s="91">
        <f t="shared" si="78"/>
        <v>0</v>
      </c>
      <c r="I990" s="91" t="str">
        <f t="shared" si="79"/>
        <v/>
      </c>
      <c r="J990" s="91" t="str">
        <f t="shared" si="80"/>
        <v/>
      </c>
      <c r="K990" s="92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2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58"/>
      <c r="U990" s="217" t="str">
        <f t="shared" si="81"/>
        <v/>
      </c>
      <c r="V990" s="215" t="s">
        <v>47</v>
      </c>
      <c r="W990" s="102" t="s">
        <v>136</v>
      </c>
      <c r="X990" s="102" t="s">
        <v>137</v>
      </c>
      <c r="Y990" s="103" t="s">
        <v>138</v>
      </c>
      <c r="Z990" s="103" t="s">
        <v>139</v>
      </c>
      <c r="AA990" s="103" t="s">
        <v>47</v>
      </c>
      <c r="AB990" s="103" t="s">
        <v>140</v>
      </c>
      <c r="AC990" s="104" t="s">
        <v>141</v>
      </c>
    </row>
    <row r="991" spans="1:29" ht="25.5" customHeight="1" x14ac:dyDescent="0.35">
      <c r="A991" s="188"/>
      <c r="B991" s="190"/>
      <c r="C991" s="99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0"/>
      <c r="E991" s="78" t="str">
        <f>IF(C991="","",IFERROR(VLOOKUP(C991,parametros!$A$11:$E$15,5,0),""))</f>
        <v/>
      </c>
      <c r="F991" s="79" t="str">
        <f t="shared" si="77"/>
        <v/>
      </c>
      <c r="G991" s="101"/>
      <c r="H991" s="91">
        <f t="shared" si="78"/>
        <v>0</v>
      </c>
      <c r="I991" s="91" t="str">
        <f t="shared" si="79"/>
        <v/>
      </c>
      <c r="J991" s="91" t="str">
        <f t="shared" si="80"/>
        <v/>
      </c>
      <c r="K991" s="92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2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58"/>
      <c r="U991" s="217" t="str">
        <f t="shared" si="81"/>
        <v/>
      </c>
      <c r="V991" s="215" t="s">
        <v>47</v>
      </c>
      <c r="W991" s="102" t="s">
        <v>136</v>
      </c>
      <c r="X991" s="102" t="s">
        <v>137</v>
      </c>
      <c r="Y991" s="103" t="s">
        <v>138</v>
      </c>
      <c r="Z991" s="103" t="s">
        <v>139</v>
      </c>
      <c r="AA991" s="103" t="s">
        <v>47</v>
      </c>
      <c r="AB991" s="103" t="s">
        <v>140</v>
      </c>
      <c r="AC991" s="104" t="s">
        <v>141</v>
      </c>
    </row>
    <row r="992" spans="1:29" ht="25.5" customHeight="1" x14ac:dyDescent="0.35">
      <c r="A992" s="188"/>
      <c r="B992" s="190"/>
      <c r="C992" s="99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0"/>
      <c r="E992" s="78" t="str">
        <f>IF(C992="","",IFERROR(VLOOKUP(C992,parametros!$A$11:$E$15,5,0),""))</f>
        <v/>
      </c>
      <c r="F992" s="79" t="str">
        <f t="shared" si="77"/>
        <v/>
      </c>
      <c r="G992" s="101"/>
      <c r="H992" s="91">
        <f t="shared" si="78"/>
        <v>0</v>
      </c>
      <c r="I992" s="91" t="str">
        <f t="shared" si="79"/>
        <v/>
      </c>
      <c r="J992" s="91" t="str">
        <f t="shared" si="80"/>
        <v/>
      </c>
      <c r="K992" s="92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2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58"/>
      <c r="U992" s="217" t="str">
        <f t="shared" si="81"/>
        <v/>
      </c>
      <c r="V992" s="215" t="s">
        <v>47</v>
      </c>
      <c r="W992" s="102" t="s">
        <v>136</v>
      </c>
      <c r="X992" s="102" t="s">
        <v>137</v>
      </c>
      <c r="Y992" s="103" t="s">
        <v>138</v>
      </c>
      <c r="Z992" s="103" t="s">
        <v>139</v>
      </c>
      <c r="AA992" s="103" t="s">
        <v>47</v>
      </c>
      <c r="AB992" s="103" t="s">
        <v>140</v>
      </c>
      <c r="AC992" s="104" t="s">
        <v>141</v>
      </c>
    </row>
    <row r="993" spans="1:29" ht="25.5" customHeight="1" x14ac:dyDescent="0.35">
      <c r="A993" s="188"/>
      <c r="B993" s="190"/>
      <c r="C993" s="99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0"/>
      <c r="E993" s="78" t="str">
        <f>IF(C993="","",IFERROR(VLOOKUP(C993,parametros!$A$11:$E$15,5,0),""))</f>
        <v/>
      </c>
      <c r="F993" s="79" t="str">
        <f t="shared" si="77"/>
        <v/>
      </c>
      <c r="G993" s="101"/>
      <c r="H993" s="91">
        <f t="shared" si="78"/>
        <v>0</v>
      </c>
      <c r="I993" s="91" t="str">
        <f t="shared" si="79"/>
        <v/>
      </c>
      <c r="J993" s="91" t="str">
        <f t="shared" si="80"/>
        <v/>
      </c>
      <c r="K993" s="92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2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58"/>
      <c r="U993" s="217" t="str">
        <f t="shared" si="81"/>
        <v/>
      </c>
      <c r="V993" s="215" t="s">
        <v>47</v>
      </c>
      <c r="W993" s="102" t="s">
        <v>136</v>
      </c>
      <c r="X993" s="102" t="s">
        <v>137</v>
      </c>
      <c r="Y993" s="103" t="s">
        <v>138</v>
      </c>
      <c r="Z993" s="103" t="s">
        <v>139</v>
      </c>
      <c r="AA993" s="103" t="s">
        <v>47</v>
      </c>
      <c r="AB993" s="103" t="s">
        <v>140</v>
      </c>
      <c r="AC993" s="104" t="s">
        <v>141</v>
      </c>
    </row>
    <row r="994" spans="1:29" ht="25.5" customHeight="1" x14ac:dyDescent="0.35">
      <c r="A994" s="188"/>
      <c r="B994" s="190"/>
      <c r="C994" s="99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0"/>
      <c r="E994" s="78" t="str">
        <f>IF(C994="","",IFERROR(VLOOKUP(C994,parametros!$A$11:$E$15,5,0),""))</f>
        <v/>
      </c>
      <c r="F994" s="79" t="str">
        <f t="shared" si="77"/>
        <v/>
      </c>
      <c r="G994" s="101"/>
      <c r="H994" s="91">
        <f t="shared" si="78"/>
        <v>0</v>
      </c>
      <c r="I994" s="91" t="str">
        <f t="shared" si="79"/>
        <v/>
      </c>
      <c r="J994" s="91" t="str">
        <f t="shared" si="80"/>
        <v/>
      </c>
      <c r="K994" s="92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2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58"/>
      <c r="U994" s="217" t="str">
        <f t="shared" si="81"/>
        <v/>
      </c>
      <c r="V994" s="215" t="s">
        <v>47</v>
      </c>
      <c r="W994" s="102" t="s">
        <v>136</v>
      </c>
      <c r="X994" s="102" t="s">
        <v>137</v>
      </c>
      <c r="Y994" s="103" t="s">
        <v>138</v>
      </c>
      <c r="Z994" s="103" t="s">
        <v>139</v>
      </c>
      <c r="AA994" s="103" t="s">
        <v>47</v>
      </c>
      <c r="AB994" s="103" t="s">
        <v>140</v>
      </c>
      <c r="AC994" s="104" t="s">
        <v>141</v>
      </c>
    </row>
    <row r="995" spans="1:29" ht="25.5" customHeight="1" x14ac:dyDescent="0.35">
      <c r="A995" s="188"/>
      <c r="B995" s="190"/>
      <c r="C995" s="99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0"/>
      <c r="E995" s="78" t="str">
        <f>IF(C995="","",IFERROR(VLOOKUP(C995,parametros!$A$11:$E$15,5,0),""))</f>
        <v/>
      </c>
      <c r="F995" s="79" t="str">
        <f t="shared" si="77"/>
        <v/>
      </c>
      <c r="G995" s="101"/>
      <c r="H995" s="91">
        <f t="shared" si="78"/>
        <v>0</v>
      </c>
      <c r="I995" s="91" t="str">
        <f t="shared" si="79"/>
        <v/>
      </c>
      <c r="J995" s="91" t="str">
        <f t="shared" si="80"/>
        <v/>
      </c>
      <c r="K995" s="92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2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58"/>
      <c r="U995" s="217" t="str">
        <f t="shared" si="81"/>
        <v/>
      </c>
      <c r="V995" s="215" t="s">
        <v>47</v>
      </c>
      <c r="W995" s="102" t="s">
        <v>136</v>
      </c>
      <c r="X995" s="102" t="s">
        <v>137</v>
      </c>
      <c r="Y995" s="103" t="s">
        <v>138</v>
      </c>
      <c r="Z995" s="103" t="s">
        <v>139</v>
      </c>
      <c r="AA995" s="103" t="s">
        <v>47</v>
      </c>
      <c r="AB995" s="103" t="s">
        <v>140</v>
      </c>
      <c r="AC995" s="104" t="s">
        <v>141</v>
      </c>
    </row>
    <row r="996" spans="1:29" ht="25.5" customHeight="1" x14ac:dyDescent="0.35">
      <c r="A996" s="188"/>
      <c r="B996" s="190"/>
      <c r="C996" s="99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0"/>
      <c r="E996" s="78" t="str">
        <f>IF(C996="","",IFERROR(VLOOKUP(C996,parametros!$A$11:$E$15,5,0),""))</f>
        <v/>
      </c>
      <c r="F996" s="79" t="str">
        <f t="shared" si="77"/>
        <v/>
      </c>
      <c r="G996" s="101"/>
      <c r="H996" s="91">
        <f t="shared" si="78"/>
        <v>0</v>
      </c>
      <c r="I996" s="91" t="str">
        <f t="shared" si="79"/>
        <v/>
      </c>
      <c r="J996" s="91" t="str">
        <f t="shared" si="80"/>
        <v/>
      </c>
      <c r="K996" s="92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2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58"/>
      <c r="U996" s="217" t="str">
        <f t="shared" si="81"/>
        <v/>
      </c>
      <c r="V996" s="215" t="s">
        <v>47</v>
      </c>
      <c r="W996" s="102" t="s">
        <v>136</v>
      </c>
      <c r="X996" s="102" t="s">
        <v>137</v>
      </c>
      <c r="Y996" s="103" t="s">
        <v>138</v>
      </c>
      <c r="Z996" s="103" t="s">
        <v>139</v>
      </c>
      <c r="AA996" s="103" t="s">
        <v>47</v>
      </c>
      <c r="AB996" s="103" t="s">
        <v>140</v>
      </c>
      <c r="AC996" s="104" t="s">
        <v>141</v>
      </c>
    </row>
    <row r="997" spans="1:29" ht="25.5" customHeight="1" x14ac:dyDescent="0.35">
      <c r="A997" s="188"/>
      <c r="B997" s="190"/>
      <c r="C997" s="99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0"/>
      <c r="E997" s="78" t="str">
        <f>IF(C997="","",IFERROR(VLOOKUP(C997,parametros!$A$11:$E$15,5,0),""))</f>
        <v/>
      </c>
      <c r="F997" s="79" t="str">
        <f t="shared" si="77"/>
        <v/>
      </c>
      <c r="G997" s="101"/>
      <c r="H997" s="91">
        <f t="shared" si="78"/>
        <v>0</v>
      </c>
      <c r="I997" s="91" t="str">
        <f t="shared" si="79"/>
        <v/>
      </c>
      <c r="J997" s="91" t="str">
        <f t="shared" si="80"/>
        <v/>
      </c>
      <c r="K997" s="92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2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58"/>
      <c r="U997" s="217" t="str">
        <f t="shared" si="81"/>
        <v/>
      </c>
      <c r="V997" s="215" t="s">
        <v>47</v>
      </c>
      <c r="W997" s="102" t="s">
        <v>136</v>
      </c>
      <c r="X997" s="102" t="s">
        <v>137</v>
      </c>
      <c r="Y997" s="103" t="s">
        <v>138</v>
      </c>
      <c r="Z997" s="103" t="s">
        <v>139</v>
      </c>
      <c r="AA997" s="103" t="s">
        <v>47</v>
      </c>
      <c r="AB997" s="103" t="s">
        <v>140</v>
      </c>
      <c r="AC997" s="104" t="s">
        <v>141</v>
      </c>
    </row>
    <row r="998" spans="1:29" ht="25.5" customHeight="1" x14ac:dyDescent="0.35">
      <c r="A998" s="188"/>
      <c r="B998" s="190"/>
      <c r="C998" s="99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0"/>
      <c r="E998" s="78" t="str">
        <f>IF(C998="","",IFERROR(VLOOKUP(C998,parametros!$A$11:$E$15,5,0),""))</f>
        <v/>
      </c>
      <c r="F998" s="79" t="str">
        <f t="shared" si="77"/>
        <v/>
      </c>
      <c r="G998" s="101"/>
      <c r="H998" s="91">
        <f t="shared" si="78"/>
        <v>0</v>
      </c>
      <c r="I998" s="91" t="str">
        <f t="shared" si="79"/>
        <v/>
      </c>
      <c r="J998" s="91" t="str">
        <f t="shared" si="80"/>
        <v/>
      </c>
      <c r="K998" s="92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2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58"/>
      <c r="U998" s="217" t="str">
        <f t="shared" si="81"/>
        <v/>
      </c>
      <c r="V998" s="215" t="s">
        <v>47</v>
      </c>
      <c r="W998" s="102" t="s">
        <v>136</v>
      </c>
      <c r="X998" s="102" t="s">
        <v>137</v>
      </c>
      <c r="Y998" s="103" t="s">
        <v>138</v>
      </c>
      <c r="Z998" s="103" t="s">
        <v>139</v>
      </c>
      <c r="AA998" s="103" t="s">
        <v>47</v>
      </c>
      <c r="AB998" s="103" t="s">
        <v>140</v>
      </c>
      <c r="AC998" s="104" t="s">
        <v>141</v>
      </c>
    </row>
    <row r="999" spans="1:29" ht="25.5" customHeight="1" x14ac:dyDescent="0.35">
      <c r="A999" s="188"/>
      <c r="B999" s="190"/>
      <c r="C999" s="99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0"/>
      <c r="E999" s="78" t="str">
        <f>IF(C999="","",IFERROR(VLOOKUP(C999,parametros!$A$11:$E$15,5,0),""))</f>
        <v/>
      </c>
      <c r="F999" s="79" t="str">
        <f t="shared" si="77"/>
        <v/>
      </c>
      <c r="G999" s="101"/>
      <c r="H999" s="91">
        <f t="shared" si="78"/>
        <v>0</v>
      </c>
      <c r="I999" s="91" t="str">
        <f t="shared" si="79"/>
        <v/>
      </c>
      <c r="J999" s="91" t="str">
        <f t="shared" si="80"/>
        <v/>
      </c>
      <c r="K999" s="92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2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58"/>
      <c r="U999" s="217" t="str">
        <f t="shared" si="81"/>
        <v/>
      </c>
      <c r="V999" s="215" t="s">
        <v>47</v>
      </c>
      <c r="W999" s="102" t="s">
        <v>136</v>
      </c>
      <c r="X999" s="102" t="s">
        <v>137</v>
      </c>
      <c r="Y999" s="103" t="s">
        <v>138</v>
      </c>
      <c r="Z999" s="103" t="s">
        <v>139</v>
      </c>
      <c r="AA999" s="103" t="s">
        <v>47</v>
      </c>
      <c r="AB999" s="103" t="s">
        <v>140</v>
      </c>
      <c r="AC999" s="104" t="s">
        <v>141</v>
      </c>
    </row>
    <row r="1000" spans="1:29" ht="25.5" customHeight="1" x14ac:dyDescent="0.35">
      <c r="A1000" s="188"/>
      <c r="B1000" s="190"/>
      <c r="C1000" s="99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0"/>
      <c r="E1000" s="78" t="str">
        <f>IF(C1000="","",IFERROR(VLOOKUP(C1000,parametros!$A$11:$E$15,5,0),""))</f>
        <v/>
      </c>
      <c r="F1000" s="79" t="str">
        <f t="shared" si="77"/>
        <v/>
      </c>
      <c r="G1000" s="101"/>
      <c r="H1000" s="91">
        <f t="shared" si="78"/>
        <v>0</v>
      </c>
      <c r="I1000" s="91" t="str">
        <f t="shared" si="79"/>
        <v/>
      </c>
      <c r="J1000" s="91" t="str">
        <f t="shared" si="80"/>
        <v/>
      </c>
      <c r="K1000" s="92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2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58"/>
      <c r="U1000" s="217" t="str">
        <f t="shared" si="81"/>
        <v/>
      </c>
      <c r="V1000" s="215" t="s">
        <v>47</v>
      </c>
      <c r="W1000" s="102" t="s">
        <v>136</v>
      </c>
      <c r="X1000" s="102" t="s">
        <v>137</v>
      </c>
      <c r="Y1000" s="103" t="s">
        <v>138</v>
      </c>
      <c r="Z1000" s="103" t="s">
        <v>139</v>
      </c>
      <c r="AA1000" s="103" t="s">
        <v>47</v>
      </c>
      <c r="AB1000" s="103" t="s">
        <v>140</v>
      </c>
      <c r="AC1000" s="104" t="s">
        <v>141</v>
      </c>
    </row>
    <row r="1001" spans="1:29" ht="25.5" customHeight="1" x14ac:dyDescent="0.35">
      <c r="A1001" s="188"/>
      <c r="B1001" s="190"/>
      <c r="C1001" s="99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0"/>
      <c r="E1001" s="78" t="str">
        <f>IF(C1001="","",IFERROR(VLOOKUP(C1001,parametros!$A$11:$E$15,5,0),""))</f>
        <v/>
      </c>
      <c r="F1001" s="79" t="str">
        <f t="shared" si="77"/>
        <v/>
      </c>
      <c r="G1001" s="101"/>
      <c r="H1001" s="91">
        <f t="shared" si="78"/>
        <v>0</v>
      </c>
      <c r="I1001" s="91" t="str">
        <f t="shared" si="79"/>
        <v/>
      </c>
      <c r="J1001" s="91" t="str">
        <f t="shared" si="80"/>
        <v/>
      </c>
      <c r="K1001" s="92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2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58"/>
      <c r="U1001" s="217" t="str">
        <f t="shared" si="81"/>
        <v/>
      </c>
      <c r="V1001" s="215" t="s">
        <v>47</v>
      </c>
      <c r="W1001" s="102" t="s">
        <v>136</v>
      </c>
      <c r="X1001" s="102" t="s">
        <v>137</v>
      </c>
      <c r="Y1001" s="103" t="s">
        <v>138</v>
      </c>
      <c r="Z1001" s="103" t="s">
        <v>139</v>
      </c>
      <c r="AA1001" s="103" t="s">
        <v>47</v>
      </c>
      <c r="AB1001" s="103" t="s">
        <v>140</v>
      </c>
      <c r="AC1001" s="104" t="s">
        <v>141</v>
      </c>
    </row>
    <row r="1002" spans="1:29" ht="25.5" customHeight="1" x14ac:dyDescent="0.35">
      <c r="A1002" s="188"/>
      <c r="B1002" s="190"/>
      <c r="C1002" s="99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0"/>
      <c r="E1002" s="78" t="str">
        <f>IF(C1002="","",IFERROR(VLOOKUP(C1002,parametros!$A$11:$E$15,5,0),""))</f>
        <v/>
      </c>
      <c r="F1002" s="79" t="str">
        <f t="shared" si="77"/>
        <v/>
      </c>
      <c r="G1002" s="101"/>
      <c r="H1002" s="91">
        <f t="shared" si="78"/>
        <v>0</v>
      </c>
      <c r="I1002" s="91" t="str">
        <f t="shared" si="79"/>
        <v/>
      </c>
      <c r="J1002" s="91" t="str">
        <f t="shared" si="80"/>
        <v/>
      </c>
      <c r="K1002" s="92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2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58"/>
      <c r="U1002" s="217" t="str">
        <f t="shared" si="81"/>
        <v/>
      </c>
      <c r="V1002" s="215" t="s">
        <v>47</v>
      </c>
      <c r="W1002" s="102" t="s">
        <v>136</v>
      </c>
      <c r="X1002" s="102" t="s">
        <v>137</v>
      </c>
      <c r="Y1002" s="103" t="s">
        <v>138</v>
      </c>
      <c r="Z1002" s="103" t="s">
        <v>139</v>
      </c>
      <c r="AA1002" s="103" t="s">
        <v>47</v>
      </c>
      <c r="AB1002" s="103" t="s">
        <v>140</v>
      </c>
      <c r="AC1002" s="104" t="s">
        <v>141</v>
      </c>
    </row>
    <row r="1003" spans="1:29" ht="25.5" customHeight="1" x14ac:dyDescent="0.35">
      <c r="A1003" s="188"/>
      <c r="B1003" s="190"/>
      <c r="C1003" s="99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0"/>
      <c r="E1003" s="78" t="str">
        <f>IF(C1003="","",IFERROR(VLOOKUP(C1003,parametros!$A$11:$E$15,5,0),""))</f>
        <v/>
      </c>
      <c r="F1003" s="79" t="str">
        <f t="shared" si="77"/>
        <v/>
      </c>
      <c r="G1003" s="101"/>
      <c r="H1003" s="91">
        <f t="shared" si="78"/>
        <v>0</v>
      </c>
      <c r="I1003" s="91" t="str">
        <f t="shared" si="79"/>
        <v/>
      </c>
      <c r="J1003" s="91" t="str">
        <f t="shared" si="80"/>
        <v/>
      </c>
      <c r="K1003" s="92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2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58"/>
      <c r="U1003" s="217" t="str">
        <f t="shared" si="81"/>
        <v/>
      </c>
      <c r="V1003" s="215" t="s">
        <v>47</v>
      </c>
      <c r="W1003" s="102" t="s">
        <v>136</v>
      </c>
      <c r="X1003" s="102" t="s">
        <v>137</v>
      </c>
      <c r="Y1003" s="103" t="s">
        <v>138</v>
      </c>
      <c r="Z1003" s="103" t="s">
        <v>139</v>
      </c>
      <c r="AA1003" s="103" t="s">
        <v>47</v>
      </c>
      <c r="AB1003" s="103" t="s">
        <v>140</v>
      </c>
      <c r="AC1003" s="104" t="s">
        <v>141</v>
      </c>
    </row>
    <row r="1004" spans="1:29" ht="25.5" customHeight="1" x14ac:dyDescent="0.35">
      <c r="A1004" s="188"/>
      <c r="B1004" s="190"/>
      <c r="C1004" s="99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0"/>
      <c r="E1004" s="78" t="str">
        <f>IF(C1004="","",IFERROR(VLOOKUP(C1004,parametros!$A$11:$E$15,5,0),""))</f>
        <v/>
      </c>
      <c r="F1004" s="79" t="str">
        <f t="shared" si="77"/>
        <v/>
      </c>
      <c r="G1004" s="101"/>
      <c r="H1004" s="91">
        <f t="shared" si="78"/>
        <v>0</v>
      </c>
      <c r="I1004" s="91" t="str">
        <f t="shared" si="79"/>
        <v/>
      </c>
      <c r="J1004" s="91" t="str">
        <f t="shared" si="80"/>
        <v/>
      </c>
      <c r="K1004" s="92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2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58"/>
      <c r="U1004" s="217" t="str">
        <f t="shared" si="81"/>
        <v/>
      </c>
      <c r="V1004" s="215" t="s">
        <v>47</v>
      </c>
      <c r="W1004" s="102" t="s">
        <v>136</v>
      </c>
      <c r="X1004" s="102" t="s">
        <v>137</v>
      </c>
      <c r="Y1004" s="103" t="s">
        <v>138</v>
      </c>
      <c r="Z1004" s="103" t="s">
        <v>139</v>
      </c>
      <c r="AA1004" s="103" t="s">
        <v>47</v>
      </c>
      <c r="AB1004" s="103" t="s">
        <v>140</v>
      </c>
      <c r="AC1004" s="104" t="s">
        <v>141</v>
      </c>
    </row>
    <row r="1005" spans="1:29" ht="25.5" customHeight="1" x14ac:dyDescent="0.35">
      <c r="A1005" s="188"/>
      <c r="B1005" s="190"/>
      <c r="C1005" s="99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0"/>
      <c r="E1005" s="78" t="str">
        <f>IF(C1005="","",IFERROR(VLOOKUP(C1005,parametros!$A$11:$E$15,5,0),""))</f>
        <v/>
      </c>
      <c r="F1005" s="79" t="str">
        <f t="shared" si="77"/>
        <v/>
      </c>
      <c r="G1005" s="101"/>
      <c r="H1005" s="91">
        <f t="shared" si="78"/>
        <v>0</v>
      </c>
      <c r="I1005" s="91" t="str">
        <f t="shared" si="79"/>
        <v/>
      </c>
      <c r="J1005" s="91" t="str">
        <f t="shared" si="80"/>
        <v/>
      </c>
      <c r="K1005" s="92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2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58"/>
      <c r="U1005" s="217" t="str">
        <f t="shared" si="81"/>
        <v/>
      </c>
      <c r="V1005" s="215" t="s">
        <v>47</v>
      </c>
      <c r="W1005" s="102" t="s">
        <v>136</v>
      </c>
      <c r="X1005" s="102" t="s">
        <v>137</v>
      </c>
      <c r="Y1005" s="103" t="s">
        <v>138</v>
      </c>
      <c r="Z1005" s="103" t="s">
        <v>139</v>
      </c>
      <c r="AA1005" s="103" t="s">
        <v>47</v>
      </c>
      <c r="AB1005" s="103" t="s">
        <v>140</v>
      </c>
      <c r="AC1005" s="104" t="s">
        <v>141</v>
      </c>
    </row>
    <row r="1006" spans="1:29" ht="25.5" customHeight="1" x14ac:dyDescent="0.35">
      <c r="A1006" s="188"/>
      <c r="B1006" s="190"/>
      <c r="C1006" s="99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0"/>
      <c r="E1006" s="78" t="str">
        <f>IF(C1006="","",IFERROR(VLOOKUP(C1006,parametros!$A$11:$E$15,5,0),""))</f>
        <v/>
      </c>
      <c r="F1006" s="79" t="str">
        <f t="shared" si="77"/>
        <v/>
      </c>
      <c r="G1006" s="101"/>
      <c r="H1006" s="91">
        <f t="shared" si="78"/>
        <v>0</v>
      </c>
      <c r="I1006" s="91" t="str">
        <f t="shared" si="79"/>
        <v/>
      </c>
      <c r="J1006" s="91" t="str">
        <f t="shared" si="80"/>
        <v/>
      </c>
      <c r="K1006" s="92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2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58"/>
      <c r="U1006" s="217" t="str">
        <f t="shared" si="81"/>
        <v/>
      </c>
      <c r="V1006" s="215" t="s">
        <v>47</v>
      </c>
      <c r="W1006" s="102" t="s">
        <v>136</v>
      </c>
      <c r="X1006" s="102" t="s">
        <v>137</v>
      </c>
      <c r="Y1006" s="103" t="s">
        <v>138</v>
      </c>
      <c r="Z1006" s="103" t="s">
        <v>139</v>
      </c>
      <c r="AA1006" s="103" t="s">
        <v>47</v>
      </c>
      <c r="AB1006" s="103" t="s">
        <v>140</v>
      </c>
      <c r="AC1006" s="104" t="s">
        <v>141</v>
      </c>
    </row>
    <row r="1007" spans="1:29" ht="25.5" customHeight="1" x14ac:dyDescent="0.35">
      <c r="A1007" s="188"/>
      <c r="B1007" s="190"/>
      <c r="C1007" s="99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0"/>
      <c r="E1007" s="78" t="str">
        <f>IF(C1007="","",IFERROR(VLOOKUP(C1007,parametros!$A$11:$E$15,5,0),""))</f>
        <v/>
      </c>
      <c r="F1007" s="79" t="str">
        <f t="shared" si="77"/>
        <v/>
      </c>
      <c r="G1007" s="101"/>
      <c r="H1007" s="91">
        <f t="shared" si="78"/>
        <v>0</v>
      </c>
      <c r="I1007" s="91" t="str">
        <f t="shared" si="79"/>
        <v/>
      </c>
      <c r="J1007" s="91" t="str">
        <f t="shared" si="80"/>
        <v/>
      </c>
      <c r="K1007" s="92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2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58"/>
      <c r="U1007" s="217" t="str">
        <f t="shared" si="81"/>
        <v/>
      </c>
      <c r="V1007" s="215" t="s">
        <v>47</v>
      </c>
      <c r="W1007" s="102" t="s">
        <v>136</v>
      </c>
      <c r="X1007" s="102" t="s">
        <v>137</v>
      </c>
      <c r="Y1007" s="103" t="s">
        <v>138</v>
      </c>
      <c r="Z1007" s="103" t="s">
        <v>139</v>
      </c>
      <c r="AA1007" s="103" t="s">
        <v>47</v>
      </c>
      <c r="AB1007" s="103" t="s">
        <v>140</v>
      </c>
      <c r="AC1007" s="104" t="s">
        <v>141</v>
      </c>
    </row>
    <row r="1008" spans="1:29" ht="25.5" customHeight="1" x14ac:dyDescent="0.35">
      <c r="A1008" s="188"/>
      <c r="B1008" s="190"/>
      <c r="C1008" s="99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0"/>
      <c r="E1008" s="78" t="str">
        <f>IF(C1008="","",IFERROR(VLOOKUP(C1008,parametros!$A$11:$E$15,5,0),""))</f>
        <v/>
      </c>
      <c r="F1008" s="79" t="str">
        <f t="shared" si="77"/>
        <v/>
      </c>
      <c r="G1008" s="101"/>
      <c r="H1008" s="91">
        <f t="shared" si="78"/>
        <v>0</v>
      </c>
      <c r="I1008" s="91" t="str">
        <f t="shared" si="79"/>
        <v/>
      </c>
      <c r="J1008" s="91" t="str">
        <f t="shared" si="80"/>
        <v/>
      </c>
      <c r="K1008" s="92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2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58"/>
      <c r="U1008" s="217" t="str">
        <f t="shared" si="81"/>
        <v/>
      </c>
      <c r="V1008" s="215" t="s">
        <v>47</v>
      </c>
      <c r="W1008" s="102" t="s">
        <v>136</v>
      </c>
      <c r="X1008" s="102" t="s">
        <v>137</v>
      </c>
      <c r="Y1008" s="103" t="s">
        <v>138</v>
      </c>
      <c r="Z1008" s="103" t="s">
        <v>139</v>
      </c>
      <c r="AA1008" s="103" t="s">
        <v>47</v>
      </c>
      <c r="AB1008" s="103" t="s">
        <v>140</v>
      </c>
      <c r="AC1008" s="104" t="s">
        <v>141</v>
      </c>
    </row>
    <row r="1009" spans="1:29" ht="25.5" customHeight="1" x14ac:dyDescent="0.35">
      <c r="A1009" s="188"/>
      <c r="B1009" s="190"/>
      <c r="C1009" s="99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0"/>
      <c r="E1009" s="78" t="str">
        <f>IF(C1009="","",IFERROR(VLOOKUP(C1009,parametros!$A$11:$E$15,5,0),""))</f>
        <v/>
      </c>
      <c r="F1009" s="79" t="str">
        <f t="shared" si="77"/>
        <v/>
      </c>
      <c r="G1009" s="101"/>
      <c r="H1009" s="91">
        <f t="shared" si="78"/>
        <v>0</v>
      </c>
      <c r="I1009" s="91" t="str">
        <f t="shared" si="79"/>
        <v/>
      </c>
      <c r="J1009" s="91" t="str">
        <f t="shared" si="80"/>
        <v/>
      </c>
      <c r="K1009" s="92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2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58"/>
      <c r="U1009" s="217" t="str">
        <f t="shared" si="81"/>
        <v/>
      </c>
      <c r="V1009" s="215" t="s">
        <v>47</v>
      </c>
      <c r="W1009" s="102" t="s">
        <v>136</v>
      </c>
      <c r="X1009" s="102" t="s">
        <v>137</v>
      </c>
      <c r="Y1009" s="103" t="s">
        <v>138</v>
      </c>
      <c r="Z1009" s="103" t="s">
        <v>139</v>
      </c>
      <c r="AA1009" s="103" t="s">
        <v>47</v>
      </c>
      <c r="AB1009" s="103" t="s">
        <v>140</v>
      </c>
      <c r="AC1009" s="104" t="s">
        <v>141</v>
      </c>
    </row>
    <row r="1010" spans="1:29" ht="25.5" customHeight="1" x14ac:dyDescent="0.35">
      <c r="A1010" s="188"/>
      <c r="B1010" s="190"/>
      <c r="C1010" s="99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0"/>
      <c r="E1010" s="78" t="str">
        <f>IF(C1010="","",IFERROR(VLOOKUP(C1010,parametros!$A$11:$E$15,5,0),""))</f>
        <v/>
      </c>
      <c r="F1010" s="79" t="str">
        <f t="shared" si="77"/>
        <v/>
      </c>
      <c r="G1010" s="101"/>
      <c r="H1010" s="91">
        <f t="shared" si="78"/>
        <v>0</v>
      </c>
      <c r="I1010" s="91" t="str">
        <f t="shared" si="79"/>
        <v/>
      </c>
      <c r="J1010" s="91" t="str">
        <f t="shared" si="80"/>
        <v/>
      </c>
      <c r="K1010" s="92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2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58"/>
      <c r="U1010" s="217" t="str">
        <f t="shared" si="81"/>
        <v/>
      </c>
      <c r="V1010" s="215" t="s">
        <v>47</v>
      </c>
      <c r="W1010" s="102" t="s">
        <v>136</v>
      </c>
      <c r="X1010" s="102" t="s">
        <v>137</v>
      </c>
      <c r="Y1010" s="103" t="s">
        <v>138</v>
      </c>
      <c r="Z1010" s="103" t="s">
        <v>139</v>
      </c>
      <c r="AA1010" s="103" t="s">
        <v>47</v>
      </c>
      <c r="AB1010" s="103" t="s">
        <v>140</v>
      </c>
      <c r="AC1010" s="104" t="s">
        <v>141</v>
      </c>
    </row>
    <row r="1011" spans="1:29" ht="25.5" customHeight="1" x14ac:dyDescent="0.35">
      <c r="A1011" s="188"/>
      <c r="B1011" s="190"/>
      <c r="C1011" s="99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0"/>
      <c r="E1011" s="78" t="str">
        <f>IF(C1011="","",IFERROR(VLOOKUP(C1011,parametros!$A$11:$E$15,5,0),""))</f>
        <v/>
      </c>
      <c r="F1011" s="79" t="str">
        <f t="shared" si="77"/>
        <v/>
      </c>
      <c r="G1011" s="101"/>
      <c r="H1011" s="91">
        <f t="shared" si="78"/>
        <v>0</v>
      </c>
      <c r="I1011" s="91" t="str">
        <f t="shared" si="79"/>
        <v/>
      </c>
      <c r="J1011" s="91" t="str">
        <f t="shared" si="80"/>
        <v/>
      </c>
      <c r="K1011" s="92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2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58"/>
      <c r="U1011" s="217" t="str">
        <f t="shared" si="81"/>
        <v/>
      </c>
      <c r="V1011" s="215" t="s">
        <v>47</v>
      </c>
      <c r="W1011" s="102" t="s">
        <v>136</v>
      </c>
      <c r="X1011" s="102" t="s">
        <v>137</v>
      </c>
      <c r="Y1011" s="103" t="s">
        <v>138</v>
      </c>
      <c r="Z1011" s="103" t="s">
        <v>139</v>
      </c>
      <c r="AA1011" s="103" t="s">
        <v>47</v>
      </c>
      <c r="AB1011" s="103" t="s">
        <v>140</v>
      </c>
      <c r="AC1011" s="104" t="s">
        <v>141</v>
      </c>
    </row>
    <row r="1012" spans="1:29" ht="25.5" customHeight="1" x14ac:dyDescent="0.35">
      <c r="A1012" s="188"/>
      <c r="B1012" s="190"/>
      <c r="C1012" s="99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0"/>
      <c r="E1012" s="78" t="str">
        <f>IF(C1012="","",IFERROR(VLOOKUP(C1012,parametros!$A$11:$E$15,5,0),""))</f>
        <v/>
      </c>
      <c r="F1012" s="79" t="str">
        <f t="shared" si="77"/>
        <v/>
      </c>
      <c r="G1012" s="101"/>
      <c r="H1012" s="91">
        <f t="shared" si="78"/>
        <v>0</v>
      </c>
      <c r="I1012" s="91" t="str">
        <f t="shared" si="79"/>
        <v/>
      </c>
      <c r="J1012" s="91" t="str">
        <f t="shared" si="80"/>
        <v/>
      </c>
      <c r="K1012" s="92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2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58"/>
      <c r="U1012" s="217" t="str">
        <f t="shared" si="81"/>
        <v/>
      </c>
      <c r="V1012" s="215" t="s">
        <v>47</v>
      </c>
      <c r="W1012" s="102" t="s">
        <v>136</v>
      </c>
      <c r="X1012" s="102" t="s">
        <v>137</v>
      </c>
      <c r="Y1012" s="103" t="s">
        <v>138</v>
      </c>
      <c r="Z1012" s="103" t="s">
        <v>139</v>
      </c>
      <c r="AA1012" s="103" t="s">
        <v>47</v>
      </c>
      <c r="AB1012" s="103" t="s">
        <v>140</v>
      </c>
      <c r="AC1012" s="104" t="s">
        <v>141</v>
      </c>
    </row>
    <row r="1013" spans="1:29" ht="25.5" customHeight="1" x14ac:dyDescent="0.35">
      <c r="A1013" s="188"/>
      <c r="B1013" s="190"/>
      <c r="C1013" s="99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0"/>
      <c r="E1013" s="78" t="str">
        <f>IF(C1013="","",IFERROR(VLOOKUP(C1013,parametros!$A$11:$E$15,5,0),""))</f>
        <v/>
      </c>
      <c r="F1013" s="79" t="str">
        <f t="shared" si="77"/>
        <v/>
      </c>
      <c r="G1013" s="101"/>
      <c r="H1013" s="91">
        <f t="shared" si="78"/>
        <v>0</v>
      </c>
      <c r="I1013" s="91" t="str">
        <f t="shared" si="79"/>
        <v/>
      </c>
      <c r="J1013" s="91" t="str">
        <f t="shared" si="80"/>
        <v/>
      </c>
      <c r="K1013" s="92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2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58"/>
      <c r="U1013" s="217" t="str">
        <f t="shared" si="81"/>
        <v/>
      </c>
      <c r="V1013" s="215" t="s">
        <v>47</v>
      </c>
      <c r="W1013" s="102" t="s">
        <v>136</v>
      </c>
      <c r="X1013" s="102" t="s">
        <v>137</v>
      </c>
      <c r="Y1013" s="103" t="s">
        <v>138</v>
      </c>
      <c r="Z1013" s="103" t="s">
        <v>139</v>
      </c>
      <c r="AA1013" s="103" t="s">
        <v>47</v>
      </c>
      <c r="AB1013" s="103" t="s">
        <v>140</v>
      </c>
      <c r="AC1013" s="104" t="s">
        <v>141</v>
      </c>
    </row>
    <row r="1014" spans="1:29" ht="25.5" customHeight="1" x14ac:dyDescent="0.35">
      <c r="A1014" s="188"/>
      <c r="B1014" s="190"/>
      <c r="C1014" s="99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0"/>
      <c r="E1014" s="78" t="str">
        <f>IF(C1014="","",IFERROR(VLOOKUP(C1014,parametros!$A$11:$E$15,5,0),""))</f>
        <v/>
      </c>
      <c r="F1014" s="79" t="str">
        <f t="shared" si="77"/>
        <v/>
      </c>
      <c r="G1014" s="101"/>
      <c r="H1014" s="91">
        <f t="shared" si="78"/>
        <v>0</v>
      </c>
      <c r="I1014" s="91" t="str">
        <f t="shared" si="79"/>
        <v/>
      </c>
      <c r="J1014" s="91" t="str">
        <f t="shared" si="80"/>
        <v/>
      </c>
      <c r="K1014" s="92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2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58"/>
      <c r="U1014" s="217" t="str">
        <f t="shared" si="81"/>
        <v/>
      </c>
      <c r="V1014" s="215" t="s">
        <v>47</v>
      </c>
      <c r="W1014" s="102" t="s">
        <v>136</v>
      </c>
      <c r="X1014" s="102" t="s">
        <v>137</v>
      </c>
      <c r="Y1014" s="103" t="s">
        <v>138</v>
      </c>
      <c r="Z1014" s="103" t="s">
        <v>139</v>
      </c>
      <c r="AA1014" s="103" t="s">
        <v>47</v>
      </c>
      <c r="AB1014" s="103" t="s">
        <v>140</v>
      </c>
      <c r="AC1014" s="104" t="s">
        <v>141</v>
      </c>
    </row>
    <row r="1015" spans="1:29" ht="25.5" customHeight="1" x14ac:dyDescent="0.35">
      <c r="A1015" s="188"/>
      <c r="B1015" s="190"/>
      <c r="C1015" s="99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0"/>
      <c r="E1015" s="78" t="str">
        <f>IF(C1015="","",IFERROR(VLOOKUP(C1015,parametros!$A$11:$E$15,5,0),""))</f>
        <v/>
      </c>
      <c r="F1015" s="79" t="str">
        <f t="shared" si="77"/>
        <v/>
      </c>
      <c r="G1015" s="101"/>
      <c r="H1015" s="91">
        <f t="shared" si="78"/>
        <v>0</v>
      </c>
      <c r="I1015" s="91" t="str">
        <f t="shared" si="79"/>
        <v/>
      </c>
      <c r="J1015" s="91" t="str">
        <f t="shared" si="80"/>
        <v/>
      </c>
      <c r="K1015" s="92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2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58"/>
      <c r="U1015" s="217" t="str">
        <f t="shared" si="81"/>
        <v/>
      </c>
      <c r="V1015" s="215" t="s">
        <v>47</v>
      </c>
      <c r="W1015" s="102" t="s">
        <v>136</v>
      </c>
      <c r="X1015" s="102" t="s">
        <v>137</v>
      </c>
      <c r="Y1015" s="103" t="s">
        <v>138</v>
      </c>
      <c r="Z1015" s="103" t="s">
        <v>139</v>
      </c>
      <c r="AA1015" s="103" t="s">
        <v>47</v>
      </c>
      <c r="AB1015" s="103" t="s">
        <v>140</v>
      </c>
      <c r="AC1015" s="104" t="s">
        <v>141</v>
      </c>
    </row>
    <row r="1016" spans="1:29" ht="25.5" customHeight="1" x14ac:dyDescent="0.35">
      <c r="A1016" s="188"/>
      <c r="B1016" s="190"/>
      <c r="C1016" s="99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0"/>
      <c r="E1016" s="78" t="str">
        <f>IF(C1016="","",IFERROR(VLOOKUP(C1016,parametros!$A$11:$E$15,5,0),""))</f>
        <v/>
      </c>
      <c r="F1016" s="79" t="str">
        <f t="shared" si="77"/>
        <v/>
      </c>
      <c r="G1016" s="101"/>
      <c r="H1016" s="91">
        <f t="shared" si="78"/>
        <v>0</v>
      </c>
      <c r="I1016" s="91" t="str">
        <f t="shared" si="79"/>
        <v/>
      </c>
      <c r="J1016" s="91" t="str">
        <f t="shared" si="80"/>
        <v/>
      </c>
      <c r="K1016" s="92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2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58"/>
      <c r="U1016" s="217" t="str">
        <f t="shared" si="81"/>
        <v/>
      </c>
      <c r="V1016" s="215" t="s">
        <v>47</v>
      </c>
      <c r="W1016" s="102" t="s">
        <v>136</v>
      </c>
      <c r="X1016" s="102" t="s">
        <v>137</v>
      </c>
      <c r="Y1016" s="103" t="s">
        <v>138</v>
      </c>
      <c r="Z1016" s="103" t="s">
        <v>139</v>
      </c>
      <c r="AA1016" s="103" t="s">
        <v>47</v>
      </c>
      <c r="AB1016" s="103" t="s">
        <v>140</v>
      </c>
      <c r="AC1016" s="104" t="s">
        <v>141</v>
      </c>
    </row>
    <row r="1017" spans="1:29" ht="25.5" customHeight="1" x14ac:dyDescent="0.35">
      <c r="A1017" s="188"/>
      <c r="B1017" s="190"/>
      <c r="C1017" s="99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0"/>
      <c r="E1017" s="78" t="str">
        <f>IF(C1017="","",IFERROR(VLOOKUP(C1017,parametros!$A$11:$E$15,5,0),""))</f>
        <v/>
      </c>
      <c r="F1017" s="79" t="str">
        <f t="shared" si="77"/>
        <v/>
      </c>
      <c r="G1017" s="101"/>
      <c r="H1017" s="91">
        <f t="shared" si="78"/>
        <v>0</v>
      </c>
      <c r="I1017" s="91" t="str">
        <f t="shared" si="79"/>
        <v/>
      </c>
      <c r="J1017" s="91" t="str">
        <f t="shared" si="80"/>
        <v/>
      </c>
      <c r="K1017" s="92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2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58"/>
      <c r="U1017" s="217" t="str">
        <f t="shared" si="81"/>
        <v/>
      </c>
      <c r="V1017" s="215" t="s">
        <v>47</v>
      </c>
      <c r="W1017" s="102" t="s">
        <v>136</v>
      </c>
      <c r="X1017" s="102" t="s">
        <v>137</v>
      </c>
      <c r="Y1017" s="103" t="s">
        <v>138</v>
      </c>
      <c r="Z1017" s="103" t="s">
        <v>139</v>
      </c>
      <c r="AA1017" s="103" t="s">
        <v>47</v>
      </c>
      <c r="AB1017" s="103" t="s">
        <v>140</v>
      </c>
      <c r="AC1017" s="104" t="s">
        <v>141</v>
      </c>
    </row>
    <row r="1018" spans="1:29" ht="25.5" customHeight="1" x14ac:dyDescent="0.35">
      <c r="A1018" s="188"/>
      <c r="B1018" s="190"/>
      <c r="C1018" s="99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0"/>
      <c r="E1018" s="78" t="str">
        <f>IF(C1018="","",IFERROR(VLOOKUP(C1018,parametros!$A$11:$E$15,5,0),""))</f>
        <v/>
      </c>
      <c r="F1018" s="79" t="str">
        <f t="shared" si="77"/>
        <v/>
      </c>
      <c r="G1018" s="101"/>
      <c r="H1018" s="91">
        <f t="shared" si="78"/>
        <v>0</v>
      </c>
      <c r="I1018" s="91" t="str">
        <f t="shared" si="79"/>
        <v/>
      </c>
      <c r="J1018" s="91" t="str">
        <f t="shared" si="80"/>
        <v/>
      </c>
      <c r="K1018" s="92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2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58"/>
      <c r="U1018" s="217" t="str">
        <f t="shared" si="81"/>
        <v/>
      </c>
      <c r="V1018" s="215" t="s">
        <v>47</v>
      </c>
      <c r="W1018" s="102" t="s">
        <v>136</v>
      </c>
      <c r="X1018" s="102" t="s">
        <v>137</v>
      </c>
      <c r="Y1018" s="103" t="s">
        <v>138</v>
      </c>
      <c r="Z1018" s="103" t="s">
        <v>139</v>
      </c>
      <c r="AA1018" s="103" t="s">
        <v>47</v>
      </c>
      <c r="AB1018" s="103" t="s">
        <v>140</v>
      </c>
      <c r="AC1018" s="104" t="s">
        <v>141</v>
      </c>
    </row>
    <row r="1019" spans="1:29" ht="25.5" customHeight="1" x14ac:dyDescent="0.35">
      <c r="A1019" s="188"/>
      <c r="B1019" s="190"/>
      <c r="C1019" s="99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0"/>
      <c r="E1019" s="78" t="str">
        <f>IF(C1019="","",IFERROR(VLOOKUP(C1019,parametros!$A$11:$E$15,5,0),""))</f>
        <v/>
      </c>
      <c r="F1019" s="79" t="str">
        <f t="shared" si="77"/>
        <v/>
      </c>
      <c r="G1019" s="101"/>
      <c r="H1019" s="91">
        <f t="shared" si="78"/>
        <v>0</v>
      </c>
      <c r="I1019" s="91" t="str">
        <f t="shared" si="79"/>
        <v/>
      </c>
      <c r="J1019" s="91" t="str">
        <f t="shared" si="80"/>
        <v/>
      </c>
      <c r="K1019" s="92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2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58"/>
      <c r="U1019" s="217" t="str">
        <f t="shared" si="81"/>
        <v/>
      </c>
      <c r="V1019" s="215" t="s">
        <v>47</v>
      </c>
      <c r="W1019" s="102" t="s">
        <v>136</v>
      </c>
      <c r="X1019" s="102" t="s">
        <v>137</v>
      </c>
      <c r="Y1019" s="103" t="s">
        <v>138</v>
      </c>
      <c r="Z1019" s="103" t="s">
        <v>139</v>
      </c>
      <c r="AA1019" s="103" t="s">
        <v>47</v>
      </c>
      <c r="AB1019" s="103" t="s">
        <v>140</v>
      </c>
      <c r="AC1019" s="104" t="s">
        <v>141</v>
      </c>
    </row>
    <row r="1020" spans="1:29" ht="25.5" customHeight="1" x14ac:dyDescent="0.35">
      <c r="A1020" s="188"/>
      <c r="B1020" s="190"/>
      <c r="C1020" s="99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0"/>
      <c r="E1020" s="78" t="str">
        <f>IF(C1020="","",IFERROR(VLOOKUP(C1020,parametros!$A$11:$E$15,5,0),""))</f>
        <v/>
      </c>
      <c r="F1020" s="79" t="str">
        <f t="shared" si="77"/>
        <v/>
      </c>
      <c r="G1020" s="101"/>
      <c r="H1020" s="91">
        <f t="shared" si="78"/>
        <v>0</v>
      </c>
      <c r="I1020" s="91" t="str">
        <f t="shared" si="79"/>
        <v/>
      </c>
      <c r="J1020" s="91" t="str">
        <f t="shared" si="80"/>
        <v/>
      </c>
      <c r="K1020" s="92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2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58"/>
      <c r="U1020" s="217" t="str">
        <f t="shared" si="81"/>
        <v/>
      </c>
      <c r="V1020" s="215" t="s">
        <v>47</v>
      </c>
      <c r="W1020" s="102" t="s">
        <v>136</v>
      </c>
      <c r="X1020" s="102" t="s">
        <v>137</v>
      </c>
      <c r="Y1020" s="103" t="s">
        <v>138</v>
      </c>
      <c r="Z1020" s="103" t="s">
        <v>139</v>
      </c>
      <c r="AA1020" s="103" t="s">
        <v>47</v>
      </c>
      <c r="AB1020" s="103" t="s">
        <v>140</v>
      </c>
      <c r="AC1020" s="104" t="s">
        <v>141</v>
      </c>
    </row>
    <row r="1021" spans="1:29" ht="25.5" customHeight="1" x14ac:dyDescent="0.35">
      <c r="A1021" s="188"/>
      <c r="B1021" s="190"/>
      <c r="C1021" s="99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0"/>
      <c r="E1021" s="78" t="str">
        <f>IF(C1021="","",IFERROR(VLOOKUP(C1021,parametros!$A$11:$E$15,5,0),""))</f>
        <v/>
      </c>
      <c r="F1021" s="79" t="str">
        <f t="shared" si="77"/>
        <v/>
      </c>
      <c r="G1021" s="101"/>
      <c r="H1021" s="91">
        <f t="shared" si="78"/>
        <v>0</v>
      </c>
      <c r="I1021" s="91" t="str">
        <f t="shared" si="79"/>
        <v/>
      </c>
      <c r="J1021" s="91" t="str">
        <f t="shared" si="80"/>
        <v/>
      </c>
      <c r="K1021" s="92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2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58"/>
      <c r="U1021" s="217" t="str">
        <f t="shared" si="81"/>
        <v/>
      </c>
      <c r="V1021" s="215" t="s">
        <v>47</v>
      </c>
      <c r="W1021" s="102" t="s">
        <v>136</v>
      </c>
      <c r="X1021" s="102" t="s">
        <v>137</v>
      </c>
      <c r="Y1021" s="103" t="s">
        <v>138</v>
      </c>
      <c r="Z1021" s="103" t="s">
        <v>139</v>
      </c>
      <c r="AA1021" s="103" t="s">
        <v>47</v>
      </c>
      <c r="AB1021" s="103" t="s">
        <v>140</v>
      </c>
      <c r="AC1021" s="104" t="s">
        <v>141</v>
      </c>
    </row>
    <row r="1022" spans="1:29" ht="25.5" customHeight="1" x14ac:dyDescent="0.35">
      <c r="A1022" s="188"/>
      <c r="B1022" s="190"/>
      <c r="C1022" s="99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0"/>
      <c r="E1022" s="78" t="str">
        <f>IF(C1022="","",IFERROR(VLOOKUP(C1022,parametros!$A$11:$E$15,5,0),""))</f>
        <v/>
      </c>
      <c r="F1022" s="79" t="str">
        <f t="shared" si="77"/>
        <v/>
      </c>
      <c r="G1022" s="101"/>
      <c r="H1022" s="91">
        <f t="shared" si="78"/>
        <v>0</v>
      </c>
      <c r="I1022" s="91" t="str">
        <f t="shared" si="79"/>
        <v/>
      </c>
      <c r="J1022" s="91" t="str">
        <f t="shared" si="80"/>
        <v/>
      </c>
      <c r="K1022" s="92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2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58"/>
      <c r="U1022" s="217" t="str">
        <f t="shared" si="81"/>
        <v/>
      </c>
      <c r="V1022" s="215" t="s">
        <v>47</v>
      </c>
      <c r="W1022" s="102" t="s">
        <v>136</v>
      </c>
      <c r="X1022" s="102" t="s">
        <v>137</v>
      </c>
      <c r="Y1022" s="103" t="s">
        <v>138</v>
      </c>
      <c r="Z1022" s="103" t="s">
        <v>139</v>
      </c>
      <c r="AA1022" s="103" t="s">
        <v>47</v>
      </c>
      <c r="AB1022" s="103" t="s">
        <v>140</v>
      </c>
      <c r="AC1022" s="104" t="s">
        <v>141</v>
      </c>
    </row>
    <row r="1023" spans="1:29" ht="25.5" customHeight="1" x14ac:dyDescent="0.35">
      <c r="A1023" s="188"/>
      <c r="B1023" s="190"/>
      <c r="C1023" s="99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0"/>
      <c r="E1023" s="78" t="str">
        <f>IF(C1023="","",IFERROR(VLOOKUP(C1023,parametros!$A$11:$E$15,5,0),""))</f>
        <v/>
      </c>
      <c r="F1023" s="79" t="str">
        <f t="shared" si="77"/>
        <v/>
      </c>
      <c r="G1023" s="101"/>
      <c r="H1023" s="91">
        <f t="shared" si="78"/>
        <v>0</v>
      </c>
      <c r="I1023" s="91" t="str">
        <f t="shared" si="79"/>
        <v/>
      </c>
      <c r="J1023" s="91" t="str">
        <f t="shared" si="80"/>
        <v/>
      </c>
      <c r="K1023" s="92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2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58"/>
      <c r="U1023" s="217" t="str">
        <f t="shared" si="81"/>
        <v/>
      </c>
      <c r="V1023" s="215" t="s">
        <v>47</v>
      </c>
      <c r="W1023" s="102" t="s">
        <v>136</v>
      </c>
      <c r="X1023" s="102" t="s">
        <v>137</v>
      </c>
      <c r="Y1023" s="103" t="s">
        <v>138</v>
      </c>
      <c r="Z1023" s="103" t="s">
        <v>139</v>
      </c>
      <c r="AA1023" s="103" t="s">
        <v>47</v>
      </c>
      <c r="AB1023" s="103" t="s">
        <v>140</v>
      </c>
      <c r="AC1023" s="104" t="s">
        <v>141</v>
      </c>
    </row>
    <row r="1024" spans="1:29" ht="25.5" customHeight="1" x14ac:dyDescent="0.35">
      <c r="A1024" s="188"/>
      <c r="B1024" s="190"/>
      <c r="C1024" s="99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0"/>
      <c r="E1024" s="78" t="str">
        <f>IF(C1024="","",IFERROR(VLOOKUP(C1024,parametros!$A$11:$E$15,5,0),""))</f>
        <v/>
      </c>
      <c r="F1024" s="79" t="str">
        <f t="shared" si="77"/>
        <v/>
      </c>
      <c r="G1024" s="101"/>
      <c r="H1024" s="91">
        <f t="shared" si="78"/>
        <v>0</v>
      </c>
      <c r="I1024" s="91" t="str">
        <f t="shared" si="79"/>
        <v/>
      </c>
      <c r="J1024" s="91" t="str">
        <f t="shared" si="80"/>
        <v/>
      </c>
      <c r="K1024" s="92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2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58"/>
      <c r="U1024" s="217" t="str">
        <f t="shared" si="81"/>
        <v/>
      </c>
      <c r="V1024" s="215" t="s">
        <v>47</v>
      </c>
      <c r="W1024" s="102" t="s">
        <v>136</v>
      </c>
      <c r="X1024" s="102" t="s">
        <v>137</v>
      </c>
      <c r="Y1024" s="103" t="s">
        <v>138</v>
      </c>
      <c r="Z1024" s="103" t="s">
        <v>139</v>
      </c>
      <c r="AA1024" s="103" t="s">
        <v>47</v>
      </c>
      <c r="AB1024" s="103" t="s">
        <v>140</v>
      </c>
      <c r="AC1024" s="104" t="s">
        <v>141</v>
      </c>
    </row>
    <row r="1025" spans="1:29" ht="25.5" customHeight="1" x14ac:dyDescent="0.35">
      <c r="A1025" s="188"/>
      <c r="B1025" s="190"/>
      <c r="C1025" s="99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0"/>
      <c r="E1025" s="78" t="str">
        <f>IF(C1025="","",IFERROR(VLOOKUP(C1025,parametros!$A$11:$E$15,5,0),""))</f>
        <v/>
      </c>
      <c r="F1025" s="79" t="str">
        <f t="shared" si="77"/>
        <v/>
      </c>
      <c r="G1025" s="101"/>
      <c r="H1025" s="91">
        <f t="shared" si="78"/>
        <v>0</v>
      </c>
      <c r="I1025" s="91" t="str">
        <f t="shared" si="79"/>
        <v/>
      </c>
      <c r="J1025" s="91" t="str">
        <f t="shared" si="80"/>
        <v/>
      </c>
      <c r="K1025" s="92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2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58"/>
      <c r="U1025" s="217" t="str">
        <f t="shared" si="81"/>
        <v/>
      </c>
      <c r="V1025" s="215" t="s">
        <v>47</v>
      </c>
      <c r="W1025" s="102" t="s">
        <v>136</v>
      </c>
      <c r="X1025" s="102" t="s">
        <v>137</v>
      </c>
      <c r="Y1025" s="103" t="s">
        <v>138</v>
      </c>
      <c r="Z1025" s="103" t="s">
        <v>139</v>
      </c>
      <c r="AA1025" s="103" t="s">
        <v>47</v>
      </c>
      <c r="AB1025" s="103" t="s">
        <v>140</v>
      </c>
      <c r="AC1025" s="104" t="s">
        <v>141</v>
      </c>
    </row>
    <row r="1026" spans="1:29" ht="25.5" customHeight="1" x14ac:dyDescent="0.35">
      <c r="A1026" s="188"/>
      <c r="B1026" s="190"/>
      <c r="C1026" s="99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0"/>
      <c r="E1026" s="78" t="str">
        <f>IF(C1026="","",IFERROR(VLOOKUP(C1026,parametros!$A$11:$E$15,5,0),""))</f>
        <v/>
      </c>
      <c r="F1026" s="79" t="str">
        <f t="shared" ref="F1026:F1089" si="82">IF(OR(D1026="",E1026=""),"",ROUND(D1026*E1026,2))</f>
        <v/>
      </c>
      <c r="G1026" s="101"/>
      <c r="H1026" s="91">
        <f t="shared" ref="H1026:H1089" si="83">IF(G1026="Sim",IF(OR(F1026="",D1026="",L1026=""),"",IF(L1026="Sim",ROUND(F1026-D1026,2),0)),0)</f>
        <v>0</v>
      </c>
      <c r="I1026" s="91" t="str">
        <f t="shared" ref="I1026:I1089" si="84">IF(G1026="Sim",0,IF(OR(F1026="",L1026=""),"",F1026))</f>
        <v/>
      </c>
      <c r="J1026" s="91" t="str">
        <f t="shared" ref="J1026:J1089" si="85">IF(G1026="Sim",0,IF(OR(F1026="",D1026="",L1026=""),"",IF(L1026="Sim",ROUND(F1026-D1026,2),0)))</f>
        <v/>
      </c>
      <c r="K1026" s="92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2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58"/>
      <c r="U1026" s="217" t="str">
        <f t="shared" ref="U1026:U1089" si="86">IF(OR($D1026="",$H1026=""),"",ROUND($D1026+$H1026,2))</f>
        <v/>
      </c>
      <c r="V1026" s="215" t="s">
        <v>47</v>
      </c>
      <c r="W1026" s="102" t="s">
        <v>136</v>
      </c>
      <c r="X1026" s="102" t="s">
        <v>137</v>
      </c>
      <c r="Y1026" s="103" t="s">
        <v>138</v>
      </c>
      <c r="Z1026" s="103" t="s">
        <v>139</v>
      </c>
      <c r="AA1026" s="103" t="s">
        <v>47</v>
      </c>
      <c r="AB1026" s="103" t="s">
        <v>140</v>
      </c>
      <c r="AC1026" s="104" t="s">
        <v>141</v>
      </c>
    </row>
    <row r="1027" spans="1:29" ht="25.5" customHeight="1" x14ac:dyDescent="0.35">
      <c r="A1027" s="188"/>
      <c r="B1027" s="190"/>
      <c r="C1027" s="99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0"/>
      <c r="E1027" s="78" t="str">
        <f>IF(C1027="","",IFERROR(VLOOKUP(C1027,parametros!$A$11:$E$15,5,0),""))</f>
        <v/>
      </c>
      <c r="F1027" s="79" t="str">
        <f t="shared" si="82"/>
        <v/>
      </c>
      <c r="G1027" s="101"/>
      <c r="H1027" s="91">
        <f t="shared" si="83"/>
        <v>0</v>
      </c>
      <c r="I1027" s="91" t="str">
        <f t="shared" si="84"/>
        <v/>
      </c>
      <c r="J1027" s="91" t="str">
        <f t="shared" si="85"/>
        <v/>
      </c>
      <c r="K1027" s="92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2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58"/>
      <c r="U1027" s="217" t="str">
        <f t="shared" si="86"/>
        <v/>
      </c>
      <c r="V1027" s="215" t="s">
        <v>47</v>
      </c>
      <c r="W1027" s="102" t="s">
        <v>136</v>
      </c>
      <c r="X1027" s="102" t="s">
        <v>137</v>
      </c>
      <c r="Y1027" s="103" t="s">
        <v>138</v>
      </c>
      <c r="Z1027" s="103" t="s">
        <v>139</v>
      </c>
      <c r="AA1027" s="103" t="s">
        <v>47</v>
      </c>
      <c r="AB1027" s="103" t="s">
        <v>140</v>
      </c>
      <c r="AC1027" s="104" t="s">
        <v>141</v>
      </c>
    </row>
    <row r="1028" spans="1:29" ht="25.5" customHeight="1" x14ac:dyDescent="0.35">
      <c r="A1028" s="188"/>
      <c r="B1028" s="190"/>
      <c r="C1028" s="99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0"/>
      <c r="E1028" s="78" t="str">
        <f>IF(C1028="","",IFERROR(VLOOKUP(C1028,parametros!$A$11:$E$15,5,0),""))</f>
        <v/>
      </c>
      <c r="F1028" s="79" t="str">
        <f t="shared" si="82"/>
        <v/>
      </c>
      <c r="G1028" s="101"/>
      <c r="H1028" s="91">
        <f t="shared" si="83"/>
        <v>0</v>
      </c>
      <c r="I1028" s="91" t="str">
        <f t="shared" si="84"/>
        <v/>
      </c>
      <c r="J1028" s="91" t="str">
        <f t="shared" si="85"/>
        <v/>
      </c>
      <c r="K1028" s="92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2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58"/>
      <c r="U1028" s="217" t="str">
        <f t="shared" si="86"/>
        <v/>
      </c>
      <c r="V1028" s="215" t="s">
        <v>47</v>
      </c>
      <c r="W1028" s="102" t="s">
        <v>136</v>
      </c>
      <c r="X1028" s="102" t="s">
        <v>137</v>
      </c>
      <c r="Y1028" s="103" t="s">
        <v>138</v>
      </c>
      <c r="Z1028" s="103" t="s">
        <v>139</v>
      </c>
      <c r="AA1028" s="103" t="s">
        <v>47</v>
      </c>
      <c r="AB1028" s="103" t="s">
        <v>140</v>
      </c>
      <c r="AC1028" s="104" t="s">
        <v>141</v>
      </c>
    </row>
    <row r="1029" spans="1:29" ht="25.5" customHeight="1" x14ac:dyDescent="0.35">
      <c r="A1029" s="188"/>
      <c r="B1029" s="190"/>
      <c r="C1029" s="99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0"/>
      <c r="E1029" s="78" t="str">
        <f>IF(C1029="","",IFERROR(VLOOKUP(C1029,parametros!$A$11:$E$15,5,0),""))</f>
        <v/>
      </c>
      <c r="F1029" s="79" t="str">
        <f t="shared" si="82"/>
        <v/>
      </c>
      <c r="G1029" s="101"/>
      <c r="H1029" s="91">
        <f t="shared" si="83"/>
        <v>0</v>
      </c>
      <c r="I1029" s="91" t="str">
        <f t="shared" si="84"/>
        <v/>
      </c>
      <c r="J1029" s="91" t="str">
        <f t="shared" si="85"/>
        <v/>
      </c>
      <c r="K1029" s="92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2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58"/>
      <c r="U1029" s="217" t="str">
        <f t="shared" si="86"/>
        <v/>
      </c>
      <c r="V1029" s="215" t="s">
        <v>47</v>
      </c>
      <c r="W1029" s="102" t="s">
        <v>136</v>
      </c>
      <c r="X1029" s="102" t="s">
        <v>137</v>
      </c>
      <c r="Y1029" s="103" t="s">
        <v>138</v>
      </c>
      <c r="Z1029" s="103" t="s">
        <v>139</v>
      </c>
      <c r="AA1029" s="103" t="s">
        <v>47</v>
      </c>
      <c r="AB1029" s="103" t="s">
        <v>140</v>
      </c>
      <c r="AC1029" s="104" t="s">
        <v>141</v>
      </c>
    </row>
    <row r="1030" spans="1:29" ht="25.5" customHeight="1" x14ac:dyDescent="0.35">
      <c r="A1030" s="188"/>
      <c r="B1030" s="190"/>
      <c r="C1030" s="99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0"/>
      <c r="E1030" s="78" t="str">
        <f>IF(C1030="","",IFERROR(VLOOKUP(C1030,parametros!$A$11:$E$15,5,0),""))</f>
        <v/>
      </c>
      <c r="F1030" s="79" t="str">
        <f t="shared" si="82"/>
        <v/>
      </c>
      <c r="G1030" s="101"/>
      <c r="H1030" s="91">
        <f t="shared" si="83"/>
        <v>0</v>
      </c>
      <c r="I1030" s="91" t="str">
        <f t="shared" si="84"/>
        <v/>
      </c>
      <c r="J1030" s="91" t="str">
        <f t="shared" si="85"/>
        <v/>
      </c>
      <c r="K1030" s="92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2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58"/>
      <c r="U1030" s="217" t="str">
        <f t="shared" si="86"/>
        <v/>
      </c>
      <c r="V1030" s="215" t="s">
        <v>47</v>
      </c>
      <c r="W1030" s="102" t="s">
        <v>136</v>
      </c>
      <c r="X1030" s="102" t="s">
        <v>137</v>
      </c>
      <c r="Y1030" s="103" t="s">
        <v>138</v>
      </c>
      <c r="Z1030" s="103" t="s">
        <v>139</v>
      </c>
      <c r="AA1030" s="103" t="s">
        <v>47</v>
      </c>
      <c r="AB1030" s="103" t="s">
        <v>140</v>
      </c>
      <c r="AC1030" s="104" t="s">
        <v>141</v>
      </c>
    </row>
    <row r="1031" spans="1:29" ht="25.5" customHeight="1" x14ac:dyDescent="0.35">
      <c r="A1031" s="188"/>
      <c r="B1031" s="190"/>
      <c r="C1031" s="99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0"/>
      <c r="E1031" s="78" t="str">
        <f>IF(C1031="","",IFERROR(VLOOKUP(C1031,parametros!$A$11:$E$15,5,0),""))</f>
        <v/>
      </c>
      <c r="F1031" s="79" t="str">
        <f t="shared" si="82"/>
        <v/>
      </c>
      <c r="G1031" s="101"/>
      <c r="H1031" s="91">
        <f t="shared" si="83"/>
        <v>0</v>
      </c>
      <c r="I1031" s="91" t="str">
        <f t="shared" si="84"/>
        <v/>
      </c>
      <c r="J1031" s="91" t="str">
        <f t="shared" si="85"/>
        <v/>
      </c>
      <c r="K1031" s="92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2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58"/>
      <c r="U1031" s="217" t="str">
        <f t="shared" si="86"/>
        <v/>
      </c>
      <c r="V1031" s="215" t="s">
        <v>47</v>
      </c>
      <c r="W1031" s="102" t="s">
        <v>136</v>
      </c>
      <c r="X1031" s="102" t="s">
        <v>137</v>
      </c>
      <c r="Y1031" s="103" t="s">
        <v>138</v>
      </c>
      <c r="Z1031" s="103" t="s">
        <v>139</v>
      </c>
      <c r="AA1031" s="103" t="s">
        <v>47</v>
      </c>
      <c r="AB1031" s="103" t="s">
        <v>140</v>
      </c>
      <c r="AC1031" s="104" t="s">
        <v>141</v>
      </c>
    </row>
    <row r="1032" spans="1:29" ht="25.5" customHeight="1" x14ac:dyDescent="0.35">
      <c r="A1032" s="188"/>
      <c r="B1032" s="190"/>
      <c r="C1032" s="99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0"/>
      <c r="E1032" s="78" t="str">
        <f>IF(C1032="","",IFERROR(VLOOKUP(C1032,parametros!$A$11:$E$15,5,0),""))</f>
        <v/>
      </c>
      <c r="F1032" s="79" t="str">
        <f t="shared" si="82"/>
        <v/>
      </c>
      <c r="G1032" s="101"/>
      <c r="H1032" s="91">
        <f t="shared" si="83"/>
        <v>0</v>
      </c>
      <c r="I1032" s="91" t="str">
        <f t="shared" si="84"/>
        <v/>
      </c>
      <c r="J1032" s="91" t="str">
        <f t="shared" si="85"/>
        <v/>
      </c>
      <c r="K1032" s="92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2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58"/>
      <c r="U1032" s="217" t="str">
        <f t="shared" si="86"/>
        <v/>
      </c>
      <c r="V1032" s="215" t="s">
        <v>47</v>
      </c>
      <c r="W1032" s="102" t="s">
        <v>136</v>
      </c>
      <c r="X1032" s="102" t="s">
        <v>137</v>
      </c>
      <c r="Y1032" s="103" t="s">
        <v>138</v>
      </c>
      <c r="Z1032" s="103" t="s">
        <v>139</v>
      </c>
      <c r="AA1032" s="103" t="s">
        <v>47</v>
      </c>
      <c r="AB1032" s="103" t="s">
        <v>140</v>
      </c>
      <c r="AC1032" s="104" t="s">
        <v>141</v>
      </c>
    </row>
    <row r="1033" spans="1:29" ht="25.5" customHeight="1" x14ac:dyDescent="0.35">
      <c r="A1033" s="188"/>
      <c r="B1033" s="190"/>
      <c r="C1033" s="99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0"/>
      <c r="E1033" s="78" t="str">
        <f>IF(C1033="","",IFERROR(VLOOKUP(C1033,parametros!$A$11:$E$15,5,0),""))</f>
        <v/>
      </c>
      <c r="F1033" s="79" t="str">
        <f t="shared" si="82"/>
        <v/>
      </c>
      <c r="G1033" s="101"/>
      <c r="H1033" s="91">
        <f t="shared" si="83"/>
        <v>0</v>
      </c>
      <c r="I1033" s="91" t="str">
        <f t="shared" si="84"/>
        <v/>
      </c>
      <c r="J1033" s="91" t="str">
        <f t="shared" si="85"/>
        <v/>
      </c>
      <c r="K1033" s="92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2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58"/>
      <c r="U1033" s="217" t="str">
        <f t="shared" si="86"/>
        <v/>
      </c>
      <c r="V1033" s="215" t="s">
        <v>47</v>
      </c>
      <c r="W1033" s="102" t="s">
        <v>136</v>
      </c>
      <c r="X1033" s="102" t="s">
        <v>137</v>
      </c>
      <c r="Y1033" s="103" t="s">
        <v>138</v>
      </c>
      <c r="Z1033" s="103" t="s">
        <v>139</v>
      </c>
      <c r="AA1033" s="103" t="s">
        <v>47</v>
      </c>
      <c r="AB1033" s="103" t="s">
        <v>140</v>
      </c>
      <c r="AC1033" s="104" t="s">
        <v>141</v>
      </c>
    </row>
    <row r="1034" spans="1:29" ht="25.5" customHeight="1" x14ac:dyDescent="0.35">
      <c r="A1034" s="188"/>
      <c r="B1034" s="190"/>
      <c r="C1034" s="99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0"/>
      <c r="E1034" s="78" t="str">
        <f>IF(C1034="","",IFERROR(VLOOKUP(C1034,parametros!$A$11:$E$15,5,0),""))</f>
        <v/>
      </c>
      <c r="F1034" s="79" t="str">
        <f t="shared" si="82"/>
        <v/>
      </c>
      <c r="G1034" s="101"/>
      <c r="H1034" s="91">
        <f t="shared" si="83"/>
        <v>0</v>
      </c>
      <c r="I1034" s="91" t="str">
        <f t="shared" si="84"/>
        <v/>
      </c>
      <c r="J1034" s="91" t="str">
        <f t="shared" si="85"/>
        <v/>
      </c>
      <c r="K1034" s="92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2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58"/>
      <c r="U1034" s="217" t="str">
        <f t="shared" si="86"/>
        <v/>
      </c>
      <c r="V1034" s="215" t="s">
        <v>47</v>
      </c>
      <c r="W1034" s="102" t="s">
        <v>136</v>
      </c>
      <c r="X1034" s="102" t="s">
        <v>137</v>
      </c>
      <c r="Y1034" s="103" t="s">
        <v>138</v>
      </c>
      <c r="Z1034" s="103" t="s">
        <v>139</v>
      </c>
      <c r="AA1034" s="103" t="s">
        <v>47</v>
      </c>
      <c r="AB1034" s="103" t="s">
        <v>140</v>
      </c>
      <c r="AC1034" s="104" t="s">
        <v>141</v>
      </c>
    </row>
    <row r="1035" spans="1:29" ht="25.5" customHeight="1" x14ac:dyDescent="0.35">
      <c r="A1035" s="188"/>
      <c r="B1035" s="190"/>
      <c r="C1035" s="99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0"/>
      <c r="E1035" s="78" t="str">
        <f>IF(C1035="","",IFERROR(VLOOKUP(C1035,parametros!$A$11:$E$15,5,0),""))</f>
        <v/>
      </c>
      <c r="F1035" s="79" t="str">
        <f t="shared" si="82"/>
        <v/>
      </c>
      <c r="G1035" s="101"/>
      <c r="H1035" s="91">
        <f t="shared" si="83"/>
        <v>0</v>
      </c>
      <c r="I1035" s="91" t="str">
        <f t="shared" si="84"/>
        <v/>
      </c>
      <c r="J1035" s="91" t="str">
        <f t="shared" si="85"/>
        <v/>
      </c>
      <c r="K1035" s="92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2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58"/>
      <c r="U1035" s="217" t="str">
        <f t="shared" si="86"/>
        <v/>
      </c>
      <c r="V1035" s="215" t="s">
        <v>47</v>
      </c>
      <c r="W1035" s="102" t="s">
        <v>136</v>
      </c>
      <c r="X1035" s="102" t="s">
        <v>137</v>
      </c>
      <c r="Y1035" s="103" t="s">
        <v>138</v>
      </c>
      <c r="Z1035" s="103" t="s">
        <v>139</v>
      </c>
      <c r="AA1035" s="103" t="s">
        <v>47</v>
      </c>
      <c r="AB1035" s="103" t="s">
        <v>140</v>
      </c>
      <c r="AC1035" s="104" t="s">
        <v>141</v>
      </c>
    </row>
    <row r="1036" spans="1:29" ht="25.5" customHeight="1" x14ac:dyDescent="0.35">
      <c r="A1036" s="188"/>
      <c r="B1036" s="190"/>
      <c r="C1036" s="99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0"/>
      <c r="E1036" s="78" t="str">
        <f>IF(C1036="","",IFERROR(VLOOKUP(C1036,parametros!$A$11:$E$15,5,0),""))</f>
        <v/>
      </c>
      <c r="F1036" s="79" t="str">
        <f t="shared" si="82"/>
        <v/>
      </c>
      <c r="G1036" s="101"/>
      <c r="H1036" s="91">
        <f t="shared" si="83"/>
        <v>0</v>
      </c>
      <c r="I1036" s="91" t="str">
        <f t="shared" si="84"/>
        <v/>
      </c>
      <c r="J1036" s="91" t="str">
        <f t="shared" si="85"/>
        <v/>
      </c>
      <c r="K1036" s="92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2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58"/>
      <c r="U1036" s="217" t="str">
        <f t="shared" si="86"/>
        <v/>
      </c>
      <c r="V1036" s="215" t="s">
        <v>47</v>
      </c>
      <c r="W1036" s="102" t="s">
        <v>136</v>
      </c>
      <c r="X1036" s="102" t="s">
        <v>137</v>
      </c>
      <c r="Y1036" s="103" t="s">
        <v>138</v>
      </c>
      <c r="Z1036" s="103" t="s">
        <v>139</v>
      </c>
      <c r="AA1036" s="103" t="s">
        <v>47</v>
      </c>
      <c r="AB1036" s="103" t="s">
        <v>140</v>
      </c>
      <c r="AC1036" s="104" t="s">
        <v>141</v>
      </c>
    </row>
    <row r="1037" spans="1:29" ht="25.5" customHeight="1" x14ac:dyDescent="0.35">
      <c r="A1037" s="188"/>
      <c r="B1037" s="190"/>
      <c r="C1037" s="99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0"/>
      <c r="E1037" s="78" t="str">
        <f>IF(C1037="","",IFERROR(VLOOKUP(C1037,parametros!$A$11:$E$15,5,0),""))</f>
        <v/>
      </c>
      <c r="F1037" s="79" t="str">
        <f t="shared" si="82"/>
        <v/>
      </c>
      <c r="G1037" s="101"/>
      <c r="H1037" s="91">
        <f t="shared" si="83"/>
        <v>0</v>
      </c>
      <c r="I1037" s="91" t="str">
        <f t="shared" si="84"/>
        <v/>
      </c>
      <c r="J1037" s="91" t="str">
        <f t="shared" si="85"/>
        <v/>
      </c>
      <c r="K1037" s="92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2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58"/>
      <c r="U1037" s="217" t="str">
        <f t="shared" si="86"/>
        <v/>
      </c>
      <c r="V1037" s="215" t="s">
        <v>47</v>
      </c>
      <c r="W1037" s="102" t="s">
        <v>136</v>
      </c>
      <c r="X1037" s="102" t="s">
        <v>137</v>
      </c>
      <c r="Y1037" s="103" t="s">
        <v>138</v>
      </c>
      <c r="Z1037" s="103" t="s">
        <v>139</v>
      </c>
      <c r="AA1037" s="103" t="s">
        <v>47</v>
      </c>
      <c r="AB1037" s="103" t="s">
        <v>140</v>
      </c>
      <c r="AC1037" s="104" t="s">
        <v>141</v>
      </c>
    </row>
    <row r="1038" spans="1:29" ht="25.5" customHeight="1" x14ac:dyDescent="0.35">
      <c r="A1038" s="188"/>
      <c r="B1038" s="190"/>
      <c r="C1038" s="99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0"/>
      <c r="E1038" s="78" t="str">
        <f>IF(C1038="","",IFERROR(VLOOKUP(C1038,parametros!$A$11:$E$15,5,0),""))</f>
        <v/>
      </c>
      <c r="F1038" s="79" t="str">
        <f t="shared" si="82"/>
        <v/>
      </c>
      <c r="G1038" s="101"/>
      <c r="H1038" s="91">
        <f t="shared" si="83"/>
        <v>0</v>
      </c>
      <c r="I1038" s="91" t="str">
        <f t="shared" si="84"/>
        <v/>
      </c>
      <c r="J1038" s="91" t="str">
        <f t="shared" si="85"/>
        <v/>
      </c>
      <c r="K1038" s="92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2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58"/>
      <c r="U1038" s="217" t="str">
        <f t="shared" si="86"/>
        <v/>
      </c>
      <c r="V1038" s="215" t="s">
        <v>47</v>
      </c>
      <c r="W1038" s="102" t="s">
        <v>136</v>
      </c>
      <c r="X1038" s="102" t="s">
        <v>137</v>
      </c>
      <c r="Y1038" s="103" t="s">
        <v>138</v>
      </c>
      <c r="Z1038" s="103" t="s">
        <v>139</v>
      </c>
      <c r="AA1038" s="103" t="s">
        <v>47</v>
      </c>
      <c r="AB1038" s="103" t="s">
        <v>140</v>
      </c>
      <c r="AC1038" s="104" t="s">
        <v>141</v>
      </c>
    </row>
    <row r="1039" spans="1:29" ht="25.5" customHeight="1" x14ac:dyDescent="0.35">
      <c r="A1039" s="188"/>
      <c r="B1039" s="190"/>
      <c r="C1039" s="99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0"/>
      <c r="E1039" s="78" t="str">
        <f>IF(C1039="","",IFERROR(VLOOKUP(C1039,parametros!$A$11:$E$15,5,0),""))</f>
        <v/>
      </c>
      <c r="F1039" s="79" t="str">
        <f t="shared" si="82"/>
        <v/>
      </c>
      <c r="G1039" s="101"/>
      <c r="H1039" s="91">
        <f t="shared" si="83"/>
        <v>0</v>
      </c>
      <c r="I1039" s="91" t="str">
        <f t="shared" si="84"/>
        <v/>
      </c>
      <c r="J1039" s="91" t="str">
        <f t="shared" si="85"/>
        <v/>
      </c>
      <c r="K1039" s="92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2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58"/>
      <c r="U1039" s="217" t="str">
        <f t="shared" si="86"/>
        <v/>
      </c>
      <c r="V1039" s="215" t="s">
        <v>47</v>
      </c>
      <c r="W1039" s="102" t="s">
        <v>136</v>
      </c>
      <c r="X1039" s="102" t="s">
        <v>137</v>
      </c>
      <c r="Y1039" s="103" t="s">
        <v>138</v>
      </c>
      <c r="Z1039" s="103" t="s">
        <v>139</v>
      </c>
      <c r="AA1039" s="103" t="s">
        <v>47</v>
      </c>
      <c r="AB1039" s="103" t="s">
        <v>140</v>
      </c>
      <c r="AC1039" s="104" t="s">
        <v>141</v>
      </c>
    </row>
    <row r="1040" spans="1:29" ht="25.5" customHeight="1" x14ac:dyDescent="0.35">
      <c r="A1040" s="188"/>
      <c r="B1040" s="190"/>
      <c r="C1040" s="99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0"/>
      <c r="E1040" s="78" t="str">
        <f>IF(C1040="","",IFERROR(VLOOKUP(C1040,parametros!$A$11:$E$15,5,0),""))</f>
        <v/>
      </c>
      <c r="F1040" s="79" t="str">
        <f t="shared" si="82"/>
        <v/>
      </c>
      <c r="G1040" s="101"/>
      <c r="H1040" s="91">
        <f t="shared" si="83"/>
        <v>0</v>
      </c>
      <c r="I1040" s="91" t="str">
        <f t="shared" si="84"/>
        <v/>
      </c>
      <c r="J1040" s="91" t="str">
        <f t="shared" si="85"/>
        <v/>
      </c>
      <c r="K1040" s="92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2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58"/>
      <c r="U1040" s="217" t="str">
        <f t="shared" si="86"/>
        <v/>
      </c>
      <c r="V1040" s="215" t="s">
        <v>47</v>
      </c>
      <c r="W1040" s="102" t="s">
        <v>136</v>
      </c>
      <c r="X1040" s="102" t="s">
        <v>137</v>
      </c>
      <c r="Y1040" s="103" t="s">
        <v>138</v>
      </c>
      <c r="Z1040" s="103" t="s">
        <v>139</v>
      </c>
      <c r="AA1040" s="103" t="s">
        <v>47</v>
      </c>
      <c r="AB1040" s="103" t="s">
        <v>140</v>
      </c>
      <c r="AC1040" s="104" t="s">
        <v>141</v>
      </c>
    </row>
    <row r="1041" spans="1:29" ht="25.5" customHeight="1" x14ac:dyDescent="0.35">
      <c r="A1041" s="188"/>
      <c r="B1041" s="190"/>
      <c r="C1041" s="99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0"/>
      <c r="E1041" s="78" t="str">
        <f>IF(C1041="","",IFERROR(VLOOKUP(C1041,parametros!$A$11:$E$15,5,0),""))</f>
        <v/>
      </c>
      <c r="F1041" s="79" t="str">
        <f t="shared" si="82"/>
        <v/>
      </c>
      <c r="G1041" s="101"/>
      <c r="H1041" s="91">
        <f t="shared" si="83"/>
        <v>0</v>
      </c>
      <c r="I1041" s="91" t="str">
        <f t="shared" si="84"/>
        <v/>
      </c>
      <c r="J1041" s="91" t="str">
        <f t="shared" si="85"/>
        <v/>
      </c>
      <c r="K1041" s="92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2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58"/>
      <c r="U1041" s="217" t="str">
        <f t="shared" si="86"/>
        <v/>
      </c>
      <c r="V1041" s="215" t="s">
        <v>47</v>
      </c>
      <c r="W1041" s="102" t="s">
        <v>136</v>
      </c>
      <c r="X1041" s="102" t="s">
        <v>137</v>
      </c>
      <c r="Y1041" s="103" t="s">
        <v>138</v>
      </c>
      <c r="Z1041" s="103" t="s">
        <v>139</v>
      </c>
      <c r="AA1041" s="103" t="s">
        <v>47</v>
      </c>
      <c r="AB1041" s="103" t="s">
        <v>140</v>
      </c>
      <c r="AC1041" s="104" t="s">
        <v>141</v>
      </c>
    </row>
    <row r="1042" spans="1:29" ht="25.5" customHeight="1" x14ac:dyDescent="0.35">
      <c r="A1042" s="188"/>
      <c r="B1042" s="190"/>
      <c r="C1042" s="99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0"/>
      <c r="E1042" s="78" t="str">
        <f>IF(C1042="","",IFERROR(VLOOKUP(C1042,parametros!$A$11:$E$15,5,0),""))</f>
        <v/>
      </c>
      <c r="F1042" s="79" t="str">
        <f t="shared" si="82"/>
        <v/>
      </c>
      <c r="G1042" s="101"/>
      <c r="H1042" s="91">
        <f t="shared" si="83"/>
        <v>0</v>
      </c>
      <c r="I1042" s="91" t="str">
        <f t="shared" si="84"/>
        <v/>
      </c>
      <c r="J1042" s="91" t="str">
        <f t="shared" si="85"/>
        <v/>
      </c>
      <c r="K1042" s="92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2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58"/>
      <c r="U1042" s="217" t="str">
        <f t="shared" si="86"/>
        <v/>
      </c>
      <c r="V1042" s="215" t="s">
        <v>47</v>
      </c>
      <c r="W1042" s="102" t="s">
        <v>136</v>
      </c>
      <c r="X1042" s="102" t="s">
        <v>137</v>
      </c>
      <c r="Y1042" s="103" t="s">
        <v>138</v>
      </c>
      <c r="Z1042" s="103" t="s">
        <v>139</v>
      </c>
      <c r="AA1042" s="103" t="s">
        <v>47</v>
      </c>
      <c r="AB1042" s="103" t="s">
        <v>140</v>
      </c>
      <c r="AC1042" s="104" t="s">
        <v>141</v>
      </c>
    </row>
    <row r="1043" spans="1:29" ht="25.5" customHeight="1" x14ac:dyDescent="0.35">
      <c r="A1043" s="188"/>
      <c r="B1043" s="190"/>
      <c r="C1043" s="99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0"/>
      <c r="E1043" s="78" t="str">
        <f>IF(C1043="","",IFERROR(VLOOKUP(C1043,parametros!$A$11:$E$15,5,0),""))</f>
        <v/>
      </c>
      <c r="F1043" s="79" t="str">
        <f t="shared" si="82"/>
        <v/>
      </c>
      <c r="G1043" s="101"/>
      <c r="H1043" s="91">
        <f t="shared" si="83"/>
        <v>0</v>
      </c>
      <c r="I1043" s="91" t="str">
        <f t="shared" si="84"/>
        <v/>
      </c>
      <c r="J1043" s="91" t="str">
        <f t="shared" si="85"/>
        <v/>
      </c>
      <c r="K1043" s="92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2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58"/>
      <c r="U1043" s="217" t="str">
        <f t="shared" si="86"/>
        <v/>
      </c>
      <c r="V1043" s="215" t="s">
        <v>47</v>
      </c>
      <c r="W1043" s="102" t="s">
        <v>136</v>
      </c>
      <c r="X1043" s="102" t="s">
        <v>137</v>
      </c>
      <c r="Y1043" s="103" t="s">
        <v>138</v>
      </c>
      <c r="Z1043" s="103" t="s">
        <v>139</v>
      </c>
      <c r="AA1043" s="103" t="s">
        <v>47</v>
      </c>
      <c r="AB1043" s="103" t="s">
        <v>140</v>
      </c>
      <c r="AC1043" s="104" t="s">
        <v>141</v>
      </c>
    </row>
    <row r="1044" spans="1:29" ht="25.5" customHeight="1" x14ac:dyDescent="0.35">
      <c r="A1044" s="188"/>
      <c r="B1044" s="190"/>
      <c r="C1044" s="99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0"/>
      <c r="E1044" s="78" t="str">
        <f>IF(C1044="","",IFERROR(VLOOKUP(C1044,parametros!$A$11:$E$15,5,0),""))</f>
        <v/>
      </c>
      <c r="F1044" s="79" t="str">
        <f t="shared" si="82"/>
        <v/>
      </c>
      <c r="G1044" s="101"/>
      <c r="H1044" s="91">
        <f t="shared" si="83"/>
        <v>0</v>
      </c>
      <c r="I1044" s="91" t="str">
        <f t="shared" si="84"/>
        <v/>
      </c>
      <c r="J1044" s="91" t="str">
        <f t="shared" si="85"/>
        <v/>
      </c>
      <c r="K1044" s="92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2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58"/>
      <c r="U1044" s="217" t="str">
        <f t="shared" si="86"/>
        <v/>
      </c>
      <c r="V1044" s="215" t="s">
        <v>47</v>
      </c>
      <c r="W1044" s="102" t="s">
        <v>136</v>
      </c>
      <c r="X1044" s="102" t="s">
        <v>137</v>
      </c>
      <c r="Y1044" s="103" t="s">
        <v>138</v>
      </c>
      <c r="Z1044" s="103" t="s">
        <v>139</v>
      </c>
      <c r="AA1044" s="103" t="s">
        <v>47</v>
      </c>
      <c r="AB1044" s="103" t="s">
        <v>140</v>
      </c>
      <c r="AC1044" s="104" t="s">
        <v>141</v>
      </c>
    </row>
    <row r="1045" spans="1:29" ht="25.5" customHeight="1" x14ac:dyDescent="0.35">
      <c r="A1045" s="188"/>
      <c r="B1045" s="190"/>
      <c r="C1045" s="99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0"/>
      <c r="E1045" s="78" t="str">
        <f>IF(C1045="","",IFERROR(VLOOKUP(C1045,parametros!$A$11:$E$15,5,0),""))</f>
        <v/>
      </c>
      <c r="F1045" s="79" t="str">
        <f t="shared" si="82"/>
        <v/>
      </c>
      <c r="G1045" s="101"/>
      <c r="H1045" s="91">
        <f t="shared" si="83"/>
        <v>0</v>
      </c>
      <c r="I1045" s="91" t="str">
        <f t="shared" si="84"/>
        <v/>
      </c>
      <c r="J1045" s="91" t="str">
        <f t="shared" si="85"/>
        <v/>
      </c>
      <c r="K1045" s="92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2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58"/>
      <c r="U1045" s="217" t="str">
        <f t="shared" si="86"/>
        <v/>
      </c>
      <c r="V1045" s="215" t="s">
        <v>47</v>
      </c>
      <c r="W1045" s="102" t="s">
        <v>136</v>
      </c>
      <c r="X1045" s="102" t="s">
        <v>137</v>
      </c>
      <c r="Y1045" s="103" t="s">
        <v>138</v>
      </c>
      <c r="Z1045" s="103" t="s">
        <v>139</v>
      </c>
      <c r="AA1045" s="103" t="s">
        <v>47</v>
      </c>
      <c r="AB1045" s="103" t="s">
        <v>140</v>
      </c>
      <c r="AC1045" s="104" t="s">
        <v>141</v>
      </c>
    </row>
    <row r="1046" spans="1:29" ht="25.5" customHeight="1" x14ac:dyDescent="0.35">
      <c r="A1046" s="188"/>
      <c r="B1046" s="190"/>
      <c r="C1046" s="99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0"/>
      <c r="E1046" s="78" t="str">
        <f>IF(C1046="","",IFERROR(VLOOKUP(C1046,parametros!$A$11:$E$15,5,0),""))</f>
        <v/>
      </c>
      <c r="F1046" s="79" t="str">
        <f t="shared" si="82"/>
        <v/>
      </c>
      <c r="G1046" s="101"/>
      <c r="H1046" s="91">
        <f t="shared" si="83"/>
        <v>0</v>
      </c>
      <c r="I1046" s="91" t="str">
        <f t="shared" si="84"/>
        <v/>
      </c>
      <c r="J1046" s="91" t="str">
        <f t="shared" si="85"/>
        <v/>
      </c>
      <c r="K1046" s="92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2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58"/>
      <c r="U1046" s="217" t="str">
        <f t="shared" si="86"/>
        <v/>
      </c>
      <c r="V1046" s="215" t="s">
        <v>47</v>
      </c>
      <c r="W1046" s="102" t="s">
        <v>136</v>
      </c>
      <c r="X1046" s="102" t="s">
        <v>137</v>
      </c>
      <c r="Y1046" s="103" t="s">
        <v>138</v>
      </c>
      <c r="Z1046" s="103" t="s">
        <v>139</v>
      </c>
      <c r="AA1046" s="103" t="s">
        <v>47</v>
      </c>
      <c r="AB1046" s="103" t="s">
        <v>140</v>
      </c>
      <c r="AC1046" s="104" t="s">
        <v>141</v>
      </c>
    </row>
    <row r="1047" spans="1:29" ht="25.5" customHeight="1" x14ac:dyDescent="0.35">
      <c r="A1047" s="188"/>
      <c r="B1047" s="190"/>
      <c r="C1047" s="99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0"/>
      <c r="E1047" s="78" t="str">
        <f>IF(C1047="","",IFERROR(VLOOKUP(C1047,parametros!$A$11:$E$15,5,0),""))</f>
        <v/>
      </c>
      <c r="F1047" s="79" t="str">
        <f t="shared" si="82"/>
        <v/>
      </c>
      <c r="G1047" s="101"/>
      <c r="H1047" s="91">
        <f t="shared" si="83"/>
        <v>0</v>
      </c>
      <c r="I1047" s="91" t="str">
        <f t="shared" si="84"/>
        <v/>
      </c>
      <c r="J1047" s="91" t="str">
        <f t="shared" si="85"/>
        <v/>
      </c>
      <c r="K1047" s="92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2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58"/>
      <c r="U1047" s="217" t="str">
        <f t="shared" si="86"/>
        <v/>
      </c>
      <c r="V1047" s="215" t="s">
        <v>47</v>
      </c>
      <c r="W1047" s="102" t="s">
        <v>136</v>
      </c>
      <c r="X1047" s="102" t="s">
        <v>137</v>
      </c>
      <c r="Y1047" s="103" t="s">
        <v>138</v>
      </c>
      <c r="Z1047" s="103" t="s">
        <v>139</v>
      </c>
      <c r="AA1047" s="103" t="s">
        <v>47</v>
      </c>
      <c r="AB1047" s="103" t="s">
        <v>140</v>
      </c>
      <c r="AC1047" s="104" t="s">
        <v>141</v>
      </c>
    </row>
    <row r="1048" spans="1:29" ht="25.5" customHeight="1" x14ac:dyDescent="0.35">
      <c r="A1048" s="188"/>
      <c r="B1048" s="190"/>
      <c r="C1048" s="99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0"/>
      <c r="E1048" s="78" t="str">
        <f>IF(C1048="","",IFERROR(VLOOKUP(C1048,parametros!$A$11:$E$15,5,0),""))</f>
        <v/>
      </c>
      <c r="F1048" s="79" t="str">
        <f t="shared" si="82"/>
        <v/>
      </c>
      <c r="G1048" s="101"/>
      <c r="H1048" s="91">
        <f t="shared" si="83"/>
        <v>0</v>
      </c>
      <c r="I1048" s="91" t="str">
        <f t="shared" si="84"/>
        <v/>
      </c>
      <c r="J1048" s="91" t="str">
        <f t="shared" si="85"/>
        <v/>
      </c>
      <c r="K1048" s="92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2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58"/>
      <c r="U1048" s="217" t="str">
        <f t="shared" si="86"/>
        <v/>
      </c>
      <c r="V1048" s="215" t="s">
        <v>47</v>
      </c>
      <c r="W1048" s="102" t="s">
        <v>136</v>
      </c>
      <c r="X1048" s="102" t="s">
        <v>137</v>
      </c>
      <c r="Y1048" s="103" t="s">
        <v>138</v>
      </c>
      <c r="Z1048" s="103" t="s">
        <v>139</v>
      </c>
      <c r="AA1048" s="103" t="s">
        <v>47</v>
      </c>
      <c r="AB1048" s="103" t="s">
        <v>140</v>
      </c>
      <c r="AC1048" s="104" t="s">
        <v>141</v>
      </c>
    </row>
    <row r="1049" spans="1:29" ht="25.5" customHeight="1" x14ac:dyDescent="0.35">
      <c r="A1049" s="188"/>
      <c r="B1049" s="190"/>
      <c r="C1049" s="99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0"/>
      <c r="E1049" s="78" t="str">
        <f>IF(C1049="","",IFERROR(VLOOKUP(C1049,parametros!$A$11:$E$15,5,0),""))</f>
        <v/>
      </c>
      <c r="F1049" s="79" t="str">
        <f t="shared" si="82"/>
        <v/>
      </c>
      <c r="G1049" s="101"/>
      <c r="H1049" s="91">
        <f t="shared" si="83"/>
        <v>0</v>
      </c>
      <c r="I1049" s="91" t="str">
        <f t="shared" si="84"/>
        <v/>
      </c>
      <c r="J1049" s="91" t="str">
        <f t="shared" si="85"/>
        <v/>
      </c>
      <c r="K1049" s="92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2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58"/>
      <c r="U1049" s="217" t="str">
        <f t="shared" si="86"/>
        <v/>
      </c>
      <c r="V1049" s="215" t="s">
        <v>47</v>
      </c>
      <c r="W1049" s="102" t="s">
        <v>136</v>
      </c>
      <c r="X1049" s="102" t="s">
        <v>137</v>
      </c>
      <c r="Y1049" s="103" t="s">
        <v>138</v>
      </c>
      <c r="Z1049" s="103" t="s">
        <v>139</v>
      </c>
      <c r="AA1049" s="103" t="s">
        <v>47</v>
      </c>
      <c r="AB1049" s="103" t="s">
        <v>140</v>
      </c>
      <c r="AC1049" s="104" t="s">
        <v>141</v>
      </c>
    </row>
    <row r="1050" spans="1:29" ht="25.5" customHeight="1" x14ac:dyDescent="0.35">
      <c r="A1050" s="188"/>
      <c r="B1050" s="190"/>
      <c r="C1050" s="99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0"/>
      <c r="E1050" s="78" t="str">
        <f>IF(C1050="","",IFERROR(VLOOKUP(C1050,parametros!$A$11:$E$15,5,0),""))</f>
        <v/>
      </c>
      <c r="F1050" s="79" t="str">
        <f t="shared" si="82"/>
        <v/>
      </c>
      <c r="G1050" s="101"/>
      <c r="H1050" s="91">
        <f t="shared" si="83"/>
        <v>0</v>
      </c>
      <c r="I1050" s="91" t="str">
        <f t="shared" si="84"/>
        <v/>
      </c>
      <c r="J1050" s="91" t="str">
        <f t="shared" si="85"/>
        <v/>
      </c>
      <c r="K1050" s="92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2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58"/>
      <c r="U1050" s="217" t="str">
        <f t="shared" si="86"/>
        <v/>
      </c>
      <c r="V1050" s="215" t="s">
        <v>47</v>
      </c>
      <c r="W1050" s="102" t="s">
        <v>136</v>
      </c>
      <c r="X1050" s="102" t="s">
        <v>137</v>
      </c>
      <c r="Y1050" s="103" t="s">
        <v>138</v>
      </c>
      <c r="Z1050" s="103" t="s">
        <v>139</v>
      </c>
      <c r="AA1050" s="103" t="s">
        <v>47</v>
      </c>
      <c r="AB1050" s="103" t="s">
        <v>140</v>
      </c>
      <c r="AC1050" s="104" t="s">
        <v>141</v>
      </c>
    </row>
    <row r="1051" spans="1:29" ht="25.5" customHeight="1" x14ac:dyDescent="0.35">
      <c r="A1051" s="188"/>
      <c r="B1051" s="190"/>
      <c r="C1051" s="99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0"/>
      <c r="E1051" s="78" t="str">
        <f>IF(C1051="","",IFERROR(VLOOKUP(C1051,parametros!$A$11:$E$15,5,0),""))</f>
        <v/>
      </c>
      <c r="F1051" s="79" t="str">
        <f t="shared" si="82"/>
        <v/>
      </c>
      <c r="G1051" s="101"/>
      <c r="H1051" s="91">
        <f t="shared" si="83"/>
        <v>0</v>
      </c>
      <c r="I1051" s="91" t="str">
        <f t="shared" si="84"/>
        <v/>
      </c>
      <c r="J1051" s="91" t="str">
        <f t="shared" si="85"/>
        <v/>
      </c>
      <c r="K1051" s="92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2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58"/>
      <c r="U1051" s="217" t="str">
        <f t="shared" si="86"/>
        <v/>
      </c>
      <c r="V1051" s="215" t="s">
        <v>47</v>
      </c>
      <c r="W1051" s="102" t="s">
        <v>136</v>
      </c>
      <c r="X1051" s="102" t="s">
        <v>137</v>
      </c>
      <c r="Y1051" s="103" t="s">
        <v>138</v>
      </c>
      <c r="Z1051" s="103" t="s">
        <v>139</v>
      </c>
      <c r="AA1051" s="103" t="s">
        <v>47</v>
      </c>
      <c r="AB1051" s="103" t="s">
        <v>140</v>
      </c>
      <c r="AC1051" s="104" t="s">
        <v>141</v>
      </c>
    </row>
    <row r="1052" spans="1:29" ht="25.5" customHeight="1" x14ac:dyDescent="0.35">
      <c r="A1052" s="188"/>
      <c r="B1052" s="190"/>
      <c r="C1052" s="99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0"/>
      <c r="E1052" s="78" t="str">
        <f>IF(C1052="","",IFERROR(VLOOKUP(C1052,parametros!$A$11:$E$15,5,0),""))</f>
        <v/>
      </c>
      <c r="F1052" s="79" t="str">
        <f t="shared" si="82"/>
        <v/>
      </c>
      <c r="G1052" s="101"/>
      <c r="H1052" s="91">
        <f t="shared" si="83"/>
        <v>0</v>
      </c>
      <c r="I1052" s="91" t="str">
        <f t="shared" si="84"/>
        <v/>
      </c>
      <c r="J1052" s="91" t="str">
        <f t="shared" si="85"/>
        <v/>
      </c>
      <c r="K1052" s="92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2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58"/>
      <c r="U1052" s="217" t="str">
        <f t="shared" si="86"/>
        <v/>
      </c>
      <c r="V1052" s="215" t="s">
        <v>47</v>
      </c>
      <c r="W1052" s="102" t="s">
        <v>136</v>
      </c>
      <c r="X1052" s="102" t="s">
        <v>137</v>
      </c>
      <c r="Y1052" s="103" t="s">
        <v>138</v>
      </c>
      <c r="Z1052" s="103" t="s">
        <v>139</v>
      </c>
      <c r="AA1052" s="103" t="s">
        <v>47</v>
      </c>
      <c r="AB1052" s="103" t="s">
        <v>140</v>
      </c>
      <c r="AC1052" s="104" t="s">
        <v>141</v>
      </c>
    </row>
    <row r="1053" spans="1:29" ht="25.5" customHeight="1" x14ac:dyDescent="0.35">
      <c r="A1053" s="188"/>
      <c r="B1053" s="190"/>
      <c r="C1053" s="99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0"/>
      <c r="E1053" s="78" t="str">
        <f>IF(C1053="","",IFERROR(VLOOKUP(C1053,parametros!$A$11:$E$15,5,0),""))</f>
        <v/>
      </c>
      <c r="F1053" s="79" t="str">
        <f t="shared" si="82"/>
        <v/>
      </c>
      <c r="G1053" s="101"/>
      <c r="H1053" s="91">
        <f t="shared" si="83"/>
        <v>0</v>
      </c>
      <c r="I1053" s="91" t="str">
        <f t="shared" si="84"/>
        <v/>
      </c>
      <c r="J1053" s="91" t="str">
        <f t="shared" si="85"/>
        <v/>
      </c>
      <c r="K1053" s="92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2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58"/>
      <c r="U1053" s="217" t="str">
        <f t="shared" si="86"/>
        <v/>
      </c>
      <c r="V1053" s="215" t="s">
        <v>47</v>
      </c>
      <c r="W1053" s="102" t="s">
        <v>136</v>
      </c>
      <c r="X1053" s="102" t="s">
        <v>137</v>
      </c>
      <c r="Y1053" s="103" t="s">
        <v>138</v>
      </c>
      <c r="Z1053" s="103" t="s">
        <v>139</v>
      </c>
      <c r="AA1053" s="103" t="s">
        <v>47</v>
      </c>
      <c r="AB1053" s="103" t="s">
        <v>140</v>
      </c>
      <c r="AC1053" s="104" t="s">
        <v>141</v>
      </c>
    </row>
    <row r="1054" spans="1:29" ht="25.5" customHeight="1" x14ac:dyDescent="0.35">
      <c r="A1054" s="188"/>
      <c r="B1054" s="190"/>
      <c r="C1054" s="99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0"/>
      <c r="E1054" s="78" t="str">
        <f>IF(C1054="","",IFERROR(VLOOKUP(C1054,parametros!$A$11:$E$15,5,0),""))</f>
        <v/>
      </c>
      <c r="F1054" s="79" t="str">
        <f t="shared" si="82"/>
        <v/>
      </c>
      <c r="G1054" s="101"/>
      <c r="H1054" s="91">
        <f t="shared" si="83"/>
        <v>0</v>
      </c>
      <c r="I1054" s="91" t="str">
        <f t="shared" si="84"/>
        <v/>
      </c>
      <c r="J1054" s="91" t="str">
        <f t="shared" si="85"/>
        <v/>
      </c>
      <c r="K1054" s="92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2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58"/>
      <c r="U1054" s="217" t="str">
        <f t="shared" si="86"/>
        <v/>
      </c>
      <c r="V1054" s="215" t="s">
        <v>47</v>
      </c>
      <c r="W1054" s="102" t="s">
        <v>136</v>
      </c>
      <c r="X1054" s="102" t="s">
        <v>137</v>
      </c>
      <c r="Y1054" s="103" t="s">
        <v>138</v>
      </c>
      <c r="Z1054" s="103" t="s">
        <v>139</v>
      </c>
      <c r="AA1054" s="103" t="s">
        <v>47</v>
      </c>
      <c r="AB1054" s="103" t="s">
        <v>140</v>
      </c>
      <c r="AC1054" s="104" t="s">
        <v>141</v>
      </c>
    </row>
    <row r="1055" spans="1:29" ht="25.5" customHeight="1" x14ac:dyDescent="0.35">
      <c r="A1055" s="188"/>
      <c r="B1055" s="190"/>
      <c r="C1055" s="99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0"/>
      <c r="E1055" s="78" t="str">
        <f>IF(C1055="","",IFERROR(VLOOKUP(C1055,parametros!$A$11:$E$15,5,0),""))</f>
        <v/>
      </c>
      <c r="F1055" s="79" t="str">
        <f t="shared" si="82"/>
        <v/>
      </c>
      <c r="G1055" s="101"/>
      <c r="H1055" s="91">
        <f t="shared" si="83"/>
        <v>0</v>
      </c>
      <c r="I1055" s="91" t="str">
        <f t="shared" si="84"/>
        <v/>
      </c>
      <c r="J1055" s="91" t="str">
        <f t="shared" si="85"/>
        <v/>
      </c>
      <c r="K1055" s="92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2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58"/>
      <c r="U1055" s="217" t="str">
        <f t="shared" si="86"/>
        <v/>
      </c>
      <c r="V1055" s="215" t="s">
        <v>47</v>
      </c>
      <c r="W1055" s="102" t="s">
        <v>136</v>
      </c>
      <c r="X1055" s="102" t="s">
        <v>137</v>
      </c>
      <c r="Y1055" s="103" t="s">
        <v>138</v>
      </c>
      <c r="Z1055" s="103" t="s">
        <v>139</v>
      </c>
      <c r="AA1055" s="103" t="s">
        <v>47</v>
      </c>
      <c r="AB1055" s="103" t="s">
        <v>140</v>
      </c>
      <c r="AC1055" s="104" t="s">
        <v>141</v>
      </c>
    </row>
    <row r="1056" spans="1:29" ht="25.5" customHeight="1" x14ac:dyDescent="0.35">
      <c r="A1056" s="188"/>
      <c r="B1056" s="190"/>
      <c r="C1056" s="99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0"/>
      <c r="E1056" s="78" t="str">
        <f>IF(C1056="","",IFERROR(VLOOKUP(C1056,parametros!$A$11:$E$15,5,0),""))</f>
        <v/>
      </c>
      <c r="F1056" s="79" t="str">
        <f t="shared" si="82"/>
        <v/>
      </c>
      <c r="G1056" s="101"/>
      <c r="H1056" s="91">
        <f t="shared" si="83"/>
        <v>0</v>
      </c>
      <c r="I1056" s="91" t="str">
        <f t="shared" si="84"/>
        <v/>
      </c>
      <c r="J1056" s="91" t="str">
        <f t="shared" si="85"/>
        <v/>
      </c>
      <c r="K1056" s="92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2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58"/>
      <c r="U1056" s="217" t="str">
        <f t="shared" si="86"/>
        <v/>
      </c>
      <c r="V1056" s="215" t="s">
        <v>47</v>
      </c>
      <c r="W1056" s="102" t="s">
        <v>136</v>
      </c>
      <c r="X1056" s="102" t="s">
        <v>137</v>
      </c>
      <c r="Y1056" s="103" t="s">
        <v>138</v>
      </c>
      <c r="Z1056" s="103" t="s">
        <v>139</v>
      </c>
      <c r="AA1056" s="103" t="s">
        <v>47</v>
      </c>
      <c r="AB1056" s="103" t="s">
        <v>140</v>
      </c>
      <c r="AC1056" s="104" t="s">
        <v>141</v>
      </c>
    </row>
    <row r="1057" spans="1:29" ht="25.5" customHeight="1" x14ac:dyDescent="0.35">
      <c r="A1057" s="188"/>
      <c r="B1057" s="190"/>
      <c r="C1057" s="99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0"/>
      <c r="E1057" s="78" t="str">
        <f>IF(C1057="","",IFERROR(VLOOKUP(C1057,parametros!$A$11:$E$15,5,0),""))</f>
        <v/>
      </c>
      <c r="F1057" s="79" t="str">
        <f t="shared" si="82"/>
        <v/>
      </c>
      <c r="G1057" s="101"/>
      <c r="H1057" s="91">
        <f t="shared" si="83"/>
        <v>0</v>
      </c>
      <c r="I1057" s="91" t="str">
        <f t="shared" si="84"/>
        <v/>
      </c>
      <c r="J1057" s="91" t="str">
        <f t="shared" si="85"/>
        <v/>
      </c>
      <c r="K1057" s="92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2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58"/>
      <c r="U1057" s="217" t="str">
        <f t="shared" si="86"/>
        <v/>
      </c>
      <c r="V1057" s="215" t="s">
        <v>47</v>
      </c>
      <c r="W1057" s="102" t="s">
        <v>136</v>
      </c>
      <c r="X1057" s="102" t="s">
        <v>137</v>
      </c>
      <c r="Y1057" s="103" t="s">
        <v>138</v>
      </c>
      <c r="Z1057" s="103" t="s">
        <v>139</v>
      </c>
      <c r="AA1057" s="103" t="s">
        <v>47</v>
      </c>
      <c r="AB1057" s="103" t="s">
        <v>140</v>
      </c>
      <c r="AC1057" s="104" t="s">
        <v>141</v>
      </c>
    </row>
    <row r="1058" spans="1:29" ht="25.5" customHeight="1" x14ac:dyDescent="0.35">
      <c r="A1058" s="188"/>
      <c r="B1058" s="190"/>
      <c r="C1058" s="99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0"/>
      <c r="E1058" s="78" t="str">
        <f>IF(C1058="","",IFERROR(VLOOKUP(C1058,parametros!$A$11:$E$15,5,0),""))</f>
        <v/>
      </c>
      <c r="F1058" s="79" t="str">
        <f t="shared" si="82"/>
        <v/>
      </c>
      <c r="G1058" s="101"/>
      <c r="H1058" s="91">
        <f t="shared" si="83"/>
        <v>0</v>
      </c>
      <c r="I1058" s="91" t="str">
        <f t="shared" si="84"/>
        <v/>
      </c>
      <c r="J1058" s="91" t="str">
        <f t="shared" si="85"/>
        <v/>
      </c>
      <c r="K1058" s="92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2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58"/>
      <c r="U1058" s="217" t="str">
        <f t="shared" si="86"/>
        <v/>
      </c>
      <c r="V1058" s="215" t="s">
        <v>47</v>
      </c>
      <c r="W1058" s="102" t="s">
        <v>136</v>
      </c>
      <c r="X1058" s="102" t="s">
        <v>137</v>
      </c>
      <c r="Y1058" s="103" t="s">
        <v>138</v>
      </c>
      <c r="Z1058" s="103" t="s">
        <v>139</v>
      </c>
      <c r="AA1058" s="103" t="s">
        <v>47</v>
      </c>
      <c r="AB1058" s="103" t="s">
        <v>140</v>
      </c>
      <c r="AC1058" s="104" t="s">
        <v>141</v>
      </c>
    </row>
    <row r="1059" spans="1:29" ht="25.5" customHeight="1" x14ac:dyDescent="0.35">
      <c r="A1059" s="188"/>
      <c r="B1059" s="190"/>
      <c r="C1059" s="99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0"/>
      <c r="E1059" s="78" t="str">
        <f>IF(C1059="","",IFERROR(VLOOKUP(C1059,parametros!$A$11:$E$15,5,0),""))</f>
        <v/>
      </c>
      <c r="F1059" s="79" t="str">
        <f t="shared" si="82"/>
        <v/>
      </c>
      <c r="G1059" s="101"/>
      <c r="H1059" s="91">
        <f t="shared" si="83"/>
        <v>0</v>
      </c>
      <c r="I1059" s="91" t="str">
        <f t="shared" si="84"/>
        <v/>
      </c>
      <c r="J1059" s="91" t="str">
        <f t="shared" si="85"/>
        <v/>
      </c>
      <c r="K1059" s="92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2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58"/>
      <c r="U1059" s="217" t="str">
        <f t="shared" si="86"/>
        <v/>
      </c>
      <c r="V1059" s="215" t="s">
        <v>47</v>
      </c>
      <c r="W1059" s="102" t="s">
        <v>136</v>
      </c>
      <c r="X1059" s="102" t="s">
        <v>137</v>
      </c>
      <c r="Y1059" s="103" t="s">
        <v>138</v>
      </c>
      <c r="Z1059" s="103" t="s">
        <v>139</v>
      </c>
      <c r="AA1059" s="103" t="s">
        <v>47</v>
      </c>
      <c r="AB1059" s="103" t="s">
        <v>140</v>
      </c>
      <c r="AC1059" s="104" t="s">
        <v>141</v>
      </c>
    </row>
    <row r="1060" spans="1:29" ht="25.5" customHeight="1" x14ac:dyDescent="0.35">
      <c r="A1060" s="188"/>
      <c r="B1060" s="190"/>
      <c r="C1060" s="99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0"/>
      <c r="E1060" s="78" t="str">
        <f>IF(C1060="","",IFERROR(VLOOKUP(C1060,parametros!$A$11:$E$15,5,0),""))</f>
        <v/>
      </c>
      <c r="F1060" s="79" t="str">
        <f t="shared" si="82"/>
        <v/>
      </c>
      <c r="G1060" s="101"/>
      <c r="H1060" s="91">
        <f t="shared" si="83"/>
        <v>0</v>
      </c>
      <c r="I1060" s="91" t="str">
        <f t="shared" si="84"/>
        <v/>
      </c>
      <c r="J1060" s="91" t="str">
        <f t="shared" si="85"/>
        <v/>
      </c>
      <c r="K1060" s="92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2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58"/>
      <c r="U1060" s="217" t="str">
        <f t="shared" si="86"/>
        <v/>
      </c>
      <c r="V1060" s="215" t="s">
        <v>47</v>
      </c>
      <c r="W1060" s="102" t="s">
        <v>136</v>
      </c>
      <c r="X1060" s="102" t="s">
        <v>137</v>
      </c>
      <c r="Y1060" s="103" t="s">
        <v>138</v>
      </c>
      <c r="Z1060" s="103" t="s">
        <v>139</v>
      </c>
      <c r="AA1060" s="103" t="s">
        <v>47</v>
      </c>
      <c r="AB1060" s="103" t="s">
        <v>140</v>
      </c>
      <c r="AC1060" s="104" t="s">
        <v>141</v>
      </c>
    </row>
    <row r="1061" spans="1:29" ht="25.5" customHeight="1" x14ac:dyDescent="0.35">
      <c r="A1061" s="188"/>
      <c r="B1061" s="190"/>
      <c r="C1061" s="99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0"/>
      <c r="E1061" s="78" t="str">
        <f>IF(C1061="","",IFERROR(VLOOKUP(C1061,parametros!$A$11:$E$15,5,0),""))</f>
        <v/>
      </c>
      <c r="F1061" s="79" t="str">
        <f t="shared" si="82"/>
        <v/>
      </c>
      <c r="G1061" s="101"/>
      <c r="H1061" s="91">
        <f t="shared" si="83"/>
        <v>0</v>
      </c>
      <c r="I1061" s="91" t="str">
        <f t="shared" si="84"/>
        <v/>
      </c>
      <c r="J1061" s="91" t="str">
        <f t="shared" si="85"/>
        <v/>
      </c>
      <c r="K1061" s="92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2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58"/>
      <c r="U1061" s="217" t="str">
        <f t="shared" si="86"/>
        <v/>
      </c>
      <c r="V1061" s="215" t="s">
        <v>47</v>
      </c>
      <c r="W1061" s="102" t="s">
        <v>136</v>
      </c>
      <c r="X1061" s="102" t="s">
        <v>137</v>
      </c>
      <c r="Y1061" s="103" t="s">
        <v>138</v>
      </c>
      <c r="Z1061" s="103" t="s">
        <v>139</v>
      </c>
      <c r="AA1061" s="103" t="s">
        <v>47</v>
      </c>
      <c r="AB1061" s="103" t="s">
        <v>140</v>
      </c>
      <c r="AC1061" s="104" t="s">
        <v>141</v>
      </c>
    </row>
    <row r="1062" spans="1:29" ht="25.5" customHeight="1" x14ac:dyDescent="0.35">
      <c r="A1062" s="188"/>
      <c r="B1062" s="190"/>
      <c r="C1062" s="99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0"/>
      <c r="E1062" s="78" t="str">
        <f>IF(C1062="","",IFERROR(VLOOKUP(C1062,parametros!$A$11:$E$15,5,0),""))</f>
        <v/>
      </c>
      <c r="F1062" s="79" t="str">
        <f t="shared" si="82"/>
        <v/>
      </c>
      <c r="G1062" s="101"/>
      <c r="H1062" s="91">
        <f t="shared" si="83"/>
        <v>0</v>
      </c>
      <c r="I1062" s="91" t="str">
        <f t="shared" si="84"/>
        <v/>
      </c>
      <c r="J1062" s="91" t="str">
        <f t="shared" si="85"/>
        <v/>
      </c>
      <c r="K1062" s="92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2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58"/>
      <c r="U1062" s="217" t="str">
        <f t="shared" si="86"/>
        <v/>
      </c>
      <c r="V1062" s="215" t="s">
        <v>47</v>
      </c>
      <c r="W1062" s="102" t="s">
        <v>136</v>
      </c>
      <c r="X1062" s="102" t="s">
        <v>137</v>
      </c>
      <c r="Y1062" s="103" t="s">
        <v>138</v>
      </c>
      <c r="Z1062" s="103" t="s">
        <v>139</v>
      </c>
      <c r="AA1062" s="103" t="s">
        <v>47</v>
      </c>
      <c r="AB1062" s="103" t="s">
        <v>140</v>
      </c>
      <c r="AC1062" s="104" t="s">
        <v>141</v>
      </c>
    </row>
    <row r="1063" spans="1:29" ht="25.5" customHeight="1" x14ac:dyDescent="0.35">
      <c r="A1063" s="188"/>
      <c r="B1063" s="190"/>
      <c r="C1063" s="99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0"/>
      <c r="E1063" s="78" t="str">
        <f>IF(C1063="","",IFERROR(VLOOKUP(C1063,parametros!$A$11:$E$15,5,0),""))</f>
        <v/>
      </c>
      <c r="F1063" s="79" t="str">
        <f t="shared" si="82"/>
        <v/>
      </c>
      <c r="G1063" s="101"/>
      <c r="H1063" s="91">
        <f t="shared" si="83"/>
        <v>0</v>
      </c>
      <c r="I1063" s="91" t="str">
        <f t="shared" si="84"/>
        <v/>
      </c>
      <c r="J1063" s="91" t="str">
        <f t="shared" si="85"/>
        <v/>
      </c>
      <c r="K1063" s="92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2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58"/>
      <c r="U1063" s="217" t="str">
        <f t="shared" si="86"/>
        <v/>
      </c>
      <c r="V1063" s="215" t="s">
        <v>47</v>
      </c>
      <c r="W1063" s="102" t="s">
        <v>136</v>
      </c>
      <c r="X1063" s="102" t="s">
        <v>137</v>
      </c>
      <c r="Y1063" s="103" t="s">
        <v>138</v>
      </c>
      <c r="Z1063" s="103" t="s">
        <v>139</v>
      </c>
      <c r="AA1063" s="103" t="s">
        <v>47</v>
      </c>
      <c r="AB1063" s="103" t="s">
        <v>140</v>
      </c>
      <c r="AC1063" s="104" t="s">
        <v>141</v>
      </c>
    </row>
    <row r="1064" spans="1:29" ht="25.5" customHeight="1" x14ac:dyDescent="0.35">
      <c r="A1064" s="188"/>
      <c r="B1064" s="190"/>
      <c r="C1064" s="99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0"/>
      <c r="E1064" s="78" t="str">
        <f>IF(C1064="","",IFERROR(VLOOKUP(C1064,parametros!$A$11:$E$15,5,0),""))</f>
        <v/>
      </c>
      <c r="F1064" s="79" t="str">
        <f t="shared" si="82"/>
        <v/>
      </c>
      <c r="G1064" s="101"/>
      <c r="H1064" s="91">
        <f t="shared" si="83"/>
        <v>0</v>
      </c>
      <c r="I1064" s="91" t="str">
        <f t="shared" si="84"/>
        <v/>
      </c>
      <c r="J1064" s="91" t="str">
        <f t="shared" si="85"/>
        <v/>
      </c>
      <c r="K1064" s="92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2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58"/>
      <c r="U1064" s="217" t="str">
        <f t="shared" si="86"/>
        <v/>
      </c>
      <c r="V1064" s="215" t="s">
        <v>47</v>
      </c>
      <c r="W1064" s="102" t="s">
        <v>136</v>
      </c>
      <c r="X1064" s="102" t="s">
        <v>137</v>
      </c>
      <c r="Y1064" s="103" t="s">
        <v>138</v>
      </c>
      <c r="Z1064" s="103" t="s">
        <v>139</v>
      </c>
      <c r="AA1064" s="103" t="s">
        <v>47</v>
      </c>
      <c r="AB1064" s="103" t="s">
        <v>140</v>
      </c>
      <c r="AC1064" s="104" t="s">
        <v>141</v>
      </c>
    </row>
    <row r="1065" spans="1:29" ht="25.5" customHeight="1" x14ac:dyDescent="0.35">
      <c r="A1065" s="188"/>
      <c r="B1065" s="190"/>
      <c r="C1065" s="99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0"/>
      <c r="E1065" s="78" t="str">
        <f>IF(C1065="","",IFERROR(VLOOKUP(C1065,parametros!$A$11:$E$15,5,0),""))</f>
        <v/>
      </c>
      <c r="F1065" s="79" t="str">
        <f t="shared" si="82"/>
        <v/>
      </c>
      <c r="G1065" s="101"/>
      <c r="H1065" s="91">
        <f t="shared" si="83"/>
        <v>0</v>
      </c>
      <c r="I1065" s="91" t="str">
        <f t="shared" si="84"/>
        <v/>
      </c>
      <c r="J1065" s="91" t="str">
        <f t="shared" si="85"/>
        <v/>
      </c>
      <c r="K1065" s="92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2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58"/>
      <c r="U1065" s="217" t="str">
        <f t="shared" si="86"/>
        <v/>
      </c>
      <c r="V1065" s="215" t="s">
        <v>47</v>
      </c>
      <c r="W1065" s="102" t="s">
        <v>136</v>
      </c>
      <c r="X1065" s="102" t="s">
        <v>137</v>
      </c>
      <c r="Y1065" s="103" t="s">
        <v>138</v>
      </c>
      <c r="Z1065" s="103" t="s">
        <v>139</v>
      </c>
      <c r="AA1065" s="103" t="s">
        <v>47</v>
      </c>
      <c r="AB1065" s="103" t="s">
        <v>140</v>
      </c>
      <c r="AC1065" s="104" t="s">
        <v>141</v>
      </c>
    </row>
    <row r="1066" spans="1:29" ht="25.5" customHeight="1" x14ac:dyDescent="0.35">
      <c r="A1066" s="188"/>
      <c r="B1066" s="190"/>
      <c r="C1066" s="99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0"/>
      <c r="E1066" s="78" t="str">
        <f>IF(C1066="","",IFERROR(VLOOKUP(C1066,parametros!$A$11:$E$15,5,0),""))</f>
        <v/>
      </c>
      <c r="F1066" s="79" t="str">
        <f t="shared" si="82"/>
        <v/>
      </c>
      <c r="G1066" s="101"/>
      <c r="H1066" s="91">
        <f t="shared" si="83"/>
        <v>0</v>
      </c>
      <c r="I1066" s="91" t="str">
        <f t="shared" si="84"/>
        <v/>
      </c>
      <c r="J1066" s="91" t="str">
        <f t="shared" si="85"/>
        <v/>
      </c>
      <c r="K1066" s="92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2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58"/>
      <c r="U1066" s="217" t="str">
        <f t="shared" si="86"/>
        <v/>
      </c>
      <c r="V1066" s="215" t="s">
        <v>47</v>
      </c>
      <c r="W1066" s="102" t="s">
        <v>136</v>
      </c>
      <c r="X1066" s="102" t="s">
        <v>137</v>
      </c>
      <c r="Y1066" s="103" t="s">
        <v>138</v>
      </c>
      <c r="Z1066" s="103" t="s">
        <v>139</v>
      </c>
      <c r="AA1066" s="103" t="s">
        <v>47</v>
      </c>
      <c r="AB1066" s="103" t="s">
        <v>140</v>
      </c>
      <c r="AC1066" s="104" t="s">
        <v>141</v>
      </c>
    </row>
    <row r="1067" spans="1:29" ht="25.5" customHeight="1" x14ac:dyDescent="0.35">
      <c r="A1067" s="188"/>
      <c r="B1067" s="190"/>
      <c r="C1067" s="99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0"/>
      <c r="E1067" s="78" t="str">
        <f>IF(C1067="","",IFERROR(VLOOKUP(C1067,parametros!$A$11:$E$15,5,0),""))</f>
        <v/>
      </c>
      <c r="F1067" s="79" t="str">
        <f t="shared" si="82"/>
        <v/>
      </c>
      <c r="G1067" s="101"/>
      <c r="H1067" s="91">
        <f t="shared" si="83"/>
        <v>0</v>
      </c>
      <c r="I1067" s="91" t="str">
        <f t="shared" si="84"/>
        <v/>
      </c>
      <c r="J1067" s="91" t="str">
        <f t="shared" si="85"/>
        <v/>
      </c>
      <c r="K1067" s="92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2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58"/>
      <c r="U1067" s="217" t="str">
        <f t="shared" si="86"/>
        <v/>
      </c>
      <c r="V1067" s="215" t="s">
        <v>47</v>
      </c>
      <c r="W1067" s="102" t="s">
        <v>136</v>
      </c>
      <c r="X1067" s="102" t="s">
        <v>137</v>
      </c>
      <c r="Y1067" s="103" t="s">
        <v>138</v>
      </c>
      <c r="Z1067" s="103" t="s">
        <v>139</v>
      </c>
      <c r="AA1067" s="103" t="s">
        <v>47</v>
      </c>
      <c r="AB1067" s="103" t="s">
        <v>140</v>
      </c>
      <c r="AC1067" s="104" t="s">
        <v>141</v>
      </c>
    </row>
    <row r="1068" spans="1:29" ht="25.5" customHeight="1" x14ac:dyDescent="0.35">
      <c r="A1068" s="188"/>
      <c r="B1068" s="190"/>
      <c r="C1068" s="99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0"/>
      <c r="E1068" s="78" t="str">
        <f>IF(C1068="","",IFERROR(VLOOKUP(C1068,parametros!$A$11:$E$15,5,0),""))</f>
        <v/>
      </c>
      <c r="F1068" s="79" t="str">
        <f t="shared" si="82"/>
        <v/>
      </c>
      <c r="G1068" s="101"/>
      <c r="H1068" s="91">
        <f t="shared" si="83"/>
        <v>0</v>
      </c>
      <c r="I1068" s="91" t="str">
        <f t="shared" si="84"/>
        <v/>
      </c>
      <c r="J1068" s="91" t="str">
        <f t="shared" si="85"/>
        <v/>
      </c>
      <c r="K1068" s="92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2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58"/>
      <c r="U1068" s="217" t="str">
        <f t="shared" si="86"/>
        <v/>
      </c>
      <c r="V1068" s="215" t="s">
        <v>47</v>
      </c>
      <c r="W1068" s="102" t="s">
        <v>136</v>
      </c>
      <c r="X1068" s="102" t="s">
        <v>137</v>
      </c>
      <c r="Y1068" s="103" t="s">
        <v>138</v>
      </c>
      <c r="Z1068" s="103" t="s">
        <v>139</v>
      </c>
      <c r="AA1068" s="103" t="s">
        <v>47</v>
      </c>
      <c r="AB1068" s="103" t="s">
        <v>140</v>
      </c>
      <c r="AC1068" s="104" t="s">
        <v>141</v>
      </c>
    </row>
    <row r="1069" spans="1:29" ht="25.5" customHeight="1" x14ac:dyDescent="0.35">
      <c r="A1069" s="188"/>
      <c r="B1069" s="190"/>
      <c r="C1069" s="99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0"/>
      <c r="E1069" s="78" t="str">
        <f>IF(C1069="","",IFERROR(VLOOKUP(C1069,parametros!$A$11:$E$15,5,0),""))</f>
        <v/>
      </c>
      <c r="F1069" s="79" t="str">
        <f t="shared" si="82"/>
        <v/>
      </c>
      <c r="G1069" s="101"/>
      <c r="H1069" s="91">
        <f t="shared" si="83"/>
        <v>0</v>
      </c>
      <c r="I1069" s="91" t="str">
        <f t="shared" si="84"/>
        <v/>
      </c>
      <c r="J1069" s="91" t="str">
        <f t="shared" si="85"/>
        <v/>
      </c>
      <c r="K1069" s="92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2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58"/>
      <c r="U1069" s="217" t="str">
        <f t="shared" si="86"/>
        <v/>
      </c>
      <c r="V1069" s="215" t="s">
        <v>47</v>
      </c>
      <c r="W1069" s="102" t="s">
        <v>136</v>
      </c>
      <c r="X1069" s="102" t="s">
        <v>137</v>
      </c>
      <c r="Y1069" s="103" t="s">
        <v>138</v>
      </c>
      <c r="Z1069" s="103" t="s">
        <v>139</v>
      </c>
      <c r="AA1069" s="103" t="s">
        <v>47</v>
      </c>
      <c r="AB1069" s="103" t="s">
        <v>140</v>
      </c>
      <c r="AC1069" s="104" t="s">
        <v>141</v>
      </c>
    </row>
    <row r="1070" spans="1:29" ht="25.5" customHeight="1" x14ac:dyDescent="0.35">
      <c r="A1070" s="188"/>
      <c r="B1070" s="190"/>
      <c r="C1070" s="99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0"/>
      <c r="E1070" s="78" t="str">
        <f>IF(C1070="","",IFERROR(VLOOKUP(C1070,parametros!$A$11:$E$15,5,0),""))</f>
        <v/>
      </c>
      <c r="F1070" s="79" t="str">
        <f t="shared" si="82"/>
        <v/>
      </c>
      <c r="G1070" s="101"/>
      <c r="H1070" s="91">
        <f t="shared" si="83"/>
        <v>0</v>
      </c>
      <c r="I1070" s="91" t="str">
        <f t="shared" si="84"/>
        <v/>
      </c>
      <c r="J1070" s="91" t="str">
        <f t="shared" si="85"/>
        <v/>
      </c>
      <c r="K1070" s="92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2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58"/>
      <c r="U1070" s="217" t="str">
        <f t="shared" si="86"/>
        <v/>
      </c>
      <c r="V1070" s="215" t="s">
        <v>47</v>
      </c>
      <c r="W1070" s="102" t="s">
        <v>136</v>
      </c>
      <c r="X1070" s="102" t="s">
        <v>137</v>
      </c>
      <c r="Y1070" s="103" t="s">
        <v>138</v>
      </c>
      <c r="Z1070" s="103" t="s">
        <v>139</v>
      </c>
      <c r="AA1070" s="103" t="s">
        <v>47</v>
      </c>
      <c r="AB1070" s="103" t="s">
        <v>140</v>
      </c>
      <c r="AC1070" s="104" t="s">
        <v>141</v>
      </c>
    </row>
    <row r="1071" spans="1:29" ht="25.5" customHeight="1" x14ac:dyDescent="0.35">
      <c r="A1071" s="188"/>
      <c r="B1071" s="190"/>
      <c r="C1071" s="99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0"/>
      <c r="E1071" s="78" t="str">
        <f>IF(C1071="","",IFERROR(VLOOKUP(C1071,parametros!$A$11:$E$15,5,0),""))</f>
        <v/>
      </c>
      <c r="F1071" s="79" t="str">
        <f t="shared" si="82"/>
        <v/>
      </c>
      <c r="G1071" s="101"/>
      <c r="H1071" s="91">
        <f t="shared" si="83"/>
        <v>0</v>
      </c>
      <c r="I1071" s="91" t="str">
        <f t="shared" si="84"/>
        <v/>
      </c>
      <c r="J1071" s="91" t="str">
        <f t="shared" si="85"/>
        <v/>
      </c>
      <c r="K1071" s="92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2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58"/>
      <c r="U1071" s="217" t="str">
        <f t="shared" si="86"/>
        <v/>
      </c>
      <c r="V1071" s="215" t="s">
        <v>47</v>
      </c>
      <c r="W1071" s="102" t="s">
        <v>136</v>
      </c>
      <c r="X1071" s="102" t="s">
        <v>137</v>
      </c>
      <c r="Y1071" s="103" t="s">
        <v>138</v>
      </c>
      <c r="Z1071" s="103" t="s">
        <v>139</v>
      </c>
      <c r="AA1071" s="103" t="s">
        <v>47</v>
      </c>
      <c r="AB1071" s="103" t="s">
        <v>140</v>
      </c>
      <c r="AC1071" s="104" t="s">
        <v>141</v>
      </c>
    </row>
    <row r="1072" spans="1:29" ht="25.5" customHeight="1" x14ac:dyDescent="0.35">
      <c r="A1072" s="188"/>
      <c r="B1072" s="190"/>
      <c r="C1072" s="99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0"/>
      <c r="E1072" s="78" t="str">
        <f>IF(C1072="","",IFERROR(VLOOKUP(C1072,parametros!$A$11:$E$15,5,0),""))</f>
        <v/>
      </c>
      <c r="F1072" s="79" t="str">
        <f t="shared" si="82"/>
        <v/>
      </c>
      <c r="G1072" s="101"/>
      <c r="H1072" s="91">
        <f t="shared" si="83"/>
        <v>0</v>
      </c>
      <c r="I1072" s="91" t="str">
        <f t="shared" si="84"/>
        <v/>
      </c>
      <c r="J1072" s="91" t="str">
        <f t="shared" si="85"/>
        <v/>
      </c>
      <c r="K1072" s="92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2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58"/>
      <c r="U1072" s="217" t="str">
        <f t="shared" si="86"/>
        <v/>
      </c>
      <c r="V1072" s="215" t="s">
        <v>47</v>
      </c>
      <c r="W1072" s="102" t="s">
        <v>136</v>
      </c>
      <c r="X1072" s="102" t="s">
        <v>137</v>
      </c>
      <c r="Y1072" s="103" t="s">
        <v>138</v>
      </c>
      <c r="Z1072" s="103" t="s">
        <v>139</v>
      </c>
      <c r="AA1072" s="103" t="s">
        <v>47</v>
      </c>
      <c r="AB1072" s="103" t="s">
        <v>140</v>
      </c>
      <c r="AC1072" s="104" t="s">
        <v>141</v>
      </c>
    </row>
    <row r="1073" spans="1:29" ht="25.5" customHeight="1" x14ac:dyDescent="0.35">
      <c r="A1073" s="188"/>
      <c r="B1073" s="190"/>
      <c r="C1073" s="99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0"/>
      <c r="E1073" s="78" t="str">
        <f>IF(C1073="","",IFERROR(VLOOKUP(C1073,parametros!$A$11:$E$15,5,0),""))</f>
        <v/>
      </c>
      <c r="F1073" s="79" t="str">
        <f t="shared" si="82"/>
        <v/>
      </c>
      <c r="G1073" s="101"/>
      <c r="H1073" s="91">
        <f t="shared" si="83"/>
        <v>0</v>
      </c>
      <c r="I1073" s="91" t="str">
        <f t="shared" si="84"/>
        <v/>
      </c>
      <c r="J1073" s="91" t="str">
        <f t="shared" si="85"/>
        <v/>
      </c>
      <c r="K1073" s="92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2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58"/>
      <c r="U1073" s="217" t="str">
        <f t="shared" si="86"/>
        <v/>
      </c>
      <c r="V1073" s="215" t="s">
        <v>47</v>
      </c>
      <c r="W1073" s="102" t="s">
        <v>136</v>
      </c>
      <c r="X1073" s="102" t="s">
        <v>137</v>
      </c>
      <c r="Y1073" s="103" t="s">
        <v>138</v>
      </c>
      <c r="Z1073" s="103" t="s">
        <v>139</v>
      </c>
      <c r="AA1073" s="103" t="s">
        <v>47</v>
      </c>
      <c r="AB1073" s="103" t="s">
        <v>140</v>
      </c>
      <c r="AC1073" s="104" t="s">
        <v>141</v>
      </c>
    </row>
    <row r="1074" spans="1:29" ht="25.5" customHeight="1" x14ac:dyDescent="0.35">
      <c r="A1074" s="188"/>
      <c r="B1074" s="190"/>
      <c r="C1074" s="99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0"/>
      <c r="E1074" s="78" t="str">
        <f>IF(C1074="","",IFERROR(VLOOKUP(C1074,parametros!$A$11:$E$15,5,0),""))</f>
        <v/>
      </c>
      <c r="F1074" s="79" t="str">
        <f t="shared" si="82"/>
        <v/>
      </c>
      <c r="G1074" s="101"/>
      <c r="H1074" s="91">
        <f t="shared" si="83"/>
        <v>0</v>
      </c>
      <c r="I1074" s="91" t="str">
        <f t="shared" si="84"/>
        <v/>
      </c>
      <c r="J1074" s="91" t="str">
        <f t="shared" si="85"/>
        <v/>
      </c>
      <c r="K1074" s="92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2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58"/>
      <c r="U1074" s="217" t="str">
        <f t="shared" si="86"/>
        <v/>
      </c>
      <c r="V1074" s="215" t="s">
        <v>47</v>
      </c>
      <c r="W1074" s="102" t="s">
        <v>136</v>
      </c>
      <c r="X1074" s="102" t="s">
        <v>137</v>
      </c>
      <c r="Y1074" s="103" t="s">
        <v>138</v>
      </c>
      <c r="Z1074" s="103" t="s">
        <v>139</v>
      </c>
      <c r="AA1074" s="103" t="s">
        <v>47</v>
      </c>
      <c r="AB1074" s="103" t="s">
        <v>140</v>
      </c>
      <c r="AC1074" s="104" t="s">
        <v>141</v>
      </c>
    </row>
    <row r="1075" spans="1:29" ht="25.5" customHeight="1" x14ac:dyDescent="0.35">
      <c r="A1075" s="188"/>
      <c r="B1075" s="190"/>
      <c r="C1075" s="99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0"/>
      <c r="E1075" s="78" t="str">
        <f>IF(C1075="","",IFERROR(VLOOKUP(C1075,parametros!$A$11:$E$15,5,0),""))</f>
        <v/>
      </c>
      <c r="F1075" s="79" t="str">
        <f t="shared" si="82"/>
        <v/>
      </c>
      <c r="G1075" s="101"/>
      <c r="H1075" s="91">
        <f t="shared" si="83"/>
        <v>0</v>
      </c>
      <c r="I1075" s="91" t="str">
        <f t="shared" si="84"/>
        <v/>
      </c>
      <c r="J1075" s="91" t="str">
        <f t="shared" si="85"/>
        <v/>
      </c>
      <c r="K1075" s="92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2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58"/>
      <c r="U1075" s="217" t="str">
        <f t="shared" si="86"/>
        <v/>
      </c>
      <c r="V1075" s="215" t="s">
        <v>47</v>
      </c>
      <c r="W1075" s="102" t="s">
        <v>136</v>
      </c>
      <c r="X1075" s="102" t="s">
        <v>137</v>
      </c>
      <c r="Y1075" s="103" t="s">
        <v>138</v>
      </c>
      <c r="Z1075" s="103" t="s">
        <v>139</v>
      </c>
      <c r="AA1075" s="103" t="s">
        <v>47</v>
      </c>
      <c r="AB1075" s="103" t="s">
        <v>140</v>
      </c>
      <c r="AC1075" s="104" t="s">
        <v>141</v>
      </c>
    </row>
    <row r="1076" spans="1:29" ht="25.5" customHeight="1" x14ac:dyDescent="0.35">
      <c r="A1076" s="188"/>
      <c r="B1076" s="190"/>
      <c r="C1076" s="99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0"/>
      <c r="E1076" s="78" t="str">
        <f>IF(C1076="","",IFERROR(VLOOKUP(C1076,parametros!$A$11:$E$15,5,0),""))</f>
        <v/>
      </c>
      <c r="F1076" s="79" t="str">
        <f t="shared" si="82"/>
        <v/>
      </c>
      <c r="G1076" s="101"/>
      <c r="H1076" s="91">
        <f t="shared" si="83"/>
        <v>0</v>
      </c>
      <c r="I1076" s="91" t="str">
        <f t="shared" si="84"/>
        <v/>
      </c>
      <c r="J1076" s="91" t="str">
        <f t="shared" si="85"/>
        <v/>
      </c>
      <c r="K1076" s="92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2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58"/>
      <c r="U1076" s="217" t="str">
        <f t="shared" si="86"/>
        <v/>
      </c>
      <c r="V1076" s="215" t="s">
        <v>47</v>
      </c>
      <c r="W1076" s="102" t="s">
        <v>136</v>
      </c>
      <c r="X1076" s="102" t="s">
        <v>137</v>
      </c>
      <c r="Y1076" s="103" t="s">
        <v>138</v>
      </c>
      <c r="Z1076" s="103" t="s">
        <v>139</v>
      </c>
      <c r="AA1076" s="103" t="s">
        <v>47</v>
      </c>
      <c r="AB1076" s="103" t="s">
        <v>140</v>
      </c>
      <c r="AC1076" s="104" t="s">
        <v>141</v>
      </c>
    </row>
    <row r="1077" spans="1:29" ht="25.5" customHeight="1" x14ac:dyDescent="0.35">
      <c r="A1077" s="188"/>
      <c r="B1077" s="190"/>
      <c r="C1077" s="99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0"/>
      <c r="E1077" s="78" t="str">
        <f>IF(C1077="","",IFERROR(VLOOKUP(C1077,parametros!$A$11:$E$15,5,0),""))</f>
        <v/>
      </c>
      <c r="F1077" s="79" t="str">
        <f t="shared" si="82"/>
        <v/>
      </c>
      <c r="G1077" s="101"/>
      <c r="H1077" s="91">
        <f t="shared" si="83"/>
        <v>0</v>
      </c>
      <c r="I1077" s="91" t="str">
        <f t="shared" si="84"/>
        <v/>
      </c>
      <c r="J1077" s="91" t="str">
        <f t="shared" si="85"/>
        <v/>
      </c>
      <c r="K1077" s="92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2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58"/>
      <c r="U1077" s="217" t="str">
        <f t="shared" si="86"/>
        <v/>
      </c>
      <c r="V1077" s="215" t="s">
        <v>47</v>
      </c>
      <c r="W1077" s="102" t="s">
        <v>136</v>
      </c>
      <c r="X1077" s="102" t="s">
        <v>137</v>
      </c>
      <c r="Y1077" s="103" t="s">
        <v>138</v>
      </c>
      <c r="Z1077" s="103" t="s">
        <v>139</v>
      </c>
      <c r="AA1077" s="103" t="s">
        <v>47</v>
      </c>
      <c r="AB1077" s="103" t="s">
        <v>140</v>
      </c>
      <c r="AC1077" s="104" t="s">
        <v>141</v>
      </c>
    </row>
    <row r="1078" spans="1:29" ht="25.5" customHeight="1" x14ac:dyDescent="0.35">
      <c r="A1078" s="188"/>
      <c r="B1078" s="190"/>
      <c r="C1078" s="99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0"/>
      <c r="E1078" s="78" t="str">
        <f>IF(C1078="","",IFERROR(VLOOKUP(C1078,parametros!$A$11:$E$15,5,0),""))</f>
        <v/>
      </c>
      <c r="F1078" s="79" t="str">
        <f t="shared" si="82"/>
        <v/>
      </c>
      <c r="G1078" s="101"/>
      <c r="H1078" s="91">
        <f t="shared" si="83"/>
        <v>0</v>
      </c>
      <c r="I1078" s="91" t="str">
        <f t="shared" si="84"/>
        <v/>
      </c>
      <c r="J1078" s="91" t="str">
        <f t="shared" si="85"/>
        <v/>
      </c>
      <c r="K1078" s="92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2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58"/>
      <c r="U1078" s="217" t="str">
        <f t="shared" si="86"/>
        <v/>
      </c>
      <c r="V1078" s="215" t="s">
        <v>47</v>
      </c>
      <c r="W1078" s="102" t="s">
        <v>136</v>
      </c>
      <c r="X1078" s="102" t="s">
        <v>137</v>
      </c>
      <c r="Y1078" s="103" t="s">
        <v>138</v>
      </c>
      <c r="Z1078" s="103" t="s">
        <v>139</v>
      </c>
      <c r="AA1078" s="103" t="s">
        <v>47</v>
      </c>
      <c r="AB1078" s="103" t="s">
        <v>140</v>
      </c>
      <c r="AC1078" s="104" t="s">
        <v>141</v>
      </c>
    </row>
    <row r="1079" spans="1:29" ht="25.5" customHeight="1" x14ac:dyDescent="0.35">
      <c r="A1079" s="188"/>
      <c r="B1079" s="190"/>
      <c r="C1079" s="99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0"/>
      <c r="E1079" s="78" t="str">
        <f>IF(C1079="","",IFERROR(VLOOKUP(C1079,parametros!$A$11:$E$15,5,0),""))</f>
        <v/>
      </c>
      <c r="F1079" s="79" t="str">
        <f t="shared" si="82"/>
        <v/>
      </c>
      <c r="G1079" s="101"/>
      <c r="H1079" s="91">
        <f t="shared" si="83"/>
        <v>0</v>
      </c>
      <c r="I1079" s="91" t="str">
        <f t="shared" si="84"/>
        <v/>
      </c>
      <c r="J1079" s="91" t="str">
        <f t="shared" si="85"/>
        <v/>
      </c>
      <c r="K1079" s="92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2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58"/>
      <c r="U1079" s="217" t="str">
        <f t="shared" si="86"/>
        <v/>
      </c>
      <c r="V1079" s="215" t="s">
        <v>47</v>
      </c>
      <c r="W1079" s="102" t="s">
        <v>136</v>
      </c>
      <c r="X1079" s="102" t="s">
        <v>137</v>
      </c>
      <c r="Y1079" s="103" t="s">
        <v>138</v>
      </c>
      <c r="Z1079" s="103" t="s">
        <v>139</v>
      </c>
      <c r="AA1079" s="103" t="s">
        <v>47</v>
      </c>
      <c r="AB1079" s="103" t="s">
        <v>140</v>
      </c>
      <c r="AC1079" s="104" t="s">
        <v>141</v>
      </c>
    </row>
    <row r="1080" spans="1:29" ht="25.5" customHeight="1" x14ac:dyDescent="0.35">
      <c r="A1080" s="188"/>
      <c r="B1080" s="190"/>
      <c r="C1080" s="99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0"/>
      <c r="E1080" s="78" t="str">
        <f>IF(C1080="","",IFERROR(VLOOKUP(C1080,parametros!$A$11:$E$15,5,0),""))</f>
        <v/>
      </c>
      <c r="F1080" s="79" t="str">
        <f t="shared" si="82"/>
        <v/>
      </c>
      <c r="G1080" s="101"/>
      <c r="H1080" s="91">
        <f t="shared" si="83"/>
        <v>0</v>
      </c>
      <c r="I1080" s="91" t="str">
        <f t="shared" si="84"/>
        <v/>
      </c>
      <c r="J1080" s="91" t="str">
        <f t="shared" si="85"/>
        <v/>
      </c>
      <c r="K1080" s="92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2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58"/>
      <c r="U1080" s="217" t="str">
        <f t="shared" si="86"/>
        <v/>
      </c>
      <c r="V1080" s="215" t="s">
        <v>47</v>
      </c>
      <c r="W1080" s="102" t="s">
        <v>136</v>
      </c>
      <c r="X1080" s="102" t="s">
        <v>137</v>
      </c>
      <c r="Y1080" s="103" t="s">
        <v>138</v>
      </c>
      <c r="Z1080" s="103" t="s">
        <v>139</v>
      </c>
      <c r="AA1080" s="103" t="s">
        <v>47</v>
      </c>
      <c r="AB1080" s="103" t="s">
        <v>140</v>
      </c>
      <c r="AC1080" s="104" t="s">
        <v>141</v>
      </c>
    </row>
    <row r="1081" spans="1:29" ht="25.5" customHeight="1" x14ac:dyDescent="0.35">
      <c r="A1081" s="188"/>
      <c r="B1081" s="190"/>
      <c r="C1081" s="99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0"/>
      <c r="E1081" s="78" t="str">
        <f>IF(C1081="","",IFERROR(VLOOKUP(C1081,parametros!$A$11:$E$15,5,0),""))</f>
        <v/>
      </c>
      <c r="F1081" s="79" t="str">
        <f t="shared" si="82"/>
        <v/>
      </c>
      <c r="G1081" s="101"/>
      <c r="H1081" s="91">
        <f t="shared" si="83"/>
        <v>0</v>
      </c>
      <c r="I1081" s="91" t="str">
        <f t="shared" si="84"/>
        <v/>
      </c>
      <c r="J1081" s="91" t="str">
        <f t="shared" si="85"/>
        <v/>
      </c>
      <c r="K1081" s="92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2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58"/>
      <c r="U1081" s="217" t="str">
        <f t="shared" si="86"/>
        <v/>
      </c>
      <c r="V1081" s="215" t="s">
        <v>47</v>
      </c>
      <c r="W1081" s="102" t="s">
        <v>136</v>
      </c>
      <c r="X1081" s="102" t="s">
        <v>137</v>
      </c>
      <c r="Y1081" s="103" t="s">
        <v>138</v>
      </c>
      <c r="Z1081" s="103" t="s">
        <v>139</v>
      </c>
      <c r="AA1081" s="103" t="s">
        <v>47</v>
      </c>
      <c r="AB1081" s="103" t="s">
        <v>140</v>
      </c>
      <c r="AC1081" s="104" t="s">
        <v>141</v>
      </c>
    </row>
    <row r="1082" spans="1:29" ht="25.5" customHeight="1" x14ac:dyDescent="0.35">
      <c r="A1082" s="188"/>
      <c r="B1082" s="190"/>
      <c r="C1082" s="99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0"/>
      <c r="E1082" s="78" t="str">
        <f>IF(C1082="","",IFERROR(VLOOKUP(C1082,parametros!$A$11:$E$15,5,0),""))</f>
        <v/>
      </c>
      <c r="F1082" s="79" t="str">
        <f t="shared" si="82"/>
        <v/>
      </c>
      <c r="G1082" s="101"/>
      <c r="H1082" s="91">
        <f t="shared" si="83"/>
        <v>0</v>
      </c>
      <c r="I1082" s="91" t="str">
        <f t="shared" si="84"/>
        <v/>
      </c>
      <c r="J1082" s="91" t="str">
        <f t="shared" si="85"/>
        <v/>
      </c>
      <c r="K1082" s="92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2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58"/>
      <c r="U1082" s="217" t="str">
        <f t="shared" si="86"/>
        <v/>
      </c>
      <c r="V1082" s="215" t="s">
        <v>47</v>
      </c>
      <c r="W1082" s="102" t="s">
        <v>136</v>
      </c>
      <c r="X1082" s="102" t="s">
        <v>137</v>
      </c>
      <c r="Y1082" s="103" t="s">
        <v>138</v>
      </c>
      <c r="Z1082" s="103" t="s">
        <v>139</v>
      </c>
      <c r="AA1082" s="103" t="s">
        <v>47</v>
      </c>
      <c r="AB1082" s="103" t="s">
        <v>140</v>
      </c>
      <c r="AC1082" s="104" t="s">
        <v>141</v>
      </c>
    </row>
    <row r="1083" spans="1:29" ht="25.5" customHeight="1" x14ac:dyDescent="0.35">
      <c r="A1083" s="188"/>
      <c r="B1083" s="190"/>
      <c r="C1083" s="99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0"/>
      <c r="E1083" s="78" t="str">
        <f>IF(C1083="","",IFERROR(VLOOKUP(C1083,parametros!$A$11:$E$15,5,0),""))</f>
        <v/>
      </c>
      <c r="F1083" s="79" t="str">
        <f t="shared" si="82"/>
        <v/>
      </c>
      <c r="G1083" s="101"/>
      <c r="H1083" s="91">
        <f t="shared" si="83"/>
        <v>0</v>
      </c>
      <c r="I1083" s="91" t="str">
        <f t="shared" si="84"/>
        <v/>
      </c>
      <c r="J1083" s="91" t="str">
        <f t="shared" si="85"/>
        <v/>
      </c>
      <c r="K1083" s="92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2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58"/>
      <c r="U1083" s="217" t="str">
        <f t="shared" si="86"/>
        <v/>
      </c>
      <c r="V1083" s="215" t="s">
        <v>47</v>
      </c>
      <c r="W1083" s="102" t="s">
        <v>136</v>
      </c>
      <c r="X1083" s="102" t="s">
        <v>137</v>
      </c>
      <c r="Y1083" s="103" t="s">
        <v>138</v>
      </c>
      <c r="Z1083" s="103" t="s">
        <v>139</v>
      </c>
      <c r="AA1083" s="103" t="s">
        <v>47</v>
      </c>
      <c r="AB1083" s="103" t="s">
        <v>140</v>
      </c>
      <c r="AC1083" s="104" t="s">
        <v>141</v>
      </c>
    </row>
    <row r="1084" spans="1:29" ht="25.5" customHeight="1" x14ac:dyDescent="0.35">
      <c r="A1084" s="188"/>
      <c r="B1084" s="190"/>
      <c r="C1084" s="99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0"/>
      <c r="E1084" s="78" t="str">
        <f>IF(C1084="","",IFERROR(VLOOKUP(C1084,parametros!$A$11:$E$15,5,0),""))</f>
        <v/>
      </c>
      <c r="F1084" s="79" t="str">
        <f t="shared" si="82"/>
        <v/>
      </c>
      <c r="G1084" s="101"/>
      <c r="H1084" s="91">
        <f t="shared" si="83"/>
        <v>0</v>
      </c>
      <c r="I1084" s="91" t="str">
        <f t="shared" si="84"/>
        <v/>
      </c>
      <c r="J1084" s="91" t="str">
        <f t="shared" si="85"/>
        <v/>
      </c>
      <c r="K1084" s="92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2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58"/>
      <c r="U1084" s="217" t="str">
        <f t="shared" si="86"/>
        <v/>
      </c>
      <c r="V1084" s="215" t="s">
        <v>47</v>
      </c>
      <c r="W1084" s="102" t="s">
        <v>136</v>
      </c>
      <c r="X1084" s="102" t="s">
        <v>137</v>
      </c>
      <c r="Y1084" s="103" t="s">
        <v>138</v>
      </c>
      <c r="Z1084" s="103" t="s">
        <v>139</v>
      </c>
      <c r="AA1084" s="103" t="s">
        <v>47</v>
      </c>
      <c r="AB1084" s="103" t="s">
        <v>140</v>
      </c>
      <c r="AC1084" s="104" t="s">
        <v>141</v>
      </c>
    </row>
    <row r="1085" spans="1:29" ht="25.5" customHeight="1" x14ac:dyDescent="0.35">
      <c r="A1085" s="188"/>
      <c r="B1085" s="190"/>
      <c r="C1085" s="99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0"/>
      <c r="E1085" s="78" t="str">
        <f>IF(C1085="","",IFERROR(VLOOKUP(C1085,parametros!$A$11:$E$15,5,0),""))</f>
        <v/>
      </c>
      <c r="F1085" s="79" t="str">
        <f t="shared" si="82"/>
        <v/>
      </c>
      <c r="G1085" s="101"/>
      <c r="H1085" s="91">
        <f t="shared" si="83"/>
        <v>0</v>
      </c>
      <c r="I1085" s="91" t="str">
        <f t="shared" si="84"/>
        <v/>
      </c>
      <c r="J1085" s="91" t="str">
        <f t="shared" si="85"/>
        <v/>
      </c>
      <c r="K1085" s="92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2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58"/>
      <c r="U1085" s="217" t="str">
        <f t="shared" si="86"/>
        <v/>
      </c>
      <c r="V1085" s="215" t="s">
        <v>47</v>
      </c>
      <c r="W1085" s="102" t="s">
        <v>136</v>
      </c>
      <c r="X1085" s="102" t="s">
        <v>137</v>
      </c>
      <c r="Y1085" s="103" t="s">
        <v>138</v>
      </c>
      <c r="Z1085" s="103" t="s">
        <v>139</v>
      </c>
      <c r="AA1085" s="103" t="s">
        <v>47</v>
      </c>
      <c r="AB1085" s="103" t="s">
        <v>140</v>
      </c>
      <c r="AC1085" s="104" t="s">
        <v>141</v>
      </c>
    </row>
    <row r="1086" spans="1:29" ht="25.5" customHeight="1" x14ac:dyDescent="0.35">
      <c r="A1086" s="188"/>
      <c r="B1086" s="190"/>
      <c r="C1086" s="99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0"/>
      <c r="E1086" s="78" t="str">
        <f>IF(C1086="","",IFERROR(VLOOKUP(C1086,parametros!$A$11:$E$15,5,0),""))</f>
        <v/>
      </c>
      <c r="F1086" s="79" t="str">
        <f t="shared" si="82"/>
        <v/>
      </c>
      <c r="G1086" s="101"/>
      <c r="H1086" s="91">
        <f t="shared" si="83"/>
        <v>0</v>
      </c>
      <c r="I1086" s="91" t="str">
        <f t="shared" si="84"/>
        <v/>
      </c>
      <c r="J1086" s="91" t="str">
        <f t="shared" si="85"/>
        <v/>
      </c>
      <c r="K1086" s="92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2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58"/>
      <c r="U1086" s="217" t="str">
        <f t="shared" si="86"/>
        <v/>
      </c>
      <c r="V1086" s="215" t="s">
        <v>47</v>
      </c>
      <c r="W1086" s="102" t="s">
        <v>136</v>
      </c>
      <c r="X1086" s="102" t="s">
        <v>137</v>
      </c>
      <c r="Y1086" s="103" t="s">
        <v>138</v>
      </c>
      <c r="Z1086" s="103" t="s">
        <v>139</v>
      </c>
      <c r="AA1086" s="103" t="s">
        <v>47</v>
      </c>
      <c r="AB1086" s="103" t="s">
        <v>140</v>
      </c>
      <c r="AC1086" s="104" t="s">
        <v>141</v>
      </c>
    </row>
    <row r="1087" spans="1:29" ht="25.5" customHeight="1" x14ac:dyDescent="0.35">
      <c r="A1087" s="188"/>
      <c r="B1087" s="190"/>
      <c r="C1087" s="99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0"/>
      <c r="E1087" s="78" t="str">
        <f>IF(C1087="","",IFERROR(VLOOKUP(C1087,parametros!$A$11:$E$15,5,0),""))</f>
        <v/>
      </c>
      <c r="F1087" s="79" t="str">
        <f t="shared" si="82"/>
        <v/>
      </c>
      <c r="G1087" s="101"/>
      <c r="H1087" s="91">
        <f t="shared" si="83"/>
        <v>0</v>
      </c>
      <c r="I1087" s="91" t="str">
        <f t="shared" si="84"/>
        <v/>
      </c>
      <c r="J1087" s="91" t="str">
        <f t="shared" si="85"/>
        <v/>
      </c>
      <c r="K1087" s="92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2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58"/>
      <c r="U1087" s="217" t="str">
        <f t="shared" si="86"/>
        <v/>
      </c>
      <c r="V1087" s="215" t="s">
        <v>47</v>
      </c>
      <c r="W1087" s="102" t="s">
        <v>136</v>
      </c>
      <c r="X1087" s="102" t="s">
        <v>137</v>
      </c>
      <c r="Y1087" s="103" t="s">
        <v>138</v>
      </c>
      <c r="Z1087" s="103" t="s">
        <v>139</v>
      </c>
      <c r="AA1087" s="103" t="s">
        <v>47</v>
      </c>
      <c r="AB1087" s="103" t="s">
        <v>140</v>
      </c>
      <c r="AC1087" s="104" t="s">
        <v>141</v>
      </c>
    </row>
    <row r="1088" spans="1:29" ht="25.5" customHeight="1" x14ac:dyDescent="0.35">
      <c r="A1088" s="188"/>
      <c r="B1088" s="190"/>
      <c r="C1088" s="99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0"/>
      <c r="E1088" s="78" t="str">
        <f>IF(C1088="","",IFERROR(VLOOKUP(C1088,parametros!$A$11:$E$15,5,0),""))</f>
        <v/>
      </c>
      <c r="F1088" s="79" t="str">
        <f t="shared" si="82"/>
        <v/>
      </c>
      <c r="G1088" s="101"/>
      <c r="H1088" s="91">
        <f t="shared" si="83"/>
        <v>0</v>
      </c>
      <c r="I1088" s="91" t="str">
        <f t="shared" si="84"/>
        <v/>
      </c>
      <c r="J1088" s="91" t="str">
        <f t="shared" si="85"/>
        <v/>
      </c>
      <c r="K1088" s="92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2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58"/>
      <c r="U1088" s="217" t="str">
        <f t="shared" si="86"/>
        <v/>
      </c>
      <c r="V1088" s="215" t="s">
        <v>47</v>
      </c>
      <c r="W1088" s="102" t="s">
        <v>136</v>
      </c>
      <c r="X1088" s="102" t="s">
        <v>137</v>
      </c>
      <c r="Y1088" s="103" t="s">
        <v>138</v>
      </c>
      <c r="Z1088" s="103" t="s">
        <v>139</v>
      </c>
      <c r="AA1088" s="103" t="s">
        <v>47</v>
      </c>
      <c r="AB1088" s="103" t="s">
        <v>140</v>
      </c>
      <c r="AC1088" s="104" t="s">
        <v>141</v>
      </c>
    </row>
    <row r="1089" spans="1:29" ht="25.5" customHeight="1" x14ac:dyDescent="0.35">
      <c r="A1089" s="188"/>
      <c r="B1089" s="190"/>
      <c r="C1089" s="99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0"/>
      <c r="E1089" s="78" t="str">
        <f>IF(C1089="","",IFERROR(VLOOKUP(C1089,parametros!$A$11:$E$15,5,0),""))</f>
        <v/>
      </c>
      <c r="F1089" s="79" t="str">
        <f t="shared" si="82"/>
        <v/>
      </c>
      <c r="G1089" s="101"/>
      <c r="H1089" s="91">
        <f t="shared" si="83"/>
        <v>0</v>
      </c>
      <c r="I1089" s="91" t="str">
        <f t="shared" si="84"/>
        <v/>
      </c>
      <c r="J1089" s="91" t="str">
        <f t="shared" si="85"/>
        <v/>
      </c>
      <c r="K1089" s="92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2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58"/>
      <c r="U1089" s="217" t="str">
        <f t="shared" si="86"/>
        <v/>
      </c>
      <c r="V1089" s="215" t="s">
        <v>47</v>
      </c>
      <c r="W1089" s="102" t="s">
        <v>136</v>
      </c>
      <c r="X1089" s="102" t="s">
        <v>137</v>
      </c>
      <c r="Y1089" s="103" t="s">
        <v>138</v>
      </c>
      <c r="Z1089" s="103" t="s">
        <v>139</v>
      </c>
      <c r="AA1089" s="103" t="s">
        <v>47</v>
      </c>
      <c r="AB1089" s="103" t="s">
        <v>140</v>
      </c>
      <c r="AC1089" s="104" t="s">
        <v>141</v>
      </c>
    </row>
    <row r="1090" spans="1:29" ht="25.5" customHeight="1" x14ac:dyDescent="0.35">
      <c r="A1090" s="188"/>
      <c r="B1090" s="190"/>
      <c r="C1090" s="99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0"/>
      <c r="E1090" s="78" t="str">
        <f>IF(C1090="","",IFERROR(VLOOKUP(C1090,parametros!$A$11:$E$15,5,0),""))</f>
        <v/>
      </c>
      <c r="F1090" s="79" t="str">
        <f t="shared" ref="F1090:F1153" si="87">IF(OR(D1090="",E1090=""),"",ROUND(D1090*E1090,2))</f>
        <v/>
      </c>
      <c r="G1090" s="101"/>
      <c r="H1090" s="91">
        <f t="shared" ref="H1090:H1153" si="88">IF(G1090="Sim",IF(OR(F1090="",D1090="",L1090=""),"",IF(L1090="Sim",ROUND(F1090-D1090,2),0)),0)</f>
        <v>0</v>
      </c>
      <c r="I1090" s="91" t="str">
        <f t="shared" ref="I1090:I1153" si="89">IF(G1090="Sim",0,IF(OR(F1090="",L1090=""),"",F1090))</f>
        <v/>
      </c>
      <c r="J1090" s="91" t="str">
        <f t="shared" ref="J1090:J1153" si="90">IF(G1090="Sim",0,IF(OR(F1090="",D1090="",L1090=""),"",IF(L1090="Sim",ROUND(F1090-D1090,2),0)))</f>
        <v/>
      </c>
      <c r="K1090" s="92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2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58"/>
      <c r="U1090" s="217" t="str">
        <f t="shared" ref="U1090:U1153" si="91">IF(OR($D1090="",$H1090=""),"",ROUND($D1090+$H1090,2))</f>
        <v/>
      </c>
      <c r="V1090" s="215" t="s">
        <v>47</v>
      </c>
      <c r="W1090" s="102" t="s">
        <v>136</v>
      </c>
      <c r="X1090" s="102" t="s">
        <v>137</v>
      </c>
      <c r="Y1090" s="103" t="s">
        <v>138</v>
      </c>
      <c r="Z1090" s="103" t="s">
        <v>139</v>
      </c>
      <c r="AA1090" s="103" t="s">
        <v>47</v>
      </c>
      <c r="AB1090" s="103" t="s">
        <v>140</v>
      </c>
      <c r="AC1090" s="104" t="s">
        <v>141</v>
      </c>
    </row>
    <row r="1091" spans="1:29" ht="25.5" customHeight="1" x14ac:dyDescent="0.35">
      <c r="A1091" s="188"/>
      <c r="B1091" s="190"/>
      <c r="C1091" s="99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0"/>
      <c r="E1091" s="78" t="str">
        <f>IF(C1091="","",IFERROR(VLOOKUP(C1091,parametros!$A$11:$E$15,5,0),""))</f>
        <v/>
      </c>
      <c r="F1091" s="79" t="str">
        <f t="shared" si="87"/>
        <v/>
      </c>
      <c r="G1091" s="101"/>
      <c r="H1091" s="91">
        <f t="shared" si="88"/>
        <v>0</v>
      </c>
      <c r="I1091" s="91" t="str">
        <f t="shared" si="89"/>
        <v/>
      </c>
      <c r="J1091" s="91" t="str">
        <f t="shared" si="90"/>
        <v/>
      </c>
      <c r="K1091" s="92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2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58"/>
      <c r="U1091" s="217" t="str">
        <f t="shared" si="91"/>
        <v/>
      </c>
      <c r="V1091" s="215" t="s">
        <v>47</v>
      </c>
      <c r="W1091" s="102" t="s">
        <v>136</v>
      </c>
      <c r="X1091" s="102" t="s">
        <v>137</v>
      </c>
      <c r="Y1091" s="103" t="s">
        <v>138</v>
      </c>
      <c r="Z1091" s="103" t="s">
        <v>139</v>
      </c>
      <c r="AA1091" s="103" t="s">
        <v>47</v>
      </c>
      <c r="AB1091" s="103" t="s">
        <v>140</v>
      </c>
      <c r="AC1091" s="104" t="s">
        <v>141</v>
      </c>
    </row>
    <row r="1092" spans="1:29" ht="25.5" customHeight="1" x14ac:dyDescent="0.35">
      <c r="A1092" s="188"/>
      <c r="B1092" s="190"/>
      <c r="C1092" s="99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0"/>
      <c r="E1092" s="78" t="str">
        <f>IF(C1092="","",IFERROR(VLOOKUP(C1092,parametros!$A$11:$E$15,5,0),""))</f>
        <v/>
      </c>
      <c r="F1092" s="79" t="str">
        <f t="shared" si="87"/>
        <v/>
      </c>
      <c r="G1092" s="101"/>
      <c r="H1092" s="91">
        <f t="shared" si="88"/>
        <v>0</v>
      </c>
      <c r="I1092" s="91" t="str">
        <f t="shared" si="89"/>
        <v/>
      </c>
      <c r="J1092" s="91" t="str">
        <f t="shared" si="90"/>
        <v/>
      </c>
      <c r="K1092" s="92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2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58"/>
      <c r="U1092" s="217" t="str">
        <f t="shared" si="91"/>
        <v/>
      </c>
      <c r="V1092" s="215" t="s">
        <v>47</v>
      </c>
      <c r="W1092" s="102" t="s">
        <v>136</v>
      </c>
      <c r="X1092" s="102" t="s">
        <v>137</v>
      </c>
      <c r="Y1092" s="103" t="s">
        <v>138</v>
      </c>
      <c r="Z1092" s="103" t="s">
        <v>139</v>
      </c>
      <c r="AA1092" s="103" t="s">
        <v>47</v>
      </c>
      <c r="AB1092" s="103" t="s">
        <v>140</v>
      </c>
      <c r="AC1092" s="104" t="s">
        <v>141</v>
      </c>
    </row>
    <row r="1093" spans="1:29" ht="25.5" customHeight="1" x14ac:dyDescent="0.35">
      <c r="A1093" s="188"/>
      <c r="B1093" s="190"/>
      <c r="C1093" s="99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0"/>
      <c r="E1093" s="78" t="str">
        <f>IF(C1093="","",IFERROR(VLOOKUP(C1093,parametros!$A$11:$E$15,5,0),""))</f>
        <v/>
      </c>
      <c r="F1093" s="79" t="str">
        <f t="shared" si="87"/>
        <v/>
      </c>
      <c r="G1093" s="101"/>
      <c r="H1093" s="91">
        <f t="shared" si="88"/>
        <v>0</v>
      </c>
      <c r="I1093" s="91" t="str">
        <f t="shared" si="89"/>
        <v/>
      </c>
      <c r="J1093" s="91" t="str">
        <f t="shared" si="90"/>
        <v/>
      </c>
      <c r="K1093" s="92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2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58"/>
      <c r="U1093" s="217" t="str">
        <f t="shared" si="91"/>
        <v/>
      </c>
      <c r="V1093" s="215" t="s">
        <v>47</v>
      </c>
      <c r="W1093" s="102" t="s">
        <v>136</v>
      </c>
      <c r="X1093" s="102" t="s">
        <v>137</v>
      </c>
      <c r="Y1093" s="103" t="s">
        <v>138</v>
      </c>
      <c r="Z1093" s="103" t="s">
        <v>139</v>
      </c>
      <c r="AA1093" s="103" t="s">
        <v>47</v>
      </c>
      <c r="AB1093" s="103" t="s">
        <v>140</v>
      </c>
      <c r="AC1093" s="104" t="s">
        <v>141</v>
      </c>
    </row>
    <row r="1094" spans="1:29" ht="25.5" customHeight="1" x14ac:dyDescent="0.35">
      <c r="A1094" s="188"/>
      <c r="B1094" s="190"/>
      <c r="C1094" s="99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0"/>
      <c r="E1094" s="78" t="str">
        <f>IF(C1094="","",IFERROR(VLOOKUP(C1094,parametros!$A$11:$E$15,5,0),""))</f>
        <v/>
      </c>
      <c r="F1094" s="79" t="str">
        <f t="shared" si="87"/>
        <v/>
      </c>
      <c r="G1094" s="101"/>
      <c r="H1094" s="91">
        <f t="shared" si="88"/>
        <v>0</v>
      </c>
      <c r="I1094" s="91" t="str">
        <f t="shared" si="89"/>
        <v/>
      </c>
      <c r="J1094" s="91" t="str">
        <f t="shared" si="90"/>
        <v/>
      </c>
      <c r="K1094" s="92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2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58"/>
      <c r="U1094" s="217" t="str">
        <f t="shared" si="91"/>
        <v/>
      </c>
      <c r="V1094" s="215" t="s">
        <v>47</v>
      </c>
      <c r="W1094" s="102" t="s">
        <v>136</v>
      </c>
      <c r="X1094" s="102" t="s">
        <v>137</v>
      </c>
      <c r="Y1094" s="103" t="s">
        <v>138</v>
      </c>
      <c r="Z1094" s="103" t="s">
        <v>139</v>
      </c>
      <c r="AA1094" s="103" t="s">
        <v>47</v>
      </c>
      <c r="AB1094" s="103" t="s">
        <v>140</v>
      </c>
      <c r="AC1094" s="104" t="s">
        <v>141</v>
      </c>
    </row>
    <row r="1095" spans="1:29" ht="25.5" customHeight="1" x14ac:dyDescent="0.35">
      <c r="A1095" s="188"/>
      <c r="B1095" s="190"/>
      <c r="C1095" s="99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0"/>
      <c r="E1095" s="78" t="str">
        <f>IF(C1095="","",IFERROR(VLOOKUP(C1095,parametros!$A$11:$E$15,5,0),""))</f>
        <v/>
      </c>
      <c r="F1095" s="79" t="str">
        <f t="shared" si="87"/>
        <v/>
      </c>
      <c r="G1095" s="101"/>
      <c r="H1095" s="91">
        <f t="shared" si="88"/>
        <v>0</v>
      </c>
      <c r="I1095" s="91" t="str">
        <f t="shared" si="89"/>
        <v/>
      </c>
      <c r="J1095" s="91" t="str">
        <f t="shared" si="90"/>
        <v/>
      </c>
      <c r="K1095" s="92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2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58"/>
      <c r="U1095" s="217" t="str">
        <f t="shared" si="91"/>
        <v/>
      </c>
      <c r="V1095" s="215" t="s">
        <v>47</v>
      </c>
      <c r="W1095" s="102" t="s">
        <v>136</v>
      </c>
      <c r="X1095" s="102" t="s">
        <v>137</v>
      </c>
      <c r="Y1095" s="103" t="s">
        <v>138</v>
      </c>
      <c r="Z1095" s="103" t="s">
        <v>139</v>
      </c>
      <c r="AA1095" s="103" t="s">
        <v>47</v>
      </c>
      <c r="AB1095" s="103" t="s">
        <v>140</v>
      </c>
      <c r="AC1095" s="104" t="s">
        <v>141</v>
      </c>
    </row>
    <row r="1096" spans="1:29" ht="25.5" customHeight="1" x14ac:dyDescent="0.35">
      <c r="A1096" s="188"/>
      <c r="B1096" s="190"/>
      <c r="C1096" s="99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0"/>
      <c r="E1096" s="78" t="str">
        <f>IF(C1096="","",IFERROR(VLOOKUP(C1096,parametros!$A$11:$E$15,5,0),""))</f>
        <v/>
      </c>
      <c r="F1096" s="79" t="str">
        <f t="shared" si="87"/>
        <v/>
      </c>
      <c r="G1096" s="101"/>
      <c r="H1096" s="91">
        <f t="shared" si="88"/>
        <v>0</v>
      </c>
      <c r="I1096" s="91" t="str">
        <f t="shared" si="89"/>
        <v/>
      </c>
      <c r="J1096" s="91" t="str">
        <f t="shared" si="90"/>
        <v/>
      </c>
      <c r="K1096" s="92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2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58"/>
      <c r="U1096" s="217" t="str">
        <f t="shared" si="91"/>
        <v/>
      </c>
      <c r="V1096" s="215" t="s">
        <v>47</v>
      </c>
      <c r="W1096" s="102" t="s">
        <v>136</v>
      </c>
      <c r="X1096" s="102" t="s">
        <v>137</v>
      </c>
      <c r="Y1096" s="103" t="s">
        <v>138</v>
      </c>
      <c r="Z1096" s="103" t="s">
        <v>139</v>
      </c>
      <c r="AA1096" s="103" t="s">
        <v>47</v>
      </c>
      <c r="AB1096" s="103" t="s">
        <v>140</v>
      </c>
      <c r="AC1096" s="104" t="s">
        <v>141</v>
      </c>
    </row>
    <row r="1097" spans="1:29" ht="25.5" customHeight="1" x14ac:dyDescent="0.35">
      <c r="A1097" s="188"/>
      <c r="B1097" s="190"/>
      <c r="C1097" s="99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0"/>
      <c r="E1097" s="78" t="str">
        <f>IF(C1097="","",IFERROR(VLOOKUP(C1097,parametros!$A$11:$E$15,5,0),""))</f>
        <v/>
      </c>
      <c r="F1097" s="79" t="str">
        <f t="shared" si="87"/>
        <v/>
      </c>
      <c r="G1097" s="101"/>
      <c r="H1097" s="91">
        <f t="shared" si="88"/>
        <v>0</v>
      </c>
      <c r="I1097" s="91" t="str">
        <f t="shared" si="89"/>
        <v/>
      </c>
      <c r="J1097" s="91" t="str">
        <f t="shared" si="90"/>
        <v/>
      </c>
      <c r="K1097" s="92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2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58"/>
      <c r="U1097" s="217" t="str">
        <f t="shared" si="91"/>
        <v/>
      </c>
      <c r="V1097" s="215" t="s">
        <v>47</v>
      </c>
      <c r="W1097" s="102" t="s">
        <v>136</v>
      </c>
      <c r="X1097" s="102" t="s">
        <v>137</v>
      </c>
      <c r="Y1097" s="103" t="s">
        <v>138</v>
      </c>
      <c r="Z1097" s="103" t="s">
        <v>139</v>
      </c>
      <c r="AA1097" s="103" t="s">
        <v>47</v>
      </c>
      <c r="AB1097" s="103" t="s">
        <v>140</v>
      </c>
      <c r="AC1097" s="104" t="s">
        <v>141</v>
      </c>
    </row>
    <row r="1098" spans="1:29" ht="25.5" customHeight="1" x14ac:dyDescent="0.35">
      <c r="A1098" s="188"/>
      <c r="B1098" s="190"/>
      <c r="C1098" s="99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0"/>
      <c r="E1098" s="78" t="str">
        <f>IF(C1098="","",IFERROR(VLOOKUP(C1098,parametros!$A$11:$E$15,5,0),""))</f>
        <v/>
      </c>
      <c r="F1098" s="79" t="str">
        <f t="shared" si="87"/>
        <v/>
      </c>
      <c r="G1098" s="101"/>
      <c r="H1098" s="91">
        <f t="shared" si="88"/>
        <v>0</v>
      </c>
      <c r="I1098" s="91" t="str">
        <f t="shared" si="89"/>
        <v/>
      </c>
      <c r="J1098" s="91" t="str">
        <f t="shared" si="90"/>
        <v/>
      </c>
      <c r="K1098" s="92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2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58"/>
      <c r="U1098" s="217" t="str">
        <f t="shared" si="91"/>
        <v/>
      </c>
      <c r="V1098" s="215" t="s">
        <v>47</v>
      </c>
      <c r="W1098" s="102" t="s">
        <v>136</v>
      </c>
      <c r="X1098" s="102" t="s">
        <v>137</v>
      </c>
      <c r="Y1098" s="103" t="s">
        <v>138</v>
      </c>
      <c r="Z1098" s="103" t="s">
        <v>139</v>
      </c>
      <c r="AA1098" s="103" t="s">
        <v>47</v>
      </c>
      <c r="AB1098" s="103" t="s">
        <v>140</v>
      </c>
      <c r="AC1098" s="104" t="s">
        <v>141</v>
      </c>
    </row>
    <row r="1099" spans="1:29" ht="25.5" customHeight="1" x14ac:dyDescent="0.35">
      <c r="A1099" s="188"/>
      <c r="B1099" s="190"/>
      <c r="C1099" s="99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0"/>
      <c r="E1099" s="78" t="str">
        <f>IF(C1099="","",IFERROR(VLOOKUP(C1099,parametros!$A$11:$E$15,5,0),""))</f>
        <v/>
      </c>
      <c r="F1099" s="79" t="str">
        <f t="shared" si="87"/>
        <v/>
      </c>
      <c r="G1099" s="101"/>
      <c r="H1099" s="91">
        <f t="shared" si="88"/>
        <v>0</v>
      </c>
      <c r="I1099" s="91" t="str">
        <f t="shared" si="89"/>
        <v/>
      </c>
      <c r="J1099" s="91" t="str">
        <f t="shared" si="90"/>
        <v/>
      </c>
      <c r="K1099" s="92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2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58"/>
      <c r="U1099" s="217" t="str">
        <f t="shared" si="91"/>
        <v/>
      </c>
      <c r="V1099" s="215" t="s">
        <v>47</v>
      </c>
      <c r="W1099" s="102" t="s">
        <v>136</v>
      </c>
      <c r="X1099" s="102" t="s">
        <v>137</v>
      </c>
      <c r="Y1099" s="103" t="s">
        <v>138</v>
      </c>
      <c r="Z1099" s="103" t="s">
        <v>139</v>
      </c>
      <c r="AA1099" s="103" t="s">
        <v>47</v>
      </c>
      <c r="AB1099" s="103" t="s">
        <v>140</v>
      </c>
      <c r="AC1099" s="104" t="s">
        <v>141</v>
      </c>
    </row>
    <row r="1100" spans="1:29" ht="25.5" customHeight="1" x14ac:dyDescent="0.35">
      <c r="A1100" s="188"/>
      <c r="B1100" s="190"/>
      <c r="C1100" s="99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0"/>
      <c r="E1100" s="78" t="str">
        <f>IF(C1100="","",IFERROR(VLOOKUP(C1100,parametros!$A$11:$E$15,5,0),""))</f>
        <v/>
      </c>
      <c r="F1100" s="79" t="str">
        <f t="shared" si="87"/>
        <v/>
      </c>
      <c r="G1100" s="101"/>
      <c r="H1100" s="91">
        <f t="shared" si="88"/>
        <v>0</v>
      </c>
      <c r="I1100" s="91" t="str">
        <f t="shared" si="89"/>
        <v/>
      </c>
      <c r="J1100" s="91" t="str">
        <f t="shared" si="90"/>
        <v/>
      </c>
      <c r="K1100" s="92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2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58"/>
      <c r="U1100" s="217" t="str">
        <f t="shared" si="91"/>
        <v/>
      </c>
      <c r="V1100" s="215" t="s">
        <v>47</v>
      </c>
      <c r="W1100" s="102" t="s">
        <v>136</v>
      </c>
      <c r="X1100" s="102" t="s">
        <v>137</v>
      </c>
      <c r="Y1100" s="103" t="s">
        <v>138</v>
      </c>
      <c r="Z1100" s="103" t="s">
        <v>139</v>
      </c>
      <c r="AA1100" s="103" t="s">
        <v>47</v>
      </c>
      <c r="AB1100" s="103" t="s">
        <v>140</v>
      </c>
      <c r="AC1100" s="104" t="s">
        <v>141</v>
      </c>
    </row>
    <row r="1101" spans="1:29" ht="25.5" customHeight="1" x14ac:dyDescent="0.35">
      <c r="A1101" s="188"/>
      <c r="B1101" s="190"/>
      <c r="C1101" s="99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0"/>
      <c r="E1101" s="78" t="str">
        <f>IF(C1101="","",IFERROR(VLOOKUP(C1101,parametros!$A$11:$E$15,5,0),""))</f>
        <v/>
      </c>
      <c r="F1101" s="79" t="str">
        <f t="shared" si="87"/>
        <v/>
      </c>
      <c r="G1101" s="101"/>
      <c r="H1101" s="91">
        <f t="shared" si="88"/>
        <v>0</v>
      </c>
      <c r="I1101" s="91" t="str">
        <f t="shared" si="89"/>
        <v/>
      </c>
      <c r="J1101" s="91" t="str">
        <f t="shared" si="90"/>
        <v/>
      </c>
      <c r="K1101" s="92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2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58"/>
      <c r="U1101" s="217" t="str">
        <f t="shared" si="91"/>
        <v/>
      </c>
      <c r="V1101" s="215" t="s">
        <v>47</v>
      </c>
      <c r="W1101" s="102" t="s">
        <v>136</v>
      </c>
      <c r="X1101" s="102" t="s">
        <v>137</v>
      </c>
      <c r="Y1101" s="103" t="s">
        <v>138</v>
      </c>
      <c r="Z1101" s="103" t="s">
        <v>139</v>
      </c>
      <c r="AA1101" s="103" t="s">
        <v>47</v>
      </c>
      <c r="AB1101" s="103" t="s">
        <v>140</v>
      </c>
      <c r="AC1101" s="104" t="s">
        <v>141</v>
      </c>
    </row>
    <row r="1102" spans="1:29" ht="25.5" customHeight="1" x14ac:dyDescent="0.35">
      <c r="A1102" s="188"/>
      <c r="B1102" s="190"/>
      <c r="C1102" s="99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0"/>
      <c r="E1102" s="78" t="str">
        <f>IF(C1102="","",IFERROR(VLOOKUP(C1102,parametros!$A$11:$E$15,5,0),""))</f>
        <v/>
      </c>
      <c r="F1102" s="79" t="str">
        <f t="shared" si="87"/>
        <v/>
      </c>
      <c r="G1102" s="101"/>
      <c r="H1102" s="91">
        <f t="shared" si="88"/>
        <v>0</v>
      </c>
      <c r="I1102" s="91" t="str">
        <f t="shared" si="89"/>
        <v/>
      </c>
      <c r="J1102" s="91" t="str">
        <f t="shared" si="90"/>
        <v/>
      </c>
      <c r="K1102" s="92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2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58"/>
      <c r="U1102" s="217" t="str">
        <f t="shared" si="91"/>
        <v/>
      </c>
      <c r="V1102" s="215" t="s">
        <v>47</v>
      </c>
      <c r="W1102" s="102" t="s">
        <v>136</v>
      </c>
      <c r="X1102" s="102" t="s">
        <v>137</v>
      </c>
      <c r="Y1102" s="103" t="s">
        <v>138</v>
      </c>
      <c r="Z1102" s="103" t="s">
        <v>139</v>
      </c>
      <c r="AA1102" s="103" t="s">
        <v>47</v>
      </c>
      <c r="AB1102" s="103" t="s">
        <v>140</v>
      </c>
      <c r="AC1102" s="104" t="s">
        <v>141</v>
      </c>
    </row>
    <row r="1103" spans="1:29" ht="25.5" customHeight="1" x14ac:dyDescent="0.35">
      <c r="A1103" s="188"/>
      <c r="B1103" s="190"/>
      <c r="C1103" s="99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0"/>
      <c r="E1103" s="78" t="str">
        <f>IF(C1103="","",IFERROR(VLOOKUP(C1103,parametros!$A$11:$E$15,5,0),""))</f>
        <v/>
      </c>
      <c r="F1103" s="79" t="str">
        <f t="shared" si="87"/>
        <v/>
      </c>
      <c r="G1103" s="101"/>
      <c r="H1103" s="91">
        <f t="shared" si="88"/>
        <v>0</v>
      </c>
      <c r="I1103" s="91" t="str">
        <f t="shared" si="89"/>
        <v/>
      </c>
      <c r="J1103" s="91" t="str">
        <f t="shared" si="90"/>
        <v/>
      </c>
      <c r="K1103" s="92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2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58"/>
      <c r="U1103" s="217" t="str">
        <f t="shared" si="91"/>
        <v/>
      </c>
      <c r="V1103" s="215" t="s">
        <v>47</v>
      </c>
      <c r="W1103" s="102" t="s">
        <v>136</v>
      </c>
      <c r="X1103" s="102" t="s">
        <v>137</v>
      </c>
      <c r="Y1103" s="103" t="s">
        <v>138</v>
      </c>
      <c r="Z1103" s="103" t="s">
        <v>139</v>
      </c>
      <c r="AA1103" s="103" t="s">
        <v>47</v>
      </c>
      <c r="AB1103" s="103" t="s">
        <v>140</v>
      </c>
      <c r="AC1103" s="104" t="s">
        <v>141</v>
      </c>
    </row>
    <row r="1104" spans="1:29" ht="25.5" customHeight="1" x14ac:dyDescent="0.35">
      <c r="A1104" s="188"/>
      <c r="B1104" s="190"/>
      <c r="C1104" s="99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0"/>
      <c r="E1104" s="78" t="str">
        <f>IF(C1104="","",IFERROR(VLOOKUP(C1104,parametros!$A$11:$E$15,5,0),""))</f>
        <v/>
      </c>
      <c r="F1104" s="79" t="str">
        <f t="shared" si="87"/>
        <v/>
      </c>
      <c r="G1104" s="101"/>
      <c r="H1104" s="91">
        <f t="shared" si="88"/>
        <v>0</v>
      </c>
      <c r="I1104" s="91" t="str">
        <f t="shared" si="89"/>
        <v/>
      </c>
      <c r="J1104" s="91" t="str">
        <f t="shared" si="90"/>
        <v/>
      </c>
      <c r="K1104" s="92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2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58"/>
      <c r="U1104" s="217" t="str">
        <f t="shared" si="91"/>
        <v/>
      </c>
      <c r="V1104" s="215" t="s">
        <v>47</v>
      </c>
      <c r="W1104" s="102" t="s">
        <v>136</v>
      </c>
      <c r="X1104" s="102" t="s">
        <v>137</v>
      </c>
      <c r="Y1104" s="103" t="s">
        <v>138</v>
      </c>
      <c r="Z1104" s="103" t="s">
        <v>139</v>
      </c>
      <c r="AA1104" s="103" t="s">
        <v>47</v>
      </c>
      <c r="AB1104" s="103" t="s">
        <v>140</v>
      </c>
      <c r="AC1104" s="104" t="s">
        <v>141</v>
      </c>
    </row>
    <row r="1105" spans="1:29" ht="25.5" customHeight="1" x14ac:dyDescent="0.35">
      <c r="A1105" s="188"/>
      <c r="B1105" s="190"/>
      <c r="C1105" s="99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0"/>
      <c r="E1105" s="78" t="str">
        <f>IF(C1105="","",IFERROR(VLOOKUP(C1105,parametros!$A$11:$E$15,5,0),""))</f>
        <v/>
      </c>
      <c r="F1105" s="79" t="str">
        <f t="shared" si="87"/>
        <v/>
      </c>
      <c r="G1105" s="101"/>
      <c r="H1105" s="91">
        <f t="shared" si="88"/>
        <v>0</v>
      </c>
      <c r="I1105" s="91" t="str">
        <f t="shared" si="89"/>
        <v/>
      </c>
      <c r="J1105" s="91" t="str">
        <f t="shared" si="90"/>
        <v/>
      </c>
      <c r="K1105" s="92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2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58"/>
      <c r="U1105" s="217" t="str">
        <f t="shared" si="91"/>
        <v/>
      </c>
      <c r="V1105" s="215" t="s">
        <v>47</v>
      </c>
      <c r="W1105" s="102" t="s">
        <v>136</v>
      </c>
      <c r="X1105" s="102" t="s">
        <v>137</v>
      </c>
      <c r="Y1105" s="103" t="s">
        <v>138</v>
      </c>
      <c r="Z1105" s="103" t="s">
        <v>139</v>
      </c>
      <c r="AA1105" s="103" t="s">
        <v>47</v>
      </c>
      <c r="AB1105" s="103" t="s">
        <v>140</v>
      </c>
      <c r="AC1105" s="104" t="s">
        <v>141</v>
      </c>
    </row>
    <row r="1106" spans="1:29" ht="25.5" customHeight="1" x14ac:dyDescent="0.35">
      <c r="A1106" s="188"/>
      <c r="B1106" s="190"/>
      <c r="C1106" s="99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0"/>
      <c r="E1106" s="78" t="str">
        <f>IF(C1106="","",IFERROR(VLOOKUP(C1106,parametros!$A$11:$E$15,5,0),""))</f>
        <v/>
      </c>
      <c r="F1106" s="79" t="str">
        <f t="shared" si="87"/>
        <v/>
      </c>
      <c r="G1106" s="101"/>
      <c r="H1106" s="91">
        <f t="shared" si="88"/>
        <v>0</v>
      </c>
      <c r="I1106" s="91" t="str">
        <f t="shared" si="89"/>
        <v/>
      </c>
      <c r="J1106" s="91" t="str">
        <f t="shared" si="90"/>
        <v/>
      </c>
      <c r="K1106" s="92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2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58"/>
      <c r="U1106" s="217" t="str">
        <f t="shared" si="91"/>
        <v/>
      </c>
      <c r="V1106" s="215" t="s">
        <v>47</v>
      </c>
      <c r="W1106" s="102" t="s">
        <v>136</v>
      </c>
      <c r="X1106" s="102" t="s">
        <v>137</v>
      </c>
      <c r="Y1106" s="103" t="s">
        <v>138</v>
      </c>
      <c r="Z1106" s="103" t="s">
        <v>139</v>
      </c>
      <c r="AA1106" s="103" t="s">
        <v>47</v>
      </c>
      <c r="AB1106" s="103" t="s">
        <v>140</v>
      </c>
      <c r="AC1106" s="104" t="s">
        <v>141</v>
      </c>
    </row>
    <row r="1107" spans="1:29" ht="25.5" customHeight="1" x14ac:dyDescent="0.35">
      <c r="A1107" s="188"/>
      <c r="B1107" s="190"/>
      <c r="C1107" s="99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0"/>
      <c r="E1107" s="78" t="str">
        <f>IF(C1107="","",IFERROR(VLOOKUP(C1107,parametros!$A$11:$E$15,5,0),""))</f>
        <v/>
      </c>
      <c r="F1107" s="79" t="str">
        <f t="shared" si="87"/>
        <v/>
      </c>
      <c r="G1107" s="101"/>
      <c r="H1107" s="91">
        <f t="shared" si="88"/>
        <v>0</v>
      </c>
      <c r="I1107" s="91" t="str">
        <f t="shared" si="89"/>
        <v/>
      </c>
      <c r="J1107" s="91" t="str">
        <f t="shared" si="90"/>
        <v/>
      </c>
      <c r="K1107" s="92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2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58"/>
      <c r="U1107" s="217" t="str">
        <f t="shared" si="91"/>
        <v/>
      </c>
      <c r="V1107" s="215" t="s">
        <v>47</v>
      </c>
      <c r="W1107" s="102" t="s">
        <v>136</v>
      </c>
      <c r="X1107" s="102" t="s">
        <v>137</v>
      </c>
      <c r="Y1107" s="103" t="s">
        <v>138</v>
      </c>
      <c r="Z1107" s="103" t="s">
        <v>139</v>
      </c>
      <c r="AA1107" s="103" t="s">
        <v>47</v>
      </c>
      <c r="AB1107" s="103" t="s">
        <v>140</v>
      </c>
      <c r="AC1107" s="104" t="s">
        <v>141</v>
      </c>
    </row>
    <row r="1108" spans="1:29" ht="25.5" customHeight="1" x14ac:dyDescent="0.35">
      <c r="A1108" s="188"/>
      <c r="B1108" s="190"/>
      <c r="C1108" s="99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0"/>
      <c r="E1108" s="78" t="str">
        <f>IF(C1108="","",IFERROR(VLOOKUP(C1108,parametros!$A$11:$E$15,5,0),""))</f>
        <v/>
      </c>
      <c r="F1108" s="79" t="str">
        <f t="shared" si="87"/>
        <v/>
      </c>
      <c r="G1108" s="101"/>
      <c r="H1108" s="91">
        <f t="shared" si="88"/>
        <v>0</v>
      </c>
      <c r="I1108" s="91" t="str">
        <f t="shared" si="89"/>
        <v/>
      </c>
      <c r="J1108" s="91" t="str">
        <f t="shared" si="90"/>
        <v/>
      </c>
      <c r="K1108" s="92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2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58"/>
      <c r="U1108" s="217" t="str">
        <f t="shared" si="91"/>
        <v/>
      </c>
      <c r="V1108" s="215" t="s">
        <v>47</v>
      </c>
      <c r="W1108" s="102" t="s">
        <v>136</v>
      </c>
      <c r="X1108" s="102" t="s">
        <v>137</v>
      </c>
      <c r="Y1108" s="103" t="s">
        <v>138</v>
      </c>
      <c r="Z1108" s="103" t="s">
        <v>139</v>
      </c>
      <c r="AA1108" s="103" t="s">
        <v>47</v>
      </c>
      <c r="AB1108" s="103" t="s">
        <v>140</v>
      </c>
      <c r="AC1108" s="104" t="s">
        <v>141</v>
      </c>
    </row>
    <row r="1109" spans="1:29" ht="25.5" customHeight="1" x14ac:dyDescent="0.35">
      <c r="A1109" s="188"/>
      <c r="B1109" s="190"/>
      <c r="C1109" s="99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0"/>
      <c r="E1109" s="78" t="str">
        <f>IF(C1109="","",IFERROR(VLOOKUP(C1109,parametros!$A$11:$E$15,5,0),""))</f>
        <v/>
      </c>
      <c r="F1109" s="79" t="str">
        <f t="shared" si="87"/>
        <v/>
      </c>
      <c r="G1109" s="101"/>
      <c r="H1109" s="91">
        <f t="shared" si="88"/>
        <v>0</v>
      </c>
      <c r="I1109" s="91" t="str">
        <f t="shared" si="89"/>
        <v/>
      </c>
      <c r="J1109" s="91" t="str">
        <f t="shared" si="90"/>
        <v/>
      </c>
      <c r="K1109" s="92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2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58"/>
      <c r="U1109" s="217" t="str">
        <f t="shared" si="91"/>
        <v/>
      </c>
      <c r="V1109" s="215" t="s">
        <v>47</v>
      </c>
      <c r="W1109" s="102" t="s">
        <v>136</v>
      </c>
      <c r="X1109" s="102" t="s">
        <v>137</v>
      </c>
      <c r="Y1109" s="103" t="s">
        <v>138</v>
      </c>
      <c r="Z1109" s="103" t="s">
        <v>139</v>
      </c>
      <c r="AA1109" s="103" t="s">
        <v>47</v>
      </c>
      <c r="AB1109" s="103" t="s">
        <v>140</v>
      </c>
      <c r="AC1109" s="104" t="s">
        <v>141</v>
      </c>
    </row>
    <row r="1110" spans="1:29" ht="25.5" customHeight="1" x14ac:dyDescent="0.35">
      <c r="A1110" s="188"/>
      <c r="B1110" s="190"/>
      <c r="C1110" s="99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0"/>
      <c r="E1110" s="78" t="str">
        <f>IF(C1110="","",IFERROR(VLOOKUP(C1110,parametros!$A$11:$E$15,5,0),""))</f>
        <v/>
      </c>
      <c r="F1110" s="79" t="str">
        <f t="shared" si="87"/>
        <v/>
      </c>
      <c r="G1110" s="101"/>
      <c r="H1110" s="91">
        <f t="shared" si="88"/>
        <v>0</v>
      </c>
      <c r="I1110" s="91" t="str">
        <f t="shared" si="89"/>
        <v/>
      </c>
      <c r="J1110" s="91" t="str">
        <f t="shared" si="90"/>
        <v/>
      </c>
      <c r="K1110" s="92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2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58"/>
      <c r="U1110" s="217" t="str">
        <f t="shared" si="91"/>
        <v/>
      </c>
      <c r="V1110" s="215" t="s">
        <v>47</v>
      </c>
      <c r="W1110" s="102" t="s">
        <v>136</v>
      </c>
      <c r="X1110" s="102" t="s">
        <v>137</v>
      </c>
      <c r="Y1110" s="103" t="s">
        <v>138</v>
      </c>
      <c r="Z1110" s="103" t="s">
        <v>139</v>
      </c>
      <c r="AA1110" s="103" t="s">
        <v>47</v>
      </c>
      <c r="AB1110" s="103" t="s">
        <v>140</v>
      </c>
      <c r="AC1110" s="104" t="s">
        <v>141</v>
      </c>
    </row>
    <row r="1111" spans="1:29" ht="25.5" customHeight="1" x14ac:dyDescent="0.35">
      <c r="A1111" s="188"/>
      <c r="B1111" s="190"/>
      <c r="C1111" s="99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0"/>
      <c r="E1111" s="78" t="str">
        <f>IF(C1111="","",IFERROR(VLOOKUP(C1111,parametros!$A$11:$E$15,5,0),""))</f>
        <v/>
      </c>
      <c r="F1111" s="79" t="str">
        <f t="shared" si="87"/>
        <v/>
      </c>
      <c r="G1111" s="101"/>
      <c r="H1111" s="91">
        <f t="shared" si="88"/>
        <v>0</v>
      </c>
      <c r="I1111" s="91" t="str">
        <f t="shared" si="89"/>
        <v/>
      </c>
      <c r="J1111" s="91" t="str">
        <f t="shared" si="90"/>
        <v/>
      </c>
      <c r="K1111" s="92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2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58"/>
      <c r="U1111" s="217" t="str">
        <f t="shared" si="91"/>
        <v/>
      </c>
      <c r="V1111" s="215" t="s">
        <v>47</v>
      </c>
      <c r="W1111" s="102" t="s">
        <v>136</v>
      </c>
      <c r="X1111" s="102" t="s">
        <v>137</v>
      </c>
      <c r="Y1111" s="103" t="s">
        <v>138</v>
      </c>
      <c r="Z1111" s="103" t="s">
        <v>139</v>
      </c>
      <c r="AA1111" s="103" t="s">
        <v>47</v>
      </c>
      <c r="AB1111" s="103" t="s">
        <v>140</v>
      </c>
      <c r="AC1111" s="104" t="s">
        <v>141</v>
      </c>
    </row>
    <row r="1112" spans="1:29" ht="25.5" customHeight="1" x14ac:dyDescent="0.35">
      <c r="A1112" s="188"/>
      <c r="B1112" s="190"/>
      <c r="C1112" s="99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0"/>
      <c r="E1112" s="78" t="str">
        <f>IF(C1112="","",IFERROR(VLOOKUP(C1112,parametros!$A$11:$E$15,5,0),""))</f>
        <v/>
      </c>
      <c r="F1112" s="79" t="str">
        <f t="shared" si="87"/>
        <v/>
      </c>
      <c r="G1112" s="101"/>
      <c r="H1112" s="91">
        <f t="shared" si="88"/>
        <v>0</v>
      </c>
      <c r="I1112" s="91" t="str">
        <f t="shared" si="89"/>
        <v/>
      </c>
      <c r="J1112" s="91" t="str">
        <f t="shared" si="90"/>
        <v/>
      </c>
      <c r="K1112" s="92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2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58"/>
      <c r="U1112" s="217" t="str">
        <f t="shared" si="91"/>
        <v/>
      </c>
      <c r="V1112" s="215" t="s">
        <v>47</v>
      </c>
      <c r="W1112" s="102" t="s">
        <v>136</v>
      </c>
      <c r="X1112" s="102" t="s">
        <v>137</v>
      </c>
      <c r="Y1112" s="103" t="s">
        <v>138</v>
      </c>
      <c r="Z1112" s="103" t="s">
        <v>139</v>
      </c>
      <c r="AA1112" s="103" t="s">
        <v>47</v>
      </c>
      <c r="AB1112" s="103" t="s">
        <v>140</v>
      </c>
      <c r="AC1112" s="104" t="s">
        <v>141</v>
      </c>
    </row>
    <row r="1113" spans="1:29" ht="25.5" customHeight="1" x14ac:dyDescent="0.35">
      <c r="A1113" s="188"/>
      <c r="B1113" s="190"/>
      <c r="C1113" s="99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0"/>
      <c r="E1113" s="78" t="str">
        <f>IF(C1113="","",IFERROR(VLOOKUP(C1113,parametros!$A$11:$E$15,5,0),""))</f>
        <v/>
      </c>
      <c r="F1113" s="79" t="str">
        <f t="shared" si="87"/>
        <v/>
      </c>
      <c r="G1113" s="101"/>
      <c r="H1113" s="91">
        <f t="shared" si="88"/>
        <v>0</v>
      </c>
      <c r="I1113" s="91" t="str">
        <f t="shared" si="89"/>
        <v/>
      </c>
      <c r="J1113" s="91" t="str">
        <f t="shared" si="90"/>
        <v/>
      </c>
      <c r="K1113" s="92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2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58"/>
      <c r="U1113" s="217" t="str">
        <f t="shared" si="91"/>
        <v/>
      </c>
      <c r="V1113" s="215" t="s">
        <v>47</v>
      </c>
      <c r="W1113" s="102" t="s">
        <v>136</v>
      </c>
      <c r="X1113" s="102" t="s">
        <v>137</v>
      </c>
      <c r="Y1113" s="103" t="s">
        <v>138</v>
      </c>
      <c r="Z1113" s="103" t="s">
        <v>139</v>
      </c>
      <c r="AA1113" s="103" t="s">
        <v>47</v>
      </c>
      <c r="AB1113" s="103" t="s">
        <v>140</v>
      </c>
      <c r="AC1113" s="104" t="s">
        <v>141</v>
      </c>
    </row>
    <row r="1114" spans="1:29" ht="25.5" customHeight="1" x14ac:dyDescent="0.35">
      <c r="A1114" s="188"/>
      <c r="B1114" s="190"/>
      <c r="C1114" s="99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0"/>
      <c r="E1114" s="78" t="str">
        <f>IF(C1114="","",IFERROR(VLOOKUP(C1114,parametros!$A$11:$E$15,5,0),""))</f>
        <v/>
      </c>
      <c r="F1114" s="79" t="str">
        <f t="shared" si="87"/>
        <v/>
      </c>
      <c r="G1114" s="101"/>
      <c r="H1114" s="91">
        <f t="shared" si="88"/>
        <v>0</v>
      </c>
      <c r="I1114" s="91" t="str">
        <f t="shared" si="89"/>
        <v/>
      </c>
      <c r="J1114" s="91" t="str">
        <f t="shared" si="90"/>
        <v/>
      </c>
      <c r="K1114" s="92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2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58"/>
      <c r="U1114" s="217" t="str">
        <f t="shared" si="91"/>
        <v/>
      </c>
      <c r="V1114" s="215" t="s">
        <v>47</v>
      </c>
      <c r="W1114" s="102" t="s">
        <v>136</v>
      </c>
      <c r="X1114" s="102" t="s">
        <v>137</v>
      </c>
      <c r="Y1114" s="103" t="s">
        <v>138</v>
      </c>
      <c r="Z1114" s="103" t="s">
        <v>139</v>
      </c>
      <c r="AA1114" s="103" t="s">
        <v>47</v>
      </c>
      <c r="AB1114" s="103" t="s">
        <v>140</v>
      </c>
      <c r="AC1114" s="104" t="s">
        <v>141</v>
      </c>
    </row>
    <row r="1115" spans="1:29" ht="25.5" customHeight="1" x14ac:dyDescent="0.35">
      <c r="A1115" s="188"/>
      <c r="B1115" s="190"/>
      <c r="C1115" s="99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0"/>
      <c r="E1115" s="78" t="str">
        <f>IF(C1115="","",IFERROR(VLOOKUP(C1115,parametros!$A$11:$E$15,5,0),""))</f>
        <v/>
      </c>
      <c r="F1115" s="79" t="str">
        <f t="shared" si="87"/>
        <v/>
      </c>
      <c r="G1115" s="101"/>
      <c r="H1115" s="91">
        <f t="shared" si="88"/>
        <v>0</v>
      </c>
      <c r="I1115" s="91" t="str">
        <f t="shared" si="89"/>
        <v/>
      </c>
      <c r="J1115" s="91" t="str">
        <f t="shared" si="90"/>
        <v/>
      </c>
      <c r="K1115" s="92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2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58"/>
      <c r="U1115" s="217" t="str">
        <f t="shared" si="91"/>
        <v/>
      </c>
      <c r="V1115" s="215" t="s">
        <v>47</v>
      </c>
      <c r="W1115" s="102" t="s">
        <v>136</v>
      </c>
      <c r="X1115" s="102" t="s">
        <v>137</v>
      </c>
      <c r="Y1115" s="103" t="s">
        <v>138</v>
      </c>
      <c r="Z1115" s="103" t="s">
        <v>139</v>
      </c>
      <c r="AA1115" s="103" t="s">
        <v>47</v>
      </c>
      <c r="AB1115" s="103" t="s">
        <v>140</v>
      </c>
      <c r="AC1115" s="104" t="s">
        <v>141</v>
      </c>
    </row>
    <row r="1116" spans="1:29" ht="25.5" customHeight="1" x14ac:dyDescent="0.35">
      <c r="A1116" s="188"/>
      <c r="B1116" s="190"/>
      <c r="C1116" s="99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0"/>
      <c r="E1116" s="78" t="str">
        <f>IF(C1116="","",IFERROR(VLOOKUP(C1116,parametros!$A$11:$E$15,5,0),""))</f>
        <v/>
      </c>
      <c r="F1116" s="79" t="str">
        <f t="shared" si="87"/>
        <v/>
      </c>
      <c r="G1116" s="101"/>
      <c r="H1116" s="91">
        <f t="shared" si="88"/>
        <v>0</v>
      </c>
      <c r="I1116" s="91" t="str">
        <f t="shared" si="89"/>
        <v/>
      </c>
      <c r="J1116" s="91" t="str">
        <f t="shared" si="90"/>
        <v/>
      </c>
      <c r="K1116" s="92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2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58"/>
      <c r="U1116" s="217" t="str">
        <f t="shared" si="91"/>
        <v/>
      </c>
      <c r="V1116" s="215" t="s">
        <v>47</v>
      </c>
      <c r="W1116" s="102" t="s">
        <v>136</v>
      </c>
      <c r="X1116" s="102" t="s">
        <v>137</v>
      </c>
      <c r="Y1116" s="103" t="s">
        <v>138</v>
      </c>
      <c r="Z1116" s="103" t="s">
        <v>139</v>
      </c>
      <c r="AA1116" s="103" t="s">
        <v>47</v>
      </c>
      <c r="AB1116" s="103" t="s">
        <v>140</v>
      </c>
      <c r="AC1116" s="104" t="s">
        <v>141</v>
      </c>
    </row>
    <row r="1117" spans="1:29" ht="25.5" customHeight="1" x14ac:dyDescent="0.35">
      <c r="A1117" s="188"/>
      <c r="B1117" s="190"/>
      <c r="C1117" s="99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0"/>
      <c r="E1117" s="78" t="str">
        <f>IF(C1117="","",IFERROR(VLOOKUP(C1117,parametros!$A$11:$E$15,5,0),""))</f>
        <v/>
      </c>
      <c r="F1117" s="79" t="str">
        <f t="shared" si="87"/>
        <v/>
      </c>
      <c r="G1117" s="101"/>
      <c r="H1117" s="91">
        <f t="shared" si="88"/>
        <v>0</v>
      </c>
      <c r="I1117" s="91" t="str">
        <f t="shared" si="89"/>
        <v/>
      </c>
      <c r="J1117" s="91" t="str">
        <f t="shared" si="90"/>
        <v/>
      </c>
      <c r="K1117" s="92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2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58"/>
      <c r="U1117" s="217" t="str">
        <f t="shared" si="91"/>
        <v/>
      </c>
      <c r="V1117" s="215" t="s">
        <v>47</v>
      </c>
      <c r="W1117" s="102" t="s">
        <v>136</v>
      </c>
      <c r="X1117" s="102" t="s">
        <v>137</v>
      </c>
      <c r="Y1117" s="103" t="s">
        <v>138</v>
      </c>
      <c r="Z1117" s="103" t="s">
        <v>139</v>
      </c>
      <c r="AA1117" s="103" t="s">
        <v>47</v>
      </c>
      <c r="AB1117" s="103" t="s">
        <v>140</v>
      </c>
      <c r="AC1117" s="104" t="s">
        <v>141</v>
      </c>
    </row>
    <row r="1118" spans="1:29" ht="25.5" customHeight="1" x14ac:dyDescent="0.35">
      <c r="A1118" s="188"/>
      <c r="B1118" s="190"/>
      <c r="C1118" s="99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0"/>
      <c r="E1118" s="78" t="str">
        <f>IF(C1118="","",IFERROR(VLOOKUP(C1118,parametros!$A$11:$E$15,5,0),""))</f>
        <v/>
      </c>
      <c r="F1118" s="79" t="str">
        <f t="shared" si="87"/>
        <v/>
      </c>
      <c r="G1118" s="101"/>
      <c r="H1118" s="91">
        <f t="shared" si="88"/>
        <v>0</v>
      </c>
      <c r="I1118" s="91" t="str">
        <f t="shared" si="89"/>
        <v/>
      </c>
      <c r="J1118" s="91" t="str">
        <f t="shared" si="90"/>
        <v/>
      </c>
      <c r="K1118" s="92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2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58"/>
      <c r="U1118" s="217" t="str">
        <f t="shared" si="91"/>
        <v/>
      </c>
      <c r="V1118" s="215" t="s">
        <v>47</v>
      </c>
      <c r="W1118" s="102" t="s">
        <v>136</v>
      </c>
      <c r="X1118" s="102" t="s">
        <v>137</v>
      </c>
      <c r="Y1118" s="103" t="s">
        <v>138</v>
      </c>
      <c r="Z1118" s="103" t="s">
        <v>139</v>
      </c>
      <c r="AA1118" s="103" t="s">
        <v>47</v>
      </c>
      <c r="AB1118" s="103" t="s">
        <v>140</v>
      </c>
      <c r="AC1118" s="104" t="s">
        <v>141</v>
      </c>
    </row>
    <row r="1119" spans="1:29" ht="25.5" customHeight="1" x14ac:dyDescent="0.35">
      <c r="A1119" s="188"/>
      <c r="B1119" s="190"/>
      <c r="C1119" s="99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0"/>
      <c r="E1119" s="78" t="str">
        <f>IF(C1119="","",IFERROR(VLOOKUP(C1119,parametros!$A$11:$E$15,5,0),""))</f>
        <v/>
      </c>
      <c r="F1119" s="79" t="str">
        <f t="shared" si="87"/>
        <v/>
      </c>
      <c r="G1119" s="101"/>
      <c r="H1119" s="91">
        <f t="shared" si="88"/>
        <v>0</v>
      </c>
      <c r="I1119" s="91" t="str">
        <f t="shared" si="89"/>
        <v/>
      </c>
      <c r="J1119" s="91" t="str">
        <f t="shared" si="90"/>
        <v/>
      </c>
      <c r="K1119" s="92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2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58"/>
      <c r="U1119" s="217" t="str">
        <f t="shared" si="91"/>
        <v/>
      </c>
      <c r="V1119" s="215" t="s">
        <v>47</v>
      </c>
      <c r="W1119" s="102" t="s">
        <v>136</v>
      </c>
      <c r="X1119" s="102" t="s">
        <v>137</v>
      </c>
      <c r="Y1119" s="103" t="s">
        <v>138</v>
      </c>
      <c r="Z1119" s="103" t="s">
        <v>139</v>
      </c>
      <c r="AA1119" s="103" t="s">
        <v>47</v>
      </c>
      <c r="AB1119" s="103" t="s">
        <v>140</v>
      </c>
      <c r="AC1119" s="104" t="s">
        <v>141</v>
      </c>
    </row>
    <row r="1120" spans="1:29" ht="25.5" customHeight="1" x14ac:dyDescent="0.35">
      <c r="A1120" s="188"/>
      <c r="B1120" s="190"/>
      <c r="C1120" s="99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0"/>
      <c r="E1120" s="78" t="str">
        <f>IF(C1120="","",IFERROR(VLOOKUP(C1120,parametros!$A$11:$E$15,5,0),""))</f>
        <v/>
      </c>
      <c r="F1120" s="79" t="str">
        <f t="shared" si="87"/>
        <v/>
      </c>
      <c r="G1120" s="101"/>
      <c r="H1120" s="91">
        <f t="shared" si="88"/>
        <v>0</v>
      </c>
      <c r="I1120" s="91" t="str">
        <f t="shared" si="89"/>
        <v/>
      </c>
      <c r="J1120" s="91" t="str">
        <f t="shared" si="90"/>
        <v/>
      </c>
      <c r="K1120" s="92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2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58"/>
      <c r="U1120" s="217" t="str">
        <f t="shared" si="91"/>
        <v/>
      </c>
      <c r="V1120" s="215" t="s">
        <v>47</v>
      </c>
      <c r="W1120" s="102" t="s">
        <v>136</v>
      </c>
      <c r="X1120" s="102" t="s">
        <v>137</v>
      </c>
      <c r="Y1120" s="103" t="s">
        <v>138</v>
      </c>
      <c r="Z1120" s="103" t="s">
        <v>139</v>
      </c>
      <c r="AA1120" s="103" t="s">
        <v>47</v>
      </c>
      <c r="AB1120" s="103" t="s">
        <v>140</v>
      </c>
      <c r="AC1120" s="104" t="s">
        <v>141</v>
      </c>
    </row>
    <row r="1121" spans="1:29" ht="25.5" customHeight="1" x14ac:dyDescent="0.35">
      <c r="A1121" s="188"/>
      <c r="B1121" s="190"/>
      <c r="C1121" s="99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0"/>
      <c r="E1121" s="78" t="str">
        <f>IF(C1121="","",IFERROR(VLOOKUP(C1121,parametros!$A$11:$E$15,5,0),""))</f>
        <v/>
      </c>
      <c r="F1121" s="79" t="str">
        <f t="shared" si="87"/>
        <v/>
      </c>
      <c r="G1121" s="101"/>
      <c r="H1121" s="91">
        <f t="shared" si="88"/>
        <v>0</v>
      </c>
      <c r="I1121" s="91" t="str">
        <f t="shared" si="89"/>
        <v/>
      </c>
      <c r="J1121" s="91" t="str">
        <f t="shared" si="90"/>
        <v/>
      </c>
      <c r="K1121" s="92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2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58"/>
      <c r="U1121" s="217" t="str">
        <f t="shared" si="91"/>
        <v/>
      </c>
      <c r="V1121" s="215" t="s">
        <v>47</v>
      </c>
      <c r="W1121" s="102" t="s">
        <v>136</v>
      </c>
      <c r="X1121" s="102" t="s">
        <v>137</v>
      </c>
      <c r="Y1121" s="103" t="s">
        <v>138</v>
      </c>
      <c r="Z1121" s="103" t="s">
        <v>139</v>
      </c>
      <c r="AA1121" s="103" t="s">
        <v>47</v>
      </c>
      <c r="AB1121" s="103" t="s">
        <v>140</v>
      </c>
      <c r="AC1121" s="104" t="s">
        <v>141</v>
      </c>
    </row>
    <row r="1122" spans="1:29" ht="25.5" customHeight="1" x14ac:dyDescent="0.35">
      <c r="A1122" s="188"/>
      <c r="B1122" s="190"/>
      <c r="C1122" s="99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0"/>
      <c r="E1122" s="78" t="str">
        <f>IF(C1122="","",IFERROR(VLOOKUP(C1122,parametros!$A$11:$E$15,5,0),""))</f>
        <v/>
      </c>
      <c r="F1122" s="79" t="str">
        <f t="shared" si="87"/>
        <v/>
      </c>
      <c r="G1122" s="101"/>
      <c r="H1122" s="91">
        <f t="shared" si="88"/>
        <v>0</v>
      </c>
      <c r="I1122" s="91" t="str">
        <f t="shared" si="89"/>
        <v/>
      </c>
      <c r="J1122" s="91" t="str">
        <f t="shared" si="90"/>
        <v/>
      </c>
      <c r="K1122" s="92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2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58"/>
      <c r="U1122" s="217" t="str">
        <f t="shared" si="91"/>
        <v/>
      </c>
      <c r="V1122" s="215" t="s">
        <v>47</v>
      </c>
      <c r="W1122" s="102" t="s">
        <v>136</v>
      </c>
      <c r="X1122" s="102" t="s">
        <v>137</v>
      </c>
      <c r="Y1122" s="103" t="s">
        <v>138</v>
      </c>
      <c r="Z1122" s="103" t="s">
        <v>139</v>
      </c>
      <c r="AA1122" s="103" t="s">
        <v>47</v>
      </c>
      <c r="AB1122" s="103" t="s">
        <v>140</v>
      </c>
      <c r="AC1122" s="104" t="s">
        <v>141</v>
      </c>
    </row>
    <row r="1123" spans="1:29" ht="25.5" customHeight="1" x14ac:dyDescent="0.35">
      <c r="A1123" s="188"/>
      <c r="B1123" s="190"/>
      <c r="C1123" s="99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0"/>
      <c r="E1123" s="78" t="str">
        <f>IF(C1123="","",IFERROR(VLOOKUP(C1123,parametros!$A$11:$E$15,5,0),""))</f>
        <v/>
      </c>
      <c r="F1123" s="79" t="str">
        <f t="shared" si="87"/>
        <v/>
      </c>
      <c r="G1123" s="101"/>
      <c r="H1123" s="91">
        <f t="shared" si="88"/>
        <v>0</v>
      </c>
      <c r="I1123" s="91" t="str">
        <f t="shared" si="89"/>
        <v/>
      </c>
      <c r="J1123" s="91" t="str">
        <f t="shared" si="90"/>
        <v/>
      </c>
      <c r="K1123" s="92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2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58"/>
      <c r="U1123" s="217" t="str">
        <f t="shared" si="91"/>
        <v/>
      </c>
      <c r="V1123" s="215" t="s">
        <v>47</v>
      </c>
      <c r="W1123" s="102" t="s">
        <v>136</v>
      </c>
      <c r="X1123" s="102" t="s">
        <v>137</v>
      </c>
      <c r="Y1123" s="103" t="s">
        <v>138</v>
      </c>
      <c r="Z1123" s="103" t="s">
        <v>139</v>
      </c>
      <c r="AA1123" s="103" t="s">
        <v>47</v>
      </c>
      <c r="AB1123" s="103" t="s">
        <v>140</v>
      </c>
      <c r="AC1123" s="104" t="s">
        <v>141</v>
      </c>
    </row>
    <row r="1124" spans="1:29" ht="25.5" customHeight="1" x14ac:dyDescent="0.35">
      <c r="A1124" s="188"/>
      <c r="B1124" s="190"/>
      <c r="C1124" s="99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0"/>
      <c r="E1124" s="78" t="str">
        <f>IF(C1124="","",IFERROR(VLOOKUP(C1124,parametros!$A$11:$E$15,5,0),""))</f>
        <v/>
      </c>
      <c r="F1124" s="79" t="str">
        <f t="shared" si="87"/>
        <v/>
      </c>
      <c r="G1124" s="101"/>
      <c r="H1124" s="91">
        <f t="shared" si="88"/>
        <v>0</v>
      </c>
      <c r="I1124" s="91" t="str">
        <f t="shared" si="89"/>
        <v/>
      </c>
      <c r="J1124" s="91" t="str">
        <f t="shared" si="90"/>
        <v/>
      </c>
      <c r="K1124" s="92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2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58"/>
      <c r="U1124" s="217" t="str">
        <f t="shared" si="91"/>
        <v/>
      </c>
      <c r="V1124" s="215" t="s">
        <v>47</v>
      </c>
      <c r="W1124" s="102" t="s">
        <v>136</v>
      </c>
      <c r="X1124" s="102" t="s">
        <v>137</v>
      </c>
      <c r="Y1124" s="103" t="s">
        <v>138</v>
      </c>
      <c r="Z1124" s="103" t="s">
        <v>139</v>
      </c>
      <c r="AA1124" s="103" t="s">
        <v>47</v>
      </c>
      <c r="AB1124" s="103" t="s">
        <v>140</v>
      </c>
      <c r="AC1124" s="104" t="s">
        <v>141</v>
      </c>
    </row>
    <row r="1125" spans="1:29" ht="25.5" customHeight="1" x14ac:dyDescent="0.35">
      <c r="A1125" s="188"/>
      <c r="B1125" s="190"/>
      <c r="C1125" s="99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0"/>
      <c r="E1125" s="78" t="str">
        <f>IF(C1125="","",IFERROR(VLOOKUP(C1125,parametros!$A$11:$E$15,5,0),""))</f>
        <v/>
      </c>
      <c r="F1125" s="79" t="str">
        <f t="shared" si="87"/>
        <v/>
      </c>
      <c r="G1125" s="101"/>
      <c r="H1125" s="91">
        <f t="shared" si="88"/>
        <v>0</v>
      </c>
      <c r="I1125" s="91" t="str">
        <f t="shared" si="89"/>
        <v/>
      </c>
      <c r="J1125" s="91" t="str">
        <f t="shared" si="90"/>
        <v/>
      </c>
      <c r="K1125" s="92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2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58"/>
      <c r="U1125" s="217" t="str">
        <f t="shared" si="91"/>
        <v/>
      </c>
      <c r="V1125" s="215" t="s">
        <v>47</v>
      </c>
      <c r="W1125" s="102" t="s">
        <v>136</v>
      </c>
      <c r="X1125" s="102" t="s">
        <v>137</v>
      </c>
      <c r="Y1125" s="103" t="s">
        <v>138</v>
      </c>
      <c r="Z1125" s="103" t="s">
        <v>139</v>
      </c>
      <c r="AA1125" s="103" t="s">
        <v>47</v>
      </c>
      <c r="AB1125" s="103" t="s">
        <v>140</v>
      </c>
      <c r="AC1125" s="104" t="s">
        <v>141</v>
      </c>
    </row>
    <row r="1126" spans="1:29" ht="25.5" customHeight="1" x14ac:dyDescent="0.35">
      <c r="A1126" s="188"/>
      <c r="B1126" s="190"/>
      <c r="C1126" s="99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0"/>
      <c r="E1126" s="78" t="str">
        <f>IF(C1126="","",IFERROR(VLOOKUP(C1126,parametros!$A$11:$E$15,5,0),""))</f>
        <v/>
      </c>
      <c r="F1126" s="79" t="str">
        <f t="shared" si="87"/>
        <v/>
      </c>
      <c r="G1126" s="101"/>
      <c r="H1126" s="91">
        <f t="shared" si="88"/>
        <v>0</v>
      </c>
      <c r="I1126" s="91" t="str">
        <f t="shared" si="89"/>
        <v/>
      </c>
      <c r="J1126" s="91" t="str">
        <f t="shared" si="90"/>
        <v/>
      </c>
      <c r="K1126" s="92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2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58"/>
      <c r="U1126" s="217" t="str">
        <f t="shared" si="91"/>
        <v/>
      </c>
      <c r="V1126" s="215" t="s">
        <v>47</v>
      </c>
      <c r="W1126" s="102" t="s">
        <v>136</v>
      </c>
      <c r="X1126" s="102" t="s">
        <v>137</v>
      </c>
      <c r="Y1126" s="103" t="s">
        <v>138</v>
      </c>
      <c r="Z1126" s="103" t="s">
        <v>139</v>
      </c>
      <c r="AA1126" s="103" t="s">
        <v>47</v>
      </c>
      <c r="AB1126" s="103" t="s">
        <v>140</v>
      </c>
      <c r="AC1126" s="104" t="s">
        <v>141</v>
      </c>
    </row>
    <row r="1127" spans="1:29" ht="25.5" customHeight="1" x14ac:dyDescent="0.35">
      <c r="A1127" s="188"/>
      <c r="B1127" s="190"/>
      <c r="C1127" s="99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0"/>
      <c r="E1127" s="78" t="str">
        <f>IF(C1127="","",IFERROR(VLOOKUP(C1127,parametros!$A$11:$E$15,5,0),""))</f>
        <v/>
      </c>
      <c r="F1127" s="79" t="str">
        <f t="shared" si="87"/>
        <v/>
      </c>
      <c r="G1127" s="101"/>
      <c r="H1127" s="91">
        <f t="shared" si="88"/>
        <v>0</v>
      </c>
      <c r="I1127" s="91" t="str">
        <f t="shared" si="89"/>
        <v/>
      </c>
      <c r="J1127" s="91" t="str">
        <f t="shared" si="90"/>
        <v/>
      </c>
      <c r="K1127" s="92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2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58"/>
      <c r="U1127" s="217" t="str">
        <f t="shared" si="91"/>
        <v/>
      </c>
      <c r="V1127" s="215" t="s">
        <v>47</v>
      </c>
      <c r="W1127" s="102" t="s">
        <v>136</v>
      </c>
      <c r="X1127" s="102" t="s">
        <v>137</v>
      </c>
      <c r="Y1127" s="103" t="s">
        <v>138</v>
      </c>
      <c r="Z1127" s="103" t="s">
        <v>139</v>
      </c>
      <c r="AA1127" s="103" t="s">
        <v>47</v>
      </c>
      <c r="AB1127" s="103" t="s">
        <v>140</v>
      </c>
      <c r="AC1127" s="104" t="s">
        <v>141</v>
      </c>
    </row>
    <row r="1128" spans="1:29" ht="25.5" customHeight="1" x14ac:dyDescent="0.35">
      <c r="A1128" s="188"/>
      <c r="B1128" s="190"/>
      <c r="C1128" s="99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0"/>
      <c r="E1128" s="78" t="str">
        <f>IF(C1128="","",IFERROR(VLOOKUP(C1128,parametros!$A$11:$E$15,5,0),""))</f>
        <v/>
      </c>
      <c r="F1128" s="79" t="str">
        <f t="shared" si="87"/>
        <v/>
      </c>
      <c r="G1128" s="101"/>
      <c r="H1128" s="91">
        <f t="shared" si="88"/>
        <v>0</v>
      </c>
      <c r="I1128" s="91" t="str">
        <f t="shared" si="89"/>
        <v/>
      </c>
      <c r="J1128" s="91" t="str">
        <f t="shared" si="90"/>
        <v/>
      </c>
      <c r="K1128" s="92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2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58"/>
      <c r="U1128" s="217" t="str">
        <f t="shared" si="91"/>
        <v/>
      </c>
      <c r="V1128" s="215" t="s">
        <v>47</v>
      </c>
      <c r="W1128" s="102" t="s">
        <v>136</v>
      </c>
      <c r="X1128" s="102" t="s">
        <v>137</v>
      </c>
      <c r="Y1128" s="103" t="s">
        <v>138</v>
      </c>
      <c r="Z1128" s="103" t="s">
        <v>139</v>
      </c>
      <c r="AA1128" s="103" t="s">
        <v>47</v>
      </c>
      <c r="AB1128" s="103" t="s">
        <v>140</v>
      </c>
      <c r="AC1128" s="104" t="s">
        <v>141</v>
      </c>
    </row>
    <row r="1129" spans="1:29" ht="25.5" customHeight="1" x14ac:dyDescent="0.35">
      <c r="A1129" s="188"/>
      <c r="B1129" s="190"/>
      <c r="C1129" s="99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0"/>
      <c r="E1129" s="78" t="str">
        <f>IF(C1129="","",IFERROR(VLOOKUP(C1129,parametros!$A$11:$E$15,5,0),""))</f>
        <v/>
      </c>
      <c r="F1129" s="79" t="str">
        <f t="shared" si="87"/>
        <v/>
      </c>
      <c r="G1129" s="101"/>
      <c r="H1129" s="91">
        <f t="shared" si="88"/>
        <v>0</v>
      </c>
      <c r="I1129" s="91" t="str">
        <f t="shared" si="89"/>
        <v/>
      </c>
      <c r="J1129" s="91" t="str">
        <f t="shared" si="90"/>
        <v/>
      </c>
      <c r="K1129" s="92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2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58"/>
      <c r="U1129" s="217" t="str">
        <f t="shared" si="91"/>
        <v/>
      </c>
      <c r="V1129" s="215" t="s">
        <v>47</v>
      </c>
      <c r="W1129" s="102" t="s">
        <v>136</v>
      </c>
      <c r="X1129" s="102" t="s">
        <v>137</v>
      </c>
      <c r="Y1129" s="103" t="s">
        <v>138</v>
      </c>
      <c r="Z1129" s="103" t="s">
        <v>139</v>
      </c>
      <c r="AA1129" s="103" t="s">
        <v>47</v>
      </c>
      <c r="AB1129" s="103" t="s">
        <v>140</v>
      </c>
      <c r="AC1129" s="104" t="s">
        <v>141</v>
      </c>
    </row>
    <row r="1130" spans="1:29" ht="25.5" customHeight="1" x14ac:dyDescent="0.35">
      <c r="A1130" s="188"/>
      <c r="B1130" s="190"/>
      <c r="C1130" s="99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0"/>
      <c r="E1130" s="78" t="str">
        <f>IF(C1130="","",IFERROR(VLOOKUP(C1130,parametros!$A$11:$E$15,5,0),""))</f>
        <v/>
      </c>
      <c r="F1130" s="79" t="str">
        <f t="shared" si="87"/>
        <v/>
      </c>
      <c r="G1130" s="101"/>
      <c r="H1130" s="91">
        <f t="shared" si="88"/>
        <v>0</v>
      </c>
      <c r="I1130" s="91" t="str">
        <f t="shared" si="89"/>
        <v/>
      </c>
      <c r="J1130" s="91" t="str">
        <f t="shared" si="90"/>
        <v/>
      </c>
      <c r="K1130" s="92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2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58"/>
      <c r="U1130" s="217" t="str">
        <f t="shared" si="91"/>
        <v/>
      </c>
      <c r="V1130" s="215" t="s">
        <v>47</v>
      </c>
      <c r="W1130" s="102" t="s">
        <v>136</v>
      </c>
      <c r="X1130" s="102" t="s">
        <v>137</v>
      </c>
      <c r="Y1130" s="103" t="s">
        <v>138</v>
      </c>
      <c r="Z1130" s="103" t="s">
        <v>139</v>
      </c>
      <c r="AA1130" s="103" t="s">
        <v>47</v>
      </c>
      <c r="AB1130" s="103" t="s">
        <v>140</v>
      </c>
      <c r="AC1130" s="104" t="s">
        <v>141</v>
      </c>
    </row>
    <row r="1131" spans="1:29" ht="25.5" customHeight="1" x14ac:dyDescent="0.35">
      <c r="A1131" s="188"/>
      <c r="B1131" s="190"/>
      <c r="C1131" s="99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0"/>
      <c r="E1131" s="78" t="str">
        <f>IF(C1131="","",IFERROR(VLOOKUP(C1131,parametros!$A$11:$E$15,5,0),""))</f>
        <v/>
      </c>
      <c r="F1131" s="79" t="str">
        <f t="shared" si="87"/>
        <v/>
      </c>
      <c r="G1131" s="101"/>
      <c r="H1131" s="91">
        <f t="shared" si="88"/>
        <v>0</v>
      </c>
      <c r="I1131" s="91" t="str">
        <f t="shared" si="89"/>
        <v/>
      </c>
      <c r="J1131" s="91" t="str">
        <f t="shared" si="90"/>
        <v/>
      </c>
      <c r="K1131" s="92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2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58"/>
      <c r="U1131" s="217" t="str">
        <f t="shared" si="91"/>
        <v/>
      </c>
      <c r="V1131" s="215" t="s">
        <v>47</v>
      </c>
      <c r="W1131" s="102" t="s">
        <v>136</v>
      </c>
      <c r="X1131" s="102" t="s">
        <v>137</v>
      </c>
      <c r="Y1131" s="103" t="s">
        <v>138</v>
      </c>
      <c r="Z1131" s="103" t="s">
        <v>139</v>
      </c>
      <c r="AA1131" s="103" t="s">
        <v>47</v>
      </c>
      <c r="AB1131" s="103" t="s">
        <v>140</v>
      </c>
      <c r="AC1131" s="104" t="s">
        <v>141</v>
      </c>
    </row>
    <row r="1132" spans="1:29" ht="25.5" customHeight="1" x14ac:dyDescent="0.35">
      <c r="A1132" s="188"/>
      <c r="B1132" s="190"/>
      <c r="C1132" s="99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0"/>
      <c r="E1132" s="78" t="str">
        <f>IF(C1132="","",IFERROR(VLOOKUP(C1132,parametros!$A$11:$E$15,5,0),""))</f>
        <v/>
      </c>
      <c r="F1132" s="79" t="str">
        <f t="shared" si="87"/>
        <v/>
      </c>
      <c r="G1132" s="101"/>
      <c r="H1132" s="91">
        <f t="shared" si="88"/>
        <v>0</v>
      </c>
      <c r="I1132" s="91" t="str">
        <f t="shared" si="89"/>
        <v/>
      </c>
      <c r="J1132" s="91" t="str">
        <f t="shared" si="90"/>
        <v/>
      </c>
      <c r="K1132" s="92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2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58"/>
      <c r="U1132" s="217" t="str">
        <f t="shared" si="91"/>
        <v/>
      </c>
      <c r="V1132" s="215" t="s">
        <v>47</v>
      </c>
      <c r="W1132" s="102" t="s">
        <v>136</v>
      </c>
      <c r="X1132" s="102" t="s">
        <v>137</v>
      </c>
      <c r="Y1132" s="103" t="s">
        <v>138</v>
      </c>
      <c r="Z1132" s="103" t="s">
        <v>139</v>
      </c>
      <c r="AA1132" s="103" t="s">
        <v>47</v>
      </c>
      <c r="AB1132" s="103" t="s">
        <v>140</v>
      </c>
      <c r="AC1132" s="104" t="s">
        <v>141</v>
      </c>
    </row>
    <row r="1133" spans="1:29" ht="25.5" customHeight="1" x14ac:dyDescent="0.35">
      <c r="A1133" s="188"/>
      <c r="B1133" s="190"/>
      <c r="C1133" s="99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0"/>
      <c r="E1133" s="78" t="str">
        <f>IF(C1133="","",IFERROR(VLOOKUP(C1133,parametros!$A$11:$E$15,5,0),""))</f>
        <v/>
      </c>
      <c r="F1133" s="79" t="str">
        <f t="shared" si="87"/>
        <v/>
      </c>
      <c r="G1133" s="101"/>
      <c r="H1133" s="91">
        <f t="shared" si="88"/>
        <v>0</v>
      </c>
      <c r="I1133" s="91" t="str">
        <f t="shared" si="89"/>
        <v/>
      </c>
      <c r="J1133" s="91" t="str">
        <f t="shared" si="90"/>
        <v/>
      </c>
      <c r="K1133" s="92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2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58"/>
      <c r="U1133" s="217" t="str">
        <f t="shared" si="91"/>
        <v/>
      </c>
      <c r="V1133" s="215" t="s">
        <v>47</v>
      </c>
      <c r="W1133" s="102" t="s">
        <v>136</v>
      </c>
      <c r="X1133" s="102" t="s">
        <v>137</v>
      </c>
      <c r="Y1133" s="103" t="s">
        <v>138</v>
      </c>
      <c r="Z1133" s="103" t="s">
        <v>139</v>
      </c>
      <c r="AA1133" s="103" t="s">
        <v>47</v>
      </c>
      <c r="AB1133" s="103" t="s">
        <v>140</v>
      </c>
      <c r="AC1133" s="104" t="s">
        <v>141</v>
      </c>
    </row>
    <row r="1134" spans="1:29" ht="25.5" customHeight="1" x14ac:dyDescent="0.35">
      <c r="A1134" s="188"/>
      <c r="B1134" s="190"/>
      <c r="C1134" s="99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0"/>
      <c r="E1134" s="78" t="str">
        <f>IF(C1134="","",IFERROR(VLOOKUP(C1134,parametros!$A$11:$E$15,5,0),""))</f>
        <v/>
      </c>
      <c r="F1134" s="79" t="str">
        <f t="shared" si="87"/>
        <v/>
      </c>
      <c r="G1134" s="101"/>
      <c r="H1134" s="91">
        <f t="shared" si="88"/>
        <v>0</v>
      </c>
      <c r="I1134" s="91" t="str">
        <f t="shared" si="89"/>
        <v/>
      </c>
      <c r="J1134" s="91" t="str">
        <f t="shared" si="90"/>
        <v/>
      </c>
      <c r="K1134" s="92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2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58"/>
      <c r="U1134" s="217" t="str">
        <f t="shared" si="91"/>
        <v/>
      </c>
      <c r="V1134" s="215" t="s">
        <v>47</v>
      </c>
      <c r="W1134" s="102" t="s">
        <v>136</v>
      </c>
      <c r="X1134" s="102" t="s">
        <v>137</v>
      </c>
      <c r="Y1134" s="103" t="s">
        <v>138</v>
      </c>
      <c r="Z1134" s="103" t="s">
        <v>139</v>
      </c>
      <c r="AA1134" s="103" t="s">
        <v>47</v>
      </c>
      <c r="AB1134" s="103" t="s">
        <v>140</v>
      </c>
      <c r="AC1134" s="104" t="s">
        <v>141</v>
      </c>
    </row>
    <row r="1135" spans="1:29" ht="25.5" customHeight="1" x14ac:dyDescent="0.35">
      <c r="A1135" s="188"/>
      <c r="B1135" s="190"/>
      <c r="C1135" s="99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0"/>
      <c r="E1135" s="78" t="str">
        <f>IF(C1135="","",IFERROR(VLOOKUP(C1135,parametros!$A$11:$E$15,5,0),""))</f>
        <v/>
      </c>
      <c r="F1135" s="79" t="str">
        <f t="shared" si="87"/>
        <v/>
      </c>
      <c r="G1135" s="101"/>
      <c r="H1135" s="91">
        <f t="shared" si="88"/>
        <v>0</v>
      </c>
      <c r="I1135" s="91" t="str">
        <f t="shared" si="89"/>
        <v/>
      </c>
      <c r="J1135" s="91" t="str">
        <f t="shared" si="90"/>
        <v/>
      </c>
      <c r="K1135" s="92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2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58"/>
      <c r="U1135" s="217" t="str">
        <f t="shared" si="91"/>
        <v/>
      </c>
      <c r="V1135" s="215" t="s">
        <v>47</v>
      </c>
      <c r="W1135" s="102" t="s">
        <v>136</v>
      </c>
      <c r="X1135" s="102" t="s">
        <v>137</v>
      </c>
      <c r="Y1135" s="103" t="s">
        <v>138</v>
      </c>
      <c r="Z1135" s="103" t="s">
        <v>139</v>
      </c>
      <c r="AA1135" s="103" t="s">
        <v>47</v>
      </c>
      <c r="AB1135" s="103" t="s">
        <v>140</v>
      </c>
      <c r="AC1135" s="104" t="s">
        <v>141</v>
      </c>
    </row>
    <row r="1136" spans="1:29" ht="25.5" customHeight="1" x14ac:dyDescent="0.35">
      <c r="A1136" s="188"/>
      <c r="B1136" s="190"/>
      <c r="C1136" s="99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0"/>
      <c r="E1136" s="78" t="str">
        <f>IF(C1136="","",IFERROR(VLOOKUP(C1136,parametros!$A$11:$E$15,5,0),""))</f>
        <v/>
      </c>
      <c r="F1136" s="79" t="str">
        <f t="shared" si="87"/>
        <v/>
      </c>
      <c r="G1136" s="101"/>
      <c r="H1136" s="91">
        <f t="shared" si="88"/>
        <v>0</v>
      </c>
      <c r="I1136" s="91" t="str">
        <f t="shared" si="89"/>
        <v/>
      </c>
      <c r="J1136" s="91" t="str">
        <f t="shared" si="90"/>
        <v/>
      </c>
      <c r="K1136" s="92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2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58"/>
      <c r="U1136" s="217" t="str">
        <f t="shared" si="91"/>
        <v/>
      </c>
      <c r="V1136" s="215" t="s">
        <v>47</v>
      </c>
      <c r="W1136" s="102" t="s">
        <v>136</v>
      </c>
      <c r="X1136" s="102" t="s">
        <v>137</v>
      </c>
      <c r="Y1136" s="103" t="s">
        <v>138</v>
      </c>
      <c r="Z1136" s="103" t="s">
        <v>139</v>
      </c>
      <c r="AA1136" s="103" t="s">
        <v>47</v>
      </c>
      <c r="AB1136" s="103" t="s">
        <v>140</v>
      </c>
      <c r="AC1136" s="104" t="s">
        <v>141</v>
      </c>
    </row>
    <row r="1137" spans="1:29" ht="25.5" customHeight="1" x14ac:dyDescent="0.35">
      <c r="A1137" s="188"/>
      <c r="B1137" s="190"/>
      <c r="C1137" s="99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0"/>
      <c r="E1137" s="78" t="str">
        <f>IF(C1137="","",IFERROR(VLOOKUP(C1137,parametros!$A$11:$E$15,5,0),""))</f>
        <v/>
      </c>
      <c r="F1137" s="79" t="str">
        <f t="shared" si="87"/>
        <v/>
      </c>
      <c r="G1137" s="101"/>
      <c r="H1137" s="91">
        <f t="shared" si="88"/>
        <v>0</v>
      </c>
      <c r="I1137" s="91" t="str">
        <f t="shared" si="89"/>
        <v/>
      </c>
      <c r="J1137" s="91" t="str">
        <f t="shared" si="90"/>
        <v/>
      </c>
      <c r="K1137" s="92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2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58"/>
      <c r="U1137" s="217" t="str">
        <f t="shared" si="91"/>
        <v/>
      </c>
      <c r="V1137" s="215" t="s">
        <v>47</v>
      </c>
      <c r="W1137" s="102" t="s">
        <v>136</v>
      </c>
      <c r="X1137" s="102" t="s">
        <v>137</v>
      </c>
      <c r="Y1137" s="103" t="s">
        <v>138</v>
      </c>
      <c r="Z1137" s="103" t="s">
        <v>139</v>
      </c>
      <c r="AA1137" s="103" t="s">
        <v>47</v>
      </c>
      <c r="AB1137" s="103" t="s">
        <v>140</v>
      </c>
      <c r="AC1137" s="104" t="s">
        <v>141</v>
      </c>
    </row>
    <row r="1138" spans="1:29" ht="25.5" customHeight="1" x14ac:dyDescent="0.35">
      <c r="A1138" s="188"/>
      <c r="B1138" s="190"/>
      <c r="C1138" s="99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0"/>
      <c r="E1138" s="78" t="str">
        <f>IF(C1138="","",IFERROR(VLOOKUP(C1138,parametros!$A$11:$E$15,5,0),""))</f>
        <v/>
      </c>
      <c r="F1138" s="79" t="str">
        <f t="shared" si="87"/>
        <v/>
      </c>
      <c r="G1138" s="101"/>
      <c r="H1138" s="91">
        <f t="shared" si="88"/>
        <v>0</v>
      </c>
      <c r="I1138" s="91" t="str">
        <f t="shared" si="89"/>
        <v/>
      </c>
      <c r="J1138" s="91" t="str">
        <f t="shared" si="90"/>
        <v/>
      </c>
      <c r="K1138" s="92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2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58"/>
      <c r="U1138" s="217" t="str">
        <f t="shared" si="91"/>
        <v/>
      </c>
      <c r="V1138" s="215" t="s">
        <v>47</v>
      </c>
      <c r="W1138" s="102" t="s">
        <v>136</v>
      </c>
      <c r="X1138" s="102" t="s">
        <v>137</v>
      </c>
      <c r="Y1138" s="103" t="s">
        <v>138</v>
      </c>
      <c r="Z1138" s="103" t="s">
        <v>139</v>
      </c>
      <c r="AA1138" s="103" t="s">
        <v>47</v>
      </c>
      <c r="AB1138" s="103" t="s">
        <v>140</v>
      </c>
      <c r="AC1138" s="104" t="s">
        <v>141</v>
      </c>
    </row>
    <row r="1139" spans="1:29" ht="25.5" customHeight="1" x14ac:dyDescent="0.35">
      <c r="A1139" s="188"/>
      <c r="B1139" s="190"/>
      <c r="C1139" s="99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0"/>
      <c r="E1139" s="78" t="str">
        <f>IF(C1139="","",IFERROR(VLOOKUP(C1139,parametros!$A$11:$E$15,5,0),""))</f>
        <v/>
      </c>
      <c r="F1139" s="79" t="str">
        <f t="shared" si="87"/>
        <v/>
      </c>
      <c r="G1139" s="101"/>
      <c r="H1139" s="91">
        <f t="shared" si="88"/>
        <v>0</v>
      </c>
      <c r="I1139" s="91" t="str">
        <f t="shared" si="89"/>
        <v/>
      </c>
      <c r="J1139" s="91" t="str">
        <f t="shared" si="90"/>
        <v/>
      </c>
      <c r="K1139" s="92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2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58"/>
      <c r="U1139" s="217" t="str">
        <f t="shared" si="91"/>
        <v/>
      </c>
      <c r="V1139" s="215" t="s">
        <v>47</v>
      </c>
      <c r="W1139" s="102" t="s">
        <v>136</v>
      </c>
      <c r="X1139" s="102" t="s">
        <v>137</v>
      </c>
      <c r="Y1139" s="103" t="s">
        <v>138</v>
      </c>
      <c r="Z1139" s="103" t="s">
        <v>139</v>
      </c>
      <c r="AA1139" s="103" t="s">
        <v>47</v>
      </c>
      <c r="AB1139" s="103" t="s">
        <v>140</v>
      </c>
      <c r="AC1139" s="104" t="s">
        <v>141</v>
      </c>
    </row>
    <row r="1140" spans="1:29" ht="25.5" customHeight="1" x14ac:dyDescent="0.35">
      <c r="A1140" s="188"/>
      <c r="B1140" s="190"/>
      <c r="C1140" s="99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0"/>
      <c r="E1140" s="78" t="str">
        <f>IF(C1140="","",IFERROR(VLOOKUP(C1140,parametros!$A$11:$E$15,5,0),""))</f>
        <v/>
      </c>
      <c r="F1140" s="79" t="str">
        <f t="shared" si="87"/>
        <v/>
      </c>
      <c r="G1140" s="101"/>
      <c r="H1140" s="91">
        <f t="shared" si="88"/>
        <v>0</v>
      </c>
      <c r="I1140" s="91" t="str">
        <f t="shared" si="89"/>
        <v/>
      </c>
      <c r="J1140" s="91" t="str">
        <f t="shared" si="90"/>
        <v/>
      </c>
      <c r="K1140" s="92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2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58"/>
      <c r="U1140" s="217" t="str">
        <f t="shared" si="91"/>
        <v/>
      </c>
      <c r="V1140" s="215" t="s">
        <v>47</v>
      </c>
      <c r="W1140" s="102" t="s">
        <v>136</v>
      </c>
      <c r="X1140" s="102" t="s">
        <v>137</v>
      </c>
      <c r="Y1140" s="103" t="s">
        <v>138</v>
      </c>
      <c r="Z1140" s="103" t="s">
        <v>139</v>
      </c>
      <c r="AA1140" s="103" t="s">
        <v>47</v>
      </c>
      <c r="AB1140" s="103" t="s">
        <v>140</v>
      </c>
      <c r="AC1140" s="104" t="s">
        <v>141</v>
      </c>
    </row>
    <row r="1141" spans="1:29" ht="25.5" customHeight="1" x14ac:dyDescent="0.35">
      <c r="A1141" s="188"/>
      <c r="B1141" s="190"/>
      <c r="C1141" s="99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0"/>
      <c r="E1141" s="78" t="str">
        <f>IF(C1141="","",IFERROR(VLOOKUP(C1141,parametros!$A$11:$E$15,5,0),""))</f>
        <v/>
      </c>
      <c r="F1141" s="79" t="str">
        <f t="shared" si="87"/>
        <v/>
      </c>
      <c r="G1141" s="101"/>
      <c r="H1141" s="91">
        <f t="shared" si="88"/>
        <v>0</v>
      </c>
      <c r="I1141" s="91" t="str">
        <f t="shared" si="89"/>
        <v/>
      </c>
      <c r="J1141" s="91" t="str">
        <f t="shared" si="90"/>
        <v/>
      </c>
      <c r="K1141" s="92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2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58"/>
      <c r="U1141" s="217" t="str">
        <f t="shared" si="91"/>
        <v/>
      </c>
      <c r="V1141" s="215" t="s">
        <v>47</v>
      </c>
      <c r="W1141" s="102" t="s">
        <v>136</v>
      </c>
      <c r="X1141" s="102" t="s">
        <v>137</v>
      </c>
      <c r="Y1141" s="103" t="s">
        <v>138</v>
      </c>
      <c r="Z1141" s="103" t="s">
        <v>139</v>
      </c>
      <c r="AA1141" s="103" t="s">
        <v>47</v>
      </c>
      <c r="AB1141" s="103" t="s">
        <v>140</v>
      </c>
      <c r="AC1141" s="104" t="s">
        <v>141</v>
      </c>
    </row>
    <row r="1142" spans="1:29" ht="25.5" customHeight="1" x14ac:dyDescent="0.35">
      <c r="A1142" s="188"/>
      <c r="B1142" s="190"/>
      <c r="C1142" s="99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0"/>
      <c r="E1142" s="78" t="str">
        <f>IF(C1142="","",IFERROR(VLOOKUP(C1142,parametros!$A$11:$E$15,5,0),""))</f>
        <v/>
      </c>
      <c r="F1142" s="79" t="str">
        <f t="shared" si="87"/>
        <v/>
      </c>
      <c r="G1142" s="101"/>
      <c r="H1142" s="91">
        <f t="shared" si="88"/>
        <v>0</v>
      </c>
      <c r="I1142" s="91" t="str">
        <f t="shared" si="89"/>
        <v/>
      </c>
      <c r="J1142" s="91" t="str">
        <f t="shared" si="90"/>
        <v/>
      </c>
      <c r="K1142" s="92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2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58"/>
      <c r="U1142" s="217" t="str">
        <f t="shared" si="91"/>
        <v/>
      </c>
      <c r="V1142" s="215" t="s">
        <v>47</v>
      </c>
      <c r="W1142" s="102" t="s">
        <v>136</v>
      </c>
      <c r="X1142" s="102" t="s">
        <v>137</v>
      </c>
      <c r="Y1142" s="103" t="s">
        <v>138</v>
      </c>
      <c r="Z1142" s="103" t="s">
        <v>139</v>
      </c>
      <c r="AA1142" s="103" t="s">
        <v>47</v>
      </c>
      <c r="AB1142" s="103" t="s">
        <v>140</v>
      </c>
      <c r="AC1142" s="104" t="s">
        <v>141</v>
      </c>
    </row>
    <row r="1143" spans="1:29" ht="25.5" customHeight="1" x14ac:dyDescent="0.35">
      <c r="A1143" s="188"/>
      <c r="B1143" s="190"/>
      <c r="C1143" s="99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0"/>
      <c r="E1143" s="78" t="str">
        <f>IF(C1143="","",IFERROR(VLOOKUP(C1143,parametros!$A$11:$E$15,5,0),""))</f>
        <v/>
      </c>
      <c r="F1143" s="79" t="str">
        <f t="shared" si="87"/>
        <v/>
      </c>
      <c r="G1143" s="101"/>
      <c r="H1143" s="91">
        <f t="shared" si="88"/>
        <v>0</v>
      </c>
      <c r="I1143" s="91" t="str">
        <f t="shared" si="89"/>
        <v/>
      </c>
      <c r="J1143" s="91" t="str">
        <f t="shared" si="90"/>
        <v/>
      </c>
      <c r="K1143" s="92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2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58"/>
      <c r="U1143" s="217" t="str">
        <f t="shared" si="91"/>
        <v/>
      </c>
      <c r="V1143" s="215" t="s">
        <v>47</v>
      </c>
      <c r="W1143" s="102" t="s">
        <v>136</v>
      </c>
      <c r="X1143" s="102" t="s">
        <v>137</v>
      </c>
      <c r="Y1143" s="103" t="s">
        <v>138</v>
      </c>
      <c r="Z1143" s="103" t="s">
        <v>139</v>
      </c>
      <c r="AA1143" s="103" t="s">
        <v>47</v>
      </c>
      <c r="AB1143" s="103" t="s">
        <v>140</v>
      </c>
      <c r="AC1143" s="104" t="s">
        <v>141</v>
      </c>
    </row>
    <row r="1144" spans="1:29" ht="25.5" customHeight="1" x14ac:dyDescent="0.35">
      <c r="A1144" s="188"/>
      <c r="B1144" s="190"/>
      <c r="C1144" s="99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0"/>
      <c r="E1144" s="78" t="str">
        <f>IF(C1144="","",IFERROR(VLOOKUP(C1144,parametros!$A$11:$E$15,5,0),""))</f>
        <v/>
      </c>
      <c r="F1144" s="79" t="str">
        <f t="shared" si="87"/>
        <v/>
      </c>
      <c r="G1144" s="101"/>
      <c r="H1144" s="91">
        <f t="shared" si="88"/>
        <v>0</v>
      </c>
      <c r="I1144" s="91" t="str">
        <f t="shared" si="89"/>
        <v/>
      </c>
      <c r="J1144" s="91" t="str">
        <f t="shared" si="90"/>
        <v/>
      </c>
      <c r="K1144" s="92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2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58"/>
      <c r="U1144" s="217" t="str">
        <f t="shared" si="91"/>
        <v/>
      </c>
      <c r="V1144" s="215" t="s">
        <v>47</v>
      </c>
      <c r="W1144" s="102" t="s">
        <v>136</v>
      </c>
      <c r="X1144" s="102" t="s">
        <v>137</v>
      </c>
      <c r="Y1144" s="103" t="s">
        <v>138</v>
      </c>
      <c r="Z1144" s="103" t="s">
        <v>139</v>
      </c>
      <c r="AA1144" s="103" t="s">
        <v>47</v>
      </c>
      <c r="AB1144" s="103" t="s">
        <v>140</v>
      </c>
      <c r="AC1144" s="104" t="s">
        <v>141</v>
      </c>
    </row>
    <row r="1145" spans="1:29" ht="25.5" customHeight="1" x14ac:dyDescent="0.35">
      <c r="A1145" s="188"/>
      <c r="B1145" s="190"/>
      <c r="C1145" s="99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0"/>
      <c r="E1145" s="78" t="str">
        <f>IF(C1145="","",IFERROR(VLOOKUP(C1145,parametros!$A$11:$E$15,5,0),""))</f>
        <v/>
      </c>
      <c r="F1145" s="79" t="str">
        <f t="shared" si="87"/>
        <v/>
      </c>
      <c r="G1145" s="101"/>
      <c r="H1145" s="91">
        <f t="shared" si="88"/>
        <v>0</v>
      </c>
      <c r="I1145" s="91" t="str">
        <f t="shared" si="89"/>
        <v/>
      </c>
      <c r="J1145" s="91" t="str">
        <f t="shared" si="90"/>
        <v/>
      </c>
      <c r="K1145" s="92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2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58"/>
      <c r="U1145" s="217" t="str">
        <f t="shared" si="91"/>
        <v/>
      </c>
      <c r="V1145" s="215" t="s">
        <v>47</v>
      </c>
      <c r="W1145" s="102" t="s">
        <v>136</v>
      </c>
      <c r="X1145" s="102" t="s">
        <v>137</v>
      </c>
      <c r="Y1145" s="103" t="s">
        <v>138</v>
      </c>
      <c r="Z1145" s="103" t="s">
        <v>139</v>
      </c>
      <c r="AA1145" s="103" t="s">
        <v>47</v>
      </c>
      <c r="AB1145" s="103" t="s">
        <v>140</v>
      </c>
      <c r="AC1145" s="104" t="s">
        <v>141</v>
      </c>
    </row>
    <row r="1146" spans="1:29" ht="25.5" customHeight="1" x14ac:dyDescent="0.35">
      <c r="A1146" s="188"/>
      <c r="B1146" s="190"/>
      <c r="C1146" s="99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0"/>
      <c r="E1146" s="78" t="str">
        <f>IF(C1146="","",IFERROR(VLOOKUP(C1146,parametros!$A$11:$E$15,5,0),""))</f>
        <v/>
      </c>
      <c r="F1146" s="79" t="str">
        <f t="shared" si="87"/>
        <v/>
      </c>
      <c r="G1146" s="101"/>
      <c r="H1146" s="91">
        <f t="shared" si="88"/>
        <v>0</v>
      </c>
      <c r="I1146" s="91" t="str">
        <f t="shared" si="89"/>
        <v/>
      </c>
      <c r="J1146" s="91" t="str">
        <f t="shared" si="90"/>
        <v/>
      </c>
      <c r="K1146" s="92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2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58"/>
      <c r="U1146" s="217" t="str">
        <f t="shared" si="91"/>
        <v/>
      </c>
      <c r="V1146" s="215" t="s">
        <v>47</v>
      </c>
      <c r="W1146" s="102" t="s">
        <v>136</v>
      </c>
      <c r="X1146" s="102" t="s">
        <v>137</v>
      </c>
      <c r="Y1146" s="103" t="s">
        <v>138</v>
      </c>
      <c r="Z1146" s="103" t="s">
        <v>139</v>
      </c>
      <c r="AA1146" s="103" t="s">
        <v>47</v>
      </c>
      <c r="AB1146" s="103" t="s">
        <v>140</v>
      </c>
      <c r="AC1146" s="104" t="s">
        <v>141</v>
      </c>
    </row>
    <row r="1147" spans="1:29" ht="25.5" customHeight="1" x14ac:dyDescent="0.35">
      <c r="A1147" s="188"/>
      <c r="B1147" s="190"/>
      <c r="C1147" s="99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0"/>
      <c r="E1147" s="78" t="str">
        <f>IF(C1147="","",IFERROR(VLOOKUP(C1147,parametros!$A$11:$E$15,5,0),""))</f>
        <v/>
      </c>
      <c r="F1147" s="79" t="str">
        <f t="shared" si="87"/>
        <v/>
      </c>
      <c r="G1147" s="101"/>
      <c r="H1147" s="91">
        <f t="shared" si="88"/>
        <v>0</v>
      </c>
      <c r="I1147" s="91" t="str">
        <f t="shared" si="89"/>
        <v/>
      </c>
      <c r="J1147" s="91" t="str">
        <f t="shared" si="90"/>
        <v/>
      </c>
      <c r="K1147" s="92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2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58"/>
      <c r="U1147" s="217" t="str">
        <f t="shared" si="91"/>
        <v/>
      </c>
      <c r="V1147" s="215" t="s">
        <v>47</v>
      </c>
      <c r="W1147" s="102" t="s">
        <v>136</v>
      </c>
      <c r="X1147" s="102" t="s">
        <v>137</v>
      </c>
      <c r="Y1147" s="103" t="s">
        <v>138</v>
      </c>
      <c r="Z1147" s="103" t="s">
        <v>139</v>
      </c>
      <c r="AA1147" s="103" t="s">
        <v>47</v>
      </c>
      <c r="AB1147" s="103" t="s">
        <v>140</v>
      </c>
      <c r="AC1147" s="104" t="s">
        <v>141</v>
      </c>
    </row>
    <row r="1148" spans="1:29" ht="25.5" customHeight="1" x14ac:dyDescent="0.35">
      <c r="A1148" s="188"/>
      <c r="B1148" s="190"/>
      <c r="C1148" s="99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0"/>
      <c r="E1148" s="78" t="str">
        <f>IF(C1148="","",IFERROR(VLOOKUP(C1148,parametros!$A$11:$E$15,5,0),""))</f>
        <v/>
      </c>
      <c r="F1148" s="79" t="str">
        <f t="shared" si="87"/>
        <v/>
      </c>
      <c r="G1148" s="101"/>
      <c r="H1148" s="91">
        <f t="shared" si="88"/>
        <v>0</v>
      </c>
      <c r="I1148" s="91" t="str">
        <f t="shared" si="89"/>
        <v/>
      </c>
      <c r="J1148" s="91" t="str">
        <f t="shared" si="90"/>
        <v/>
      </c>
      <c r="K1148" s="92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2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58"/>
      <c r="U1148" s="217" t="str">
        <f t="shared" si="91"/>
        <v/>
      </c>
      <c r="V1148" s="215" t="s">
        <v>47</v>
      </c>
      <c r="W1148" s="102" t="s">
        <v>136</v>
      </c>
      <c r="X1148" s="102" t="s">
        <v>137</v>
      </c>
      <c r="Y1148" s="103" t="s">
        <v>138</v>
      </c>
      <c r="Z1148" s="103" t="s">
        <v>139</v>
      </c>
      <c r="AA1148" s="103" t="s">
        <v>47</v>
      </c>
      <c r="AB1148" s="103" t="s">
        <v>140</v>
      </c>
      <c r="AC1148" s="104" t="s">
        <v>141</v>
      </c>
    </row>
    <row r="1149" spans="1:29" ht="25.5" customHeight="1" x14ac:dyDescent="0.35">
      <c r="A1149" s="188"/>
      <c r="B1149" s="190"/>
      <c r="C1149" s="99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0"/>
      <c r="E1149" s="78" t="str">
        <f>IF(C1149="","",IFERROR(VLOOKUP(C1149,parametros!$A$11:$E$15,5,0),""))</f>
        <v/>
      </c>
      <c r="F1149" s="79" t="str">
        <f t="shared" si="87"/>
        <v/>
      </c>
      <c r="G1149" s="101"/>
      <c r="H1149" s="91">
        <f t="shared" si="88"/>
        <v>0</v>
      </c>
      <c r="I1149" s="91" t="str">
        <f t="shared" si="89"/>
        <v/>
      </c>
      <c r="J1149" s="91" t="str">
        <f t="shared" si="90"/>
        <v/>
      </c>
      <c r="K1149" s="92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2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58"/>
      <c r="U1149" s="217" t="str">
        <f t="shared" si="91"/>
        <v/>
      </c>
      <c r="V1149" s="215" t="s">
        <v>47</v>
      </c>
      <c r="W1149" s="102" t="s">
        <v>136</v>
      </c>
      <c r="X1149" s="102" t="s">
        <v>137</v>
      </c>
      <c r="Y1149" s="103" t="s">
        <v>138</v>
      </c>
      <c r="Z1149" s="103" t="s">
        <v>139</v>
      </c>
      <c r="AA1149" s="103" t="s">
        <v>47</v>
      </c>
      <c r="AB1149" s="103" t="s">
        <v>140</v>
      </c>
      <c r="AC1149" s="104" t="s">
        <v>141</v>
      </c>
    </row>
    <row r="1150" spans="1:29" ht="25.5" customHeight="1" x14ac:dyDescent="0.35">
      <c r="A1150" s="188"/>
      <c r="B1150" s="190"/>
      <c r="C1150" s="99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0"/>
      <c r="E1150" s="78" t="str">
        <f>IF(C1150="","",IFERROR(VLOOKUP(C1150,parametros!$A$11:$E$15,5,0),""))</f>
        <v/>
      </c>
      <c r="F1150" s="79" t="str">
        <f t="shared" si="87"/>
        <v/>
      </c>
      <c r="G1150" s="101"/>
      <c r="H1150" s="91">
        <f t="shared" si="88"/>
        <v>0</v>
      </c>
      <c r="I1150" s="91" t="str">
        <f t="shared" si="89"/>
        <v/>
      </c>
      <c r="J1150" s="91" t="str">
        <f t="shared" si="90"/>
        <v/>
      </c>
      <c r="K1150" s="92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2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58"/>
      <c r="U1150" s="217" t="str">
        <f t="shared" si="91"/>
        <v/>
      </c>
      <c r="V1150" s="215" t="s">
        <v>47</v>
      </c>
      <c r="W1150" s="102" t="s">
        <v>136</v>
      </c>
      <c r="X1150" s="102" t="s">
        <v>137</v>
      </c>
      <c r="Y1150" s="103" t="s">
        <v>138</v>
      </c>
      <c r="Z1150" s="103" t="s">
        <v>139</v>
      </c>
      <c r="AA1150" s="103" t="s">
        <v>47</v>
      </c>
      <c r="AB1150" s="103" t="s">
        <v>140</v>
      </c>
      <c r="AC1150" s="104" t="s">
        <v>141</v>
      </c>
    </row>
    <row r="1151" spans="1:29" ht="25.5" customHeight="1" x14ac:dyDescent="0.35">
      <c r="A1151" s="188"/>
      <c r="B1151" s="190"/>
      <c r="C1151" s="99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0"/>
      <c r="E1151" s="78" t="str">
        <f>IF(C1151="","",IFERROR(VLOOKUP(C1151,parametros!$A$11:$E$15,5,0),""))</f>
        <v/>
      </c>
      <c r="F1151" s="79" t="str">
        <f t="shared" si="87"/>
        <v/>
      </c>
      <c r="G1151" s="101"/>
      <c r="H1151" s="91">
        <f t="shared" si="88"/>
        <v>0</v>
      </c>
      <c r="I1151" s="91" t="str">
        <f t="shared" si="89"/>
        <v/>
      </c>
      <c r="J1151" s="91" t="str">
        <f t="shared" si="90"/>
        <v/>
      </c>
      <c r="K1151" s="92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2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58"/>
      <c r="U1151" s="217" t="str">
        <f t="shared" si="91"/>
        <v/>
      </c>
      <c r="V1151" s="215" t="s">
        <v>47</v>
      </c>
      <c r="W1151" s="102" t="s">
        <v>136</v>
      </c>
      <c r="X1151" s="102" t="s">
        <v>137</v>
      </c>
      <c r="Y1151" s="103" t="s">
        <v>138</v>
      </c>
      <c r="Z1151" s="103" t="s">
        <v>139</v>
      </c>
      <c r="AA1151" s="103" t="s">
        <v>47</v>
      </c>
      <c r="AB1151" s="103" t="s">
        <v>140</v>
      </c>
      <c r="AC1151" s="104" t="s">
        <v>141</v>
      </c>
    </row>
    <row r="1152" spans="1:29" ht="25.5" customHeight="1" x14ac:dyDescent="0.35">
      <c r="A1152" s="188"/>
      <c r="B1152" s="190"/>
      <c r="C1152" s="99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0"/>
      <c r="E1152" s="78" t="str">
        <f>IF(C1152="","",IFERROR(VLOOKUP(C1152,parametros!$A$11:$E$15,5,0),""))</f>
        <v/>
      </c>
      <c r="F1152" s="79" t="str">
        <f t="shared" si="87"/>
        <v/>
      </c>
      <c r="G1152" s="101"/>
      <c r="H1152" s="91">
        <f t="shared" si="88"/>
        <v>0</v>
      </c>
      <c r="I1152" s="91" t="str">
        <f t="shared" si="89"/>
        <v/>
      </c>
      <c r="J1152" s="91" t="str">
        <f t="shared" si="90"/>
        <v/>
      </c>
      <c r="K1152" s="92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2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58"/>
      <c r="U1152" s="217" t="str">
        <f t="shared" si="91"/>
        <v/>
      </c>
      <c r="V1152" s="215" t="s">
        <v>47</v>
      </c>
      <c r="W1152" s="102" t="s">
        <v>136</v>
      </c>
      <c r="X1152" s="102" t="s">
        <v>137</v>
      </c>
      <c r="Y1152" s="103" t="s">
        <v>138</v>
      </c>
      <c r="Z1152" s="103" t="s">
        <v>139</v>
      </c>
      <c r="AA1152" s="103" t="s">
        <v>47</v>
      </c>
      <c r="AB1152" s="103" t="s">
        <v>140</v>
      </c>
      <c r="AC1152" s="104" t="s">
        <v>141</v>
      </c>
    </row>
    <row r="1153" spans="1:29" ht="25.5" customHeight="1" x14ac:dyDescent="0.35">
      <c r="A1153" s="188"/>
      <c r="B1153" s="190"/>
      <c r="C1153" s="99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0"/>
      <c r="E1153" s="78" t="str">
        <f>IF(C1153="","",IFERROR(VLOOKUP(C1153,parametros!$A$11:$E$15,5,0),""))</f>
        <v/>
      </c>
      <c r="F1153" s="79" t="str">
        <f t="shared" si="87"/>
        <v/>
      </c>
      <c r="G1153" s="101"/>
      <c r="H1153" s="91">
        <f t="shared" si="88"/>
        <v>0</v>
      </c>
      <c r="I1153" s="91" t="str">
        <f t="shared" si="89"/>
        <v/>
      </c>
      <c r="J1153" s="91" t="str">
        <f t="shared" si="90"/>
        <v/>
      </c>
      <c r="K1153" s="92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2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58"/>
      <c r="U1153" s="217" t="str">
        <f t="shared" si="91"/>
        <v/>
      </c>
      <c r="V1153" s="215" t="s">
        <v>47</v>
      </c>
      <c r="W1153" s="102" t="s">
        <v>136</v>
      </c>
      <c r="X1153" s="102" t="s">
        <v>137</v>
      </c>
      <c r="Y1153" s="103" t="s">
        <v>138</v>
      </c>
      <c r="Z1153" s="103" t="s">
        <v>139</v>
      </c>
      <c r="AA1153" s="103" t="s">
        <v>47</v>
      </c>
      <c r="AB1153" s="103" t="s">
        <v>140</v>
      </c>
      <c r="AC1153" s="104" t="s">
        <v>141</v>
      </c>
    </row>
    <row r="1154" spans="1:29" ht="25.5" customHeight="1" x14ac:dyDescent="0.35">
      <c r="A1154" s="188"/>
      <c r="B1154" s="190"/>
      <c r="C1154" s="99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0"/>
      <c r="E1154" s="78" t="str">
        <f>IF(C1154="","",IFERROR(VLOOKUP(C1154,parametros!$A$11:$E$15,5,0),""))</f>
        <v/>
      </c>
      <c r="F1154" s="79" t="str">
        <f t="shared" ref="F1154:F1217" si="92">IF(OR(D1154="",E1154=""),"",ROUND(D1154*E1154,2))</f>
        <v/>
      </c>
      <c r="G1154" s="101"/>
      <c r="H1154" s="91">
        <f t="shared" ref="H1154:H1217" si="93">IF(G1154="Sim",IF(OR(F1154="",D1154="",L1154=""),"",IF(L1154="Sim",ROUND(F1154-D1154,2),0)),0)</f>
        <v>0</v>
      </c>
      <c r="I1154" s="91" t="str">
        <f t="shared" ref="I1154:I1217" si="94">IF(G1154="Sim",0,IF(OR(F1154="",L1154=""),"",F1154))</f>
        <v/>
      </c>
      <c r="J1154" s="91" t="str">
        <f t="shared" ref="J1154:J1217" si="95">IF(G1154="Sim",0,IF(OR(F1154="",D1154="",L1154=""),"",IF(L1154="Sim",ROUND(F1154-D1154,2),0)))</f>
        <v/>
      </c>
      <c r="K1154" s="92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2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58"/>
      <c r="U1154" s="217" t="str">
        <f t="shared" ref="U1154:U1217" si="96">IF(OR($D1154="",$H1154=""),"",ROUND($D1154+$H1154,2))</f>
        <v/>
      </c>
      <c r="V1154" s="215" t="s">
        <v>47</v>
      </c>
      <c r="W1154" s="102" t="s">
        <v>136</v>
      </c>
      <c r="X1154" s="102" t="s">
        <v>137</v>
      </c>
      <c r="Y1154" s="103" t="s">
        <v>138</v>
      </c>
      <c r="Z1154" s="103" t="s">
        <v>139</v>
      </c>
      <c r="AA1154" s="103" t="s">
        <v>47</v>
      </c>
      <c r="AB1154" s="103" t="s">
        <v>140</v>
      </c>
      <c r="AC1154" s="104" t="s">
        <v>141</v>
      </c>
    </row>
    <row r="1155" spans="1:29" ht="25.5" customHeight="1" x14ac:dyDescent="0.35">
      <c r="A1155" s="188"/>
      <c r="B1155" s="190"/>
      <c r="C1155" s="99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0"/>
      <c r="E1155" s="78" t="str">
        <f>IF(C1155="","",IFERROR(VLOOKUP(C1155,parametros!$A$11:$E$15,5,0),""))</f>
        <v/>
      </c>
      <c r="F1155" s="79" t="str">
        <f t="shared" si="92"/>
        <v/>
      </c>
      <c r="G1155" s="101"/>
      <c r="H1155" s="91">
        <f t="shared" si="93"/>
        <v>0</v>
      </c>
      <c r="I1155" s="91" t="str">
        <f t="shared" si="94"/>
        <v/>
      </c>
      <c r="J1155" s="91" t="str">
        <f t="shared" si="95"/>
        <v/>
      </c>
      <c r="K1155" s="92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2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58"/>
      <c r="U1155" s="217" t="str">
        <f t="shared" si="96"/>
        <v/>
      </c>
      <c r="V1155" s="215" t="s">
        <v>47</v>
      </c>
      <c r="W1155" s="102" t="s">
        <v>136</v>
      </c>
      <c r="X1155" s="102" t="s">
        <v>137</v>
      </c>
      <c r="Y1155" s="103" t="s">
        <v>138</v>
      </c>
      <c r="Z1155" s="103" t="s">
        <v>139</v>
      </c>
      <c r="AA1155" s="103" t="s">
        <v>47</v>
      </c>
      <c r="AB1155" s="103" t="s">
        <v>140</v>
      </c>
      <c r="AC1155" s="104" t="s">
        <v>141</v>
      </c>
    </row>
    <row r="1156" spans="1:29" ht="25.5" customHeight="1" x14ac:dyDescent="0.35">
      <c r="A1156" s="188"/>
      <c r="B1156" s="190"/>
      <c r="C1156" s="99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0"/>
      <c r="E1156" s="78" t="str">
        <f>IF(C1156="","",IFERROR(VLOOKUP(C1156,parametros!$A$11:$E$15,5,0),""))</f>
        <v/>
      </c>
      <c r="F1156" s="79" t="str">
        <f t="shared" si="92"/>
        <v/>
      </c>
      <c r="G1156" s="101"/>
      <c r="H1156" s="91">
        <f t="shared" si="93"/>
        <v>0</v>
      </c>
      <c r="I1156" s="91" t="str">
        <f t="shared" si="94"/>
        <v/>
      </c>
      <c r="J1156" s="91" t="str">
        <f t="shared" si="95"/>
        <v/>
      </c>
      <c r="K1156" s="92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2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58"/>
      <c r="U1156" s="217" t="str">
        <f t="shared" si="96"/>
        <v/>
      </c>
      <c r="V1156" s="215" t="s">
        <v>47</v>
      </c>
      <c r="W1156" s="102" t="s">
        <v>136</v>
      </c>
      <c r="X1156" s="102" t="s">
        <v>137</v>
      </c>
      <c r="Y1156" s="103" t="s">
        <v>138</v>
      </c>
      <c r="Z1156" s="103" t="s">
        <v>139</v>
      </c>
      <c r="AA1156" s="103" t="s">
        <v>47</v>
      </c>
      <c r="AB1156" s="103" t="s">
        <v>140</v>
      </c>
      <c r="AC1156" s="104" t="s">
        <v>141</v>
      </c>
    </row>
    <row r="1157" spans="1:29" ht="25.5" customHeight="1" x14ac:dyDescent="0.35">
      <c r="A1157" s="188"/>
      <c r="B1157" s="190"/>
      <c r="C1157" s="99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0"/>
      <c r="E1157" s="78" t="str">
        <f>IF(C1157="","",IFERROR(VLOOKUP(C1157,parametros!$A$11:$E$15,5,0),""))</f>
        <v/>
      </c>
      <c r="F1157" s="79" t="str">
        <f t="shared" si="92"/>
        <v/>
      </c>
      <c r="G1157" s="101"/>
      <c r="H1157" s="91">
        <f t="shared" si="93"/>
        <v>0</v>
      </c>
      <c r="I1157" s="91" t="str">
        <f t="shared" si="94"/>
        <v/>
      </c>
      <c r="J1157" s="91" t="str">
        <f t="shared" si="95"/>
        <v/>
      </c>
      <c r="K1157" s="92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2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58"/>
      <c r="U1157" s="217" t="str">
        <f t="shared" si="96"/>
        <v/>
      </c>
      <c r="V1157" s="215" t="s">
        <v>47</v>
      </c>
      <c r="W1157" s="102" t="s">
        <v>136</v>
      </c>
      <c r="X1157" s="102" t="s">
        <v>137</v>
      </c>
      <c r="Y1157" s="103" t="s">
        <v>138</v>
      </c>
      <c r="Z1157" s="103" t="s">
        <v>139</v>
      </c>
      <c r="AA1157" s="103" t="s">
        <v>47</v>
      </c>
      <c r="AB1157" s="103" t="s">
        <v>140</v>
      </c>
      <c r="AC1157" s="104" t="s">
        <v>141</v>
      </c>
    </row>
    <row r="1158" spans="1:29" ht="25.5" customHeight="1" x14ac:dyDescent="0.35">
      <c r="A1158" s="188"/>
      <c r="B1158" s="190"/>
      <c r="C1158" s="99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0"/>
      <c r="E1158" s="78" t="str">
        <f>IF(C1158="","",IFERROR(VLOOKUP(C1158,parametros!$A$11:$E$15,5,0),""))</f>
        <v/>
      </c>
      <c r="F1158" s="79" t="str">
        <f t="shared" si="92"/>
        <v/>
      </c>
      <c r="G1158" s="101"/>
      <c r="H1158" s="91">
        <f t="shared" si="93"/>
        <v>0</v>
      </c>
      <c r="I1158" s="91" t="str">
        <f t="shared" si="94"/>
        <v/>
      </c>
      <c r="J1158" s="91" t="str">
        <f t="shared" si="95"/>
        <v/>
      </c>
      <c r="K1158" s="92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2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58"/>
      <c r="U1158" s="217" t="str">
        <f t="shared" si="96"/>
        <v/>
      </c>
      <c r="V1158" s="215" t="s">
        <v>47</v>
      </c>
      <c r="W1158" s="102" t="s">
        <v>136</v>
      </c>
      <c r="X1158" s="102" t="s">
        <v>137</v>
      </c>
      <c r="Y1158" s="103" t="s">
        <v>138</v>
      </c>
      <c r="Z1158" s="103" t="s">
        <v>139</v>
      </c>
      <c r="AA1158" s="103" t="s">
        <v>47</v>
      </c>
      <c r="AB1158" s="103" t="s">
        <v>140</v>
      </c>
      <c r="AC1158" s="104" t="s">
        <v>141</v>
      </c>
    </row>
    <row r="1159" spans="1:29" ht="25.5" customHeight="1" x14ac:dyDescent="0.35">
      <c r="A1159" s="188"/>
      <c r="B1159" s="190"/>
      <c r="C1159" s="99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0"/>
      <c r="E1159" s="78" t="str">
        <f>IF(C1159="","",IFERROR(VLOOKUP(C1159,parametros!$A$11:$E$15,5,0),""))</f>
        <v/>
      </c>
      <c r="F1159" s="79" t="str">
        <f t="shared" si="92"/>
        <v/>
      </c>
      <c r="G1159" s="101"/>
      <c r="H1159" s="91">
        <f t="shared" si="93"/>
        <v>0</v>
      </c>
      <c r="I1159" s="91" t="str">
        <f t="shared" si="94"/>
        <v/>
      </c>
      <c r="J1159" s="91" t="str">
        <f t="shared" si="95"/>
        <v/>
      </c>
      <c r="K1159" s="92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2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58"/>
      <c r="U1159" s="217" t="str">
        <f t="shared" si="96"/>
        <v/>
      </c>
      <c r="V1159" s="215" t="s">
        <v>47</v>
      </c>
      <c r="W1159" s="102" t="s">
        <v>136</v>
      </c>
      <c r="X1159" s="102" t="s">
        <v>137</v>
      </c>
      <c r="Y1159" s="103" t="s">
        <v>138</v>
      </c>
      <c r="Z1159" s="103" t="s">
        <v>139</v>
      </c>
      <c r="AA1159" s="103" t="s">
        <v>47</v>
      </c>
      <c r="AB1159" s="103" t="s">
        <v>140</v>
      </c>
      <c r="AC1159" s="104" t="s">
        <v>141</v>
      </c>
    </row>
    <row r="1160" spans="1:29" ht="25.5" customHeight="1" x14ac:dyDescent="0.35">
      <c r="A1160" s="188"/>
      <c r="B1160" s="190"/>
      <c r="C1160" s="99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0"/>
      <c r="E1160" s="78" t="str">
        <f>IF(C1160="","",IFERROR(VLOOKUP(C1160,parametros!$A$11:$E$15,5,0),""))</f>
        <v/>
      </c>
      <c r="F1160" s="79" t="str">
        <f t="shared" si="92"/>
        <v/>
      </c>
      <c r="G1160" s="101"/>
      <c r="H1160" s="91">
        <f t="shared" si="93"/>
        <v>0</v>
      </c>
      <c r="I1160" s="91" t="str">
        <f t="shared" si="94"/>
        <v/>
      </c>
      <c r="J1160" s="91" t="str">
        <f t="shared" si="95"/>
        <v/>
      </c>
      <c r="K1160" s="92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2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58"/>
      <c r="U1160" s="217" t="str">
        <f t="shared" si="96"/>
        <v/>
      </c>
      <c r="V1160" s="215" t="s">
        <v>47</v>
      </c>
      <c r="W1160" s="102" t="s">
        <v>136</v>
      </c>
      <c r="X1160" s="102" t="s">
        <v>137</v>
      </c>
      <c r="Y1160" s="103" t="s">
        <v>138</v>
      </c>
      <c r="Z1160" s="103" t="s">
        <v>139</v>
      </c>
      <c r="AA1160" s="103" t="s">
        <v>47</v>
      </c>
      <c r="AB1160" s="103" t="s">
        <v>140</v>
      </c>
      <c r="AC1160" s="104" t="s">
        <v>141</v>
      </c>
    </row>
    <row r="1161" spans="1:29" ht="25.5" customHeight="1" x14ac:dyDescent="0.35">
      <c r="A1161" s="188"/>
      <c r="B1161" s="190"/>
      <c r="C1161" s="99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0"/>
      <c r="E1161" s="78" t="str">
        <f>IF(C1161="","",IFERROR(VLOOKUP(C1161,parametros!$A$11:$E$15,5,0),""))</f>
        <v/>
      </c>
      <c r="F1161" s="79" t="str">
        <f t="shared" si="92"/>
        <v/>
      </c>
      <c r="G1161" s="101"/>
      <c r="H1161" s="91">
        <f t="shared" si="93"/>
        <v>0</v>
      </c>
      <c r="I1161" s="91" t="str">
        <f t="shared" si="94"/>
        <v/>
      </c>
      <c r="J1161" s="91" t="str">
        <f t="shared" si="95"/>
        <v/>
      </c>
      <c r="K1161" s="92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2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58"/>
      <c r="U1161" s="217" t="str">
        <f t="shared" si="96"/>
        <v/>
      </c>
      <c r="V1161" s="215" t="s">
        <v>47</v>
      </c>
      <c r="W1161" s="102" t="s">
        <v>136</v>
      </c>
      <c r="X1161" s="102" t="s">
        <v>137</v>
      </c>
      <c r="Y1161" s="103" t="s">
        <v>138</v>
      </c>
      <c r="Z1161" s="103" t="s">
        <v>139</v>
      </c>
      <c r="AA1161" s="103" t="s">
        <v>47</v>
      </c>
      <c r="AB1161" s="103" t="s">
        <v>140</v>
      </c>
      <c r="AC1161" s="104" t="s">
        <v>141</v>
      </c>
    </row>
    <row r="1162" spans="1:29" ht="25.5" customHeight="1" x14ac:dyDescent="0.35">
      <c r="A1162" s="188"/>
      <c r="B1162" s="190"/>
      <c r="C1162" s="99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0"/>
      <c r="E1162" s="78" t="str">
        <f>IF(C1162="","",IFERROR(VLOOKUP(C1162,parametros!$A$11:$E$15,5,0),""))</f>
        <v/>
      </c>
      <c r="F1162" s="79" t="str">
        <f t="shared" si="92"/>
        <v/>
      </c>
      <c r="G1162" s="101"/>
      <c r="H1162" s="91">
        <f t="shared" si="93"/>
        <v>0</v>
      </c>
      <c r="I1162" s="91" t="str">
        <f t="shared" si="94"/>
        <v/>
      </c>
      <c r="J1162" s="91" t="str">
        <f t="shared" si="95"/>
        <v/>
      </c>
      <c r="K1162" s="92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2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58"/>
      <c r="U1162" s="217" t="str">
        <f t="shared" si="96"/>
        <v/>
      </c>
      <c r="V1162" s="215" t="s">
        <v>47</v>
      </c>
      <c r="W1162" s="102" t="s">
        <v>136</v>
      </c>
      <c r="X1162" s="102" t="s">
        <v>137</v>
      </c>
      <c r="Y1162" s="103" t="s">
        <v>138</v>
      </c>
      <c r="Z1162" s="103" t="s">
        <v>139</v>
      </c>
      <c r="AA1162" s="103" t="s">
        <v>47</v>
      </c>
      <c r="AB1162" s="103" t="s">
        <v>140</v>
      </c>
      <c r="AC1162" s="104" t="s">
        <v>141</v>
      </c>
    </row>
    <row r="1163" spans="1:29" ht="25.5" customHeight="1" x14ac:dyDescent="0.35">
      <c r="A1163" s="188"/>
      <c r="B1163" s="190"/>
      <c r="C1163" s="99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0"/>
      <c r="E1163" s="78" t="str">
        <f>IF(C1163="","",IFERROR(VLOOKUP(C1163,parametros!$A$11:$E$15,5,0),""))</f>
        <v/>
      </c>
      <c r="F1163" s="79" t="str">
        <f t="shared" si="92"/>
        <v/>
      </c>
      <c r="G1163" s="101"/>
      <c r="H1163" s="91">
        <f t="shared" si="93"/>
        <v>0</v>
      </c>
      <c r="I1163" s="91" t="str">
        <f t="shared" si="94"/>
        <v/>
      </c>
      <c r="J1163" s="91" t="str">
        <f t="shared" si="95"/>
        <v/>
      </c>
      <c r="K1163" s="92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2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58"/>
      <c r="U1163" s="217" t="str">
        <f t="shared" si="96"/>
        <v/>
      </c>
      <c r="V1163" s="215" t="s">
        <v>47</v>
      </c>
      <c r="W1163" s="102" t="s">
        <v>136</v>
      </c>
      <c r="X1163" s="102" t="s">
        <v>137</v>
      </c>
      <c r="Y1163" s="103" t="s">
        <v>138</v>
      </c>
      <c r="Z1163" s="103" t="s">
        <v>139</v>
      </c>
      <c r="AA1163" s="103" t="s">
        <v>47</v>
      </c>
      <c r="AB1163" s="103" t="s">
        <v>140</v>
      </c>
      <c r="AC1163" s="104" t="s">
        <v>141</v>
      </c>
    </row>
    <row r="1164" spans="1:29" ht="25.5" customHeight="1" x14ac:dyDescent="0.35">
      <c r="A1164" s="188"/>
      <c r="B1164" s="190"/>
      <c r="C1164" s="99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0"/>
      <c r="E1164" s="78" t="str">
        <f>IF(C1164="","",IFERROR(VLOOKUP(C1164,parametros!$A$11:$E$15,5,0),""))</f>
        <v/>
      </c>
      <c r="F1164" s="79" t="str">
        <f t="shared" si="92"/>
        <v/>
      </c>
      <c r="G1164" s="101"/>
      <c r="H1164" s="91">
        <f t="shared" si="93"/>
        <v>0</v>
      </c>
      <c r="I1164" s="91" t="str">
        <f t="shared" si="94"/>
        <v/>
      </c>
      <c r="J1164" s="91" t="str">
        <f t="shared" si="95"/>
        <v/>
      </c>
      <c r="K1164" s="92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2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58"/>
      <c r="U1164" s="217" t="str">
        <f t="shared" si="96"/>
        <v/>
      </c>
      <c r="V1164" s="215" t="s">
        <v>47</v>
      </c>
      <c r="W1164" s="102" t="s">
        <v>136</v>
      </c>
      <c r="X1164" s="102" t="s">
        <v>137</v>
      </c>
      <c r="Y1164" s="103" t="s">
        <v>138</v>
      </c>
      <c r="Z1164" s="103" t="s">
        <v>139</v>
      </c>
      <c r="AA1164" s="103" t="s">
        <v>47</v>
      </c>
      <c r="AB1164" s="103" t="s">
        <v>140</v>
      </c>
      <c r="AC1164" s="104" t="s">
        <v>141</v>
      </c>
    </row>
    <row r="1165" spans="1:29" ht="25.5" customHeight="1" x14ac:dyDescent="0.35">
      <c r="A1165" s="188"/>
      <c r="B1165" s="190"/>
      <c r="C1165" s="99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0"/>
      <c r="E1165" s="78" t="str">
        <f>IF(C1165="","",IFERROR(VLOOKUP(C1165,parametros!$A$11:$E$15,5,0),""))</f>
        <v/>
      </c>
      <c r="F1165" s="79" t="str">
        <f t="shared" si="92"/>
        <v/>
      </c>
      <c r="G1165" s="101"/>
      <c r="H1165" s="91">
        <f t="shared" si="93"/>
        <v>0</v>
      </c>
      <c r="I1165" s="91" t="str">
        <f t="shared" si="94"/>
        <v/>
      </c>
      <c r="J1165" s="91" t="str">
        <f t="shared" si="95"/>
        <v/>
      </c>
      <c r="K1165" s="92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2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58"/>
      <c r="U1165" s="217" t="str">
        <f t="shared" si="96"/>
        <v/>
      </c>
      <c r="V1165" s="215" t="s">
        <v>47</v>
      </c>
      <c r="W1165" s="102" t="s">
        <v>136</v>
      </c>
      <c r="X1165" s="102" t="s">
        <v>137</v>
      </c>
      <c r="Y1165" s="103" t="s">
        <v>138</v>
      </c>
      <c r="Z1165" s="103" t="s">
        <v>139</v>
      </c>
      <c r="AA1165" s="103" t="s">
        <v>47</v>
      </c>
      <c r="AB1165" s="103" t="s">
        <v>140</v>
      </c>
      <c r="AC1165" s="104" t="s">
        <v>141</v>
      </c>
    </row>
    <row r="1166" spans="1:29" ht="25.5" customHeight="1" x14ac:dyDescent="0.35">
      <c r="A1166" s="188"/>
      <c r="B1166" s="190"/>
      <c r="C1166" s="99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0"/>
      <c r="E1166" s="78" t="str">
        <f>IF(C1166="","",IFERROR(VLOOKUP(C1166,parametros!$A$11:$E$15,5,0),""))</f>
        <v/>
      </c>
      <c r="F1166" s="79" t="str">
        <f t="shared" si="92"/>
        <v/>
      </c>
      <c r="G1166" s="101"/>
      <c r="H1166" s="91">
        <f t="shared" si="93"/>
        <v>0</v>
      </c>
      <c r="I1166" s="91" t="str">
        <f t="shared" si="94"/>
        <v/>
      </c>
      <c r="J1166" s="91" t="str">
        <f t="shared" si="95"/>
        <v/>
      </c>
      <c r="K1166" s="92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2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58"/>
      <c r="U1166" s="217" t="str">
        <f t="shared" si="96"/>
        <v/>
      </c>
      <c r="V1166" s="215" t="s">
        <v>47</v>
      </c>
      <c r="W1166" s="102" t="s">
        <v>136</v>
      </c>
      <c r="X1166" s="102" t="s">
        <v>137</v>
      </c>
      <c r="Y1166" s="103" t="s">
        <v>138</v>
      </c>
      <c r="Z1166" s="103" t="s">
        <v>139</v>
      </c>
      <c r="AA1166" s="103" t="s">
        <v>47</v>
      </c>
      <c r="AB1166" s="103" t="s">
        <v>140</v>
      </c>
      <c r="AC1166" s="104" t="s">
        <v>141</v>
      </c>
    </row>
    <row r="1167" spans="1:29" ht="25.5" customHeight="1" x14ac:dyDescent="0.35">
      <c r="A1167" s="188"/>
      <c r="B1167" s="190"/>
      <c r="C1167" s="99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0"/>
      <c r="E1167" s="78" t="str">
        <f>IF(C1167="","",IFERROR(VLOOKUP(C1167,parametros!$A$11:$E$15,5,0),""))</f>
        <v/>
      </c>
      <c r="F1167" s="79" t="str">
        <f t="shared" si="92"/>
        <v/>
      </c>
      <c r="G1167" s="101"/>
      <c r="H1167" s="91">
        <f t="shared" si="93"/>
        <v>0</v>
      </c>
      <c r="I1167" s="91" t="str">
        <f t="shared" si="94"/>
        <v/>
      </c>
      <c r="J1167" s="91" t="str">
        <f t="shared" si="95"/>
        <v/>
      </c>
      <c r="K1167" s="92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2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58"/>
      <c r="U1167" s="217" t="str">
        <f t="shared" si="96"/>
        <v/>
      </c>
      <c r="V1167" s="215" t="s">
        <v>47</v>
      </c>
      <c r="W1167" s="102" t="s">
        <v>136</v>
      </c>
      <c r="X1167" s="102" t="s">
        <v>137</v>
      </c>
      <c r="Y1167" s="103" t="s">
        <v>138</v>
      </c>
      <c r="Z1167" s="103" t="s">
        <v>139</v>
      </c>
      <c r="AA1167" s="103" t="s">
        <v>47</v>
      </c>
      <c r="AB1167" s="103" t="s">
        <v>140</v>
      </c>
      <c r="AC1167" s="104" t="s">
        <v>141</v>
      </c>
    </row>
    <row r="1168" spans="1:29" ht="25.5" customHeight="1" x14ac:dyDescent="0.35">
      <c r="A1168" s="188"/>
      <c r="B1168" s="190"/>
      <c r="C1168" s="99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0"/>
      <c r="E1168" s="78" t="str">
        <f>IF(C1168="","",IFERROR(VLOOKUP(C1168,parametros!$A$11:$E$15,5,0),""))</f>
        <v/>
      </c>
      <c r="F1168" s="79" t="str">
        <f t="shared" si="92"/>
        <v/>
      </c>
      <c r="G1168" s="101"/>
      <c r="H1168" s="91">
        <f t="shared" si="93"/>
        <v>0</v>
      </c>
      <c r="I1168" s="91" t="str">
        <f t="shared" si="94"/>
        <v/>
      </c>
      <c r="J1168" s="91" t="str">
        <f t="shared" si="95"/>
        <v/>
      </c>
      <c r="K1168" s="92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2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58"/>
      <c r="U1168" s="217" t="str">
        <f t="shared" si="96"/>
        <v/>
      </c>
      <c r="V1168" s="215" t="s">
        <v>47</v>
      </c>
      <c r="W1168" s="102" t="s">
        <v>136</v>
      </c>
      <c r="X1168" s="102" t="s">
        <v>137</v>
      </c>
      <c r="Y1168" s="103" t="s">
        <v>138</v>
      </c>
      <c r="Z1168" s="103" t="s">
        <v>139</v>
      </c>
      <c r="AA1168" s="103" t="s">
        <v>47</v>
      </c>
      <c r="AB1168" s="103" t="s">
        <v>140</v>
      </c>
      <c r="AC1168" s="104" t="s">
        <v>141</v>
      </c>
    </row>
    <row r="1169" spans="1:29" ht="25.5" customHeight="1" x14ac:dyDescent="0.35">
      <c r="A1169" s="188"/>
      <c r="B1169" s="190"/>
      <c r="C1169" s="99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0"/>
      <c r="E1169" s="78" t="str">
        <f>IF(C1169="","",IFERROR(VLOOKUP(C1169,parametros!$A$11:$E$15,5,0),""))</f>
        <v/>
      </c>
      <c r="F1169" s="79" t="str">
        <f t="shared" si="92"/>
        <v/>
      </c>
      <c r="G1169" s="101"/>
      <c r="H1169" s="91">
        <f t="shared" si="93"/>
        <v>0</v>
      </c>
      <c r="I1169" s="91" t="str">
        <f t="shared" si="94"/>
        <v/>
      </c>
      <c r="J1169" s="91" t="str">
        <f t="shared" si="95"/>
        <v/>
      </c>
      <c r="K1169" s="92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2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58"/>
      <c r="U1169" s="217" t="str">
        <f t="shared" si="96"/>
        <v/>
      </c>
      <c r="V1169" s="215" t="s">
        <v>47</v>
      </c>
      <c r="W1169" s="102" t="s">
        <v>136</v>
      </c>
      <c r="X1169" s="102" t="s">
        <v>137</v>
      </c>
      <c r="Y1169" s="103" t="s">
        <v>138</v>
      </c>
      <c r="Z1169" s="103" t="s">
        <v>139</v>
      </c>
      <c r="AA1169" s="103" t="s">
        <v>47</v>
      </c>
      <c r="AB1169" s="103" t="s">
        <v>140</v>
      </c>
      <c r="AC1169" s="104" t="s">
        <v>141</v>
      </c>
    </row>
    <row r="1170" spans="1:29" ht="25.5" customHeight="1" x14ac:dyDescent="0.35">
      <c r="A1170" s="188"/>
      <c r="B1170" s="190"/>
      <c r="C1170" s="99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0"/>
      <c r="E1170" s="78" t="str">
        <f>IF(C1170="","",IFERROR(VLOOKUP(C1170,parametros!$A$11:$E$15,5,0),""))</f>
        <v/>
      </c>
      <c r="F1170" s="79" t="str">
        <f t="shared" si="92"/>
        <v/>
      </c>
      <c r="G1170" s="101"/>
      <c r="H1170" s="91">
        <f t="shared" si="93"/>
        <v>0</v>
      </c>
      <c r="I1170" s="91" t="str">
        <f t="shared" si="94"/>
        <v/>
      </c>
      <c r="J1170" s="91" t="str">
        <f t="shared" si="95"/>
        <v/>
      </c>
      <c r="K1170" s="92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2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58"/>
      <c r="U1170" s="217" t="str">
        <f t="shared" si="96"/>
        <v/>
      </c>
      <c r="V1170" s="215" t="s">
        <v>47</v>
      </c>
      <c r="W1170" s="102" t="s">
        <v>136</v>
      </c>
      <c r="X1170" s="102" t="s">
        <v>137</v>
      </c>
      <c r="Y1170" s="103" t="s">
        <v>138</v>
      </c>
      <c r="Z1170" s="103" t="s">
        <v>139</v>
      </c>
      <c r="AA1170" s="103" t="s">
        <v>47</v>
      </c>
      <c r="AB1170" s="103" t="s">
        <v>140</v>
      </c>
      <c r="AC1170" s="104" t="s">
        <v>141</v>
      </c>
    </row>
    <row r="1171" spans="1:29" ht="25.5" customHeight="1" x14ac:dyDescent="0.35">
      <c r="A1171" s="188"/>
      <c r="B1171" s="190"/>
      <c r="C1171" s="99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0"/>
      <c r="E1171" s="78" t="str">
        <f>IF(C1171="","",IFERROR(VLOOKUP(C1171,parametros!$A$11:$E$15,5,0),""))</f>
        <v/>
      </c>
      <c r="F1171" s="79" t="str">
        <f t="shared" si="92"/>
        <v/>
      </c>
      <c r="G1171" s="101"/>
      <c r="H1171" s="91">
        <f t="shared" si="93"/>
        <v>0</v>
      </c>
      <c r="I1171" s="91" t="str">
        <f t="shared" si="94"/>
        <v/>
      </c>
      <c r="J1171" s="91" t="str">
        <f t="shared" si="95"/>
        <v/>
      </c>
      <c r="K1171" s="92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2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58"/>
      <c r="U1171" s="217" t="str">
        <f t="shared" si="96"/>
        <v/>
      </c>
      <c r="V1171" s="215" t="s">
        <v>47</v>
      </c>
      <c r="W1171" s="102" t="s">
        <v>136</v>
      </c>
      <c r="X1171" s="102" t="s">
        <v>137</v>
      </c>
      <c r="Y1171" s="103" t="s">
        <v>138</v>
      </c>
      <c r="Z1171" s="103" t="s">
        <v>139</v>
      </c>
      <c r="AA1171" s="103" t="s">
        <v>47</v>
      </c>
      <c r="AB1171" s="103" t="s">
        <v>140</v>
      </c>
      <c r="AC1171" s="104" t="s">
        <v>141</v>
      </c>
    </row>
    <row r="1172" spans="1:29" ht="25.5" customHeight="1" x14ac:dyDescent="0.35">
      <c r="A1172" s="188"/>
      <c r="B1172" s="190"/>
      <c r="C1172" s="99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0"/>
      <c r="E1172" s="78" t="str">
        <f>IF(C1172="","",IFERROR(VLOOKUP(C1172,parametros!$A$11:$E$15,5,0),""))</f>
        <v/>
      </c>
      <c r="F1172" s="79" t="str">
        <f t="shared" si="92"/>
        <v/>
      </c>
      <c r="G1172" s="101"/>
      <c r="H1172" s="91">
        <f t="shared" si="93"/>
        <v>0</v>
      </c>
      <c r="I1172" s="91" t="str">
        <f t="shared" si="94"/>
        <v/>
      </c>
      <c r="J1172" s="91" t="str">
        <f t="shared" si="95"/>
        <v/>
      </c>
      <c r="K1172" s="92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2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58"/>
      <c r="U1172" s="217" t="str">
        <f t="shared" si="96"/>
        <v/>
      </c>
      <c r="V1172" s="215" t="s">
        <v>47</v>
      </c>
      <c r="W1172" s="102" t="s">
        <v>136</v>
      </c>
      <c r="X1172" s="102" t="s">
        <v>137</v>
      </c>
      <c r="Y1172" s="103" t="s">
        <v>138</v>
      </c>
      <c r="Z1172" s="103" t="s">
        <v>139</v>
      </c>
      <c r="AA1172" s="103" t="s">
        <v>47</v>
      </c>
      <c r="AB1172" s="103" t="s">
        <v>140</v>
      </c>
      <c r="AC1172" s="104" t="s">
        <v>141</v>
      </c>
    </row>
    <row r="1173" spans="1:29" ht="25.5" customHeight="1" x14ac:dyDescent="0.35">
      <c r="A1173" s="188"/>
      <c r="B1173" s="190"/>
      <c r="C1173" s="99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0"/>
      <c r="E1173" s="78" t="str">
        <f>IF(C1173="","",IFERROR(VLOOKUP(C1173,parametros!$A$11:$E$15,5,0),""))</f>
        <v/>
      </c>
      <c r="F1173" s="79" t="str">
        <f t="shared" si="92"/>
        <v/>
      </c>
      <c r="G1173" s="101"/>
      <c r="H1173" s="91">
        <f t="shared" si="93"/>
        <v>0</v>
      </c>
      <c r="I1173" s="91" t="str">
        <f t="shared" si="94"/>
        <v/>
      </c>
      <c r="J1173" s="91" t="str">
        <f t="shared" si="95"/>
        <v/>
      </c>
      <c r="K1173" s="92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2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58"/>
      <c r="U1173" s="217" t="str">
        <f t="shared" si="96"/>
        <v/>
      </c>
      <c r="V1173" s="215" t="s">
        <v>47</v>
      </c>
      <c r="W1173" s="102" t="s">
        <v>136</v>
      </c>
      <c r="X1173" s="102" t="s">
        <v>137</v>
      </c>
      <c r="Y1173" s="103" t="s">
        <v>138</v>
      </c>
      <c r="Z1173" s="103" t="s">
        <v>139</v>
      </c>
      <c r="AA1173" s="103" t="s">
        <v>47</v>
      </c>
      <c r="AB1173" s="103" t="s">
        <v>140</v>
      </c>
      <c r="AC1173" s="104" t="s">
        <v>141</v>
      </c>
    </row>
    <row r="1174" spans="1:29" ht="25.5" customHeight="1" x14ac:dyDescent="0.35">
      <c r="A1174" s="188"/>
      <c r="B1174" s="190"/>
      <c r="C1174" s="99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0"/>
      <c r="E1174" s="78" t="str">
        <f>IF(C1174="","",IFERROR(VLOOKUP(C1174,parametros!$A$11:$E$15,5,0),""))</f>
        <v/>
      </c>
      <c r="F1174" s="79" t="str">
        <f t="shared" si="92"/>
        <v/>
      </c>
      <c r="G1174" s="101"/>
      <c r="H1174" s="91">
        <f t="shared" si="93"/>
        <v>0</v>
      </c>
      <c r="I1174" s="91" t="str">
        <f t="shared" si="94"/>
        <v/>
      </c>
      <c r="J1174" s="91" t="str">
        <f t="shared" si="95"/>
        <v/>
      </c>
      <c r="K1174" s="92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2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58"/>
      <c r="U1174" s="217" t="str">
        <f t="shared" si="96"/>
        <v/>
      </c>
      <c r="V1174" s="215" t="s">
        <v>47</v>
      </c>
      <c r="W1174" s="102" t="s">
        <v>136</v>
      </c>
      <c r="X1174" s="102" t="s">
        <v>137</v>
      </c>
      <c r="Y1174" s="103" t="s">
        <v>138</v>
      </c>
      <c r="Z1174" s="103" t="s">
        <v>139</v>
      </c>
      <c r="AA1174" s="103" t="s">
        <v>47</v>
      </c>
      <c r="AB1174" s="103" t="s">
        <v>140</v>
      </c>
      <c r="AC1174" s="104" t="s">
        <v>141</v>
      </c>
    </row>
    <row r="1175" spans="1:29" ht="25.5" customHeight="1" x14ac:dyDescent="0.35">
      <c r="A1175" s="188"/>
      <c r="B1175" s="190"/>
      <c r="C1175" s="99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0"/>
      <c r="E1175" s="78" t="str">
        <f>IF(C1175="","",IFERROR(VLOOKUP(C1175,parametros!$A$11:$E$15,5,0),""))</f>
        <v/>
      </c>
      <c r="F1175" s="79" t="str">
        <f t="shared" si="92"/>
        <v/>
      </c>
      <c r="G1175" s="101"/>
      <c r="H1175" s="91">
        <f t="shared" si="93"/>
        <v>0</v>
      </c>
      <c r="I1175" s="91" t="str">
        <f t="shared" si="94"/>
        <v/>
      </c>
      <c r="J1175" s="91" t="str">
        <f t="shared" si="95"/>
        <v/>
      </c>
      <c r="K1175" s="92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2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58"/>
      <c r="U1175" s="217" t="str">
        <f t="shared" si="96"/>
        <v/>
      </c>
      <c r="V1175" s="215" t="s">
        <v>47</v>
      </c>
      <c r="W1175" s="102" t="s">
        <v>136</v>
      </c>
      <c r="X1175" s="102" t="s">
        <v>137</v>
      </c>
      <c r="Y1175" s="103" t="s">
        <v>138</v>
      </c>
      <c r="Z1175" s="103" t="s">
        <v>139</v>
      </c>
      <c r="AA1175" s="103" t="s">
        <v>47</v>
      </c>
      <c r="AB1175" s="103" t="s">
        <v>140</v>
      </c>
      <c r="AC1175" s="104" t="s">
        <v>141</v>
      </c>
    </row>
    <row r="1176" spans="1:29" ht="25.5" customHeight="1" x14ac:dyDescent="0.35">
      <c r="A1176" s="188"/>
      <c r="B1176" s="190"/>
      <c r="C1176" s="99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0"/>
      <c r="E1176" s="78" t="str">
        <f>IF(C1176="","",IFERROR(VLOOKUP(C1176,parametros!$A$11:$E$15,5,0),""))</f>
        <v/>
      </c>
      <c r="F1176" s="79" t="str">
        <f t="shared" si="92"/>
        <v/>
      </c>
      <c r="G1176" s="101"/>
      <c r="H1176" s="91">
        <f t="shared" si="93"/>
        <v>0</v>
      </c>
      <c r="I1176" s="91" t="str">
        <f t="shared" si="94"/>
        <v/>
      </c>
      <c r="J1176" s="91" t="str">
        <f t="shared" si="95"/>
        <v/>
      </c>
      <c r="K1176" s="92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2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58"/>
      <c r="U1176" s="217" t="str">
        <f t="shared" si="96"/>
        <v/>
      </c>
      <c r="V1176" s="215" t="s">
        <v>47</v>
      </c>
      <c r="W1176" s="102" t="s">
        <v>136</v>
      </c>
      <c r="X1176" s="102" t="s">
        <v>137</v>
      </c>
      <c r="Y1176" s="103" t="s">
        <v>138</v>
      </c>
      <c r="Z1176" s="103" t="s">
        <v>139</v>
      </c>
      <c r="AA1176" s="103" t="s">
        <v>47</v>
      </c>
      <c r="AB1176" s="103" t="s">
        <v>140</v>
      </c>
      <c r="AC1176" s="104" t="s">
        <v>141</v>
      </c>
    </row>
    <row r="1177" spans="1:29" ht="25.5" customHeight="1" x14ac:dyDescent="0.35">
      <c r="A1177" s="188"/>
      <c r="B1177" s="190"/>
      <c r="C1177" s="99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0"/>
      <c r="E1177" s="78" t="str">
        <f>IF(C1177="","",IFERROR(VLOOKUP(C1177,parametros!$A$11:$E$15,5,0),""))</f>
        <v/>
      </c>
      <c r="F1177" s="79" t="str">
        <f t="shared" si="92"/>
        <v/>
      </c>
      <c r="G1177" s="101"/>
      <c r="H1177" s="91">
        <f t="shared" si="93"/>
        <v>0</v>
      </c>
      <c r="I1177" s="91" t="str">
        <f t="shared" si="94"/>
        <v/>
      </c>
      <c r="J1177" s="91" t="str">
        <f t="shared" si="95"/>
        <v/>
      </c>
      <c r="K1177" s="92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2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58"/>
      <c r="U1177" s="217" t="str">
        <f t="shared" si="96"/>
        <v/>
      </c>
      <c r="V1177" s="215" t="s">
        <v>47</v>
      </c>
      <c r="W1177" s="102" t="s">
        <v>136</v>
      </c>
      <c r="X1177" s="102" t="s">
        <v>137</v>
      </c>
      <c r="Y1177" s="103" t="s">
        <v>138</v>
      </c>
      <c r="Z1177" s="103" t="s">
        <v>139</v>
      </c>
      <c r="AA1177" s="103" t="s">
        <v>47</v>
      </c>
      <c r="AB1177" s="103" t="s">
        <v>140</v>
      </c>
      <c r="AC1177" s="104" t="s">
        <v>141</v>
      </c>
    </row>
    <row r="1178" spans="1:29" ht="25.5" customHeight="1" x14ac:dyDescent="0.35">
      <c r="A1178" s="188"/>
      <c r="B1178" s="190"/>
      <c r="C1178" s="99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0"/>
      <c r="E1178" s="78" t="str">
        <f>IF(C1178="","",IFERROR(VLOOKUP(C1178,parametros!$A$11:$E$15,5,0),""))</f>
        <v/>
      </c>
      <c r="F1178" s="79" t="str">
        <f t="shared" si="92"/>
        <v/>
      </c>
      <c r="G1178" s="101"/>
      <c r="H1178" s="91">
        <f t="shared" si="93"/>
        <v>0</v>
      </c>
      <c r="I1178" s="91" t="str">
        <f t="shared" si="94"/>
        <v/>
      </c>
      <c r="J1178" s="91" t="str">
        <f t="shared" si="95"/>
        <v/>
      </c>
      <c r="K1178" s="92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2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58"/>
      <c r="U1178" s="217" t="str">
        <f t="shared" si="96"/>
        <v/>
      </c>
      <c r="V1178" s="215" t="s">
        <v>47</v>
      </c>
      <c r="W1178" s="102" t="s">
        <v>136</v>
      </c>
      <c r="X1178" s="102" t="s">
        <v>137</v>
      </c>
      <c r="Y1178" s="103" t="s">
        <v>138</v>
      </c>
      <c r="Z1178" s="103" t="s">
        <v>139</v>
      </c>
      <c r="AA1178" s="103" t="s">
        <v>47</v>
      </c>
      <c r="AB1178" s="103" t="s">
        <v>140</v>
      </c>
      <c r="AC1178" s="104" t="s">
        <v>141</v>
      </c>
    </row>
    <row r="1179" spans="1:29" ht="25.5" customHeight="1" x14ac:dyDescent="0.35">
      <c r="A1179" s="188"/>
      <c r="B1179" s="190"/>
      <c r="C1179" s="99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0"/>
      <c r="E1179" s="78" t="str">
        <f>IF(C1179="","",IFERROR(VLOOKUP(C1179,parametros!$A$11:$E$15,5,0),""))</f>
        <v/>
      </c>
      <c r="F1179" s="79" t="str">
        <f t="shared" si="92"/>
        <v/>
      </c>
      <c r="G1179" s="101"/>
      <c r="H1179" s="91">
        <f t="shared" si="93"/>
        <v>0</v>
      </c>
      <c r="I1179" s="91" t="str">
        <f t="shared" si="94"/>
        <v/>
      </c>
      <c r="J1179" s="91" t="str">
        <f t="shared" si="95"/>
        <v/>
      </c>
      <c r="K1179" s="92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2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58"/>
      <c r="U1179" s="217" t="str">
        <f t="shared" si="96"/>
        <v/>
      </c>
      <c r="V1179" s="215" t="s">
        <v>47</v>
      </c>
      <c r="W1179" s="102" t="s">
        <v>136</v>
      </c>
      <c r="X1179" s="102" t="s">
        <v>137</v>
      </c>
      <c r="Y1179" s="103" t="s">
        <v>138</v>
      </c>
      <c r="Z1179" s="103" t="s">
        <v>139</v>
      </c>
      <c r="AA1179" s="103" t="s">
        <v>47</v>
      </c>
      <c r="AB1179" s="103" t="s">
        <v>140</v>
      </c>
      <c r="AC1179" s="104" t="s">
        <v>141</v>
      </c>
    </row>
    <row r="1180" spans="1:29" ht="25.5" customHeight="1" x14ac:dyDescent="0.35">
      <c r="A1180" s="188"/>
      <c r="B1180" s="190"/>
      <c r="C1180" s="99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0"/>
      <c r="E1180" s="78" t="str">
        <f>IF(C1180="","",IFERROR(VLOOKUP(C1180,parametros!$A$11:$E$15,5,0),""))</f>
        <v/>
      </c>
      <c r="F1180" s="79" t="str">
        <f t="shared" si="92"/>
        <v/>
      </c>
      <c r="G1180" s="101"/>
      <c r="H1180" s="91">
        <f t="shared" si="93"/>
        <v>0</v>
      </c>
      <c r="I1180" s="91" t="str">
        <f t="shared" si="94"/>
        <v/>
      </c>
      <c r="J1180" s="91" t="str">
        <f t="shared" si="95"/>
        <v/>
      </c>
      <c r="K1180" s="92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2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58"/>
      <c r="U1180" s="217" t="str">
        <f t="shared" si="96"/>
        <v/>
      </c>
      <c r="V1180" s="215" t="s">
        <v>47</v>
      </c>
      <c r="W1180" s="102" t="s">
        <v>136</v>
      </c>
      <c r="X1180" s="102" t="s">
        <v>137</v>
      </c>
      <c r="Y1180" s="103" t="s">
        <v>138</v>
      </c>
      <c r="Z1180" s="103" t="s">
        <v>139</v>
      </c>
      <c r="AA1180" s="103" t="s">
        <v>47</v>
      </c>
      <c r="AB1180" s="103" t="s">
        <v>140</v>
      </c>
      <c r="AC1180" s="104" t="s">
        <v>141</v>
      </c>
    </row>
    <row r="1181" spans="1:29" ht="25.5" customHeight="1" x14ac:dyDescent="0.35">
      <c r="A1181" s="188"/>
      <c r="B1181" s="190"/>
      <c r="C1181" s="99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0"/>
      <c r="E1181" s="78" t="str">
        <f>IF(C1181="","",IFERROR(VLOOKUP(C1181,parametros!$A$11:$E$15,5,0),""))</f>
        <v/>
      </c>
      <c r="F1181" s="79" t="str">
        <f t="shared" si="92"/>
        <v/>
      </c>
      <c r="G1181" s="101"/>
      <c r="H1181" s="91">
        <f t="shared" si="93"/>
        <v>0</v>
      </c>
      <c r="I1181" s="91" t="str">
        <f t="shared" si="94"/>
        <v/>
      </c>
      <c r="J1181" s="91" t="str">
        <f t="shared" si="95"/>
        <v/>
      </c>
      <c r="K1181" s="92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2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58"/>
      <c r="U1181" s="217" t="str">
        <f t="shared" si="96"/>
        <v/>
      </c>
      <c r="V1181" s="215" t="s">
        <v>47</v>
      </c>
      <c r="W1181" s="102" t="s">
        <v>136</v>
      </c>
      <c r="X1181" s="102" t="s">
        <v>137</v>
      </c>
      <c r="Y1181" s="103" t="s">
        <v>138</v>
      </c>
      <c r="Z1181" s="103" t="s">
        <v>139</v>
      </c>
      <c r="AA1181" s="103" t="s">
        <v>47</v>
      </c>
      <c r="AB1181" s="103" t="s">
        <v>140</v>
      </c>
      <c r="AC1181" s="104" t="s">
        <v>141</v>
      </c>
    </row>
    <row r="1182" spans="1:29" ht="25.5" customHeight="1" x14ac:dyDescent="0.35">
      <c r="A1182" s="188"/>
      <c r="B1182" s="190"/>
      <c r="C1182" s="99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0"/>
      <c r="E1182" s="78" t="str">
        <f>IF(C1182="","",IFERROR(VLOOKUP(C1182,parametros!$A$11:$E$15,5,0),""))</f>
        <v/>
      </c>
      <c r="F1182" s="79" t="str">
        <f t="shared" si="92"/>
        <v/>
      </c>
      <c r="G1182" s="101"/>
      <c r="H1182" s="91">
        <f t="shared" si="93"/>
        <v>0</v>
      </c>
      <c r="I1182" s="91" t="str">
        <f t="shared" si="94"/>
        <v/>
      </c>
      <c r="J1182" s="91" t="str">
        <f t="shared" si="95"/>
        <v/>
      </c>
      <c r="K1182" s="92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2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58"/>
      <c r="U1182" s="217" t="str">
        <f t="shared" si="96"/>
        <v/>
      </c>
      <c r="V1182" s="215" t="s">
        <v>47</v>
      </c>
      <c r="W1182" s="102" t="s">
        <v>136</v>
      </c>
      <c r="X1182" s="102" t="s">
        <v>137</v>
      </c>
      <c r="Y1182" s="103" t="s">
        <v>138</v>
      </c>
      <c r="Z1182" s="103" t="s">
        <v>139</v>
      </c>
      <c r="AA1182" s="103" t="s">
        <v>47</v>
      </c>
      <c r="AB1182" s="103" t="s">
        <v>140</v>
      </c>
      <c r="AC1182" s="104" t="s">
        <v>141</v>
      </c>
    </row>
    <row r="1183" spans="1:29" ht="25.5" customHeight="1" x14ac:dyDescent="0.35">
      <c r="A1183" s="188"/>
      <c r="B1183" s="190"/>
      <c r="C1183" s="99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0"/>
      <c r="E1183" s="78" t="str">
        <f>IF(C1183="","",IFERROR(VLOOKUP(C1183,parametros!$A$11:$E$15,5,0),""))</f>
        <v/>
      </c>
      <c r="F1183" s="79" t="str">
        <f t="shared" si="92"/>
        <v/>
      </c>
      <c r="G1183" s="101"/>
      <c r="H1183" s="91">
        <f t="shared" si="93"/>
        <v>0</v>
      </c>
      <c r="I1183" s="91" t="str">
        <f t="shared" si="94"/>
        <v/>
      </c>
      <c r="J1183" s="91" t="str">
        <f t="shared" si="95"/>
        <v/>
      </c>
      <c r="K1183" s="92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2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58"/>
      <c r="U1183" s="217" t="str">
        <f t="shared" si="96"/>
        <v/>
      </c>
      <c r="V1183" s="215" t="s">
        <v>47</v>
      </c>
      <c r="W1183" s="102" t="s">
        <v>136</v>
      </c>
      <c r="X1183" s="102" t="s">
        <v>137</v>
      </c>
      <c r="Y1183" s="103" t="s">
        <v>138</v>
      </c>
      <c r="Z1183" s="103" t="s">
        <v>139</v>
      </c>
      <c r="AA1183" s="103" t="s">
        <v>47</v>
      </c>
      <c r="AB1183" s="103" t="s">
        <v>140</v>
      </c>
      <c r="AC1183" s="104" t="s">
        <v>141</v>
      </c>
    </row>
    <row r="1184" spans="1:29" ht="25.5" customHeight="1" x14ac:dyDescent="0.35">
      <c r="A1184" s="188"/>
      <c r="B1184" s="190"/>
      <c r="C1184" s="99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0"/>
      <c r="E1184" s="78" t="str">
        <f>IF(C1184="","",IFERROR(VLOOKUP(C1184,parametros!$A$11:$E$15,5,0),""))</f>
        <v/>
      </c>
      <c r="F1184" s="79" t="str">
        <f t="shared" si="92"/>
        <v/>
      </c>
      <c r="G1184" s="101"/>
      <c r="H1184" s="91">
        <f t="shared" si="93"/>
        <v>0</v>
      </c>
      <c r="I1184" s="91" t="str">
        <f t="shared" si="94"/>
        <v/>
      </c>
      <c r="J1184" s="91" t="str">
        <f t="shared" si="95"/>
        <v/>
      </c>
      <c r="K1184" s="92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2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58"/>
      <c r="U1184" s="217" t="str">
        <f t="shared" si="96"/>
        <v/>
      </c>
      <c r="V1184" s="215" t="s">
        <v>47</v>
      </c>
      <c r="W1184" s="102" t="s">
        <v>136</v>
      </c>
      <c r="X1184" s="102" t="s">
        <v>137</v>
      </c>
      <c r="Y1184" s="103" t="s">
        <v>138</v>
      </c>
      <c r="Z1184" s="103" t="s">
        <v>139</v>
      </c>
      <c r="AA1184" s="103" t="s">
        <v>47</v>
      </c>
      <c r="AB1184" s="103" t="s">
        <v>140</v>
      </c>
      <c r="AC1184" s="104" t="s">
        <v>141</v>
      </c>
    </row>
    <row r="1185" spans="1:29" ht="25.5" customHeight="1" x14ac:dyDescent="0.35">
      <c r="A1185" s="188"/>
      <c r="B1185" s="190"/>
      <c r="C1185" s="99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0"/>
      <c r="E1185" s="78" t="str">
        <f>IF(C1185="","",IFERROR(VLOOKUP(C1185,parametros!$A$11:$E$15,5,0),""))</f>
        <v/>
      </c>
      <c r="F1185" s="79" t="str">
        <f t="shared" si="92"/>
        <v/>
      </c>
      <c r="G1185" s="101"/>
      <c r="H1185" s="91">
        <f t="shared" si="93"/>
        <v>0</v>
      </c>
      <c r="I1185" s="91" t="str">
        <f t="shared" si="94"/>
        <v/>
      </c>
      <c r="J1185" s="91" t="str">
        <f t="shared" si="95"/>
        <v/>
      </c>
      <c r="K1185" s="92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2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58"/>
      <c r="U1185" s="217" t="str">
        <f t="shared" si="96"/>
        <v/>
      </c>
      <c r="V1185" s="215" t="s">
        <v>47</v>
      </c>
      <c r="W1185" s="102" t="s">
        <v>136</v>
      </c>
      <c r="X1185" s="102" t="s">
        <v>137</v>
      </c>
      <c r="Y1185" s="103" t="s">
        <v>138</v>
      </c>
      <c r="Z1185" s="103" t="s">
        <v>139</v>
      </c>
      <c r="AA1185" s="103" t="s">
        <v>47</v>
      </c>
      <c r="AB1185" s="103" t="s">
        <v>140</v>
      </c>
      <c r="AC1185" s="104" t="s">
        <v>141</v>
      </c>
    </row>
    <row r="1186" spans="1:29" ht="25.5" customHeight="1" x14ac:dyDescent="0.35">
      <c r="A1186" s="188"/>
      <c r="B1186" s="190"/>
      <c r="C1186" s="99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0"/>
      <c r="E1186" s="78" t="str">
        <f>IF(C1186="","",IFERROR(VLOOKUP(C1186,parametros!$A$11:$E$15,5,0),""))</f>
        <v/>
      </c>
      <c r="F1186" s="79" t="str">
        <f t="shared" si="92"/>
        <v/>
      </c>
      <c r="G1186" s="101"/>
      <c r="H1186" s="91">
        <f t="shared" si="93"/>
        <v>0</v>
      </c>
      <c r="I1186" s="91" t="str">
        <f t="shared" si="94"/>
        <v/>
      </c>
      <c r="J1186" s="91" t="str">
        <f t="shared" si="95"/>
        <v/>
      </c>
      <c r="K1186" s="92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2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58"/>
      <c r="U1186" s="217" t="str">
        <f t="shared" si="96"/>
        <v/>
      </c>
      <c r="V1186" s="215" t="s">
        <v>47</v>
      </c>
      <c r="W1186" s="102" t="s">
        <v>136</v>
      </c>
      <c r="X1186" s="102" t="s">
        <v>137</v>
      </c>
      <c r="Y1186" s="103" t="s">
        <v>138</v>
      </c>
      <c r="Z1186" s="103" t="s">
        <v>139</v>
      </c>
      <c r="AA1186" s="103" t="s">
        <v>47</v>
      </c>
      <c r="AB1186" s="103" t="s">
        <v>140</v>
      </c>
      <c r="AC1186" s="104" t="s">
        <v>141</v>
      </c>
    </row>
    <row r="1187" spans="1:29" ht="25.5" customHeight="1" x14ac:dyDescent="0.35">
      <c r="A1187" s="188"/>
      <c r="B1187" s="190"/>
      <c r="C1187" s="99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0"/>
      <c r="E1187" s="78" t="str">
        <f>IF(C1187="","",IFERROR(VLOOKUP(C1187,parametros!$A$11:$E$15,5,0),""))</f>
        <v/>
      </c>
      <c r="F1187" s="79" t="str">
        <f t="shared" si="92"/>
        <v/>
      </c>
      <c r="G1187" s="101"/>
      <c r="H1187" s="91">
        <f t="shared" si="93"/>
        <v>0</v>
      </c>
      <c r="I1187" s="91" t="str">
        <f t="shared" si="94"/>
        <v/>
      </c>
      <c r="J1187" s="91" t="str">
        <f t="shared" si="95"/>
        <v/>
      </c>
      <c r="K1187" s="92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2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58"/>
      <c r="U1187" s="217" t="str">
        <f t="shared" si="96"/>
        <v/>
      </c>
      <c r="V1187" s="215" t="s">
        <v>47</v>
      </c>
      <c r="W1187" s="102" t="s">
        <v>136</v>
      </c>
      <c r="X1187" s="102" t="s">
        <v>137</v>
      </c>
      <c r="Y1187" s="103" t="s">
        <v>138</v>
      </c>
      <c r="Z1187" s="103" t="s">
        <v>139</v>
      </c>
      <c r="AA1187" s="103" t="s">
        <v>47</v>
      </c>
      <c r="AB1187" s="103" t="s">
        <v>140</v>
      </c>
      <c r="AC1187" s="104" t="s">
        <v>141</v>
      </c>
    </row>
    <row r="1188" spans="1:29" ht="25.5" customHeight="1" x14ac:dyDescent="0.35">
      <c r="A1188" s="188"/>
      <c r="B1188" s="190"/>
      <c r="C1188" s="99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0"/>
      <c r="E1188" s="78" t="str">
        <f>IF(C1188="","",IFERROR(VLOOKUP(C1188,parametros!$A$11:$E$15,5,0),""))</f>
        <v/>
      </c>
      <c r="F1188" s="79" t="str">
        <f t="shared" si="92"/>
        <v/>
      </c>
      <c r="G1188" s="101"/>
      <c r="H1188" s="91">
        <f t="shared" si="93"/>
        <v>0</v>
      </c>
      <c r="I1188" s="91" t="str">
        <f t="shared" si="94"/>
        <v/>
      </c>
      <c r="J1188" s="91" t="str">
        <f t="shared" si="95"/>
        <v/>
      </c>
      <c r="K1188" s="92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2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58"/>
      <c r="U1188" s="217" t="str">
        <f t="shared" si="96"/>
        <v/>
      </c>
      <c r="V1188" s="215" t="s">
        <v>47</v>
      </c>
      <c r="W1188" s="102" t="s">
        <v>136</v>
      </c>
      <c r="X1188" s="102" t="s">
        <v>137</v>
      </c>
      <c r="Y1188" s="103" t="s">
        <v>138</v>
      </c>
      <c r="Z1188" s="103" t="s">
        <v>139</v>
      </c>
      <c r="AA1188" s="103" t="s">
        <v>47</v>
      </c>
      <c r="AB1188" s="103" t="s">
        <v>140</v>
      </c>
      <c r="AC1188" s="104" t="s">
        <v>141</v>
      </c>
    </row>
    <row r="1189" spans="1:29" ht="25.5" customHeight="1" x14ac:dyDescent="0.35">
      <c r="A1189" s="188"/>
      <c r="B1189" s="190"/>
      <c r="C1189" s="99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0"/>
      <c r="E1189" s="78" t="str">
        <f>IF(C1189="","",IFERROR(VLOOKUP(C1189,parametros!$A$11:$E$15,5,0),""))</f>
        <v/>
      </c>
      <c r="F1189" s="79" t="str">
        <f t="shared" si="92"/>
        <v/>
      </c>
      <c r="G1189" s="101"/>
      <c r="H1189" s="91">
        <f t="shared" si="93"/>
        <v>0</v>
      </c>
      <c r="I1189" s="91" t="str">
        <f t="shared" si="94"/>
        <v/>
      </c>
      <c r="J1189" s="91" t="str">
        <f t="shared" si="95"/>
        <v/>
      </c>
      <c r="K1189" s="92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2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58"/>
      <c r="U1189" s="217" t="str">
        <f t="shared" si="96"/>
        <v/>
      </c>
      <c r="V1189" s="215" t="s">
        <v>47</v>
      </c>
      <c r="W1189" s="102" t="s">
        <v>136</v>
      </c>
      <c r="X1189" s="102" t="s">
        <v>137</v>
      </c>
      <c r="Y1189" s="103" t="s">
        <v>138</v>
      </c>
      <c r="Z1189" s="103" t="s">
        <v>139</v>
      </c>
      <c r="AA1189" s="103" t="s">
        <v>47</v>
      </c>
      <c r="AB1189" s="103" t="s">
        <v>140</v>
      </c>
      <c r="AC1189" s="104" t="s">
        <v>141</v>
      </c>
    </row>
    <row r="1190" spans="1:29" ht="25.5" customHeight="1" x14ac:dyDescent="0.35">
      <c r="A1190" s="188"/>
      <c r="B1190" s="190"/>
      <c r="C1190" s="99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0"/>
      <c r="E1190" s="78" t="str">
        <f>IF(C1190="","",IFERROR(VLOOKUP(C1190,parametros!$A$11:$E$15,5,0),""))</f>
        <v/>
      </c>
      <c r="F1190" s="79" t="str">
        <f t="shared" si="92"/>
        <v/>
      </c>
      <c r="G1190" s="101"/>
      <c r="H1190" s="91">
        <f t="shared" si="93"/>
        <v>0</v>
      </c>
      <c r="I1190" s="91" t="str">
        <f t="shared" si="94"/>
        <v/>
      </c>
      <c r="J1190" s="91" t="str">
        <f t="shared" si="95"/>
        <v/>
      </c>
      <c r="K1190" s="92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2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58"/>
      <c r="U1190" s="217" t="str">
        <f t="shared" si="96"/>
        <v/>
      </c>
      <c r="V1190" s="215" t="s">
        <v>47</v>
      </c>
      <c r="W1190" s="102" t="s">
        <v>136</v>
      </c>
      <c r="X1190" s="102" t="s">
        <v>137</v>
      </c>
      <c r="Y1190" s="103" t="s">
        <v>138</v>
      </c>
      <c r="Z1190" s="103" t="s">
        <v>139</v>
      </c>
      <c r="AA1190" s="103" t="s">
        <v>47</v>
      </c>
      <c r="AB1190" s="103" t="s">
        <v>140</v>
      </c>
      <c r="AC1190" s="104" t="s">
        <v>141</v>
      </c>
    </row>
    <row r="1191" spans="1:29" ht="25.5" customHeight="1" x14ac:dyDescent="0.35">
      <c r="A1191" s="188"/>
      <c r="B1191" s="190"/>
      <c r="C1191" s="99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0"/>
      <c r="E1191" s="78" t="str">
        <f>IF(C1191="","",IFERROR(VLOOKUP(C1191,parametros!$A$11:$E$15,5,0),""))</f>
        <v/>
      </c>
      <c r="F1191" s="79" t="str">
        <f t="shared" si="92"/>
        <v/>
      </c>
      <c r="G1191" s="101"/>
      <c r="H1191" s="91">
        <f t="shared" si="93"/>
        <v>0</v>
      </c>
      <c r="I1191" s="91" t="str">
        <f t="shared" si="94"/>
        <v/>
      </c>
      <c r="J1191" s="91" t="str">
        <f t="shared" si="95"/>
        <v/>
      </c>
      <c r="K1191" s="92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2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58"/>
      <c r="U1191" s="217" t="str">
        <f t="shared" si="96"/>
        <v/>
      </c>
      <c r="V1191" s="215" t="s">
        <v>47</v>
      </c>
      <c r="W1191" s="102" t="s">
        <v>136</v>
      </c>
      <c r="X1191" s="102" t="s">
        <v>137</v>
      </c>
      <c r="Y1191" s="103" t="s">
        <v>138</v>
      </c>
      <c r="Z1191" s="103" t="s">
        <v>139</v>
      </c>
      <c r="AA1191" s="103" t="s">
        <v>47</v>
      </c>
      <c r="AB1191" s="103" t="s">
        <v>140</v>
      </c>
      <c r="AC1191" s="104" t="s">
        <v>141</v>
      </c>
    </row>
    <row r="1192" spans="1:29" ht="25.5" customHeight="1" x14ac:dyDescent="0.35">
      <c r="A1192" s="188"/>
      <c r="B1192" s="190"/>
      <c r="C1192" s="99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0"/>
      <c r="E1192" s="78" t="str">
        <f>IF(C1192="","",IFERROR(VLOOKUP(C1192,parametros!$A$11:$E$15,5,0),""))</f>
        <v/>
      </c>
      <c r="F1192" s="79" t="str">
        <f t="shared" si="92"/>
        <v/>
      </c>
      <c r="G1192" s="101"/>
      <c r="H1192" s="91">
        <f t="shared" si="93"/>
        <v>0</v>
      </c>
      <c r="I1192" s="91" t="str">
        <f t="shared" si="94"/>
        <v/>
      </c>
      <c r="J1192" s="91" t="str">
        <f t="shared" si="95"/>
        <v/>
      </c>
      <c r="K1192" s="92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2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58"/>
      <c r="U1192" s="217" t="str">
        <f t="shared" si="96"/>
        <v/>
      </c>
      <c r="V1192" s="215" t="s">
        <v>47</v>
      </c>
      <c r="W1192" s="102" t="s">
        <v>136</v>
      </c>
      <c r="X1192" s="102" t="s">
        <v>137</v>
      </c>
      <c r="Y1192" s="103" t="s">
        <v>138</v>
      </c>
      <c r="Z1192" s="103" t="s">
        <v>139</v>
      </c>
      <c r="AA1192" s="103" t="s">
        <v>47</v>
      </c>
      <c r="AB1192" s="103" t="s">
        <v>140</v>
      </c>
      <c r="AC1192" s="104" t="s">
        <v>141</v>
      </c>
    </row>
    <row r="1193" spans="1:29" ht="25.5" customHeight="1" x14ac:dyDescent="0.35">
      <c r="A1193" s="188"/>
      <c r="B1193" s="190"/>
      <c r="C1193" s="99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0"/>
      <c r="E1193" s="78" t="str">
        <f>IF(C1193="","",IFERROR(VLOOKUP(C1193,parametros!$A$11:$E$15,5,0),""))</f>
        <v/>
      </c>
      <c r="F1193" s="79" t="str">
        <f t="shared" si="92"/>
        <v/>
      </c>
      <c r="G1193" s="101"/>
      <c r="H1193" s="91">
        <f t="shared" si="93"/>
        <v>0</v>
      </c>
      <c r="I1193" s="91" t="str">
        <f t="shared" si="94"/>
        <v/>
      </c>
      <c r="J1193" s="91" t="str">
        <f t="shared" si="95"/>
        <v/>
      </c>
      <c r="K1193" s="92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2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58"/>
      <c r="U1193" s="217" t="str">
        <f t="shared" si="96"/>
        <v/>
      </c>
      <c r="V1193" s="215" t="s">
        <v>47</v>
      </c>
      <c r="W1193" s="102" t="s">
        <v>136</v>
      </c>
      <c r="X1193" s="102" t="s">
        <v>137</v>
      </c>
      <c r="Y1193" s="103" t="s">
        <v>138</v>
      </c>
      <c r="Z1193" s="103" t="s">
        <v>139</v>
      </c>
      <c r="AA1193" s="103" t="s">
        <v>47</v>
      </c>
      <c r="AB1193" s="103" t="s">
        <v>140</v>
      </c>
      <c r="AC1193" s="104" t="s">
        <v>141</v>
      </c>
    </row>
    <row r="1194" spans="1:29" ht="25.5" customHeight="1" x14ac:dyDescent="0.35">
      <c r="A1194" s="188"/>
      <c r="B1194" s="190"/>
      <c r="C1194" s="99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0"/>
      <c r="E1194" s="78" t="str">
        <f>IF(C1194="","",IFERROR(VLOOKUP(C1194,parametros!$A$11:$E$15,5,0),""))</f>
        <v/>
      </c>
      <c r="F1194" s="79" t="str">
        <f t="shared" si="92"/>
        <v/>
      </c>
      <c r="G1194" s="101"/>
      <c r="H1194" s="91">
        <f t="shared" si="93"/>
        <v>0</v>
      </c>
      <c r="I1194" s="91" t="str">
        <f t="shared" si="94"/>
        <v/>
      </c>
      <c r="J1194" s="91" t="str">
        <f t="shared" si="95"/>
        <v/>
      </c>
      <c r="K1194" s="92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2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58"/>
      <c r="U1194" s="217" t="str">
        <f t="shared" si="96"/>
        <v/>
      </c>
      <c r="V1194" s="215" t="s">
        <v>47</v>
      </c>
      <c r="W1194" s="102" t="s">
        <v>136</v>
      </c>
      <c r="X1194" s="102" t="s">
        <v>137</v>
      </c>
      <c r="Y1194" s="103" t="s">
        <v>138</v>
      </c>
      <c r="Z1194" s="103" t="s">
        <v>139</v>
      </c>
      <c r="AA1194" s="103" t="s">
        <v>47</v>
      </c>
      <c r="AB1194" s="103" t="s">
        <v>140</v>
      </c>
      <c r="AC1194" s="104" t="s">
        <v>141</v>
      </c>
    </row>
    <row r="1195" spans="1:29" ht="25.5" customHeight="1" x14ac:dyDescent="0.35">
      <c r="A1195" s="188"/>
      <c r="B1195" s="190"/>
      <c r="C1195" s="99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0"/>
      <c r="E1195" s="78" t="str">
        <f>IF(C1195="","",IFERROR(VLOOKUP(C1195,parametros!$A$11:$E$15,5,0),""))</f>
        <v/>
      </c>
      <c r="F1195" s="79" t="str">
        <f t="shared" si="92"/>
        <v/>
      </c>
      <c r="G1195" s="101"/>
      <c r="H1195" s="91">
        <f t="shared" si="93"/>
        <v>0</v>
      </c>
      <c r="I1195" s="91" t="str">
        <f t="shared" si="94"/>
        <v/>
      </c>
      <c r="J1195" s="91" t="str">
        <f t="shared" si="95"/>
        <v/>
      </c>
      <c r="K1195" s="92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2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58"/>
      <c r="U1195" s="217" t="str">
        <f t="shared" si="96"/>
        <v/>
      </c>
      <c r="V1195" s="215" t="s">
        <v>47</v>
      </c>
      <c r="W1195" s="102" t="s">
        <v>136</v>
      </c>
      <c r="X1195" s="102" t="s">
        <v>137</v>
      </c>
      <c r="Y1195" s="103" t="s">
        <v>138</v>
      </c>
      <c r="Z1195" s="103" t="s">
        <v>139</v>
      </c>
      <c r="AA1195" s="103" t="s">
        <v>47</v>
      </c>
      <c r="AB1195" s="103" t="s">
        <v>140</v>
      </c>
      <c r="AC1195" s="104" t="s">
        <v>141</v>
      </c>
    </row>
    <row r="1196" spans="1:29" ht="25.5" customHeight="1" x14ac:dyDescent="0.35">
      <c r="A1196" s="188"/>
      <c r="B1196" s="190"/>
      <c r="C1196" s="99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0"/>
      <c r="E1196" s="78" t="str">
        <f>IF(C1196="","",IFERROR(VLOOKUP(C1196,parametros!$A$11:$E$15,5,0),""))</f>
        <v/>
      </c>
      <c r="F1196" s="79" t="str">
        <f t="shared" si="92"/>
        <v/>
      </c>
      <c r="G1196" s="101"/>
      <c r="H1196" s="91">
        <f t="shared" si="93"/>
        <v>0</v>
      </c>
      <c r="I1196" s="91" t="str">
        <f t="shared" si="94"/>
        <v/>
      </c>
      <c r="J1196" s="91" t="str">
        <f t="shared" si="95"/>
        <v/>
      </c>
      <c r="K1196" s="92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2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58"/>
      <c r="U1196" s="217" t="str">
        <f t="shared" si="96"/>
        <v/>
      </c>
      <c r="V1196" s="215" t="s">
        <v>47</v>
      </c>
      <c r="W1196" s="102" t="s">
        <v>136</v>
      </c>
      <c r="X1196" s="102" t="s">
        <v>137</v>
      </c>
      <c r="Y1196" s="103" t="s">
        <v>138</v>
      </c>
      <c r="Z1196" s="103" t="s">
        <v>139</v>
      </c>
      <c r="AA1196" s="103" t="s">
        <v>47</v>
      </c>
      <c r="AB1196" s="103" t="s">
        <v>140</v>
      </c>
      <c r="AC1196" s="104" t="s">
        <v>141</v>
      </c>
    </row>
    <row r="1197" spans="1:29" ht="25.5" customHeight="1" x14ac:dyDescent="0.35">
      <c r="A1197" s="188"/>
      <c r="B1197" s="190"/>
      <c r="C1197" s="99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0"/>
      <c r="E1197" s="78" t="str">
        <f>IF(C1197="","",IFERROR(VLOOKUP(C1197,parametros!$A$11:$E$15,5,0),""))</f>
        <v/>
      </c>
      <c r="F1197" s="79" t="str">
        <f t="shared" si="92"/>
        <v/>
      </c>
      <c r="G1197" s="101"/>
      <c r="H1197" s="91">
        <f t="shared" si="93"/>
        <v>0</v>
      </c>
      <c r="I1197" s="91" t="str">
        <f t="shared" si="94"/>
        <v/>
      </c>
      <c r="J1197" s="91" t="str">
        <f t="shared" si="95"/>
        <v/>
      </c>
      <c r="K1197" s="92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2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58"/>
      <c r="U1197" s="217" t="str">
        <f t="shared" si="96"/>
        <v/>
      </c>
      <c r="V1197" s="215" t="s">
        <v>47</v>
      </c>
      <c r="W1197" s="102" t="s">
        <v>136</v>
      </c>
      <c r="X1197" s="102" t="s">
        <v>137</v>
      </c>
      <c r="Y1197" s="103" t="s">
        <v>138</v>
      </c>
      <c r="Z1197" s="103" t="s">
        <v>139</v>
      </c>
      <c r="AA1197" s="103" t="s">
        <v>47</v>
      </c>
      <c r="AB1197" s="103" t="s">
        <v>140</v>
      </c>
      <c r="AC1197" s="104" t="s">
        <v>141</v>
      </c>
    </row>
    <row r="1198" spans="1:29" ht="25.5" customHeight="1" x14ac:dyDescent="0.35">
      <c r="A1198" s="188"/>
      <c r="B1198" s="190"/>
      <c r="C1198" s="99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0"/>
      <c r="E1198" s="78" t="str">
        <f>IF(C1198="","",IFERROR(VLOOKUP(C1198,parametros!$A$11:$E$15,5,0),""))</f>
        <v/>
      </c>
      <c r="F1198" s="79" t="str">
        <f t="shared" si="92"/>
        <v/>
      </c>
      <c r="G1198" s="101"/>
      <c r="H1198" s="91">
        <f t="shared" si="93"/>
        <v>0</v>
      </c>
      <c r="I1198" s="91" t="str">
        <f t="shared" si="94"/>
        <v/>
      </c>
      <c r="J1198" s="91" t="str">
        <f t="shared" si="95"/>
        <v/>
      </c>
      <c r="K1198" s="92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2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58"/>
      <c r="U1198" s="217" t="str">
        <f t="shared" si="96"/>
        <v/>
      </c>
      <c r="V1198" s="215" t="s">
        <v>47</v>
      </c>
      <c r="W1198" s="102" t="s">
        <v>136</v>
      </c>
      <c r="X1198" s="102" t="s">
        <v>137</v>
      </c>
      <c r="Y1198" s="103" t="s">
        <v>138</v>
      </c>
      <c r="Z1198" s="103" t="s">
        <v>139</v>
      </c>
      <c r="AA1198" s="103" t="s">
        <v>47</v>
      </c>
      <c r="AB1198" s="103" t="s">
        <v>140</v>
      </c>
      <c r="AC1198" s="104" t="s">
        <v>141</v>
      </c>
    </row>
    <row r="1199" spans="1:29" ht="25.5" customHeight="1" x14ac:dyDescent="0.35">
      <c r="A1199" s="188"/>
      <c r="B1199" s="190"/>
      <c r="C1199" s="99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0"/>
      <c r="E1199" s="78" t="str">
        <f>IF(C1199="","",IFERROR(VLOOKUP(C1199,parametros!$A$11:$E$15,5,0),""))</f>
        <v/>
      </c>
      <c r="F1199" s="79" t="str">
        <f t="shared" si="92"/>
        <v/>
      </c>
      <c r="G1199" s="101"/>
      <c r="H1199" s="91">
        <f t="shared" si="93"/>
        <v>0</v>
      </c>
      <c r="I1199" s="91" t="str">
        <f t="shared" si="94"/>
        <v/>
      </c>
      <c r="J1199" s="91" t="str">
        <f t="shared" si="95"/>
        <v/>
      </c>
      <c r="K1199" s="92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2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58"/>
      <c r="U1199" s="217" t="str">
        <f t="shared" si="96"/>
        <v/>
      </c>
      <c r="V1199" s="215" t="s">
        <v>47</v>
      </c>
      <c r="W1199" s="102" t="s">
        <v>136</v>
      </c>
      <c r="X1199" s="102" t="s">
        <v>137</v>
      </c>
      <c r="Y1199" s="103" t="s">
        <v>138</v>
      </c>
      <c r="Z1199" s="103" t="s">
        <v>139</v>
      </c>
      <c r="AA1199" s="103" t="s">
        <v>47</v>
      </c>
      <c r="AB1199" s="103" t="s">
        <v>140</v>
      </c>
      <c r="AC1199" s="104" t="s">
        <v>141</v>
      </c>
    </row>
    <row r="1200" spans="1:29" ht="25.5" customHeight="1" x14ac:dyDescent="0.35">
      <c r="A1200" s="188"/>
      <c r="B1200" s="190"/>
      <c r="C1200" s="99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0"/>
      <c r="E1200" s="78" t="str">
        <f>IF(C1200="","",IFERROR(VLOOKUP(C1200,parametros!$A$11:$E$15,5,0),""))</f>
        <v/>
      </c>
      <c r="F1200" s="79" t="str">
        <f t="shared" si="92"/>
        <v/>
      </c>
      <c r="G1200" s="101"/>
      <c r="H1200" s="91">
        <f t="shared" si="93"/>
        <v>0</v>
      </c>
      <c r="I1200" s="91" t="str">
        <f t="shared" si="94"/>
        <v/>
      </c>
      <c r="J1200" s="91" t="str">
        <f t="shared" si="95"/>
        <v/>
      </c>
      <c r="K1200" s="92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2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58"/>
      <c r="U1200" s="217" t="str">
        <f t="shared" si="96"/>
        <v/>
      </c>
      <c r="V1200" s="215" t="s">
        <v>47</v>
      </c>
      <c r="W1200" s="102" t="s">
        <v>136</v>
      </c>
      <c r="X1200" s="102" t="s">
        <v>137</v>
      </c>
      <c r="Y1200" s="103" t="s">
        <v>138</v>
      </c>
      <c r="Z1200" s="103" t="s">
        <v>139</v>
      </c>
      <c r="AA1200" s="103" t="s">
        <v>47</v>
      </c>
      <c r="AB1200" s="103" t="s">
        <v>140</v>
      </c>
      <c r="AC1200" s="104" t="s">
        <v>141</v>
      </c>
    </row>
    <row r="1201" spans="1:29" ht="25.5" customHeight="1" x14ac:dyDescent="0.35">
      <c r="A1201" s="188"/>
      <c r="B1201" s="190"/>
      <c r="C1201" s="99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0"/>
      <c r="E1201" s="78" t="str">
        <f>IF(C1201="","",IFERROR(VLOOKUP(C1201,parametros!$A$11:$E$15,5,0),""))</f>
        <v/>
      </c>
      <c r="F1201" s="79" t="str">
        <f t="shared" si="92"/>
        <v/>
      </c>
      <c r="G1201" s="101"/>
      <c r="H1201" s="91">
        <f t="shared" si="93"/>
        <v>0</v>
      </c>
      <c r="I1201" s="91" t="str">
        <f t="shared" si="94"/>
        <v/>
      </c>
      <c r="J1201" s="91" t="str">
        <f t="shared" si="95"/>
        <v/>
      </c>
      <c r="K1201" s="92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2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58"/>
      <c r="U1201" s="217" t="str">
        <f t="shared" si="96"/>
        <v/>
      </c>
      <c r="V1201" s="215" t="s">
        <v>47</v>
      </c>
      <c r="W1201" s="102" t="s">
        <v>136</v>
      </c>
      <c r="X1201" s="102" t="s">
        <v>137</v>
      </c>
      <c r="Y1201" s="103" t="s">
        <v>138</v>
      </c>
      <c r="Z1201" s="103" t="s">
        <v>139</v>
      </c>
      <c r="AA1201" s="103" t="s">
        <v>47</v>
      </c>
      <c r="AB1201" s="103" t="s">
        <v>140</v>
      </c>
      <c r="AC1201" s="104" t="s">
        <v>141</v>
      </c>
    </row>
    <row r="1202" spans="1:29" ht="25.5" customHeight="1" x14ac:dyDescent="0.35">
      <c r="A1202" s="188"/>
      <c r="B1202" s="190"/>
      <c r="C1202" s="99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0"/>
      <c r="E1202" s="78" t="str">
        <f>IF(C1202="","",IFERROR(VLOOKUP(C1202,parametros!$A$11:$E$15,5,0),""))</f>
        <v/>
      </c>
      <c r="F1202" s="79" t="str">
        <f t="shared" si="92"/>
        <v/>
      </c>
      <c r="G1202" s="101"/>
      <c r="H1202" s="91">
        <f t="shared" si="93"/>
        <v>0</v>
      </c>
      <c r="I1202" s="91" t="str">
        <f t="shared" si="94"/>
        <v/>
      </c>
      <c r="J1202" s="91" t="str">
        <f t="shared" si="95"/>
        <v/>
      </c>
      <c r="K1202" s="92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2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58"/>
      <c r="U1202" s="217" t="str">
        <f t="shared" si="96"/>
        <v/>
      </c>
      <c r="V1202" s="215" t="s">
        <v>47</v>
      </c>
      <c r="W1202" s="102" t="s">
        <v>136</v>
      </c>
      <c r="X1202" s="102" t="s">
        <v>137</v>
      </c>
      <c r="Y1202" s="103" t="s">
        <v>138</v>
      </c>
      <c r="Z1202" s="103" t="s">
        <v>139</v>
      </c>
      <c r="AA1202" s="103" t="s">
        <v>47</v>
      </c>
      <c r="AB1202" s="103" t="s">
        <v>140</v>
      </c>
      <c r="AC1202" s="104" t="s">
        <v>141</v>
      </c>
    </row>
    <row r="1203" spans="1:29" ht="25.5" customHeight="1" x14ac:dyDescent="0.35">
      <c r="A1203" s="188"/>
      <c r="B1203" s="190"/>
      <c r="C1203" s="99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0"/>
      <c r="E1203" s="78" t="str">
        <f>IF(C1203="","",IFERROR(VLOOKUP(C1203,parametros!$A$11:$E$15,5,0),""))</f>
        <v/>
      </c>
      <c r="F1203" s="79" t="str">
        <f t="shared" si="92"/>
        <v/>
      </c>
      <c r="G1203" s="101"/>
      <c r="H1203" s="91">
        <f t="shared" si="93"/>
        <v>0</v>
      </c>
      <c r="I1203" s="91" t="str">
        <f t="shared" si="94"/>
        <v/>
      </c>
      <c r="J1203" s="91" t="str">
        <f t="shared" si="95"/>
        <v/>
      </c>
      <c r="K1203" s="92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2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58"/>
      <c r="U1203" s="217" t="str">
        <f t="shared" si="96"/>
        <v/>
      </c>
      <c r="V1203" s="215" t="s">
        <v>47</v>
      </c>
      <c r="W1203" s="102" t="s">
        <v>136</v>
      </c>
      <c r="X1203" s="102" t="s">
        <v>137</v>
      </c>
      <c r="Y1203" s="103" t="s">
        <v>138</v>
      </c>
      <c r="Z1203" s="103" t="s">
        <v>139</v>
      </c>
      <c r="AA1203" s="103" t="s">
        <v>47</v>
      </c>
      <c r="AB1203" s="103" t="s">
        <v>140</v>
      </c>
      <c r="AC1203" s="104" t="s">
        <v>141</v>
      </c>
    </row>
    <row r="1204" spans="1:29" ht="25.5" customHeight="1" x14ac:dyDescent="0.35">
      <c r="A1204" s="188"/>
      <c r="B1204" s="190"/>
      <c r="C1204" s="99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0"/>
      <c r="E1204" s="78" t="str">
        <f>IF(C1204="","",IFERROR(VLOOKUP(C1204,parametros!$A$11:$E$15,5,0),""))</f>
        <v/>
      </c>
      <c r="F1204" s="79" t="str">
        <f t="shared" si="92"/>
        <v/>
      </c>
      <c r="G1204" s="101"/>
      <c r="H1204" s="91">
        <f t="shared" si="93"/>
        <v>0</v>
      </c>
      <c r="I1204" s="91" t="str">
        <f t="shared" si="94"/>
        <v/>
      </c>
      <c r="J1204" s="91" t="str">
        <f t="shared" si="95"/>
        <v/>
      </c>
      <c r="K1204" s="92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2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58"/>
      <c r="U1204" s="217" t="str">
        <f t="shared" si="96"/>
        <v/>
      </c>
      <c r="V1204" s="215" t="s">
        <v>47</v>
      </c>
      <c r="W1204" s="102" t="s">
        <v>136</v>
      </c>
      <c r="X1204" s="102" t="s">
        <v>137</v>
      </c>
      <c r="Y1204" s="103" t="s">
        <v>138</v>
      </c>
      <c r="Z1204" s="103" t="s">
        <v>139</v>
      </c>
      <c r="AA1204" s="103" t="s">
        <v>47</v>
      </c>
      <c r="AB1204" s="103" t="s">
        <v>140</v>
      </c>
      <c r="AC1204" s="104" t="s">
        <v>141</v>
      </c>
    </row>
    <row r="1205" spans="1:29" ht="25.5" customHeight="1" x14ac:dyDescent="0.35">
      <c r="A1205" s="188"/>
      <c r="B1205" s="190"/>
      <c r="C1205" s="99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0"/>
      <c r="E1205" s="78" t="str">
        <f>IF(C1205="","",IFERROR(VLOOKUP(C1205,parametros!$A$11:$E$15,5,0),""))</f>
        <v/>
      </c>
      <c r="F1205" s="79" t="str">
        <f t="shared" si="92"/>
        <v/>
      </c>
      <c r="G1205" s="101"/>
      <c r="H1205" s="91">
        <f t="shared" si="93"/>
        <v>0</v>
      </c>
      <c r="I1205" s="91" t="str">
        <f t="shared" si="94"/>
        <v/>
      </c>
      <c r="J1205" s="91" t="str">
        <f t="shared" si="95"/>
        <v/>
      </c>
      <c r="K1205" s="92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2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58"/>
      <c r="U1205" s="217" t="str">
        <f t="shared" si="96"/>
        <v/>
      </c>
      <c r="V1205" s="215" t="s">
        <v>47</v>
      </c>
      <c r="W1205" s="102" t="s">
        <v>136</v>
      </c>
      <c r="X1205" s="102" t="s">
        <v>137</v>
      </c>
      <c r="Y1205" s="103" t="s">
        <v>138</v>
      </c>
      <c r="Z1205" s="103" t="s">
        <v>139</v>
      </c>
      <c r="AA1205" s="103" t="s">
        <v>47</v>
      </c>
      <c r="AB1205" s="103" t="s">
        <v>140</v>
      </c>
      <c r="AC1205" s="104" t="s">
        <v>141</v>
      </c>
    </row>
    <row r="1206" spans="1:29" ht="25.5" customHeight="1" x14ac:dyDescent="0.35">
      <c r="A1206" s="188"/>
      <c r="B1206" s="190"/>
      <c r="C1206" s="99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0"/>
      <c r="E1206" s="78" t="str">
        <f>IF(C1206="","",IFERROR(VLOOKUP(C1206,parametros!$A$11:$E$15,5,0),""))</f>
        <v/>
      </c>
      <c r="F1206" s="79" t="str">
        <f t="shared" si="92"/>
        <v/>
      </c>
      <c r="G1206" s="101"/>
      <c r="H1206" s="91">
        <f t="shared" si="93"/>
        <v>0</v>
      </c>
      <c r="I1206" s="91" t="str">
        <f t="shared" si="94"/>
        <v/>
      </c>
      <c r="J1206" s="91" t="str">
        <f t="shared" si="95"/>
        <v/>
      </c>
      <c r="K1206" s="92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2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58"/>
      <c r="U1206" s="217" t="str">
        <f t="shared" si="96"/>
        <v/>
      </c>
      <c r="V1206" s="215" t="s">
        <v>47</v>
      </c>
      <c r="W1206" s="102" t="s">
        <v>136</v>
      </c>
      <c r="X1206" s="102" t="s">
        <v>137</v>
      </c>
      <c r="Y1206" s="103" t="s">
        <v>138</v>
      </c>
      <c r="Z1206" s="103" t="s">
        <v>139</v>
      </c>
      <c r="AA1206" s="103" t="s">
        <v>47</v>
      </c>
      <c r="AB1206" s="103" t="s">
        <v>140</v>
      </c>
      <c r="AC1206" s="104" t="s">
        <v>141</v>
      </c>
    </row>
    <row r="1207" spans="1:29" ht="25.5" customHeight="1" x14ac:dyDescent="0.35">
      <c r="A1207" s="188"/>
      <c r="B1207" s="190"/>
      <c r="C1207" s="99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0"/>
      <c r="E1207" s="78" t="str">
        <f>IF(C1207="","",IFERROR(VLOOKUP(C1207,parametros!$A$11:$E$15,5,0),""))</f>
        <v/>
      </c>
      <c r="F1207" s="79" t="str">
        <f t="shared" si="92"/>
        <v/>
      </c>
      <c r="G1207" s="101"/>
      <c r="H1207" s="91">
        <f t="shared" si="93"/>
        <v>0</v>
      </c>
      <c r="I1207" s="91" t="str">
        <f t="shared" si="94"/>
        <v/>
      </c>
      <c r="J1207" s="91" t="str">
        <f t="shared" si="95"/>
        <v/>
      </c>
      <c r="K1207" s="92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2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58"/>
      <c r="U1207" s="217" t="str">
        <f t="shared" si="96"/>
        <v/>
      </c>
      <c r="V1207" s="215" t="s">
        <v>47</v>
      </c>
      <c r="W1207" s="102" t="s">
        <v>136</v>
      </c>
      <c r="X1207" s="102" t="s">
        <v>137</v>
      </c>
      <c r="Y1207" s="103" t="s">
        <v>138</v>
      </c>
      <c r="Z1207" s="103" t="s">
        <v>139</v>
      </c>
      <c r="AA1207" s="103" t="s">
        <v>47</v>
      </c>
      <c r="AB1207" s="103" t="s">
        <v>140</v>
      </c>
      <c r="AC1207" s="104" t="s">
        <v>141</v>
      </c>
    </row>
    <row r="1208" spans="1:29" ht="25.5" customHeight="1" x14ac:dyDescent="0.35">
      <c r="A1208" s="188"/>
      <c r="B1208" s="190"/>
      <c r="C1208" s="99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0"/>
      <c r="E1208" s="78" t="str">
        <f>IF(C1208="","",IFERROR(VLOOKUP(C1208,parametros!$A$11:$E$15,5,0),""))</f>
        <v/>
      </c>
      <c r="F1208" s="79" t="str">
        <f t="shared" si="92"/>
        <v/>
      </c>
      <c r="G1208" s="101"/>
      <c r="H1208" s="91">
        <f t="shared" si="93"/>
        <v>0</v>
      </c>
      <c r="I1208" s="91" t="str">
        <f t="shared" si="94"/>
        <v/>
      </c>
      <c r="J1208" s="91" t="str">
        <f t="shared" si="95"/>
        <v/>
      </c>
      <c r="K1208" s="92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2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58"/>
      <c r="U1208" s="217" t="str">
        <f t="shared" si="96"/>
        <v/>
      </c>
      <c r="V1208" s="215" t="s">
        <v>47</v>
      </c>
      <c r="W1208" s="102" t="s">
        <v>136</v>
      </c>
      <c r="X1208" s="102" t="s">
        <v>137</v>
      </c>
      <c r="Y1208" s="103" t="s">
        <v>138</v>
      </c>
      <c r="Z1208" s="103" t="s">
        <v>139</v>
      </c>
      <c r="AA1208" s="103" t="s">
        <v>47</v>
      </c>
      <c r="AB1208" s="103" t="s">
        <v>140</v>
      </c>
      <c r="AC1208" s="104" t="s">
        <v>141</v>
      </c>
    </row>
    <row r="1209" spans="1:29" ht="25.5" customHeight="1" x14ac:dyDescent="0.35">
      <c r="A1209" s="188"/>
      <c r="B1209" s="190"/>
      <c r="C1209" s="99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0"/>
      <c r="E1209" s="78" t="str">
        <f>IF(C1209="","",IFERROR(VLOOKUP(C1209,parametros!$A$11:$E$15,5,0),""))</f>
        <v/>
      </c>
      <c r="F1209" s="79" t="str">
        <f t="shared" si="92"/>
        <v/>
      </c>
      <c r="G1209" s="101"/>
      <c r="H1209" s="91">
        <f t="shared" si="93"/>
        <v>0</v>
      </c>
      <c r="I1209" s="91" t="str">
        <f t="shared" si="94"/>
        <v/>
      </c>
      <c r="J1209" s="91" t="str">
        <f t="shared" si="95"/>
        <v/>
      </c>
      <c r="K1209" s="92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2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58"/>
      <c r="U1209" s="217" t="str">
        <f t="shared" si="96"/>
        <v/>
      </c>
      <c r="V1209" s="215" t="s">
        <v>47</v>
      </c>
      <c r="W1209" s="102" t="s">
        <v>136</v>
      </c>
      <c r="X1209" s="102" t="s">
        <v>137</v>
      </c>
      <c r="Y1209" s="103" t="s">
        <v>138</v>
      </c>
      <c r="Z1209" s="103" t="s">
        <v>139</v>
      </c>
      <c r="AA1209" s="103" t="s">
        <v>47</v>
      </c>
      <c r="AB1209" s="103" t="s">
        <v>140</v>
      </c>
      <c r="AC1209" s="104" t="s">
        <v>141</v>
      </c>
    </row>
    <row r="1210" spans="1:29" ht="25.5" customHeight="1" x14ac:dyDescent="0.35">
      <c r="A1210" s="188"/>
      <c r="B1210" s="190"/>
      <c r="C1210" s="99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0"/>
      <c r="E1210" s="78" t="str">
        <f>IF(C1210="","",IFERROR(VLOOKUP(C1210,parametros!$A$11:$E$15,5,0),""))</f>
        <v/>
      </c>
      <c r="F1210" s="79" t="str">
        <f t="shared" si="92"/>
        <v/>
      </c>
      <c r="G1210" s="101"/>
      <c r="H1210" s="91">
        <f t="shared" si="93"/>
        <v>0</v>
      </c>
      <c r="I1210" s="91" t="str">
        <f t="shared" si="94"/>
        <v/>
      </c>
      <c r="J1210" s="91" t="str">
        <f t="shared" si="95"/>
        <v/>
      </c>
      <c r="K1210" s="92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2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58"/>
      <c r="U1210" s="217" t="str">
        <f t="shared" si="96"/>
        <v/>
      </c>
      <c r="V1210" s="215" t="s">
        <v>47</v>
      </c>
      <c r="W1210" s="102" t="s">
        <v>136</v>
      </c>
      <c r="X1210" s="102" t="s">
        <v>137</v>
      </c>
      <c r="Y1210" s="103" t="s">
        <v>138</v>
      </c>
      <c r="Z1210" s="103" t="s">
        <v>139</v>
      </c>
      <c r="AA1210" s="103" t="s">
        <v>47</v>
      </c>
      <c r="AB1210" s="103" t="s">
        <v>140</v>
      </c>
      <c r="AC1210" s="104" t="s">
        <v>141</v>
      </c>
    </row>
    <row r="1211" spans="1:29" ht="25.5" customHeight="1" x14ac:dyDescent="0.35">
      <c r="A1211" s="188"/>
      <c r="B1211" s="190"/>
      <c r="C1211" s="99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0"/>
      <c r="E1211" s="78" t="str">
        <f>IF(C1211="","",IFERROR(VLOOKUP(C1211,parametros!$A$11:$E$15,5,0),""))</f>
        <v/>
      </c>
      <c r="F1211" s="79" t="str">
        <f t="shared" si="92"/>
        <v/>
      </c>
      <c r="G1211" s="101"/>
      <c r="H1211" s="91">
        <f t="shared" si="93"/>
        <v>0</v>
      </c>
      <c r="I1211" s="91" t="str">
        <f t="shared" si="94"/>
        <v/>
      </c>
      <c r="J1211" s="91" t="str">
        <f t="shared" si="95"/>
        <v/>
      </c>
      <c r="K1211" s="92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2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58"/>
      <c r="U1211" s="217" t="str">
        <f t="shared" si="96"/>
        <v/>
      </c>
      <c r="V1211" s="215" t="s">
        <v>47</v>
      </c>
      <c r="W1211" s="102" t="s">
        <v>136</v>
      </c>
      <c r="X1211" s="102" t="s">
        <v>137</v>
      </c>
      <c r="Y1211" s="103" t="s">
        <v>138</v>
      </c>
      <c r="Z1211" s="103" t="s">
        <v>139</v>
      </c>
      <c r="AA1211" s="103" t="s">
        <v>47</v>
      </c>
      <c r="AB1211" s="103" t="s">
        <v>140</v>
      </c>
      <c r="AC1211" s="104" t="s">
        <v>141</v>
      </c>
    </row>
    <row r="1212" spans="1:29" ht="25.5" customHeight="1" x14ac:dyDescent="0.35">
      <c r="A1212" s="188"/>
      <c r="B1212" s="190"/>
      <c r="C1212" s="99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0"/>
      <c r="E1212" s="78" t="str">
        <f>IF(C1212="","",IFERROR(VLOOKUP(C1212,parametros!$A$11:$E$15,5,0),""))</f>
        <v/>
      </c>
      <c r="F1212" s="79" t="str">
        <f t="shared" si="92"/>
        <v/>
      </c>
      <c r="G1212" s="101"/>
      <c r="H1212" s="91">
        <f t="shared" si="93"/>
        <v>0</v>
      </c>
      <c r="I1212" s="91" t="str">
        <f t="shared" si="94"/>
        <v/>
      </c>
      <c r="J1212" s="91" t="str">
        <f t="shared" si="95"/>
        <v/>
      </c>
      <c r="K1212" s="92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2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58"/>
      <c r="U1212" s="217" t="str">
        <f t="shared" si="96"/>
        <v/>
      </c>
      <c r="V1212" s="215" t="s">
        <v>47</v>
      </c>
      <c r="W1212" s="102" t="s">
        <v>136</v>
      </c>
      <c r="X1212" s="102" t="s">
        <v>137</v>
      </c>
      <c r="Y1212" s="103" t="s">
        <v>138</v>
      </c>
      <c r="Z1212" s="103" t="s">
        <v>139</v>
      </c>
      <c r="AA1212" s="103" t="s">
        <v>47</v>
      </c>
      <c r="AB1212" s="103" t="s">
        <v>140</v>
      </c>
      <c r="AC1212" s="104" t="s">
        <v>141</v>
      </c>
    </row>
    <row r="1213" spans="1:29" ht="25.5" customHeight="1" x14ac:dyDescent="0.35">
      <c r="A1213" s="188"/>
      <c r="B1213" s="190"/>
      <c r="C1213" s="99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0"/>
      <c r="E1213" s="78" t="str">
        <f>IF(C1213="","",IFERROR(VLOOKUP(C1213,parametros!$A$11:$E$15,5,0),""))</f>
        <v/>
      </c>
      <c r="F1213" s="79" t="str">
        <f t="shared" si="92"/>
        <v/>
      </c>
      <c r="G1213" s="101"/>
      <c r="H1213" s="91">
        <f t="shared" si="93"/>
        <v>0</v>
      </c>
      <c r="I1213" s="91" t="str">
        <f t="shared" si="94"/>
        <v/>
      </c>
      <c r="J1213" s="91" t="str">
        <f t="shared" si="95"/>
        <v/>
      </c>
      <c r="K1213" s="92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2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58"/>
      <c r="U1213" s="217" t="str">
        <f t="shared" si="96"/>
        <v/>
      </c>
      <c r="V1213" s="215" t="s">
        <v>47</v>
      </c>
      <c r="W1213" s="102" t="s">
        <v>136</v>
      </c>
      <c r="X1213" s="102" t="s">
        <v>137</v>
      </c>
      <c r="Y1213" s="103" t="s">
        <v>138</v>
      </c>
      <c r="Z1213" s="103" t="s">
        <v>139</v>
      </c>
      <c r="AA1213" s="103" t="s">
        <v>47</v>
      </c>
      <c r="AB1213" s="103" t="s">
        <v>140</v>
      </c>
      <c r="AC1213" s="104" t="s">
        <v>141</v>
      </c>
    </row>
    <row r="1214" spans="1:29" ht="25.5" customHeight="1" x14ac:dyDescent="0.35">
      <c r="A1214" s="188"/>
      <c r="B1214" s="190"/>
      <c r="C1214" s="99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0"/>
      <c r="E1214" s="78" t="str">
        <f>IF(C1214="","",IFERROR(VLOOKUP(C1214,parametros!$A$11:$E$15,5,0),""))</f>
        <v/>
      </c>
      <c r="F1214" s="79" t="str">
        <f t="shared" si="92"/>
        <v/>
      </c>
      <c r="G1214" s="101"/>
      <c r="H1214" s="91">
        <f t="shared" si="93"/>
        <v>0</v>
      </c>
      <c r="I1214" s="91" t="str">
        <f t="shared" si="94"/>
        <v/>
      </c>
      <c r="J1214" s="91" t="str">
        <f t="shared" si="95"/>
        <v/>
      </c>
      <c r="K1214" s="92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2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58"/>
      <c r="U1214" s="217" t="str">
        <f t="shared" si="96"/>
        <v/>
      </c>
      <c r="V1214" s="215" t="s">
        <v>47</v>
      </c>
      <c r="W1214" s="102" t="s">
        <v>136</v>
      </c>
      <c r="X1214" s="102" t="s">
        <v>137</v>
      </c>
      <c r="Y1214" s="103" t="s">
        <v>138</v>
      </c>
      <c r="Z1214" s="103" t="s">
        <v>139</v>
      </c>
      <c r="AA1214" s="103" t="s">
        <v>47</v>
      </c>
      <c r="AB1214" s="103" t="s">
        <v>140</v>
      </c>
      <c r="AC1214" s="104" t="s">
        <v>141</v>
      </c>
    </row>
    <row r="1215" spans="1:29" ht="25.5" customHeight="1" x14ac:dyDescent="0.35">
      <c r="A1215" s="188"/>
      <c r="B1215" s="190"/>
      <c r="C1215" s="99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0"/>
      <c r="E1215" s="78" t="str">
        <f>IF(C1215="","",IFERROR(VLOOKUP(C1215,parametros!$A$11:$E$15,5,0),""))</f>
        <v/>
      </c>
      <c r="F1215" s="79" t="str">
        <f t="shared" si="92"/>
        <v/>
      </c>
      <c r="G1215" s="101"/>
      <c r="H1215" s="91">
        <f t="shared" si="93"/>
        <v>0</v>
      </c>
      <c r="I1215" s="91" t="str">
        <f t="shared" si="94"/>
        <v/>
      </c>
      <c r="J1215" s="91" t="str">
        <f t="shared" si="95"/>
        <v/>
      </c>
      <c r="K1215" s="92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2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58"/>
      <c r="U1215" s="217" t="str">
        <f t="shared" si="96"/>
        <v/>
      </c>
      <c r="V1215" s="215" t="s">
        <v>47</v>
      </c>
      <c r="W1215" s="102" t="s">
        <v>136</v>
      </c>
      <c r="X1215" s="102" t="s">
        <v>137</v>
      </c>
      <c r="Y1215" s="103" t="s">
        <v>138</v>
      </c>
      <c r="Z1215" s="103" t="s">
        <v>139</v>
      </c>
      <c r="AA1215" s="103" t="s">
        <v>47</v>
      </c>
      <c r="AB1215" s="103" t="s">
        <v>140</v>
      </c>
      <c r="AC1215" s="104" t="s">
        <v>141</v>
      </c>
    </row>
    <row r="1216" spans="1:29" ht="25.5" customHeight="1" x14ac:dyDescent="0.35">
      <c r="A1216" s="188"/>
      <c r="B1216" s="190"/>
      <c r="C1216" s="99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0"/>
      <c r="E1216" s="78" t="str">
        <f>IF(C1216="","",IFERROR(VLOOKUP(C1216,parametros!$A$11:$E$15,5,0),""))</f>
        <v/>
      </c>
      <c r="F1216" s="79" t="str">
        <f t="shared" si="92"/>
        <v/>
      </c>
      <c r="G1216" s="101"/>
      <c r="H1216" s="91">
        <f t="shared" si="93"/>
        <v>0</v>
      </c>
      <c r="I1216" s="91" t="str">
        <f t="shared" si="94"/>
        <v/>
      </c>
      <c r="J1216" s="91" t="str">
        <f t="shared" si="95"/>
        <v/>
      </c>
      <c r="K1216" s="92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2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58"/>
      <c r="U1216" s="217" t="str">
        <f t="shared" si="96"/>
        <v/>
      </c>
      <c r="V1216" s="215" t="s">
        <v>47</v>
      </c>
      <c r="W1216" s="102" t="s">
        <v>136</v>
      </c>
      <c r="X1216" s="102" t="s">
        <v>137</v>
      </c>
      <c r="Y1216" s="103" t="s">
        <v>138</v>
      </c>
      <c r="Z1216" s="103" t="s">
        <v>139</v>
      </c>
      <c r="AA1216" s="103" t="s">
        <v>47</v>
      </c>
      <c r="AB1216" s="103" t="s">
        <v>140</v>
      </c>
      <c r="AC1216" s="104" t="s">
        <v>141</v>
      </c>
    </row>
    <row r="1217" spans="1:29" ht="25.5" customHeight="1" x14ac:dyDescent="0.35">
      <c r="A1217" s="188"/>
      <c r="B1217" s="190"/>
      <c r="C1217" s="99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0"/>
      <c r="E1217" s="78" t="str">
        <f>IF(C1217="","",IFERROR(VLOOKUP(C1217,parametros!$A$11:$E$15,5,0),""))</f>
        <v/>
      </c>
      <c r="F1217" s="79" t="str">
        <f t="shared" si="92"/>
        <v/>
      </c>
      <c r="G1217" s="101"/>
      <c r="H1217" s="91">
        <f t="shared" si="93"/>
        <v>0</v>
      </c>
      <c r="I1217" s="91" t="str">
        <f t="shared" si="94"/>
        <v/>
      </c>
      <c r="J1217" s="91" t="str">
        <f t="shared" si="95"/>
        <v/>
      </c>
      <c r="K1217" s="92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2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58"/>
      <c r="U1217" s="217" t="str">
        <f t="shared" si="96"/>
        <v/>
      </c>
      <c r="V1217" s="215" t="s">
        <v>47</v>
      </c>
      <c r="W1217" s="102" t="s">
        <v>136</v>
      </c>
      <c r="X1217" s="102" t="s">
        <v>137</v>
      </c>
      <c r="Y1217" s="103" t="s">
        <v>138</v>
      </c>
      <c r="Z1217" s="103" t="s">
        <v>139</v>
      </c>
      <c r="AA1217" s="103" t="s">
        <v>47</v>
      </c>
      <c r="AB1217" s="103" t="s">
        <v>140</v>
      </c>
      <c r="AC1217" s="104" t="s">
        <v>141</v>
      </c>
    </row>
    <row r="1218" spans="1:29" ht="25.5" customHeight="1" x14ac:dyDescent="0.35">
      <c r="A1218" s="188"/>
      <c r="B1218" s="190"/>
      <c r="C1218" s="99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0"/>
      <c r="E1218" s="78" t="str">
        <f>IF(C1218="","",IFERROR(VLOOKUP(C1218,parametros!$A$11:$E$15,5,0),""))</f>
        <v/>
      </c>
      <c r="F1218" s="79" t="str">
        <f t="shared" ref="F1218:F1281" si="97">IF(OR(D1218="",E1218=""),"",ROUND(D1218*E1218,2))</f>
        <v/>
      </c>
      <c r="G1218" s="101"/>
      <c r="H1218" s="91">
        <f t="shared" ref="H1218:H1281" si="98">IF(G1218="Sim",IF(OR(F1218="",D1218="",L1218=""),"",IF(L1218="Sim",ROUND(F1218-D1218,2),0)),0)</f>
        <v>0</v>
      </c>
      <c r="I1218" s="91" t="str">
        <f t="shared" ref="I1218:I1281" si="99">IF(G1218="Sim",0,IF(OR(F1218="",L1218=""),"",F1218))</f>
        <v/>
      </c>
      <c r="J1218" s="91" t="str">
        <f t="shared" ref="J1218:J1281" si="100">IF(G1218="Sim",0,IF(OR(F1218="",D1218="",L1218=""),"",IF(L1218="Sim",ROUND(F1218-D1218,2),0)))</f>
        <v/>
      </c>
      <c r="K1218" s="92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2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58"/>
      <c r="U1218" s="217" t="str">
        <f t="shared" ref="U1218:U1281" si="101">IF(OR($D1218="",$H1218=""),"",ROUND($D1218+$H1218,2))</f>
        <v/>
      </c>
      <c r="V1218" s="215" t="s">
        <v>47</v>
      </c>
      <c r="W1218" s="102" t="s">
        <v>136</v>
      </c>
      <c r="X1218" s="102" t="s">
        <v>137</v>
      </c>
      <c r="Y1218" s="103" t="s">
        <v>138</v>
      </c>
      <c r="Z1218" s="103" t="s">
        <v>139</v>
      </c>
      <c r="AA1218" s="103" t="s">
        <v>47</v>
      </c>
      <c r="AB1218" s="103" t="s">
        <v>140</v>
      </c>
      <c r="AC1218" s="104" t="s">
        <v>141</v>
      </c>
    </row>
    <row r="1219" spans="1:29" ht="25.5" customHeight="1" x14ac:dyDescent="0.35">
      <c r="A1219" s="188"/>
      <c r="B1219" s="190"/>
      <c r="C1219" s="99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0"/>
      <c r="E1219" s="78" t="str">
        <f>IF(C1219="","",IFERROR(VLOOKUP(C1219,parametros!$A$11:$E$15,5,0),""))</f>
        <v/>
      </c>
      <c r="F1219" s="79" t="str">
        <f t="shared" si="97"/>
        <v/>
      </c>
      <c r="G1219" s="101"/>
      <c r="H1219" s="91">
        <f t="shared" si="98"/>
        <v>0</v>
      </c>
      <c r="I1219" s="91" t="str">
        <f t="shared" si="99"/>
        <v/>
      </c>
      <c r="J1219" s="91" t="str">
        <f t="shared" si="100"/>
        <v/>
      </c>
      <c r="K1219" s="92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2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58"/>
      <c r="U1219" s="217" t="str">
        <f t="shared" si="101"/>
        <v/>
      </c>
      <c r="V1219" s="215" t="s">
        <v>47</v>
      </c>
      <c r="W1219" s="102" t="s">
        <v>136</v>
      </c>
      <c r="X1219" s="102" t="s">
        <v>137</v>
      </c>
      <c r="Y1219" s="103" t="s">
        <v>138</v>
      </c>
      <c r="Z1219" s="103" t="s">
        <v>139</v>
      </c>
      <c r="AA1219" s="103" t="s">
        <v>47</v>
      </c>
      <c r="AB1219" s="103" t="s">
        <v>140</v>
      </c>
      <c r="AC1219" s="104" t="s">
        <v>141</v>
      </c>
    </row>
    <row r="1220" spans="1:29" ht="25.5" customHeight="1" x14ac:dyDescent="0.35">
      <c r="A1220" s="188"/>
      <c r="B1220" s="190"/>
      <c r="C1220" s="99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0"/>
      <c r="E1220" s="78" t="str">
        <f>IF(C1220="","",IFERROR(VLOOKUP(C1220,parametros!$A$11:$E$15,5,0),""))</f>
        <v/>
      </c>
      <c r="F1220" s="79" t="str">
        <f t="shared" si="97"/>
        <v/>
      </c>
      <c r="G1220" s="101"/>
      <c r="H1220" s="91">
        <f t="shared" si="98"/>
        <v>0</v>
      </c>
      <c r="I1220" s="91" t="str">
        <f t="shared" si="99"/>
        <v/>
      </c>
      <c r="J1220" s="91" t="str">
        <f t="shared" si="100"/>
        <v/>
      </c>
      <c r="K1220" s="92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2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58"/>
      <c r="U1220" s="217" t="str">
        <f t="shared" si="101"/>
        <v/>
      </c>
      <c r="V1220" s="215" t="s">
        <v>47</v>
      </c>
      <c r="W1220" s="102" t="s">
        <v>136</v>
      </c>
      <c r="X1220" s="102" t="s">
        <v>137</v>
      </c>
      <c r="Y1220" s="103" t="s">
        <v>138</v>
      </c>
      <c r="Z1220" s="103" t="s">
        <v>139</v>
      </c>
      <c r="AA1220" s="103" t="s">
        <v>47</v>
      </c>
      <c r="AB1220" s="103" t="s">
        <v>140</v>
      </c>
      <c r="AC1220" s="104" t="s">
        <v>141</v>
      </c>
    </row>
    <row r="1221" spans="1:29" ht="25.5" customHeight="1" x14ac:dyDescent="0.35">
      <c r="A1221" s="188"/>
      <c r="B1221" s="190"/>
      <c r="C1221" s="99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0"/>
      <c r="E1221" s="78" t="str">
        <f>IF(C1221="","",IFERROR(VLOOKUP(C1221,parametros!$A$11:$E$15,5,0),""))</f>
        <v/>
      </c>
      <c r="F1221" s="79" t="str">
        <f t="shared" si="97"/>
        <v/>
      </c>
      <c r="G1221" s="101"/>
      <c r="H1221" s="91">
        <f t="shared" si="98"/>
        <v>0</v>
      </c>
      <c r="I1221" s="91" t="str">
        <f t="shared" si="99"/>
        <v/>
      </c>
      <c r="J1221" s="91" t="str">
        <f t="shared" si="100"/>
        <v/>
      </c>
      <c r="K1221" s="92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2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58"/>
      <c r="U1221" s="217" t="str">
        <f t="shared" si="101"/>
        <v/>
      </c>
      <c r="V1221" s="215" t="s">
        <v>47</v>
      </c>
      <c r="W1221" s="102" t="s">
        <v>136</v>
      </c>
      <c r="X1221" s="102" t="s">
        <v>137</v>
      </c>
      <c r="Y1221" s="103" t="s">
        <v>138</v>
      </c>
      <c r="Z1221" s="103" t="s">
        <v>139</v>
      </c>
      <c r="AA1221" s="103" t="s">
        <v>47</v>
      </c>
      <c r="AB1221" s="103" t="s">
        <v>140</v>
      </c>
      <c r="AC1221" s="104" t="s">
        <v>141</v>
      </c>
    </row>
    <row r="1222" spans="1:29" ht="25.5" customHeight="1" x14ac:dyDescent="0.35">
      <c r="A1222" s="188"/>
      <c r="B1222" s="190"/>
      <c r="C1222" s="99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0"/>
      <c r="E1222" s="78" t="str">
        <f>IF(C1222="","",IFERROR(VLOOKUP(C1222,parametros!$A$11:$E$15,5,0),""))</f>
        <v/>
      </c>
      <c r="F1222" s="79" t="str">
        <f t="shared" si="97"/>
        <v/>
      </c>
      <c r="G1222" s="101"/>
      <c r="H1222" s="91">
        <f t="shared" si="98"/>
        <v>0</v>
      </c>
      <c r="I1222" s="91" t="str">
        <f t="shared" si="99"/>
        <v/>
      </c>
      <c r="J1222" s="91" t="str">
        <f t="shared" si="100"/>
        <v/>
      </c>
      <c r="K1222" s="92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2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58"/>
      <c r="U1222" s="217" t="str">
        <f t="shared" si="101"/>
        <v/>
      </c>
      <c r="V1222" s="215" t="s">
        <v>47</v>
      </c>
      <c r="W1222" s="102" t="s">
        <v>136</v>
      </c>
      <c r="X1222" s="102" t="s">
        <v>137</v>
      </c>
      <c r="Y1222" s="103" t="s">
        <v>138</v>
      </c>
      <c r="Z1222" s="103" t="s">
        <v>139</v>
      </c>
      <c r="AA1222" s="103" t="s">
        <v>47</v>
      </c>
      <c r="AB1222" s="103" t="s">
        <v>140</v>
      </c>
      <c r="AC1222" s="104" t="s">
        <v>141</v>
      </c>
    </row>
    <row r="1223" spans="1:29" ht="25.5" customHeight="1" x14ac:dyDescent="0.35">
      <c r="A1223" s="188"/>
      <c r="B1223" s="190"/>
      <c r="C1223" s="99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0"/>
      <c r="E1223" s="78" t="str">
        <f>IF(C1223="","",IFERROR(VLOOKUP(C1223,parametros!$A$11:$E$15,5,0),""))</f>
        <v/>
      </c>
      <c r="F1223" s="79" t="str">
        <f t="shared" si="97"/>
        <v/>
      </c>
      <c r="G1223" s="101"/>
      <c r="H1223" s="91">
        <f t="shared" si="98"/>
        <v>0</v>
      </c>
      <c r="I1223" s="91" t="str">
        <f t="shared" si="99"/>
        <v/>
      </c>
      <c r="J1223" s="91" t="str">
        <f t="shared" si="100"/>
        <v/>
      </c>
      <c r="K1223" s="92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2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58"/>
      <c r="U1223" s="217" t="str">
        <f t="shared" si="101"/>
        <v/>
      </c>
      <c r="V1223" s="215" t="s">
        <v>47</v>
      </c>
      <c r="W1223" s="102" t="s">
        <v>136</v>
      </c>
      <c r="X1223" s="102" t="s">
        <v>137</v>
      </c>
      <c r="Y1223" s="103" t="s">
        <v>138</v>
      </c>
      <c r="Z1223" s="103" t="s">
        <v>139</v>
      </c>
      <c r="AA1223" s="103" t="s">
        <v>47</v>
      </c>
      <c r="AB1223" s="103" t="s">
        <v>140</v>
      </c>
      <c r="AC1223" s="104" t="s">
        <v>141</v>
      </c>
    </row>
    <row r="1224" spans="1:29" ht="25.5" customHeight="1" x14ac:dyDescent="0.35">
      <c r="A1224" s="188"/>
      <c r="B1224" s="190"/>
      <c r="C1224" s="99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0"/>
      <c r="E1224" s="78" t="str">
        <f>IF(C1224="","",IFERROR(VLOOKUP(C1224,parametros!$A$11:$E$15,5,0),""))</f>
        <v/>
      </c>
      <c r="F1224" s="79" t="str">
        <f t="shared" si="97"/>
        <v/>
      </c>
      <c r="G1224" s="101"/>
      <c r="H1224" s="91">
        <f t="shared" si="98"/>
        <v>0</v>
      </c>
      <c r="I1224" s="91" t="str">
        <f t="shared" si="99"/>
        <v/>
      </c>
      <c r="J1224" s="91" t="str">
        <f t="shared" si="100"/>
        <v/>
      </c>
      <c r="K1224" s="92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2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58"/>
      <c r="U1224" s="217" t="str">
        <f t="shared" si="101"/>
        <v/>
      </c>
      <c r="V1224" s="215" t="s">
        <v>47</v>
      </c>
      <c r="W1224" s="102" t="s">
        <v>136</v>
      </c>
      <c r="X1224" s="102" t="s">
        <v>137</v>
      </c>
      <c r="Y1224" s="103" t="s">
        <v>138</v>
      </c>
      <c r="Z1224" s="103" t="s">
        <v>139</v>
      </c>
      <c r="AA1224" s="103" t="s">
        <v>47</v>
      </c>
      <c r="AB1224" s="103" t="s">
        <v>140</v>
      </c>
      <c r="AC1224" s="104" t="s">
        <v>141</v>
      </c>
    </row>
    <row r="1225" spans="1:29" ht="25.5" customHeight="1" x14ac:dyDescent="0.35">
      <c r="A1225" s="188"/>
      <c r="B1225" s="190"/>
      <c r="C1225" s="99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0"/>
      <c r="E1225" s="78" t="str">
        <f>IF(C1225="","",IFERROR(VLOOKUP(C1225,parametros!$A$11:$E$15,5,0),""))</f>
        <v/>
      </c>
      <c r="F1225" s="79" t="str">
        <f t="shared" si="97"/>
        <v/>
      </c>
      <c r="G1225" s="101"/>
      <c r="H1225" s="91">
        <f t="shared" si="98"/>
        <v>0</v>
      </c>
      <c r="I1225" s="91" t="str">
        <f t="shared" si="99"/>
        <v/>
      </c>
      <c r="J1225" s="91" t="str">
        <f t="shared" si="100"/>
        <v/>
      </c>
      <c r="K1225" s="92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2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58"/>
      <c r="U1225" s="217" t="str">
        <f t="shared" si="101"/>
        <v/>
      </c>
      <c r="V1225" s="215" t="s">
        <v>47</v>
      </c>
      <c r="W1225" s="102" t="s">
        <v>136</v>
      </c>
      <c r="X1225" s="102" t="s">
        <v>137</v>
      </c>
      <c r="Y1225" s="103" t="s">
        <v>138</v>
      </c>
      <c r="Z1225" s="103" t="s">
        <v>139</v>
      </c>
      <c r="AA1225" s="103" t="s">
        <v>47</v>
      </c>
      <c r="AB1225" s="103" t="s">
        <v>140</v>
      </c>
      <c r="AC1225" s="104" t="s">
        <v>141</v>
      </c>
    </row>
    <row r="1226" spans="1:29" ht="25.5" customHeight="1" x14ac:dyDescent="0.35">
      <c r="A1226" s="188"/>
      <c r="B1226" s="190"/>
      <c r="C1226" s="99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0"/>
      <c r="E1226" s="78" t="str">
        <f>IF(C1226="","",IFERROR(VLOOKUP(C1226,parametros!$A$11:$E$15,5,0),""))</f>
        <v/>
      </c>
      <c r="F1226" s="79" t="str">
        <f t="shared" si="97"/>
        <v/>
      </c>
      <c r="G1226" s="101"/>
      <c r="H1226" s="91">
        <f t="shared" si="98"/>
        <v>0</v>
      </c>
      <c r="I1226" s="91" t="str">
        <f t="shared" si="99"/>
        <v/>
      </c>
      <c r="J1226" s="91" t="str">
        <f t="shared" si="100"/>
        <v/>
      </c>
      <c r="K1226" s="92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2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58"/>
      <c r="U1226" s="217" t="str">
        <f t="shared" si="101"/>
        <v/>
      </c>
      <c r="V1226" s="215" t="s">
        <v>47</v>
      </c>
      <c r="W1226" s="102" t="s">
        <v>136</v>
      </c>
      <c r="X1226" s="102" t="s">
        <v>137</v>
      </c>
      <c r="Y1226" s="103" t="s">
        <v>138</v>
      </c>
      <c r="Z1226" s="103" t="s">
        <v>139</v>
      </c>
      <c r="AA1226" s="103" t="s">
        <v>47</v>
      </c>
      <c r="AB1226" s="103" t="s">
        <v>140</v>
      </c>
      <c r="AC1226" s="104" t="s">
        <v>141</v>
      </c>
    </row>
    <row r="1227" spans="1:29" ht="25.5" customHeight="1" x14ac:dyDescent="0.35">
      <c r="A1227" s="188"/>
      <c r="B1227" s="190"/>
      <c r="C1227" s="99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0"/>
      <c r="E1227" s="78" t="str">
        <f>IF(C1227="","",IFERROR(VLOOKUP(C1227,parametros!$A$11:$E$15,5,0),""))</f>
        <v/>
      </c>
      <c r="F1227" s="79" t="str">
        <f t="shared" si="97"/>
        <v/>
      </c>
      <c r="G1227" s="101"/>
      <c r="H1227" s="91">
        <f t="shared" si="98"/>
        <v>0</v>
      </c>
      <c r="I1227" s="91" t="str">
        <f t="shared" si="99"/>
        <v/>
      </c>
      <c r="J1227" s="91" t="str">
        <f t="shared" si="100"/>
        <v/>
      </c>
      <c r="K1227" s="92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2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58"/>
      <c r="U1227" s="217" t="str">
        <f t="shared" si="101"/>
        <v/>
      </c>
      <c r="V1227" s="215" t="s">
        <v>47</v>
      </c>
      <c r="W1227" s="102" t="s">
        <v>136</v>
      </c>
      <c r="X1227" s="102" t="s">
        <v>137</v>
      </c>
      <c r="Y1227" s="103" t="s">
        <v>138</v>
      </c>
      <c r="Z1227" s="103" t="s">
        <v>139</v>
      </c>
      <c r="AA1227" s="103" t="s">
        <v>47</v>
      </c>
      <c r="AB1227" s="103" t="s">
        <v>140</v>
      </c>
      <c r="AC1227" s="104" t="s">
        <v>141</v>
      </c>
    </row>
    <row r="1228" spans="1:29" ht="25.5" customHeight="1" x14ac:dyDescent="0.35">
      <c r="A1228" s="188"/>
      <c r="B1228" s="190"/>
      <c r="C1228" s="99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0"/>
      <c r="E1228" s="78" t="str">
        <f>IF(C1228="","",IFERROR(VLOOKUP(C1228,parametros!$A$11:$E$15,5,0),""))</f>
        <v/>
      </c>
      <c r="F1228" s="79" t="str">
        <f t="shared" si="97"/>
        <v/>
      </c>
      <c r="G1228" s="101"/>
      <c r="H1228" s="91">
        <f t="shared" si="98"/>
        <v>0</v>
      </c>
      <c r="I1228" s="91" t="str">
        <f t="shared" si="99"/>
        <v/>
      </c>
      <c r="J1228" s="91" t="str">
        <f t="shared" si="100"/>
        <v/>
      </c>
      <c r="K1228" s="92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2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58"/>
      <c r="U1228" s="217" t="str">
        <f t="shared" si="101"/>
        <v/>
      </c>
      <c r="V1228" s="215" t="s">
        <v>47</v>
      </c>
      <c r="W1228" s="102" t="s">
        <v>136</v>
      </c>
      <c r="X1228" s="102" t="s">
        <v>137</v>
      </c>
      <c r="Y1228" s="103" t="s">
        <v>138</v>
      </c>
      <c r="Z1228" s="103" t="s">
        <v>139</v>
      </c>
      <c r="AA1228" s="103" t="s">
        <v>47</v>
      </c>
      <c r="AB1228" s="103" t="s">
        <v>140</v>
      </c>
      <c r="AC1228" s="104" t="s">
        <v>141</v>
      </c>
    </row>
    <row r="1229" spans="1:29" ht="25.5" customHeight="1" x14ac:dyDescent="0.35">
      <c r="A1229" s="188"/>
      <c r="B1229" s="190"/>
      <c r="C1229" s="99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0"/>
      <c r="E1229" s="78" t="str">
        <f>IF(C1229="","",IFERROR(VLOOKUP(C1229,parametros!$A$11:$E$15,5,0),""))</f>
        <v/>
      </c>
      <c r="F1229" s="79" t="str">
        <f t="shared" si="97"/>
        <v/>
      </c>
      <c r="G1229" s="101"/>
      <c r="H1229" s="91">
        <f t="shared" si="98"/>
        <v>0</v>
      </c>
      <c r="I1229" s="91" t="str">
        <f t="shared" si="99"/>
        <v/>
      </c>
      <c r="J1229" s="91" t="str">
        <f t="shared" si="100"/>
        <v/>
      </c>
      <c r="K1229" s="92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2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58"/>
      <c r="U1229" s="217" t="str">
        <f t="shared" si="101"/>
        <v/>
      </c>
      <c r="V1229" s="215" t="s">
        <v>47</v>
      </c>
      <c r="W1229" s="102" t="s">
        <v>136</v>
      </c>
      <c r="X1229" s="102" t="s">
        <v>137</v>
      </c>
      <c r="Y1229" s="103" t="s">
        <v>138</v>
      </c>
      <c r="Z1229" s="103" t="s">
        <v>139</v>
      </c>
      <c r="AA1229" s="103" t="s">
        <v>47</v>
      </c>
      <c r="AB1229" s="103" t="s">
        <v>140</v>
      </c>
      <c r="AC1229" s="104" t="s">
        <v>141</v>
      </c>
    </row>
    <row r="1230" spans="1:29" ht="25.5" customHeight="1" x14ac:dyDescent="0.35">
      <c r="A1230" s="188"/>
      <c r="B1230" s="190"/>
      <c r="C1230" s="99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0"/>
      <c r="E1230" s="78" t="str">
        <f>IF(C1230="","",IFERROR(VLOOKUP(C1230,parametros!$A$11:$E$15,5,0),""))</f>
        <v/>
      </c>
      <c r="F1230" s="79" t="str">
        <f t="shared" si="97"/>
        <v/>
      </c>
      <c r="G1230" s="101"/>
      <c r="H1230" s="91">
        <f t="shared" si="98"/>
        <v>0</v>
      </c>
      <c r="I1230" s="91" t="str">
        <f t="shared" si="99"/>
        <v/>
      </c>
      <c r="J1230" s="91" t="str">
        <f t="shared" si="100"/>
        <v/>
      </c>
      <c r="K1230" s="92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2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58"/>
      <c r="U1230" s="217" t="str">
        <f t="shared" si="101"/>
        <v/>
      </c>
      <c r="V1230" s="215" t="s">
        <v>47</v>
      </c>
      <c r="W1230" s="102" t="s">
        <v>136</v>
      </c>
      <c r="X1230" s="102" t="s">
        <v>137</v>
      </c>
      <c r="Y1230" s="103" t="s">
        <v>138</v>
      </c>
      <c r="Z1230" s="103" t="s">
        <v>139</v>
      </c>
      <c r="AA1230" s="103" t="s">
        <v>47</v>
      </c>
      <c r="AB1230" s="103" t="s">
        <v>140</v>
      </c>
      <c r="AC1230" s="104" t="s">
        <v>141</v>
      </c>
    </row>
    <row r="1231" spans="1:29" ht="25.5" customHeight="1" x14ac:dyDescent="0.35">
      <c r="A1231" s="188"/>
      <c r="B1231" s="190"/>
      <c r="C1231" s="99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0"/>
      <c r="E1231" s="78" t="str">
        <f>IF(C1231="","",IFERROR(VLOOKUP(C1231,parametros!$A$11:$E$15,5,0),""))</f>
        <v/>
      </c>
      <c r="F1231" s="79" t="str">
        <f t="shared" si="97"/>
        <v/>
      </c>
      <c r="G1231" s="101"/>
      <c r="H1231" s="91">
        <f t="shared" si="98"/>
        <v>0</v>
      </c>
      <c r="I1231" s="91" t="str">
        <f t="shared" si="99"/>
        <v/>
      </c>
      <c r="J1231" s="91" t="str">
        <f t="shared" si="100"/>
        <v/>
      </c>
      <c r="K1231" s="92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2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58"/>
      <c r="U1231" s="217" t="str">
        <f t="shared" si="101"/>
        <v/>
      </c>
      <c r="V1231" s="215" t="s">
        <v>47</v>
      </c>
      <c r="W1231" s="102" t="s">
        <v>136</v>
      </c>
      <c r="X1231" s="102" t="s">
        <v>137</v>
      </c>
      <c r="Y1231" s="103" t="s">
        <v>138</v>
      </c>
      <c r="Z1231" s="103" t="s">
        <v>139</v>
      </c>
      <c r="AA1231" s="103" t="s">
        <v>47</v>
      </c>
      <c r="AB1231" s="103" t="s">
        <v>140</v>
      </c>
      <c r="AC1231" s="104" t="s">
        <v>141</v>
      </c>
    </row>
    <row r="1232" spans="1:29" ht="25.5" customHeight="1" x14ac:dyDescent="0.35">
      <c r="A1232" s="188"/>
      <c r="B1232" s="190"/>
      <c r="C1232" s="99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0"/>
      <c r="E1232" s="78" t="str">
        <f>IF(C1232="","",IFERROR(VLOOKUP(C1232,parametros!$A$11:$E$15,5,0),""))</f>
        <v/>
      </c>
      <c r="F1232" s="79" t="str">
        <f t="shared" si="97"/>
        <v/>
      </c>
      <c r="G1232" s="101"/>
      <c r="H1232" s="91">
        <f t="shared" si="98"/>
        <v>0</v>
      </c>
      <c r="I1232" s="91" t="str">
        <f t="shared" si="99"/>
        <v/>
      </c>
      <c r="J1232" s="91" t="str">
        <f t="shared" si="100"/>
        <v/>
      </c>
      <c r="K1232" s="92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2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58"/>
      <c r="U1232" s="217" t="str">
        <f t="shared" si="101"/>
        <v/>
      </c>
      <c r="V1232" s="215" t="s">
        <v>47</v>
      </c>
      <c r="W1232" s="102" t="s">
        <v>136</v>
      </c>
      <c r="X1232" s="102" t="s">
        <v>137</v>
      </c>
      <c r="Y1232" s="103" t="s">
        <v>138</v>
      </c>
      <c r="Z1232" s="103" t="s">
        <v>139</v>
      </c>
      <c r="AA1232" s="103" t="s">
        <v>47</v>
      </c>
      <c r="AB1232" s="103" t="s">
        <v>140</v>
      </c>
      <c r="AC1232" s="104" t="s">
        <v>141</v>
      </c>
    </row>
    <row r="1233" spans="1:29" ht="25.5" customHeight="1" x14ac:dyDescent="0.35">
      <c r="A1233" s="188"/>
      <c r="B1233" s="190"/>
      <c r="C1233" s="99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0"/>
      <c r="E1233" s="78" t="str">
        <f>IF(C1233="","",IFERROR(VLOOKUP(C1233,parametros!$A$11:$E$15,5,0),""))</f>
        <v/>
      </c>
      <c r="F1233" s="79" t="str">
        <f t="shared" si="97"/>
        <v/>
      </c>
      <c r="G1233" s="101"/>
      <c r="H1233" s="91">
        <f t="shared" si="98"/>
        <v>0</v>
      </c>
      <c r="I1233" s="91" t="str">
        <f t="shared" si="99"/>
        <v/>
      </c>
      <c r="J1233" s="91" t="str">
        <f t="shared" si="100"/>
        <v/>
      </c>
      <c r="K1233" s="92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2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58"/>
      <c r="U1233" s="217" t="str">
        <f t="shared" si="101"/>
        <v/>
      </c>
      <c r="V1233" s="215" t="s">
        <v>47</v>
      </c>
      <c r="W1233" s="102" t="s">
        <v>136</v>
      </c>
      <c r="X1233" s="102" t="s">
        <v>137</v>
      </c>
      <c r="Y1233" s="103" t="s">
        <v>138</v>
      </c>
      <c r="Z1233" s="103" t="s">
        <v>139</v>
      </c>
      <c r="AA1233" s="103" t="s">
        <v>47</v>
      </c>
      <c r="AB1233" s="103" t="s">
        <v>140</v>
      </c>
      <c r="AC1233" s="104" t="s">
        <v>141</v>
      </c>
    </row>
    <row r="1234" spans="1:29" ht="25.5" customHeight="1" x14ac:dyDescent="0.35">
      <c r="A1234" s="188"/>
      <c r="B1234" s="190"/>
      <c r="C1234" s="99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0"/>
      <c r="E1234" s="78" t="str">
        <f>IF(C1234="","",IFERROR(VLOOKUP(C1234,parametros!$A$11:$E$15,5,0),""))</f>
        <v/>
      </c>
      <c r="F1234" s="79" t="str">
        <f t="shared" si="97"/>
        <v/>
      </c>
      <c r="G1234" s="101"/>
      <c r="H1234" s="91">
        <f t="shared" si="98"/>
        <v>0</v>
      </c>
      <c r="I1234" s="91" t="str">
        <f t="shared" si="99"/>
        <v/>
      </c>
      <c r="J1234" s="91" t="str">
        <f t="shared" si="100"/>
        <v/>
      </c>
      <c r="K1234" s="92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2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58"/>
      <c r="U1234" s="217" t="str">
        <f t="shared" si="101"/>
        <v/>
      </c>
      <c r="V1234" s="215" t="s">
        <v>47</v>
      </c>
      <c r="W1234" s="102" t="s">
        <v>136</v>
      </c>
      <c r="X1234" s="102" t="s">
        <v>137</v>
      </c>
      <c r="Y1234" s="103" t="s">
        <v>138</v>
      </c>
      <c r="Z1234" s="103" t="s">
        <v>139</v>
      </c>
      <c r="AA1234" s="103" t="s">
        <v>47</v>
      </c>
      <c r="AB1234" s="103" t="s">
        <v>140</v>
      </c>
      <c r="AC1234" s="104" t="s">
        <v>141</v>
      </c>
    </row>
    <row r="1235" spans="1:29" ht="25.5" customHeight="1" x14ac:dyDescent="0.35">
      <c r="A1235" s="188"/>
      <c r="B1235" s="190"/>
      <c r="C1235" s="99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0"/>
      <c r="E1235" s="78" t="str">
        <f>IF(C1235="","",IFERROR(VLOOKUP(C1235,parametros!$A$11:$E$15,5,0),""))</f>
        <v/>
      </c>
      <c r="F1235" s="79" t="str">
        <f t="shared" si="97"/>
        <v/>
      </c>
      <c r="G1235" s="101"/>
      <c r="H1235" s="91">
        <f t="shared" si="98"/>
        <v>0</v>
      </c>
      <c r="I1235" s="91" t="str">
        <f t="shared" si="99"/>
        <v/>
      </c>
      <c r="J1235" s="91" t="str">
        <f t="shared" si="100"/>
        <v/>
      </c>
      <c r="K1235" s="92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2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58"/>
      <c r="U1235" s="217" t="str">
        <f t="shared" si="101"/>
        <v/>
      </c>
      <c r="V1235" s="215" t="s">
        <v>47</v>
      </c>
      <c r="W1235" s="102" t="s">
        <v>136</v>
      </c>
      <c r="X1235" s="102" t="s">
        <v>137</v>
      </c>
      <c r="Y1235" s="103" t="s">
        <v>138</v>
      </c>
      <c r="Z1235" s="103" t="s">
        <v>139</v>
      </c>
      <c r="AA1235" s="103" t="s">
        <v>47</v>
      </c>
      <c r="AB1235" s="103" t="s">
        <v>140</v>
      </c>
      <c r="AC1235" s="104" t="s">
        <v>141</v>
      </c>
    </row>
    <row r="1236" spans="1:29" ht="25.5" customHeight="1" x14ac:dyDescent="0.35">
      <c r="A1236" s="188"/>
      <c r="B1236" s="190"/>
      <c r="C1236" s="99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0"/>
      <c r="E1236" s="78" t="str">
        <f>IF(C1236="","",IFERROR(VLOOKUP(C1236,parametros!$A$11:$E$15,5,0),""))</f>
        <v/>
      </c>
      <c r="F1236" s="79" t="str">
        <f t="shared" si="97"/>
        <v/>
      </c>
      <c r="G1236" s="101"/>
      <c r="H1236" s="91">
        <f t="shared" si="98"/>
        <v>0</v>
      </c>
      <c r="I1236" s="91" t="str">
        <f t="shared" si="99"/>
        <v/>
      </c>
      <c r="J1236" s="91" t="str">
        <f t="shared" si="100"/>
        <v/>
      </c>
      <c r="K1236" s="92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2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58"/>
      <c r="U1236" s="217" t="str">
        <f t="shared" si="101"/>
        <v/>
      </c>
      <c r="V1236" s="215" t="s">
        <v>47</v>
      </c>
      <c r="W1236" s="102" t="s">
        <v>136</v>
      </c>
      <c r="X1236" s="102" t="s">
        <v>137</v>
      </c>
      <c r="Y1236" s="103" t="s">
        <v>138</v>
      </c>
      <c r="Z1236" s="103" t="s">
        <v>139</v>
      </c>
      <c r="AA1236" s="103" t="s">
        <v>47</v>
      </c>
      <c r="AB1236" s="103" t="s">
        <v>140</v>
      </c>
      <c r="AC1236" s="104" t="s">
        <v>141</v>
      </c>
    </row>
    <row r="1237" spans="1:29" ht="25.5" customHeight="1" x14ac:dyDescent="0.35">
      <c r="A1237" s="188"/>
      <c r="B1237" s="190"/>
      <c r="C1237" s="99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0"/>
      <c r="E1237" s="78" t="str">
        <f>IF(C1237="","",IFERROR(VLOOKUP(C1237,parametros!$A$11:$E$15,5,0),""))</f>
        <v/>
      </c>
      <c r="F1237" s="79" t="str">
        <f t="shared" si="97"/>
        <v/>
      </c>
      <c r="G1237" s="101"/>
      <c r="H1237" s="91">
        <f t="shared" si="98"/>
        <v>0</v>
      </c>
      <c r="I1237" s="91" t="str">
        <f t="shared" si="99"/>
        <v/>
      </c>
      <c r="J1237" s="91" t="str">
        <f t="shared" si="100"/>
        <v/>
      </c>
      <c r="K1237" s="92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2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58"/>
      <c r="U1237" s="217" t="str">
        <f t="shared" si="101"/>
        <v/>
      </c>
      <c r="V1237" s="215" t="s">
        <v>47</v>
      </c>
      <c r="W1237" s="102" t="s">
        <v>136</v>
      </c>
      <c r="X1237" s="102" t="s">
        <v>137</v>
      </c>
      <c r="Y1237" s="103" t="s">
        <v>138</v>
      </c>
      <c r="Z1237" s="103" t="s">
        <v>139</v>
      </c>
      <c r="AA1237" s="103" t="s">
        <v>47</v>
      </c>
      <c r="AB1237" s="103" t="s">
        <v>140</v>
      </c>
      <c r="AC1237" s="104" t="s">
        <v>141</v>
      </c>
    </row>
    <row r="1238" spans="1:29" ht="25.5" customHeight="1" x14ac:dyDescent="0.35">
      <c r="A1238" s="188"/>
      <c r="B1238" s="190"/>
      <c r="C1238" s="99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0"/>
      <c r="E1238" s="78" t="str">
        <f>IF(C1238="","",IFERROR(VLOOKUP(C1238,parametros!$A$11:$E$15,5,0),""))</f>
        <v/>
      </c>
      <c r="F1238" s="79" t="str">
        <f t="shared" si="97"/>
        <v/>
      </c>
      <c r="G1238" s="101"/>
      <c r="H1238" s="91">
        <f t="shared" si="98"/>
        <v>0</v>
      </c>
      <c r="I1238" s="91" t="str">
        <f t="shared" si="99"/>
        <v/>
      </c>
      <c r="J1238" s="91" t="str">
        <f t="shared" si="100"/>
        <v/>
      </c>
      <c r="K1238" s="92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2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58"/>
      <c r="U1238" s="217" t="str">
        <f t="shared" si="101"/>
        <v/>
      </c>
      <c r="V1238" s="215" t="s">
        <v>47</v>
      </c>
      <c r="W1238" s="102" t="s">
        <v>136</v>
      </c>
      <c r="X1238" s="102" t="s">
        <v>137</v>
      </c>
      <c r="Y1238" s="103" t="s">
        <v>138</v>
      </c>
      <c r="Z1238" s="103" t="s">
        <v>139</v>
      </c>
      <c r="AA1238" s="103" t="s">
        <v>47</v>
      </c>
      <c r="AB1238" s="103" t="s">
        <v>140</v>
      </c>
      <c r="AC1238" s="104" t="s">
        <v>141</v>
      </c>
    </row>
    <row r="1239" spans="1:29" ht="25.5" customHeight="1" x14ac:dyDescent="0.35">
      <c r="A1239" s="188"/>
      <c r="B1239" s="190"/>
      <c r="C1239" s="99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0"/>
      <c r="E1239" s="78" t="str">
        <f>IF(C1239="","",IFERROR(VLOOKUP(C1239,parametros!$A$11:$E$15,5,0),""))</f>
        <v/>
      </c>
      <c r="F1239" s="79" t="str">
        <f t="shared" si="97"/>
        <v/>
      </c>
      <c r="G1239" s="101"/>
      <c r="H1239" s="91">
        <f t="shared" si="98"/>
        <v>0</v>
      </c>
      <c r="I1239" s="91" t="str">
        <f t="shared" si="99"/>
        <v/>
      </c>
      <c r="J1239" s="91" t="str">
        <f t="shared" si="100"/>
        <v/>
      </c>
      <c r="K1239" s="92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2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58"/>
      <c r="U1239" s="217" t="str">
        <f t="shared" si="101"/>
        <v/>
      </c>
      <c r="V1239" s="215" t="s">
        <v>47</v>
      </c>
      <c r="W1239" s="102" t="s">
        <v>136</v>
      </c>
      <c r="X1239" s="102" t="s">
        <v>137</v>
      </c>
      <c r="Y1239" s="103" t="s">
        <v>138</v>
      </c>
      <c r="Z1239" s="103" t="s">
        <v>139</v>
      </c>
      <c r="AA1239" s="103" t="s">
        <v>47</v>
      </c>
      <c r="AB1239" s="103" t="s">
        <v>140</v>
      </c>
      <c r="AC1239" s="104" t="s">
        <v>141</v>
      </c>
    </row>
    <row r="1240" spans="1:29" ht="25.5" customHeight="1" x14ac:dyDescent="0.35">
      <c r="A1240" s="188"/>
      <c r="B1240" s="190"/>
      <c r="C1240" s="99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0"/>
      <c r="E1240" s="78" t="str">
        <f>IF(C1240="","",IFERROR(VLOOKUP(C1240,parametros!$A$11:$E$15,5,0),""))</f>
        <v/>
      </c>
      <c r="F1240" s="79" t="str">
        <f t="shared" si="97"/>
        <v/>
      </c>
      <c r="G1240" s="101"/>
      <c r="H1240" s="91">
        <f t="shared" si="98"/>
        <v>0</v>
      </c>
      <c r="I1240" s="91" t="str">
        <f t="shared" si="99"/>
        <v/>
      </c>
      <c r="J1240" s="91" t="str">
        <f t="shared" si="100"/>
        <v/>
      </c>
      <c r="K1240" s="92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2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58"/>
      <c r="U1240" s="217" t="str">
        <f t="shared" si="101"/>
        <v/>
      </c>
      <c r="V1240" s="215" t="s">
        <v>47</v>
      </c>
      <c r="W1240" s="102" t="s">
        <v>136</v>
      </c>
      <c r="X1240" s="102" t="s">
        <v>137</v>
      </c>
      <c r="Y1240" s="103" t="s">
        <v>138</v>
      </c>
      <c r="Z1240" s="103" t="s">
        <v>139</v>
      </c>
      <c r="AA1240" s="103" t="s">
        <v>47</v>
      </c>
      <c r="AB1240" s="103" t="s">
        <v>140</v>
      </c>
      <c r="AC1240" s="104" t="s">
        <v>141</v>
      </c>
    </row>
    <row r="1241" spans="1:29" ht="25.5" customHeight="1" x14ac:dyDescent="0.35">
      <c r="A1241" s="188"/>
      <c r="B1241" s="190"/>
      <c r="C1241" s="99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0"/>
      <c r="E1241" s="78" t="str">
        <f>IF(C1241="","",IFERROR(VLOOKUP(C1241,parametros!$A$11:$E$15,5,0),""))</f>
        <v/>
      </c>
      <c r="F1241" s="79" t="str">
        <f t="shared" si="97"/>
        <v/>
      </c>
      <c r="G1241" s="101"/>
      <c r="H1241" s="91">
        <f t="shared" si="98"/>
        <v>0</v>
      </c>
      <c r="I1241" s="91" t="str">
        <f t="shared" si="99"/>
        <v/>
      </c>
      <c r="J1241" s="91" t="str">
        <f t="shared" si="100"/>
        <v/>
      </c>
      <c r="K1241" s="92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2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58"/>
      <c r="U1241" s="217" t="str">
        <f t="shared" si="101"/>
        <v/>
      </c>
      <c r="V1241" s="215" t="s">
        <v>47</v>
      </c>
      <c r="W1241" s="102" t="s">
        <v>136</v>
      </c>
      <c r="X1241" s="102" t="s">
        <v>137</v>
      </c>
      <c r="Y1241" s="103" t="s">
        <v>138</v>
      </c>
      <c r="Z1241" s="103" t="s">
        <v>139</v>
      </c>
      <c r="AA1241" s="103" t="s">
        <v>47</v>
      </c>
      <c r="AB1241" s="103" t="s">
        <v>140</v>
      </c>
      <c r="AC1241" s="104" t="s">
        <v>141</v>
      </c>
    </row>
    <row r="1242" spans="1:29" ht="25.5" customHeight="1" x14ac:dyDescent="0.35">
      <c r="A1242" s="188"/>
      <c r="B1242" s="190"/>
      <c r="C1242" s="99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0"/>
      <c r="E1242" s="78" t="str">
        <f>IF(C1242="","",IFERROR(VLOOKUP(C1242,parametros!$A$11:$E$15,5,0),""))</f>
        <v/>
      </c>
      <c r="F1242" s="79" t="str">
        <f t="shared" si="97"/>
        <v/>
      </c>
      <c r="G1242" s="101"/>
      <c r="H1242" s="91">
        <f t="shared" si="98"/>
        <v>0</v>
      </c>
      <c r="I1242" s="91" t="str">
        <f t="shared" si="99"/>
        <v/>
      </c>
      <c r="J1242" s="91" t="str">
        <f t="shared" si="100"/>
        <v/>
      </c>
      <c r="K1242" s="92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2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58"/>
      <c r="U1242" s="217" t="str">
        <f t="shared" si="101"/>
        <v/>
      </c>
      <c r="V1242" s="215" t="s">
        <v>47</v>
      </c>
      <c r="W1242" s="102" t="s">
        <v>136</v>
      </c>
      <c r="X1242" s="102" t="s">
        <v>137</v>
      </c>
      <c r="Y1242" s="103" t="s">
        <v>138</v>
      </c>
      <c r="Z1242" s="103" t="s">
        <v>139</v>
      </c>
      <c r="AA1242" s="103" t="s">
        <v>47</v>
      </c>
      <c r="AB1242" s="103" t="s">
        <v>140</v>
      </c>
      <c r="AC1242" s="104" t="s">
        <v>141</v>
      </c>
    </row>
    <row r="1243" spans="1:29" ht="25.5" customHeight="1" x14ac:dyDescent="0.35">
      <c r="A1243" s="188"/>
      <c r="B1243" s="190"/>
      <c r="C1243" s="99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0"/>
      <c r="E1243" s="78" t="str">
        <f>IF(C1243="","",IFERROR(VLOOKUP(C1243,parametros!$A$11:$E$15,5,0),""))</f>
        <v/>
      </c>
      <c r="F1243" s="79" t="str">
        <f t="shared" si="97"/>
        <v/>
      </c>
      <c r="G1243" s="101"/>
      <c r="H1243" s="91">
        <f t="shared" si="98"/>
        <v>0</v>
      </c>
      <c r="I1243" s="91" t="str">
        <f t="shared" si="99"/>
        <v/>
      </c>
      <c r="J1243" s="91" t="str">
        <f t="shared" si="100"/>
        <v/>
      </c>
      <c r="K1243" s="92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2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58"/>
      <c r="U1243" s="217" t="str">
        <f t="shared" si="101"/>
        <v/>
      </c>
      <c r="V1243" s="215" t="s">
        <v>47</v>
      </c>
      <c r="W1243" s="102" t="s">
        <v>136</v>
      </c>
      <c r="X1243" s="102" t="s">
        <v>137</v>
      </c>
      <c r="Y1243" s="103" t="s">
        <v>138</v>
      </c>
      <c r="Z1243" s="103" t="s">
        <v>139</v>
      </c>
      <c r="AA1243" s="103" t="s">
        <v>47</v>
      </c>
      <c r="AB1243" s="103" t="s">
        <v>140</v>
      </c>
      <c r="AC1243" s="104" t="s">
        <v>141</v>
      </c>
    </row>
    <row r="1244" spans="1:29" ht="25.5" customHeight="1" x14ac:dyDescent="0.35">
      <c r="A1244" s="188"/>
      <c r="B1244" s="190"/>
      <c r="C1244" s="99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0"/>
      <c r="E1244" s="78" t="str">
        <f>IF(C1244="","",IFERROR(VLOOKUP(C1244,parametros!$A$11:$E$15,5,0),""))</f>
        <v/>
      </c>
      <c r="F1244" s="79" t="str">
        <f t="shared" si="97"/>
        <v/>
      </c>
      <c r="G1244" s="101"/>
      <c r="H1244" s="91">
        <f t="shared" si="98"/>
        <v>0</v>
      </c>
      <c r="I1244" s="91" t="str">
        <f t="shared" si="99"/>
        <v/>
      </c>
      <c r="J1244" s="91" t="str">
        <f t="shared" si="100"/>
        <v/>
      </c>
      <c r="K1244" s="92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2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58"/>
      <c r="U1244" s="217" t="str">
        <f t="shared" si="101"/>
        <v/>
      </c>
      <c r="V1244" s="215" t="s">
        <v>47</v>
      </c>
      <c r="W1244" s="102" t="s">
        <v>136</v>
      </c>
      <c r="X1244" s="102" t="s">
        <v>137</v>
      </c>
      <c r="Y1244" s="103" t="s">
        <v>138</v>
      </c>
      <c r="Z1244" s="103" t="s">
        <v>139</v>
      </c>
      <c r="AA1244" s="103" t="s">
        <v>47</v>
      </c>
      <c r="AB1244" s="103" t="s">
        <v>140</v>
      </c>
      <c r="AC1244" s="104" t="s">
        <v>141</v>
      </c>
    </row>
    <row r="1245" spans="1:29" ht="25.5" customHeight="1" x14ac:dyDescent="0.35">
      <c r="A1245" s="188"/>
      <c r="B1245" s="190"/>
      <c r="C1245" s="99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0"/>
      <c r="E1245" s="78" t="str">
        <f>IF(C1245="","",IFERROR(VLOOKUP(C1245,parametros!$A$11:$E$15,5,0),""))</f>
        <v/>
      </c>
      <c r="F1245" s="79" t="str">
        <f t="shared" si="97"/>
        <v/>
      </c>
      <c r="G1245" s="101"/>
      <c r="H1245" s="91">
        <f t="shared" si="98"/>
        <v>0</v>
      </c>
      <c r="I1245" s="91" t="str">
        <f t="shared" si="99"/>
        <v/>
      </c>
      <c r="J1245" s="91" t="str">
        <f t="shared" si="100"/>
        <v/>
      </c>
      <c r="K1245" s="92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2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58"/>
      <c r="U1245" s="217" t="str">
        <f t="shared" si="101"/>
        <v/>
      </c>
      <c r="V1245" s="215" t="s">
        <v>47</v>
      </c>
      <c r="W1245" s="102" t="s">
        <v>136</v>
      </c>
      <c r="X1245" s="102" t="s">
        <v>137</v>
      </c>
      <c r="Y1245" s="103" t="s">
        <v>138</v>
      </c>
      <c r="Z1245" s="103" t="s">
        <v>139</v>
      </c>
      <c r="AA1245" s="103" t="s">
        <v>47</v>
      </c>
      <c r="AB1245" s="103" t="s">
        <v>140</v>
      </c>
      <c r="AC1245" s="104" t="s">
        <v>141</v>
      </c>
    </row>
    <row r="1246" spans="1:29" ht="25.5" customHeight="1" x14ac:dyDescent="0.35">
      <c r="A1246" s="188"/>
      <c r="B1246" s="190"/>
      <c r="C1246" s="99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0"/>
      <c r="E1246" s="78" t="str">
        <f>IF(C1246="","",IFERROR(VLOOKUP(C1246,parametros!$A$11:$E$15,5,0),""))</f>
        <v/>
      </c>
      <c r="F1246" s="79" t="str">
        <f t="shared" si="97"/>
        <v/>
      </c>
      <c r="G1246" s="101"/>
      <c r="H1246" s="91">
        <f t="shared" si="98"/>
        <v>0</v>
      </c>
      <c r="I1246" s="91" t="str">
        <f t="shared" si="99"/>
        <v/>
      </c>
      <c r="J1246" s="91" t="str">
        <f t="shared" si="100"/>
        <v/>
      </c>
      <c r="K1246" s="92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2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58"/>
      <c r="U1246" s="217" t="str">
        <f t="shared" si="101"/>
        <v/>
      </c>
      <c r="V1246" s="215" t="s">
        <v>47</v>
      </c>
      <c r="W1246" s="102" t="s">
        <v>136</v>
      </c>
      <c r="X1246" s="102" t="s">
        <v>137</v>
      </c>
      <c r="Y1246" s="103" t="s">
        <v>138</v>
      </c>
      <c r="Z1246" s="103" t="s">
        <v>139</v>
      </c>
      <c r="AA1246" s="103" t="s">
        <v>47</v>
      </c>
      <c r="AB1246" s="103" t="s">
        <v>140</v>
      </c>
      <c r="AC1246" s="104" t="s">
        <v>141</v>
      </c>
    </row>
    <row r="1247" spans="1:29" ht="25.5" customHeight="1" x14ac:dyDescent="0.35">
      <c r="A1247" s="188"/>
      <c r="B1247" s="190"/>
      <c r="C1247" s="99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0"/>
      <c r="E1247" s="78" t="str">
        <f>IF(C1247="","",IFERROR(VLOOKUP(C1247,parametros!$A$11:$E$15,5,0),""))</f>
        <v/>
      </c>
      <c r="F1247" s="79" t="str">
        <f t="shared" si="97"/>
        <v/>
      </c>
      <c r="G1247" s="101"/>
      <c r="H1247" s="91">
        <f t="shared" si="98"/>
        <v>0</v>
      </c>
      <c r="I1247" s="91" t="str">
        <f t="shared" si="99"/>
        <v/>
      </c>
      <c r="J1247" s="91" t="str">
        <f t="shared" si="100"/>
        <v/>
      </c>
      <c r="K1247" s="92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2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58"/>
      <c r="U1247" s="217" t="str">
        <f t="shared" si="101"/>
        <v/>
      </c>
      <c r="V1247" s="215" t="s">
        <v>47</v>
      </c>
      <c r="W1247" s="102" t="s">
        <v>136</v>
      </c>
      <c r="X1247" s="102" t="s">
        <v>137</v>
      </c>
      <c r="Y1247" s="103" t="s">
        <v>138</v>
      </c>
      <c r="Z1247" s="103" t="s">
        <v>139</v>
      </c>
      <c r="AA1247" s="103" t="s">
        <v>47</v>
      </c>
      <c r="AB1247" s="103" t="s">
        <v>140</v>
      </c>
      <c r="AC1247" s="104" t="s">
        <v>141</v>
      </c>
    </row>
    <row r="1248" spans="1:29" ht="25.5" customHeight="1" x14ac:dyDescent="0.35">
      <c r="A1248" s="188"/>
      <c r="B1248" s="190"/>
      <c r="C1248" s="99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0"/>
      <c r="E1248" s="78" t="str">
        <f>IF(C1248="","",IFERROR(VLOOKUP(C1248,parametros!$A$11:$E$15,5,0),""))</f>
        <v/>
      </c>
      <c r="F1248" s="79" t="str">
        <f t="shared" si="97"/>
        <v/>
      </c>
      <c r="G1248" s="101"/>
      <c r="H1248" s="91">
        <f t="shared" si="98"/>
        <v>0</v>
      </c>
      <c r="I1248" s="91" t="str">
        <f t="shared" si="99"/>
        <v/>
      </c>
      <c r="J1248" s="91" t="str">
        <f t="shared" si="100"/>
        <v/>
      </c>
      <c r="K1248" s="92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2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58"/>
      <c r="U1248" s="217" t="str">
        <f t="shared" si="101"/>
        <v/>
      </c>
      <c r="V1248" s="215" t="s">
        <v>47</v>
      </c>
      <c r="W1248" s="102" t="s">
        <v>136</v>
      </c>
      <c r="X1248" s="102" t="s">
        <v>137</v>
      </c>
      <c r="Y1248" s="103" t="s">
        <v>138</v>
      </c>
      <c r="Z1248" s="103" t="s">
        <v>139</v>
      </c>
      <c r="AA1248" s="103" t="s">
        <v>47</v>
      </c>
      <c r="AB1248" s="103" t="s">
        <v>140</v>
      </c>
      <c r="AC1248" s="104" t="s">
        <v>141</v>
      </c>
    </row>
    <row r="1249" spans="1:29" ht="25.5" customHeight="1" x14ac:dyDescent="0.35">
      <c r="A1249" s="188"/>
      <c r="B1249" s="190"/>
      <c r="C1249" s="99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0"/>
      <c r="E1249" s="78" t="str">
        <f>IF(C1249="","",IFERROR(VLOOKUP(C1249,parametros!$A$11:$E$15,5,0),""))</f>
        <v/>
      </c>
      <c r="F1249" s="79" t="str">
        <f t="shared" si="97"/>
        <v/>
      </c>
      <c r="G1249" s="101"/>
      <c r="H1249" s="91">
        <f t="shared" si="98"/>
        <v>0</v>
      </c>
      <c r="I1249" s="91" t="str">
        <f t="shared" si="99"/>
        <v/>
      </c>
      <c r="J1249" s="91" t="str">
        <f t="shared" si="100"/>
        <v/>
      </c>
      <c r="K1249" s="92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2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58"/>
      <c r="U1249" s="217" t="str">
        <f t="shared" si="101"/>
        <v/>
      </c>
      <c r="V1249" s="215" t="s">
        <v>47</v>
      </c>
      <c r="W1249" s="102" t="s">
        <v>136</v>
      </c>
      <c r="X1249" s="102" t="s">
        <v>137</v>
      </c>
      <c r="Y1249" s="103" t="s">
        <v>138</v>
      </c>
      <c r="Z1249" s="103" t="s">
        <v>139</v>
      </c>
      <c r="AA1249" s="103" t="s">
        <v>47</v>
      </c>
      <c r="AB1249" s="103" t="s">
        <v>140</v>
      </c>
      <c r="AC1249" s="104" t="s">
        <v>141</v>
      </c>
    </row>
    <row r="1250" spans="1:29" ht="25.5" customHeight="1" x14ac:dyDescent="0.35">
      <c r="A1250" s="188"/>
      <c r="B1250" s="190"/>
      <c r="C1250" s="99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0"/>
      <c r="E1250" s="78" t="str">
        <f>IF(C1250="","",IFERROR(VLOOKUP(C1250,parametros!$A$11:$E$15,5,0),""))</f>
        <v/>
      </c>
      <c r="F1250" s="79" t="str">
        <f t="shared" si="97"/>
        <v/>
      </c>
      <c r="G1250" s="101"/>
      <c r="H1250" s="91">
        <f t="shared" si="98"/>
        <v>0</v>
      </c>
      <c r="I1250" s="91" t="str">
        <f t="shared" si="99"/>
        <v/>
      </c>
      <c r="J1250" s="91" t="str">
        <f t="shared" si="100"/>
        <v/>
      </c>
      <c r="K1250" s="92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2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58"/>
      <c r="U1250" s="217" t="str">
        <f t="shared" si="101"/>
        <v/>
      </c>
      <c r="V1250" s="215" t="s">
        <v>47</v>
      </c>
      <c r="W1250" s="102" t="s">
        <v>136</v>
      </c>
      <c r="X1250" s="102" t="s">
        <v>137</v>
      </c>
      <c r="Y1250" s="103" t="s">
        <v>138</v>
      </c>
      <c r="Z1250" s="103" t="s">
        <v>139</v>
      </c>
      <c r="AA1250" s="103" t="s">
        <v>47</v>
      </c>
      <c r="AB1250" s="103" t="s">
        <v>140</v>
      </c>
      <c r="AC1250" s="104" t="s">
        <v>141</v>
      </c>
    </row>
    <row r="1251" spans="1:29" ht="25.5" customHeight="1" x14ac:dyDescent="0.35">
      <c r="A1251" s="188"/>
      <c r="B1251" s="190"/>
      <c r="C1251" s="99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0"/>
      <c r="E1251" s="78" t="str">
        <f>IF(C1251="","",IFERROR(VLOOKUP(C1251,parametros!$A$11:$E$15,5,0),""))</f>
        <v/>
      </c>
      <c r="F1251" s="79" t="str">
        <f t="shared" si="97"/>
        <v/>
      </c>
      <c r="G1251" s="101"/>
      <c r="H1251" s="91">
        <f t="shared" si="98"/>
        <v>0</v>
      </c>
      <c r="I1251" s="91" t="str">
        <f t="shared" si="99"/>
        <v/>
      </c>
      <c r="J1251" s="91" t="str">
        <f t="shared" si="100"/>
        <v/>
      </c>
      <c r="K1251" s="92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2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58"/>
      <c r="U1251" s="217" t="str">
        <f t="shared" si="101"/>
        <v/>
      </c>
      <c r="V1251" s="215" t="s">
        <v>47</v>
      </c>
      <c r="W1251" s="102" t="s">
        <v>136</v>
      </c>
      <c r="X1251" s="102" t="s">
        <v>137</v>
      </c>
      <c r="Y1251" s="103" t="s">
        <v>138</v>
      </c>
      <c r="Z1251" s="103" t="s">
        <v>139</v>
      </c>
      <c r="AA1251" s="103" t="s">
        <v>47</v>
      </c>
      <c r="AB1251" s="103" t="s">
        <v>140</v>
      </c>
      <c r="AC1251" s="104" t="s">
        <v>141</v>
      </c>
    </row>
    <row r="1252" spans="1:29" ht="25.5" customHeight="1" x14ac:dyDescent="0.35">
      <c r="A1252" s="188"/>
      <c r="B1252" s="190"/>
      <c r="C1252" s="99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0"/>
      <c r="E1252" s="78" t="str">
        <f>IF(C1252="","",IFERROR(VLOOKUP(C1252,parametros!$A$11:$E$15,5,0),""))</f>
        <v/>
      </c>
      <c r="F1252" s="79" t="str">
        <f t="shared" si="97"/>
        <v/>
      </c>
      <c r="G1252" s="101"/>
      <c r="H1252" s="91">
        <f t="shared" si="98"/>
        <v>0</v>
      </c>
      <c r="I1252" s="91" t="str">
        <f t="shared" si="99"/>
        <v/>
      </c>
      <c r="J1252" s="91" t="str">
        <f t="shared" si="100"/>
        <v/>
      </c>
      <c r="K1252" s="92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2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58"/>
      <c r="U1252" s="217" t="str">
        <f t="shared" si="101"/>
        <v/>
      </c>
      <c r="V1252" s="215" t="s">
        <v>47</v>
      </c>
      <c r="W1252" s="102" t="s">
        <v>136</v>
      </c>
      <c r="X1252" s="102" t="s">
        <v>137</v>
      </c>
      <c r="Y1252" s="103" t="s">
        <v>138</v>
      </c>
      <c r="Z1252" s="103" t="s">
        <v>139</v>
      </c>
      <c r="AA1252" s="103" t="s">
        <v>47</v>
      </c>
      <c r="AB1252" s="103" t="s">
        <v>140</v>
      </c>
      <c r="AC1252" s="104" t="s">
        <v>141</v>
      </c>
    </row>
    <row r="1253" spans="1:29" ht="25.5" customHeight="1" x14ac:dyDescent="0.35">
      <c r="A1253" s="188"/>
      <c r="B1253" s="190"/>
      <c r="C1253" s="99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0"/>
      <c r="E1253" s="78" t="str">
        <f>IF(C1253="","",IFERROR(VLOOKUP(C1253,parametros!$A$11:$E$15,5,0),""))</f>
        <v/>
      </c>
      <c r="F1253" s="79" t="str">
        <f t="shared" si="97"/>
        <v/>
      </c>
      <c r="G1253" s="101"/>
      <c r="H1253" s="91">
        <f t="shared" si="98"/>
        <v>0</v>
      </c>
      <c r="I1253" s="91" t="str">
        <f t="shared" si="99"/>
        <v/>
      </c>
      <c r="J1253" s="91" t="str">
        <f t="shared" si="100"/>
        <v/>
      </c>
      <c r="K1253" s="92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2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58"/>
      <c r="U1253" s="217" t="str">
        <f t="shared" si="101"/>
        <v/>
      </c>
      <c r="V1253" s="215" t="s">
        <v>47</v>
      </c>
      <c r="W1253" s="102" t="s">
        <v>136</v>
      </c>
      <c r="X1253" s="102" t="s">
        <v>137</v>
      </c>
      <c r="Y1253" s="103" t="s">
        <v>138</v>
      </c>
      <c r="Z1253" s="103" t="s">
        <v>139</v>
      </c>
      <c r="AA1253" s="103" t="s">
        <v>47</v>
      </c>
      <c r="AB1253" s="103" t="s">
        <v>140</v>
      </c>
      <c r="AC1253" s="104" t="s">
        <v>141</v>
      </c>
    </row>
    <row r="1254" spans="1:29" ht="25.5" customHeight="1" x14ac:dyDescent="0.35">
      <c r="A1254" s="188"/>
      <c r="B1254" s="190"/>
      <c r="C1254" s="99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0"/>
      <c r="E1254" s="78" t="str">
        <f>IF(C1254="","",IFERROR(VLOOKUP(C1254,parametros!$A$11:$E$15,5,0),""))</f>
        <v/>
      </c>
      <c r="F1254" s="79" t="str">
        <f t="shared" si="97"/>
        <v/>
      </c>
      <c r="G1254" s="101"/>
      <c r="H1254" s="91">
        <f t="shared" si="98"/>
        <v>0</v>
      </c>
      <c r="I1254" s="91" t="str">
        <f t="shared" si="99"/>
        <v/>
      </c>
      <c r="J1254" s="91" t="str">
        <f t="shared" si="100"/>
        <v/>
      </c>
      <c r="K1254" s="92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2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58"/>
      <c r="U1254" s="217" t="str">
        <f t="shared" si="101"/>
        <v/>
      </c>
      <c r="V1254" s="215" t="s">
        <v>47</v>
      </c>
      <c r="W1254" s="102" t="s">
        <v>136</v>
      </c>
      <c r="X1254" s="102" t="s">
        <v>137</v>
      </c>
      <c r="Y1254" s="103" t="s">
        <v>138</v>
      </c>
      <c r="Z1254" s="103" t="s">
        <v>139</v>
      </c>
      <c r="AA1254" s="103" t="s">
        <v>47</v>
      </c>
      <c r="AB1254" s="103" t="s">
        <v>140</v>
      </c>
      <c r="AC1254" s="104" t="s">
        <v>141</v>
      </c>
    </row>
    <row r="1255" spans="1:29" ht="25.5" customHeight="1" x14ac:dyDescent="0.35">
      <c r="A1255" s="188"/>
      <c r="B1255" s="190"/>
      <c r="C1255" s="99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0"/>
      <c r="E1255" s="78" t="str">
        <f>IF(C1255="","",IFERROR(VLOOKUP(C1255,parametros!$A$11:$E$15,5,0),""))</f>
        <v/>
      </c>
      <c r="F1255" s="79" t="str">
        <f t="shared" si="97"/>
        <v/>
      </c>
      <c r="G1255" s="101"/>
      <c r="H1255" s="91">
        <f t="shared" si="98"/>
        <v>0</v>
      </c>
      <c r="I1255" s="91" t="str">
        <f t="shared" si="99"/>
        <v/>
      </c>
      <c r="J1255" s="91" t="str">
        <f t="shared" si="100"/>
        <v/>
      </c>
      <c r="K1255" s="92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2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58"/>
      <c r="U1255" s="217" t="str">
        <f t="shared" si="101"/>
        <v/>
      </c>
      <c r="V1255" s="215" t="s">
        <v>47</v>
      </c>
      <c r="W1255" s="102" t="s">
        <v>136</v>
      </c>
      <c r="X1255" s="102" t="s">
        <v>137</v>
      </c>
      <c r="Y1255" s="103" t="s">
        <v>138</v>
      </c>
      <c r="Z1255" s="103" t="s">
        <v>139</v>
      </c>
      <c r="AA1255" s="103" t="s">
        <v>47</v>
      </c>
      <c r="AB1255" s="103" t="s">
        <v>140</v>
      </c>
      <c r="AC1255" s="104" t="s">
        <v>141</v>
      </c>
    </row>
    <row r="1256" spans="1:29" ht="25.5" customHeight="1" x14ac:dyDescent="0.35">
      <c r="A1256" s="188"/>
      <c r="B1256" s="190"/>
      <c r="C1256" s="99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0"/>
      <c r="E1256" s="78" t="str">
        <f>IF(C1256="","",IFERROR(VLOOKUP(C1256,parametros!$A$11:$E$15,5,0),""))</f>
        <v/>
      </c>
      <c r="F1256" s="79" t="str">
        <f t="shared" si="97"/>
        <v/>
      </c>
      <c r="G1256" s="101"/>
      <c r="H1256" s="91">
        <f t="shared" si="98"/>
        <v>0</v>
      </c>
      <c r="I1256" s="91" t="str">
        <f t="shared" si="99"/>
        <v/>
      </c>
      <c r="J1256" s="91" t="str">
        <f t="shared" si="100"/>
        <v/>
      </c>
      <c r="K1256" s="92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2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58"/>
      <c r="U1256" s="217" t="str">
        <f t="shared" si="101"/>
        <v/>
      </c>
      <c r="V1256" s="215" t="s">
        <v>47</v>
      </c>
      <c r="W1256" s="102" t="s">
        <v>136</v>
      </c>
      <c r="X1256" s="102" t="s">
        <v>137</v>
      </c>
      <c r="Y1256" s="103" t="s">
        <v>138</v>
      </c>
      <c r="Z1256" s="103" t="s">
        <v>139</v>
      </c>
      <c r="AA1256" s="103" t="s">
        <v>47</v>
      </c>
      <c r="AB1256" s="103" t="s">
        <v>140</v>
      </c>
      <c r="AC1256" s="104" t="s">
        <v>141</v>
      </c>
    </row>
    <row r="1257" spans="1:29" ht="25.5" customHeight="1" x14ac:dyDescent="0.35">
      <c r="A1257" s="188"/>
      <c r="B1257" s="190"/>
      <c r="C1257" s="99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0"/>
      <c r="E1257" s="78" t="str">
        <f>IF(C1257="","",IFERROR(VLOOKUP(C1257,parametros!$A$11:$E$15,5,0),""))</f>
        <v/>
      </c>
      <c r="F1257" s="79" t="str">
        <f t="shared" si="97"/>
        <v/>
      </c>
      <c r="G1257" s="101"/>
      <c r="H1257" s="91">
        <f t="shared" si="98"/>
        <v>0</v>
      </c>
      <c r="I1257" s="91" t="str">
        <f t="shared" si="99"/>
        <v/>
      </c>
      <c r="J1257" s="91" t="str">
        <f t="shared" si="100"/>
        <v/>
      </c>
      <c r="K1257" s="92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2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58"/>
      <c r="U1257" s="217" t="str">
        <f t="shared" si="101"/>
        <v/>
      </c>
      <c r="V1257" s="215" t="s">
        <v>47</v>
      </c>
      <c r="W1257" s="102" t="s">
        <v>136</v>
      </c>
      <c r="X1257" s="102" t="s">
        <v>137</v>
      </c>
      <c r="Y1257" s="103" t="s">
        <v>138</v>
      </c>
      <c r="Z1257" s="103" t="s">
        <v>139</v>
      </c>
      <c r="AA1257" s="103" t="s">
        <v>47</v>
      </c>
      <c r="AB1257" s="103" t="s">
        <v>140</v>
      </c>
      <c r="AC1257" s="104" t="s">
        <v>141</v>
      </c>
    </row>
    <row r="1258" spans="1:29" ht="25.5" customHeight="1" x14ac:dyDescent="0.35">
      <c r="A1258" s="188"/>
      <c r="B1258" s="190"/>
      <c r="C1258" s="99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0"/>
      <c r="E1258" s="78" t="str">
        <f>IF(C1258="","",IFERROR(VLOOKUP(C1258,parametros!$A$11:$E$15,5,0),""))</f>
        <v/>
      </c>
      <c r="F1258" s="79" t="str">
        <f t="shared" si="97"/>
        <v/>
      </c>
      <c r="G1258" s="101"/>
      <c r="H1258" s="91">
        <f t="shared" si="98"/>
        <v>0</v>
      </c>
      <c r="I1258" s="91" t="str">
        <f t="shared" si="99"/>
        <v/>
      </c>
      <c r="J1258" s="91" t="str">
        <f t="shared" si="100"/>
        <v/>
      </c>
      <c r="K1258" s="92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2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58"/>
      <c r="U1258" s="217" t="str">
        <f t="shared" si="101"/>
        <v/>
      </c>
      <c r="V1258" s="215" t="s">
        <v>47</v>
      </c>
      <c r="W1258" s="102" t="s">
        <v>136</v>
      </c>
      <c r="X1258" s="102" t="s">
        <v>137</v>
      </c>
      <c r="Y1258" s="103" t="s">
        <v>138</v>
      </c>
      <c r="Z1258" s="103" t="s">
        <v>139</v>
      </c>
      <c r="AA1258" s="103" t="s">
        <v>47</v>
      </c>
      <c r="AB1258" s="103" t="s">
        <v>140</v>
      </c>
      <c r="AC1258" s="104" t="s">
        <v>141</v>
      </c>
    </row>
    <row r="1259" spans="1:29" ht="25.5" customHeight="1" x14ac:dyDescent="0.35">
      <c r="A1259" s="188"/>
      <c r="B1259" s="190"/>
      <c r="C1259" s="99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0"/>
      <c r="E1259" s="78" t="str">
        <f>IF(C1259="","",IFERROR(VLOOKUP(C1259,parametros!$A$11:$E$15,5,0),""))</f>
        <v/>
      </c>
      <c r="F1259" s="79" t="str">
        <f t="shared" si="97"/>
        <v/>
      </c>
      <c r="G1259" s="101"/>
      <c r="H1259" s="91">
        <f t="shared" si="98"/>
        <v>0</v>
      </c>
      <c r="I1259" s="91" t="str">
        <f t="shared" si="99"/>
        <v/>
      </c>
      <c r="J1259" s="91" t="str">
        <f t="shared" si="100"/>
        <v/>
      </c>
      <c r="K1259" s="92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2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58"/>
      <c r="U1259" s="217" t="str">
        <f t="shared" si="101"/>
        <v/>
      </c>
      <c r="V1259" s="215" t="s">
        <v>47</v>
      </c>
      <c r="W1259" s="102" t="s">
        <v>136</v>
      </c>
      <c r="X1259" s="102" t="s">
        <v>137</v>
      </c>
      <c r="Y1259" s="103" t="s">
        <v>138</v>
      </c>
      <c r="Z1259" s="103" t="s">
        <v>139</v>
      </c>
      <c r="AA1259" s="103" t="s">
        <v>47</v>
      </c>
      <c r="AB1259" s="103" t="s">
        <v>140</v>
      </c>
      <c r="AC1259" s="104" t="s">
        <v>141</v>
      </c>
    </row>
    <row r="1260" spans="1:29" ht="25.5" customHeight="1" x14ac:dyDescent="0.35">
      <c r="A1260" s="188"/>
      <c r="B1260" s="190"/>
      <c r="C1260" s="99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0"/>
      <c r="E1260" s="78" t="str">
        <f>IF(C1260="","",IFERROR(VLOOKUP(C1260,parametros!$A$11:$E$15,5,0),""))</f>
        <v/>
      </c>
      <c r="F1260" s="79" t="str">
        <f t="shared" si="97"/>
        <v/>
      </c>
      <c r="G1260" s="101"/>
      <c r="H1260" s="91">
        <f t="shared" si="98"/>
        <v>0</v>
      </c>
      <c r="I1260" s="91" t="str">
        <f t="shared" si="99"/>
        <v/>
      </c>
      <c r="J1260" s="91" t="str">
        <f t="shared" si="100"/>
        <v/>
      </c>
      <c r="K1260" s="92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2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58"/>
      <c r="U1260" s="217" t="str">
        <f t="shared" si="101"/>
        <v/>
      </c>
      <c r="V1260" s="215" t="s">
        <v>47</v>
      </c>
      <c r="W1260" s="102" t="s">
        <v>136</v>
      </c>
      <c r="X1260" s="102" t="s">
        <v>137</v>
      </c>
      <c r="Y1260" s="103" t="s">
        <v>138</v>
      </c>
      <c r="Z1260" s="103" t="s">
        <v>139</v>
      </c>
      <c r="AA1260" s="103" t="s">
        <v>47</v>
      </c>
      <c r="AB1260" s="103" t="s">
        <v>140</v>
      </c>
      <c r="AC1260" s="104" t="s">
        <v>141</v>
      </c>
    </row>
    <row r="1261" spans="1:29" ht="25.5" customHeight="1" x14ac:dyDescent="0.35">
      <c r="A1261" s="188"/>
      <c r="B1261" s="190"/>
      <c r="C1261" s="99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0"/>
      <c r="E1261" s="78" t="str">
        <f>IF(C1261="","",IFERROR(VLOOKUP(C1261,parametros!$A$11:$E$15,5,0),""))</f>
        <v/>
      </c>
      <c r="F1261" s="79" t="str">
        <f t="shared" si="97"/>
        <v/>
      </c>
      <c r="G1261" s="101"/>
      <c r="H1261" s="91">
        <f t="shared" si="98"/>
        <v>0</v>
      </c>
      <c r="I1261" s="91" t="str">
        <f t="shared" si="99"/>
        <v/>
      </c>
      <c r="J1261" s="91" t="str">
        <f t="shared" si="100"/>
        <v/>
      </c>
      <c r="K1261" s="92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2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58"/>
      <c r="U1261" s="217" t="str">
        <f t="shared" si="101"/>
        <v/>
      </c>
      <c r="V1261" s="215" t="s">
        <v>47</v>
      </c>
      <c r="W1261" s="102" t="s">
        <v>136</v>
      </c>
      <c r="X1261" s="102" t="s">
        <v>137</v>
      </c>
      <c r="Y1261" s="103" t="s">
        <v>138</v>
      </c>
      <c r="Z1261" s="103" t="s">
        <v>139</v>
      </c>
      <c r="AA1261" s="103" t="s">
        <v>47</v>
      </c>
      <c r="AB1261" s="103" t="s">
        <v>140</v>
      </c>
      <c r="AC1261" s="104" t="s">
        <v>141</v>
      </c>
    </row>
    <row r="1262" spans="1:29" ht="25.5" customHeight="1" x14ac:dyDescent="0.35">
      <c r="A1262" s="188"/>
      <c r="B1262" s="190"/>
      <c r="C1262" s="99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0"/>
      <c r="E1262" s="78" t="str">
        <f>IF(C1262="","",IFERROR(VLOOKUP(C1262,parametros!$A$11:$E$15,5,0),""))</f>
        <v/>
      </c>
      <c r="F1262" s="79" t="str">
        <f t="shared" si="97"/>
        <v/>
      </c>
      <c r="G1262" s="101"/>
      <c r="H1262" s="91">
        <f t="shared" si="98"/>
        <v>0</v>
      </c>
      <c r="I1262" s="91" t="str">
        <f t="shared" si="99"/>
        <v/>
      </c>
      <c r="J1262" s="91" t="str">
        <f t="shared" si="100"/>
        <v/>
      </c>
      <c r="K1262" s="92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2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58"/>
      <c r="U1262" s="217" t="str">
        <f t="shared" si="101"/>
        <v/>
      </c>
      <c r="V1262" s="215" t="s">
        <v>47</v>
      </c>
      <c r="W1262" s="102" t="s">
        <v>136</v>
      </c>
      <c r="X1262" s="102" t="s">
        <v>137</v>
      </c>
      <c r="Y1262" s="103" t="s">
        <v>138</v>
      </c>
      <c r="Z1262" s="103" t="s">
        <v>139</v>
      </c>
      <c r="AA1262" s="103" t="s">
        <v>47</v>
      </c>
      <c r="AB1262" s="103" t="s">
        <v>140</v>
      </c>
      <c r="AC1262" s="104" t="s">
        <v>141</v>
      </c>
    </row>
    <row r="1263" spans="1:29" ht="25.5" customHeight="1" x14ac:dyDescent="0.35">
      <c r="A1263" s="188"/>
      <c r="B1263" s="190"/>
      <c r="C1263" s="99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0"/>
      <c r="E1263" s="78" t="str">
        <f>IF(C1263="","",IFERROR(VLOOKUP(C1263,parametros!$A$11:$E$15,5,0),""))</f>
        <v/>
      </c>
      <c r="F1263" s="79" t="str">
        <f t="shared" si="97"/>
        <v/>
      </c>
      <c r="G1263" s="101"/>
      <c r="H1263" s="91">
        <f t="shared" si="98"/>
        <v>0</v>
      </c>
      <c r="I1263" s="91" t="str">
        <f t="shared" si="99"/>
        <v/>
      </c>
      <c r="J1263" s="91" t="str">
        <f t="shared" si="100"/>
        <v/>
      </c>
      <c r="K1263" s="92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2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58"/>
      <c r="U1263" s="217" t="str">
        <f t="shared" si="101"/>
        <v/>
      </c>
      <c r="V1263" s="215" t="s">
        <v>47</v>
      </c>
      <c r="W1263" s="102" t="s">
        <v>136</v>
      </c>
      <c r="X1263" s="102" t="s">
        <v>137</v>
      </c>
      <c r="Y1263" s="103" t="s">
        <v>138</v>
      </c>
      <c r="Z1263" s="103" t="s">
        <v>139</v>
      </c>
      <c r="AA1263" s="103" t="s">
        <v>47</v>
      </c>
      <c r="AB1263" s="103" t="s">
        <v>140</v>
      </c>
      <c r="AC1263" s="104" t="s">
        <v>141</v>
      </c>
    </row>
    <row r="1264" spans="1:29" ht="25.5" customHeight="1" x14ac:dyDescent="0.35">
      <c r="A1264" s="188"/>
      <c r="B1264" s="190"/>
      <c r="C1264" s="99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0"/>
      <c r="E1264" s="78" t="str">
        <f>IF(C1264="","",IFERROR(VLOOKUP(C1264,parametros!$A$11:$E$15,5,0),""))</f>
        <v/>
      </c>
      <c r="F1264" s="79" t="str">
        <f t="shared" si="97"/>
        <v/>
      </c>
      <c r="G1264" s="101"/>
      <c r="H1264" s="91">
        <f t="shared" si="98"/>
        <v>0</v>
      </c>
      <c r="I1264" s="91" t="str">
        <f t="shared" si="99"/>
        <v/>
      </c>
      <c r="J1264" s="91" t="str">
        <f t="shared" si="100"/>
        <v/>
      </c>
      <c r="K1264" s="92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2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58"/>
      <c r="U1264" s="217" t="str">
        <f t="shared" si="101"/>
        <v/>
      </c>
      <c r="V1264" s="215" t="s">
        <v>47</v>
      </c>
      <c r="W1264" s="102" t="s">
        <v>136</v>
      </c>
      <c r="X1264" s="102" t="s">
        <v>137</v>
      </c>
      <c r="Y1264" s="103" t="s">
        <v>138</v>
      </c>
      <c r="Z1264" s="103" t="s">
        <v>139</v>
      </c>
      <c r="AA1264" s="103" t="s">
        <v>47</v>
      </c>
      <c r="AB1264" s="103" t="s">
        <v>140</v>
      </c>
      <c r="AC1264" s="104" t="s">
        <v>141</v>
      </c>
    </row>
    <row r="1265" spans="1:29" ht="25.5" customHeight="1" x14ac:dyDescent="0.35">
      <c r="A1265" s="188"/>
      <c r="B1265" s="190"/>
      <c r="C1265" s="99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0"/>
      <c r="E1265" s="78" t="str">
        <f>IF(C1265="","",IFERROR(VLOOKUP(C1265,parametros!$A$11:$E$15,5,0),""))</f>
        <v/>
      </c>
      <c r="F1265" s="79" t="str">
        <f t="shared" si="97"/>
        <v/>
      </c>
      <c r="G1265" s="101"/>
      <c r="H1265" s="91">
        <f t="shared" si="98"/>
        <v>0</v>
      </c>
      <c r="I1265" s="91" t="str">
        <f t="shared" si="99"/>
        <v/>
      </c>
      <c r="J1265" s="91" t="str">
        <f t="shared" si="100"/>
        <v/>
      </c>
      <c r="K1265" s="92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2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58"/>
      <c r="U1265" s="217" t="str">
        <f t="shared" si="101"/>
        <v/>
      </c>
      <c r="V1265" s="215" t="s">
        <v>47</v>
      </c>
      <c r="W1265" s="102" t="s">
        <v>136</v>
      </c>
      <c r="X1265" s="102" t="s">
        <v>137</v>
      </c>
      <c r="Y1265" s="103" t="s">
        <v>138</v>
      </c>
      <c r="Z1265" s="103" t="s">
        <v>139</v>
      </c>
      <c r="AA1265" s="103" t="s">
        <v>47</v>
      </c>
      <c r="AB1265" s="103" t="s">
        <v>140</v>
      </c>
      <c r="AC1265" s="104" t="s">
        <v>141</v>
      </c>
    </row>
    <row r="1266" spans="1:29" ht="25.5" customHeight="1" x14ac:dyDescent="0.35">
      <c r="A1266" s="188"/>
      <c r="B1266" s="190"/>
      <c r="C1266" s="99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0"/>
      <c r="E1266" s="78" t="str">
        <f>IF(C1266="","",IFERROR(VLOOKUP(C1266,parametros!$A$11:$E$15,5,0),""))</f>
        <v/>
      </c>
      <c r="F1266" s="79" t="str">
        <f t="shared" si="97"/>
        <v/>
      </c>
      <c r="G1266" s="101"/>
      <c r="H1266" s="91">
        <f t="shared" si="98"/>
        <v>0</v>
      </c>
      <c r="I1266" s="91" t="str">
        <f t="shared" si="99"/>
        <v/>
      </c>
      <c r="J1266" s="91" t="str">
        <f t="shared" si="100"/>
        <v/>
      </c>
      <c r="K1266" s="92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2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58"/>
      <c r="U1266" s="217" t="str">
        <f t="shared" si="101"/>
        <v/>
      </c>
      <c r="V1266" s="215" t="s">
        <v>47</v>
      </c>
      <c r="W1266" s="102" t="s">
        <v>136</v>
      </c>
      <c r="X1266" s="102" t="s">
        <v>137</v>
      </c>
      <c r="Y1266" s="103" t="s">
        <v>138</v>
      </c>
      <c r="Z1266" s="103" t="s">
        <v>139</v>
      </c>
      <c r="AA1266" s="103" t="s">
        <v>47</v>
      </c>
      <c r="AB1266" s="103" t="s">
        <v>140</v>
      </c>
      <c r="AC1266" s="104" t="s">
        <v>141</v>
      </c>
    </row>
    <row r="1267" spans="1:29" ht="25.5" customHeight="1" x14ac:dyDescent="0.35">
      <c r="A1267" s="188"/>
      <c r="B1267" s="190"/>
      <c r="C1267" s="99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0"/>
      <c r="E1267" s="78" t="str">
        <f>IF(C1267="","",IFERROR(VLOOKUP(C1267,parametros!$A$11:$E$15,5,0),""))</f>
        <v/>
      </c>
      <c r="F1267" s="79" t="str">
        <f t="shared" si="97"/>
        <v/>
      </c>
      <c r="G1267" s="101"/>
      <c r="H1267" s="91">
        <f t="shared" si="98"/>
        <v>0</v>
      </c>
      <c r="I1267" s="91" t="str">
        <f t="shared" si="99"/>
        <v/>
      </c>
      <c r="J1267" s="91" t="str">
        <f t="shared" si="100"/>
        <v/>
      </c>
      <c r="K1267" s="92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2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58"/>
      <c r="U1267" s="217" t="str">
        <f t="shared" si="101"/>
        <v/>
      </c>
      <c r="V1267" s="215" t="s">
        <v>47</v>
      </c>
      <c r="W1267" s="102" t="s">
        <v>136</v>
      </c>
      <c r="X1267" s="102" t="s">
        <v>137</v>
      </c>
      <c r="Y1267" s="103" t="s">
        <v>138</v>
      </c>
      <c r="Z1267" s="103" t="s">
        <v>139</v>
      </c>
      <c r="AA1267" s="103" t="s">
        <v>47</v>
      </c>
      <c r="AB1267" s="103" t="s">
        <v>140</v>
      </c>
      <c r="AC1267" s="104" t="s">
        <v>141</v>
      </c>
    </row>
    <row r="1268" spans="1:29" ht="25.5" customHeight="1" x14ac:dyDescent="0.35">
      <c r="A1268" s="188"/>
      <c r="B1268" s="190"/>
      <c r="C1268" s="99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0"/>
      <c r="E1268" s="78" t="str">
        <f>IF(C1268="","",IFERROR(VLOOKUP(C1268,parametros!$A$11:$E$15,5,0),""))</f>
        <v/>
      </c>
      <c r="F1268" s="79" t="str">
        <f t="shared" si="97"/>
        <v/>
      </c>
      <c r="G1268" s="101"/>
      <c r="H1268" s="91">
        <f t="shared" si="98"/>
        <v>0</v>
      </c>
      <c r="I1268" s="91" t="str">
        <f t="shared" si="99"/>
        <v/>
      </c>
      <c r="J1268" s="91" t="str">
        <f t="shared" si="100"/>
        <v/>
      </c>
      <c r="K1268" s="92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2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58"/>
      <c r="U1268" s="217" t="str">
        <f t="shared" si="101"/>
        <v/>
      </c>
      <c r="V1268" s="215" t="s">
        <v>47</v>
      </c>
      <c r="W1268" s="102" t="s">
        <v>136</v>
      </c>
      <c r="X1268" s="102" t="s">
        <v>137</v>
      </c>
      <c r="Y1268" s="103" t="s">
        <v>138</v>
      </c>
      <c r="Z1268" s="103" t="s">
        <v>139</v>
      </c>
      <c r="AA1268" s="103" t="s">
        <v>47</v>
      </c>
      <c r="AB1268" s="103" t="s">
        <v>140</v>
      </c>
      <c r="AC1268" s="104" t="s">
        <v>141</v>
      </c>
    </row>
    <row r="1269" spans="1:29" ht="25.5" customHeight="1" x14ac:dyDescent="0.35">
      <c r="A1269" s="188"/>
      <c r="B1269" s="190"/>
      <c r="C1269" s="99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0"/>
      <c r="E1269" s="78" t="str">
        <f>IF(C1269="","",IFERROR(VLOOKUP(C1269,parametros!$A$11:$E$15,5,0),""))</f>
        <v/>
      </c>
      <c r="F1269" s="79" t="str">
        <f t="shared" si="97"/>
        <v/>
      </c>
      <c r="G1269" s="101"/>
      <c r="H1269" s="91">
        <f t="shared" si="98"/>
        <v>0</v>
      </c>
      <c r="I1269" s="91" t="str">
        <f t="shared" si="99"/>
        <v/>
      </c>
      <c r="J1269" s="91" t="str">
        <f t="shared" si="100"/>
        <v/>
      </c>
      <c r="K1269" s="92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2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58"/>
      <c r="U1269" s="217" t="str">
        <f t="shared" si="101"/>
        <v/>
      </c>
      <c r="V1269" s="215" t="s">
        <v>47</v>
      </c>
      <c r="W1269" s="102" t="s">
        <v>136</v>
      </c>
      <c r="X1269" s="102" t="s">
        <v>137</v>
      </c>
      <c r="Y1269" s="103" t="s">
        <v>138</v>
      </c>
      <c r="Z1269" s="103" t="s">
        <v>139</v>
      </c>
      <c r="AA1269" s="103" t="s">
        <v>47</v>
      </c>
      <c r="AB1269" s="103" t="s">
        <v>140</v>
      </c>
      <c r="AC1269" s="104" t="s">
        <v>141</v>
      </c>
    </row>
    <row r="1270" spans="1:29" ht="25.5" customHeight="1" x14ac:dyDescent="0.35">
      <c r="A1270" s="188"/>
      <c r="B1270" s="190"/>
      <c r="C1270" s="99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0"/>
      <c r="E1270" s="78" t="str">
        <f>IF(C1270="","",IFERROR(VLOOKUP(C1270,parametros!$A$11:$E$15,5,0),""))</f>
        <v/>
      </c>
      <c r="F1270" s="79" t="str">
        <f t="shared" si="97"/>
        <v/>
      </c>
      <c r="G1270" s="101"/>
      <c r="H1270" s="91">
        <f t="shared" si="98"/>
        <v>0</v>
      </c>
      <c r="I1270" s="91" t="str">
        <f t="shared" si="99"/>
        <v/>
      </c>
      <c r="J1270" s="91" t="str">
        <f t="shared" si="100"/>
        <v/>
      </c>
      <c r="K1270" s="92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2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58"/>
      <c r="U1270" s="217" t="str">
        <f t="shared" si="101"/>
        <v/>
      </c>
      <c r="V1270" s="215" t="s">
        <v>47</v>
      </c>
      <c r="W1270" s="102" t="s">
        <v>136</v>
      </c>
      <c r="X1270" s="102" t="s">
        <v>137</v>
      </c>
      <c r="Y1270" s="103" t="s">
        <v>138</v>
      </c>
      <c r="Z1270" s="103" t="s">
        <v>139</v>
      </c>
      <c r="AA1270" s="103" t="s">
        <v>47</v>
      </c>
      <c r="AB1270" s="103" t="s">
        <v>140</v>
      </c>
      <c r="AC1270" s="104" t="s">
        <v>141</v>
      </c>
    </row>
    <row r="1271" spans="1:29" ht="25.5" customHeight="1" x14ac:dyDescent="0.35">
      <c r="A1271" s="188"/>
      <c r="B1271" s="190"/>
      <c r="C1271" s="99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0"/>
      <c r="E1271" s="78" t="str">
        <f>IF(C1271="","",IFERROR(VLOOKUP(C1271,parametros!$A$11:$E$15,5,0),""))</f>
        <v/>
      </c>
      <c r="F1271" s="79" t="str">
        <f t="shared" si="97"/>
        <v/>
      </c>
      <c r="G1271" s="101"/>
      <c r="H1271" s="91">
        <f t="shared" si="98"/>
        <v>0</v>
      </c>
      <c r="I1271" s="91" t="str">
        <f t="shared" si="99"/>
        <v/>
      </c>
      <c r="J1271" s="91" t="str">
        <f t="shared" si="100"/>
        <v/>
      </c>
      <c r="K1271" s="92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2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58"/>
      <c r="U1271" s="217" t="str">
        <f t="shared" si="101"/>
        <v/>
      </c>
      <c r="V1271" s="215" t="s">
        <v>47</v>
      </c>
      <c r="W1271" s="102" t="s">
        <v>136</v>
      </c>
      <c r="X1271" s="102" t="s">
        <v>137</v>
      </c>
      <c r="Y1271" s="103" t="s">
        <v>138</v>
      </c>
      <c r="Z1271" s="103" t="s">
        <v>139</v>
      </c>
      <c r="AA1271" s="103" t="s">
        <v>47</v>
      </c>
      <c r="AB1271" s="103" t="s">
        <v>140</v>
      </c>
      <c r="AC1271" s="104" t="s">
        <v>141</v>
      </c>
    </row>
    <row r="1272" spans="1:29" ht="25.5" customHeight="1" x14ac:dyDescent="0.35">
      <c r="A1272" s="188"/>
      <c r="B1272" s="190"/>
      <c r="C1272" s="99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0"/>
      <c r="E1272" s="78" t="str">
        <f>IF(C1272="","",IFERROR(VLOOKUP(C1272,parametros!$A$11:$E$15,5,0),""))</f>
        <v/>
      </c>
      <c r="F1272" s="79" t="str">
        <f t="shared" si="97"/>
        <v/>
      </c>
      <c r="G1272" s="101"/>
      <c r="H1272" s="91">
        <f t="shared" si="98"/>
        <v>0</v>
      </c>
      <c r="I1272" s="91" t="str">
        <f t="shared" si="99"/>
        <v/>
      </c>
      <c r="J1272" s="91" t="str">
        <f t="shared" si="100"/>
        <v/>
      </c>
      <c r="K1272" s="92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2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58"/>
      <c r="U1272" s="217" t="str">
        <f t="shared" si="101"/>
        <v/>
      </c>
      <c r="V1272" s="215" t="s">
        <v>47</v>
      </c>
      <c r="W1272" s="102" t="s">
        <v>136</v>
      </c>
      <c r="X1272" s="102" t="s">
        <v>137</v>
      </c>
      <c r="Y1272" s="103" t="s">
        <v>138</v>
      </c>
      <c r="Z1272" s="103" t="s">
        <v>139</v>
      </c>
      <c r="AA1272" s="103" t="s">
        <v>47</v>
      </c>
      <c r="AB1272" s="103" t="s">
        <v>140</v>
      </c>
      <c r="AC1272" s="104" t="s">
        <v>141</v>
      </c>
    </row>
    <row r="1273" spans="1:29" ht="25.5" customHeight="1" x14ac:dyDescent="0.35">
      <c r="A1273" s="188"/>
      <c r="B1273" s="190"/>
      <c r="C1273" s="99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0"/>
      <c r="E1273" s="78" t="str">
        <f>IF(C1273="","",IFERROR(VLOOKUP(C1273,parametros!$A$11:$E$15,5,0),""))</f>
        <v/>
      </c>
      <c r="F1273" s="79" t="str">
        <f t="shared" si="97"/>
        <v/>
      </c>
      <c r="G1273" s="101"/>
      <c r="H1273" s="91">
        <f t="shared" si="98"/>
        <v>0</v>
      </c>
      <c r="I1273" s="91" t="str">
        <f t="shared" si="99"/>
        <v/>
      </c>
      <c r="J1273" s="91" t="str">
        <f t="shared" si="100"/>
        <v/>
      </c>
      <c r="K1273" s="92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2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58"/>
      <c r="U1273" s="217" t="str">
        <f t="shared" si="101"/>
        <v/>
      </c>
      <c r="V1273" s="215" t="s">
        <v>47</v>
      </c>
      <c r="W1273" s="102" t="s">
        <v>136</v>
      </c>
      <c r="X1273" s="102" t="s">
        <v>137</v>
      </c>
      <c r="Y1273" s="103" t="s">
        <v>138</v>
      </c>
      <c r="Z1273" s="103" t="s">
        <v>139</v>
      </c>
      <c r="AA1273" s="103" t="s">
        <v>47</v>
      </c>
      <c r="AB1273" s="103" t="s">
        <v>140</v>
      </c>
      <c r="AC1273" s="104" t="s">
        <v>141</v>
      </c>
    </row>
    <row r="1274" spans="1:29" ht="25.5" customHeight="1" x14ac:dyDescent="0.35">
      <c r="A1274" s="188"/>
      <c r="B1274" s="190"/>
      <c r="C1274" s="99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0"/>
      <c r="E1274" s="78" t="str">
        <f>IF(C1274="","",IFERROR(VLOOKUP(C1274,parametros!$A$11:$E$15,5,0),""))</f>
        <v/>
      </c>
      <c r="F1274" s="79" t="str">
        <f t="shared" si="97"/>
        <v/>
      </c>
      <c r="G1274" s="101"/>
      <c r="H1274" s="91">
        <f t="shared" si="98"/>
        <v>0</v>
      </c>
      <c r="I1274" s="91" t="str">
        <f t="shared" si="99"/>
        <v/>
      </c>
      <c r="J1274" s="91" t="str">
        <f t="shared" si="100"/>
        <v/>
      </c>
      <c r="K1274" s="92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2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58"/>
      <c r="U1274" s="217" t="str">
        <f t="shared" si="101"/>
        <v/>
      </c>
      <c r="V1274" s="215" t="s">
        <v>47</v>
      </c>
      <c r="W1274" s="102" t="s">
        <v>136</v>
      </c>
      <c r="X1274" s="102" t="s">
        <v>137</v>
      </c>
      <c r="Y1274" s="103" t="s">
        <v>138</v>
      </c>
      <c r="Z1274" s="103" t="s">
        <v>139</v>
      </c>
      <c r="AA1274" s="103" t="s">
        <v>47</v>
      </c>
      <c r="AB1274" s="103" t="s">
        <v>140</v>
      </c>
      <c r="AC1274" s="104" t="s">
        <v>141</v>
      </c>
    </row>
    <row r="1275" spans="1:29" ht="25.5" customHeight="1" x14ac:dyDescent="0.35">
      <c r="A1275" s="188"/>
      <c r="B1275" s="190"/>
      <c r="C1275" s="99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0"/>
      <c r="E1275" s="78" t="str">
        <f>IF(C1275="","",IFERROR(VLOOKUP(C1275,parametros!$A$11:$E$15,5,0),""))</f>
        <v/>
      </c>
      <c r="F1275" s="79" t="str">
        <f t="shared" si="97"/>
        <v/>
      </c>
      <c r="G1275" s="101"/>
      <c r="H1275" s="91">
        <f t="shared" si="98"/>
        <v>0</v>
      </c>
      <c r="I1275" s="91" t="str">
        <f t="shared" si="99"/>
        <v/>
      </c>
      <c r="J1275" s="91" t="str">
        <f t="shared" si="100"/>
        <v/>
      </c>
      <c r="K1275" s="92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2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58"/>
      <c r="U1275" s="217" t="str">
        <f t="shared" si="101"/>
        <v/>
      </c>
      <c r="V1275" s="215" t="s">
        <v>47</v>
      </c>
      <c r="W1275" s="102" t="s">
        <v>136</v>
      </c>
      <c r="X1275" s="102" t="s">
        <v>137</v>
      </c>
      <c r="Y1275" s="103" t="s">
        <v>138</v>
      </c>
      <c r="Z1275" s="103" t="s">
        <v>139</v>
      </c>
      <c r="AA1275" s="103" t="s">
        <v>47</v>
      </c>
      <c r="AB1275" s="103" t="s">
        <v>140</v>
      </c>
      <c r="AC1275" s="104" t="s">
        <v>141</v>
      </c>
    </row>
    <row r="1276" spans="1:29" ht="25.5" customHeight="1" x14ac:dyDescent="0.35">
      <c r="A1276" s="188"/>
      <c r="B1276" s="190"/>
      <c r="C1276" s="99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0"/>
      <c r="E1276" s="78" t="str">
        <f>IF(C1276="","",IFERROR(VLOOKUP(C1276,parametros!$A$11:$E$15,5,0),""))</f>
        <v/>
      </c>
      <c r="F1276" s="79" t="str">
        <f t="shared" si="97"/>
        <v/>
      </c>
      <c r="G1276" s="101"/>
      <c r="H1276" s="91">
        <f t="shared" si="98"/>
        <v>0</v>
      </c>
      <c r="I1276" s="91" t="str">
        <f t="shared" si="99"/>
        <v/>
      </c>
      <c r="J1276" s="91" t="str">
        <f t="shared" si="100"/>
        <v/>
      </c>
      <c r="K1276" s="92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2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58"/>
      <c r="U1276" s="217" t="str">
        <f t="shared" si="101"/>
        <v/>
      </c>
      <c r="V1276" s="215" t="s">
        <v>47</v>
      </c>
      <c r="W1276" s="102" t="s">
        <v>136</v>
      </c>
      <c r="X1276" s="102" t="s">
        <v>137</v>
      </c>
      <c r="Y1276" s="103" t="s">
        <v>138</v>
      </c>
      <c r="Z1276" s="103" t="s">
        <v>139</v>
      </c>
      <c r="AA1276" s="103" t="s">
        <v>47</v>
      </c>
      <c r="AB1276" s="103" t="s">
        <v>140</v>
      </c>
      <c r="AC1276" s="104" t="s">
        <v>141</v>
      </c>
    </row>
    <row r="1277" spans="1:29" ht="25.5" customHeight="1" x14ac:dyDescent="0.35">
      <c r="A1277" s="188"/>
      <c r="B1277" s="190"/>
      <c r="C1277" s="99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0"/>
      <c r="E1277" s="78" t="str">
        <f>IF(C1277="","",IFERROR(VLOOKUP(C1277,parametros!$A$11:$E$15,5,0),""))</f>
        <v/>
      </c>
      <c r="F1277" s="79" t="str">
        <f t="shared" si="97"/>
        <v/>
      </c>
      <c r="G1277" s="101"/>
      <c r="H1277" s="91">
        <f t="shared" si="98"/>
        <v>0</v>
      </c>
      <c r="I1277" s="91" t="str">
        <f t="shared" si="99"/>
        <v/>
      </c>
      <c r="J1277" s="91" t="str">
        <f t="shared" si="100"/>
        <v/>
      </c>
      <c r="K1277" s="92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2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58"/>
      <c r="U1277" s="217" t="str">
        <f t="shared" si="101"/>
        <v/>
      </c>
      <c r="V1277" s="215" t="s">
        <v>47</v>
      </c>
      <c r="W1277" s="102" t="s">
        <v>136</v>
      </c>
      <c r="X1277" s="102" t="s">
        <v>137</v>
      </c>
      <c r="Y1277" s="103" t="s">
        <v>138</v>
      </c>
      <c r="Z1277" s="103" t="s">
        <v>139</v>
      </c>
      <c r="AA1277" s="103" t="s">
        <v>47</v>
      </c>
      <c r="AB1277" s="103" t="s">
        <v>140</v>
      </c>
      <c r="AC1277" s="104" t="s">
        <v>141</v>
      </c>
    </row>
    <row r="1278" spans="1:29" ht="25.5" customHeight="1" x14ac:dyDescent="0.35">
      <c r="A1278" s="188"/>
      <c r="B1278" s="190"/>
      <c r="C1278" s="99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0"/>
      <c r="E1278" s="78" t="str">
        <f>IF(C1278="","",IFERROR(VLOOKUP(C1278,parametros!$A$11:$E$15,5,0),""))</f>
        <v/>
      </c>
      <c r="F1278" s="79" t="str">
        <f t="shared" si="97"/>
        <v/>
      </c>
      <c r="G1278" s="101"/>
      <c r="H1278" s="91">
        <f t="shared" si="98"/>
        <v>0</v>
      </c>
      <c r="I1278" s="91" t="str">
        <f t="shared" si="99"/>
        <v/>
      </c>
      <c r="J1278" s="91" t="str">
        <f t="shared" si="100"/>
        <v/>
      </c>
      <c r="K1278" s="92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2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58"/>
      <c r="U1278" s="217" t="str">
        <f t="shared" si="101"/>
        <v/>
      </c>
      <c r="V1278" s="215" t="s">
        <v>47</v>
      </c>
      <c r="W1278" s="102" t="s">
        <v>136</v>
      </c>
      <c r="X1278" s="102" t="s">
        <v>137</v>
      </c>
      <c r="Y1278" s="103" t="s">
        <v>138</v>
      </c>
      <c r="Z1278" s="103" t="s">
        <v>139</v>
      </c>
      <c r="AA1278" s="103" t="s">
        <v>47</v>
      </c>
      <c r="AB1278" s="103" t="s">
        <v>140</v>
      </c>
      <c r="AC1278" s="104" t="s">
        <v>141</v>
      </c>
    </row>
    <row r="1279" spans="1:29" ht="25.5" customHeight="1" x14ac:dyDescent="0.35">
      <c r="A1279" s="188"/>
      <c r="B1279" s="190"/>
      <c r="C1279" s="99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0"/>
      <c r="E1279" s="78" t="str">
        <f>IF(C1279="","",IFERROR(VLOOKUP(C1279,parametros!$A$11:$E$15,5,0),""))</f>
        <v/>
      </c>
      <c r="F1279" s="79" t="str">
        <f t="shared" si="97"/>
        <v/>
      </c>
      <c r="G1279" s="101"/>
      <c r="H1279" s="91">
        <f t="shared" si="98"/>
        <v>0</v>
      </c>
      <c r="I1279" s="91" t="str">
        <f t="shared" si="99"/>
        <v/>
      </c>
      <c r="J1279" s="91" t="str">
        <f t="shared" si="100"/>
        <v/>
      </c>
      <c r="K1279" s="92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2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58"/>
      <c r="U1279" s="217" t="str">
        <f t="shared" si="101"/>
        <v/>
      </c>
      <c r="V1279" s="215" t="s">
        <v>47</v>
      </c>
      <c r="W1279" s="102" t="s">
        <v>136</v>
      </c>
      <c r="X1279" s="102" t="s">
        <v>137</v>
      </c>
      <c r="Y1279" s="103" t="s">
        <v>138</v>
      </c>
      <c r="Z1279" s="103" t="s">
        <v>139</v>
      </c>
      <c r="AA1279" s="103" t="s">
        <v>47</v>
      </c>
      <c r="AB1279" s="103" t="s">
        <v>140</v>
      </c>
      <c r="AC1279" s="104" t="s">
        <v>141</v>
      </c>
    </row>
    <row r="1280" spans="1:29" ht="25.5" customHeight="1" x14ac:dyDescent="0.35">
      <c r="A1280" s="188"/>
      <c r="B1280" s="190"/>
      <c r="C1280" s="99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0"/>
      <c r="E1280" s="78" t="str">
        <f>IF(C1280="","",IFERROR(VLOOKUP(C1280,parametros!$A$11:$E$15,5,0),""))</f>
        <v/>
      </c>
      <c r="F1280" s="79" t="str">
        <f t="shared" si="97"/>
        <v/>
      </c>
      <c r="G1280" s="101"/>
      <c r="H1280" s="91">
        <f t="shared" si="98"/>
        <v>0</v>
      </c>
      <c r="I1280" s="91" t="str">
        <f t="shared" si="99"/>
        <v/>
      </c>
      <c r="J1280" s="91" t="str">
        <f t="shared" si="100"/>
        <v/>
      </c>
      <c r="K1280" s="92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2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58"/>
      <c r="U1280" s="217" t="str">
        <f t="shared" si="101"/>
        <v/>
      </c>
      <c r="V1280" s="215" t="s">
        <v>47</v>
      </c>
      <c r="W1280" s="102" t="s">
        <v>136</v>
      </c>
      <c r="X1280" s="102" t="s">
        <v>137</v>
      </c>
      <c r="Y1280" s="103" t="s">
        <v>138</v>
      </c>
      <c r="Z1280" s="103" t="s">
        <v>139</v>
      </c>
      <c r="AA1280" s="103" t="s">
        <v>47</v>
      </c>
      <c r="AB1280" s="103" t="s">
        <v>140</v>
      </c>
      <c r="AC1280" s="104" t="s">
        <v>141</v>
      </c>
    </row>
    <row r="1281" spans="1:29" ht="25.5" customHeight="1" x14ac:dyDescent="0.35">
      <c r="A1281" s="188"/>
      <c r="B1281" s="190"/>
      <c r="C1281" s="99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0"/>
      <c r="E1281" s="78" t="str">
        <f>IF(C1281="","",IFERROR(VLOOKUP(C1281,parametros!$A$11:$E$15,5,0),""))</f>
        <v/>
      </c>
      <c r="F1281" s="79" t="str">
        <f t="shared" si="97"/>
        <v/>
      </c>
      <c r="G1281" s="101"/>
      <c r="H1281" s="91">
        <f t="shared" si="98"/>
        <v>0</v>
      </c>
      <c r="I1281" s="91" t="str">
        <f t="shared" si="99"/>
        <v/>
      </c>
      <c r="J1281" s="91" t="str">
        <f t="shared" si="100"/>
        <v/>
      </c>
      <c r="K1281" s="92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2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58"/>
      <c r="U1281" s="217" t="str">
        <f t="shared" si="101"/>
        <v/>
      </c>
      <c r="V1281" s="215" t="s">
        <v>47</v>
      </c>
      <c r="W1281" s="102" t="s">
        <v>136</v>
      </c>
      <c r="X1281" s="102" t="s">
        <v>137</v>
      </c>
      <c r="Y1281" s="103" t="s">
        <v>138</v>
      </c>
      <c r="Z1281" s="103" t="s">
        <v>139</v>
      </c>
      <c r="AA1281" s="103" t="s">
        <v>47</v>
      </c>
      <c r="AB1281" s="103" t="s">
        <v>140</v>
      </c>
      <c r="AC1281" s="104" t="s">
        <v>141</v>
      </c>
    </row>
    <row r="1282" spans="1:29" ht="25.5" customHeight="1" x14ac:dyDescent="0.35">
      <c r="A1282" s="188"/>
      <c r="B1282" s="190"/>
      <c r="C1282" s="99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0"/>
      <c r="E1282" s="78" t="str">
        <f>IF(C1282="","",IFERROR(VLOOKUP(C1282,parametros!$A$11:$E$15,5,0),""))</f>
        <v/>
      </c>
      <c r="F1282" s="79" t="str">
        <f t="shared" ref="F1282:F1345" si="102">IF(OR(D1282="",E1282=""),"",ROUND(D1282*E1282,2))</f>
        <v/>
      </c>
      <c r="G1282" s="101"/>
      <c r="H1282" s="91">
        <f t="shared" ref="H1282:H1345" si="103">IF(G1282="Sim",IF(OR(F1282="",D1282="",L1282=""),"",IF(L1282="Sim",ROUND(F1282-D1282,2),0)),0)</f>
        <v>0</v>
      </c>
      <c r="I1282" s="91" t="str">
        <f t="shared" ref="I1282:I1345" si="104">IF(G1282="Sim",0,IF(OR(F1282="",L1282=""),"",F1282))</f>
        <v/>
      </c>
      <c r="J1282" s="91" t="str">
        <f t="shared" ref="J1282:J1345" si="105">IF(G1282="Sim",0,IF(OR(F1282="",D1282="",L1282=""),"",IF(L1282="Sim",ROUND(F1282-D1282,2),0)))</f>
        <v/>
      </c>
      <c r="K1282" s="92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2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58"/>
      <c r="U1282" s="217" t="str">
        <f t="shared" ref="U1282:U1345" si="106">IF(OR($D1282="",$H1282=""),"",ROUND($D1282+$H1282,2))</f>
        <v/>
      </c>
      <c r="V1282" s="215" t="s">
        <v>47</v>
      </c>
      <c r="W1282" s="102" t="s">
        <v>136</v>
      </c>
      <c r="X1282" s="102" t="s">
        <v>137</v>
      </c>
      <c r="Y1282" s="103" t="s">
        <v>138</v>
      </c>
      <c r="Z1282" s="103" t="s">
        <v>139</v>
      </c>
      <c r="AA1282" s="103" t="s">
        <v>47</v>
      </c>
      <c r="AB1282" s="103" t="s">
        <v>140</v>
      </c>
      <c r="AC1282" s="104" t="s">
        <v>141</v>
      </c>
    </row>
    <row r="1283" spans="1:29" ht="25.5" customHeight="1" x14ac:dyDescent="0.35">
      <c r="A1283" s="188"/>
      <c r="B1283" s="190"/>
      <c r="C1283" s="99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0"/>
      <c r="E1283" s="78" t="str">
        <f>IF(C1283="","",IFERROR(VLOOKUP(C1283,parametros!$A$11:$E$15,5,0),""))</f>
        <v/>
      </c>
      <c r="F1283" s="79" t="str">
        <f t="shared" si="102"/>
        <v/>
      </c>
      <c r="G1283" s="101"/>
      <c r="H1283" s="91">
        <f t="shared" si="103"/>
        <v>0</v>
      </c>
      <c r="I1283" s="91" t="str">
        <f t="shared" si="104"/>
        <v/>
      </c>
      <c r="J1283" s="91" t="str">
        <f t="shared" si="105"/>
        <v/>
      </c>
      <c r="K1283" s="92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2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58"/>
      <c r="U1283" s="217" t="str">
        <f t="shared" si="106"/>
        <v/>
      </c>
      <c r="V1283" s="215" t="s">
        <v>47</v>
      </c>
      <c r="W1283" s="102" t="s">
        <v>136</v>
      </c>
      <c r="X1283" s="102" t="s">
        <v>137</v>
      </c>
      <c r="Y1283" s="103" t="s">
        <v>138</v>
      </c>
      <c r="Z1283" s="103" t="s">
        <v>139</v>
      </c>
      <c r="AA1283" s="103" t="s">
        <v>47</v>
      </c>
      <c r="AB1283" s="103" t="s">
        <v>140</v>
      </c>
      <c r="AC1283" s="104" t="s">
        <v>141</v>
      </c>
    </row>
    <row r="1284" spans="1:29" ht="25.5" customHeight="1" x14ac:dyDescent="0.35">
      <c r="A1284" s="188"/>
      <c r="B1284" s="190"/>
      <c r="C1284" s="99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0"/>
      <c r="E1284" s="78" t="str">
        <f>IF(C1284="","",IFERROR(VLOOKUP(C1284,parametros!$A$11:$E$15,5,0),""))</f>
        <v/>
      </c>
      <c r="F1284" s="79" t="str">
        <f t="shared" si="102"/>
        <v/>
      </c>
      <c r="G1284" s="101"/>
      <c r="H1284" s="91">
        <f t="shared" si="103"/>
        <v>0</v>
      </c>
      <c r="I1284" s="91" t="str">
        <f t="shared" si="104"/>
        <v/>
      </c>
      <c r="J1284" s="91" t="str">
        <f t="shared" si="105"/>
        <v/>
      </c>
      <c r="K1284" s="92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2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58"/>
      <c r="U1284" s="217" t="str">
        <f t="shared" si="106"/>
        <v/>
      </c>
      <c r="V1284" s="215" t="s">
        <v>47</v>
      </c>
      <c r="W1284" s="102" t="s">
        <v>136</v>
      </c>
      <c r="X1284" s="102" t="s">
        <v>137</v>
      </c>
      <c r="Y1284" s="103" t="s">
        <v>138</v>
      </c>
      <c r="Z1284" s="103" t="s">
        <v>139</v>
      </c>
      <c r="AA1284" s="103" t="s">
        <v>47</v>
      </c>
      <c r="AB1284" s="103" t="s">
        <v>140</v>
      </c>
      <c r="AC1284" s="104" t="s">
        <v>141</v>
      </c>
    </row>
    <row r="1285" spans="1:29" ht="25.5" customHeight="1" x14ac:dyDescent="0.35">
      <c r="A1285" s="188"/>
      <c r="B1285" s="190"/>
      <c r="C1285" s="99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0"/>
      <c r="E1285" s="78" t="str">
        <f>IF(C1285="","",IFERROR(VLOOKUP(C1285,parametros!$A$11:$E$15,5,0),""))</f>
        <v/>
      </c>
      <c r="F1285" s="79" t="str">
        <f t="shared" si="102"/>
        <v/>
      </c>
      <c r="G1285" s="101"/>
      <c r="H1285" s="91">
        <f t="shared" si="103"/>
        <v>0</v>
      </c>
      <c r="I1285" s="91" t="str">
        <f t="shared" si="104"/>
        <v/>
      </c>
      <c r="J1285" s="91" t="str">
        <f t="shared" si="105"/>
        <v/>
      </c>
      <c r="K1285" s="92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2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58"/>
      <c r="U1285" s="217" t="str">
        <f t="shared" si="106"/>
        <v/>
      </c>
      <c r="V1285" s="215" t="s">
        <v>47</v>
      </c>
      <c r="W1285" s="102" t="s">
        <v>136</v>
      </c>
      <c r="X1285" s="102" t="s">
        <v>137</v>
      </c>
      <c r="Y1285" s="103" t="s">
        <v>138</v>
      </c>
      <c r="Z1285" s="103" t="s">
        <v>139</v>
      </c>
      <c r="AA1285" s="103" t="s">
        <v>47</v>
      </c>
      <c r="AB1285" s="103" t="s">
        <v>140</v>
      </c>
      <c r="AC1285" s="104" t="s">
        <v>141</v>
      </c>
    </row>
    <row r="1286" spans="1:29" ht="25.5" customHeight="1" x14ac:dyDescent="0.35">
      <c r="A1286" s="188"/>
      <c r="B1286" s="190"/>
      <c r="C1286" s="99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0"/>
      <c r="E1286" s="78" t="str">
        <f>IF(C1286="","",IFERROR(VLOOKUP(C1286,parametros!$A$11:$E$15,5,0),""))</f>
        <v/>
      </c>
      <c r="F1286" s="79" t="str">
        <f t="shared" si="102"/>
        <v/>
      </c>
      <c r="G1286" s="101"/>
      <c r="H1286" s="91">
        <f t="shared" si="103"/>
        <v>0</v>
      </c>
      <c r="I1286" s="91" t="str">
        <f t="shared" si="104"/>
        <v/>
      </c>
      <c r="J1286" s="91" t="str">
        <f t="shared" si="105"/>
        <v/>
      </c>
      <c r="K1286" s="92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2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58"/>
      <c r="U1286" s="217" t="str">
        <f t="shared" si="106"/>
        <v/>
      </c>
      <c r="V1286" s="215" t="s">
        <v>47</v>
      </c>
      <c r="W1286" s="102" t="s">
        <v>136</v>
      </c>
      <c r="X1286" s="102" t="s">
        <v>137</v>
      </c>
      <c r="Y1286" s="103" t="s">
        <v>138</v>
      </c>
      <c r="Z1286" s="103" t="s">
        <v>139</v>
      </c>
      <c r="AA1286" s="103" t="s">
        <v>47</v>
      </c>
      <c r="AB1286" s="103" t="s">
        <v>140</v>
      </c>
      <c r="AC1286" s="104" t="s">
        <v>141</v>
      </c>
    </row>
    <row r="1287" spans="1:29" ht="25.5" customHeight="1" x14ac:dyDescent="0.35">
      <c r="A1287" s="188"/>
      <c r="B1287" s="190"/>
      <c r="C1287" s="99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0"/>
      <c r="E1287" s="78" t="str">
        <f>IF(C1287="","",IFERROR(VLOOKUP(C1287,parametros!$A$11:$E$15,5,0),""))</f>
        <v/>
      </c>
      <c r="F1287" s="79" t="str">
        <f t="shared" si="102"/>
        <v/>
      </c>
      <c r="G1287" s="101"/>
      <c r="H1287" s="91">
        <f t="shared" si="103"/>
        <v>0</v>
      </c>
      <c r="I1287" s="91" t="str">
        <f t="shared" si="104"/>
        <v/>
      </c>
      <c r="J1287" s="91" t="str">
        <f t="shared" si="105"/>
        <v/>
      </c>
      <c r="K1287" s="92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2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58"/>
      <c r="U1287" s="217" t="str">
        <f t="shared" si="106"/>
        <v/>
      </c>
      <c r="V1287" s="215" t="s">
        <v>47</v>
      </c>
      <c r="W1287" s="102" t="s">
        <v>136</v>
      </c>
      <c r="X1287" s="102" t="s">
        <v>137</v>
      </c>
      <c r="Y1287" s="103" t="s">
        <v>138</v>
      </c>
      <c r="Z1287" s="103" t="s">
        <v>139</v>
      </c>
      <c r="AA1287" s="103" t="s">
        <v>47</v>
      </c>
      <c r="AB1287" s="103" t="s">
        <v>140</v>
      </c>
      <c r="AC1287" s="104" t="s">
        <v>141</v>
      </c>
    </row>
    <row r="1288" spans="1:29" ht="25.5" customHeight="1" x14ac:dyDescent="0.35">
      <c r="A1288" s="188"/>
      <c r="B1288" s="190"/>
      <c r="C1288" s="99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0"/>
      <c r="E1288" s="78" t="str">
        <f>IF(C1288="","",IFERROR(VLOOKUP(C1288,parametros!$A$11:$E$15,5,0),""))</f>
        <v/>
      </c>
      <c r="F1288" s="79" t="str">
        <f t="shared" si="102"/>
        <v/>
      </c>
      <c r="G1288" s="101"/>
      <c r="H1288" s="91">
        <f t="shared" si="103"/>
        <v>0</v>
      </c>
      <c r="I1288" s="91" t="str">
        <f t="shared" si="104"/>
        <v/>
      </c>
      <c r="J1288" s="91" t="str">
        <f t="shared" si="105"/>
        <v/>
      </c>
      <c r="K1288" s="92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2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58"/>
      <c r="U1288" s="217" t="str">
        <f t="shared" si="106"/>
        <v/>
      </c>
      <c r="V1288" s="215" t="s">
        <v>47</v>
      </c>
      <c r="W1288" s="102" t="s">
        <v>136</v>
      </c>
      <c r="X1288" s="102" t="s">
        <v>137</v>
      </c>
      <c r="Y1288" s="103" t="s">
        <v>138</v>
      </c>
      <c r="Z1288" s="103" t="s">
        <v>139</v>
      </c>
      <c r="AA1288" s="103" t="s">
        <v>47</v>
      </c>
      <c r="AB1288" s="103" t="s">
        <v>140</v>
      </c>
      <c r="AC1288" s="104" t="s">
        <v>141</v>
      </c>
    </row>
    <row r="1289" spans="1:29" ht="25.5" customHeight="1" x14ac:dyDescent="0.35">
      <c r="A1289" s="188"/>
      <c r="B1289" s="190"/>
      <c r="C1289" s="99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0"/>
      <c r="E1289" s="78" t="str">
        <f>IF(C1289="","",IFERROR(VLOOKUP(C1289,parametros!$A$11:$E$15,5,0),""))</f>
        <v/>
      </c>
      <c r="F1289" s="79" t="str">
        <f t="shared" si="102"/>
        <v/>
      </c>
      <c r="G1289" s="101"/>
      <c r="H1289" s="91">
        <f t="shared" si="103"/>
        <v>0</v>
      </c>
      <c r="I1289" s="91" t="str">
        <f t="shared" si="104"/>
        <v/>
      </c>
      <c r="J1289" s="91" t="str">
        <f t="shared" si="105"/>
        <v/>
      </c>
      <c r="K1289" s="92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2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58"/>
      <c r="U1289" s="217" t="str">
        <f t="shared" si="106"/>
        <v/>
      </c>
      <c r="V1289" s="215" t="s">
        <v>47</v>
      </c>
      <c r="W1289" s="102" t="s">
        <v>136</v>
      </c>
      <c r="X1289" s="102" t="s">
        <v>137</v>
      </c>
      <c r="Y1289" s="103" t="s">
        <v>138</v>
      </c>
      <c r="Z1289" s="103" t="s">
        <v>139</v>
      </c>
      <c r="AA1289" s="103" t="s">
        <v>47</v>
      </c>
      <c r="AB1289" s="103" t="s">
        <v>140</v>
      </c>
      <c r="AC1289" s="104" t="s">
        <v>141</v>
      </c>
    </row>
    <row r="1290" spans="1:29" ht="25.5" customHeight="1" x14ac:dyDescent="0.35">
      <c r="A1290" s="188"/>
      <c r="B1290" s="190"/>
      <c r="C1290" s="99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0"/>
      <c r="E1290" s="78" t="str">
        <f>IF(C1290="","",IFERROR(VLOOKUP(C1290,parametros!$A$11:$E$15,5,0),""))</f>
        <v/>
      </c>
      <c r="F1290" s="79" t="str">
        <f t="shared" si="102"/>
        <v/>
      </c>
      <c r="G1290" s="101"/>
      <c r="H1290" s="91">
        <f t="shared" si="103"/>
        <v>0</v>
      </c>
      <c r="I1290" s="91" t="str">
        <f t="shared" si="104"/>
        <v/>
      </c>
      <c r="J1290" s="91" t="str">
        <f t="shared" si="105"/>
        <v/>
      </c>
      <c r="K1290" s="92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2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58"/>
      <c r="U1290" s="217" t="str">
        <f t="shared" si="106"/>
        <v/>
      </c>
      <c r="V1290" s="215" t="s">
        <v>47</v>
      </c>
      <c r="W1290" s="102" t="s">
        <v>136</v>
      </c>
      <c r="X1290" s="102" t="s">
        <v>137</v>
      </c>
      <c r="Y1290" s="103" t="s">
        <v>138</v>
      </c>
      <c r="Z1290" s="103" t="s">
        <v>139</v>
      </c>
      <c r="AA1290" s="103" t="s">
        <v>47</v>
      </c>
      <c r="AB1290" s="103" t="s">
        <v>140</v>
      </c>
      <c r="AC1290" s="104" t="s">
        <v>141</v>
      </c>
    </row>
    <row r="1291" spans="1:29" ht="25.5" customHeight="1" x14ac:dyDescent="0.35">
      <c r="A1291" s="188"/>
      <c r="B1291" s="190"/>
      <c r="C1291" s="99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0"/>
      <c r="E1291" s="78" t="str">
        <f>IF(C1291="","",IFERROR(VLOOKUP(C1291,parametros!$A$11:$E$15,5,0),""))</f>
        <v/>
      </c>
      <c r="F1291" s="79" t="str">
        <f t="shared" si="102"/>
        <v/>
      </c>
      <c r="G1291" s="101"/>
      <c r="H1291" s="91">
        <f t="shared" si="103"/>
        <v>0</v>
      </c>
      <c r="I1291" s="91" t="str">
        <f t="shared" si="104"/>
        <v/>
      </c>
      <c r="J1291" s="91" t="str">
        <f t="shared" si="105"/>
        <v/>
      </c>
      <c r="K1291" s="92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2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58"/>
      <c r="U1291" s="217" t="str">
        <f t="shared" si="106"/>
        <v/>
      </c>
      <c r="V1291" s="215" t="s">
        <v>47</v>
      </c>
      <c r="W1291" s="102" t="s">
        <v>136</v>
      </c>
      <c r="X1291" s="102" t="s">
        <v>137</v>
      </c>
      <c r="Y1291" s="103" t="s">
        <v>138</v>
      </c>
      <c r="Z1291" s="103" t="s">
        <v>139</v>
      </c>
      <c r="AA1291" s="103" t="s">
        <v>47</v>
      </c>
      <c r="AB1291" s="103" t="s">
        <v>140</v>
      </c>
      <c r="AC1291" s="104" t="s">
        <v>141</v>
      </c>
    </row>
    <row r="1292" spans="1:29" ht="25.5" customHeight="1" x14ac:dyDescent="0.35">
      <c r="A1292" s="188"/>
      <c r="B1292" s="190"/>
      <c r="C1292" s="99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0"/>
      <c r="E1292" s="78" t="str">
        <f>IF(C1292="","",IFERROR(VLOOKUP(C1292,parametros!$A$11:$E$15,5,0),""))</f>
        <v/>
      </c>
      <c r="F1292" s="79" t="str">
        <f t="shared" si="102"/>
        <v/>
      </c>
      <c r="G1292" s="101"/>
      <c r="H1292" s="91">
        <f t="shared" si="103"/>
        <v>0</v>
      </c>
      <c r="I1292" s="91" t="str">
        <f t="shared" si="104"/>
        <v/>
      </c>
      <c r="J1292" s="91" t="str">
        <f t="shared" si="105"/>
        <v/>
      </c>
      <c r="K1292" s="92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2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58"/>
      <c r="U1292" s="217" t="str">
        <f t="shared" si="106"/>
        <v/>
      </c>
      <c r="V1292" s="215" t="s">
        <v>47</v>
      </c>
      <c r="W1292" s="102" t="s">
        <v>136</v>
      </c>
      <c r="X1292" s="102" t="s">
        <v>137</v>
      </c>
      <c r="Y1292" s="103" t="s">
        <v>138</v>
      </c>
      <c r="Z1292" s="103" t="s">
        <v>139</v>
      </c>
      <c r="AA1292" s="103" t="s">
        <v>47</v>
      </c>
      <c r="AB1292" s="103" t="s">
        <v>140</v>
      </c>
      <c r="AC1292" s="104" t="s">
        <v>141</v>
      </c>
    </row>
    <row r="1293" spans="1:29" ht="25.5" customHeight="1" x14ac:dyDescent="0.35">
      <c r="A1293" s="188"/>
      <c r="B1293" s="190"/>
      <c r="C1293" s="99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0"/>
      <c r="E1293" s="78" t="str">
        <f>IF(C1293="","",IFERROR(VLOOKUP(C1293,parametros!$A$11:$E$15,5,0),""))</f>
        <v/>
      </c>
      <c r="F1293" s="79" t="str">
        <f t="shared" si="102"/>
        <v/>
      </c>
      <c r="G1293" s="101"/>
      <c r="H1293" s="91">
        <f t="shared" si="103"/>
        <v>0</v>
      </c>
      <c r="I1293" s="91" t="str">
        <f t="shared" si="104"/>
        <v/>
      </c>
      <c r="J1293" s="91" t="str">
        <f t="shared" si="105"/>
        <v/>
      </c>
      <c r="K1293" s="92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2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58"/>
      <c r="U1293" s="217" t="str">
        <f t="shared" si="106"/>
        <v/>
      </c>
      <c r="V1293" s="215" t="s">
        <v>47</v>
      </c>
      <c r="W1293" s="102" t="s">
        <v>136</v>
      </c>
      <c r="X1293" s="102" t="s">
        <v>137</v>
      </c>
      <c r="Y1293" s="103" t="s">
        <v>138</v>
      </c>
      <c r="Z1293" s="103" t="s">
        <v>139</v>
      </c>
      <c r="AA1293" s="103" t="s">
        <v>47</v>
      </c>
      <c r="AB1293" s="103" t="s">
        <v>140</v>
      </c>
      <c r="AC1293" s="104" t="s">
        <v>141</v>
      </c>
    </row>
    <row r="1294" spans="1:29" ht="25.5" customHeight="1" x14ac:dyDescent="0.35">
      <c r="A1294" s="188"/>
      <c r="B1294" s="190"/>
      <c r="C1294" s="99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0"/>
      <c r="E1294" s="78" t="str">
        <f>IF(C1294="","",IFERROR(VLOOKUP(C1294,parametros!$A$11:$E$15,5,0),""))</f>
        <v/>
      </c>
      <c r="F1294" s="79" t="str">
        <f t="shared" si="102"/>
        <v/>
      </c>
      <c r="G1294" s="101"/>
      <c r="H1294" s="91">
        <f t="shared" si="103"/>
        <v>0</v>
      </c>
      <c r="I1294" s="91" t="str">
        <f t="shared" si="104"/>
        <v/>
      </c>
      <c r="J1294" s="91" t="str">
        <f t="shared" si="105"/>
        <v/>
      </c>
      <c r="K1294" s="92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2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58"/>
      <c r="U1294" s="217" t="str">
        <f t="shared" si="106"/>
        <v/>
      </c>
      <c r="V1294" s="215" t="s">
        <v>47</v>
      </c>
      <c r="W1294" s="102" t="s">
        <v>136</v>
      </c>
      <c r="X1294" s="102" t="s">
        <v>137</v>
      </c>
      <c r="Y1294" s="103" t="s">
        <v>138</v>
      </c>
      <c r="Z1294" s="103" t="s">
        <v>139</v>
      </c>
      <c r="AA1294" s="103" t="s">
        <v>47</v>
      </c>
      <c r="AB1294" s="103" t="s">
        <v>140</v>
      </c>
      <c r="AC1294" s="104" t="s">
        <v>141</v>
      </c>
    </row>
    <row r="1295" spans="1:29" ht="25.5" customHeight="1" x14ac:dyDescent="0.35">
      <c r="A1295" s="188"/>
      <c r="B1295" s="190"/>
      <c r="C1295" s="99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0"/>
      <c r="E1295" s="78" t="str">
        <f>IF(C1295="","",IFERROR(VLOOKUP(C1295,parametros!$A$11:$E$15,5,0),""))</f>
        <v/>
      </c>
      <c r="F1295" s="79" t="str">
        <f t="shared" si="102"/>
        <v/>
      </c>
      <c r="G1295" s="101"/>
      <c r="H1295" s="91">
        <f t="shared" si="103"/>
        <v>0</v>
      </c>
      <c r="I1295" s="91" t="str">
        <f t="shared" si="104"/>
        <v/>
      </c>
      <c r="J1295" s="91" t="str">
        <f t="shared" si="105"/>
        <v/>
      </c>
      <c r="K1295" s="92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2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58"/>
      <c r="U1295" s="217" t="str">
        <f t="shared" si="106"/>
        <v/>
      </c>
      <c r="V1295" s="215" t="s">
        <v>47</v>
      </c>
      <c r="W1295" s="102" t="s">
        <v>136</v>
      </c>
      <c r="X1295" s="102" t="s">
        <v>137</v>
      </c>
      <c r="Y1295" s="103" t="s">
        <v>138</v>
      </c>
      <c r="Z1295" s="103" t="s">
        <v>139</v>
      </c>
      <c r="AA1295" s="103" t="s">
        <v>47</v>
      </c>
      <c r="AB1295" s="103" t="s">
        <v>140</v>
      </c>
      <c r="AC1295" s="104" t="s">
        <v>141</v>
      </c>
    </row>
    <row r="1296" spans="1:29" ht="25.5" customHeight="1" x14ac:dyDescent="0.35">
      <c r="A1296" s="188"/>
      <c r="B1296" s="190"/>
      <c r="C1296" s="99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0"/>
      <c r="E1296" s="78" t="str">
        <f>IF(C1296="","",IFERROR(VLOOKUP(C1296,parametros!$A$11:$E$15,5,0),""))</f>
        <v/>
      </c>
      <c r="F1296" s="79" t="str">
        <f t="shared" si="102"/>
        <v/>
      </c>
      <c r="G1296" s="101"/>
      <c r="H1296" s="91">
        <f t="shared" si="103"/>
        <v>0</v>
      </c>
      <c r="I1296" s="91" t="str">
        <f t="shared" si="104"/>
        <v/>
      </c>
      <c r="J1296" s="91" t="str">
        <f t="shared" si="105"/>
        <v/>
      </c>
      <c r="K1296" s="92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2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58"/>
      <c r="U1296" s="217" t="str">
        <f t="shared" si="106"/>
        <v/>
      </c>
      <c r="V1296" s="215" t="s">
        <v>47</v>
      </c>
      <c r="W1296" s="102" t="s">
        <v>136</v>
      </c>
      <c r="X1296" s="102" t="s">
        <v>137</v>
      </c>
      <c r="Y1296" s="103" t="s">
        <v>138</v>
      </c>
      <c r="Z1296" s="103" t="s">
        <v>139</v>
      </c>
      <c r="AA1296" s="103" t="s">
        <v>47</v>
      </c>
      <c r="AB1296" s="103" t="s">
        <v>140</v>
      </c>
      <c r="AC1296" s="104" t="s">
        <v>141</v>
      </c>
    </row>
    <row r="1297" spans="1:29" ht="25.5" customHeight="1" x14ac:dyDescent="0.35">
      <c r="A1297" s="188"/>
      <c r="B1297" s="190"/>
      <c r="C1297" s="99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0"/>
      <c r="E1297" s="78" t="str">
        <f>IF(C1297="","",IFERROR(VLOOKUP(C1297,parametros!$A$11:$E$15,5,0),""))</f>
        <v/>
      </c>
      <c r="F1297" s="79" t="str">
        <f t="shared" si="102"/>
        <v/>
      </c>
      <c r="G1297" s="101"/>
      <c r="H1297" s="91">
        <f t="shared" si="103"/>
        <v>0</v>
      </c>
      <c r="I1297" s="91" t="str">
        <f t="shared" si="104"/>
        <v/>
      </c>
      <c r="J1297" s="91" t="str">
        <f t="shared" si="105"/>
        <v/>
      </c>
      <c r="K1297" s="92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2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58"/>
      <c r="U1297" s="217" t="str">
        <f t="shared" si="106"/>
        <v/>
      </c>
      <c r="V1297" s="215" t="s">
        <v>47</v>
      </c>
      <c r="W1297" s="102" t="s">
        <v>136</v>
      </c>
      <c r="X1297" s="102" t="s">
        <v>137</v>
      </c>
      <c r="Y1297" s="103" t="s">
        <v>138</v>
      </c>
      <c r="Z1297" s="103" t="s">
        <v>139</v>
      </c>
      <c r="AA1297" s="103" t="s">
        <v>47</v>
      </c>
      <c r="AB1297" s="103" t="s">
        <v>140</v>
      </c>
      <c r="AC1297" s="104" t="s">
        <v>141</v>
      </c>
    </row>
    <row r="1298" spans="1:29" ht="25.5" customHeight="1" x14ac:dyDescent="0.35">
      <c r="A1298" s="188"/>
      <c r="B1298" s="190"/>
      <c r="C1298" s="99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0"/>
      <c r="E1298" s="78" t="str">
        <f>IF(C1298="","",IFERROR(VLOOKUP(C1298,parametros!$A$11:$E$15,5,0),""))</f>
        <v/>
      </c>
      <c r="F1298" s="79" t="str">
        <f t="shared" si="102"/>
        <v/>
      </c>
      <c r="G1298" s="101"/>
      <c r="H1298" s="91">
        <f t="shared" si="103"/>
        <v>0</v>
      </c>
      <c r="I1298" s="91" t="str">
        <f t="shared" si="104"/>
        <v/>
      </c>
      <c r="J1298" s="91" t="str">
        <f t="shared" si="105"/>
        <v/>
      </c>
      <c r="K1298" s="92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2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58"/>
      <c r="U1298" s="217" t="str">
        <f t="shared" si="106"/>
        <v/>
      </c>
      <c r="V1298" s="215" t="s">
        <v>47</v>
      </c>
      <c r="W1298" s="102" t="s">
        <v>136</v>
      </c>
      <c r="X1298" s="102" t="s">
        <v>137</v>
      </c>
      <c r="Y1298" s="103" t="s">
        <v>138</v>
      </c>
      <c r="Z1298" s="103" t="s">
        <v>139</v>
      </c>
      <c r="AA1298" s="103" t="s">
        <v>47</v>
      </c>
      <c r="AB1298" s="103" t="s">
        <v>140</v>
      </c>
      <c r="AC1298" s="104" t="s">
        <v>141</v>
      </c>
    </row>
    <row r="1299" spans="1:29" ht="25.5" customHeight="1" x14ac:dyDescent="0.35">
      <c r="A1299" s="188"/>
      <c r="B1299" s="190"/>
      <c r="C1299" s="99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0"/>
      <c r="E1299" s="78" t="str">
        <f>IF(C1299="","",IFERROR(VLOOKUP(C1299,parametros!$A$11:$E$15,5,0),""))</f>
        <v/>
      </c>
      <c r="F1299" s="79" t="str">
        <f t="shared" si="102"/>
        <v/>
      </c>
      <c r="G1299" s="101"/>
      <c r="H1299" s="91">
        <f t="shared" si="103"/>
        <v>0</v>
      </c>
      <c r="I1299" s="91" t="str">
        <f t="shared" si="104"/>
        <v/>
      </c>
      <c r="J1299" s="91" t="str">
        <f t="shared" si="105"/>
        <v/>
      </c>
      <c r="K1299" s="92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2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58"/>
      <c r="U1299" s="217" t="str">
        <f t="shared" si="106"/>
        <v/>
      </c>
      <c r="V1299" s="215" t="s">
        <v>47</v>
      </c>
      <c r="W1299" s="102" t="s">
        <v>136</v>
      </c>
      <c r="X1299" s="102" t="s">
        <v>137</v>
      </c>
      <c r="Y1299" s="103" t="s">
        <v>138</v>
      </c>
      <c r="Z1299" s="103" t="s">
        <v>139</v>
      </c>
      <c r="AA1299" s="103" t="s">
        <v>47</v>
      </c>
      <c r="AB1299" s="103" t="s">
        <v>140</v>
      </c>
      <c r="AC1299" s="104" t="s">
        <v>141</v>
      </c>
    </row>
    <row r="1300" spans="1:29" ht="25.5" customHeight="1" x14ac:dyDescent="0.35">
      <c r="A1300" s="188"/>
      <c r="B1300" s="190"/>
      <c r="C1300" s="99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0"/>
      <c r="E1300" s="78" t="str">
        <f>IF(C1300="","",IFERROR(VLOOKUP(C1300,parametros!$A$11:$E$15,5,0),""))</f>
        <v/>
      </c>
      <c r="F1300" s="79" t="str">
        <f t="shared" si="102"/>
        <v/>
      </c>
      <c r="G1300" s="101"/>
      <c r="H1300" s="91">
        <f t="shared" si="103"/>
        <v>0</v>
      </c>
      <c r="I1300" s="91" t="str">
        <f t="shared" si="104"/>
        <v/>
      </c>
      <c r="J1300" s="91" t="str">
        <f t="shared" si="105"/>
        <v/>
      </c>
      <c r="K1300" s="92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2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58"/>
      <c r="U1300" s="217" t="str">
        <f t="shared" si="106"/>
        <v/>
      </c>
      <c r="V1300" s="215" t="s">
        <v>47</v>
      </c>
      <c r="W1300" s="102" t="s">
        <v>136</v>
      </c>
      <c r="X1300" s="102" t="s">
        <v>137</v>
      </c>
      <c r="Y1300" s="103" t="s">
        <v>138</v>
      </c>
      <c r="Z1300" s="103" t="s">
        <v>139</v>
      </c>
      <c r="AA1300" s="103" t="s">
        <v>47</v>
      </c>
      <c r="AB1300" s="103" t="s">
        <v>140</v>
      </c>
      <c r="AC1300" s="104" t="s">
        <v>141</v>
      </c>
    </row>
    <row r="1301" spans="1:29" ht="25.5" customHeight="1" x14ac:dyDescent="0.35">
      <c r="A1301" s="188"/>
      <c r="B1301" s="190"/>
      <c r="C1301" s="99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0"/>
      <c r="E1301" s="78" t="str">
        <f>IF(C1301="","",IFERROR(VLOOKUP(C1301,parametros!$A$11:$E$15,5,0),""))</f>
        <v/>
      </c>
      <c r="F1301" s="79" t="str">
        <f t="shared" si="102"/>
        <v/>
      </c>
      <c r="G1301" s="101"/>
      <c r="H1301" s="91">
        <f t="shared" si="103"/>
        <v>0</v>
      </c>
      <c r="I1301" s="91" t="str">
        <f t="shared" si="104"/>
        <v/>
      </c>
      <c r="J1301" s="91" t="str">
        <f t="shared" si="105"/>
        <v/>
      </c>
      <c r="K1301" s="92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2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58"/>
      <c r="U1301" s="217" t="str">
        <f t="shared" si="106"/>
        <v/>
      </c>
      <c r="V1301" s="215" t="s">
        <v>47</v>
      </c>
      <c r="W1301" s="102" t="s">
        <v>136</v>
      </c>
      <c r="X1301" s="102" t="s">
        <v>137</v>
      </c>
      <c r="Y1301" s="103" t="s">
        <v>138</v>
      </c>
      <c r="Z1301" s="103" t="s">
        <v>139</v>
      </c>
      <c r="AA1301" s="103" t="s">
        <v>47</v>
      </c>
      <c r="AB1301" s="103" t="s">
        <v>140</v>
      </c>
      <c r="AC1301" s="104" t="s">
        <v>141</v>
      </c>
    </row>
    <row r="1302" spans="1:29" ht="25.5" customHeight="1" x14ac:dyDescent="0.35">
      <c r="A1302" s="188"/>
      <c r="B1302" s="190"/>
      <c r="C1302" s="99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0"/>
      <c r="E1302" s="78" t="str">
        <f>IF(C1302="","",IFERROR(VLOOKUP(C1302,parametros!$A$11:$E$15,5,0),""))</f>
        <v/>
      </c>
      <c r="F1302" s="79" t="str">
        <f t="shared" si="102"/>
        <v/>
      </c>
      <c r="G1302" s="101"/>
      <c r="H1302" s="91">
        <f t="shared" si="103"/>
        <v>0</v>
      </c>
      <c r="I1302" s="91" t="str">
        <f t="shared" si="104"/>
        <v/>
      </c>
      <c r="J1302" s="91" t="str">
        <f t="shared" si="105"/>
        <v/>
      </c>
      <c r="K1302" s="92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2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58"/>
      <c r="U1302" s="217" t="str">
        <f t="shared" si="106"/>
        <v/>
      </c>
      <c r="V1302" s="215" t="s">
        <v>47</v>
      </c>
      <c r="W1302" s="102" t="s">
        <v>136</v>
      </c>
      <c r="X1302" s="102" t="s">
        <v>137</v>
      </c>
      <c r="Y1302" s="103" t="s">
        <v>138</v>
      </c>
      <c r="Z1302" s="103" t="s">
        <v>139</v>
      </c>
      <c r="AA1302" s="103" t="s">
        <v>47</v>
      </c>
      <c r="AB1302" s="103" t="s">
        <v>140</v>
      </c>
      <c r="AC1302" s="104" t="s">
        <v>141</v>
      </c>
    </row>
    <row r="1303" spans="1:29" ht="25.5" customHeight="1" x14ac:dyDescent="0.35">
      <c r="A1303" s="188"/>
      <c r="B1303" s="190"/>
      <c r="C1303" s="99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0"/>
      <c r="E1303" s="78" t="str">
        <f>IF(C1303="","",IFERROR(VLOOKUP(C1303,parametros!$A$11:$E$15,5,0),""))</f>
        <v/>
      </c>
      <c r="F1303" s="79" t="str">
        <f t="shared" si="102"/>
        <v/>
      </c>
      <c r="G1303" s="101"/>
      <c r="H1303" s="91">
        <f t="shared" si="103"/>
        <v>0</v>
      </c>
      <c r="I1303" s="91" t="str">
        <f t="shared" si="104"/>
        <v/>
      </c>
      <c r="J1303" s="91" t="str">
        <f t="shared" si="105"/>
        <v/>
      </c>
      <c r="K1303" s="92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2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58"/>
      <c r="U1303" s="217" t="str">
        <f t="shared" si="106"/>
        <v/>
      </c>
      <c r="V1303" s="215" t="s">
        <v>47</v>
      </c>
      <c r="W1303" s="102" t="s">
        <v>136</v>
      </c>
      <c r="X1303" s="102" t="s">
        <v>137</v>
      </c>
      <c r="Y1303" s="103" t="s">
        <v>138</v>
      </c>
      <c r="Z1303" s="103" t="s">
        <v>139</v>
      </c>
      <c r="AA1303" s="103" t="s">
        <v>47</v>
      </c>
      <c r="AB1303" s="103" t="s">
        <v>140</v>
      </c>
      <c r="AC1303" s="104" t="s">
        <v>141</v>
      </c>
    </row>
    <row r="1304" spans="1:29" ht="25.5" customHeight="1" x14ac:dyDescent="0.35">
      <c r="A1304" s="188"/>
      <c r="B1304" s="190"/>
      <c r="C1304" s="99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0"/>
      <c r="E1304" s="78" t="str">
        <f>IF(C1304="","",IFERROR(VLOOKUP(C1304,parametros!$A$11:$E$15,5,0),""))</f>
        <v/>
      </c>
      <c r="F1304" s="79" t="str">
        <f t="shared" si="102"/>
        <v/>
      </c>
      <c r="G1304" s="101"/>
      <c r="H1304" s="91">
        <f t="shared" si="103"/>
        <v>0</v>
      </c>
      <c r="I1304" s="91" t="str">
        <f t="shared" si="104"/>
        <v/>
      </c>
      <c r="J1304" s="91" t="str">
        <f t="shared" si="105"/>
        <v/>
      </c>
      <c r="K1304" s="92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2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58"/>
      <c r="U1304" s="217" t="str">
        <f t="shared" si="106"/>
        <v/>
      </c>
      <c r="V1304" s="215" t="s">
        <v>47</v>
      </c>
      <c r="W1304" s="102" t="s">
        <v>136</v>
      </c>
      <c r="X1304" s="102" t="s">
        <v>137</v>
      </c>
      <c r="Y1304" s="103" t="s">
        <v>138</v>
      </c>
      <c r="Z1304" s="103" t="s">
        <v>139</v>
      </c>
      <c r="AA1304" s="103" t="s">
        <v>47</v>
      </c>
      <c r="AB1304" s="103" t="s">
        <v>140</v>
      </c>
      <c r="AC1304" s="104" t="s">
        <v>141</v>
      </c>
    </row>
    <row r="1305" spans="1:29" ht="25.5" customHeight="1" x14ac:dyDescent="0.35">
      <c r="A1305" s="188"/>
      <c r="B1305" s="190"/>
      <c r="C1305" s="99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0"/>
      <c r="E1305" s="78" t="str">
        <f>IF(C1305="","",IFERROR(VLOOKUP(C1305,parametros!$A$11:$E$15,5,0),""))</f>
        <v/>
      </c>
      <c r="F1305" s="79" t="str">
        <f t="shared" si="102"/>
        <v/>
      </c>
      <c r="G1305" s="101"/>
      <c r="H1305" s="91">
        <f t="shared" si="103"/>
        <v>0</v>
      </c>
      <c r="I1305" s="91" t="str">
        <f t="shared" si="104"/>
        <v/>
      </c>
      <c r="J1305" s="91" t="str">
        <f t="shared" si="105"/>
        <v/>
      </c>
      <c r="K1305" s="92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2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58"/>
      <c r="U1305" s="217" t="str">
        <f t="shared" si="106"/>
        <v/>
      </c>
      <c r="V1305" s="215" t="s">
        <v>47</v>
      </c>
      <c r="W1305" s="102" t="s">
        <v>136</v>
      </c>
      <c r="X1305" s="102" t="s">
        <v>137</v>
      </c>
      <c r="Y1305" s="103" t="s">
        <v>138</v>
      </c>
      <c r="Z1305" s="103" t="s">
        <v>139</v>
      </c>
      <c r="AA1305" s="103" t="s">
        <v>47</v>
      </c>
      <c r="AB1305" s="103" t="s">
        <v>140</v>
      </c>
      <c r="AC1305" s="104" t="s">
        <v>141</v>
      </c>
    </row>
    <row r="1306" spans="1:29" ht="25.5" customHeight="1" x14ac:dyDescent="0.35">
      <c r="A1306" s="188"/>
      <c r="B1306" s="190"/>
      <c r="C1306" s="99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0"/>
      <c r="E1306" s="78" t="str">
        <f>IF(C1306="","",IFERROR(VLOOKUP(C1306,parametros!$A$11:$E$15,5,0),""))</f>
        <v/>
      </c>
      <c r="F1306" s="79" t="str">
        <f t="shared" si="102"/>
        <v/>
      </c>
      <c r="G1306" s="101"/>
      <c r="H1306" s="91">
        <f t="shared" si="103"/>
        <v>0</v>
      </c>
      <c r="I1306" s="91" t="str">
        <f t="shared" si="104"/>
        <v/>
      </c>
      <c r="J1306" s="91" t="str">
        <f t="shared" si="105"/>
        <v/>
      </c>
      <c r="K1306" s="92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2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58"/>
      <c r="U1306" s="217" t="str">
        <f t="shared" si="106"/>
        <v/>
      </c>
      <c r="V1306" s="215" t="s">
        <v>47</v>
      </c>
      <c r="W1306" s="102" t="s">
        <v>136</v>
      </c>
      <c r="X1306" s="102" t="s">
        <v>137</v>
      </c>
      <c r="Y1306" s="103" t="s">
        <v>138</v>
      </c>
      <c r="Z1306" s="103" t="s">
        <v>139</v>
      </c>
      <c r="AA1306" s="103" t="s">
        <v>47</v>
      </c>
      <c r="AB1306" s="103" t="s">
        <v>140</v>
      </c>
      <c r="AC1306" s="104" t="s">
        <v>141</v>
      </c>
    </row>
    <row r="1307" spans="1:29" ht="25.5" customHeight="1" x14ac:dyDescent="0.35">
      <c r="A1307" s="188"/>
      <c r="B1307" s="190"/>
      <c r="C1307" s="99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0"/>
      <c r="E1307" s="78" t="str">
        <f>IF(C1307="","",IFERROR(VLOOKUP(C1307,parametros!$A$11:$E$15,5,0),""))</f>
        <v/>
      </c>
      <c r="F1307" s="79" t="str">
        <f t="shared" si="102"/>
        <v/>
      </c>
      <c r="G1307" s="101"/>
      <c r="H1307" s="91">
        <f t="shared" si="103"/>
        <v>0</v>
      </c>
      <c r="I1307" s="91" t="str">
        <f t="shared" si="104"/>
        <v/>
      </c>
      <c r="J1307" s="91" t="str">
        <f t="shared" si="105"/>
        <v/>
      </c>
      <c r="K1307" s="92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2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58"/>
      <c r="U1307" s="217" t="str">
        <f t="shared" si="106"/>
        <v/>
      </c>
      <c r="V1307" s="215" t="s">
        <v>47</v>
      </c>
      <c r="W1307" s="102" t="s">
        <v>136</v>
      </c>
      <c r="X1307" s="102" t="s">
        <v>137</v>
      </c>
      <c r="Y1307" s="103" t="s">
        <v>138</v>
      </c>
      <c r="Z1307" s="103" t="s">
        <v>139</v>
      </c>
      <c r="AA1307" s="103" t="s">
        <v>47</v>
      </c>
      <c r="AB1307" s="103" t="s">
        <v>140</v>
      </c>
      <c r="AC1307" s="104" t="s">
        <v>141</v>
      </c>
    </row>
    <row r="1308" spans="1:29" ht="25.5" customHeight="1" x14ac:dyDescent="0.35">
      <c r="A1308" s="188"/>
      <c r="B1308" s="190"/>
      <c r="C1308" s="99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0"/>
      <c r="E1308" s="78" t="str">
        <f>IF(C1308="","",IFERROR(VLOOKUP(C1308,parametros!$A$11:$E$15,5,0),""))</f>
        <v/>
      </c>
      <c r="F1308" s="79" t="str">
        <f t="shared" si="102"/>
        <v/>
      </c>
      <c r="G1308" s="101"/>
      <c r="H1308" s="91">
        <f t="shared" si="103"/>
        <v>0</v>
      </c>
      <c r="I1308" s="91" t="str">
        <f t="shared" si="104"/>
        <v/>
      </c>
      <c r="J1308" s="91" t="str">
        <f t="shared" si="105"/>
        <v/>
      </c>
      <c r="K1308" s="92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2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58"/>
      <c r="U1308" s="217" t="str">
        <f t="shared" si="106"/>
        <v/>
      </c>
      <c r="V1308" s="215" t="s">
        <v>47</v>
      </c>
      <c r="W1308" s="102" t="s">
        <v>136</v>
      </c>
      <c r="X1308" s="102" t="s">
        <v>137</v>
      </c>
      <c r="Y1308" s="103" t="s">
        <v>138</v>
      </c>
      <c r="Z1308" s="103" t="s">
        <v>139</v>
      </c>
      <c r="AA1308" s="103" t="s">
        <v>47</v>
      </c>
      <c r="AB1308" s="103" t="s">
        <v>140</v>
      </c>
      <c r="AC1308" s="104" t="s">
        <v>141</v>
      </c>
    </row>
    <row r="1309" spans="1:29" ht="25.5" customHeight="1" x14ac:dyDescent="0.35">
      <c r="A1309" s="188"/>
      <c r="B1309" s="190"/>
      <c r="C1309" s="99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0"/>
      <c r="E1309" s="78" t="str">
        <f>IF(C1309="","",IFERROR(VLOOKUP(C1309,parametros!$A$11:$E$15,5,0),""))</f>
        <v/>
      </c>
      <c r="F1309" s="79" t="str">
        <f t="shared" si="102"/>
        <v/>
      </c>
      <c r="G1309" s="101"/>
      <c r="H1309" s="91">
        <f t="shared" si="103"/>
        <v>0</v>
      </c>
      <c r="I1309" s="91" t="str">
        <f t="shared" si="104"/>
        <v/>
      </c>
      <c r="J1309" s="91" t="str">
        <f t="shared" si="105"/>
        <v/>
      </c>
      <c r="K1309" s="92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2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58"/>
      <c r="U1309" s="217" t="str">
        <f t="shared" si="106"/>
        <v/>
      </c>
      <c r="V1309" s="215" t="s">
        <v>47</v>
      </c>
      <c r="W1309" s="102" t="s">
        <v>136</v>
      </c>
      <c r="X1309" s="102" t="s">
        <v>137</v>
      </c>
      <c r="Y1309" s="103" t="s">
        <v>138</v>
      </c>
      <c r="Z1309" s="103" t="s">
        <v>139</v>
      </c>
      <c r="AA1309" s="103" t="s">
        <v>47</v>
      </c>
      <c r="AB1309" s="103" t="s">
        <v>140</v>
      </c>
      <c r="AC1309" s="104" t="s">
        <v>141</v>
      </c>
    </row>
    <row r="1310" spans="1:29" ht="25.5" customHeight="1" x14ac:dyDescent="0.35">
      <c r="A1310" s="188"/>
      <c r="B1310" s="190"/>
      <c r="C1310" s="99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0"/>
      <c r="E1310" s="78" t="str">
        <f>IF(C1310="","",IFERROR(VLOOKUP(C1310,parametros!$A$11:$E$15,5,0),""))</f>
        <v/>
      </c>
      <c r="F1310" s="79" t="str">
        <f t="shared" si="102"/>
        <v/>
      </c>
      <c r="G1310" s="101"/>
      <c r="H1310" s="91">
        <f t="shared" si="103"/>
        <v>0</v>
      </c>
      <c r="I1310" s="91" t="str">
        <f t="shared" si="104"/>
        <v/>
      </c>
      <c r="J1310" s="91" t="str">
        <f t="shared" si="105"/>
        <v/>
      </c>
      <c r="K1310" s="92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2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58"/>
      <c r="U1310" s="217" t="str">
        <f t="shared" si="106"/>
        <v/>
      </c>
      <c r="V1310" s="215" t="s">
        <v>47</v>
      </c>
      <c r="W1310" s="102" t="s">
        <v>136</v>
      </c>
      <c r="X1310" s="102" t="s">
        <v>137</v>
      </c>
      <c r="Y1310" s="103" t="s">
        <v>138</v>
      </c>
      <c r="Z1310" s="103" t="s">
        <v>139</v>
      </c>
      <c r="AA1310" s="103" t="s">
        <v>47</v>
      </c>
      <c r="AB1310" s="103" t="s">
        <v>140</v>
      </c>
      <c r="AC1310" s="104" t="s">
        <v>141</v>
      </c>
    </row>
    <row r="1311" spans="1:29" ht="25.5" customHeight="1" x14ac:dyDescent="0.35">
      <c r="A1311" s="188"/>
      <c r="B1311" s="190"/>
      <c r="C1311" s="99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0"/>
      <c r="E1311" s="78" t="str">
        <f>IF(C1311="","",IFERROR(VLOOKUP(C1311,parametros!$A$11:$E$15,5,0),""))</f>
        <v/>
      </c>
      <c r="F1311" s="79" t="str">
        <f t="shared" si="102"/>
        <v/>
      </c>
      <c r="G1311" s="101"/>
      <c r="H1311" s="91">
        <f t="shared" si="103"/>
        <v>0</v>
      </c>
      <c r="I1311" s="91" t="str">
        <f t="shared" si="104"/>
        <v/>
      </c>
      <c r="J1311" s="91" t="str">
        <f t="shared" si="105"/>
        <v/>
      </c>
      <c r="K1311" s="92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2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58"/>
      <c r="U1311" s="217" t="str">
        <f t="shared" si="106"/>
        <v/>
      </c>
      <c r="V1311" s="215" t="s">
        <v>47</v>
      </c>
      <c r="W1311" s="102" t="s">
        <v>136</v>
      </c>
      <c r="X1311" s="102" t="s">
        <v>137</v>
      </c>
      <c r="Y1311" s="103" t="s">
        <v>138</v>
      </c>
      <c r="Z1311" s="103" t="s">
        <v>139</v>
      </c>
      <c r="AA1311" s="103" t="s">
        <v>47</v>
      </c>
      <c r="AB1311" s="103" t="s">
        <v>140</v>
      </c>
      <c r="AC1311" s="104" t="s">
        <v>141</v>
      </c>
    </row>
    <row r="1312" spans="1:29" ht="25.5" customHeight="1" x14ac:dyDescent="0.35">
      <c r="A1312" s="188"/>
      <c r="B1312" s="190"/>
      <c r="C1312" s="99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0"/>
      <c r="E1312" s="78" t="str">
        <f>IF(C1312="","",IFERROR(VLOOKUP(C1312,parametros!$A$11:$E$15,5,0),""))</f>
        <v/>
      </c>
      <c r="F1312" s="79" t="str">
        <f t="shared" si="102"/>
        <v/>
      </c>
      <c r="G1312" s="101"/>
      <c r="H1312" s="91">
        <f t="shared" si="103"/>
        <v>0</v>
      </c>
      <c r="I1312" s="91" t="str">
        <f t="shared" si="104"/>
        <v/>
      </c>
      <c r="J1312" s="91" t="str">
        <f t="shared" si="105"/>
        <v/>
      </c>
      <c r="K1312" s="92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2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58"/>
      <c r="U1312" s="217" t="str">
        <f t="shared" si="106"/>
        <v/>
      </c>
      <c r="V1312" s="215" t="s">
        <v>47</v>
      </c>
      <c r="W1312" s="102" t="s">
        <v>136</v>
      </c>
      <c r="X1312" s="102" t="s">
        <v>137</v>
      </c>
      <c r="Y1312" s="103" t="s">
        <v>138</v>
      </c>
      <c r="Z1312" s="103" t="s">
        <v>139</v>
      </c>
      <c r="AA1312" s="103" t="s">
        <v>47</v>
      </c>
      <c r="AB1312" s="103" t="s">
        <v>140</v>
      </c>
      <c r="AC1312" s="104" t="s">
        <v>141</v>
      </c>
    </row>
    <row r="1313" spans="1:29" ht="25.5" customHeight="1" x14ac:dyDescent="0.35">
      <c r="A1313" s="188"/>
      <c r="B1313" s="190"/>
      <c r="C1313" s="99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0"/>
      <c r="E1313" s="78" t="str">
        <f>IF(C1313="","",IFERROR(VLOOKUP(C1313,parametros!$A$11:$E$15,5,0),""))</f>
        <v/>
      </c>
      <c r="F1313" s="79" t="str">
        <f t="shared" si="102"/>
        <v/>
      </c>
      <c r="G1313" s="101"/>
      <c r="H1313" s="91">
        <f t="shared" si="103"/>
        <v>0</v>
      </c>
      <c r="I1313" s="91" t="str">
        <f t="shared" si="104"/>
        <v/>
      </c>
      <c r="J1313" s="91" t="str">
        <f t="shared" si="105"/>
        <v/>
      </c>
      <c r="K1313" s="92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2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58"/>
      <c r="U1313" s="217" t="str">
        <f t="shared" si="106"/>
        <v/>
      </c>
      <c r="V1313" s="215" t="s">
        <v>47</v>
      </c>
      <c r="W1313" s="102" t="s">
        <v>136</v>
      </c>
      <c r="X1313" s="102" t="s">
        <v>137</v>
      </c>
      <c r="Y1313" s="103" t="s">
        <v>138</v>
      </c>
      <c r="Z1313" s="103" t="s">
        <v>139</v>
      </c>
      <c r="AA1313" s="103" t="s">
        <v>47</v>
      </c>
      <c r="AB1313" s="103" t="s">
        <v>140</v>
      </c>
      <c r="AC1313" s="104" t="s">
        <v>141</v>
      </c>
    </row>
    <row r="1314" spans="1:29" ht="25.5" customHeight="1" x14ac:dyDescent="0.35">
      <c r="A1314" s="188"/>
      <c r="B1314" s="190"/>
      <c r="C1314" s="99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0"/>
      <c r="E1314" s="78" t="str">
        <f>IF(C1314="","",IFERROR(VLOOKUP(C1314,parametros!$A$11:$E$15,5,0),""))</f>
        <v/>
      </c>
      <c r="F1314" s="79" t="str">
        <f t="shared" si="102"/>
        <v/>
      </c>
      <c r="G1314" s="101"/>
      <c r="H1314" s="91">
        <f t="shared" si="103"/>
        <v>0</v>
      </c>
      <c r="I1314" s="91" t="str">
        <f t="shared" si="104"/>
        <v/>
      </c>
      <c r="J1314" s="91" t="str">
        <f t="shared" si="105"/>
        <v/>
      </c>
      <c r="K1314" s="92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2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58"/>
      <c r="U1314" s="217" t="str">
        <f t="shared" si="106"/>
        <v/>
      </c>
      <c r="V1314" s="215" t="s">
        <v>47</v>
      </c>
      <c r="W1314" s="102" t="s">
        <v>136</v>
      </c>
      <c r="X1314" s="102" t="s">
        <v>137</v>
      </c>
      <c r="Y1314" s="103" t="s">
        <v>138</v>
      </c>
      <c r="Z1314" s="103" t="s">
        <v>139</v>
      </c>
      <c r="AA1314" s="103" t="s">
        <v>47</v>
      </c>
      <c r="AB1314" s="103" t="s">
        <v>140</v>
      </c>
      <c r="AC1314" s="104" t="s">
        <v>141</v>
      </c>
    </row>
    <row r="1315" spans="1:29" ht="25.5" customHeight="1" x14ac:dyDescent="0.35">
      <c r="A1315" s="188"/>
      <c r="B1315" s="190"/>
      <c r="C1315" s="99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0"/>
      <c r="E1315" s="78" t="str">
        <f>IF(C1315="","",IFERROR(VLOOKUP(C1315,parametros!$A$11:$E$15,5,0),""))</f>
        <v/>
      </c>
      <c r="F1315" s="79" t="str">
        <f t="shared" si="102"/>
        <v/>
      </c>
      <c r="G1315" s="101"/>
      <c r="H1315" s="91">
        <f t="shared" si="103"/>
        <v>0</v>
      </c>
      <c r="I1315" s="91" t="str">
        <f t="shared" si="104"/>
        <v/>
      </c>
      <c r="J1315" s="91" t="str">
        <f t="shared" si="105"/>
        <v/>
      </c>
      <c r="K1315" s="92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2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58"/>
      <c r="U1315" s="217" t="str">
        <f t="shared" si="106"/>
        <v/>
      </c>
      <c r="V1315" s="215" t="s">
        <v>47</v>
      </c>
      <c r="W1315" s="102" t="s">
        <v>136</v>
      </c>
      <c r="X1315" s="102" t="s">
        <v>137</v>
      </c>
      <c r="Y1315" s="103" t="s">
        <v>138</v>
      </c>
      <c r="Z1315" s="103" t="s">
        <v>139</v>
      </c>
      <c r="AA1315" s="103" t="s">
        <v>47</v>
      </c>
      <c r="AB1315" s="103" t="s">
        <v>140</v>
      </c>
      <c r="AC1315" s="104" t="s">
        <v>141</v>
      </c>
    </row>
    <row r="1316" spans="1:29" ht="25.5" customHeight="1" x14ac:dyDescent="0.35">
      <c r="A1316" s="188"/>
      <c r="B1316" s="190"/>
      <c r="C1316" s="99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0"/>
      <c r="E1316" s="78" t="str">
        <f>IF(C1316="","",IFERROR(VLOOKUP(C1316,parametros!$A$11:$E$15,5,0),""))</f>
        <v/>
      </c>
      <c r="F1316" s="79" t="str">
        <f t="shared" si="102"/>
        <v/>
      </c>
      <c r="G1316" s="101"/>
      <c r="H1316" s="91">
        <f t="shared" si="103"/>
        <v>0</v>
      </c>
      <c r="I1316" s="91" t="str">
        <f t="shared" si="104"/>
        <v/>
      </c>
      <c r="J1316" s="91" t="str">
        <f t="shared" si="105"/>
        <v/>
      </c>
      <c r="K1316" s="92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2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58"/>
      <c r="U1316" s="217" t="str">
        <f t="shared" si="106"/>
        <v/>
      </c>
      <c r="V1316" s="215" t="s">
        <v>47</v>
      </c>
      <c r="W1316" s="102" t="s">
        <v>136</v>
      </c>
      <c r="X1316" s="102" t="s">
        <v>137</v>
      </c>
      <c r="Y1316" s="103" t="s">
        <v>138</v>
      </c>
      <c r="Z1316" s="103" t="s">
        <v>139</v>
      </c>
      <c r="AA1316" s="103" t="s">
        <v>47</v>
      </c>
      <c r="AB1316" s="103" t="s">
        <v>140</v>
      </c>
      <c r="AC1316" s="104" t="s">
        <v>141</v>
      </c>
    </row>
    <row r="1317" spans="1:29" ht="25.5" customHeight="1" x14ac:dyDescent="0.35">
      <c r="A1317" s="188"/>
      <c r="B1317" s="190"/>
      <c r="C1317" s="99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0"/>
      <c r="E1317" s="78" t="str">
        <f>IF(C1317="","",IFERROR(VLOOKUP(C1317,parametros!$A$11:$E$15,5,0),""))</f>
        <v/>
      </c>
      <c r="F1317" s="79" t="str">
        <f t="shared" si="102"/>
        <v/>
      </c>
      <c r="G1317" s="101"/>
      <c r="H1317" s="91">
        <f t="shared" si="103"/>
        <v>0</v>
      </c>
      <c r="I1317" s="91" t="str">
        <f t="shared" si="104"/>
        <v/>
      </c>
      <c r="J1317" s="91" t="str">
        <f t="shared" si="105"/>
        <v/>
      </c>
      <c r="K1317" s="92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2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58"/>
      <c r="U1317" s="217" t="str">
        <f t="shared" si="106"/>
        <v/>
      </c>
      <c r="V1317" s="215" t="s">
        <v>47</v>
      </c>
      <c r="W1317" s="102" t="s">
        <v>136</v>
      </c>
      <c r="X1317" s="102" t="s">
        <v>137</v>
      </c>
      <c r="Y1317" s="103" t="s">
        <v>138</v>
      </c>
      <c r="Z1317" s="103" t="s">
        <v>139</v>
      </c>
      <c r="AA1317" s="103" t="s">
        <v>47</v>
      </c>
      <c r="AB1317" s="103" t="s">
        <v>140</v>
      </c>
      <c r="AC1317" s="104" t="s">
        <v>141</v>
      </c>
    </row>
    <row r="1318" spans="1:29" ht="25.5" customHeight="1" x14ac:dyDescent="0.35">
      <c r="A1318" s="188"/>
      <c r="B1318" s="190"/>
      <c r="C1318" s="99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0"/>
      <c r="E1318" s="78" t="str">
        <f>IF(C1318="","",IFERROR(VLOOKUP(C1318,parametros!$A$11:$E$15,5,0),""))</f>
        <v/>
      </c>
      <c r="F1318" s="79" t="str">
        <f t="shared" si="102"/>
        <v/>
      </c>
      <c r="G1318" s="101"/>
      <c r="H1318" s="91">
        <f t="shared" si="103"/>
        <v>0</v>
      </c>
      <c r="I1318" s="91" t="str">
        <f t="shared" si="104"/>
        <v/>
      </c>
      <c r="J1318" s="91" t="str">
        <f t="shared" si="105"/>
        <v/>
      </c>
      <c r="K1318" s="92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2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58"/>
      <c r="U1318" s="217" t="str">
        <f t="shared" si="106"/>
        <v/>
      </c>
      <c r="V1318" s="215" t="s">
        <v>47</v>
      </c>
      <c r="W1318" s="102" t="s">
        <v>136</v>
      </c>
      <c r="X1318" s="102" t="s">
        <v>137</v>
      </c>
      <c r="Y1318" s="103" t="s">
        <v>138</v>
      </c>
      <c r="Z1318" s="103" t="s">
        <v>139</v>
      </c>
      <c r="AA1318" s="103" t="s">
        <v>47</v>
      </c>
      <c r="AB1318" s="103" t="s">
        <v>140</v>
      </c>
      <c r="AC1318" s="104" t="s">
        <v>141</v>
      </c>
    </row>
    <row r="1319" spans="1:29" ht="25.5" customHeight="1" x14ac:dyDescent="0.35">
      <c r="A1319" s="188"/>
      <c r="B1319" s="190"/>
      <c r="C1319" s="99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0"/>
      <c r="E1319" s="78" t="str">
        <f>IF(C1319="","",IFERROR(VLOOKUP(C1319,parametros!$A$11:$E$15,5,0),""))</f>
        <v/>
      </c>
      <c r="F1319" s="79" t="str">
        <f t="shared" si="102"/>
        <v/>
      </c>
      <c r="G1319" s="101"/>
      <c r="H1319" s="91">
        <f t="shared" si="103"/>
        <v>0</v>
      </c>
      <c r="I1319" s="91" t="str">
        <f t="shared" si="104"/>
        <v/>
      </c>
      <c r="J1319" s="91" t="str">
        <f t="shared" si="105"/>
        <v/>
      </c>
      <c r="K1319" s="92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2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58"/>
      <c r="U1319" s="217" t="str">
        <f t="shared" si="106"/>
        <v/>
      </c>
      <c r="V1319" s="215" t="s">
        <v>47</v>
      </c>
      <c r="W1319" s="102" t="s">
        <v>136</v>
      </c>
      <c r="X1319" s="102" t="s">
        <v>137</v>
      </c>
      <c r="Y1319" s="103" t="s">
        <v>138</v>
      </c>
      <c r="Z1319" s="103" t="s">
        <v>139</v>
      </c>
      <c r="AA1319" s="103" t="s">
        <v>47</v>
      </c>
      <c r="AB1319" s="103" t="s">
        <v>140</v>
      </c>
      <c r="AC1319" s="104" t="s">
        <v>141</v>
      </c>
    </row>
    <row r="1320" spans="1:29" ht="25.5" customHeight="1" x14ac:dyDescent="0.35">
      <c r="A1320" s="188"/>
      <c r="B1320" s="190"/>
      <c r="C1320" s="99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0"/>
      <c r="E1320" s="78" t="str">
        <f>IF(C1320="","",IFERROR(VLOOKUP(C1320,parametros!$A$11:$E$15,5,0),""))</f>
        <v/>
      </c>
      <c r="F1320" s="79" t="str">
        <f t="shared" si="102"/>
        <v/>
      </c>
      <c r="G1320" s="101"/>
      <c r="H1320" s="91">
        <f t="shared" si="103"/>
        <v>0</v>
      </c>
      <c r="I1320" s="91" t="str">
        <f t="shared" si="104"/>
        <v/>
      </c>
      <c r="J1320" s="91" t="str">
        <f t="shared" si="105"/>
        <v/>
      </c>
      <c r="K1320" s="92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2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58"/>
      <c r="U1320" s="217" t="str">
        <f t="shared" si="106"/>
        <v/>
      </c>
      <c r="V1320" s="215" t="s">
        <v>47</v>
      </c>
      <c r="W1320" s="102" t="s">
        <v>136</v>
      </c>
      <c r="X1320" s="102" t="s">
        <v>137</v>
      </c>
      <c r="Y1320" s="103" t="s">
        <v>138</v>
      </c>
      <c r="Z1320" s="103" t="s">
        <v>139</v>
      </c>
      <c r="AA1320" s="103" t="s">
        <v>47</v>
      </c>
      <c r="AB1320" s="103" t="s">
        <v>140</v>
      </c>
      <c r="AC1320" s="104" t="s">
        <v>141</v>
      </c>
    </row>
    <row r="1321" spans="1:29" ht="25.5" customHeight="1" x14ac:dyDescent="0.35">
      <c r="A1321" s="188"/>
      <c r="B1321" s="190"/>
      <c r="C1321" s="99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0"/>
      <c r="E1321" s="78" t="str">
        <f>IF(C1321="","",IFERROR(VLOOKUP(C1321,parametros!$A$11:$E$15,5,0),""))</f>
        <v/>
      </c>
      <c r="F1321" s="79" t="str">
        <f t="shared" si="102"/>
        <v/>
      </c>
      <c r="G1321" s="101"/>
      <c r="H1321" s="91">
        <f t="shared" si="103"/>
        <v>0</v>
      </c>
      <c r="I1321" s="91" t="str">
        <f t="shared" si="104"/>
        <v/>
      </c>
      <c r="J1321" s="91" t="str">
        <f t="shared" si="105"/>
        <v/>
      </c>
      <c r="K1321" s="92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2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58"/>
      <c r="U1321" s="217" t="str">
        <f t="shared" si="106"/>
        <v/>
      </c>
      <c r="V1321" s="215" t="s">
        <v>47</v>
      </c>
      <c r="W1321" s="102" t="s">
        <v>136</v>
      </c>
      <c r="X1321" s="102" t="s">
        <v>137</v>
      </c>
      <c r="Y1321" s="103" t="s">
        <v>138</v>
      </c>
      <c r="Z1321" s="103" t="s">
        <v>139</v>
      </c>
      <c r="AA1321" s="103" t="s">
        <v>47</v>
      </c>
      <c r="AB1321" s="103" t="s">
        <v>140</v>
      </c>
      <c r="AC1321" s="104" t="s">
        <v>141</v>
      </c>
    </row>
    <row r="1322" spans="1:29" ht="25.5" customHeight="1" x14ac:dyDescent="0.35">
      <c r="A1322" s="188"/>
      <c r="B1322" s="190"/>
      <c r="C1322" s="99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0"/>
      <c r="E1322" s="78" t="str">
        <f>IF(C1322="","",IFERROR(VLOOKUP(C1322,parametros!$A$11:$E$15,5,0),""))</f>
        <v/>
      </c>
      <c r="F1322" s="79" t="str">
        <f t="shared" si="102"/>
        <v/>
      </c>
      <c r="G1322" s="101"/>
      <c r="H1322" s="91">
        <f t="shared" si="103"/>
        <v>0</v>
      </c>
      <c r="I1322" s="91" t="str">
        <f t="shared" si="104"/>
        <v/>
      </c>
      <c r="J1322" s="91" t="str">
        <f t="shared" si="105"/>
        <v/>
      </c>
      <c r="K1322" s="92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2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58"/>
      <c r="U1322" s="217" t="str">
        <f t="shared" si="106"/>
        <v/>
      </c>
      <c r="V1322" s="215" t="s">
        <v>47</v>
      </c>
      <c r="W1322" s="102" t="s">
        <v>136</v>
      </c>
      <c r="X1322" s="102" t="s">
        <v>137</v>
      </c>
      <c r="Y1322" s="103" t="s">
        <v>138</v>
      </c>
      <c r="Z1322" s="103" t="s">
        <v>139</v>
      </c>
      <c r="AA1322" s="103" t="s">
        <v>47</v>
      </c>
      <c r="AB1322" s="103" t="s">
        <v>140</v>
      </c>
      <c r="AC1322" s="104" t="s">
        <v>141</v>
      </c>
    </row>
    <row r="1323" spans="1:29" ht="25.5" customHeight="1" x14ac:dyDescent="0.35">
      <c r="A1323" s="188"/>
      <c r="B1323" s="190"/>
      <c r="C1323" s="99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0"/>
      <c r="E1323" s="78" t="str">
        <f>IF(C1323="","",IFERROR(VLOOKUP(C1323,parametros!$A$11:$E$15,5,0),""))</f>
        <v/>
      </c>
      <c r="F1323" s="79" t="str">
        <f t="shared" si="102"/>
        <v/>
      </c>
      <c r="G1323" s="101"/>
      <c r="H1323" s="91">
        <f t="shared" si="103"/>
        <v>0</v>
      </c>
      <c r="I1323" s="91" t="str">
        <f t="shared" si="104"/>
        <v/>
      </c>
      <c r="J1323" s="91" t="str">
        <f t="shared" si="105"/>
        <v/>
      </c>
      <c r="K1323" s="92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2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58"/>
      <c r="U1323" s="217" t="str">
        <f t="shared" si="106"/>
        <v/>
      </c>
      <c r="V1323" s="215" t="s">
        <v>47</v>
      </c>
      <c r="W1323" s="102" t="s">
        <v>136</v>
      </c>
      <c r="X1323" s="102" t="s">
        <v>137</v>
      </c>
      <c r="Y1323" s="103" t="s">
        <v>138</v>
      </c>
      <c r="Z1323" s="103" t="s">
        <v>139</v>
      </c>
      <c r="AA1323" s="103" t="s">
        <v>47</v>
      </c>
      <c r="AB1323" s="103" t="s">
        <v>140</v>
      </c>
      <c r="AC1323" s="104" t="s">
        <v>141</v>
      </c>
    </row>
    <row r="1324" spans="1:29" ht="25.5" customHeight="1" x14ac:dyDescent="0.35">
      <c r="A1324" s="188"/>
      <c r="B1324" s="190"/>
      <c r="C1324" s="99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0"/>
      <c r="E1324" s="78" t="str">
        <f>IF(C1324="","",IFERROR(VLOOKUP(C1324,parametros!$A$11:$E$15,5,0),""))</f>
        <v/>
      </c>
      <c r="F1324" s="79" t="str">
        <f t="shared" si="102"/>
        <v/>
      </c>
      <c r="G1324" s="101"/>
      <c r="H1324" s="91">
        <f t="shared" si="103"/>
        <v>0</v>
      </c>
      <c r="I1324" s="91" t="str">
        <f t="shared" si="104"/>
        <v/>
      </c>
      <c r="J1324" s="91" t="str">
        <f t="shared" si="105"/>
        <v/>
      </c>
      <c r="K1324" s="92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2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58"/>
      <c r="U1324" s="217" t="str">
        <f t="shared" si="106"/>
        <v/>
      </c>
      <c r="V1324" s="215" t="s">
        <v>47</v>
      </c>
      <c r="W1324" s="102" t="s">
        <v>136</v>
      </c>
      <c r="X1324" s="102" t="s">
        <v>137</v>
      </c>
      <c r="Y1324" s="103" t="s">
        <v>138</v>
      </c>
      <c r="Z1324" s="103" t="s">
        <v>139</v>
      </c>
      <c r="AA1324" s="103" t="s">
        <v>47</v>
      </c>
      <c r="AB1324" s="103" t="s">
        <v>140</v>
      </c>
      <c r="AC1324" s="104" t="s">
        <v>141</v>
      </c>
    </row>
    <row r="1325" spans="1:29" ht="25.5" customHeight="1" x14ac:dyDescent="0.35">
      <c r="A1325" s="188"/>
      <c r="B1325" s="190"/>
      <c r="C1325" s="99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0"/>
      <c r="E1325" s="78" t="str">
        <f>IF(C1325="","",IFERROR(VLOOKUP(C1325,parametros!$A$11:$E$15,5,0),""))</f>
        <v/>
      </c>
      <c r="F1325" s="79" t="str">
        <f t="shared" si="102"/>
        <v/>
      </c>
      <c r="G1325" s="101"/>
      <c r="H1325" s="91">
        <f t="shared" si="103"/>
        <v>0</v>
      </c>
      <c r="I1325" s="91" t="str">
        <f t="shared" si="104"/>
        <v/>
      </c>
      <c r="J1325" s="91" t="str">
        <f t="shared" si="105"/>
        <v/>
      </c>
      <c r="K1325" s="92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2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58"/>
      <c r="U1325" s="217" t="str">
        <f t="shared" si="106"/>
        <v/>
      </c>
      <c r="V1325" s="215" t="s">
        <v>47</v>
      </c>
      <c r="W1325" s="102" t="s">
        <v>136</v>
      </c>
      <c r="X1325" s="102" t="s">
        <v>137</v>
      </c>
      <c r="Y1325" s="103" t="s">
        <v>138</v>
      </c>
      <c r="Z1325" s="103" t="s">
        <v>139</v>
      </c>
      <c r="AA1325" s="103" t="s">
        <v>47</v>
      </c>
      <c r="AB1325" s="103" t="s">
        <v>140</v>
      </c>
      <c r="AC1325" s="104" t="s">
        <v>141</v>
      </c>
    </row>
    <row r="1326" spans="1:29" ht="25.5" customHeight="1" x14ac:dyDescent="0.35">
      <c r="A1326" s="188"/>
      <c r="B1326" s="190"/>
      <c r="C1326" s="99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0"/>
      <c r="E1326" s="78" t="str">
        <f>IF(C1326="","",IFERROR(VLOOKUP(C1326,parametros!$A$11:$E$15,5,0),""))</f>
        <v/>
      </c>
      <c r="F1326" s="79" t="str">
        <f t="shared" si="102"/>
        <v/>
      </c>
      <c r="G1326" s="101"/>
      <c r="H1326" s="91">
        <f t="shared" si="103"/>
        <v>0</v>
      </c>
      <c r="I1326" s="91" t="str">
        <f t="shared" si="104"/>
        <v/>
      </c>
      <c r="J1326" s="91" t="str">
        <f t="shared" si="105"/>
        <v/>
      </c>
      <c r="K1326" s="92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2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58"/>
      <c r="U1326" s="217" t="str">
        <f t="shared" si="106"/>
        <v/>
      </c>
      <c r="V1326" s="215" t="s">
        <v>47</v>
      </c>
      <c r="W1326" s="102" t="s">
        <v>136</v>
      </c>
      <c r="X1326" s="102" t="s">
        <v>137</v>
      </c>
      <c r="Y1326" s="103" t="s">
        <v>138</v>
      </c>
      <c r="Z1326" s="103" t="s">
        <v>139</v>
      </c>
      <c r="AA1326" s="103" t="s">
        <v>47</v>
      </c>
      <c r="AB1326" s="103" t="s">
        <v>140</v>
      </c>
      <c r="AC1326" s="104" t="s">
        <v>141</v>
      </c>
    </row>
    <row r="1327" spans="1:29" ht="25.5" customHeight="1" x14ac:dyDescent="0.35">
      <c r="A1327" s="188"/>
      <c r="B1327" s="190"/>
      <c r="C1327" s="99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0"/>
      <c r="E1327" s="78" t="str">
        <f>IF(C1327="","",IFERROR(VLOOKUP(C1327,parametros!$A$11:$E$15,5,0),""))</f>
        <v/>
      </c>
      <c r="F1327" s="79" t="str">
        <f t="shared" si="102"/>
        <v/>
      </c>
      <c r="G1327" s="101"/>
      <c r="H1327" s="91">
        <f t="shared" si="103"/>
        <v>0</v>
      </c>
      <c r="I1327" s="91" t="str">
        <f t="shared" si="104"/>
        <v/>
      </c>
      <c r="J1327" s="91" t="str">
        <f t="shared" si="105"/>
        <v/>
      </c>
      <c r="K1327" s="92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2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58"/>
      <c r="U1327" s="217" t="str">
        <f t="shared" si="106"/>
        <v/>
      </c>
      <c r="V1327" s="215" t="s">
        <v>47</v>
      </c>
      <c r="W1327" s="102" t="s">
        <v>136</v>
      </c>
      <c r="X1327" s="102" t="s">
        <v>137</v>
      </c>
      <c r="Y1327" s="103" t="s">
        <v>138</v>
      </c>
      <c r="Z1327" s="103" t="s">
        <v>139</v>
      </c>
      <c r="AA1327" s="103" t="s">
        <v>47</v>
      </c>
      <c r="AB1327" s="103" t="s">
        <v>140</v>
      </c>
      <c r="AC1327" s="104" t="s">
        <v>141</v>
      </c>
    </row>
    <row r="1328" spans="1:29" ht="25.5" customHeight="1" x14ac:dyDescent="0.35">
      <c r="A1328" s="188"/>
      <c r="B1328" s="190"/>
      <c r="C1328" s="99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0"/>
      <c r="E1328" s="78" t="str">
        <f>IF(C1328="","",IFERROR(VLOOKUP(C1328,parametros!$A$11:$E$15,5,0),""))</f>
        <v/>
      </c>
      <c r="F1328" s="79" t="str">
        <f t="shared" si="102"/>
        <v/>
      </c>
      <c r="G1328" s="101"/>
      <c r="H1328" s="91">
        <f t="shared" si="103"/>
        <v>0</v>
      </c>
      <c r="I1328" s="91" t="str">
        <f t="shared" si="104"/>
        <v/>
      </c>
      <c r="J1328" s="91" t="str">
        <f t="shared" si="105"/>
        <v/>
      </c>
      <c r="K1328" s="92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2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58"/>
      <c r="U1328" s="217" t="str">
        <f t="shared" si="106"/>
        <v/>
      </c>
      <c r="V1328" s="215" t="s">
        <v>47</v>
      </c>
      <c r="W1328" s="102" t="s">
        <v>136</v>
      </c>
      <c r="X1328" s="102" t="s">
        <v>137</v>
      </c>
      <c r="Y1328" s="103" t="s">
        <v>138</v>
      </c>
      <c r="Z1328" s="103" t="s">
        <v>139</v>
      </c>
      <c r="AA1328" s="103" t="s">
        <v>47</v>
      </c>
      <c r="AB1328" s="103" t="s">
        <v>140</v>
      </c>
      <c r="AC1328" s="104" t="s">
        <v>141</v>
      </c>
    </row>
    <row r="1329" spans="1:29" ht="25.5" customHeight="1" x14ac:dyDescent="0.35">
      <c r="A1329" s="188"/>
      <c r="B1329" s="190"/>
      <c r="C1329" s="99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0"/>
      <c r="E1329" s="78" t="str">
        <f>IF(C1329="","",IFERROR(VLOOKUP(C1329,parametros!$A$11:$E$15,5,0),""))</f>
        <v/>
      </c>
      <c r="F1329" s="79" t="str">
        <f t="shared" si="102"/>
        <v/>
      </c>
      <c r="G1329" s="101"/>
      <c r="H1329" s="91">
        <f t="shared" si="103"/>
        <v>0</v>
      </c>
      <c r="I1329" s="91" t="str">
        <f t="shared" si="104"/>
        <v/>
      </c>
      <c r="J1329" s="91" t="str">
        <f t="shared" si="105"/>
        <v/>
      </c>
      <c r="K1329" s="92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2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58"/>
      <c r="U1329" s="217" t="str">
        <f t="shared" si="106"/>
        <v/>
      </c>
      <c r="V1329" s="215" t="s">
        <v>47</v>
      </c>
      <c r="W1329" s="102" t="s">
        <v>136</v>
      </c>
      <c r="X1329" s="102" t="s">
        <v>137</v>
      </c>
      <c r="Y1329" s="103" t="s">
        <v>138</v>
      </c>
      <c r="Z1329" s="103" t="s">
        <v>139</v>
      </c>
      <c r="AA1329" s="103" t="s">
        <v>47</v>
      </c>
      <c r="AB1329" s="103" t="s">
        <v>140</v>
      </c>
      <c r="AC1329" s="104" t="s">
        <v>141</v>
      </c>
    </row>
    <row r="1330" spans="1:29" ht="25.5" customHeight="1" x14ac:dyDescent="0.35">
      <c r="A1330" s="188"/>
      <c r="B1330" s="190"/>
      <c r="C1330" s="99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0"/>
      <c r="E1330" s="78" t="str">
        <f>IF(C1330="","",IFERROR(VLOOKUP(C1330,parametros!$A$11:$E$15,5,0),""))</f>
        <v/>
      </c>
      <c r="F1330" s="79" t="str">
        <f t="shared" si="102"/>
        <v/>
      </c>
      <c r="G1330" s="101"/>
      <c r="H1330" s="91">
        <f t="shared" si="103"/>
        <v>0</v>
      </c>
      <c r="I1330" s="91" t="str">
        <f t="shared" si="104"/>
        <v/>
      </c>
      <c r="J1330" s="91" t="str">
        <f t="shared" si="105"/>
        <v/>
      </c>
      <c r="K1330" s="92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2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58"/>
      <c r="U1330" s="217" t="str">
        <f t="shared" si="106"/>
        <v/>
      </c>
      <c r="V1330" s="215" t="s">
        <v>47</v>
      </c>
      <c r="W1330" s="102" t="s">
        <v>136</v>
      </c>
      <c r="X1330" s="102" t="s">
        <v>137</v>
      </c>
      <c r="Y1330" s="103" t="s">
        <v>138</v>
      </c>
      <c r="Z1330" s="103" t="s">
        <v>139</v>
      </c>
      <c r="AA1330" s="103" t="s">
        <v>47</v>
      </c>
      <c r="AB1330" s="103" t="s">
        <v>140</v>
      </c>
      <c r="AC1330" s="104" t="s">
        <v>141</v>
      </c>
    </row>
    <row r="1331" spans="1:29" ht="25.5" customHeight="1" x14ac:dyDescent="0.35">
      <c r="A1331" s="188"/>
      <c r="B1331" s="190"/>
      <c r="C1331" s="99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0"/>
      <c r="E1331" s="78" t="str">
        <f>IF(C1331="","",IFERROR(VLOOKUP(C1331,parametros!$A$11:$E$15,5,0),""))</f>
        <v/>
      </c>
      <c r="F1331" s="79" t="str">
        <f t="shared" si="102"/>
        <v/>
      </c>
      <c r="G1331" s="101"/>
      <c r="H1331" s="91">
        <f t="shared" si="103"/>
        <v>0</v>
      </c>
      <c r="I1331" s="91" t="str">
        <f t="shared" si="104"/>
        <v/>
      </c>
      <c r="J1331" s="91" t="str">
        <f t="shared" si="105"/>
        <v/>
      </c>
      <c r="K1331" s="92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2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58"/>
      <c r="U1331" s="217" t="str">
        <f t="shared" si="106"/>
        <v/>
      </c>
      <c r="V1331" s="215" t="s">
        <v>47</v>
      </c>
      <c r="W1331" s="102" t="s">
        <v>136</v>
      </c>
      <c r="X1331" s="102" t="s">
        <v>137</v>
      </c>
      <c r="Y1331" s="103" t="s">
        <v>138</v>
      </c>
      <c r="Z1331" s="103" t="s">
        <v>139</v>
      </c>
      <c r="AA1331" s="103" t="s">
        <v>47</v>
      </c>
      <c r="AB1331" s="103" t="s">
        <v>140</v>
      </c>
      <c r="AC1331" s="104" t="s">
        <v>141</v>
      </c>
    </row>
    <row r="1332" spans="1:29" ht="25.5" customHeight="1" x14ac:dyDescent="0.35">
      <c r="A1332" s="188"/>
      <c r="B1332" s="190"/>
      <c r="C1332" s="99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0"/>
      <c r="E1332" s="78" t="str">
        <f>IF(C1332="","",IFERROR(VLOOKUP(C1332,parametros!$A$11:$E$15,5,0),""))</f>
        <v/>
      </c>
      <c r="F1332" s="79" t="str">
        <f t="shared" si="102"/>
        <v/>
      </c>
      <c r="G1332" s="101"/>
      <c r="H1332" s="91">
        <f t="shared" si="103"/>
        <v>0</v>
      </c>
      <c r="I1332" s="91" t="str">
        <f t="shared" si="104"/>
        <v/>
      </c>
      <c r="J1332" s="91" t="str">
        <f t="shared" si="105"/>
        <v/>
      </c>
      <c r="K1332" s="92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2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58"/>
      <c r="U1332" s="217" t="str">
        <f t="shared" si="106"/>
        <v/>
      </c>
      <c r="V1332" s="215" t="s">
        <v>47</v>
      </c>
      <c r="W1332" s="102" t="s">
        <v>136</v>
      </c>
      <c r="X1332" s="102" t="s">
        <v>137</v>
      </c>
      <c r="Y1332" s="103" t="s">
        <v>138</v>
      </c>
      <c r="Z1332" s="103" t="s">
        <v>139</v>
      </c>
      <c r="AA1332" s="103" t="s">
        <v>47</v>
      </c>
      <c r="AB1332" s="103" t="s">
        <v>140</v>
      </c>
      <c r="AC1332" s="104" t="s">
        <v>141</v>
      </c>
    </row>
    <row r="1333" spans="1:29" ht="25.5" customHeight="1" x14ac:dyDescent="0.35">
      <c r="A1333" s="188"/>
      <c r="B1333" s="190"/>
      <c r="C1333" s="99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0"/>
      <c r="E1333" s="78" t="str">
        <f>IF(C1333="","",IFERROR(VLOOKUP(C1333,parametros!$A$11:$E$15,5,0),""))</f>
        <v/>
      </c>
      <c r="F1333" s="79" t="str">
        <f t="shared" si="102"/>
        <v/>
      </c>
      <c r="G1333" s="101"/>
      <c r="H1333" s="91">
        <f t="shared" si="103"/>
        <v>0</v>
      </c>
      <c r="I1333" s="91" t="str">
        <f t="shared" si="104"/>
        <v/>
      </c>
      <c r="J1333" s="91" t="str">
        <f t="shared" si="105"/>
        <v/>
      </c>
      <c r="K1333" s="92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2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58"/>
      <c r="U1333" s="217" t="str">
        <f t="shared" si="106"/>
        <v/>
      </c>
      <c r="V1333" s="215" t="s">
        <v>47</v>
      </c>
      <c r="W1333" s="102" t="s">
        <v>136</v>
      </c>
      <c r="X1333" s="102" t="s">
        <v>137</v>
      </c>
      <c r="Y1333" s="103" t="s">
        <v>138</v>
      </c>
      <c r="Z1333" s="103" t="s">
        <v>139</v>
      </c>
      <c r="AA1333" s="103" t="s">
        <v>47</v>
      </c>
      <c r="AB1333" s="103" t="s">
        <v>140</v>
      </c>
      <c r="AC1333" s="104" t="s">
        <v>141</v>
      </c>
    </row>
    <row r="1334" spans="1:29" ht="25.5" customHeight="1" x14ac:dyDescent="0.35">
      <c r="A1334" s="188"/>
      <c r="B1334" s="190"/>
      <c r="C1334" s="99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0"/>
      <c r="E1334" s="78" t="str">
        <f>IF(C1334="","",IFERROR(VLOOKUP(C1334,parametros!$A$11:$E$15,5,0),""))</f>
        <v/>
      </c>
      <c r="F1334" s="79" t="str">
        <f t="shared" si="102"/>
        <v/>
      </c>
      <c r="G1334" s="101"/>
      <c r="H1334" s="91">
        <f t="shared" si="103"/>
        <v>0</v>
      </c>
      <c r="I1334" s="91" t="str">
        <f t="shared" si="104"/>
        <v/>
      </c>
      <c r="J1334" s="91" t="str">
        <f t="shared" si="105"/>
        <v/>
      </c>
      <c r="K1334" s="92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2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58"/>
      <c r="U1334" s="217" t="str">
        <f t="shared" si="106"/>
        <v/>
      </c>
      <c r="V1334" s="215" t="s">
        <v>47</v>
      </c>
      <c r="W1334" s="102" t="s">
        <v>136</v>
      </c>
      <c r="X1334" s="102" t="s">
        <v>137</v>
      </c>
      <c r="Y1334" s="103" t="s">
        <v>138</v>
      </c>
      <c r="Z1334" s="103" t="s">
        <v>139</v>
      </c>
      <c r="AA1334" s="103" t="s">
        <v>47</v>
      </c>
      <c r="AB1334" s="103" t="s">
        <v>140</v>
      </c>
      <c r="AC1334" s="104" t="s">
        <v>141</v>
      </c>
    </row>
    <row r="1335" spans="1:29" ht="25.5" customHeight="1" x14ac:dyDescent="0.35">
      <c r="A1335" s="188"/>
      <c r="B1335" s="190"/>
      <c r="C1335" s="99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0"/>
      <c r="E1335" s="78" t="str">
        <f>IF(C1335="","",IFERROR(VLOOKUP(C1335,parametros!$A$11:$E$15,5,0),""))</f>
        <v/>
      </c>
      <c r="F1335" s="79" t="str">
        <f t="shared" si="102"/>
        <v/>
      </c>
      <c r="G1335" s="101"/>
      <c r="H1335" s="91">
        <f t="shared" si="103"/>
        <v>0</v>
      </c>
      <c r="I1335" s="91" t="str">
        <f t="shared" si="104"/>
        <v/>
      </c>
      <c r="J1335" s="91" t="str">
        <f t="shared" si="105"/>
        <v/>
      </c>
      <c r="K1335" s="92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2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58"/>
      <c r="U1335" s="217" t="str">
        <f t="shared" si="106"/>
        <v/>
      </c>
      <c r="V1335" s="215" t="s">
        <v>47</v>
      </c>
      <c r="W1335" s="102" t="s">
        <v>136</v>
      </c>
      <c r="X1335" s="102" t="s">
        <v>137</v>
      </c>
      <c r="Y1335" s="103" t="s">
        <v>138</v>
      </c>
      <c r="Z1335" s="103" t="s">
        <v>139</v>
      </c>
      <c r="AA1335" s="103" t="s">
        <v>47</v>
      </c>
      <c r="AB1335" s="103" t="s">
        <v>140</v>
      </c>
      <c r="AC1335" s="104" t="s">
        <v>141</v>
      </c>
    </row>
    <row r="1336" spans="1:29" ht="25.5" customHeight="1" x14ac:dyDescent="0.35">
      <c r="A1336" s="188"/>
      <c r="B1336" s="190"/>
      <c r="C1336" s="99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0"/>
      <c r="E1336" s="78" t="str">
        <f>IF(C1336="","",IFERROR(VLOOKUP(C1336,parametros!$A$11:$E$15,5,0),""))</f>
        <v/>
      </c>
      <c r="F1336" s="79" t="str">
        <f t="shared" si="102"/>
        <v/>
      </c>
      <c r="G1336" s="101"/>
      <c r="H1336" s="91">
        <f t="shared" si="103"/>
        <v>0</v>
      </c>
      <c r="I1336" s="91" t="str">
        <f t="shared" si="104"/>
        <v/>
      </c>
      <c r="J1336" s="91" t="str">
        <f t="shared" si="105"/>
        <v/>
      </c>
      <c r="K1336" s="92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2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58"/>
      <c r="U1336" s="217" t="str">
        <f t="shared" si="106"/>
        <v/>
      </c>
      <c r="V1336" s="215" t="s">
        <v>47</v>
      </c>
      <c r="W1336" s="102" t="s">
        <v>136</v>
      </c>
      <c r="X1336" s="102" t="s">
        <v>137</v>
      </c>
      <c r="Y1336" s="103" t="s">
        <v>138</v>
      </c>
      <c r="Z1336" s="103" t="s">
        <v>139</v>
      </c>
      <c r="AA1336" s="103" t="s">
        <v>47</v>
      </c>
      <c r="AB1336" s="103" t="s">
        <v>140</v>
      </c>
      <c r="AC1336" s="104" t="s">
        <v>141</v>
      </c>
    </row>
    <row r="1337" spans="1:29" ht="25.5" customHeight="1" x14ac:dyDescent="0.35">
      <c r="A1337" s="188"/>
      <c r="B1337" s="190"/>
      <c r="C1337" s="99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0"/>
      <c r="E1337" s="78" t="str">
        <f>IF(C1337="","",IFERROR(VLOOKUP(C1337,parametros!$A$11:$E$15,5,0),""))</f>
        <v/>
      </c>
      <c r="F1337" s="79" t="str">
        <f t="shared" si="102"/>
        <v/>
      </c>
      <c r="G1337" s="101"/>
      <c r="H1337" s="91">
        <f t="shared" si="103"/>
        <v>0</v>
      </c>
      <c r="I1337" s="91" t="str">
        <f t="shared" si="104"/>
        <v/>
      </c>
      <c r="J1337" s="91" t="str">
        <f t="shared" si="105"/>
        <v/>
      </c>
      <c r="K1337" s="92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2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58"/>
      <c r="U1337" s="217" t="str">
        <f t="shared" si="106"/>
        <v/>
      </c>
      <c r="V1337" s="215" t="s">
        <v>47</v>
      </c>
      <c r="W1337" s="102" t="s">
        <v>136</v>
      </c>
      <c r="X1337" s="102" t="s">
        <v>137</v>
      </c>
      <c r="Y1337" s="103" t="s">
        <v>138</v>
      </c>
      <c r="Z1337" s="103" t="s">
        <v>139</v>
      </c>
      <c r="AA1337" s="103" t="s">
        <v>47</v>
      </c>
      <c r="AB1337" s="103" t="s">
        <v>140</v>
      </c>
      <c r="AC1337" s="104" t="s">
        <v>141</v>
      </c>
    </row>
    <row r="1338" spans="1:29" ht="25.5" customHeight="1" x14ac:dyDescent="0.35">
      <c r="A1338" s="188"/>
      <c r="B1338" s="190"/>
      <c r="C1338" s="99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0"/>
      <c r="E1338" s="78" t="str">
        <f>IF(C1338="","",IFERROR(VLOOKUP(C1338,parametros!$A$11:$E$15,5,0),""))</f>
        <v/>
      </c>
      <c r="F1338" s="79" t="str">
        <f t="shared" si="102"/>
        <v/>
      </c>
      <c r="G1338" s="101"/>
      <c r="H1338" s="91">
        <f t="shared" si="103"/>
        <v>0</v>
      </c>
      <c r="I1338" s="91" t="str">
        <f t="shared" si="104"/>
        <v/>
      </c>
      <c r="J1338" s="91" t="str">
        <f t="shared" si="105"/>
        <v/>
      </c>
      <c r="K1338" s="92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2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58"/>
      <c r="U1338" s="217" t="str">
        <f t="shared" si="106"/>
        <v/>
      </c>
      <c r="V1338" s="215" t="s">
        <v>47</v>
      </c>
      <c r="W1338" s="102" t="s">
        <v>136</v>
      </c>
      <c r="X1338" s="102" t="s">
        <v>137</v>
      </c>
      <c r="Y1338" s="103" t="s">
        <v>138</v>
      </c>
      <c r="Z1338" s="103" t="s">
        <v>139</v>
      </c>
      <c r="AA1338" s="103" t="s">
        <v>47</v>
      </c>
      <c r="AB1338" s="103" t="s">
        <v>140</v>
      </c>
      <c r="AC1338" s="104" t="s">
        <v>141</v>
      </c>
    </row>
    <row r="1339" spans="1:29" ht="25.5" customHeight="1" x14ac:dyDescent="0.35">
      <c r="A1339" s="188"/>
      <c r="B1339" s="190"/>
      <c r="C1339" s="99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0"/>
      <c r="E1339" s="78" t="str">
        <f>IF(C1339="","",IFERROR(VLOOKUP(C1339,parametros!$A$11:$E$15,5,0),""))</f>
        <v/>
      </c>
      <c r="F1339" s="79" t="str">
        <f t="shared" si="102"/>
        <v/>
      </c>
      <c r="G1339" s="101"/>
      <c r="H1339" s="91">
        <f t="shared" si="103"/>
        <v>0</v>
      </c>
      <c r="I1339" s="91" t="str">
        <f t="shared" si="104"/>
        <v/>
      </c>
      <c r="J1339" s="91" t="str">
        <f t="shared" si="105"/>
        <v/>
      </c>
      <c r="K1339" s="92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2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58"/>
      <c r="U1339" s="217" t="str">
        <f t="shared" si="106"/>
        <v/>
      </c>
      <c r="V1339" s="215" t="s">
        <v>47</v>
      </c>
      <c r="W1339" s="102" t="s">
        <v>136</v>
      </c>
      <c r="X1339" s="102" t="s">
        <v>137</v>
      </c>
      <c r="Y1339" s="103" t="s">
        <v>138</v>
      </c>
      <c r="Z1339" s="103" t="s">
        <v>139</v>
      </c>
      <c r="AA1339" s="103" t="s">
        <v>47</v>
      </c>
      <c r="AB1339" s="103" t="s">
        <v>140</v>
      </c>
      <c r="AC1339" s="104" t="s">
        <v>141</v>
      </c>
    </row>
    <row r="1340" spans="1:29" ht="25.5" customHeight="1" x14ac:dyDescent="0.35">
      <c r="A1340" s="188"/>
      <c r="B1340" s="190"/>
      <c r="C1340" s="99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0"/>
      <c r="E1340" s="78" t="str">
        <f>IF(C1340="","",IFERROR(VLOOKUP(C1340,parametros!$A$11:$E$15,5,0),""))</f>
        <v/>
      </c>
      <c r="F1340" s="79" t="str">
        <f t="shared" si="102"/>
        <v/>
      </c>
      <c r="G1340" s="101"/>
      <c r="H1340" s="91">
        <f t="shared" si="103"/>
        <v>0</v>
      </c>
      <c r="I1340" s="91" t="str">
        <f t="shared" si="104"/>
        <v/>
      </c>
      <c r="J1340" s="91" t="str">
        <f t="shared" si="105"/>
        <v/>
      </c>
      <c r="K1340" s="92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2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58"/>
      <c r="U1340" s="217" t="str">
        <f t="shared" si="106"/>
        <v/>
      </c>
      <c r="V1340" s="215" t="s">
        <v>47</v>
      </c>
      <c r="W1340" s="102" t="s">
        <v>136</v>
      </c>
      <c r="X1340" s="102" t="s">
        <v>137</v>
      </c>
      <c r="Y1340" s="103" t="s">
        <v>138</v>
      </c>
      <c r="Z1340" s="103" t="s">
        <v>139</v>
      </c>
      <c r="AA1340" s="103" t="s">
        <v>47</v>
      </c>
      <c r="AB1340" s="103" t="s">
        <v>140</v>
      </c>
      <c r="AC1340" s="104" t="s">
        <v>141</v>
      </c>
    </row>
    <row r="1341" spans="1:29" ht="25.5" customHeight="1" x14ac:dyDescent="0.35">
      <c r="A1341" s="188"/>
      <c r="B1341" s="190"/>
      <c r="C1341" s="99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0"/>
      <c r="E1341" s="78" t="str">
        <f>IF(C1341="","",IFERROR(VLOOKUP(C1341,parametros!$A$11:$E$15,5,0),""))</f>
        <v/>
      </c>
      <c r="F1341" s="79" t="str">
        <f t="shared" si="102"/>
        <v/>
      </c>
      <c r="G1341" s="101"/>
      <c r="H1341" s="91">
        <f t="shared" si="103"/>
        <v>0</v>
      </c>
      <c r="I1341" s="91" t="str">
        <f t="shared" si="104"/>
        <v/>
      </c>
      <c r="J1341" s="91" t="str">
        <f t="shared" si="105"/>
        <v/>
      </c>
      <c r="K1341" s="92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2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58"/>
      <c r="U1341" s="217" t="str">
        <f t="shared" si="106"/>
        <v/>
      </c>
      <c r="V1341" s="215" t="s">
        <v>47</v>
      </c>
      <c r="W1341" s="102" t="s">
        <v>136</v>
      </c>
      <c r="X1341" s="102" t="s">
        <v>137</v>
      </c>
      <c r="Y1341" s="103" t="s">
        <v>138</v>
      </c>
      <c r="Z1341" s="103" t="s">
        <v>139</v>
      </c>
      <c r="AA1341" s="103" t="s">
        <v>47</v>
      </c>
      <c r="AB1341" s="103" t="s">
        <v>140</v>
      </c>
      <c r="AC1341" s="104" t="s">
        <v>141</v>
      </c>
    </row>
    <row r="1342" spans="1:29" ht="25.5" customHeight="1" x14ac:dyDescent="0.35">
      <c r="A1342" s="188"/>
      <c r="B1342" s="190"/>
      <c r="C1342" s="99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0"/>
      <c r="E1342" s="78" t="str">
        <f>IF(C1342="","",IFERROR(VLOOKUP(C1342,parametros!$A$11:$E$15,5,0),""))</f>
        <v/>
      </c>
      <c r="F1342" s="79" t="str">
        <f t="shared" si="102"/>
        <v/>
      </c>
      <c r="G1342" s="101"/>
      <c r="H1342" s="91">
        <f t="shared" si="103"/>
        <v>0</v>
      </c>
      <c r="I1342" s="91" t="str">
        <f t="shared" si="104"/>
        <v/>
      </c>
      <c r="J1342" s="91" t="str">
        <f t="shared" si="105"/>
        <v/>
      </c>
      <c r="K1342" s="92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2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58"/>
      <c r="U1342" s="217" t="str">
        <f t="shared" si="106"/>
        <v/>
      </c>
      <c r="V1342" s="215" t="s">
        <v>47</v>
      </c>
      <c r="W1342" s="102" t="s">
        <v>136</v>
      </c>
      <c r="X1342" s="102" t="s">
        <v>137</v>
      </c>
      <c r="Y1342" s="103" t="s">
        <v>138</v>
      </c>
      <c r="Z1342" s="103" t="s">
        <v>139</v>
      </c>
      <c r="AA1342" s="103" t="s">
        <v>47</v>
      </c>
      <c r="AB1342" s="103" t="s">
        <v>140</v>
      </c>
      <c r="AC1342" s="104" t="s">
        <v>141</v>
      </c>
    </row>
    <row r="1343" spans="1:29" ht="25.5" customHeight="1" x14ac:dyDescent="0.35">
      <c r="A1343" s="188"/>
      <c r="B1343" s="190"/>
      <c r="C1343" s="99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0"/>
      <c r="E1343" s="78" t="str">
        <f>IF(C1343="","",IFERROR(VLOOKUP(C1343,parametros!$A$11:$E$15,5,0),""))</f>
        <v/>
      </c>
      <c r="F1343" s="79" t="str">
        <f t="shared" si="102"/>
        <v/>
      </c>
      <c r="G1343" s="101"/>
      <c r="H1343" s="91">
        <f t="shared" si="103"/>
        <v>0</v>
      </c>
      <c r="I1343" s="91" t="str">
        <f t="shared" si="104"/>
        <v/>
      </c>
      <c r="J1343" s="91" t="str">
        <f t="shared" si="105"/>
        <v/>
      </c>
      <c r="K1343" s="92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2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58"/>
      <c r="U1343" s="217" t="str">
        <f t="shared" si="106"/>
        <v/>
      </c>
      <c r="V1343" s="215" t="s">
        <v>47</v>
      </c>
      <c r="W1343" s="102" t="s">
        <v>136</v>
      </c>
      <c r="X1343" s="102" t="s">
        <v>137</v>
      </c>
      <c r="Y1343" s="103" t="s">
        <v>138</v>
      </c>
      <c r="Z1343" s="103" t="s">
        <v>139</v>
      </c>
      <c r="AA1343" s="103" t="s">
        <v>47</v>
      </c>
      <c r="AB1343" s="103" t="s">
        <v>140</v>
      </c>
      <c r="AC1343" s="104" t="s">
        <v>141</v>
      </c>
    </row>
    <row r="1344" spans="1:29" ht="25.5" customHeight="1" x14ac:dyDescent="0.35">
      <c r="A1344" s="188"/>
      <c r="B1344" s="190"/>
      <c r="C1344" s="99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0"/>
      <c r="E1344" s="78" t="str">
        <f>IF(C1344="","",IFERROR(VLOOKUP(C1344,parametros!$A$11:$E$15,5,0),""))</f>
        <v/>
      </c>
      <c r="F1344" s="79" t="str">
        <f t="shared" si="102"/>
        <v/>
      </c>
      <c r="G1344" s="101"/>
      <c r="H1344" s="91">
        <f t="shared" si="103"/>
        <v>0</v>
      </c>
      <c r="I1344" s="91" t="str">
        <f t="shared" si="104"/>
        <v/>
      </c>
      <c r="J1344" s="91" t="str">
        <f t="shared" si="105"/>
        <v/>
      </c>
      <c r="K1344" s="92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2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58"/>
      <c r="U1344" s="217" t="str">
        <f t="shared" si="106"/>
        <v/>
      </c>
      <c r="V1344" s="215" t="s">
        <v>47</v>
      </c>
      <c r="W1344" s="102" t="s">
        <v>136</v>
      </c>
      <c r="X1344" s="102" t="s">
        <v>137</v>
      </c>
      <c r="Y1344" s="103" t="s">
        <v>138</v>
      </c>
      <c r="Z1344" s="103" t="s">
        <v>139</v>
      </c>
      <c r="AA1344" s="103" t="s">
        <v>47</v>
      </c>
      <c r="AB1344" s="103" t="s">
        <v>140</v>
      </c>
      <c r="AC1344" s="104" t="s">
        <v>141</v>
      </c>
    </row>
    <row r="1345" spans="1:29" ht="25.5" customHeight="1" x14ac:dyDescent="0.35">
      <c r="A1345" s="188"/>
      <c r="B1345" s="190"/>
      <c r="C1345" s="99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0"/>
      <c r="E1345" s="78" t="str">
        <f>IF(C1345="","",IFERROR(VLOOKUP(C1345,parametros!$A$11:$E$15,5,0),""))</f>
        <v/>
      </c>
      <c r="F1345" s="79" t="str">
        <f t="shared" si="102"/>
        <v/>
      </c>
      <c r="G1345" s="101"/>
      <c r="H1345" s="91">
        <f t="shared" si="103"/>
        <v>0</v>
      </c>
      <c r="I1345" s="91" t="str">
        <f t="shared" si="104"/>
        <v/>
      </c>
      <c r="J1345" s="91" t="str">
        <f t="shared" si="105"/>
        <v/>
      </c>
      <c r="K1345" s="92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2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58"/>
      <c r="U1345" s="217" t="str">
        <f t="shared" si="106"/>
        <v/>
      </c>
      <c r="V1345" s="215" t="s">
        <v>47</v>
      </c>
      <c r="W1345" s="102" t="s">
        <v>136</v>
      </c>
      <c r="X1345" s="102" t="s">
        <v>137</v>
      </c>
      <c r="Y1345" s="103" t="s">
        <v>138</v>
      </c>
      <c r="Z1345" s="103" t="s">
        <v>139</v>
      </c>
      <c r="AA1345" s="103" t="s">
        <v>47</v>
      </c>
      <c r="AB1345" s="103" t="s">
        <v>140</v>
      </c>
      <c r="AC1345" s="104" t="s">
        <v>141</v>
      </c>
    </row>
    <row r="1346" spans="1:29" ht="25.5" customHeight="1" x14ac:dyDescent="0.35">
      <c r="A1346" s="188"/>
      <c r="B1346" s="190"/>
      <c r="C1346" s="99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0"/>
      <c r="E1346" s="78" t="str">
        <f>IF(C1346="","",IFERROR(VLOOKUP(C1346,parametros!$A$11:$E$15,5,0),""))</f>
        <v/>
      </c>
      <c r="F1346" s="79" t="str">
        <f t="shared" ref="F1346:F1409" si="107">IF(OR(D1346="",E1346=""),"",ROUND(D1346*E1346,2))</f>
        <v/>
      </c>
      <c r="G1346" s="101"/>
      <c r="H1346" s="91">
        <f t="shared" ref="H1346:H1409" si="108">IF(G1346="Sim",IF(OR(F1346="",D1346="",L1346=""),"",IF(L1346="Sim",ROUND(F1346-D1346,2),0)),0)</f>
        <v>0</v>
      </c>
      <c r="I1346" s="91" t="str">
        <f t="shared" ref="I1346:I1409" si="109">IF(G1346="Sim",0,IF(OR(F1346="",L1346=""),"",F1346))</f>
        <v/>
      </c>
      <c r="J1346" s="91" t="str">
        <f t="shared" ref="J1346:J1409" si="110">IF(G1346="Sim",0,IF(OR(F1346="",D1346="",L1346=""),"",IF(L1346="Sim",ROUND(F1346-D1346,2),0)))</f>
        <v/>
      </c>
      <c r="K1346" s="92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2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58"/>
      <c r="U1346" s="217" t="str">
        <f t="shared" ref="U1346:U1409" si="111">IF(OR($D1346="",$H1346=""),"",ROUND($D1346+$H1346,2))</f>
        <v/>
      </c>
      <c r="V1346" s="215" t="s">
        <v>47</v>
      </c>
      <c r="W1346" s="102" t="s">
        <v>136</v>
      </c>
      <c r="X1346" s="102" t="s">
        <v>137</v>
      </c>
      <c r="Y1346" s="103" t="s">
        <v>138</v>
      </c>
      <c r="Z1346" s="103" t="s">
        <v>139</v>
      </c>
      <c r="AA1346" s="103" t="s">
        <v>47</v>
      </c>
      <c r="AB1346" s="103" t="s">
        <v>140</v>
      </c>
      <c r="AC1346" s="104" t="s">
        <v>141</v>
      </c>
    </row>
    <row r="1347" spans="1:29" ht="25.5" customHeight="1" x14ac:dyDescent="0.35">
      <c r="A1347" s="188"/>
      <c r="B1347" s="190"/>
      <c r="C1347" s="99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0"/>
      <c r="E1347" s="78" t="str">
        <f>IF(C1347="","",IFERROR(VLOOKUP(C1347,parametros!$A$11:$E$15,5,0),""))</f>
        <v/>
      </c>
      <c r="F1347" s="79" t="str">
        <f t="shared" si="107"/>
        <v/>
      </c>
      <c r="G1347" s="101"/>
      <c r="H1347" s="91">
        <f t="shared" si="108"/>
        <v>0</v>
      </c>
      <c r="I1347" s="91" t="str">
        <f t="shared" si="109"/>
        <v/>
      </c>
      <c r="J1347" s="91" t="str">
        <f t="shared" si="110"/>
        <v/>
      </c>
      <c r="K1347" s="92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2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58"/>
      <c r="U1347" s="217" t="str">
        <f t="shared" si="111"/>
        <v/>
      </c>
      <c r="V1347" s="215" t="s">
        <v>47</v>
      </c>
      <c r="W1347" s="102" t="s">
        <v>136</v>
      </c>
      <c r="X1347" s="102" t="s">
        <v>137</v>
      </c>
      <c r="Y1347" s="103" t="s">
        <v>138</v>
      </c>
      <c r="Z1347" s="103" t="s">
        <v>139</v>
      </c>
      <c r="AA1347" s="103" t="s">
        <v>47</v>
      </c>
      <c r="AB1347" s="103" t="s">
        <v>140</v>
      </c>
      <c r="AC1347" s="104" t="s">
        <v>141</v>
      </c>
    </row>
    <row r="1348" spans="1:29" ht="25.5" customHeight="1" x14ac:dyDescent="0.35">
      <c r="A1348" s="188"/>
      <c r="B1348" s="190"/>
      <c r="C1348" s="99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0"/>
      <c r="E1348" s="78" t="str">
        <f>IF(C1348="","",IFERROR(VLOOKUP(C1348,parametros!$A$11:$E$15,5,0),""))</f>
        <v/>
      </c>
      <c r="F1348" s="79" t="str">
        <f t="shared" si="107"/>
        <v/>
      </c>
      <c r="G1348" s="101"/>
      <c r="H1348" s="91">
        <f t="shared" si="108"/>
        <v>0</v>
      </c>
      <c r="I1348" s="91" t="str">
        <f t="shared" si="109"/>
        <v/>
      </c>
      <c r="J1348" s="91" t="str">
        <f t="shared" si="110"/>
        <v/>
      </c>
      <c r="K1348" s="92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2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58"/>
      <c r="U1348" s="217" t="str">
        <f t="shared" si="111"/>
        <v/>
      </c>
      <c r="V1348" s="215" t="s">
        <v>47</v>
      </c>
      <c r="W1348" s="102" t="s">
        <v>136</v>
      </c>
      <c r="X1348" s="102" t="s">
        <v>137</v>
      </c>
      <c r="Y1348" s="103" t="s">
        <v>138</v>
      </c>
      <c r="Z1348" s="103" t="s">
        <v>139</v>
      </c>
      <c r="AA1348" s="103" t="s">
        <v>47</v>
      </c>
      <c r="AB1348" s="103" t="s">
        <v>140</v>
      </c>
      <c r="AC1348" s="104" t="s">
        <v>141</v>
      </c>
    </row>
    <row r="1349" spans="1:29" ht="25.5" customHeight="1" x14ac:dyDescent="0.35">
      <c r="A1349" s="188"/>
      <c r="B1349" s="190"/>
      <c r="C1349" s="99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0"/>
      <c r="E1349" s="78" t="str">
        <f>IF(C1349="","",IFERROR(VLOOKUP(C1349,parametros!$A$11:$E$15,5,0),""))</f>
        <v/>
      </c>
      <c r="F1349" s="79" t="str">
        <f t="shared" si="107"/>
        <v/>
      </c>
      <c r="G1349" s="101"/>
      <c r="H1349" s="91">
        <f t="shared" si="108"/>
        <v>0</v>
      </c>
      <c r="I1349" s="91" t="str">
        <f t="shared" si="109"/>
        <v/>
      </c>
      <c r="J1349" s="91" t="str">
        <f t="shared" si="110"/>
        <v/>
      </c>
      <c r="K1349" s="92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2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58"/>
      <c r="U1349" s="217" t="str">
        <f t="shared" si="111"/>
        <v/>
      </c>
      <c r="V1349" s="215" t="s">
        <v>47</v>
      </c>
      <c r="W1349" s="102" t="s">
        <v>136</v>
      </c>
      <c r="X1349" s="102" t="s">
        <v>137</v>
      </c>
      <c r="Y1349" s="103" t="s">
        <v>138</v>
      </c>
      <c r="Z1349" s="103" t="s">
        <v>139</v>
      </c>
      <c r="AA1349" s="103" t="s">
        <v>47</v>
      </c>
      <c r="AB1349" s="103" t="s">
        <v>140</v>
      </c>
      <c r="AC1349" s="104" t="s">
        <v>141</v>
      </c>
    </row>
    <row r="1350" spans="1:29" ht="25.5" customHeight="1" x14ac:dyDescent="0.35">
      <c r="A1350" s="188"/>
      <c r="B1350" s="190"/>
      <c r="C1350" s="99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0"/>
      <c r="E1350" s="78" t="str">
        <f>IF(C1350="","",IFERROR(VLOOKUP(C1350,parametros!$A$11:$E$15,5,0),""))</f>
        <v/>
      </c>
      <c r="F1350" s="79" t="str">
        <f t="shared" si="107"/>
        <v/>
      </c>
      <c r="G1350" s="101"/>
      <c r="H1350" s="91">
        <f t="shared" si="108"/>
        <v>0</v>
      </c>
      <c r="I1350" s="91" t="str">
        <f t="shared" si="109"/>
        <v/>
      </c>
      <c r="J1350" s="91" t="str">
        <f t="shared" si="110"/>
        <v/>
      </c>
      <c r="K1350" s="92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2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58"/>
      <c r="U1350" s="217" t="str">
        <f t="shared" si="111"/>
        <v/>
      </c>
      <c r="V1350" s="215" t="s">
        <v>47</v>
      </c>
      <c r="W1350" s="102" t="s">
        <v>136</v>
      </c>
      <c r="X1350" s="102" t="s">
        <v>137</v>
      </c>
      <c r="Y1350" s="103" t="s">
        <v>138</v>
      </c>
      <c r="Z1350" s="103" t="s">
        <v>139</v>
      </c>
      <c r="AA1350" s="103" t="s">
        <v>47</v>
      </c>
      <c r="AB1350" s="103" t="s">
        <v>140</v>
      </c>
      <c r="AC1350" s="104" t="s">
        <v>141</v>
      </c>
    </row>
    <row r="1351" spans="1:29" ht="25.5" customHeight="1" x14ac:dyDescent="0.35">
      <c r="A1351" s="188"/>
      <c r="B1351" s="190"/>
      <c r="C1351" s="99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0"/>
      <c r="E1351" s="78" t="str">
        <f>IF(C1351="","",IFERROR(VLOOKUP(C1351,parametros!$A$11:$E$15,5,0),""))</f>
        <v/>
      </c>
      <c r="F1351" s="79" t="str">
        <f t="shared" si="107"/>
        <v/>
      </c>
      <c r="G1351" s="101"/>
      <c r="H1351" s="91">
        <f t="shared" si="108"/>
        <v>0</v>
      </c>
      <c r="I1351" s="91" t="str">
        <f t="shared" si="109"/>
        <v/>
      </c>
      <c r="J1351" s="91" t="str">
        <f t="shared" si="110"/>
        <v/>
      </c>
      <c r="K1351" s="92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2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58"/>
      <c r="U1351" s="217" t="str">
        <f t="shared" si="111"/>
        <v/>
      </c>
      <c r="V1351" s="215" t="s">
        <v>47</v>
      </c>
      <c r="W1351" s="102" t="s">
        <v>136</v>
      </c>
      <c r="X1351" s="102" t="s">
        <v>137</v>
      </c>
      <c r="Y1351" s="103" t="s">
        <v>138</v>
      </c>
      <c r="Z1351" s="103" t="s">
        <v>139</v>
      </c>
      <c r="AA1351" s="103" t="s">
        <v>47</v>
      </c>
      <c r="AB1351" s="103" t="s">
        <v>140</v>
      </c>
      <c r="AC1351" s="104" t="s">
        <v>141</v>
      </c>
    </row>
    <row r="1352" spans="1:29" ht="25.5" customHeight="1" x14ac:dyDescent="0.35">
      <c r="A1352" s="188"/>
      <c r="B1352" s="190"/>
      <c r="C1352" s="99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0"/>
      <c r="E1352" s="78" t="str">
        <f>IF(C1352="","",IFERROR(VLOOKUP(C1352,parametros!$A$11:$E$15,5,0),""))</f>
        <v/>
      </c>
      <c r="F1352" s="79" t="str">
        <f t="shared" si="107"/>
        <v/>
      </c>
      <c r="G1352" s="101"/>
      <c r="H1352" s="91">
        <f t="shared" si="108"/>
        <v>0</v>
      </c>
      <c r="I1352" s="91" t="str">
        <f t="shared" si="109"/>
        <v/>
      </c>
      <c r="J1352" s="91" t="str">
        <f t="shared" si="110"/>
        <v/>
      </c>
      <c r="K1352" s="92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2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58"/>
      <c r="U1352" s="217" t="str">
        <f t="shared" si="111"/>
        <v/>
      </c>
      <c r="V1352" s="215" t="s">
        <v>47</v>
      </c>
      <c r="W1352" s="102" t="s">
        <v>136</v>
      </c>
      <c r="X1352" s="102" t="s">
        <v>137</v>
      </c>
      <c r="Y1352" s="103" t="s">
        <v>138</v>
      </c>
      <c r="Z1352" s="103" t="s">
        <v>139</v>
      </c>
      <c r="AA1352" s="103" t="s">
        <v>47</v>
      </c>
      <c r="AB1352" s="103" t="s">
        <v>140</v>
      </c>
      <c r="AC1352" s="104" t="s">
        <v>141</v>
      </c>
    </row>
    <row r="1353" spans="1:29" ht="25.5" customHeight="1" x14ac:dyDescent="0.35">
      <c r="A1353" s="188"/>
      <c r="B1353" s="190"/>
      <c r="C1353" s="99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0"/>
      <c r="E1353" s="78" t="str">
        <f>IF(C1353="","",IFERROR(VLOOKUP(C1353,parametros!$A$11:$E$15,5,0),""))</f>
        <v/>
      </c>
      <c r="F1353" s="79" t="str">
        <f t="shared" si="107"/>
        <v/>
      </c>
      <c r="G1353" s="101"/>
      <c r="H1353" s="91">
        <f t="shared" si="108"/>
        <v>0</v>
      </c>
      <c r="I1353" s="91" t="str">
        <f t="shared" si="109"/>
        <v/>
      </c>
      <c r="J1353" s="91" t="str">
        <f t="shared" si="110"/>
        <v/>
      </c>
      <c r="K1353" s="92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2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58"/>
      <c r="U1353" s="217" t="str">
        <f t="shared" si="111"/>
        <v/>
      </c>
      <c r="V1353" s="215" t="s">
        <v>47</v>
      </c>
      <c r="W1353" s="102" t="s">
        <v>136</v>
      </c>
      <c r="X1353" s="102" t="s">
        <v>137</v>
      </c>
      <c r="Y1353" s="103" t="s">
        <v>138</v>
      </c>
      <c r="Z1353" s="103" t="s">
        <v>139</v>
      </c>
      <c r="AA1353" s="103" t="s">
        <v>47</v>
      </c>
      <c r="AB1353" s="103" t="s">
        <v>140</v>
      </c>
      <c r="AC1353" s="104" t="s">
        <v>141</v>
      </c>
    </row>
    <row r="1354" spans="1:29" ht="25.5" customHeight="1" x14ac:dyDescent="0.35">
      <c r="A1354" s="188"/>
      <c r="B1354" s="190"/>
      <c r="C1354" s="99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0"/>
      <c r="E1354" s="78" t="str">
        <f>IF(C1354="","",IFERROR(VLOOKUP(C1354,parametros!$A$11:$E$15,5,0),""))</f>
        <v/>
      </c>
      <c r="F1354" s="79" t="str">
        <f t="shared" si="107"/>
        <v/>
      </c>
      <c r="G1354" s="101"/>
      <c r="H1354" s="91">
        <f t="shared" si="108"/>
        <v>0</v>
      </c>
      <c r="I1354" s="91" t="str">
        <f t="shared" si="109"/>
        <v/>
      </c>
      <c r="J1354" s="91" t="str">
        <f t="shared" si="110"/>
        <v/>
      </c>
      <c r="K1354" s="92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2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58"/>
      <c r="U1354" s="217" t="str">
        <f t="shared" si="111"/>
        <v/>
      </c>
      <c r="V1354" s="215" t="s">
        <v>47</v>
      </c>
      <c r="W1354" s="102" t="s">
        <v>136</v>
      </c>
      <c r="X1354" s="102" t="s">
        <v>137</v>
      </c>
      <c r="Y1354" s="103" t="s">
        <v>138</v>
      </c>
      <c r="Z1354" s="103" t="s">
        <v>139</v>
      </c>
      <c r="AA1354" s="103" t="s">
        <v>47</v>
      </c>
      <c r="AB1354" s="103" t="s">
        <v>140</v>
      </c>
      <c r="AC1354" s="104" t="s">
        <v>141</v>
      </c>
    </row>
    <row r="1355" spans="1:29" ht="25.5" customHeight="1" x14ac:dyDescent="0.35">
      <c r="A1355" s="188"/>
      <c r="B1355" s="190"/>
      <c r="C1355" s="99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0"/>
      <c r="E1355" s="78" t="str">
        <f>IF(C1355="","",IFERROR(VLOOKUP(C1355,parametros!$A$11:$E$15,5,0),""))</f>
        <v/>
      </c>
      <c r="F1355" s="79" t="str">
        <f t="shared" si="107"/>
        <v/>
      </c>
      <c r="G1355" s="101"/>
      <c r="H1355" s="91">
        <f t="shared" si="108"/>
        <v>0</v>
      </c>
      <c r="I1355" s="91" t="str">
        <f t="shared" si="109"/>
        <v/>
      </c>
      <c r="J1355" s="91" t="str">
        <f t="shared" si="110"/>
        <v/>
      </c>
      <c r="K1355" s="92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2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58"/>
      <c r="U1355" s="217" t="str">
        <f t="shared" si="111"/>
        <v/>
      </c>
      <c r="V1355" s="215" t="s">
        <v>47</v>
      </c>
      <c r="W1355" s="102" t="s">
        <v>136</v>
      </c>
      <c r="X1355" s="102" t="s">
        <v>137</v>
      </c>
      <c r="Y1355" s="103" t="s">
        <v>138</v>
      </c>
      <c r="Z1355" s="103" t="s">
        <v>139</v>
      </c>
      <c r="AA1355" s="103" t="s">
        <v>47</v>
      </c>
      <c r="AB1355" s="103" t="s">
        <v>140</v>
      </c>
      <c r="AC1355" s="104" t="s">
        <v>141</v>
      </c>
    </row>
    <row r="1356" spans="1:29" ht="25.5" customHeight="1" x14ac:dyDescent="0.35">
      <c r="A1356" s="188"/>
      <c r="B1356" s="190"/>
      <c r="C1356" s="99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0"/>
      <c r="E1356" s="78" t="str">
        <f>IF(C1356="","",IFERROR(VLOOKUP(C1356,parametros!$A$11:$E$15,5,0),""))</f>
        <v/>
      </c>
      <c r="F1356" s="79" t="str">
        <f t="shared" si="107"/>
        <v/>
      </c>
      <c r="G1356" s="101"/>
      <c r="H1356" s="91">
        <f t="shared" si="108"/>
        <v>0</v>
      </c>
      <c r="I1356" s="91" t="str">
        <f t="shared" si="109"/>
        <v/>
      </c>
      <c r="J1356" s="91" t="str">
        <f t="shared" si="110"/>
        <v/>
      </c>
      <c r="K1356" s="92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2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58"/>
      <c r="U1356" s="217" t="str">
        <f t="shared" si="111"/>
        <v/>
      </c>
      <c r="V1356" s="215" t="s">
        <v>47</v>
      </c>
      <c r="W1356" s="102" t="s">
        <v>136</v>
      </c>
      <c r="X1356" s="102" t="s">
        <v>137</v>
      </c>
      <c r="Y1356" s="103" t="s">
        <v>138</v>
      </c>
      <c r="Z1356" s="103" t="s">
        <v>139</v>
      </c>
      <c r="AA1356" s="103" t="s">
        <v>47</v>
      </c>
      <c r="AB1356" s="103" t="s">
        <v>140</v>
      </c>
      <c r="AC1356" s="104" t="s">
        <v>141</v>
      </c>
    </row>
    <row r="1357" spans="1:29" ht="25.5" customHeight="1" x14ac:dyDescent="0.35">
      <c r="A1357" s="188"/>
      <c r="B1357" s="190"/>
      <c r="C1357" s="99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0"/>
      <c r="E1357" s="78" t="str">
        <f>IF(C1357="","",IFERROR(VLOOKUP(C1357,parametros!$A$11:$E$15,5,0),""))</f>
        <v/>
      </c>
      <c r="F1357" s="79" t="str">
        <f t="shared" si="107"/>
        <v/>
      </c>
      <c r="G1357" s="101"/>
      <c r="H1357" s="91">
        <f t="shared" si="108"/>
        <v>0</v>
      </c>
      <c r="I1357" s="91" t="str">
        <f t="shared" si="109"/>
        <v/>
      </c>
      <c r="J1357" s="91" t="str">
        <f t="shared" si="110"/>
        <v/>
      </c>
      <c r="K1357" s="92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2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58"/>
      <c r="U1357" s="217" t="str">
        <f t="shared" si="111"/>
        <v/>
      </c>
      <c r="V1357" s="215" t="s">
        <v>47</v>
      </c>
      <c r="W1357" s="102" t="s">
        <v>136</v>
      </c>
      <c r="X1357" s="102" t="s">
        <v>137</v>
      </c>
      <c r="Y1357" s="103" t="s">
        <v>138</v>
      </c>
      <c r="Z1357" s="103" t="s">
        <v>139</v>
      </c>
      <c r="AA1357" s="103" t="s">
        <v>47</v>
      </c>
      <c r="AB1357" s="103" t="s">
        <v>140</v>
      </c>
      <c r="AC1357" s="104" t="s">
        <v>141</v>
      </c>
    </row>
    <row r="1358" spans="1:29" ht="25.5" customHeight="1" x14ac:dyDescent="0.35">
      <c r="A1358" s="188"/>
      <c r="B1358" s="190"/>
      <c r="C1358" s="99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0"/>
      <c r="E1358" s="78" t="str">
        <f>IF(C1358="","",IFERROR(VLOOKUP(C1358,parametros!$A$11:$E$15,5,0),""))</f>
        <v/>
      </c>
      <c r="F1358" s="79" t="str">
        <f t="shared" si="107"/>
        <v/>
      </c>
      <c r="G1358" s="101"/>
      <c r="H1358" s="91">
        <f t="shared" si="108"/>
        <v>0</v>
      </c>
      <c r="I1358" s="91" t="str">
        <f t="shared" si="109"/>
        <v/>
      </c>
      <c r="J1358" s="91" t="str">
        <f t="shared" si="110"/>
        <v/>
      </c>
      <c r="K1358" s="92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2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58"/>
      <c r="U1358" s="217" t="str">
        <f t="shared" si="111"/>
        <v/>
      </c>
      <c r="V1358" s="215" t="s">
        <v>47</v>
      </c>
      <c r="W1358" s="102" t="s">
        <v>136</v>
      </c>
      <c r="X1358" s="102" t="s">
        <v>137</v>
      </c>
      <c r="Y1358" s="103" t="s">
        <v>138</v>
      </c>
      <c r="Z1358" s="103" t="s">
        <v>139</v>
      </c>
      <c r="AA1358" s="103" t="s">
        <v>47</v>
      </c>
      <c r="AB1358" s="103" t="s">
        <v>140</v>
      </c>
      <c r="AC1358" s="104" t="s">
        <v>141</v>
      </c>
    </row>
    <row r="1359" spans="1:29" ht="25.5" customHeight="1" x14ac:dyDescent="0.35">
      <c r="A1359" s="188"/>
      <c r="B1359" s="190"/>
      <c r="C1359" s="99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0"/>
      <c r="E1359" s="78" t="str">
        <f>IF(C1359="","",IFERROR(VLOOKUP(C1359,parametros!$A$11:$E$15,5,0),""))</f>
        <v/>
      </c>
      <c r="F1359" s="79" t="str">
        <f t="shared" si="107"/>
        <v/>
      </c>
      <c r="G1359" s="101"/>
      <c r="H1359" s="91">
        <f t="shared" si="108"/>
        <v>0</v>
      </c>
      <c r="I1359" s="91" t="str">
        <f t="shared" si="109"/>
        <v/>
      </c>
      <c r="J1359" s="91" t="str">
        <f t="shared" si="110"/>
        <v/>
      </c>
      <c r="K1359" s="92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2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58"/>
      <c r="U1359" s="217" t="str">
        <f t="shared" si="111"/>
        <v/>
      </c>
      <c r="V1359" s="215" t="s">
        <v>47</v>
      </c>
      <c r="W1359" s="102" t="s">
        <v>136</v>
      </c>
      <c r="X1359" s="102" t="s">
        <v>137</v>
      </c>
      <c r="Y1359" s="103" t="s">
        <v>138</v>
      </c>
      <c r="Z1359" s="103" t="s">
        <v>139</v>
      </c>
      <c r="AA1359" s="103" t="s">
        <v>47</v>
      </c>
      <c r="AB1359" s="103" t="s">
        <v>140</v>
      </c>
      <c r="AC1359" s="104" t="s">
        <v>141</v>
      </c>
    </row>
    <row r="1360" spans="1:29" ht="25.5" customHeight="1" x14ac:dyDescent="0.35">
      <c r="A1360" s="188"/>
      <c r="B1360" s="190"/>
      <c r="C1360" s="99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0"/>
      <c r="E1360" s="78" t="str">
        <f>IF(C1360="","",IFERROR(VLOOKUP(C1360,parametros!$A$11:$E$15,5,0),""))</f>
        <v/>
      </c>
      <c r="F1360" s="79" t="str">
        <f t="shared" si="107"/>
        <v/>
      </c>
      <c r="G1360" s="101"/>
      <c r="H1360" s="91">
        <f t="shared" si="108"/>
        <v>0</v>
      </c>
      <c r="I1360" s="91" t="str">
        <f t="shared" si="109"/>
        <v/>
      </c>
      <c r="J1360" s="91" t="str">
        <f t="shared" si="110"/>
        <v/>
      </c>
      <c r="K1360" s="92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2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58"/>
      <c r="U1360" s="217" t="str">
        <f t="shared" si="111"/>
        <v/>
      </c>
      <c r="V1360" s="215" t="s">
        <v>47</v>
      </c>
      <c r="W1360" s="102" t="s">
        <v>136</v>
      </c>
      <c r="X1360" s="102" t="s">
        <v>137</v>
      </c>
      <c r="Y1360" s="103" t="s">
        <v>138</v>
      </c>
      <c r="Z1360" s="103" t="s">
        <v>139</v>
      </c>
      <c r="AA1360" s="103" t="s">
        <v>47</v>
      </c>
      <c r="AB1360" s="103" t="s">
        <v>140</v>
      </c>
      <c r="AC1360" s="104" t="s">
        <v>141</v>
      </c>
    </row>
    <row r="1361" spans="1:29" ht="25.5" customHeight="1" x14ac:dyDescent="0.35">
      <c r="A1361" s="188"/>
      <c r="B1361" s="190"/>
      <c r="C1361" s="99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0"/>
      <c r="E1361" s="78" t="str">
        <f>IF(C1361="","",IFERROR(VLOOKUP(C1361,parametros!$A$11:$E$15,5,0),""))</f>
        <v/>
      </c>
      <c r="F1361" s="79" t="str">
        <f t="shared" si="107"/>
        <v/>
      </c>
      <c r="G1361" s="101"/>
      <c r="H1361" s="91">
        <f t="shared" si="108"/>
        <v>0</v>
      </c>
      <c r="I1361" s="91" t="str">
        <f t="shared" si="109"/>
        <v/>
      </c>
      <c r="J1361" s="91" t="str">
        <f t="shared" si="110"/>
        <v/>
      </c>
      <c r="K1361" s="92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2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58"/>
      <c r="U1361" s="217" t="str">
        <f t="shared" si="111"/>
        <v/>
      </c>
      <c r="V1361" s="215" t="s">
        <v>47</v>
      </c>
      <c r="W1361" s="102" t="s">
        <v>136</v>
      </c>
      <c r="X1361" s="102" t="s">
        <v>137</v>
      </c>
      <c r="Y1361" s="103" t="s">
        <v>138</v>
      </c>
      <c r="Z1361" s="103" t="s">
        <v>139</v>
      </c>
      <c r="AA1361" s="103" t="s">
        <v>47</v>
      </c>
      <c r="AB1361" s="103" t="s">
        <v>140</v>
      </c>
      <c r="AC1361" s="104" t="s">
        <v>141</v>
      </c>
    </row>
    <row r="1362" spans="1:29" ht="25.5" customHeight="1" x14ac:dyDescent="0.35">
      <c r="A1362" s="188"/>
      <c r="B1362" s="190"/>
      <c r="C1362" s="99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0"/>
      <c r="E1362" s="78" t="str">
        <f>IF(C1362="","",IFERROR(VLOOKUP(C1362,parametros!$A$11:$E$15,5,0),""))</f>
        <v/>
      </c>
      <c r="F1362" s="79" t="str">
        <f t="shared" si="107"/>
        <v/>
      </c>
      <c r="G1362" s="101"/>
      <c r="H1362" s="91">
        <f t="shared" si="108"/>
        <v>0</v>
      </c>
      <c r="I1362" s="91" t="str">
        <f t="shared" si="109"/>
        <v/>
      </c>
      <c r="J1362" s="91" t="str">
        <f t="shared" si="110"/>
        <v/>
      </c>
      <c r="K1362" s="92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2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58"/>
      <c r="U1362" s="217" t="str">
        <f t="shared" si="111"/>
        <v/>
      </c>
      <c r="V1362" s="215" t="s">
        <v>47</v>
      </c>
      <c r="W1362" s="102" t="s">
        <v>136</v>
      </c>
      <c r="X1362" s="102" t="s">
        <v>137</v>
      </c>
      <c r="Y1362" s="103" t="s">
        <v>138</v>
      </c>
      <c r="Z1362" s="103" t="s">
        <v>139</v>
      </c>
      <c r="AA1362" s="103" t="s">
        <v>47</v>
      </c>
      <c r="AB1362" s="103" t="s">
        <v>140</v>
      </c>
      <c r="AC1362" s="104" t="s">
        <v>141</v>
      </c>
    </row>
    <row r="1363" spans="1:29" ht="25.5" customHeight="1" x14ac:dyDescent="0.35">
      <c r="A1363" s="188"/>
      <c r="B1363" s="190"/>
      <c r="C1363" s="99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0"/>
      <c r="E1363" s="78" t="str">
        <f>IF(C1363="","",IFERROR(VLOOKUP(C1363,parametros!$A$11:$E$15,5,0),""))</f>
        <v/>
      </c>
      <c r="F1363" s="79" t="str">
        <f t="shared" si="107"/>
        <v/>
      </c>
      <c r="G1363" s="101"/>
      <c r="H1363" s="91">
        <f t="shared" si="108"/>
        <v>0</v>
      </c>
      <c r="I1363" s="91" t="str">
        <f t="shared" si="109"/>
        <v/>
      </c>
      <c r="J1363" s="91" t="str">
        <f t="shared" si="110"/>
        <v/>
      </c>
      <c r="K1363" s="92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2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58"/>
      <c r="U1363" s="217" t="str">
        <f t="shared" si="111"/>
        <v/>
      </c>
      <c r="V1363" s="215" t="s">
        <v>47</v>
      </c>
      <c r="W1363" s="102" t="s">
        <v>136</v>
      </c>
      <c r="X1363" s="102" t="s">
        <v>137</v>
      </c>
      <c r="Y1363" s="103" t="s">
        <v>138</v>
      </c>
      <c r="Z1363" s="103" t="s">
        <v>139</v>
      </c>
      <c r="AA1363" s="103" t="s">
        <v>47</v>
      </c>
      <c r="AB1363" s="103" t="s">
        <v>140</v>
      </c>
      <c r="AC1363" s="104" t="s">
        <v>141</v>
      </c>
    </row>
    <row r="1364" spans="1:29" ht="25.5" customHeight="1" x14ac:dyDescent="0.35">
      <c r="A1364" s="188"/>
      <c r="B1364" s="190"/>
      <c r="C1364" s="99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0"/>
      <c r="E1364" s="78" t="str">
        <f>IF(C1364="","",IFERROR(VLOOKUP(C1364,parametros!$A$11:$E$15,5,0),""))</f>
        <v/>
      </c>
      <c r="F1364" s="79" t="str">
        <f t="shared" si="107"/>
        <v/>
      </c>
      <c r="G1364" s="101"/>
      <c r="H1364" s="91">
        <f t="shared" si="108"/>
        <v>0</v>
      </c>
      <c r="I1364" s="91" t="str">
        <f t="shared" si="109"/>
        <v/>
      </c>
      <c r="J1364" s="91" t="str">
        <f t="shared" si="110"/>
        <v/>
      </c>
      <c r="K1364" s="92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2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58"/>
      <c r="U1364" s="217" t="str">
        <f t="shared" si="111"/>
        <v/>
      </c>
      <c r="V1364" s="215" t="s">
        <v>47</v>
      </c>
      <c r="W1364" s="102" t="s">
        <v>136</v>
      </c>
      <c r="X1364" s="102" t="s">
        <v>137</v>
      </c>
      <c r="Y1364" s="103" t="s">
        <v>138</v>
      </c>
      <c r="Z1364" s="103" t="s">
        <v>139</v>
      </c>
      <c r="AA1364" s="103" t="s">
        <v>47</v>
      </c>
      <c r="AB1364" s="103" t="s">
        <v>140</v>
      </c>
      <c r="AC1364" s="104" t="s">
        <v>141</v>
      </c>
    </row>
    <row r="1365" spans="1:29" ht="25.5" customHeight="1" x14ac:dyDescent="0.35">
      <c r="A1365" s="188"/>
      <c r="B1365" s="190"/>
      <c r="C1365" s="99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0"/>
      <c r="E1365" s="78" t="str">
        <f>IF(C1365="","",IFERROR(VLOOKUP(C1365,parametros!$A$11:$E$15,5,0),""))</f>
        <v/>
      </c>
      <c r="F1365" s="79" t="str">
        <f t="shared" si="107"/>
        <v/>
      </c>
      <c r="G1365" s="101"/>
      <c r="H1365" s="91">
        <f t="shared" si="108"/>
        <v>0</v>
      </c>
      <c r="I1365" s="91" t="str">
        <f t="shared" si="109"/>
        <v/>
      </c>
      <c r="J1365" s="91" t="str">
        <f t="shared" si="110"/>
        <v/>
      </c>
      <c r="K1365" s="92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2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58"/>
      <c r="U1365" s="217" t="str">
        <f t="shared" si="111"/>
        <v/>
      </c>
      <c r="V1365" s="215" t="s">
        <v>47</v>
      </c>
      <c r="W1365" s="102" t="s">
        <v>136</v>
      </c>
      <c r="X1365" s="102" t="s">
        <v>137</v>
      </c>
      <c r="Y1365" s="103" t="s">
        <v>138</v>
      </c>
      <c r="Z1365" s="103" t="s">
        <v>139</v>
      </c>
      <c r="AA1365" s="103" t="s">
        <v>47</v>
      </c>
      <c r="AB1365" s="103" t="s">
        <v>140</v>
      </c>
      <c r="AC1365" s="104" t="s">
        <v>141</v>
      </c>
    </row>
    <row r="1366" spans="1:29" ht="25.5" customHeight="1" x14ac:dyDescent="0.35">
      <c r="A1366" s="188"/>
      <c r="B1366" s="190"/>
      <c r="C1366" s="99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0"/>
      <c r="E1366" s="78" t="str">
        <f>IF(C1366="","",IFERROR(VLOOKUP(C1366,parametros!$A$11:$E$15,5,0),""))</f>
        <v/>
      </c>
      <c r="F1366" s="79" t="str">
        <f t="shared" si="107"/>
        <v/>
      </c>
      <c r="G1366" s="101"/>
      <c r="H1366" s="91">
        <f t="shared" si="108"/>
        <v>0</v>
      </c>
      <c r="I1366" s="91" t="str">
        <f t="shared" si="109"/>
        <v/>
      </c>
      <c r="J1366" s="91" t="str">
        <f t="shared" si="110"/>
        <v/>
      </c>
      <c r="K1366" s="92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2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58"/>
      <c r="U1366" s="217" t="str">
        <f t="shared" si="111"/>
        <v/>
      </c>
      <c r="V1366" s="215" t="s">
        <v>47</v>
      </c>
      <c r="W1366" s="102" t="s">
        <v>136</v>
      </c>
      <c r="X1366" s="102" t="s">
        <v>137</v>
      </c>
      <c r="Y1366" s="103" t="s">
        <v>138</v>
      </c>
      <c r="Z1366" s="103" t="s">
        <v>139</v>
      </c>
      <c r="AA1366" s="103" t="s">
        <v>47</v>
      </c>
      <c r="AB1366" s="103" t="s">
        <v>140</v>
      </c>
      <c r="AC1366" s="104" t="s">
        <v>141</v>
      </c>
    </row>
    <row r="1367" spans="1:29" ht="25.5" customHeight="1" x14ac:dyDescent="0.35">
      <c r="A1367" s="188"/>
      <c r="B1367" s="190"/>
      <c r="C1367" s="99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0"/>
      <c r="E1367" s="78" t="str">
        <f>IF(C1367="","",IFERROR(VLOOKUP(C1367,parametros!$A$11:$E$15,5,0),""))</f>
        <v/>
      </c>
      <c r="F1367" s="79" t="str">
        <f t="shared" si="107"/>
        <v/>
      </c>
      <c r="G1367" s="101"/>
      <c r="H1367" s="91">
        <f t="shared" si="108"/>
        <v>0</v>
      </c>
      <c r="I1367" s="91" t="str">
        <f t="shared" si="109"/>
        <v/>
      </c>
      <c r="J1367" s="91" t="str">
        <f t="shared" si="110"/>
        <v/>
      </c>
      <c r="K1367" s="92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2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58"/>
      <c r="U1367" s="217" t="str">
        <f t="shared" si="111"/>
        <v/>
      </c>
      <c r="V1367" s="215" t="s">
        <v>47</v>
      </c>
      <c r="W1367" s="102" t="s">
        <v>136</v>
      </c>
      <c r="X1367" s="102" t="s">
        <v>137</v>
      </c>
      <c r="Y1367" s="103" t="s">
        <v>138</v>
      </c>
      <c r="Z1367" s="103" t="s">
        <v>139</v>
      </c>
      <c r="AA1367" s="103" t="s">
        <v>47</v>
      </c>
      <c r="AB1367" s="103" t="s">
        <v>140</v>
      </c>
      <c r="AC1367" s="104" t="s">
        <v>141</v>
      </c>
    </row>
    <row r="1368" spans="1:29" ht="25.5" customHeight="1" x14ac:dyDescent="0.35">
      <c r="A1368" s="188"/>
      <c r="B1368" s="190"/>
      <c r="C1368" s="99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0"/>
      <c r="E1368" s="78" t="str">
        <f>IF(C1368="","",IFERROR(VLOOKUP(C1368,parametros!$A$11:$E$15,5,0),""))</f>
        <v/>
      </c>
      <c r="F1368" s="79" t="str">
        <f t="shared" si="107"/>
        <v/>
      </c>
      <c r="G1368" s="101"/>
      <c r="H1368" s="91">
        <f t="shared" si="108"/>
        <v>0</v>
      </c>
      <c r="I1368" s="91" t="str">
        <f t="shared" si="109"/>
        <v/>
      </c>
      <c r="J1368" s="91" t="str">
        <f t="shared" si="110"/>
        <v/>
      </c>
      <c r="K1368" s="92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2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58"/>
      <c r="U1368" s="217" t="str">
        <f t="shared" si="111"/>
        <v/>
      </c>
      <c r="V1368" s="215" t="s">
        <v>47</v>
      </c>
      <c r="W1368" s="102" t="s">
        <v>136</v>
      </c>
      <c r="X1368" s="102" t="s">
        <v>137</v>
      </c>
      <c r="Y1368" s="103" t="s">
        <v>138</v>
      </c>
      <c r="Z1368" s="103" t="s">
        <v>139</v>
      </c>
      <c r="AA1368" s="103" t="s">
        <v>47</v>
      </c>
      <c r="AB1368" s="103" t="s">
        <v>140</v>
      </c>
      <c r="AC1368" s="104" t="s">
        <v>141</v>
      </c>
    </row>
    <row r="1369" spans="1:29" ht="25.5" customHeight="1" x14ac:dyDescent="0.35">
      <c r="A1369" s="188"/>
      <c r="B1369" s="190"/>
      <c r="C1369" s="99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0"/>
      <c r="E1369" s="78" t="str">
        <f>IF(C1369="","",IFERROR(VLOOKUP(C1369,parametros!$A$11:$E$15,5,0),""))</f>
        <v/>
      </c>
      <c r="F1369" s="79" t="str">
        <f t="shared" si="107"/>
        <v/>
      </c>
      <c r="G1369" s="101"/>
      <c r="H1369" s="91">
        <f t="shared" si="108"/>
        <v>0</v>
      </c>
      <c r="I1369" s="91" t="str">
        <f t="shared" si="109"/>
        <v/>
      </c>
      <c r="J1369" s="91" t="str">
        <f t="shared" si="110"/>
        <v/>
      </c>
      <c r="K1369" s="92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2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58"/>
      <c r="U1369" s="217" t="str">
        <f t="shared" si="111"/>
        <v/>
      </c>
      <c r="V1369" s="215" t="s">
        <v>47</v>
      </c>
      <c r="W1369" s="102" t="s">
        <v>136</v>
      </c>
      <c r="X1369" s="102" t="s">
        <v>137</v>
      </c>
      <c r="Y1369" s="103" t="s">
        <v>138</v>
      </c>
      <c r="Z1369" s="103" t="s">
        <v>139</v>
      </c>
      <c r="AA1369" s="103" t="s">
        <v>47</v>
      </c>
      <c r="AB1369" s="103" t="s">
        <v>140</v>
      </c>
      <c r="AC1369" s="104" t="s">
        <v>141</v>
      </c>
    </row>
    <row r="1370" spans="1:29" ht="25.5" customHeight="1" x14ac:dyDescent="0.35">
      <c r="A1370" s="188"/>
      <c r="B1370" s="190"/>
      <c r="C1370" s="99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0"/>
      <c r="E1370" s="78" t="str">
        <f>IF(C1370="","",IFERROR(VLOOKUP(C1370,parametros!$A$11:$E$15,5,0),""))</f>
        <v/>
      </c>
      <c r="F1370" s="79" t="str">
        <f t="shared" si="107"/>
        <v/>
      </c>
      <c r="G1370" s="101"/>
      <c r="H1370" s="91">
        <f t="shared" si="108"/>
        <v>0</v>
      </c>
      <c r="I1370" s="91" t="str">
        <f t="shared" si="109"/>
        <v/>
      </c>
      <c r="J1370" s="91" t="str">
        <f t="shared" si="110"/>
        <v/>
      </c>
      <c r="K1370" s="92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2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58"/>
      <c r="U1370" s="217" t="str">
        <f t="shared" si="111"/>
        <v/>
      </c>
      <c r="V1370" s="215" t="s">
        <v>47</v>
      </c>
      <c r="W1370" s="102" t="s">
        <v>136</v>
      </c>
      <c r="X1370" s="102" t="s">
        <v>137</v>
      </c>
      <c r="Y1370" s="103" t="s">
        <v>138</v>
      </c>
      <c r="Z1370" s="103" t="s">
        <v>139</v>
      </c>
      <c r="AA1370" s="103" t="s">
        <v>47</v>
      </c>
      <c r="AB1370" s="103" t="s">
        <v>140</v>
      </c>
      <c r="AC1370" s="104" t="s">
        <v>141</v>
      </c>
    </row>
    <row r="1371" spans="1:29" ht="25.5" customHeight="1" x14ac:dyDescent="0.35">
      <c r="A1371" s="188"/>
      <c r="B1371" s="190"/>
      <c r="C1371" s="99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0"/>
      <c r="E1371" s="78" t="str">
        <f>IF(C1371="","",IFERROR(VLOOKUP(C1371,parametros!$A$11:$E$15,5,0),""))</f>
        <v/>
      </c>
      <c r="F1371" s="79" t="str">
        <f t="shared" si="107"/>
        <v/>
      </c>
      <c r="G1371" s="101"/>
      <c r="H1371" s="91">
        <f t="shared" si="108"/>
        <v>0</v>
      </c>
      <c r="I1371" s="91" t="str">
        <f t="shared" si="109"/>
        <v/>
      </c>
      <c r="J1371" s="91" t="str">
        <f t="shared" si="110"/>
        <v/>
      </c>
      <c r="K1371" s="92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2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58"/>
      <c r="U1371" s="217" t="str">
        <f t="shared" si="111"/>
        <v/>
      </c>
      <c r="V1371" s="215" t="s">
        <v>47</v>
      </c>
      <c r="W1371" s="102" t="s">
        <v>136</v>
      </c>
      <c r="X1371" s="102" t="s">
        <v>137</v>
      </c>
      <c r="Y1371" s="103" t="s">
        <v>138</v>
      </c>
      <c r="Z1371" s="103" t="s">
        <v>139</v>
      </c>
      <c r="AA1371" s="103" t="s">
        <v>47</v>
      </c>
      <c r="AB1371" s="103" t="s">
        <v>140</v>
      </c>
      <c r="AC1371" s="104" t="s">
        <v>141</v>
      </c>
    </row>
    <row r="1372" spans="1:29" ht="25.5" customHeight="1" x14ac:dyDescent="0.35">
      <c r="A1372" s="188"/>
      <c r="B1372" s="190"/>
      <c r="C1372" s="99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0"/>
      <c r="E1372" s="78" t="str">
        <f>IF(C1372="","",IFERROR(VLOOKUP(C1372,parametros!$A$11:$E$15,5,0),""))</f>
        <v/>
      </c>
      <c r="F1372" s="79" t="str">
        <f t="shared" si="107"/>
        <v/>
      </c>
      <c r="G1372" s="101"/>
      <c r="H1372" s="91">
        <f t="shared" si="108"/>
        <v>0</v>
      </c>
      <c r="I1372" s="91" t="str">
        <f t="shared" si="109"/>
        <v/>
      </c>
      <c r="J1372" s="91" t="str">
        <f t="shared" si="110"/>
        <v/>
      </c>
      <c r="K1372" s="92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2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58"/>
      <c r="U1372" s="217" t="str">
        <f t="shared" si="111"/>
        <v/>
      </c>
      <c r="V1372" s="215" t="s">
        <v>47</v>
      </c>
      <c r="W1372" s="102" t="s">
        <v>136</v>
      </c>
      <c r="X1372" s="102" t="s">
        <v>137</v>
      </c>
      <c r="Y1372" s="103" t="s">
        <v>138</v>
      </c>
      <c r="Z1372" s="103" t="s">
        <v>139</v>
      </c>
      <c r="AA1372" s="103" t="s">
        <v>47</v>
      </c>
      <c r="AB1372" s="103" t="s">
        <v>140</v>
      </c>
      <c r="AC1372" s="104" t="s">
        <v>141</v>
      </c>
    </row>
    <row r="1373" spans="1:29" ht="25.5" customHeight="1" x14ac:dyDescent="0.35">
      <c r="A1373" s="188"/>
      <c r="B1373" s="190"/>
      <c r="C1373" s="99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0"/>
      <c r="E1373" s="78" t="str">
        <f>IF(C1373="","",IFERROR(VLOOKUP(C1373,parametros!$A$11:$E$15,5,0),""))</f>
        <v/>
      </c>
      <c r="F1373" s="79" t="str">
        <f t="shared" si="107"/>
        <v/>
      </c>
      <c r="G1373" s="101"/>
      <c r="H1373" s="91">
        <f t="shared" si="108"/>
        <v>0</v>
      </c>
      <c r="I1373" s="91" t="str">
        <f t="shared" si="109"/>
        <v/>
      </c>
      <c r="J1373" s="91" t="str">
        <f t="shared" si="110"/>
        <v/>
      </c>
      <c r="K1373" s="92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2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58"/>
      <c r="U1373" s="217" t="str">
        <f t="shared" si="111"/>
        <v/>
      </c>
      <c r="V1373" s="215" t="s">
        <v>47</v>
      </c>
      <c r="W1373" s="102" t="s">
        <v>136</v>
      </c>
      <c r="X1373" s="102" t="s">
        <v>137</v>
      </c>
      <c r="Y1373" s="103" t="s">
        <v>138</v>
      </c>
      <c r="Z1373" s="103" t="s">
        <v>139</v>
      </c>
      <c r="AA1373" s="103" t="s">
        <v>47</v>
      </c>
      <c r="AB1373" s="103" t="s">
        <v>140</v>
      </c>
      <c r="AC1373" s="104" t="s">
        <v>141</v>
      </c>
    </row>
    <row r="1374" spans="1:29" ht="25.5" customHeight="1" x14ac:dyDescent="0.35">
      <c r="A1374" s="188"/>
      <c r="B1374" s="190"/>
      <c r="C1374" s="99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0"/>
      <c r="E1374" s="78" t="str">
        <f>IF(C1374="","",IFERROR(VLOOKUP(C1374,parametros!$A$11:$E$15,5,0),""))</f>
        <v/>
      </c>
      <c r="F1374" s="79" t="str">
        <f t="shared" si="107"/>
        <v/>
      </c>
      <c r="G1374" s="101"/>
      <c r="H1374" s="91">
        <f t="shared" si="108"/>
        <v>0</v>
      </c>
      <c r="I1374" s="91" t="str">
        <f t="shared" si="109"/>
        <v/>
      </c>
      <c r="J1374" s="91" t="str">
        <f t="shared" si="110"/>
        <v/>
      </c>
      <c r="K1374" s="92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2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58"/>
      <c r="U1374" s="217" t="str">
        <f t="shared" si="111"/>
        <v/>
      </c>
      <c r="V1374" s="215" t="s">
        <v>47</v>
      </c>
      <c r="W1374" s="102" t="s">
        <v>136</v>
      </c>
      <c r="X1374" s="102" t="s">
        <v>137</v>
      </c>
      <c r="Y1374" s="103" t="s">
        <v>138</v>
      </c>
      <c r="Z1374" s="103" t="s">
        <v>139</v>
      </c>
      <c r="AA1374" s="103" t="s">
        <v>47</v>
      </c>
      <c r="AB1374" s="103" t="s">
        <v>140</v>
      </c>
      <c r="AC1374" s="104" t="s">
        <v>141</v>
      </c>
    </row>
    <row r="1375" spans="1:29" ht="25.5" customHeight="1" x14ac:dyDescent="0.35">
      <c r="A1375" s="188"/>
      <c r="B1375" s="190"/>
      <c r="C1375" s="99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0"/>
      <c r="E1375" s="78" t="str">
        <f>IF(C1375="","",IFERROR(VLOOKUP(C1375,parametros!$A$11:$E$15,5,0),""))</f>
        <v/>
      </c>
      <c r="F1375" s="79" t="str">
        <f t="shared" si="107"/>
        <v/>
      </c>
      <c r="G1375" s="101"/>
      <c r="H1375" s="91">
        <f t="shared" si="108"/>
        <v>0</v>
      </c>
      <c r="I1375" s="91" t="str">
        <f t="shared" si="109"/>
        <v/>
      </c>
      <c r="J1375" s="91" t="str">
        <f t="shared" si="110"/>
        <v/>
      </c>
      <c r="K1375" s="92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2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58"/>
      <c r="U1375" s="217" t="str">
        <f t="shared" si="111"/>
        <v/>
      </c>
      <c r="V1375" s="215" t="s">
        <v>47</v>
      </c>
      <c r="W1375" s="102" t="s">
        <v>136</v>
      </c>
      <c r="X1375" s="102" t="s">
        <v>137</v>
      </c>
      <c r="Y1375" s="103" t="s">
        <v>138</v>
      </c>
      <c r="Z1375" s="103" t="s">
        <v>139</v>
      </c>
      <c r="AA1375" s="103" t="s">
        <v>47</v>
      </c>
      <c r="AB1375" s="103" t="s">
        <v>140</v>
      </c>
      <c r="AC1375" s="104" t="s">
        <v>141</v>
      </c>
    </row>
    <row r="1376" spans="1:29" ht="25.5" customHeight="1" x14ac:dyDescent="0.35">
      <c r="A1376" s="188"/>
      <c r="B1376" s="190"/>
      <c r="C1376" s="99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0"/>
      <c r="E1376" s="78" t="str">
        <f>IF(C1376="","",IFERROR(VLOOKUP(C1376,parametros!$A$11:$E$15,5,0),""))</f>
        <v/>
      </c>
      <c r="F1376" s="79" t="str">
        <f t="shared" si="107"/>
        <v/>
      </c>
      <c r="G1376" s="101"/>
      <c r="H1376" s="91">
        <f t="shared" si="108"/>
        <v>0</v>
      </c>
      <c r="I1376" s="91" t="str">
        <f t="shared" si="109"/>
        <v/>
      </c>
      <c r="J1376" s="91" t="str">
        <f t="shared" si="110"/>
        <v/>
      </c>
      <c r="K1376" s="92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2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58"/>
      <c r="U1376" s="217" t="str">
        <f t="shared" si="111"/>
        <v/>
      </c>
      <c r="V1376" s="215" t="s">
        <v>47</v>
      </c>
      <c r="W1376" s="102" t="s">
        <v>136</v>
      </c>
      <c r="X1376" s="102" t="s">
        <v>137</v>
      </c>
      <c r="Y1376" s="103" t="s">
        <v>138</v>
      </c>
      <c r="Z1376" s="103" t="s">
        <v>139</v>
      </c>
      <c r="AA1376" s="103" t="s">
        <v>47</v>
      </c>
      <c r="AB1376" s="103" t="s">
        <v>140</v>
      </c>
      <c r="AC1376" s="104" t="s">
        <v>141</v>
      </c>
    </row>
    <row r="1377" spans="1:29" ht="25.5" customHeight="1" x14ac:dyDescent="0.35">
      <c r="A1377" s="188"/>
      <c r="B1377" s="190"/>
      <c r="C1377" s="99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0"/>
      <c r="E1377" s="78" t="str">
        <f>IF(C1377="","",IFERROR(VLOOKUP(C1377,parametros!$A$11:$E$15,5,0),""))</f>
        <v/>
      </c>
      <c r="F1377" s="79" t="str">
        <f t="shared" si="107"/>
        <v/>
      </c>
      <c r="G1377" s="101"/>
      <c r="H1377" s="91">
        <f t="shared" si="108"/>
        <v>0</v>
      </c>
      <c r="I1377" s="91" t="str">
        <f t="shared" si="109"/>
        <v/>
      </c>
      <c r="J1377" s="91" t="str">
        <f t="shared" si="110"/>
        <v/>
      </c>
      <c r="K1377" s="92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2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58"/>
      <c r="U1377" s="217" t="str">
        <f t="shared" si="111"/>
        <v/>
      </c>
      <c r="V1377" s="215" t="s">
        <v>47</v>
      </c>
      <c r="W1377" s="102" t="s">
        <v>136</v>
      </c>
      <c r="X1377" s="102" t="s">
        <v>137</v>
      </c>
      <c r="Y1377" s="103" t="s">
        <v>138</v>
      </c>
      <c r="Z1377" s="103" t="s">
        <v>139</v>
      </c>
      <c r="AA1377" s="103" t="s">
        <v>47</v>
      </c>
      <c r="AB1377" s="103" t="s">
        <v>140</v>
      </c>
      <c r="AC1377" s="104" t="s">
        <v>141</v>
      </c>
    </row>
    <row r="1378" spans="1:29" ht="25.5" customHeight="1" x14ac:dyDescent="0.35">
      <c r="A1378" s="188"/>
      <c r="B1378" s="190"/>
      <c r="C1378" s="99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0"/>
      <c r="E1378" s="78" t="str">
        <f>IF(C1378="","",IFERROR(VLOOKUP(C1378,parametros!$A$11:$E$15,5,0),""))</f>
        <v/>
      </c>
      <c r="F1378" s="79" t="str">
        <f t="shared" si="107"/>
        <v/>
      </c>
      <c r="G1378" s="101"/>
      <c r="H1378" s="91">
        <f t="shared" si="108"/>
        <v>0</v>
      </c>
      <c r="I1378" s="91" t="str">
        <f t="shared" si="109"/>
        <v/>
      </c>
      <c r="J1378" s="91" t="str">
        <f t="shared" si="110"/>
        <v/>
      </c>
      <c r="K1378" s="92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2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58"/>
      <c r="U1378" s="217" t="str">
        <f t="shared" si="111"/>
        <v/>
      </c>
      <c r="V1378" s="215" t="s">
        <v>47</v>
      </c>
      <c r="W1378" s="102" t="s">
        <v>136</v>
      </c>
      <c r="X1378" s="102" t="s">
        <v>137</v>
      </c>
      <c r="Y1378" s="103" t="s">
        <v>138</v>
      </c>
      <c r="Z1378" s="103" t="s">
        <v>139</v>
      </c>
      <c r="AA1378" s="103" t="s">
        <v>47</v>
      </c>
      <c r="AB1378" s="103" t="s">
        <v>140</v>
      </c>
      <c r="AC1378" s="104" t="s">
        <v>141</v>
      </c>
    </row>
    <row r="1379" spans="1:29" ht="25.5" customHeight="1" x14ac:dyDescent="0.35">
      <c r="A1379" s="188"/>
      <c r="B1379" s="190"/>
      <c r="C1379" s="99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0"/>
      <c r="E1379" s="78" t="str">
        <f>IF(C1379="","",IFERROR(VLOOKUP(C1379,parametros!$A$11:$E$15,5,0),""))</f>
        <v/>
      </c>
      <c r="F1379" s="79" t="str">
        <f t="shared" si="107"/>
        <v/>
      </c>
      <c r="G1379" s="101"/>
      <c r="H1379" s="91">
        <f t="shared" si="108"/>
        <v>0</v>
      </c>
      <c r="I1379" s="91" t="str">
        <f t="shared" si="109"/>
        <v/>
      </c>
      <c r="J1379" s="91" t="str">
        <f t="shared" si="110"/>
        <v/>
      </c>
      <c r="K1379" s="92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2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58"/>
      <c r="U1379" s="217" t="str">
        <f t="shared" si="111"/>
        <v/>
      </c>
      <c r="V1379" s="215" t="s">
        <v>47</v>
      </c>
      <c r="W1379" s="102" t="s">
        <v>136</v>
      </c>
      <c r="X1379" s="102" t="s">
        <v>137</v>
      </c>
      <c r="Y1379" s="103" t="s">
        <v>138</v>
      </c>
      <c r="Z1379" s="103" t="s">
        <v>139</v>
      </c>
      <c r="AA1379" s="103" t="s">
        <v>47</v>
      </c>
      <c r="AB1379" s="103" t="s">
        <v>140</v>
      </c>
      <c r="AC1379" s="104" t="s">
        <v>141</v>
      </c>
    </row>
    <row r="1380" spans="1:29" ht="25.5" customHeight="1" x14ac:dyDescent="0.35">
      <c r="A1380" s="188"/>
      <c r="B1380" s="190"/>
      <c r="C1380" s="99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0"/>
      <c r="E1380" s="78" t="str">
        <f>IF(C1380="","",IFERROR(VLOOKUP(C1380,parametros!$A$11:$E$15,5,0),""))</f>
        <v/>
      </c>
      <c r="F1380" s="79" t="str">
        <f t="shared" si="107"/>
        <v/>
      </c>
      <c r="G1380" s="101"/>
      <c r="H1380" s="91">
        <f t="shared" si="108"/>
        <v>0</v>
      </c>
      <c r="I1380" s="91" t="str">
        <f t="shared" si="109"/>
        <v/>
      </c>
      <c r="J1380" s="91" t="str">
        <f t="shared" si="110"/>
        <v/>
      </c>
      <c r="K1380" s="92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2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58"/>
      <c r="U1380" s="217" t="str">
        <f t="shared" si="111"/>
        <v/>
      </c>
      <c r="V1380" s="215" t="s">
        <v>47</v>
      </c>
      <c r="W1380" s="102" t="s">
        <v>136</v>
      </c>
      <c r="X1380" s="102" t="s">
        <v>137</v>
      </c>
      <c r="Y1380" s="103" t="s">
        <v>138</v>
      </c>
      <c r="Z1380" s="103" t="s">
        <v>139</v>
      </c>
      <c r="AA1380" s="103" t="s">
        <v>47</v>
      </c>
      <c r="AB1380" s="103" t="s">
        <v>140</v>
      </c>
      <c r="AC1380" s="104" t="s">
        <v>141</v>
      </c>
    </row>
    <row r="1381" spans="1:29" ht="25.5" customHeight="1" x14ac:dyDescent="0.35">
      <c r="A1381" s="188"/>
      <c r="B1381" s="190"/>
      <c r="C1381" s="99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0"/>
      <c r="E1381" s="78" t="str">
        <f>IF(C1381="","",IFERROR(VLOOKUP(C1381,parametros!$A$11:$E$15,5,0),""))</f>
        <v/>
      </c>
      <c r="F1381" s="79" t="str">
        <f t="shared" si="107"/>
        <v/>
      </c>
      <c r="G1381" s="101"/>
      <c r="H1381" s="91">
        <f t="shared" si="108"/>
        <v>0</v>
      </c>
      <c r="I1381" s="91" t="str">
        <f t="shared" si="109"/>
        <v/>
      </c>
      <c r="J1381" s="91" t="str">
        <f t="shared" si="110"/>
        <v/>
      </c>
      <c r="K1381" s="92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2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58"/>
      <c r="U1381" s="217" t="str">
        <f t="shared" si="111"/>
        <v/>
      </c>
      <c r="V1381" s="215" t="s">
        <v>47</v>
      </c>
      <c r="W1381" s="102" t="s">
        <v>136</v>
      </c>
      <c r="X1381" s="102" t="s">
        <v>137</v>
      </c>
      <c r="Y1381" s="103" t="s">
        <v>138</v>
      </c>
      <c r="Z1381" s="103" t="s">
        <v>139</v>
      </c>
      <c r="AA1381" s="103" t="s">
        <v>47</v>
      </c>
      <c r="AB1381" s="103" t="s">
        <v>140</v>
      </c>
      <c r="AC1381" s="104" t="s">
        <v>141</v>
      </c>
    </row>
    <row r="1382" spans="1:29" ht="25.5" customHeight="1" x14ac:dyDescent="0.35">
      <c r="A1382" s="188"/>
      <c r="B1382" s="190"/>
      <c r="C1382" s="99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0"/>
      <c r="E1382" s="78" t="str">
        <f>IF(C1382="","",IFERROR(VLOOKUP(C1382,parametros!$A$11:$E$15,5,0),""))</f>
        <v/>
      </c>
      <c r="F1382" s="79" t="str">
        <f t="shared" si="107"/>
        <v/>
      </c>
      <c r="G1382" s="101"/>
      <c r="H1382" s="91">
        <f t="shared" si="108"/>
        <v>0</v>
      </c>
      <c r="I1382" s="91" t="str">
        <f t="shared" si="109"/>
        <v/>
      </c>
      <c r="J1382" s="91" t="str">
        <f t="shared" si="110"/>
        <v/>
      </c>
      <c r="K1382" s="92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2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58"/>
      <c r="U1382" s="217" t="str">
        <f t="shared" si="111"/>
        <v/>
      </c>
      <c r="V1382" s="215" t="s">
        <v>47</v>
      </c>
      <c r="W1382" s="102" t="s">
        <v>136</v>
      </c>
      <c r="X1382" s="102" t="s">
        <v>137</v>
      </c>
      <c r="Y1382" s="103" t="s">
        <v>138</v>
      </c>
      <c r="Z1382" s="103" t="s">
        <v>139</v>
      </c>
      <c r="AA1382" s="103" t="s">
        <v>47</v>
      </c>
      <c r="AB1382" s="103" t="s">
        <v>140</v>
      </c>
      <c r="AC1382" s="104" t="s">
        <v>141</v>
      </c>
    </row>
    <row r="1383" spans="1:29" ht="25.5" customHeight="1" x14ac:dyDescent="0.35">
      <c r="A1383" s="188"/>
      <c r="B1383" s="190"/>
      <c r="C1383" s="99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0"/>
      <c r="E1383" s="78" t="str">
        <f>IF(C1383="","",IFERROR(VLOOKUP(C1383,parametros!$A$11:$E$15,5,0),""))</f>
        <v/>
      </c>
      <c r="F1383" s="79" t="str">
        <f t="shared" si="107"/>
        <v/>
      </c>
      <c r="G1383" s="101"/>
      <c r="H1383" s="91">
        <f t="shared" si="108"/>
        <v>0</v>
      </c>
      <c r="I1383" s="91" t="str">
        <f t="shared" si="109"/>
        <v/>
      </c>
      <c r="J1383" s="91" t="str">
        <f t="shared" si="110"/>
        <v/>
      </c>
      <c r="K1383" s="92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2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58"/>
      <c r="U1383" s="217" t="str">
        <f t="shared" si="111"/>
        <v/>
      </c>
      <c r="V1383" s="215" t="s">
        <v>47</v>
      </c>
      <c r="W1383" s="102" t="s">
        <v>136</v>
      </c>
      <c r="X1383" s="102" t="s">
        <v>137</v>
      </c>
      <c r="Y1383" s="103" t="s">
        <v>138</v>
      </c>
      <c r="Z1383" s="103" t="s">
        <v>139</v>
      </c>
      <c r="AA1383" s="103" t="s">
        <v>47</v>
      </c>
      <c r="AB1383" s="103" t="s">
        <v>140</v>
      </c>
      <c r="AC1383" s="104" t="s">
        <v>141</v>
      </c>
    </row>
    <row r="1384" spans="1:29" ht="25.5" customHeight="1" x14ac:dyDescent="0.35">
      <c r="A1384" s="188"/>
      <c r="B1384" s="190"/>
      <c r="C1384" s="99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0"/>
      <c r="E1384" s="78" t="str">
        <f>IF(C1384="","",IFERROR(VLOOKUP(C1384,parametros!$A$11:$E$15,5,0),""))</f>
        <v/>
      </c>
      <c r="F1384" s="79" t="str">
        <f t="shared" si="107"/>
        <v/>
      </c>
      <c r="G1384" s="101"/>
      <c r="H1384" s="91">
        <f t="shared" si="108"/>
        <v>0</v>
      </c>
      <c r="I1384" s="91" t="str">
        <f t="shared" si="109"/>
        <v/>
      </c>
      <c r="J1384" s="91" t="str">
        <f t="shared" si="110"/>
        <v/>
      </c>
      <c r="K1384" s="92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2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58"/>
      <c r="U1384" s="217" t="str">
        <f t="shared" si="111"/>
        <v/>
      </c>
      <c r="V1384" s="215" t="s">
        <v>47</v>
      </c>
      <c r="W1384" s="102" t="s">
        <v>136</v>
      </c>
      <c r="X1384" s="102" t="s">
        <v>137</v>
      </c>
      <c r="Y1384" s="103" t="s">
        <v>138</v>
      </c>
      <c r="Z1384" s="103" t="s">
        <v>139</v>
      </c>
      <c r="AA1384" s="103" t="s">
        <v>47</v>
      </c>
      <c r="AB1384" s="103" t="s">
        <v>140</v>
      </c>
      <c r="AC1384" s="104" t="s">
        <v>141</v>
      </c>
    </row>
    <row r="1385" spans="1:29" ht="25.5" customHeight="1" x14ac:dyDescent="0.35">
      <c r="A1385" s="188"/>
      <c r="B1385" s="190"/>
      <c r="C1385" s="99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0"/>
      <c r="E1385" s="78" t="str">
        <f>IF(C1385="","",IFERROR(VLOOKUP(C1385,parametros!$A$11:$E$15,5,0),""))</f>
        <v/>
      </c>
      <c r="F1385" s="79" t="str">
        <f t="shared" si="107"/>
        <v/>
      </c>
      <c r="G1385" s="101"/>
      <c r="H1385" s="91">
        <f t="shared" si="108"/>
        <v>0</v>
      </c>
      <c r="I1385" s="91" t="str">
        <f t="shared" si="109"/>
        <v/>
      </c>
      <c r="J1385" s="91" t="str">
        <f t="shared" si="110"/>
        <v/>
      </c>
      <c r="K1385" s="92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2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58"/>
      <c r="U1385" s="217" t="str">
        <f t="shared" si="111"/>
        <v/>
      </c>
      <c r="V1385" s="215" t="s">
        <v>47</v>
      </c>
      <c r="W1385" s="102" t="s">
        <v>136</v>
      </c>
      <c r="X1385" s="102" t="s">
        <v>137</v>
      </c>
      <c r="Y1385" s="103" t="s">
        <v>138</v>
      </c>
      <c r="Z1385" s="103" t="s">
        <v>139</v>
      </c>
      <c r="AA1385" s="103" t="s">
        <v>47</v>
      </c>
      <c r="AB1385" s="103" t="s">
        <v>140</v>
      </c>
      <c r="AC1385" s="104" t="s">
        <v>141</v>
      </c>
    </row>
    <row r="1386" spans="1:29" ht="25.5" customHeight="1" x14ac:dyDescent="0.35">
      <c r="A1386" s="188"/>
      <c r="B1386" s="190"/>
      <c r="C1386" s="99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0"/>
      <c r="E1386" s="78" t="str">
        <f>IF(C1386="","",IFERROR(VLOOKUP(C1386,parametros!$A$11:$E$15,5,0),""))</f>
        <v/>
      </c>
      <c r="F1386" s="79" t="str">
        <f t="shared" si="107"/>
        <v/>
      </c>
      <c r="G1386" s="101"/>
      <c r="H1386" s="91">
        <f t="shared" si="108"/>
        <v>0</v>
      </c>
      <c r="I1386" s="91" t="str">
        <f t="shared" si="109"/>
        <v/>
      </c>
      <c r="J1386" s="91" t="str">
        <f t="shared" si="110"/>
        <v/>
      </c>
      <c r="K1386" s="92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2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58"/>
      <c r="U1386" s="217" t="str">
        <f t="shared" si="111"/>
        <v/>
      </c>
      <c r="V1386" s="215" t="s">
        <v>47</v>
      </c>
      <c r="W1386" s="102" t="s">
        <v>136</v>
      </c>
      <c r="X1386" s="102" t="s">
        <v>137</v>
      </c>
      <c r="Y1386" s="103" t="s">
        <v>138</v>
      </c>
      <c r="Z1386" s="103" t="s">
        <v>139</v>
      </c>
      <c r="AA1386" s="103" t="s">
        <v>47</v>
      </c>
      <c r="AB1386" s="103" t="s">
        <v>140</v>
      </c>
      <c r="AC1386" s="104" t="s">
        <v>141</v>
      </c>
    </row>
    <row r="1387" spans="1:29" ht="25.5" customHeight="1" x14ac:dyDescent="0.35">
      <c r="A1387" s="188"/>
      <c r="B1387" s="190"/>
      <c r="C1387" s="99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0"/>
      <c r="E1387" s="78" t="str">
        <f>IF(C1387="","",IFERROR(VLOOKUP(C1387,parametros!$A$11:$E$15,5,0),""))</f>
        <v/>
      </c>
      <c r="F1387" s="79" t="str">
        <f t="shared" si="107"/>
        <v/>
      </c>
      <c r="G1387" s="101"/>
      <c r="H1387" s="91">
        <f t="shared" si="108"/>
        <v>0</v>
      </c>
      <c r="I1387" s="91" t="str">
        <f t="shared" si="109"/>
        <v/>
      </c>
      <c r="J1387" s="91" t="str">
        <f t="shared" si="110"/>
        <v/>
      </c>
      <c r="K1387" s="92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2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58"/>
      <c r="U1387" s="217" t="str">
        <f t="shared" si="111"/>
        <v/>
      </c>
      <c r="V1387" s="215" t="s">
        <v>47</v>
      </c>
      <c r="W1387" s="102" t="s">
        <v>136</v>
      </c>
      <c r="X1387" s="102" t="s">
        <v>137</v>
      </c>
      <c r="Y1387" s="103" t="s">
        <v>138</v>
      </c>
      <c r="Z1387" s="103" t="s">
        <v>139</v>
      </c>
      <c r="AA1387" s="103" t="s">
        <v>47</v>
      </c>
      <c r="AB1387" s="103" t="s">
        <v>140</v>
      </c>
      <c r="AC1387" s="104" t="s">
        <v>141</v>
      </c>
    </row>
    <row r="1388" spans="1:29" ht="25.5" customHeight="1" x14ac:dyDescent="0.35">
      <c r="A1388" s="188"/>
      <c r="B1388" s="190"/>
      <c r="C1388" s="99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0"/>
      <c r="E1388" s="78" t="str">
        <f>IF(C1388="","",IFERROR(VLOOKUP(C1388,parametros!$A$11:$E$15,5,0),""))</f>
        <v/>
      </c>
      <c r="F1388" s="79" t="str">
        <f t="shared" si="107"/>
        <v/>
      </c>
      <c r="G1388" s="101"/>
      <c r="H1388" s="91">
        <f t="shared" si="108"/>
        <v>0</v>
      </c>
      <c r="I1388" s="91" t="str">
        <f t="shared" si="109"/>
        <v/>
      </c>
      <c r="J1388" s="91" t="str">
        <f t="shared" si="110"/>
        <v/>
      </c>
      <c r="K1388" s="92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2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58"/>
      <c r="U1388" s="217" t="str">
        <f t="shared" si="111"/>
        <v/>
      </c>
      <c r="V1388" s="215" t="s">
        <v>47</v>
      </c>
      <c r="W1388" s="102" t="s">
        <v>136</v>
      </c>
      <c r="X1388" s="102" t="s">
        <v>137</v>
      </c>
      <c r="Y1388" s="103" t="s">
        <v>138</v>
      </c>
      <c r="Z1388" s="103" t="s">
        <v>139</v>
      </c>
      <c r="AA1388" s="103" t="s">
        <v>47</v>
      </c>
      <c r="AB1388" s="103" t="s">
        <v>140</v>
      </c>
      <c r="AC1388" s="104" t="s">
        <v>141</v>
      </c>
    </row>
    <row r="1389" spans="1:29" ht="25.5" customHeight="1" x14ac:dyDescent="0.35">
      <c r="A1389" s="188"/>
      <c r="B1389" s="190"/>
      <c r="C1389" s="99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0"/>
      <c r="E1389" s="78" t="str">
        <f>IF(C1389="","",IFERROR(VLOOKUP(C1389,parametros!$A$11:$E$15,5,0),""))</f>
        <v/>
      </c>
      <c r="F1389" s="79" t="str">
        <f t="shared" si="107"/>
        <v/>
      </c>
      <c r="G1389" s="101"/>
      <c r="H1389" s="91">
        <f t="shared" si="108"/>
        <v>0</v>
      </c>
      <c r="I1389" s="91" t="str">
        <f t="shared" si="109"/>
        <v/>
      </c>
      <c r="J1389" s="91" t="str">
        <f t="shared" si="110"/>
        <v/>
      </c>
      <c r="K1389" s="92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2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58"/>
      <c r="U1389" s="217" t="str">
        <f t="shared" si="111"/>
        <v/>
      </c>
      <c r="V1389" s="215" t="s">
        <v>47</v>
      </c>
      <c r="W1389" s="102" t="s">
        <v>136</v>
      </c>
      <c r="X1389" s="102" t="s">
        <v>137</v>
      </c>
      <c r="Y1389" s="103" t="s">
        <v>138</v>
      </c>
      <c r="Z1389" s="103" t="s">
        <v>139</v>
      </c>
      <c r="AA1389" s="103" t="s">
        <v>47</v>
      </c>
      <c r="AB1389" s="103" t="s">
        <v>140</v>
      </c>
      <c r="AC1389" s="104" t="s">
        <v>141</v>
      </c>
    </row>
    <row r="1390" spans="1:29" ht="25.5" customHeight="1" x14ac:dyDescent="0.35">
      <c r="A1390" s="188"/>
      <c r="B1390" s="190"/>
      <c r="C1390" s="99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0"/>
      <c r="E1390" s="78" t="str">
        <f>IF(C1390="","",IFERROR(VLOOKUP(C1390,parametros!$A$11:$E$15,5,0),""))</f>
        <v/>
      </c>
      <c r="F1390" s="79" t="str">
        <f t="shared" si="107"/>
        <v/>
      </c>
      <c r="G1390" s="101"/>
      <c r="H1390" s="91">
        <f t="shared" si="108"/>
        <v>0</v>
      </c>
      <c r="I1390" s="91" t="str">
        <f t="shared" si="109"/>
        <v/>
      </c>
      <c r="J1390" s="91" t="str">
        <f t="shared" si="110"/>
        <v/>
      </c>
      <c r="K1390" s="92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2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58"/>
      <c r="U1390" s="217" t="str">
        <f t="shared" si="111"/>
        <v/>
      </c>
      <c r="V1390" s="215" t="s">
        <v>47</v>
      </c>
      <c r="W1390" s="102" t="s">
        <v>136</v>
      </c>
      <c r="X1390" s="102" t="s">
        <v>137</v>
      </c>
      <c r="Y1390" s="103" t="s">
        <v>138</v>
      </c>
      <c r="Z1390" s="103" t="s">
        <v>139</v>
      </c>
      <c r="AA1390" s="103" t="s">
        <v>47</v>
      </c>
      <c r="AB1390" s="103" t="s">
        <v>140</v>
      </c>
      <c r="AC1390" s="104" t="s">
        <v>141</v>
      </c>
    </row>
    <row r="1391" spans="1:29" ht="25.5" customHeight="1" x14ac:dyDescent="0.35">
      <c r="A1391" s="188"/>
      <c r="B1391" s="190"/>
      <c r="C1391" s="99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0"/>
      <c r="E1391" s="78" t="str">
        <f>IF(C1391="","",IFERROR(VLOOKUP(C1391,parametros!$A$11:$E$15,5,0),""))</f>
        <v/>
      </c>
      <c r="F1391" s="79" t="str">
        <f t="shared" si="107"/>
        <v/>
      </c>
      <c r="G1391" s="101"/>
      <c r="H1391" s="91">
        <f t="shared" si="108"/>
        <v>0</v>
      </c>
      <c r="I1391" s="91" t="str">
        <f t="shared" si="109"/>
        <v/>
      </c>
      <c r="J1391" s="91" t="str">
        <f t="shared" si="110"/>
        <v/>
      </c>
      <c r="K1391" s="92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2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58"/>
      <c r="U1391" s="217" t="str">
        <f t="shared" si="111"/>
        <v/>
      </c>
      <c r="V1391" s="215" t="s">
        <v>47</v>
      </c>
      <c r="W1391" s="102" t="s">
        <v>136</v>
      </c>
      <c r="X1391" s="102" t="s">
        <v>137</v>
      </c>
      <c r="Y1391" s="103" t="s">
        <v>138</v>
      </c>
      <c r="Z1391" s="103" t="s">
        <v>139</v>
      </c>
      <c r="AA1391" s="103" t="s">
        <v>47</v>
      </c>
      <c r="AB1391" s="103" t="s">
        <v>140</v>
      </c>
      <c r="AC1391" s="104" t="s">
        <v>141</v>
      </c>
    </row>
    <row r="1392" spans="1:29" ht="25.5" customHeight="1" x14ac:dyDescent="0.35">
      <c r="A1392" s="188"/>
      <c r="B1392" s="190"/>
      <c r="C1392" s="99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0"/>
      <c r="E1392" s="78" t="str">
        <f>IF(C1392="","",IFERROR(VLOOKUP(C1392,parametros!$A$11:$E$15,5,0),""))</f>
        <v/>
      </c>
      <c r="F1392" s="79" t="str">
        <f t="shared" si="107"/>
        <v/>
      </c>
      <c r="G1392" s="101"/>
      <c r="H1392" s="91">
        <f t="shared" si="108"/>
        <v>0</v>
      </c>
      <c r="I1392" s="91" t="str">
        <f t="shared" si="109"/>
        <v/>
      </c>
      <c r="J1392" s="91" t="str">
        <f t="shared" si="110"/>
        <v/>
      </c>
      <c r="K1392" s="92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2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58"/>
      <c r="U1392" s="217" t="str">
        <f t="shared" si="111"/>
        <v/>
      </c>
      <c r="V1392" s="215" t="s">
        <v>47</v>
      </c>
      <c r="W1392" s="102" t="s">
        <v>136</v>
      </c>
      <c r="X1392" s="102" t="s">
        <v>137</v>
      </c>
      <c r="Y1392" s="103" t="s">
        <v>138</v>
      </c>
      <c r="Z1392" s="103" t="s">
        <v>139</v>
      </c>
      <c r="AA1392" s="103" t="s">
        <v>47</v>
      </c>
      <c r="AB1392" s="103" t="s">
        <v>140</v>
      </c>
      <c r="AC1392" s="104" t="s">
        <v>141</v>
      </c>
    </row>
    <row r="1393" spans="1:29" ht="25.5" customHeight="1" x14ac:dyDescent="0.35">
      <c r="A1393" s="188"/>
      <c r="B1393" s="190"/>
      <c r="C1393" s="99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0"/>
      <c r="E1393" s="78" t="str">
        <f>IF(C1393="","",IFERROR(VLOOKUP(C1393,parametros!$A$11:$E$15,5,0),""))</f>
        <v/>
      </c>
      <c r="F1393" s="79" t="str">
        <f t="shared" si="107"/>
        <v/>
      </c>
      <c r="G1393" s="101"/>
      <c r="H1393" s="91">
        <f t="shared" si="108"/>
        <v>0</v>
      </c>
      <c r="I1393" s="91" t="str">
        <f t="shared" si="109"/>
        <v/>
      </c>
      <c r="J1393" s="91" t="str">
        <f t="shared" si="110"/>
        <v/>
      </c>
      <c r="K1393" s="92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2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58"/>
      <c r="U1393" s="217" t="str">
        <f t="shared" si="111"/>
        <v/>
      </c>
      <c r="V1393" s="215" t="s">
        <v>47</v>
      </c>
      <c r="W1393" s="102" t="s">
        <v>136</v>
      </c>
      <c r="X1393" s="102" t="s">
        <v>137</v>
      </c>
      <c r="Y1393" s="103" t="s">
        <v>138</v>
      </c>
      <c r="Z1393" s="103" t="s">
        <v>139</v>
      </c>
      <c r="AA1393" s="103" t="s">
        <v>47</v>
      </c>
      <c r="AB1393" s="103" t="s">
        <v>140</v>
      </c>
      <c r="AC1393" s="104" t="s">
        <v>141</v>
      </c>
    </row>
    <row r="1394" spans="1:29" ht="25.5" customHeight="1" x14ac:dyDescent="0.35">
      <c r="A1394" s="188"/>
      <c r="B1394" s="190"/>
      <c r="C1394" s="99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0"/>
      <c r="E1394" s="78" t="str">
        <f>IF(C1394="","",IFERROR(VLOOKUP(C1394,parametros!$A$11:$E$15,5,0),""))</f>
        <v/>
      </c>
      <c r="F1394" s="79" t="str">
        <f t="shared" si="107"/>
        <v/>
      </c>
      <c r="G1394" s="101"/>
      <c r="H1394" s="91">
        <f t="shared" si="108"/>
        <v>0</v>
      </c>
      <c r="I1394" s="91" t="str">
        <f t="shared" si="109"/>
        <v/>
      </c>
      <c r="J1394" s="91" t="str">
        <f t="shared" si="110"/>
        <v/>
      </c>
      <c r="K1394" s="92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2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58"/>
      <c r="U1394" s="217" t="str">
        <f t="shared" si="111"/>
        <v/>
      </c>
      <c r="V1394" s="215" t="s">
        <v>47</v>
      </c>
      <c r="W1394" s="102" t="s">
        <v>136</v>
      </c>
      <c r="X1394" s="102" t="s">
        <v>137</v>
      </c>
      <c r="Y1394" s="103" t="s">
        <v>138</v>
      </c>
      <c r="Z1394" s="103" t="s">
        <v>139</v>
      </c>
      <c r="AA1394" s="103" t="s">
        <v>47</v>
      </c>
      <c r="AB1394" s="103" t="s">
        <v>140</v>
      </c>
      <c r="AC1394" s="104" t="s">
        <v>141</v>
      </c>
    </row>
    <row r="1395" spans="1:29" ht="25.5" customHeight="1" x14ac:dyDescent="0.35">
      <c r="A1395" s="188"/>
      <c r="B1395" s="190"/>
      <c r="C1395" s="99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0"/>
      <c r="E1395" s="78" t="str">
        <f>IF(C1395="","",IFERROR(VLOOKUP(C1395,parametros!$A$11:$E$15,5,0),""))</f>
        <v/>
      </c>
      <c r="F1395" s="79" t="str">
        <f t="shared" si="107"/>
        <v/>
      </c>
      <c r="G1395" s="101"/>
      <c r="H1395" s="91">
        <f t="shared" si="108"/>
        <v>0</v>
      </c>
      <c r="I1395" s="91" t="str">
        <f t="shared" si="109"/>
        <v/>
      </c>
      <c r="J1395" s="91" t="str">
        <f t="shared" si="110"/>
        <v/>
      </c>
      <c r="K1395" s="92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2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58"/>
      <c r="U1395" s="217" t="str">
        <f t="shared" si="111"/>
        <v/>
      </c>
      <c r="V1395" s="215" t="s">
        <v>47</v>
      </c>
      <c r="W1395" s="102" t="s">
        <v>136</v>
      </c>
      <c r="X1395" s="102" t="s">
        <v>137</v>
      </c>
      <c r="Y1395" s="103" t="s">
        <v>138</v>
      </c>
      <c r="Z1395" s="103" t="s">
        <v>139</v>
      </c>
      <c r="AA1395" s="103" t="s">
        <v>47</v>
      </c>
      <c r="AB1395" s="103" t="s">
        <v>140</v>
      </c>
      <c r="AC1395" s="104" t="s">
        <v>141</v>
      </c>
    </row>
    <row r="1396" spans="1:29" ht="25.5" customHeight="1" x14ac:dyDescent="0.35">
      <c r="A1396" s="188"/>
      <c r="B1396" s="190"/>
      <c r="C1396" s="99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0"/>
      <c r="E1396" s="78" t="str">
        <f>IF(C1396="","",IFERROR(VLOOKUP(C1396,parametros!$A$11:$E$15,5,0),""))</f>
        <v/>
      </c>
      <c r="F1396" s="79" t="str">
        <f t="shared" si="107"/>
        <v/>
      </c>
      <c r="G1396" s="101"/>
      <c r="H1396" s="91">
        <f t="shared" si="108"/>
        <v>0</v>
      </c>
      <c r="I1396" s="91" t="str">
        <f t="shared" si="109"/>
        <v/>
      </c>
      <c r="J1396" s="91" t="str">
        <f t="shared" si="110"/>
        <v/>
      </c>
      <c r="K1396" s="92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2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58"/>
      <c r="U1396" s="217" t="str">
        <f t="shared" si="111"/>
        <v/>
      </c>
      <c r="V1396" s="215" t="s">
        <v>47</v>
      </c>
      <c r="W1396" s="102" t="s">
        <v>136</v>
      </c>
      <c r="X1396" s="102" t="s">
        <v>137</v>
      </c>
      <c r="Y1396" s="103" t="s">
        <v>138</v>
      </c>
      <c r="Z1396" s="103" t="s">
        <v>139</v>
      </c>
      <c r="AA1396" s="103" t="s">
        <v>47</v>
      </c>
      <c r="AB1396" s="103" t="s">
        <v>140</v>
      </c>
      <c r="AC1396" s="104" t="s">
        <v>141</v>
      </c>
    </row>
    <row r="1397" spans="1:29" ht="25.5" customHeight="1" x14ac:dyDescent="0.35">
      <c r="A1397" s="188"/>
      <c r="B1397" s="190"/>
      <c r="C1397" s="99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0"/>
      <c r="E1397" s="78" t="str">
        <f>IF(C1397="","",IFERROR(VLOOKUP(C1397,parametros!$A$11:$E$15,5,0),""))</f>
        <v/>
      </c>
      <c r="F1397" s="79" t="str">
        <f t="shared" si="107"/>
        <v/>
      </c>
      <c r="G1397" s="101"/>
      <c r="H1397" s="91">
        <f t="shared" si="108"/>
        <v>0</v>
      </c>
      <c r="I1397" s="91" t="str">
        <f t="shared" si="109"/>
        <v/>
      </c>
      <c r="J1397" s="91" t="str">
        <f t="shared" si="110"/>
        <v/>
      </c>
      <c r="K1397" s="92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2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58"/>
      <c r="U1397" s="217" t="str">
        <f t="shared" si="111"/>
        <v/>
      </c>
      <c r="V1397" s="215" t="s">
        <v>47</v>
      </c>
      <c r="W1397" s="102" t="s">
        <v>136</v>
      </c>
      <c r="X1397" s="102" t="s">
        <v>137</v>
      </c>
      <c r="Y1397" s="103" t="s">
        <v>138</v>
      </c>
      <c r="Z1397" s="103" t="s">
        <v>139</v>
      </c>
      <c r="AA1397" s="103" t="s">
        <v>47</v>
      </c>
      <c r="AB1397" s="103" t="s">
        <v>140</v>
      </c>
      <c r="AC1397" s="104" t="s">
        <v>141</v>
      </c>
    </row>
    <row r="1398" spans="1:29" ht="25.5" customHeight="1" x14ac:dyDescent="0.35">
      <c r="A1398" s="188"/>
      <c r="B1398" s="190"/>
      <c r="C1398" s="99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0"/>
      <c r="E1398" s="78" t="str">
        <f>IF(C1398="","",IFERROR(VLOOKUP(C1398,parametros!$A$11:$E$15,5,0),""))</f>
        <v/>
      </c>
      <c r="F1398" s="79" t="str">
        <f t="shared" si="107"/>
        <v/>
      </c>
      <c r="G1398" s="101"/>
      <c r="H1398" s="91">
        <f t="shared" si="108"/>
        <v>0</v>
      </c>
      <c r="I1398" s="91" t="str">
        <f t="shared" si="109"/>
        <v/>
      </c>
      <c r="J1398" s="91" t="str">
        <f t="shared" si="110"/>
        <v/>
      </c>
      <c r="K1398" s="92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2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58"/>
      <c r="U1398" s="217" t="str">
        <f t="shared" si="111"/>
        <v/>
      </c>
      <c r="V1398" s="215" t="s">
        <v>47</v>
      </c>
      <c r="W1398" s="102" t="s">
        <v>136</v>
      </c>
      <c r="X1398" s="102" t="s">
        <v>137</v>
      </c>
      <c r="Y1398" s="103" t="s">
        <v>138</v>
      </c>
      <c r="Z1398" s="103" t="s">
        <v>139</v>
      </c>
      <c r="AA1398" s="103" t="s">
        <v>47</v>
      </c>
      <c r="AB1398" s="103" t="s">
        <v>140</v>
      </c>
      <c r="AC1398" s="104" t="s">
        <v>141</v>
      </c>
    </row>
    <row r="1399" spans="1:29" ht="25.5" customHeight="1" x14ac:dyDescent="0.35">
      <c r="A1399" s="188"/>
      <c r="B1399" s="190"/>
      <c r="C1399" s="99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0"/>
      <c r="E1399" s="78" t="str">
        <f>IF(C1399="","",IFERROR(VLOOKUP(C1399,parametros!$A$11:$E$15,5,0),""))</f>
        <v/>
      </c>
      <c r="F1399" s="79" t="str">
        <f t="shared" si="107"/>
        <v/>
      </c>
      <c r="G1399" s="101"/>
      <c r="H1399" s="91">
        <f t="shared" si="108"/>
        <v>0</v>
      </c>
      <c r="I1399" s="91" t="str">
        <f t="shared" si="109"/>
        <v/>
      </c>
      <c r="J1399" s="91" t="str">
        <f t="shared" si="110"/>
        <v/>
      </c>
      <c r="K1399" s="92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2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58"/>
      <c r="U1399" s="217" t="str">
        <f t="shared" si="111"/>
        <v/>
      </c>
      <c r="V1399" s="215" t="s">
        <v>47</v>
      </c>
      <c r="W1399" s="102" t="s">
        <v>136</v>
      </c>
      <c r="X1399" s="102" t="s">
        <v>137</v>
      </c>
      <c r="Y1399" s="103" t="s">
        <v>138</v>
      </c>
      <c r="Z1399" s="103" t="s">
        <v>139</v>
      </c>
      <c r="AA1399" s="103" t="s">
        <v>47</v>
      </c>
      <c r="AB1399" s="103" t="s">
        <v>140</v>
      </c>
      <c r="AC1399" s="104" t="s">
        <v>141</v>
      </c>
    </row>
    <row r="1400" spans="1:29" ht="25.5" customHeight="1" x14ac:dyDescent="0.35">
      <c r="A1400" s="188"/>
      <c r="B1400" s="190"/>
      <c r="C1400" s="99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0"/>
      <c r="E1400" s="78" t="str">
        <f>IF(C1400="","",IFERROR(VLOOKUP(C1400,parametros!$A$11:$E$15,5,0),""))</f>
        <v/>
      </c>
      <c r="F1400" s="79" t="str">
        <f t="shared" si="107"/>
        <v/>
      </c>
      <c r="G1400" s="101"/>
      <c r="H1400" s="91">
        <f t="shared" si="108"/>
        <v>0</v>
      </c>
      <c r="I1400" s="91" t="str">
        <f t="shared" si="109"/>
        <v/>
      </c>
      <c r="J1400" s="91" t="str">
        <f t="shared" si="110"/>
        <v/>
      </c>
      <c r="K1400" s="92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2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58"/>
      <c r="U1400" s="217" t="str">
        <f t="shared" si="111"/>
        <v/>
      </c>
      <c r="V1400" s="215" t="s">
        <v>47</v>
      </c>
      <c r="W1400" s="102" t="s">
        <v>136</v>
      </c>
      <c r="X1400" s="102" t="s">
        <v>137</v>
      </c>
      <c r="Y1400" s="103" t="s">
        <v>138</v>
      </c>
      <c r="Z1400" s="103" t="s">
        <v>139</v>
      </c>
      <c r="AA1400" s="103" t="s">
        <v>47</v>
      </c>
      <c r="AB1400" s="103" t="s">
        <v>140</v>
      </c>
      <c r="AC1400" s="104" t="s">
        <v>141</v>
      </c>
    </row>
    <row r="1401" spans="1:29" ht="25.5" customHeight="1" x14ac:dyDescent="0.35">
      <c r="A1401" s="188"/>
      <c r="B1401" s="190"/>
      <c r="C1401" s="99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0"/>
      <c r="E1401" s="78" t="str">
        <f>IF(C1401="","",IFERROR(VLOOKUP(C1401,parametros!$A$11:$E$15,5,0),""))</f>
        <v/>
      </c>
      <c r="F1401" s="79" t="str">
        <f t="shared" si="107"/>
        <v/>
      </c>
      <c r="G1401" s="101"/>
      <c r="H1401" s="91">
        <f t="shared" si="108"/>
        <v>0</v>
      </c>
      <c r="I1401" s="91" t="str">
        <f t="shared" si="109"/>
        <v/>
      </c>
      <c r="J1401" s="91" t="str">
        <f t="shared" si="110"/>
        <v/>
      </c>
      <c r="K1401" s="92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2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58"/>
      <c r="U1401" s="217" t="str">
        <f t="shared" si="111"/>
        <v/>
      </c>
      <c r="V1401" s="215" t="s">
        <v>47</v>
      </c>
      <c r="W1401" s="102" t="s">
        <v>136</v>
      </c>
      <c r="X1401" s="102" t="s">
        <v>137</v>
      </c>
      <c r="Y1401" s="103" t="s">
        <v>138</v>
      </c>
      <c r="Z1401" s="103" t="s">
        <v>139</v>
      </c>
      <c r="AA1401" s="103" t="s">
        <v>47</v>
      </c>
      <c r="AB1401" s="103" t="s">
        <v>140</v>
      </c>
      <c r="AC1401" s="104" t="s">
        <v>141</v>
      </c>
    </row>
    <row r="1402" spans="1:29" ht="25.5" customHeight="1" x14ac:dyDescent="0.35">
      <c r="A1402" s="188"/>
      <c r="B1402" s="190"/>
      <c r="C1402" s="99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0"/>
      <c r="E1402" s="78" t="str">
        <f>IF(C1402="","",IFERROR(VLOOKUP(C1402,parametros!$A$11:$E$15,5,0),""))</f>
        <v/>
      </c>
      <c r="F1402" s="79" t="str">
        <f t="shared" si="107"/>
        <v/>
      </c>
      <c r="G1402" s="101"/>
      <c r="H1402" s="91">
        <f t="shared" si="108"/>
        <v>0</v>
      </c>
      <c r="I1402" s="91" t="str">
        <f t="shared" si="109"/>
        <v/>
      </c>
      <c r="J1402" s="91" t="str">
        <f t="shared" si="110"/>
        <v/>
      </c>
      <c r="K1402" s="92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2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58"/>
      <c r="U1402" s="217" t="str">
        <f t="shared" si="111"/>
        <v/>
      </c>
      <c r="V1402" s="215" t="s">
        <v>47</v>
      </c>
      <c r="W1402" s="102" t="s">
        <v>136</v>
      </c>
      <c r="X1402" s="102" t="s">
        <v>137</v>
      </c>
      <c r="Y1402" s="103" t="s">
        <v>138</v>
      </c>
      <c r="Z1402" s="103" t="s">
        <v>139</v>
      </c>
      <c r="AA1402" s="103" t="s">
        <v>47</v>
      </c>
      <c r="AB1402" s="103" t="s">
        <v>140</v>
      </c>
      <c r="AC1402" s="104" t="s">
        <v>141</v>
      </c>
    </row>
    <row r="1403" spans="1:29" ht="25.5" customHeight="1" x14ac:dyDescent="0.35">
      <c r="A1403" s="188"/>
      <c r="B1403" s="190"/>
      <c r="C1403" s="99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0"/>
      <c r="E1403" s="78" t="str">
        <f>IF(C1403="","",IFERROR(VLOOKUP(C1403,parametros!$A$11:$E$15,5,0),""))</f>
        <v/>
      </c>
      <c r="F1403" s="79" t="str">
        <f t="shared" si="107"/>
        <v/>
      </c>
      <c r="G1403" s="101"/>
      <c r="H1403" s="91">
        <f t="shared" si="108"/>
        <v>0</v>
      </c>
      <c r="I1403" s="91" t="str">
        <f t="shared" si="109"/>
        <v/>
      </c>
      <c r="J1403" s="91" t="str">
        <f t="shared" si="110"/>
        <v/>
      </c>
      <c r="K1403" s="92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2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58"/>
      <c r="U1403" s="217" t="str">
        <f t="shared" si="111"/>
        <v/>
      </c>
      <c r="V1403" s="215" t="s">
        <v>47</v>
      </c>
      <c r="W1403" s="102" t="s">
        <v>136</v>
      </c>
      <c r="X1403" s="102" t="s">
        <v>137</v>
      </c>
      <c r="Y1403" s="103" t="s">
        <v>138</v>
      </c>
      <c r="Z1403" s="103" t="s">
        <v>139</v>
      </c>
      <c r="AA1403" s="103" t="s">
        <v>47</v>
      </c>
      <c r="AB1403" s="103" t="s">
        <v>140</v>
      </c>
      <c r="AC1403" s="104" t="s">
        <v>141</v>
      </c>
    </row>
    <row r="1404" spans="1:29" ht="25.5" customHeight="1" x14ac:dyDescent="0.35">
      <c r="A1404" s="188"/>
      <c r="B1404" s="190"/>
      <c r="C1404" s="99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0"/>
      <c r="E1404" s="78" t="str">
        <f>IF(C1404="","",IFERROR(VLOOKUP(C1404,parametros!$A$11:$E$15,5,0),""))</f>
        <v/>
      </c>
      <c r="F1404" s="79" t="str">
        <f t="shared" si="107"/>
        <v/>
      </c>
      <c r="G1404" s="101"/>
      <c r="H1404" s="91">
        <f t="shared" si="108"/>
        <v>0</v>
      </c>
      <c r="I1404" s="91" t="str">
        <f t="shared" si="109"/>
        <v/>
      </c>
      <c r="J1404" s="91" t="str">
        <f t="shared" si="110"/>
        <v/>
      </c>
      <c r="K1404" s="92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2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58"/>
      <c r="U1404" s="217" t="str">
        <f t="shared" si="111"/>
        <v/>
      </c>
      <c r="V1404" s="215" t="s">
        <v>47</v>
      </c>
      <c r="W1404" s="102" t="s">
        <v>136</v>
      </c>
      <c r="X1404" s="102" t="s">
        <v>137</v>
      </c>
      <c r="Y1404" s="103" t="s">
        <v>138</v>
      </c>
      <c r="Z1404" s="103" t="s">
        <v>139</v>
      </c>
      <c r="AA1404" s="103" t="s">
        <v>47</v>
      </c>
      <c r="AB1404" s="103" t="s">
        <v>140</v>
      </c>
      <c r="AC1404" s="104" t="s">
        <v>141</v>
      </c>
    </row>
    <row r="1405" spans="1:29" ht="25.5" customHeight="1" x14ac:dyDescent="0.35">
      <c r="A1405" s="188"/>
      <c r="B1405" s="190"/>
      <c r="C1405" s="99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0"/>
      <c r="E1405" s="78" t="str">
        <f>IF(C1405="","",IFERROR(VLOOKUP(C1405,parametros!$A$11:$E$15,5,0),""))</f>
        <v/>
      </c>
      <c r="F1405" s="79" t="str">
        <f t="shared" si="107"/>
        <v/>
      </c>
      <c r="G1405" s="101"/>
      <c r="H1405" s="91">
        <f t="shared" si="108"/>
        <v>0</v>
      </c>
      <c r="I1405" s="91" t="str">
        <f t="shared" si="109"/>
        <v/>
      </c>
      <c r="J1405" s="91" t="str">
        <f t="shared" si="110"/>
        <v/>
      </c>
      <c r="K1405" s="92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2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58"/>
      <c r="U1405" s="217" t="str">
        <f t="shared" si="111"/>
        <v/>
      </c>
      <c r="V1405" s="215" t="s">
        <v>47</v>
      </c>
      <c r="W1405" s="102" t="s">
        <v>136</v>
      </c>
      <c r="X1405" s="102" t="s">
        <v>137</v>
      </c>
      <c r="Y1405" s="103" t="s">
        <v>138</v>
      </c>
      <c r="Z1405" s="103" t="s">
        <v>139</v>
      </c>
      <c r="AA1405" s="103" t="s">
        <v>47</v>
      </c>
      <c r="AB1405" s="103" t="s">
        <v>140</v>
      </c>
      <c r="AC1405" s="104" t="s">
        <v>141</v>
      </c>
    </row>
    <row r="1406" spans="1:29" ht="25.5" customHeight="1" x14ac:dyDescent="0.35">
      <c r="A1406" s="188"/>
      <c r="B1406" s="190"/>
      <c r="C1406" s="99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0"/>
      <c r="E1406" s="78" t="str">
        <f>IF(C1406="","",IFERROR(VLOOKUP(C1406,parametros!$A$11:$E$15,5,0),""))</f>
        <v/>
      </c>
      <c r="F1406" s="79" t="str">
        <f t="shared" si="107"/>
        <v/>
      </c>
      <c r="G1406" s="101"/>
      <c r="H1406" s="91">
        <f t="shared" si="108"/>
        <v>0</v>
      </c>
      <c r="I1406" s="91" t="str">
        <f t="shared" si="109"/>
        <v/>
      </c>
      <c r="J1406" s="91" t="str">
        <f t="shared" si="110"/>
        <v/>
      </c>
      <c r="K1406" s="92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2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58"/>
      <c r="U1406" s="217" t="str">
        <f t="shared" si="111"/>
        <v/>
      </c>
      <c r="V1406" s="215" t="s">
        <v>47</v>
      </c>
      <c r="W1406" s="102" t="s">
        <v>136</v>
      </c>
      <c r="X1406" s="102" t="s">
        <v>137</v>
      </c>
      <c r="Y1406" s="103" t="s">
        <v>138</v>
      </c>
      <c r="Z1406" s="103" t="s">
        <v>139</v>
      </c>
      <c r="AA1406" s="103" t="s">
        <v>47</v>
      </c>
      <c r="AB1406" s="103" t="s">
        <v>140</v>
      </c>
      <c r="AC1406" s="104" t="s">
        <v>141</v>
      </c>
    </row>
    <row r="1407" spans="1:29" ht="25.5" customHeight="1" x14ac:dyDescent="0.35">
      <c r="A1407" s="188"/>
      <c r="B1407" s="190"/>
      <c r="C1407" s="99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0"/>
      <c r="E1407" s="78" t="str">
        <f>IF(C1407="","",IFERROR(VLOOKUP(C1407,parametros!$A$11:$E$15,5,0),""))</f>
        <v/>
      </c>
      <c r="F1407" s="79" t="str">
        <f t="shared" si="107"/>
        <v/>
      </c>
      <c r="G1407" s="101"/>
      <c r="H1407" s="91">
        <f t="shared" si="108"/>
        <v>0</v>
      </c>
      <c r="I1407" s="91" t="str">
        <f t="shared" si="109"/>
        <v/>
      </c>
      <c r="J1407" s="91" t="str">
        <f t="shared" si="110"/>
        <v/>
      </c>
      <c r="K1407" s="92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2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58"/>
      <c r="U1407" s="217" t="str">
        <f t="shared" si="111"/>
        <v/>
      </c>
      <c r="V1407" s="215" t="s">
        <v>47</v>
      </c>
      <c r="W1407" s="102" t="s">
        <v>136</v>
      </c>
      <c r="X1407" s="102" t="s">
        <v>137</v>
      </c>
      <c r="Y1407" s="103" t="s">
        <v>138</v>
      </c>
      <c r="Z1407" s="103" t="s">
        <v>139</v>
      </c>
      <c r="AA1407" s="103" t="s">
        <v>47</v>
      </c>
      <c r="AB1407" s="103" t="s">
        <v>140</v>
      </c>
      <c r="AC1407" s="104" t="s">
        <v>141</v>
      </c>
    </row>
    <row r="1408" spans="1:29" ht="25.5" customHeight="1" x14ac:dyDescent="0.35">
      <c r="A1408" s="188"/>
      <c r="B1408" s="190"/>
      <c r="C1408" s="99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0"/>
      <c r="E1408" s="78" t="str">
        <f>IF(C1408="","",IFERROR(VLOOKUP(C1408,parametros!$A$11:$E$15,5,0),""))</f>
        <v/>
      </c>
      <c r="F1408" s="79" t="str">
        <f t="shared" si="107"/>
        <v/>
      </c>
      <c r="G1408" s="101"/>
      <c r="H1408" s="91">
        <f t="shared" si="108"/>
        <v>0</v>
      </c>
      <c r="I1408" s="91" t="str">
        <f t="shared" si="109"/>
        <v/>
      </c>
      <c r="J1408" s="91" t="str">
        <f t="shared" si="110"/>
        <v/>
      </c>
      <c r="K1408" s="92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2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58"/>
      <c r="U1408" s="217" t="str">
        <f t="shared" si="111"/>
        <v/>
      </c>
      <c r="V1408" s="215" t="s">
        <v>47</v>
      </c>
      <c r="W1408" s="102" t="s">
        <v>136</v>
      </c>
      <c r="X1408" s="102" t="s">
        <v>137</v>
      </c>
      <c r="Y1408" s="103" t="s">
        <v>138</v>
      </c>
      <c r="Z1408" s="103" t="s">
        <v>139</v>
      </c>
      <c r="AA1408" s="103" t="s">
        <v>47</v>
      </c>
      <c r="AB1408" s="103" t="s">
        <v>140</v>
      </c>
      <c r="AC1408" s="104" t="s">
        <v>141</v>
      </c>
    </row>
    <row r="1409" spans="1:29" ht="25.5" customHeight="1" x14ac:dyDescent="0.35">
      <c r="A1409" s="188"/>
      <c r="B1409" s="190"/>
      <c r="C1409" s="99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0"/>
      <c r="E1409" s="78" t="str">
        <f>IF(C1409="","",IFERROR(VLOOKUP(C1409,parametros!$A$11:$E$15,5,0),""))</f>
        <v/>
      </c>
      <c r="F1409" s="79" t="str">
        <f t="shared" si="107"/>
        <v/>
      </c>
      <c r="G1409" s="101"/>
      <c r="H1409" s="91">
        <f t="shared" si="108"/>
        <v>0</v>
      </c>
      <c r="I1409" s="91" t="str">
        <f t="shared" si="109"/>
        <v/>
      </c>
      <c r="J1409" s="91" t="str">
        <f t="shared" si="110"/>
        <v/>
      </c>
      <c r="K1409" s="92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2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58"/>
      <c r="U1409" s="217" t="str">
        <f t="shared" si="111"/>
        <v/>
      </c>
      <c r="V1409" s="215" t="s">
        <v>47</v>
      </c>
      <c r="W1409" s="102" t="s">
        <v>136</v>
      </c>
      <c r="X1409" s="102" t="s">
        <v>137</v>
      </c>
      <c r="Y1409" s="103" t="s">
        <v>138</v>
      </c>
      <c r="Z1409" s="103" t="s">
        <v>139</v>
      </c>
      <c r="AA1409" s="103" t="s">
        <v>47</v>
      </c>
      <c r="AB1409" s="103" t="s">
        <v>140</v>
      </c>
      <c r="AC1409" s="104" t="s">
        <v>141</v>
      </c>
    </row>
    <row r="1410" spans="1:29" ht="25.5" customHeight="1" x14ac:dyDescent="0.35">
      <c r="A1410" s="188"/>
      <c r="B1410" s="190"/>
      <c r="C1410" s="99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0"/>
      <c r="E1410" s="78" t="str">
        <f>IF(C1410="","",IFERROR(VLOOKUP(C1410,parametros!$A$11:$E$15,5,0),""))</f>
        <v/>
      </c>
      <c r="F1410" s="79" t="str">
        <f t="shared" ref="F1410:F1473" si="112">IF(OR(D1410="",E1410=""),"",ROUND(D1410*E1410,2))</f>
        <v/>
      </c>
      <c r="G1410" s="101"/>
      <c r="H1410" s="91">
        <f t="shared" ref="H1410:H1473" si="113">IF(G1410="Sim",IF(OR(F1410="",D1410="",L1410=""),"",IF(L1410="Sim",ROUND(F1410-D1410,2),0)),0)</f>
        <v>0</v>
      </c>
      <c r="I1410" s="91" t="str">
        <f t="shared" ref="I1410:I1473" si="114">IF(G1410="Sim",0,IF(OR(F1410="",L1410=""),"",F1410))</f>
        <v/>
      </c>
      <c r="J1410" s="91" t="str">
        <f t="shared" ref="J1410:J1473" si="115">IF(G1410="Sim",0,IF(OR(F1410="",D1410="",L1410=""),"",IF(L1410="Sim",ROUND(F1410-D1410,2),0)))</f>
        <v/>
      </c>
      <c r="K1410" s="92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2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58"/>
      <c r="U1410" s="217" t="str">
        <f t="shared" ref="U1410:U1473" si="116">IF(OR($D1410="",$H1410=""),"",ROUND($D1410+$H1410,2))</f>
        <v/>
      </c>
      <c r="V1410" s="215" t="s">
        <v>47</v>
      </c>
      <c r="W1410" s="102" t="s">
        <v>136</v>
      </c>
      <c r="X1410" s="102" t="s">
        <v>137</v>
      </c>
      <c r="Y1410" s="103" t="s">
        <v>138</v>
      </c>
      <c r="Z1410" s="103" t="s">
        <v>139</v>
      </c>
      <c r="AA1410" s="103" t="s">
        <v>47</v>
      </c>
      <c r="AB1410" s="103" t="s">
        <v>140</v>
      </c>
      <c r="AC1410" s="104" t="s">
        <v>141</v>
      </c>
    </row>
    <row r="1411" spans="1:29" ht="25.5" customHeight="1" x14ac:dyDescent="0.35">
      <c r="A1411" s="188"/>
      <c r="B1411" s="190"/>
      <c r="C1411" s="99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0"/>
      <c r="E1411" s="78" t="str">
        <f>IF(C1411="","",IFERROR(VLOOKUP(C1411,parametros!$A$11:$E$15,5,0),""))</f>
        <v/>
      </c>
      <c r="F1411" s="79" t="str">
        <f t="shared" si="112"/>
        <v/>
      </c>
      <c r="G1411" s="101"/>
      <c r="H1411" s="91">
        <f t="shared" si="113"/>
        <v>0</v>
      </c>
      <c r="I1411" s="91" t="str">
        <f t="shared" si="114"/>
        <v/>
      </c>
      <c r="J1411" s="91" t="str">
        <f t="shared" si="115"/>
        <v/>
      </c>
      <c r="K1411" s="92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2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58"/>
      <c r="U1411" s="217" t="str">
        <f t="shared" si="116"/>
        <v/>
      </c>
      <c r="V1411" s="215" t="s">
        <v>47</v>
      </c>
      <c r="W1411" s="102" t="s">
        <v>136</v>
      </c>
      <c r="X1411" s="102" t="s">
        <v>137</v>
      </c>
      <c r="Y1411" s="103" t="s">
        <v>138</v>
      </c>
      <c r="Z1411" s="103" t="s">
        <v>139</v>
      </c>
      <c r="AA1411" s="103" t="s">
        <v>47</v>
      </c>
      <c r="AB1411" s="103" t="s">
        <v>140</v>
      </c>
      <c r="AC1411" s="104" t="s">
        <v>141</v>
      </c>
    </row>
    <row r="1412" spans="1:29" ht="25.5" customHeight="1" x14ac:dyDescent="0.35">
      <c r="A1412" s="188"/>
      <c r="B1412" s="190"/>
      <c r="C1412" s="99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0"/>
      <c r="E1412" s="78" t="str">
        <f>IF(C1412="","",IFERROR(VLOOKUP(C1412,parametros!$A$11:$E$15,5,0),""))</f>
        <v/>
      </c>
      <c r="F1412" s="79" t="str">
        <f t="shared" si="112"/>
        <v/>
      </c>
      <c r="G1412" s="101"/>
      <c r="H1412" s="91">
        <f t="shared" si="113"/>
        <v>0</v>
      </c>
      <c r="I1412" s="91" t="str">
        <f t="shared" si="114"/>
        <v/>
      </c>
      <c r="J1412" s="91" t="str">
        <f t="shared" si="115"/>
        <v/>
      </c>
      <c r="K1412" s="92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2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58"/>
      <c r="U1412" s="217" t="str">
        <f t="shared" si="116"/>
        <v/>
      </c>
      <c r="V1412" s="215" t="s">
        <v>47</v>
      </c>
      <c r="W1412" s="102" t="s">
        <v>136</v>
      </c>
      <c r="X1412" s="102" t="s">
        <v>137</v>
      </c>
      <c r="Y1412" s="103" t="s">
        <v>138</v>
      </c>
      <c r="Z1412" s="103" t="s">
        <v>139</v>
      </c>
      <c r="AA1412" s="103" t="s">
        <v>47</v>
      </c>
      <c r="AB1412" s="103" t="s">
        <v>140</v>
      </c>
      <c r="AC1412" s="104" t="s">
        <v>141</v>
      </c>
    </row>
    <row r="1413" spans="1:29" ht="25.5" customHeight="1" x14ac:dyDescent="0.35">
      <c r="A1413" s="188"/>
      <c r="B1413" s="190"/>
      <c r="C1413" s="99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0"/>
      <c r="E1413" s="78" t="str">
        <f>IF(C1413="","",IFERROR(VLOOKUP(C1413,parametros!$A$11:$E$15,5,0),""))</f>
        <v/>
      </c>
      <c r="F1413" s="79" t="str">
        <f t="shared" si="112"/>
        <v/>
      </c>
      <c r="G1413" s="101"/>
      <c r="H1413" s="91">
        <f t="shared" si="113"/>
        <v>0</v>
      </c>
      <c r="I1413" s="91" t="str">
        <f t="shared" si="114"/>
        <v/>
      </c>
      <c r="J1413" s="91" t="str">
        <f t="shared" si="115"/>
        <v/>
      </c>
      <c r="K1413" s="92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2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58"/>
      <c r="U1413" s="217" t="str">
        <f t="shared" si="116"/>
        <v/>
      </c>
      <c r="V1413" s="215" t="s">
        <v>47</v>
      </c>
      <c r="W1413" s="102" t="s">
        <v>136</v>
      </c>
      <c r="X1413" s="102" t="s">
        <v>137</v>
      </c>
      <c r="Y1413" s="103" t="s">
        <v>138</v>
      </c>
      <c r="Z1413" s="103" t="s">
        <v>139</v>
      </c>
      <c r="AA1413" s="103" t="s">
        <v>47</v>
      </c>
      <c r="AB1413" s="103" t="s">
        <v>140</v>
      </c>
      <c r="AC1413" s="104" t="s">
        <v>141</v>
      </c>
    </row>
    <row r="1414" spans="1:29" ht="25.5" customHeight="1" x14ac:dyDescent="0.35">
      <c r="A1414" s="188"/>
      <c r="B1414" s="190"/>
      <c r="C1414" s="99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0"/>
      <c r="E1414" s="78" t="str">
        <f>IF(C1414="","",IFERROR(VLOOKUP(C1414,parametros!$A$11:$E$15,5,0),""))</f>
        <v/>
      </c>
      <c r="F1414" s="79" t="str">
        <f t="shared" si="112"/>
        <v/>
      </c>
      <c r="G1414" s="101"/>
      <c r="H1414" s="91">
        <f t="shared" si="113"/>
        <v>0</v>
      </c>
      <c r="I1414" s="91" t="str">
        <f t="shared" si="114"/>
        <v/>
      </c>
      <c r="J1414" s="91" t="str">
        <f t="shared" si="115"/>
        <v/>
      </c>
      <c r="K1414" s="92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2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58"/>
      <c r="U1414" s="217" t="str">
        <f t="shared" si="116"/>
        <v/>
      </c>
      <c r="V1414" s="215" t="s">
        <v>47</v>
      </c>
      <c r="W1414" s="102" t="s">
        <v>136</v>
      </c>
      <c r="X1414" s="102" t="s">
        <v>137</v>
      </c>
      <c r="Y1414" s="103" t="s">
        <v>138</v>
      </c>
      <c r="Z1414" s="103" t="s">
        <v>139</v>
      </c>
      <c r="AA1414" s="103" t="s">
        <v>47</v>
      </c>
      <c r="AB1414" s="103" t="s">
        <v>140</v>
      </c>
      <c r="AC1414" s="104" t="s">
        <v>141</v>
      </c>
    </row>
    <row r="1415" spans="1:29" ht="25.5" customHeight="1" x14ac:dyDescent="0.35">
      <c r="A1415" s="188"/>
      <c r="B1415" s="190"/>
      <c r="C1415" s="99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0"/>
      <c r="E1415" s="78" t="str">
        <f>IF(C1415="","",IFERROR(VLOOKUP(C1415,parametros!$A$11:$E$15,5,0),""))</f>
        <v/>
      </c>
      <c r="F1415" s="79" t="str">
        <f t="shared" si="112"/>
        <v/>
      </c>
      <c r="G1415" s="101"/>
      <c r="H1415" s="91">
        <f t="shared" si="113"/>
        <v>0</v>
      </c>
      <c r="I1415" s="91" t="str">
        <f t="shared" si="114"/>
        <v/>
      </c>
      <c r="J1415" s="91" t="str">
        <f t="shared" si="115"/>
        <v/>
      </c>
      <c r="K1415" s="92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2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58"/>
      <c r="U1415" s="217" t="str">
        <f t="shared" si="116"/>
        <v/>
      </c>
      <c r="V1415" s="215" t="s">
        <v>47</v>
      </c>
      <c r="W1415" s="102" t="s">
        <v>136</v>
      </c>
      <c r="X1415" s="102" t="s">
        <v>137</v>
      </c>
      <c r="Y1415" s="103" t="s">
        <v>138</v>
      </c>
      <c r="Z1415" s="103" t="s">
        <v>139</v>
      </c>
      <c r="AA1415" s="103" t="s">
        <v>47</v>
      </c>
      <c r="AB1415" s="103" t="s">
        <v>140</v>
      </c>
      <c r="AC1415" s="104" t="s">
        <v>141</v>
      </c>
    </row>
    <row r="1416" spans="1:29" ht="25.5" customHeight="1" x14ac:dyDescent="0.35">
      <c r="A1416" s="188"/>
      <c r="B1416" s="190"/>
      <c r="C1416" s="99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0"/>
      <c r="E1416" s="78" t="str">
        <f>IF(C1416="","",IFERROR(VLOOKUP(C1416,parametros!$A$11:$E$15,5,0),""))</f>
        <v/>
      </c>
      <c r="F1416" s="79" t="str">
        <f t="shared" si="112"/>
        <v/>
      </c>
      <c r="G1416" s="101"/>
      <c r="H1416" s="91">
        <f t="shared" si="113"/>
        <v>0</v>
      </c>
      <c r="I1416" s="91" t="str">
        <f t="shared" si="114"/>
        <v/>
      </c>
      <c r="J1416" s="91" t="str">
        <f t="shared" si="115"/>
        <v/>
      </c>
      <c r="K1416" s="92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2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58"/>
      <c r="U1416" s="217" t="str">
        <f t="shared" si="116"/>
        <v/>
      </c>
      <c r="V1416" s="215" t="s">
        <v>47</v>
      </c>
      <c r="W1416" s="102" t="s">
        <v>136</v>
      </c>
      <c r="X1416" s="102" t="s">
        <v>137</v>
      </c>
      <c r="Y1416" s="103" t="s">
        <v>138</v>
      </c>
      <c r="Z1416" s="103" t="s">
        <v>139</v>
      </c>
      <c r="AA1416" s="103" t="s">
        <v>47</v>
      </c>
      <c r="AB1416" s="103" t="s">
        <v>140</v>
      </c>
      <c r="AC1416" s="104" t="s">
        <v>141</v>
      </c>
    </row>
    <row r="1417" spans="1:29" ht="25.5" customHeight="1" x14ac:dyDescent="0.35">
      <c r="A1417" s="188"/>
      <c r="B1417" s="190"/>
      <c r="C1417" s="99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0"/>
      <c r="E1417" s="78" t="str">
        <f>IF(C1417="","",IFERROR(VLOOKUP(C1417,parametros!$A$11:$E$15,5,0),""))</f>
        <v/>
      </c>
      <c r="F1417" s="79" t="str">
        <f t="shared" si="112"/>
        <v/>
      </c>
      <c r="G1417" s="101"/>
      <c r="H1417" s="91">
        <f t="shared" si="113"/>
        <v>0</v>
      </c>
      <c r="I1417" s="91" t="str">
        <f t="shared" si="114"/>
        <v/>
      </c>
      <c r="J1417" s="91" t="str">
        <f t="shared" si="115"/>
        <v/>
      </c>
      <c r="K1417" s="92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2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58"/>
      <c r="U1417" s="217" t="str">
        <f t="shared" si="116"/>
        <v/>
      </c>
      <c r="V1417" s="215" t="s">
        <v>47</v>
      </c>
      <c r="W1417" s="102" t="s">
        <v>136</v>
      </c>
      <c r="X1417" s="102" t="s">
        <v>137</v>
      </c>
      <c r="Y1417" s="103" t="s">
        <v>138</v>
      </c>
      <c r="Z1417" s="103" t="s">
        <v>139</v>
      </c>
      <c r="AA1417" s="103" t="s">
        <v>47</v>
      </c>
      <c r="AB1417" s="103" t="s">
        <v>140</v>
      </c>
      <c r="AC1417" s="104" t="s">
        <v>141</v>
      </c>
    </row>
    <row r="1418" spans="1:29" ht="25.5" customHeight="1" x14ac:dyDescent="0.35">
      <c r="A1418" s="188"/>
      <c r="B1418" s="190"/>
      <c r="C1418" s="99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0"/>
      <c r="E1418" s="78" t="str">
        <f>IF(C1418="","",IFERROR(VLOOKUP(C1418,parametros!$A$11:$E$15,5,0),""))</f>
        <v/>
      </c>
      <c r="F1418" s="79" t="str">
        <f t="shared" si="112"/>
        <v/>
      </c>
      <c r="G1418" s="101"/>
      <c r="H1418" s="91">
        <f t="shared" si="113"/>
        <v>0</v>
      </c>
      <c r="I1418" s="91" t="str">
        <f t="shared" si="114"/>
        <v/>
      </c>
      <c r="J1418" s="91" t="str">
        <f t="shared" si="115"/>
        <v/>
      </c>
      <c r="K1418" s="92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2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58"/>
      <c r="U1418" s="217" t="str">
        <f t="shared" si="116"/>
        <v/>
      </c>
      <c r="V1418" s="215" t="s">
        <v>47</v>
      </c>
      <c r="W1418" s="102" t="s">
        <v>136</v>
      </c>
      <c r="X1418" s="102" t="s">
        <v>137</v>
      </c>
      <c r="Y1418" s="103" t="s">
        <v>138</v>
      </c>
      <c r="Z1418" s="103" t="s">
        <v>139</v>
      </c>
      <c r="AA1418" s="103" t="s">
        <v>47</v>
      </c>
      <c r="AB1418" s="103" t="s">
        <v>140</v>
      </c>
      <c r="AC1418" s="104" t="s">
        <v>141</v>
      </c>
    </row>
    <row r="1419" spans="1:29" ht="25.5" customHeight="1" x14ac:dyDescent="0.35">
      <c r="A1419" s="188"/>
      <c r="B1419" s="190"/>
      <c r="C1419" s="99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0"/>
      <c r="E1419" s="78" t="str">
        <f>IF(C1419="","",IFERROR(VLOOKUP(C1419,parametros!$A$11:$E$15,5,0),""))</f>
        <v/>
      </c>
      <c r="F1419" s="79" t="str">
        <f t="shared" si="112"/>
        <v/>
      </c>
      <c r="G1419" s="101"/>
      <c r="H1419" s="91">
        <f t="shared" si="113"/>
        <v>0</v>
      </c>
      <c r="I1419" s="91" t="str">
        <f t="shared" si="114"/>
        <v/>
      </c>
      <c r="J1419" s="91" t="str">
        <f t="shared" si="115"/>
        <v/>
      </c>
      <c r="K1419" s="92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2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58"/>
      <c r="U1419" s="217" t="str">
        <f t="shared" si="116"/>
        <v/>
      </c>
      <c r="V1419" s="215" t="s">
        <v>47</v>
      </c>
      <c r="W1419" s="102" t="s">
        <v>136</v>
      </c>
      <c r="X1419" s="102" t="s">
        <v>137</v>
      </c>
      <c r="Y1419" s="103" t="s">
        <v>138</v>
      </c>
      <c r="Z1419" s="103" t="s">
        <v>139</v>
      </c>
      <c r="AA1419" s="103" t="s">
        <v>47</v>
      </c>
      <c r="AB1419" s="103" t="s">
        <v>140</v>
      </c>
      <c r="AC1419" s="104" t="s">
        <v>141</v>
      </c>
    </row>
    <row r="1420" spans="1:29" ht="25.5" customHeight="1" x14ac:dyDescent="0.35">
      <c r="A1420" s="188"/>
      <c r="B1420" s="190"/>
      <c r="C1420" s="99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0"/>
      <c r="E1420" s="78" t="str">
        <f>IF(C1420="","",IFERROR(VLOOKUP(C1420,parametros!$A$11:$E$15,5,0),""))</f>
        <v/>
      </c>
      <c r="F1420" s="79" t="str">
        <f t="shared" si="112"/>
        <v/>
      </c>
      <c r="G1420" s="101"/>
      <c r="H1420" s="91">
        <f t="shared" si="113"/>
        <v>0</v>
      </c>
      <c r="I1420" s="91" t="str">
        <f t="shared" si="114"/>
        <v/>
      </c>
      <c r="J1420" s="91" t="str">
        <f t="shared" si="115"/>
        <v/>
      </c>
      <c r="K1420" s="92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2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58"/>
      <c r="U1420" s="217" t="str">
        <f t="shared" si="116"/>
        <v/>
      </c>
      <c r="V1420" s="215" t="s">
        <v>47</v>
      </c>
      <c r="W1420" s="102" t="s">
        <v>136</v>
      </c>
      <c r="X1420" s="102" t="s">
        <v>137</v>
      </c>
      <c r="Y1420" s="103" t="s">
        <v>138</v>
      </c>
      <c r="Z1420" s="103" t="s">
        <v>139</v>
      </c>
      <c r="AA1420" s="103" t="s">
        <v>47</v>
      </c>
      <c r="AB1420" s="103" t="s">
        <v>140</v>
      </c>
      <c r="AC1420" s="104" t="s">
        <v>141</v>
      </c>
    </row>
    <row r="1421" spans="1:29" ht="25.5" customHeight="1" x14ac:dyDescent="0.35">
      <c r="A1421" s="188"/>
      <c r="B1421" s="190"/>
      <c r="C1421" s="99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0"/>
      <c r="E1421" s="78" t="str">
        <f>IF(C1421="","",IFERROR(VLOOKUP(C1421,parametros!$A$11:$E$15,5,0),""))</f>
        <v/>
      </c>
      <c r="F1421" s="79" t="str">
        <f t="shared" si="112"/>
        <v/>
      </c>
      <c r="G1421" s="101"/>
      <c r="H1421" s="91">
        <f t="shared" si="113"/>
        <v>0</v>
      </c>
      <c r="I1421" s="91" t="str">
        <f t="shared" si="114"/>
        <v/>
      </c>
      <c r="J1421" s="91" t="str">
        <f t="shared" si="115"/>
        <v/>
      </c>
      <c r="K1421" s="92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2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58"/>
      <c r="U1421" s="217" t="str">
        <f t="shared" si="116"/>
        <v/>
      </c>
      <c r="V1421" s="215" t="s">
        <v>47</v>
      </c>
      <c r="W1421" s="102" t="s">
        <v>136</v>
      </c>
      <c r="X1421" s="102" t="s">
        <v>137</v>
      </c>
      <c r="Y1421" s="103" t="s">
        <v>138</v>
      </c>
      <c r="Z1421" s="103" t="s">
        <v>139</v>
      </c>
      <c r="AA1421" s="103" t="s">
        <v>47</v>
      </c>
      <c r="AB1421" s="103" t="s">
        <v>140</v>
      </c>
      <c r="AC1421" s="104" t="s">
        <v>141</v>
      </c>
    </row>
    <row r="1422" spans="1:29" ht="25.5" customHeight="1" x14ac:dyDescent="0.35">
      <c r="A1422" s="188"/>
      <c r="B1422" s="190"/>
      <c r="C1422" s="99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0"/>
      <c r="E1422" s="78" t="str">
        <f>IF(C1422="","",IFERROR(VLOOKUP(C1422,parametros!$A$11:$E$15,5,0),""))</f>
        <v/>
      </c>
      <c r="F1422" s="79" t="str">
        <f t="shared" si="112"/>
        <v/>
      </c>
      <c r="G1422" s="101"/>
      <c r="H1422" s="91">
        <f t="shared" si="113"/>
        <v>0</v>
      </c>
      <c r="I1422" s="91" t="str">
        <f t="shared" si="114"/>
        <v/>
      </c>
      <c r="J1422" s="91" t="str">
        <f t="shared" si="115"/>
        <v/>
      </c>
      <c r="K1422" s="92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2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58"/>
      <c r="U1422" s="217" t="str">
        <f t="shared" si="116"/>
        <v/>
      </c>
      <c r="V1422" s="215" t="s">
        <v>47</v>
      </c>
      <c r="W1422" s="102" t="s">
        <v>136</v>
      </c>
      <c r="X1422" s="102" t="s">
        <v>137</v>
      </c>
      <c r="Y1422" s="103" t="s">
        <v>138</v>
      </c>
      <c r="Z1422" s="103" t="s">
        <v>139</v>
      </c>
      <c r="AA1422" s="103" t="s">
        <v>47</v>
      </c>
      <c r="AB1422" s="103" t="s">
        <v>140</v>
      </c>
      <c r="AC1422" s="104" t="s">
        <v>141</v>
      </c>
    </row>
    <row r="1423" spans="1:29" ht="25.5" customHeight="1" x14ac:dyDescent="0.35">
      <c r="A1423" s="188"/>
      <c r="B1423" s="190"/>
      <c r="C1423" s="99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0"/>
      <c r="E1423" s="78" t="str">
        <f>IF(C1423="","",IFERROR(VLOOKUP(C1423,parametros!$A$11:$E$15,5,0),""))</f>
        <v/>
      </c>
      <c r="F1423" s="79" t="str">
        <f t="shared" si="112"/>
        <v/>
      </c>
      <c r="G1423" s="101"/>
      <c r="H1423" s="91">
        <f t="shared" si="113"/>
        <v>0</v>
      </c>
      <c r="I1423" s="91" t="str">
        <f t="shared" si="114"/>
        <v/>
      </c>
      <c r="J1423" s="91" t="str">
        <f t="shared" si="115"/>
        <v/>
      </c>
      <c r="K1423" s="92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2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58"/>
      <c r="U1423" s="217" t="str">
        <f t="shared" si="116"/>
        <v/>
      </c>
      <c r="V1423" s="215" t="s">
        <v>47</v>
      </c>
      <c r="W1423" s="102" t="s">
        <v>136</v>
      </c>
      <c r="X1423" s="102" t="s">
        <v>137</v>
      </c>
      <c r="Y1423" s="103" t="s">
        <v>138</v>
      </c>
      <c r="Z1423" s="103" t="s">
        <v>139</v>
      </c>
      <c r="AA1423" s="103" t="s">
        <v>47</v>
      </c>
      <c r="AB1423" s="103" t="s">
        <v>140</v>
      </c>
      <c r="AC1423" s="104" t="s">
        <v>141</v>
      </c>
    </row>
    <row r="1424" spans="1:29" ht="25.5" customHeight="1" x14ac:dyDescent="0.35">
      <c r="A1424" s="188"/>
      <c r="B1424" s="190"/>
      <c r="C1424" s="99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0"/>
      <c r="E1424" s="78" t="str">
        <f>IF(C1424="","",IFERROR(VLOOKUP(C1424,parametros!$A$11:$E$15,5,0),""))</f>
        <v/>
      </c>
      <c r="F1424" s="79" t="str">
        <f t="shared" si="112"/>
        <v/>
      </c>
      <c r="G1424" s="101"/>
      <c r="H1424" s="91">
        <f t="shared" si="113"/>
        <v>0</v>
      </c>
      <c r="I1424" s="91" t="str">
        <f t="shared" si="114"/>
        <v/>
      </c>
      <c r="J1424" s="91" t="str">
        <f t="shared" si="115"/>
        <v/>
      </c>
      <c r="K1424" s="92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2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58"/>
      <c r="U1424" s="217" t="str">
        <f t="shared" si="116"/>
        <v/>
      </c>
      <c r="V1424" s="215" t="s">
        <v>47</v>
      </c>
      <c r="W1424" s="102" t="s">
        <v>136</v>
      </c>
      <c r="X1424" s="102" t="s">
        <v>137</v>
      </c>
      <c r="Y1424" s="103" t="s">
        <v>138</v>
      </c>
      <c r="Z1424" s="103" t="s">
        <v>139</v>
      </c>
      <c r="AA1424" s="103" t="s">
        <v>47</v>
      </c>
      <c r="AB1424" s="103" t="s">
        <v>140</v>
      </c>
      <c r="AC1424" s="104" t="s">
        <v>141</v>
      </c>
    </row>
    <row r="1425" spans="1:29" ht="25.5" customHeight="1" x14ac:dyDescent="0.35">
      <c r="A1425" s="188"/>
      <c r="B1425" s="190"/>
      <c r="C1425" s="99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0"/>
      <c r="E1425" s="78" t="str">
        <f>IF(C1425="","",IFERROR(VLOOKUP(C1425,parametros!$A$11:$E$15,5,0),""))</f>
        <v/>
      </c>
      <c r="F1425" s="79" t="str">
        <f t="shared" si="112"/>
        <v/>
      </c>
      <c r="G1425" s="101"/>
      <c r="H1425" s="91">
        <f t="shared" si="113"/>
        <v>0</v>
      </c>
      <c r="I1425" s="91" t="str">
        <f t="shared" si="114"/>
        <v/>
      </c>
      <c r="J1425" s="91" t="str">
        <f t="shared" si="115"/>
        <v/>
      </c>
      <c r="K1425" s="92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2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58"/>
      <c r="U1425" s="217" t="str">
        <f t="shared" si="116"/>
        <v/>
      </c>
      <c r="V1425" s="215" t="s">
        <v>47</v>
      </c>
      <c r="W1425" s="102" t="s">
        <v>136</v>
      </c>
      <c r="X1425" s="102" t="s">
        <v>137</v>
      </c>
      <c r="Y1425" s="103" t="s">
        <v>138</v>
      </c>
      <c r="Z1425" s="103" t="s">
        <v>139</v>
      </c>
      <c r="AA1425" s="103" t="s">
        <v>47</v>
      </c>
      <c r="AB1425" s="103" t="s">
        <v>140</v>
      </c>
      <c r="AC1425" s="104" t="s">
        <v>141</v>
      </c>
    </row>
    <row r="1426" spans="1:29" ht="25.5" customHeight="1" x14ac:dyDescent="0.35">
      <c r="A1426" s="188"/>
      <c r="B1426" s="190"/>
      <c r="C1426" s="99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0"/>
      <c r="E1426" s="78" t="str">
        <f>IF(C1426="","",IFERROR(VLOOKUP(C1426,parametros!$A$11:$E$15,5,0),""))</f>
        <v/>
      </c>
      <c r="F1426" s="79" t="str">
        <f t="shared" si="112"/>
        <v/>
      </c>
      <c r="G1426" s="101"/>
      <c r="H1426" s="91">
        <f t="shared" si="113"/>
        <v>0</v>
      </c>
      <c r="I1426" s="91" t="str">
        <f t="shared" si="114"/>
        <v/>
      </c>
      <c r="J1426" s="91" t="str">
        <f t="shared" si="115"/>
        <v/>
      </c>
      <c r="K1426" s="92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2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58"/>
      <c r="U1426" s="217" t="str">
        <f t="shared" si="116"/>
        <v/>
      </c>
      <c r="V1426" s="215" t="s">
        <v>47</v>
      </c>
      <c r="W1426" s="102" t="s">
        <v>136</v>
      </c>
      <c r="X1426" s="102" t="s">
        <v>137</v>
      </c>
      <c r="Y1426" s="103" t="s">
        <v>138</v>
      </c>
      <c r="Z1426" s="103" t="s">
        <v>139</v>
      </c>
      <c r="AA1426" s="103" t="s">
        <v>47</v>
      </c>
      <c r="AB1426" s="103" t="s">
        <v>140</v>
      </c>
      <c r="AC1426" s="104" t="s">
        <v>141</v>
      </c>
    </row>
    <row r="1427" spans="1:29" ht="25.5" customHeight="1" x14ac:dyDescent="0.35">
      <c r="A1427" s="188"/>
      <c r="B1427" s="190"/>
      <c r="C1427" s="99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0"/>
      <c r="E1427" s="78" t="str">
        <f>IF(C1427="","",IFERROR(VLOOKUP(C1427,parametros!$A$11:$E$15,5,0),""))</f>
        <v/>
      </c>
      <c r="F1427" s="79" t="str">
        <f t="shared" si="112"/>
        <v/>
      </c>
      <c r="G1427" s="101"/>
      <c r="H1427" s="91">
        <f t="shared" si="113"/>
        <v>0</v>
      </c>
      <c r="I1427" s="91" t="str">
        <f t="shared" si="114"/>
        <v/>
      </c>
      <c r="J1427" s="91" t="str">
        <f t="shared" si="115"/>
        <v/>
      </c>
      <c r="K1427" s="92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2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58"/>
      <c r="U1427" s="217" t="str">
        <f t="shared" si="116"/>
        <v/>
      </c>
      <c r="V1427" s="215" t="s">
        <v>47</v>
      </c>
      <c r="W1427" s="102" t="s">
        <v>136</v>
      </c>
      <c r="X1427" s="102" t="s">
        <v>137</v>
      </c>
      <c r="Y1427" s="103" t="s">
        <v>138</v>
      </c>
      <c r="Z1427" s="103" t="s">
        <v>139</v>
      </c>
      <c r="AA1427" s="103" t="s">
        <v>47</v>
      </c>
      <c r="AB1427" s="103" t="s">
        <v>140</v>
      </c>
      <c r="AC1427" s="104" t="s">
        <v>141</v>
      </c>
    </row>
    <row r="1428" spans="1:29" ht="25.5" customHeight="1" x14ac:dyDescent="0.35">
      <c r="A1428" s="188"/>
      <c r="B1428" s="190"/>
      <c r="C1428" s="99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0"/>
      <c r="E1428" s="78" t="str">
        <f>IF(C1428="","",IFERROR(VLOOKUP(C1428,parametros!$A$11:$E$15,5,0),""))</f>
        <v/>
      </c>
      <c r="F1428" s="79" t="str">
        <f t="shared" si="112"/>
        <v/>
      </c>
      <c r="G1428" s="101"/>
      <c r="H1428" s="91">
        <f t="shared" si="113"/>
        <v>0</v>
      </c>
      <c r="I1428" s="91" t="str">
        <f t="shared" si="114"/>
        <v/>
      </c>
      <c r="J1428" s="91" t="str">
        <f t="shared" si="115"/>
        <v/>
      </c>
      <c r="K1428" s="92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2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58"/>
      <c r="U1428" s="217" t="str">
        <f t="shared" si="116"/>
        <v/>
      </c>
      <c r="V1428" s="215" t="s">
        <v>47</v>
      </c>
      <c r="W1428" s="102" t="s">
        <v>136</v>
      </c>
      <c r="X1428" s="102" t="s">
        <v>137</v>
      </c>
      <c r="Y1428" s="103" t="s">
        <v>138</v>
      </c>
      <c r="Z1428" s="103" t="s">
        <v>139</v>
      </c>
      <c r="AA1428" s="103" t="s">
        <v>47</v>
      </c>
      <c r="AB1428" s="103" t="s">
        <v>140</v>
      </c>
      <c r="AC1428" s="104" t="s">
        <v>141</v>
      </c>
    </row>
    <row r="1429" spans="1:29" ht="25.5" customHeight="1" x14ac:dyDescent="0.35">
      <c r="A1429" s="188"/>
      <c r="B1429" s="190"/>
      <c r="C1429" s="99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0"/>
      <c r="E1429" s="78" t="str">
        <f>IF(C1429="","",IFERROR(VLOOKUP(C1429,parametros!$A$11:$E$15,5,0),""))</f>
        <v/>
      </c>
      <c r="F1429" s="79" t="str">
        <f t="shared" si="112"/>
        <v/>
      </c>
      <c r="G1429" s="101"/>
      <c r="H1429" s="91">
        <f t="shared" si="113"/>
        <v>0</v>
      </c>
      <c r="I1429" s="91" t="str">
        <f t="shared" si="114"/>
        <v/>
      </c>
      <c r="J1429" s="91" t="str">
        <f t="shared" si="115"/>
        <v/>
      </c>
      <c r="K1429" s="92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2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58"/>
      <c r="U1429" s="217" t="str">
        <f t="shared" si="116"/>
        <v/>
      </c>
      <c r="V1429" s="215" t="s">
        <v>47</v>
      </c>
      <c r="W1429" s="102" t="s">
        <v>136</v>
      </c>
      <c r="X1429" s="102" t="s">
        <v>137</v>
      </c>
      <c r="Y1429" s="103" t="s">
        <v>138</v>
      </c>
      <c r="Z1429" s="103" t="s">
        <v>139</v>
      </c>
      <c r="AA1429" s="103" t="s">
        <v>47</v>
      </c>
      <c r="AB1429" s="103" t="s">
        <v>140</v>
      </c>
      <c r="AC1429" s="104" t="s">
        <v>141</v>
      </c>
    </row>
    <row r="1430" spans="1:29" ht="25.5" customHeight="1" x14ac:dyDescent="0.35">
      <c r="A1430" s="188"/>
      <c r="B1430" s="190"/>
      <c r="C1430" s="99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0"/>
      <c r="E1430" s="78" t="str">
        <f>IF(C1430="","",IFERROR(VLOOKUP(C1430,parametros!$A$11:$E$15,5,0),""))</f>
        <v/>
      </c>
      <c r="F1430" s="79" t="str">
        <f t="shared" si="112"/>
        <v/>
      </c>
      <c r="G1430" s="101"/>
      <c r="H1430" s="91">
        <f t="shared" si="113"/>
        <v>0</v>
      </c>
      <c r="I1430" s="91" t="str">
        <f t="shared" si="114"/>
        <v/>
      </c>
      <c r="J1430" s="91" t="str">
        <f t="shared" si="115"/>
        <v/>
      </c>
      <c r="K1430" s="92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2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58"/>
      <c r="U1430" s="217" t="str">
        <f t="shared" si="116"/>
        <v/>
      </c>
      <c r="V1430" s="215" t="s">
        <v>47</v>
      </c>
      <c r="W1430" s="102" t="s">
        <v>136</v>
      </c>
      <c r="X1430" s="102" t="s">
        <v>137</v>
      </c>
      <c r="Y1430" s="103" t="s">
        <v>138</v>
      </c>
      <c r="Z1430" s="103" t="s">
        <v>139</v>
      </c>
      <c r="AA1430" s="103" t="s">
        <v>47</v>
      </c>
      <c r="AB1430" s="103" t="s">
        <v>140</v>
      </c>
      <c r="AC1430" s="104" t="s">
        <v>141</v>
      </c>
    </row>
    <row r="1431" spans="1:29" ht="25.5" customHeight="1" x14ac:dyDescent="0.35">
      <c r="A1431" s="188"/>
      <c r="B1431" s="190"/>
      <c r="C1431" s="99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0"/>
      <c r="E1431" s="78" t="str">
        <f>IF(C1431="","",IFERROR(VLOOKUP(C1431,parametros!$A$11:$E$15,5,0),""))</f>
        <v/>
      </c>
      <c r="F1431" s="79" t="str">
        <f t="shared" si="112"/>
        <v/>
      </c>
      <c r="G1431" s="101"/>
      <c r="H1431" s="91">
        <f t="shared" si="113"/>
        <v>0</v>
      </c>
      <c r="I1431" s="91" t="str">
        <f t="shared" si="114"/>
        <v/>
      </c>
      <c r="J1431" s="91" t="str">
        <f t="shared" si="115"/>
        <v/>
      </c>
      <c r="K1431" s="92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2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58"/>
      <c r="U1431" s="217" t="str">
        <f t="shared" si="116"/>
        <v/>
      </c>
      <c r="V1431" s="215" t="s">
        <v>47</v>
      </c>
      <c r="W1431" s="102" t="s">
        <v>136</v>
      </c>
      <c r="X1431" s="102" t="s">
        <v>137</v>
      </c>
      <c r="Y1431" s="103" t="s">
        <v>138</v>
      </c>
      <c r="Z1431" s="103" t="s">
        <v>139</v>
      </c>
      <c r="AA1431" s="103" t="s">
        <v>47</v>
      </c>
      <c r="AB1431" s="103" t="s">
        <v>140</v>
      </c>
      <c r="AC1431" s="104" t="s">
        <v>141</v>
      </c>
    </row>
    <row r="1432" spans="1:29" ht="25.5" customHeight="1" x14ac:dyDescent="0.35">
      <c r="A1432" s="188"/>
      <c r="B1432" s="190"/>
      <c r="C1432" s="99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0"/>
      <c r="E1432" s="78" t="str">
        <f>IF(C1432="","",IFERROR(VLOOKUP(C1432,parametros!$A$11:$E$15,5,0),""))</f>
        <v/>
      </c>
      <c r="F1432" s="79" t="str">
        <f t="shared" si="112"/>
        <v/>
      </c>
      <c r="G1432" s="101"/>
      <c r="H1432" s="91">
        <f t="shared" si="113"/>
        <v>0</v>
      </c>
      <c r="I1432" s="91" t="str">
        <f t="shared" si="114"/>
        <v/>
      </c>
      <c r="J1432" s="91" t="str">
        <f t="shared" si="115"/>
        <v/>
      </c>
      <c r="K1432" s="92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2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58"/>
      <c r="U1432" s="217" t="str">
        <f t="shared" si="116"/>
        <v/>
      </c>
      <c r="V1432" s="215" t="s">
        <v>47</v>
      </c>
      <c r="W1432" s="102" t="s">
        <v>136</v>
      </c>
      <c r="X1432" s="102" t="s">
        <v>137</v>
      </c>
      <c r="Y1432" s="103" t="s">
        <v>138</v>
      </c>
      <c r="Z1432" s="103" t="s">
        <v>139</v>
      </c>
      <c r="AA1432" s="103" t="s">
        <v>47</v>
      </c>
      <c r="AB1432" s="103" t="s">
        <v>140</v>
      </c>
      <c r="AC1432" s="104" t="s">
        <v>141</v>
      </c>
    </row>
    <row r="1433" spans="1:29" ht="25.5" customHeight="1" x14ac:dyDescent="0.35">
      <c r="A1433" s="188"/>
      <c r="B1433" s="190"/>
      <c r="C1433" s="99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0"/>
      <c r="E1433" s="78" t="str">
        <f>IF(C1433="","",IFERROR(VLOOKUP(C1433,parametros!$A$11:$E$15,5,0),""))</f>
        <v/>
      </c>
      <c r="F1433" s="79" t="str">
        <f t="shared" si="112"/>
        <v/>
      </c>
      <c r="G1433" s="101"/>
      <c r="H1433" s="91">
        <f t="shared" si="113"/>
        <v>0</v>
      </c>
      <c r="I1433" s="91" t="str">
        <f t="shared" si="114"/>
        <v/>
      </c>
      <c r="J1433" s="91" t="str">
        <f t="shared" si="115"/>
        <v/>
      </c>
      <c r="K1433" s="92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2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58"/>
      <c r="U1433" s="217" t="str">
        <f t="shared" si="116"/>
        <v/>
      </c>
      <c r="V1433" s="215" t="s">
        <v>47</v>
      </c>
      <c r="W1433" s="102" t="s">
        <v>136</v>
      </c>
      <c r="X1433" s="102" t="s">
        <v>137</v>
      </c>
      <c r="Y1433" s="103" t="s">
        <v>138</v>
      </c>
      <c r="Z1433" s="103" t="s">
        <v>139</v>
      </c>
      <c r="AA1433" s="103" t="s">
        <v>47</v>
      </c>
      <c r="AB1433" s="103" t="s">
        <v>140</v>
      </c>
      <c r="AC1433" s="104" t="s">
        <v>141</v>
      </c>
    </row>
    <row r="1434" spans="1:29" ht="25.5" customHeight="1" x14ac:dyDescent="0.35">
      <c r="A1434" s="188"/>
      <c r="B1434" s="190"/>
      <c r="C1434" s="99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0"/>
      <c r="E1434" s="78" t="str">
        <f>IF(C1434="","",IFERROR(VLOOKUP(C1434,parametros!$A$11:$E$15,5,0),""))</f>
        <v/>
      </c>
      <c r="F1434" s="79" t="str">
        <f t="shared" si="112"/>
        <v/>
      </c>
      <c r="G1434" s="101"/>
      <c r="H1434" s="91">
        <f t="shared" si="113"/>
        <v>0</v>
      </c>
      <c r="I1434" s="91" t="str">
        <f t="shared" si="114"/>
        <v/>
      </c>
      <c r="J1434" s="91" t="str">
        <f t="shared" si="115"/>
        <v/>
      </c>
      <c r="K1434" s="92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2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58"/>
      <c r="U1434" s="217" t="str">
        <f t="shared" si="116"/>
        <v/>
      </c>
      <c r="V1434" s="215" t="s">
        <v>47</v>
      </c>
      <c r="W1434" s="102" t="s">
        <v>136</v>
      </c>
      <c r="X1434" s="102" t="s">
        <v>137</v>
      </c>
      <c r="Y1434" s="103" t="s">
        <v>138</v>
      </c>
      <c r="Z1434" s="103" t="s">
        <v>139</v>
      </c>
      <c r="AA1434" s="103" t="s">
        <v>47</v>
      </c>
      <c r="AB1434" s="103" t="s">
        <v>140</v>
      </c>
      <c r="AC1434" s="104" t="s">
        <v>141</v>
      </c>
    </row>
    <row r="1435" spans="1:29" ht="25.5" customHeight="1" x14ac:dyDescent="0.35">
      <c r="A1435" s="188"/>
      <c r="B1435" s="190"/>
      <c r="C1435" s="99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0"/>
      <c r="E1435" s="78" t="str">
        <f>IF(C1435="","",IFERROR(VLOOKUP(C1435,parametros!$A$11:$E$15,5,0),""))</f>
        <v/>
      </c>
      <c r="F1435" s="79" t="str">
        <f t="shared" si="112"/>
        <v/>
      </c>
      <c r="G1435" s="101"/>
      <c r="H1435" s="91">
        <f t="shared" si="113"/>
        <v>0</v>
      </c>
      <c r="I1435" s="91" t="str">
        <f t="shared" si="114"/>
        <v/>
      </c>
      <c r="J1435" s="91" t="str">
        <f t="shared" si="115"/>
        <v/>
      </c>
      <c r="K1435" s="92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2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58"/>
      <c r="U1435" s="217" t="str">
        <f t="shared" si="116"/>
        <v/>
      </c>
      <c r="V1435" s="215" t="s">
        <v>47</v>
      </c>
      <c r="W1435" s="102" t="s">
        <v>136</v>
      </c>
      <c r="X1435" s="102" t="s">
        <v>137</v>
      </c>
      <c r="Y1435" s="103" t="s">
        <v>138</v>
      </c>
      <c r="Z1435" s="103" t="s">
        <v>139</v>
      </c>
      <c r="AA1435" s="103" t="s">
        <v>47</v>
      </c>
      <c r="AB1435" s="103" t="s">
        <v>140</v>
      </c>
      <c r="AC1435" s="104" t="s">
        <v>141</v>
      </c>
    </row>
    <row r="1436" spans="1:29" ht="25.5" customHeight="1" x14ac:dyDescent="0.35">
      <c r="A1436" s="188"/>
      <c r="B1436" s="190"/>
      <c r="C1436" s="99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0"/>
      <c r="E1436" s="78" t="str">
        <f>IF(C1436="","",IFERROR(VLOOKUP(C1436,parametros!$A$11:$E$15,5,0),""))</f>
        <v/>
      </c>
      <c r="F1436" s="79" t="str">
        <f t="shared" si="112"/>
        <v/>
      </c>
      <c r="G1436" s="101"/>
      <c r="H1436" s="91">
        <f t="shared" si="113"/>
        <v>0</v>
      </c>
      <c r="I1436" s="91" t="str">
        <f t="shared" si="114"/>
        <v/>
      </c>
      <c r="J1436" s="91" t="str">
        <f t="shared" si="115"/>
        <v/>
      </c>
      <c r="K1436" s="92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2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58"/>
      <c r="U1436" s="217" t="str">
        <f t="shared" si="116"/>
        <v/>
      </c>
      <c r="V1436" s="215" t="s">
        <v>47</v>
      </c>
      <c r="W1436" s="102" t="s">
        <v>136</v>
      </c>
      <c r="X1436" s="102" t="s">
        <v>137</v>
      </c>
      <c r="Y1436" s="103" t="s">
        <v>138</v>
      </c>
      <c r="Z1436" s="103" t="s">
        <v>139</v>
      </c>
      <c r="AA1436" s="103" t="s">
        <v>47</v>
      </c>
      <c r="AB1436" s="103" t="s">
        <v>140</v>
      </c>
      <c r="AC1436" s="104" t="s">
        <v>141</v>
      </c>
    </row>
    <row r="1437" spans="1:29" ht="25.5" customHeight="1" x14ac:dyDescent="0.35">
      <c r="A1437" s="188"/>
      <c r="B1437" s="190"/>
      <c r="C1437" s="99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0"/>
      <c r="E1437" s="78" t="str">
        <f>IF(C1437="","",IFERROR(VLOOKUP(C1437,parametros!$A$11:$E$15,5,0),""))</f>
        <v/>
      </c>
      <c r="F1437" s="79" t="str">
        <f t="shared" si="112"/>
        <v/>
      </c>
      <c r="G1437" s="101"/>
      <c r="H1437" s="91">
        <f t="shared" si="113"/>
        <v>0</v>
      </c>
      <c r="I1437" s="91" t="str">
        <f t="shared" si="114"/>
        <v/>
      </c>
      <c r="J1437" s="91" t="str">
        <f t="shared" si="115"/>
        <v/>
      </c>
      <c r="K1437" s="92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2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58"/>
      <c r="U1437" s="217" t="str">
        <f t="shared" si="116"/>
        <v/>
      </c>
      <c r="V1437" s="215" t="s">
        <v>47</v>
      </c>
      <c r="W1437" s="102" t="s">
        <v>136</v>
      </c>
      <c r="X1437" s="102" t="s">
        <v>137</v>
      </c>
      <c r="Y1437" s="103" t="s">
        <v>138</v>
      </c>
      <c r="Z1437" s="103" t="s">
        <v>139</v>
      </c>
      <c r="AA1437" s="103" t="s">
        <v>47</v>
      </c>
      <c r="AB1437" s="103" t="s">
        <v>140</v>
      </c>
      <c r="AC1437" s="104" t="s">
        <v>141</v>
      </c>
    </row>
    <row r="1438" spans="1:29" ht="25.5" customHeight="1" x14ac:dyDescent="0.35">
      <c r="A1438" s="188"/>
      <c r="B1438" s="190"/>
      <c r="C1438" s="99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0"/>
      <c r="E1438" s="78" t="str">
        <f>IF(C1438="","",IFERROR(VLOOKUP(C1438,parametros!$A$11:$E$15,5,0),""))</f>
        <v/>
      </c>
      <c r="F1438" s="79" t="str">
        <f t="shared" si="112"/>
        <v/>
      </c>
      <c r="G1438" s="101"/>
      <c r="H1438" s="91">
        <f t="shared" si="113"/>
        <v>0</v>
      </c>
      <c r="I1438" s="91" t="str">
        <f t="shared" si="114"/>
        <v/>
      </c>
      <c r="J1438" s="91" t="str">
        <f t="shared" si="115"/>
        <v/>
      </c>
      <c r="K1438" s="92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2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58"/>
      <c r="U1438" s="217" t="str">
        <f t="shared" si="116"/>
        <v/>
      </c>
      <c r="V1438" s="215" t="s">
        <v>47</v>
      </c>
      <c r="W1438" s="102" t="s">
        <v>136</v>
      </c>
      <c r="X1438" s="102" t="s">
        <v>137</v>
      </c>
      <c r="Y1438" s="103" t="s">
        <v>138</v>
      </c>
      <c r="Z1438" s="103" t="s">
        <v>139</v>
      </c>
      <c r="AA1438" s="103" t="s">
        <v>47</v>
      </c>
      <c r="AB1438" s="103" t="s">
        <v>140</v>
      </c>
      <c r="AC1438" s="104" t="s">
        <v>141</v>
      </c>
    </row>
    <row r="1439" spans="1:29" ht="25.5" customHeight="1" x14ac:dyDescent="0.35">
      <c r="A1439" s="188"/>
      <c r="B1439" s="190"/>
      <c r="C1439" s="99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0"/>
      <c r="E1439" s="78" t="str">
        <f>IF(C1439="","",IFERROR(VLOOKUP(C1439,parametros!$A$11:$E$15,5,0),""))</f>
        <v/>
      </c>
      <c r="F1439" s="79" t="str">
        <f t="shared" si="112"/>
        <v/>
      </c>
      <c r="G1439" s="101"/>
      <c r="H1439" s="91">
        <f t="shared" si="113"/>
        <v>0</v>
      </c>
      <c r="I1439" s="91" t="str">
        <f t="shared" si="114"/>
        <v/>
      </c>
      <c r="J1439" s="91" t="str">
        <f t="shared" si="115"/>
        <v/>
      </c>
      <c r="K1439" s="92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2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58"/>
      <c r="U1439" s="217" t="str">
        <f t="shared" si="116"/>
        <v/>
      </c>
      <c r="V1439" s="215" t="s">
        <v>47</v>
      </c>
      <c r="W1439" s="102" t="s">
        <v>136</v>
      </c>
      <c r="X1439" s="102" t="s">
        <v>137</v>
      </c>
      <c r="Y1439" s="103" t="s">
        <v>138</v>
      </c>
      <c r="Z1439" s="103" t="s">
        <v>139</v>
      </c>
      <c r="AA1439" s="103" t="s">
        <v>47</v>
      </c>
      <c r="AB1439" s="103" t="s">
        <v>140</v>
      </c>
      <c r="AC1439" s="104" t="s">
        <v>141</v>
      </c>
    </row>
    <row r="1440" spans="1:29" ht="25.5" customHeight="1" x14ac:dyDescent="0.35">
      <c r="A1440" s="188"/>
      <c r="B1440" s="190"/>
      <c r="C1440" s="99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0"/>
      <c r="E1440" s="78" t="str">
        <f>IF(C1440="","",IFERROR(VLOOKUP(C1440,parametros!$A$11:$E$15,5,0),""))</f>
        <v/>
      </c>
      <c r="F1440" s="79" t="str">
        <f t="shared" si="112"/>
        <v/>
      </c>
      <c r="G1440" s="101"/>
      <c r="H1440" s="91">
        <f t="shared" si="113"/>
        <v>0</v>
      </c>
      <c r="I1440" s="91" t="str">
        <f t="shared" si="114"/>
        <v/>
      </c>
      <c r="J1440" s="91" t="str">
        <f t="shared" si="115"/>
        <v/>
      </c>
      <c r="K1440" s="92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2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58"/>
      <c r="U1440" s="217" t="str">
        <f t="shared" si="116"/>
        <v/>
      </c>
      <c r="V1440" s="215" t="s">
        <v>47</v>
      </c>
      <c r="W1440" s="102" t="s">
        <v>136</v>
      </c>
      <c r="X1440" s="102" t="s">
        <v>137</v>
      </c>
      <c r="Y1440" s="103" t="s">
        <v>138</v>
      </c>
      <c r="Z1440" s="103" t="s">
        <v>139</v>
      </c>
      <c r="AA1440" s="103" t="s">
        <v>47</v>
      </c>
      <c r="AB1440" s="103" t="s">
        <v>140</v>
      </c>
      <c r="AC1440" s="104" t="s">
        <v>141</v>
      </c>
    </row>
    <row r="1441" spans="1:29" ht="25.5" customHeight="1" x14ac:dyDescent="0.35">
      <c r="A1441" s="188"/>
      <c r="B1441" s="190"/>
      <c r="C1441" s="99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0"/>
      <c r="E1441" s="78" t="str">
        <f>IF(C1441="","",IFERROR(VLOOKUP(C1441,parametros!$A$11:$E$15,5,0),""))</f>
        <v/>
      </c>
      <c r="F1441" s="79" t="str">
        <f t="shared" si="112"/>
        <v/>
      </c>
      <c r="G1441" s="101"/>
      <c r="H1441" s="91">
        <f t="shared" si="113"/>
        <v>0</v>
      </c>
      <c r="I1441" s="91" t="str">
        <f t="shared" si="114"/>
        <v/>
      </c>
      <c r="J1441" s="91" t="str">
        <f t="shared" si="115"/>
        <v/>
      </c>
      <c r="K1441" s="92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2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58"/>
      <c r="U1441" s="217" t="str">
        <f t="shared" si="116"/>
        <v/>
      </c>
      <c r="V1441" s="215" t="s">
        <v>47</v>
      </c>
      <c r="W1441" s="102" t="s">
        <v>136</v>
      </c>
      <c r="X1441" s="102" t="s">
        <v>137</v>
      </c>
      <c r="Y1441" s="103" t="s">
        <v>138</v>
      </c>
      <c r="Z1441" s="103" t="s">
        <v>139</v>
      </c>
      <c r="AA1441" s="103" t="s">
        <v>47</v>
      </c>
      <c r="AB1441" s="103" t="s">
        <v>140</v>
      </c>
      <c r="AC1441" s="104" t="s">
        <v>141</v>
      </c>
    </row>
    <row r="1442" spans="1:29" ht="25.5" customHeight="1" x14ac:dyDescent="0.35">
      <c r="A1442" s="188"/>
      <c r="B1442" s="190"/>
      <c r="C1442" s="99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0"/>
      <c r="E1442" s="78" t="str">
        <f>IF(C1442="","",IFERROR(VLOOKUP(C1442,parametros!$A$11:$E$15,5,0),""))</f>
        <v/>
      </c>
      <c r="F1442" s="79" t="str">
        <f t="shared" si="112"/>
        <v/>
      </c>
      <c r="G1442" s="101"/>
      <c r="H1442" s="91">
        <f t="shared" si="113"/>
        <v>0</v>
      </c>
      <c r="I1442" s="91" t="str">
        <f t="shared" si="114"/>
        <v/>
      </c>
      <c r="J1442" s="91" t="str">
        <f t="shared" si="115"/>
        <v/>
      </c>
      <c r="K1442" s="92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2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58"/>
      <c r="U1442" s="217" t="str">
        <f t="shared" si="116"/>
        <v/>
      </c>
      <c r="V1442" s="215" t="s">
        <v>47</v>
      </c>
      <c r="W1442" s="102" t="s">
        <v>136</v>
      </c>
      <c r="X1442" s="102" t="s">
        <v>137</v>
      </c>
      <c r="Y1442" s="103" t="s">
        <v>138</v>
      </c>
      <c r="Z1442" s="103" t="s">
        <v>139</v>
      </c>
      <c r="AA1442" s="103" t="s">
        <v>47</v>
      </c>
      <c r="AB1442" s="103" t="s">
        <v>140</v>
      </c>
      <c r="AC1442" s="104" t="s">
        <v>141</v>
      </c>
    </row>
    <row r="1443" spans="1:29" ht="25.5" customHeight="1" x14ac:dyDescent="0.35">
      <c r="A1443" s="188"/>
      <c r="B1443" s="190"/>
      <c r="C1443" s="99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0"/>
      <c r="E1443" s="78" t="str">
        <f>IF(C1443="","",IFERROR(VLOOKUP(C1443,parametros!$A$11:$E$15,5,0),""))</f>
        <v/>
      </c>
      <c r="F1443" s="79" t="str">
        <f t="shared" si="112"/>
        <v/>
      </c>
      <c r="G1443" s="101"/>
      <c r="H1443" s="91">
        <f t="shared" si="113"/>
        <v>0</v>
      </c>
      <c r="I1443" s="91" t="str">
        <f t="shared" si="114"/>
        <v/>
      </c>
      <c r="J1443" s="91" t="str">
        <f t="shared" si="115"/>
        <v/>
      </c>
      <c r="K1443" s="92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2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58"/>
      <c r="U1443" s="217" t="str">
        <f t="shared" si="116"/>
        <v/>
      </c>
      <c r="V1443" s="215" t="s">
        <v>47</v>
      </c>
      <c r="W1443" s="102" t="s">
        <v>136</v>
      </c>
      <c r="X1443" s="102" t="s">
        <v>137</v>
      </c>
      <c r="Y1443" s="103" t="s">
        <v>138</v>
      </c>
      <c r="Z1443" s="103" t="s">
        <v>139</v>
      </c>
      <c r="AA1443" s="103" t="s">
        <v>47</v>
      </c>
      <c r="AB1443" s="103" t="s">
        <v>140</v>
      </c>
      <c r="AC1443" s="104" t="s">
        <v>141</v>
      </c>
    </row>
    <row r="1444" spans="1:29" ht="25.5" customHeight="1" x14ac:dyDescent="0.35">
      <c r="A1444" s="188"/>
      <c r="B1444" s="190"/>
      <c r="C1444" s="99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0"/>
      <c r="E1444" s="78" t="str">
        <f>IF(C1444="","",IFERROR(VLOOKUP(C1444,parametros!$A$11:$E$15,5,0),""))</f>
        <v/>
      </c>
      <c r="F1444" s="79" t="str">
        <f t="shared" si="112"/>
        <v/>
      </c>
      <c r="G1444" s="101"/>
      <c r="H1444" s="91">
        <f t="shared" si="113"/>
        <v>0</v>
      </c>
      <c r="I1444" s="91" t="str">
        <f t="shared" si="114"/>
        <v/>
      </c>
      <c r="J1444" s="91" t="str">
        <f t="shared" si="115"/>
        <v/>
      </c>
      <c r="K1444" s="92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2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58"/>
      <c r="U1444" s="217" t="str">
        <f t="shared" si="116"/>
        <v/>
      </c>
      <c r="V1444" s="215" t="s">
        <v>47</v>
      </c>
      <c r="W1444" s="102" t="s">
        <v>136</v>
      </c>
      <c r="X1444" s="102" t="s">
        <v>137</v>
      </c>
      <c r="Y1444" s="103" t="s">
        <v>138</v>
      </c>
      <c r="Z1444" s="103" t="s">
        <v>139</v>
      </c>
      <c r="AA1444" s="103" t="s">
        <v>47</v>
      </c>
      <c r="AB1444" s="103" t="s">
        <v>140</v>
      </c>
      <c r="AC1444" s="104" t="s">
        <v>141</v>
      </c>
    </row>
    <row r="1445" spans="1:29" ht="25.5" customHeight="1" x14ac:dyDescent="0.35">
      <c r="A1445" s="188"/>
      <c r="B1445" s="190"/>
      <c r="C1445" s="99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0"/>
      <c r="E1445" s="78" t="str">
        <f>IF(C1445="","",IFERROR(VLOOKUP(C1445,parametros!$A$11:$E$15,5,0),""))</f>
        <v/>
      </c>
      <c r="F1445" s="79" t="str">
        <f t="shared" si="112"/>
        <v/>
      </c>
      <c r="G1445" s="101"/>
      <c r="H1445" s="91">
        <f t="shared" si="113"/>
        <v>0</v>
      </c>
      <c r="I1445" s="91" t="str">
        <f t="shared" si="114"/>
        <v/>
      </c>
      <c r="J1445" s="91" t="str">
        <f t="shared" si="115"/>
        <v/>
      </c>
      <c r="K1445" s="92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2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58"/>
      <c r="U1445" s="217" t="str">
        <f t="shared" si="116"/>
        <v/>
      </c>
      <c r="V1445" s="215" t="s">
        <v>47</v>
      </c>
      <c r="W1445" s="102" t="s">
        <v>136</v>
      </c>
      <c r="X1445" s="102" t="s">
        <v>137</v>
      </c>
      <c r="Y1445" s="103" t="s">
        <v>138</v>
      </c>
      <c r="Z1445" s="103" t="s">
        <v>139</v>
      </c>
      <c r="AA1445" s="103" t="s">
        <v>47</v>
      </c>
      <c r="AB1445" s="103" t="s">
        <v>140</v>
      </c>
      <c r="AC1445" s="104" t="s">
        <v>141</v>
      </c>
    </row>
    <row r="1446" spans="1:29" ht="25.5" customHeight="1" x14ac:dyDescent="0.35">
      <c r="A1446" s="188"/>
      <c r="B1446" s="190"/>
      <c r="C1446" s="99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0"/>
      <c r="E1446" s="78" t="str">
        <f>IF(C1446="","",IFERROR(VLOOKUP(C1446,parametros!$A$11:$E$15,5,0),""))</f>
        <v/>
      </c>
      <c r="F1446" s="79" t="str">
        <f t="shared" si="112"/>
        <v/>
      </c>
      <c r="G1446" s="101"/>
      <c r="H1446" s="91">
        <f t="shared" si="113"/>
        <v>0</v>
      </c>
      <c r="I1446" s="91" t="str">
        <f t="shared" si="114"/>
        <v/>
      </c>
      <c r="J1446" s="91" t="str">
        <f t="shared" si="115"/>
        <v/>
      </c>
      <c r="K1446" s="92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2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58"/>
      <c r="U1446" s="217" t="str">
        <f t="shared" si="116"/>
        <v/>
      </c>
      <c r="V1446" s="215" t="s">
        <v>47</v>
      </c>
      <c r="W1446" s="102" t="s">
        <v>136</v>
      </c>
      <c r="X1446" s="102" t="s">
        <v>137</v>
      </c>
      <c r="Y1446" s="103" t="s">
        <v>138</v>
      </c>
      <c r="Z1446" s="103" t="s">
        <v>139</v>
      </c>
      <c r="AA1446" s="103" t="s">
        <v>47</v>
      </c>
      <c r="AB1446" s="103" t="s">
        <v>140</v>
      </c>
      <c r="AC1446" s="104" t="s">
        <v>141</v>
      </c>
    </row>
    <row r="1447" spans="1:29" ht="25.5" customHeight="1" x14ac:dyDescent="0.35">
      <c r="A1447" s="188"/>
      <c r="B1447" s="190"/>
      <c r="C1447" s="99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0"/>
      <c r="E1447" s="78" t="str">
        <f>IF(C1447="","",IFERROR(VLOOKUP(C1447,parametros!$A$11:$E$15,5,0),""))</f>
        <v/>
      </c>
      <c r="F1447" s="79" t="str">
        <f t="shared" si="112"/>
        <v/>
      </c>
      <c r="G1447" s="101"/>
      <c r="H1447" s="91">
        <f t="shared" si="113"/>
        <v>0</v>
      </c>
      <c r="I1447" s="91" t="str">
        <f t="shared" si="114"/>
        <v/>
      </c>
      <c r="J1447" s="91" t="str">
        <f t="shared" si="115"/>
        <v/>
      </c>
      <c r="K1447" s="92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2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58"/>
      <c r="U1447" s="217" t="str">
        <f t="shared" si="116"/>
        <v/>
      </c>
      <c r="V1447" s="215" t="s">
        <v>47</v>
      </c>
      <c r="W1447" s="102" t="s">
        <v>136</v>
      </c>
      <c r="X1447" s="102" t="s">
        <v>137</v>
      </c>
      <c r="Y1447" s="103" t="s">
        <v>138</v>
      </c>
      <c r="Z1447" s="103" t="s">
        <v>139</v>
      </c>
      <c r="AA1447" s="103" t="s">
        <v>47</v>
      </c>
      <c r="AB1447" s="103" t="s">
        <v>140</v>
      </c>
      <c r="AC1447" s="104" t="s">
        <v>141</v>
      </c>
    </row>
    <row r="1448" spans="1:29" ht="25.5" customHeight="1" x14ac:dyDescent="0.35">
      <c r="A1448" s="188"/>
      <c r="B1448" s="190"/>
      <c r="C1448" s="99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0"/>
      <c r="E1448" s="78" t="str">
        <f>IF(C1448="","",IFERROR(VLOOKUP(C1448,parametros!$A$11:$E$15,5,0),""))</f>
        <v/>
      </c>
      <c r="F1448" s="79" t="str">
        <f t="shared" si="112"/>
        <v/>
      </c>
      <c r="G1448" s="101"/>
      <c r="H1448" s="91">
        <f t="shared" si="113"/>
        <v>0</v>
      </c>
      <c r="I1448" s="91" t="str">
        <f t="shared" si="114"/>
        <v/>
      </c>
      <c r="J1448" s="91" t="str">
        <f t="shared" si="115"/>
        <v/>
      </c>
      <c r="K1448" s="92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2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58"/>
      <c r="U1448" s="217" t="str">
        <f t="shared" si="116"/>
        <v/>
      </c>
      <c r="V1448" s="215" t="s">
        <v>47</v>
      </c>
      <c r="W1448" s="102" t="s">
        <v>136</v>
      </c>
      <c r="X1448" s="102" t="s">
        <v>137</v>
      </c>
      <c r="Y1448" s="103" t="s">
        <v>138</v>
      </c>
      <c r="Z1448" s="103" t="s">
        <v>139</v>
      </c>
      <c r="AA1448" s="103" t="s">
        <v>47</v>
      </c>
      <c r="AB1448" s="103" t="s">
        <v>140</v>
      </c>
      <c r="AC1448" s="104" t="s">
        <v>141</v>
      </c>
    </row>
    <row r="1449" spans="1:29" ht="25.5" customHeight="1" x14ac:dyDescent="0.35">
      <c r="A1449" s="188"/>
      <c r="B1449" s="190"/>
      <c r="C1449" s="99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0"/>
      <c r="E1449" s="78" t="str">
        <f>IF(C1449="","",IFERROR(VLOOKUP(C1449,parametros!$A$11:$E$15,5,0),""))</f>
        <v/>
      </c>
      <c r="F1449" s="79" t="str">
        <f t="shared" si="112"/>
        <v/>
      </c>
      <c r="G1449" s="101"/>
      <c r="H1449" s="91">
        <f t="shared" si="113"/>
        <v>0</v>
      </c>
      <c r="I1449" s="91" t="str">
        <f t="shared" si="114"/>
        <v/>
      </c>
      <c r="J1449" s="91" t="str">
        <f t="shared" si="115"/>
        <v/>
      </c>
      <c r="K1449" s="92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2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58"/>
      <c r="U1449" s="217" t="str">
        <f t="shared" si="116"/>
        <v/>
      </c>
      <c r="V1449" s="215" t="s">
        <v>47</v>
      </c>
      <c r="W1449" s="102" t="s">
        <v>136</v>
      </c>
      <c r="X1449" s="102" t="s">
        <v>137</v>
      </c>
      <c r="Y1449" s="103" t="s">
        <v>138</v>
      </c>
      <c r="Z1449" s="103" t="s">
        <v>139</v>
      </c>
      <c r="AA1449" s="103" t="s">
        <v>47</v>
      </c>
      <c r="AB1449" s="103" t="s">
        <v>140</v>
      </c>
      <c r="AC1449" s="104" t="s">
        <v>141</v>
      </c>
    </row>
    <row r="1450" spans="1:29" ht="25.5" customHeight="1" x14ac:dyDescent="0.35">
      <c r="A1450" s="188"/>
      <c r="B1450" s="190"/>
      <c r="C1450" s="99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0"/>
      <c r="E1450" s="78" t="str">
        <f>IF(C1450="","",IFERROR(VLOOKUP(C1450,parametros!$A$11:$E$15,5,0),""))</f>
        <v/>
      </c>
      <c r="F1450" s="79" t="str">
        <f t="shared" si="112"/>
        <v/>
      </c>
      <c r="G1450" s="101"/>
      <c r="H1450" s="91">
        <f t="shared" si="113"/>
        <v>0</v>
      </c>
      <c r="I1450" s="91" t="str">
        <f t="shared" si="114"/>
        <v/>
      </c>
      <c r="J1450" s="91" t="str">
        <f t="shared" si="115"/>
        <v/>
      </c>
      <c r="K1450" s="92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2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58"/>
      <c r="U1450" s="217" t="str">
        <f t="shared" si="116"/>
        <v/>
      </c>
      <c r="V1450" s="215" t="s">
        <v>47</v>
      </c>
      <c r="W1450" s="102" t="s">
        <v>136</v>
      </c>
      <c r="X1450" s="102" t="s">
        <v>137</v>
      </c>
      <c r="Y1450" s="103" t="s">
        <v>138</v>
      </c>
      <c r="Z1450" s="103" t="s">
        <v>139</v>
      </c>
      <c r="AA1450" s="103" t="s">
        <v>47</v>
      </c>
      <c r="AB1450" s="103" t="s">
        <v>140</v>
      </c>
      <c r="AC1450" s="104" t="s">
        <v>141</v>
      </c>
    </row>
    <row r="1451" spans="1:29" ht="25.5" customHeight="1" x14ac:dyDescent="0.35">
      <c r="A1451" s="188"/>
      <c r="B1451" s="190"/>
      <c r="C1451" s="99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0"/>
      <c r="E1451" s="78" t="str">
        <f>IF(C1451="","",IFERROR(VLOOKUP(C1451,parametros!$A$11:$E$15,5,0),""))</f>
        <v/>
      </c>
      <c r="F1451" s="79" t="str">
        <f t="shared" si="112"/>
        <v/>
      </c>
      <c r="G1451" s="101"/>
      <c r="H1451" s="91">
        <f t="shared" si="113"/>
        <v>0</v>
      </c>
      <c r="I1451" s="91" t="str">
        <f t="shared" si="114"/>
        <v/>
      </c>
      <c r="J1451" s="91" t="str">
        <f t="shared" si="115"/>
        <v/>
      </c>
      <c r="K1451" s="92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2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58"/>
      <c r="U1451" s="217" t="str">
        <f t="shared" si="116"/>
        <v/>
      </c>
      <c r="V1451" s="215" t="s">
        <v>47</v>
      </c>
      <c r="W1451" s="102" t="s">
        <v>136</v>
      </c>
      <c r="X1451" s="102" t="s">
        <v>137</v>
      </c>
      <c r="Y1451" s="103" t="s">
        <v>138</v>
      </c>
      <c r="Z1451" s="103" t="s">
        <v>139</v>
      </c>
      <c r="AA1451" s="103" t="s">
        <v>47</v>
      </c>
      <c r="AB1451" s="103" t="s">
        <v>140</v>
      </c>
      <c r="AC1451" s="104" t="s">
        <v>141</v>
      </c>
    </row>
    <row r="1452" spans="1:29" ht="25.5" customHeight="1" x14ac:dyDescent="0.35">
      <c r="A1452" s="188"/>
      <c r="B1452" s="190"/>
      <c r="C1452" s="99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0"/>
      <c r="E1452" s="78" t="str">
        <f>IF(C1452="","",IFERROR(VLOOKUP(C1452,parametros!$A$11:$E$15,5,0),""))</f>
        <v/>
      </c>
      <c r="F1452" s="79" t="str">
        <f t="shared" si="112"/>
        <v/>
      </c>
      <c r="G1452" s="101"/>
      <c r="H1452" s="91">
        <f t="shared" si="113"/>
        <v>0</v>
      </c>
      <c r="I1452" s="91" t="str">
        <f t="shared" si="114"/>
        <v/>
      </c>
      <c r="J1452" s="91" t="str">
        <f t="shared" si="115"/>
        <v/>
      </c>
      <c r="K1452" s="92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2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58"/>
      <c r="U1452" s="217" t="str">
        <f t="shared" si="116"/>
        <v/>
      </c>
      <c r="V1452" s="215" t="s">
        <v>47</v>
      </c>
      <c r="W1452" s="102" t="s">
        <v>136</v>
      </c>
      <c r="X1452" s="102" t="s">
        <v>137</v>
      </c>
      <c r="Y1452" s="103" t="s">
        <v>138</v>
      </c>
      <c r="Z1452" s="103" t="s">
        <v>139</v>
      </c>
      <c r="AA1452" s="103" t="s">
        <v>47</v>
      </c>
      <c r="AB1452" s="103" t="s">
        <v>140</v>
      </c>
      <c r="AC1452" s="104" t="s">
        <v>141</v>
      </c>
    </row>
    <row r="1453" spans="1:29" ht="25.5" customHeight="1" x14ac:dyDescent="0.35">
      <c r="A1453" s="188"/>
      <c r="B1453" s="190"/>
      <c r="C1453" s="99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0"/>
      <c r="E1453" s="78" t="str">
        <f>IF(C1453="","",IFERROR(VLOOKUP(C1453,parametros!$A$11:$E$15,5,0),""))</f>
        <v/>
      </c>
      <c r="F1453" s="79" t="str">
        <f t="shared" si="112"/>
        <v/>
      </c>
      <c r="G1453" s="101"/>
      <c r="H1453" s="91">
        <f t="shared" si="113"/>
        <v>0</v>
      </c>
      <c r="I1453" s="91" t="str">
        <f t="shared" si="114"/>
        <v/>
      </c>
      <c r="J1453" s="91" t="str">
        <f t="shared" si="115"/>
        <v/>
      </c>
      <c r="K1453" s="92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2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58"/>
      <c r="U1453" s="217" t="str">
        <f t="shared" si="116"/>
        <v/>
      </c>
      <c r="V1453" s="215" t="s">
        <v>47</v>
      </c>
      <c r="W1453" s="102" t="s">
        <v>136</v>
      </c>
      <c r="X1453" s="102" t="s">
        <v>137</v>
      </c>
      <c r="Y1453" s="103" t="s">
        <v>138</v>
      </c>
      <c r="Z1453" s="103" t="s">
        <v>139</v>
      </c>
      <c r="AA1453" s="103" t="s">
        <v>47</v>
      </c>
      <c r="AB1453" s="103" t="s">
        <v>140</v>
      </c>
      <c r="AC1453" s="104" t="s">
        <v>141</v>
      </c>
    </row>
    <row r="1454" spans="1:29" ht="25.5" customHeight="1" x14ac:dyDescent="0.35">
      <c r="A1454" s="188"/>
      <c r="B1454" s="190"/>
      <c r="C1454" s="99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0"/>
      <c r="E1454" s="78" t="str">
        <f>IF(C1454="","",IFERROR(VLOOKUP(C1454,parametros!$A$11:$E$15,5,0),""))</f>
        <v/>
      </c>
      <c r="F1454" s="79" t="str">
        <f t="shared" si="112"/>
        <v/>
      </c>
      <c r="G1454" s="101"/>
      <c r="H1454" s="91">
        <f t="shared" si="113"/>
        <v>0</v>
      </c>
      <c r="I1454" s="91" t="str">
        <f t="shared" si="114"/>
        <v/>
      </c>
      <c r="J1454" s="91" t="str">
        <f t="shared" si="115"/>
        <v/>
      </c>
      <c r="K1454" s="92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2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58"/>
      <c r="U1454" s="217" t="str">
        <f t="shared" si="116"/>
        <v/>
      </c>
      <c r="V1454" s="215" t="s">
        <v>47</v>
      </c>
      <c r="W1454" s="102" t="s">
        <v>136</v>
      </c>
      <c r="X1454" s="102" t="s">
        <v>137</v>
      </c>
      <c r="Y1454" s="103" t="s">
        <v>138</v>
      </c>
      <c r="Z1454" s="103" t="s">
        <v>139</v>
      </c>
      <c r="AA1454" s="103" t="s">
        <v>47</v>
      </c>
      <c r="AB1454" s="103" t="s">
        <v>140</v>
      </c>
      <c r="AC1454" s="104" t="s">
        <v>141</v>
      </c>
    </row>
    <row r="1455" spans="1:29" ht="25.5" customHeight="1" x14ac:dyDescent="0.35">
      <c r="A1455" s="188"/>
      <c r="B1455" s="190"/>
      <c r="C1455" s="99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0"/>
      <c r="E1455" s="78" t="str">
        <f>IF(C1455="","",IFERROR(VLOOKUP(C1455,parametros!$A$11:$E$15,5,0),""))</f>
        <v/>
      </c>
      <c r="F1455" s="79" t="str">
        <f t="shared" si="112"/>
        <v/>
      </c>
      <c r="G1455" s="101"/>
      <c r="H1455" s="91">
        <f t="shared" si="113"/>
        <v>0</v>
      </c>
      <c r="I1455" s="91" t="str">
        <f t="shared" si="114"/>
        <v/>
      </c>
      <c r="J1455" s="91" t="str">
        <f t="shared" si="115"/>
        <v/>
      </c>
      <c r="K1455" s="92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2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58"/>
      <c r="U1455" s="217" t="str">
        <f t="shared" si="116"/>
        <v/>
      </c>
      <c r="V1455" s="215" t="s">
        <v>47</v>
      </c>
      <c r="W1455" s="102" t="s">
        <v>136</v>
      </c>
      <c r="X1455" s="102" t="s">
        <v>137</v>
      </c>
      <c r="Y1455" s="103" t="s">
        <v>138</v>
      </c>
      <c r="Z1455" s="103" t="s">
        <v>139</v>
      </c>
      <c r="AA1455" s="103" t="s">
        <v>47</v>
      </c>
      <c r="AB1455" s="103" t="s">
        <v>140</v>
      </c>
      <c r="AC1455" s="104" t="s">
        <v>141</v>
      </c>
    </row>
    <row r="1456" spans="1:29" ht="25.5" customHeight="1" x14ac:dyDescent="0.35">
      <c r="A1456" s="188"/>
      <c r="B1456" s="190"/>
      <c r="C1456" s="99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0"/>
      <c r="E1456" s="78" t="str">
        <f>IF(C1456="","",IFERROR(VLOOKUP(C1456,parametros!$A$11:$E$15,5,0),""))</f>
        <v/>
      </c>
      <c r="F1456" s="79" t="str">
        <f t="shared" si="112"/>
        <v/>
      </c>
      <c r="G1456" s="101"/>
      <c r="H1456" s="91">
        <f t="shared" si="113"/>
        <v>0</v>
      </c>
      <c r="I1456" s="91" t="str">
        <f t="shared" si="114"/>
        <v/>
      </c>
      <c r="J1456" s="91" t="str">
        <f t="shared" si="115"/>
        <v/>
      </c>
      <c r="K1456" s="92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2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58"/>
      <c r="U1456" s="217" t="str">
        <f t="shared" si="116"/>
        <v/>
      </c>
      <c r="V1456" s="215" t="s">
        <v>47</v>
      </c>
      <c r="W1456" s="102" t="s">
        <v>136</v>
      </c>
      <c r="X1456" s="102" t="s">
        <v>137</v>
      </c>
      <c r="Y1456" s="103" t="s">
        <v>138</v>
      </c>
      <c r="Z1456" s="103" t="s">
        <v>139</v>
      </c>
      <c r="AA1456" s="103" t="s">
        <v>47</v>
      </c>
      <c r="AB1456" s="103" t="s">
        <v>140</v>
      </c>
      <c r="AC1456" s="104" t="s">
        <v>141</v>
      </c>
    </row>
    <row r="1457" spans="1:29" ht="25.5" customHeight="1" x14ac:dyDescent="0.35">
      <c r="A1457" s="188"/>
      <c r="B1457" s="190"/>
      <c r="C1457" s="99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0"/>
      <c r="E1457" s="78" t="str">
        <f>IF(C1457="","",IFERROR(VLOOKUP(C1457,parametros!$A$11:$E$15,5,0),""))</f>
        <v/>
      </c>
      <c r="F1457" s="79" t="str">
        <f t="shared" si="112"/>
        <v/>
      </c>
      <c r="G1457" s="101"/>
      <c r="H1457" s="91">
        <f t="shared" si="113"/>
        <v>0</v>
      </c>
      <c r="I1457" s="91" t="str">
        <f t="shared" si="114"/>
        <v/>
      </c>
      <c r="J1457" s="91" t="str">
        <f t="shared" si="115"/>
        <v/>
      </c>
      <c r="K1457" s="92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2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58"/>
      <c r="U1457" s="217" t="str">
        <f t="shared" si="116"/>
        <v/>
      </c>
      <c r="V1457" s="215" t="s">
        <v>47</v>
      </c>
      <c r="W1457" s="102" t="s">
        <v>136</v>
      </c>
      <c r="X1457" s="102" t="s">
        <v>137</v>
      </c>
      <c r="Y1457" s="103" t="s">
        <v>138</v>
      </c>
      <c r="Z1457" s="103" t="s">
        <v>139</v>
      </c>
      <c r="AA1457" s="103" t="s">
        <v>47</v>
      </c>
      <c r="AB1457" s="103" t="s">
        <v>140</v>
      </c>
      <c r="AC1457" s="104" t="s">
        <v>141</v>
      </c>
    </row>
    <row r="1458" spans="1:29" ht="25.5" customHeight="1" x14ac:dyDescent="0.35">
      <c r="A1458" s="188"/>
      <c r="B1458" s="190"/>
      <c r="C1458" s="99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0"/>
      <c r="E1458" s="78" t="str">
        <f>IF(C1458="","",IFERROR(VLOOKUP(C1458,parametros!$A$11:$E$15,5,0),""))</f>
        <v/>
      </c>
      <c r="F1458" s="79" t="str">
        <f t="shared" si="112"/>
        <v/>
      </c>
      <c r="G1458" s="101"/>
      <c r="H1458" s="91">
        <f t="shared" si="113"/>
        <v>0</v>
      </c>
      <c r="I1458" s="91" t="str">
        <f t="shared" si="114"/>
        <v/>
      </c>
      <c r="J1458" s="91" t="str">
        <f t="shared" si="115"/>
        <v/>
      </c>
      <c r="K1458" s="92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2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58"/>
      <c r="U1458" s="217" t="str">
        <f t="shared" si="116"/>
        <v/>
      </c>
      <c r="V1458" s="215" t="s">
        <v>47</v>
      </c>
      <c r="W1458" s="102" t="s">
        <v>136</v>
      </c>
      <c r="X1458" s="102" t="s">
        <v>137</v>
      </c>
      <c r="Y1458" s="103" t="s">
        <v>138</v>
      </c>
      <c r="Z1458" s="103" t="s">
        <v>139</v>
      </c>
      <c r="AA1458" s="103" t="s">
        <v>47</v>
      </c>
      <c r="AB1458" s="103" t="s">
        <v>140</v>
      </c>
      <c r="AC1458" s="104" t="s">
        <v>141</v>
      </c>
    </row>
    <row r="1459" spans="1:29" ht="25.5" customHeight="1" x14ac:dyDescent="0.35">
      <c r="A1459" s="188"/>
      <c r="B1459" s="190"/>
      <c r="C1459" s="99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0"/>
      <c r="E1459" s="78" t="str">
        <f>IF(C1459="","",IFERROR(VLOOKUP(C1459,parametros!$A$11:$E$15,5,0),""))</f>
        <v/>
      </c>
      <c r="F1459" s="79" t="str">
        <f t="shared" si="112"/>
        <v/>
      </c>
      <c r="G1459" s="101"/>
      <c r="H1459" s="91">
        <f t="shared" si="113"/>
        <v>0</v>
      </c>
      <c r="I1459" s="91" t="str">
        <f t="shared" si="114"/>
        <v/>
      </c>
      <c r="J1459" s="91" t="str">
        <f t="shared" si="115"/>
        <v/>
      </c>
      <c r="K1459" s="92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2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58"/>
      <c r="U1459" s="217" t="str">
        <f t="shared" si="116"/>
        <v/>
      </c>
      <c r="V1459" s="215" t="s">
        <v>47</v>
      </c>
      <c r="W1459" s="102" t="s">
        <v>136</v>
      </c>
      <c r="X1459" s="102" t="s">
        <v>137</v>
      </c>
      <c r="Y1459" s="103" t="s">
        <v>138</v>
      </c>
      <c r="Z1459" s="103" t="s">
        <v>139</v>
      </c>
      <c r="AA1459" s="103" t="s">
        <v>47</v>
      </c>
      <c r="AB1459" s="103" t="s">
        <v>140</v>
      </c>
      <c r="AC1459" s="104" t="s">
        <v>141</v>
      </c>
    </row>
    <row r="1460" spans="1:29" ht="25.5" customHeight="1" x14ac:dyDescent="0.35">
      <c r="A1460" s="188"/>
      <c r="B1460" s="190"/>
      <c r="C1460" s="99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0"/>
      <c r="E1460" s="78" t="str">
        <f>IF(C1460="","",IFERROR(VLOOKUP(C1460,parametros!$A$11:$E$15,5,0),""))</f>
        <v/>
      </c>
      <c r="F1460" s="79" t="str">
        <f t="shared" si="112"/>
        <v/>
      </c>
      <c r="G1460" s="101"/>
      <c r="H1460" s="91">
        <f t="shared" si="113"/>
        <v>0</v>
      </c>
      <c r="I1460" s="91" t="str">
        <f t="shared" si="114"/>
        <v/>
      </c>
      <c r="J1460" s="91" t="str">
        <f t="shared" si="115"/>
        <v/>
      </c>
      <c r="K1460" s="92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2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58"/>
      <c r="U1460" s="217" t="str">
        <f t="shared" si="116"/>
        <v/>
      </c>
      <c r="V1460" s="215" t="s">
        <v>47</v>
      </c>
      <c r="W1460" s="102" t="s">
        <v>136</v>
      </c>
      <c r="X1460" s="102" t="s">
        <v>137</v>
      </c>
      <c r="Y1460" s="103" t="s">
        <v>138</v>
      </c>
      <c r="Z1460" s="103" t="s">
        <v>139</v>
      </c>
      <c r="AA1460" s="103" t="s">
        <v>47</v>
      </c>
      <c r="AB1460" s="103" t="s">
        <v>140</v>
      </c>
      <c r="AC1460" s="104" t="s">
        <v>141</v>
      </c>
    </row>
    <row r="1461" spans="1:29" ht="25.5" customHeight="1" x14ac:dyDescent="0.35">
      <c r="A1461" s="188"/>
      <c r="B1461" s="190"/>
      <c r="C1461" s="99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0"/>
      <c r="E1461" s="78" t="str">
        <f>IF(C1461="","",IFERROR(VLOOKUP(C1461,parametros!$A$11:$E$15,5,0),""))</f>
        <v/>
      </c>
      <c r="F1461" s="79" t="str">
        <f t="shared" si="112"/>
        <v/>
      </c>
      <c r="G1461" s="101"/>
      <c r="H1461" s="91">
        <f t="shared" si="113"/>
        <v>0</v>
      </c>
      <c r="I1461" s="91" t="str">
        <f t="shared" si="114"/>
        <v/>
      </c>
      <c r="J1461" s="91" t="str">
        <f t="shared" si="115"/>
        <v/>
      </c>
      <c r="K1461" s="92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2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58"/>
      <c r="U1461" s="217" t="str">
        <f t="shared" si="116"/>
        <v/>
      </c>
      <c r="V1461" s="215" t="s">
        <v>47</v>
      </c>
      <c r="W1461" s="102" t="s">
        <v>136</v>
      </c>
      <c r="X1461" s="102" t="s">
        <v>137</v>
      </c>
      <c r="Y1461" s="103" t="s">
        <v>138</v>
      </c>
      <c r="Z1461" s="103" t="s">
        <v>139</v>
      </c>
      <c r="AA1461" s="103" t="s">
        <v>47</v>
      </c>
      <c r="AB1461" s="103" t="s">
        <v>140</v>
      </c>
      <c r="AC1461" s="104" t="s">
        <v>141</v>
      </c>
    </row>
    <row r="1462" spans="1:29" ht="25.5" customHeight="1" x14ac:dyDescent="0.35">
      <c r="A1462" s="188"/>
      <c r="B1462" s="190"/>
      <c r="C1462" s="99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0"/>
      <c r="E1462" s="78" t="str">
        <f>IF(C1462="","",IFERROR(VLOOKUP(C1462,parametros!$A$11:$E$15,5,0),""))</f>
        <v/>
      </c>
      <c r="F1462" s="79" t="str">
        <f t="shared" si="112"/>
        <v/>
      </c>
      <c r="G1462" s="101"/>
      <c r="H1462" s="91">
        <f t="shared" si="113"/>
        <v>0</v>
      </c>
      <c r="I1462" s="91" t="str">
        <f t="shared" si="114"/>
        <v/>
      </c>
      <c r="J1462" s="91" t="str">
        <f t="shared" si="115"/>
        <v/>
      </c>
      <c r="K1462" s="92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2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58"/>
      <c r="U1462" s="217" t="str">
        <f t="shared" si="116"/>
        <v/>
      </c>
      <c r="V1462" s="215" t="s">
        <v>47</v>
      </c>
      <c r="W1462" s="102" t="s">
        <v>136</v>
      </c>
      <c r="X1462" s="102" t="s">
        <v>137</v>
      </c>
      <c r="Y1462" s="103" t="s">
        <v>138</v>
      </c>
      <c r="Z1462" s="103" t="s">
        <v>139</v>
      </c>
      <c r="AA1462" s="103" t="s">
        <v>47</v>
      </c>
      <c r="AB1462" s="103" t="s">
        <v>140</v>
      </c>
      <c r="AC1462" s="104" t="s">
        <v>141</v>
      </c>
    </row>
    <row r="1463" spans="1:29" ht="25.5" customHeight="1" x14ac:dyDescent="0.35">
      <c r="A1463" s="188"/>
      <c r="B1463" s="190"/>
      <c r="C1463" s="99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0"/>
      <c r="E1463" s="78" t="str">
        <f>IF(C1463="","",IFERROR(VLOOKUP(C1463,parametros!$A$11:$E$15,5,0),""))</f>
        <v/>
      </c>
      <c r="F1463" s="79" t="str">
        <f t="shared" si="112"/>
        <v/>
      </c>
      <c r="G1463" s="101"/>
      <c r="H1463" s="91">
        <f t="shared" si="113"/>
        <v>0</v>
      </c>
      <c r="I1463" s="91" t="str">
        <f t="shared" si="114"/>
        <v/>
      </c>
      <c r="J1463" s="91" t="str">
        <f t="shared" si="115"/>
        <v/>
      </c>
      <c r="K1463" s="92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2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58"/>
      <c r="U1463" s="217" t="str">
        <f t="shared" si="116"/>
        <v/>
      </c>
      <c r="V1463" s="215" t="s">
        <v>47</v>
      </c>
      <c r="W1463" s="102" t="s">
        <v>136</v>
      </c>
      <c r="X1463" s="102" t="s">
        <v>137</v>
      </c>
      <c r="Y1463" s="103" t="s">
        <v>138</v>
      </c>
      <c r="Z1463" s="103" t="s">
        <v>139</v>
      </c>
      <c r="AA1463" s="103" t="s">
        <v>47</v>
      </c>
      <c r="AB1463" s="103" t="s">
        <v>140</v>
      </c>
      <c r="AC1463" s="104" t="s">
        <v>141</v>
      </c>
    </row>
    <row r="1464" spans="1:29" ht="25.5" customHeight="1" x14ac:dyDescent="0.35">
      <c r="A1464" s="188"/>
      <c r="B1464" s="190"/>
      <c r="C1464" s="99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0"/>
      <c r="E1464" s="78" t="str">
        <f>IF(C1464="","",IFERROR(VLOOKUP(C1464,parametros!$A$11:$E$15,5,0),""))</f>
        <v/>
      </c>
      <c r="F1464" s="79" t="str">
        <f t="shared" si="112"/>
        <v/>
      </c>
      <c r="G1464" s="101"/>
      <c r="H1464" s="91">
        <f t="shared" si="113"/>
        <v>0</v>
      </c>
      <c r="I1464" s="91" t="str">
        <f t="shared" si="114"/>
        <v/>
      </c>
      <c r="J1464" s="91" t="str">
        <f t="shared" si="115"/>
        <v/>
      </c>
      <c r="K1464" s="92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2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58"/>
      <c r="U1464" s="217" t="str">
        <f t="shared" si="116"/>
        <v/>
      </c>
      <c r="V1464" s="215" t="s">
        <v>47</v>
      </c>
      <c r="W1464" s="102" t="s">
        <v>136</v>
      </c>
      <c r="X1464" s="102" t="s">
        <v>137</v>
      </c>
      <c r="Y1464" s="103" t="s">
        <v>138</v>
      </c>
      <c r="Z1464" s="103" t="s">
        <v>139</v>
      </c>
      <c r="AA1464" s="103" t="s">
        <v>47</v>
      </c>
      <c r="AB1464" s="103" t="s">
        <v>140</v>
      </c>
      <c r="AC1464" s="104" t="s">
        <v>141</v>
      </c>
    </row>
    <row r="1465" spans="1:29" ht="25.5" customHeight="1" x14ac:dyDescent="0.35">
      <c r="A1465" s="188"/>
      <c r="B1465" s="190"/>
      <c r="C1465" s="99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0"/>
      <c r="E1465" s="78" t="str">
        <f>IF(C1465="","",IFERROR(VLOOKUP(C1465,parametros!$A$11:$E$15,5,0),""))</f>
        <v/>
      </c>
      <c r="F1465" s="79" t="str">
        <f t="shared" si="112"/>
        <v/>
      </c>
      <c r="G1465" s="101"/>
      <c r="H1465" s="91">
        <f t="shared" si="113"/>
        <v>0</v>
      </c>
      <c r="I1465" s="91" t="str">
        <f t="shared" si="114"/>
        <v/>
      </c>
      <c r="J1465" s="91" t="str">
        <f t="shared" si="115"/>
        <v/>
      </c>
      <c r="K1465" s="92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2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58"/>
      <c r="U1465" s="217" t="str">
        <f t="shared" si="116"/>
        <v/>
      </c>
      <c r="V1465" s="215" t="s">
        <v>47</v>
      </c>
      <c r="W1465" s="102" t="s">
        <v>136</v>
      </c>
      <c r="X1465" s="102" t="s">
        <v>137</v>
      </c>
      <c r="Y1465" s="103" t="s">
        <v>138</v>
      </c>
      <c r="Z1465" s="103" t="s">
        <v>139</v>
      </c>
      <c r="AA1465" s="103" t="s">
        <v>47</v>
      </c>
      <c r="AB1465" s="103" t="s">
        <v>140</v>
      </c>
      <c r="AC1465" s="104" t="s">
        <v>141</v>
      </c>
    </row>
    <row r="1466" spans="1:29" ht="25.5" customHeight="1" x14ac:dyDescent="0.35">
      <c r="A1466" s="188"/>
      <c r="B1466" s="190"/>
      <c r="C1466" s="99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0"/>
      <c r="E1466" s="78" t="str">
        <f>IF(C1466="","",IFERROR(VLOOKUP(C1466,parametros!$A$11:$E$15,5,0),""))</f>
        <v/>
      </c>
      <c r="F1466" s="79" t="str">
        <f t="shared" si="112"/>
        <v/>
      </c>
      <c r="G1466" s="101"/>
      <c r="H1466" s="91">
        <f t="shared" si="113"/>
        <v>0</v>
      </c>
      <c r="I1466" s="91" t="str">
        <f t="shared" si="114"/>
        <v/>
      </c>
      <c r="J1466" s="91" t="str">
        <f t="shared" si="115"/>
        <v/>
      </c>
      <c r="K1466" s="92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2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58"/>
      <c r="U1466" s="217" t="str">
        <f t="shared" si="116"/>
        <v/>
      </c>
      <c r="V1466" s="215" t="s">
        <v>47</v>
      </c>
      <c r="W1466" s="102" t="s">
        <v>136</v>
      </c>
      <c r="X1466" s="102" t="s">
        <v>137</v>
      </c>
      <c r="Y1466" s="103" t="s">
        <v>138</v>
      </c>
      <c r="Z1466" s="103" t="s">
        <v>139</v>
      </c>
      <c r="AA1466" s="103" t="s">
        <v>47</v>
      </c>
      <c r="AB1466" s="103" t="s">
        <v>140</v>
      </c>
      <c r="AC1466" s="104" t="s">
        <v>141</v>
      </c>
    </row>
    <row r="1467" spans="1:29" ht="25.5" customHeight="1" x14ac:dyDescent="0.35">
      <c r="A1467" s="188"/>
      <c r="B1467" s="190"/>
      <c r="C1467" s="99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0"/>
      <c r="E1467" s="78" t="str">
        <f>IF(C1467="","",IFERROR(VLOOKUP(C1467,parametros!$A$11:$E$15,5,0),""))</f>
        <v/>
      </c>
      <c r="F1467" s="79" t="str">
        <f t="shared" si="112"/>
        <v/>
      </c>
      <c r="G1467" s="101"/>
      <c r="H1467" s="91">
        <f t="shared" si="113"/>
        <v>0</v>
      </c>
      <c r="I1467" s="91" t="str">
        <f t="shared" si="114"/>
        <v/>
      </c>
      <c r="J1467" s="91" t="str">
        <f t="shared" si="115"/>
        <v/>
      </c>
      <c r="K1467" s="92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2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58"/>
      <c r="U1467" s="217" t="str">
        <f t="shared" si="116"/>
        <v/>
      </c>
      <c r="V1467" s="215" t="s">
        <v>47</v>
      </c>
      <c r="W1467" s="102" t="s">
        <v>136</v>
      </c>
      <c r="X1467" s="102" t="s">
        <v>137</v>
      </c>
      <c r="Y1467" s="103" t="s">
        <v>138</v>
      </c>
      <c r="Z1467" s="103" t="s">
        <v>139</v>
      </c>
      <c r="AA1467" s="103" t="s">
        <v>47</v>
      </c>
      <c r="AB1467" s="103" t="s">
        <v>140</v>
      </c>
      <c r="AC1467" s="104" t="s">
        <v>141</v>
      </c>
    </row>
    <row r="1468" spans="1:29" ht="25.5" customHeight="1" x14ac:dyDescent="0.35">
      <c r="A1468" s="188"/>
      <c r="B1468" s="190"/>
      <c r="C1468" s="99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0"/>
      <c r="E1468" s="78" t="str">
        <f>IF(C1468="","",IFERROR(VLOOKUP(C1468,parametros!$A$11:$E$15,5,0),""))</f>
        <v/>
      </c>
      <c r="F1468" s="79" t="str">
        <f t="shared" si="112"/>
        <v/>
      </c>
      <c r="G1468" s="101"/>
      <c r="H1468" s="91">
        <f t="shared" si="113"/>
        <v>0</v>
      </c>
      <c r="I1468" s="91" t="str">
        <f t="shared" si="114"/>
        <v/>
      </c>
      <c r="J1468" s="91" t="str">
        <f t="shared" si="115"/>
        <v/>
      </c>
      <c r="K1468" s="92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2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58"/>
      <c r="U1468" s="217" t="str">
        <f t="shared" si="116"/>
        <v/>
      </c>
      <c r="V1468" s="215" t="s">
        <v>47</v>
      </c>
      <c r="W1468" s="102" t="s">
        <v>136</v>
      </c>
      <c r="X1468" s="102" t="s">
        <v>137</v>
      </c>
      <c r="Y1468" s="103" t="s">
        <v>138</v>
      </c>
      <c r="Z1468" s="103" t="s">
        <v>139</v>
      </c>
      <c r="AA1468" s="103" t="s">
        <v>47</v>
      </c>
      <c r="AB1468" s="103" t="s">
        <v>140</v>
      </c>
      <c r="AC1468" s="104" t="s">
        <v>141</v>
      </c>
    </row>
    <row r="1469" spans="1:29" ht="25.5" customHeight="1" x14ac:dyDescent="0.35">
      <c r="A1469" s="188"/>
      <c r="B1469" s="190"/>
      <c r="C1469" s="99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0"/>
      <c r="E1469" s="78" t="str">
        <f>IF(C1469="","",IFERROR(VLOOKUP(C1469,parametros!$A$11:$E$15,5,0),""))</f>
        <v/>
      </c>
      <c r="F1469" s="79" t="str">
        <f t="shared" si="112"/>
        <v/>
      </c>
      <c r="G1469" s="101"/>
      <c r="H1469" s="91">
        <f t="shared" si="113"/>
        <v>0</v>
      </c>
      <c r="I1469" s="91" t="str">
        <f t="shared" si="114"/>
        <v/>
      </c>
      <c r="J1469" s="91" t="str">
        <f t="shared" si="115"/>
        <v/>
      </c>
      <c r="K1469" s="92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2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58"/>
      <c r="U1469" s="217" t="str">
        <f t="shared" si="116"/>
        <v/>
      </c>
      <c r="V1469" s="215" t="s">
        <v>47</v>
      </c>
      <c r="W1469" s="102" t="s">
        <v>136</v>
      </c>
      <c r="X1469" s="102" t="s">
        <v>137</v>
      </c>
      <c r="Y1469" s="103" t="s">
        <v>138</v>
      </c>
      <c r="Z1469" s="103" t="s">
        <v>139</v>
      </c>
      <c r="AA1469" s="103" t="s">
        <v>47</v>
      </c>
      <c r="AB1469" s="103" t="s">
        <v>140</v>
      </c>
      <c r="AC1469" s="104" t="s">
        <v>141</v>
      </c>
    </row>
    <row r="1470" spans="1:29" ht="25.5" customHeight="1" x14ac:dyDescent="0.35">
      <c r="A1470" s="188"/>
      <c r="B1470" s="190"/>
      <c r="C1470" s="99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0"/>
      <c r="E1470" s="78" t="str">
        <f>IF(C1470="","",IFERROR(VLOOKUP(C1470,parametros!$A$11:$E$15,5,0),""))</f>
        <v/>
      </c>
      <c r="F1470" s="79" t="str">
        <f t="shared" si="112"/>
        <v/>
      </c>
      <c r="G1470" s="101"/>
      <c r="H1470" s="91">
        <f t="shared" si="113"/>
        <v>0</v>
      </c>
      <c r="I1470" s="91" t="str">
        <f t="shared" si="114"/>
        <v/>
      </c>
      <c r="J1470" s="91" t="str">
        <f t="shared" si="115"/>
        <v/>
      </c>
      <c r="K1470" s="92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2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58"/>
      <c r="U1470" s="217" t="str">
        <f t="shared" si="116"/>
        <v/>
      </c>
      <c r="V1470" s="215" t="s">
        <v>47</v>
      </c>
      <c r="W1470" s="102" t="s">
        <v>136</v>
      </c>
      <c r="X1470" s="102" t="s">
        <v>137</v>
      </c>
      <c r="Y1470" s="103" t="s">
        <v>138</v>
      </c>
      <c r="Z1470" s="103" t="s">
        <v>139</v>
      </c>
      <c r="AA1470" s="103" t="s">
        <v>47</v>
      </c>
      <c r="AB1470" s="103" t="s">
        <v>140</v>
      </c>
      <c r="AC1470" s="104" t="s">
        <v>141</v>
      </c>
    </row>
    <row r="1471" spans="1:29" ht="25.5" customHeight="1" x14ac:dyDescent="0.35">
      <c r="A1471" s="188"/>
      <c r="B1471" s="190"/>
      <c r="C1471" s="99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0"/>
      <c r="E1471" s="78" t="str">
        <f>IF(C1471="","",IFERROR(VLOOKUP(C1471,parametros!$A$11:$E$15,5,0),""))</f>
        <v/>
      </c>
      <c r="F1471" s="79" t="str">
        <f t="shared" si="112"/>
        <v/>
      </c>
      <c r="G1471" s="101"/>
      <c r="H1471" s="91">
        <f t="shared" si="113"/>
        <v>0</v>
      </c>
      <c r="I1471" s="91" t="str">
        <f t="shared" si="114"/>
        <v/>
      </c>
      <c r="J1471" s="91" t="str">
        <f t="shared" si="115"/>
        <v/>
      </c>
      <c r="K1471" s="92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2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58"/>
      <c r="U1471" s="217" t="str">
        <f t="shared" si="116"/>
        <v/>
      </c>
      <c r="V1471" s="215" t="s">
        <v>47</v>
      </c>
      <c r="W1471" s="102" t="s">
        <v>136</v>
      </c>
      <c r="X1471" s="102" t="s">
        <v>137</v>
      </c>
      <c r="Y1471" s="103" t="s">
        <v>138</v>
      </c>
      <c r="Z1471" s="103" t="s">
        <v>139</v>
      </c>
      <c r="AA1471" s="103" t="s">
        <v>47</v>
      </c>
      <c r="AB1471" s="103" t="s">
        <v>140</v>
      </c>
      <c r="AC1471" s="104" t="s">
        <v>141</v>
      </c>
    </row>
    <row r="1472" spans="1:29" ht="25.5" customHeight="1" x14ac:dyDescent="0.35">
      <c r="A1472" s="188"/>
      <c r="B1472" s="190"/>
      <c r="C1472" s="99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0"/>
      <c r="E1472" s="78" t="str">
        <f>IF(C1472="","",IFERROR(VLOOKUP(C1472,parametros!$A$11:$E$15,5,0),""))</f>
        <v/>
      </c>
      <c r="F1472" s="79" t="str">
        <f t="shared" si="112"/>
        <v/>
      </c>
      <c r="G1472" s="101"/>
      <c r="H1472" s="91">
        <f t="shared" si="113"/>
        <v>0</v>
      </c>
      <c r="I1472" s="91" t="str">
        <f t="shared" si="114"/>
        <v/>
      </c>
      <c r="J1472" s="91" t="str">
        <f t="shared" si="115"/>
        <v/>
      </c>
      <c r="K1472" s="92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2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58"/>
      <c r="U1472" s="217" t="str">
        <f t="shared" si="116"/>
        <v/>
      </c>
      <c r="V1472" s="215" t="s">
        <v>47</v>
      </c>
      <c r="W1472" s="102" t="s">
        <v>136</v>
      </c>
      <c r="X1472" s="102" t="s">
        <v>137</v>
      </c>
      <c r="Y1472" s="103" t="s">
        <v>138</v>
      </c>
      <c r="Z1472" s="103" t="s">
        <v>139</v>
      </c>
      <c r="AA1472" s="103" t="s">
        <v>47</v>
      </c>
      <c r="AB1472" s="103" t="s">
        <v>140</v>
      </c>
      <c r="AC1472" s="104" t="s">
        <v>141</v>
      </c>
    </row>
    <row r="1473" spans="1:29" ht="25.5" customHeight="1" x14ac:dyDescent="0.35">
      <c r="A1473" s="188"/>
      <c r="B1473" s="190"/>
      <c r="C1473" s="99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0"/>
      <c r="E1473" s="78" t="str">
        <f>IF(C1473="","",IFERROR(VLOOKUP(C1473,parametros!$A$11:$E$15,5,0),""))</f>
        <v/>
      </c>
      <c r="F1473" s="79" t="str">
        <f t="shared" si="112"/>
        <v/>
      </c>
      <c r="G1473" s="101"/>
      <c r="H1473" s="91">
        <f t="shared" si="113"/>
        <v>0</v>
      </c>
      <c r="I1473" s="91" t="str">
        <f t="shared" si="114"/>
        <v/>
      </c>
      <c r="J1473" s="91" t="str">
        <f t="shared" si="115"/>
        <v/>
      </c>
      <c r="K1473" s="92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2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58"/>
      <c r="U1473" s="217" t="str">
        <f t="shared" si="116"/>
        <v/>
      </c>
      <c r="V1473" s="215" t="s">
        <v>47</v>
      </c>
      <c r="W1473" s="102" t="s">
        <v>136</v>
      </c>
      <c r="X1473" s="102" t="s">
        <v>137</v>
      </c>
      <c r="Y1473" s="103" t="s">
        <v>138</v>
      </c>
      <c r="Z1473" s="103" t="s">
        <v>139</v>
      </c>
      <c r="AA1473" s="103" t="s">
        <v>47</v>
      </c>
      <c r="AB1473" s="103" t="s">
        <v>140</v>
      </c>
      <c r="AC1473" s="104" t="s">
        <v>141</v>
      </c>
    </row>
    <row r="1474" spans="1:29" ht="25.5" customHeight="1" x14ac:dyDescent="0.35">
      <c r="A1474" s="188"/>
      <c r="B1474" s="190"/>
      <c r="C1474" s="99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0"/>
      <c r="E1474" s="78" t="str">
        <f>IF(C1474="","",IFERROR(VLOOKUP(C1474,parametros!$A$11:$E$15,5,0),""))</f>
        <v/>
      </c>
      <c r="F1474" s="79" t="str">
        <f t="shared" ref="F1474:F1537" si="117">IF(OR(D1474="",E1474=""),"",ROUND(D1474*E1474,2))</f>
        <v/>
      </c>
      <c r="G1474" s="101"/>
      <c r="H1474" s="91">
        <f t="shared" ref="H1474:H1537" si="118">IF(G1474="Sim",IF(OR(F1474="",D1474="",L1474=""),"",IF(L1474="Sim",ROUND(F1474-D1474,2),0)),0)</f>
        <v>0</v>
      </c>
      <c r="I1474" s="91" t="str">
        <f t="shared" ref="I1474:I1537" si="119">IF(G1474="Sim",0,IF(OR(F1474="",L1474=""),"",F1474))</f>
        <v/>
      </c>
      <c r="J1474" s="91" t="str">
        <f t="shared" ref="J1474:J1537" si="120">IF(G1474="Sim",0,IF(OR(F1474="",D1474="",L1474=""),"",IF(L1474="Sim",ROUND(F1474-D1474,2),0)))</f>
        <v/>
      </c>
      <c r="K1474" s="92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2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58"/>
      <c r="U1474" s="217" t="str">
        <f t="shared" ref="U1474:U1537" si="121">IF(OR($D1474="",$H1474=""),"",ROUND($D1474+$H1474,2))</f>
        <v/>
      </c>
      <c r="V1474" s="215" t="s">
        <v>47</v>
      </c>
      <c r="W1474" s="102" t="s">
        <v>136</v>
      </c>
      <c r="X1474" s="102" t="s">
        <v>137</v>
      </c>
      <c r="Y1474" s="103" t="s">
        <v>138</v>
      </c>
      <c r="Z1474" s="103" t="s">
        <v>139</v>
      </c>
      <c r="AA1474" s="103" t="s">
        <v>47</v>
      </c>
      <c r="AB1474" s="103" t="s">
        <v>140</v>
      </c>
      <c r="AC1474" s="104" t="s">
        <v>141</v>
      </c>
    </row>
    <row r="1475" spans="1:29" ht="25.5" customHeight="1" x14ac:dyDescent="0.35">
      <c r="A1475" s="188"/>
      <c r="B1475" s="190"/>
      <c r="C1475" s="99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0"/>
      <c r="E1475" s="78" t="str">
        <f>IF(C1475="","",IFERROR(VLOOKUP(C1475,parametros!$A$11:$E$15,5,0),""))</f>
        <v/>
      </c>
      <c r="F1475" s="79" t="str">
        <f t="shared" si="117"/>
        <v/>
      </c>
      <c r="G1475" s="101"/>
      <c r="H1475" s="91">
        <f t="shared" si="118"/>
        <v>0</v>
      </c>
      <c r="I1475" s="91" t="str">
        <f t="shared" si="119"/>
        <v/>
      </c>
      <c r="J1475" s="91" t="str">
        <f t="shared" si="120"/>
        <v/>
      </c>
      <c r="K1475" s="92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2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58"/>
      <c r="U1475" s="217" t="str">
        <f t="shared" si="121"/>
        <v/>
      </c>
      <c r="V1475" s="215" t="s">
        <v>47</v>
      </c>
      <c r="W1475" s="102" t="s">
        <v>136</v>
      </c>
      <c r="X1475" s="102" t="s">
        <v>137</v>
      </c>
      <c r="Y1475" s="103" t="s">
        <v>138</v>
      </c>
      <c r="Z1475" s="103" t="s">
        <v>139</v>
      </c>
      <c r="AA1475" s="103" t="s">
        <v>47</v>
      </c>
      <c r="AB1475" s="103" t="s">
        <v>140</v>
      </c>
      <c r="AC1475" s="104" t="s">
        <v>141</v>
      </c>
    </row>
    <row r="1476" spans="1:29" ht="25.5" customHeight="1" x14ac:dyDescent="0.35">
      <c r="A1476" s="188"/>
      <c r="B1476" s="190"/>
      <c r="C1476" s="99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0"/>
      <c r="E1476" s="78" t="str">
        <f>IF(C1476="","",IFERROR(VLOOKUP(C1476,parametros!$A$11:$E$15,5,0),""))</f>
        <v/>
      </c>
      <c r="F1476" s="79" t="str">
        <f t="shared" si="117"/>
        <v/>
      </c>
      <c r="G1476" s="101"/>
      <c r="H1476" s="91">
        <f t="shared" si="118"/>
        <v>0</v>
      </c>
      <c r="I1476" s="91" t="str">
        <f t="shared" si="119"/>
        <v/>
      </c>
      <c r="J1476" s="91" t="str">
        <f t="shared" si="120"/>
        <v/>
      </c>
      <c r="K1476" s="92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2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58"/>
      <c r="U1476" s="217" t="str">
        <f t="shared" si="121"/>
        <v/>
      </c>
      <c r="V1476" s="215" t="s">
        <v>47</v>
      </c>
      <c r="W1476" s="102" t="s">
        <v>136</v>
      </c>
      <c r="X1476" s="102" t="s">
        <v>137</v>
      </c>
      <c r="Y1476" s="103" t="s">
        <v>138</v>
      </c>
      <c r="Z1476" s="103" t="s">
        <v>139</v>
      </c>
      <c r="AA1476" s="103" t="s">
        <v>47</v>
      </c>
      <c r="AB1476" s="103" t="s">
        <v>140</v>
      </c>
      <c r="AC1476" s="104" t="s">
        <v>141</v>
      </c>
    </row>
    <row r="1477" spans="1:29" ht="25.5" customHeight="1" x14ac:dyDescent="0.35">
      <c r="A1477" s="188"/>
      <c r="B1477" s="190"/>
      <c r="C1477" s="99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0"/>
      <c r="E1477" s="78" t="str">
        <f>IF(C1477="","",IFERROR(VLOOKUP(C1477,parametros!$A$11:$E$15,5,0),""))</f>
        <v/>
      </c>
      <c r="F1477" s="79" t="str">
        <f t="shared" si="117"/>
        <v/>
      </c>
      <c r="G1477" s="101"/>
      <c r="H1477" s="91">
        <f t="shared" si="118"/>
        <v>0</v>
      </c>
      <c r="I1477" s="91" t="str">
        <f t="shared" si="119"/>
        <v/>
      </c>
      <c r="J1477" s="91" t="str">
        <f t="shared" si="120"/>
        <v/>
      </c>
      <c r="K1477" s="92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2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58"/>
      <c r="U1477" s="217" t="str">
        <f t="shared" si="121"/>
        <v/>
      </c>
      <c r="V1477" s="215" t="s">
        <v>47</v>
      </c>
      <c r="W1477" s="102" t="s">
        <v>136</v>
      </c>
      <c r="X1477" s="102" t="s">
        <v>137</v>
      </c>
      <c r="Y1477" s="103" t="s">
        <v>138</v>
      </c>
      <c r="Z1477" s="103" t="s">
        <v>139</v>
      </c>
      <c r="AA1477" s="103" t="s">
        <v>47</v>
      </c>
      <c r="AB1477" s="103" t="s">
        <v>140</v>
      </c>
      <c r="AC1477" s="104" t="s">
        <v>141</v>
      </c>
    </row>
    <row r="1478" spans="1:29" ht="25.5" customHeight="1" x14ac:dyDescent="0.35">
      <c r="A1478" s="188"/>
      <c r="B1478" s="190"/>
      <c r="C1478" s="99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0"/>
      <c r="E1478" s="78" t="str">
        <f>IF(C1478="","",IFERROR(VLOOKUP(C1478,parametros!$A$11:$E$15,5,0),""))</f>
        <v/>
      </c>
      <c r="F1478" s="79" t="str">
        <f t="shared" si="117"/>
        <v/>
      </c>
      <c r="G1478" s="101"/>
      <c r="H1478" s="91">
        <f t="shared" si="118"/>
        <v>0</v>
      </c>
      <c r="I1478" s="91" t="str">
        <f t="shared" si="119"/>
        <v/>
      </c>
      <c r="J1478" s="91" t="str">
        <f t="shared" si="120"/>
        <v/>
      </c>
      <c r="K1478" s="92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2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58"/>
      <c r="U1478" s="217" t="str">
        <f t="shared" si="121"/>
        <v/>
      </c>
      <c r="V1478" s="215" t="s">
        <v>47</v>
      </c>
      <c r="W1478" s="102" t="s">
        <v>136</v>
      </c>
      <c r="X1478" s="102" t="s">
        <v>137</v>
      </c>
      <c r="Y1478" s="103" t="s">
        <v>138</v>
      </c>
      <c r="Z1478" s="103" t="s">
        <v>139</v>
      </c>
      <c r="AA1478" s="103" t="s">
        <v>47</v>
      </c>
      <c r="AB1478" s="103" t="s">
        <v>140</v>
      </c>
      <c r="AC1478" s="104" t="s">
        <v>141</v>
      </c>
    </row>
    <row r="1479" spans="1:29" ht="25.5" customHeight="1" x14ac:dyDescent="0.35">
      <c r="A1479" s="188"/>
      <c r="B1479" s="190"/>
      <c r="C1479" s="99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0"/>
      <c r="E1479" s="78" t="str">
        <f>IF(C1479="","",IFERROR(VLOOKUP(C1479,parametros!$A$11:$E$15,5,0),""))</f>
        <v/>
      </c>
      <c r="F1479" s="79" t="str">
        <f t="shared" si="117"/>
        <v/>
      </c>
      <c r="G1479" s="101"/>
      <c r="H1479" s="91">
        <f t="shared" si="118"/>
        <v>0</v>
      </c>
      <c r="I1479" s="91" t="str">
        <f t="shared" si="119"/>
        <v/>
      </c>
      <c r="J1479" s="91" t="str">
        <f t="shared" si="120"/>
        <v/>
      </c>
      <c r="K1479" s="92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2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58"/>
      <c r="U1479" s="217" t="str">
        <f t="shared" si="121"/>
        <v/>
      </c>
      <c r="V1479" s="215" t="s">
        <v>47</v>
      </c>
      <c r="W1479" s="102" t="s">
        <v>136</v>
      </c>
      <c r="X1479" s="102" t="s">
        <v>137</v>
      </c>
      <c r="Y1479" s="103" t="s">
        <v>138</v>
      </c>
      <c r="Z1479" s="103" t="s">
        <v>139</v>
      </c>
      <c r="AA1479" s="103" t="s">
        <v>47</v>
      </c>
      <c r="AB1479" s="103" t="s">
        <v>140</v>
      </c>
      <c r="AC1479" s="104" t="s">
        <v>141</v>
      </c>
    </row>
    <row r="1480" spans="1:29" ht="25.5" customHeight="1" x14ac:dyDescent="0.35">
      <c r="A1480" s="188"/>
      <c r="B1480" s="190"/>
      <c r="C1480" s="99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0"/>
      <c r="E1480" s="78" t="str">
        <f>IF(C1480="","",IFERROR(VLOOKUP(C1480,parametros!$A$11:$E$15,5,0),""))</f>
        <v/>
      </c>
      <c r="F1480" s="79" t="str">
        <f t="shared" si="117"/>
        <v/>
      </c>
      <c r="G1480" s="101"/>
      <c r="H1480" s="91">
        <f t="shared" si="118"/>
        <v>0</v>
      </c>
      <c r="I1480" s="91" t="str">
        <f t="shared" si="119"/>
        <v/>
      </c>
      <c r="J1480" s="91" t="str">
        <f t="shared" si="120"/>
        <v/>
      </c>
      <c r="K1480" s="92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2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58"/>
      <c r="U1480" s="217" t="str">
        <f t="shared" si="121"/>
        <v/>
      </c>
      <c r="V1480" s="215" t="s">
        <v>47</v>
      </c>
      <c r="W1480" s="102" t="s">
        <v>136</v>
      </c>
      <c r="X1480" s="102" t="s">
        <v>137</v>
      </c>
      <c r="Y1480" s="103" t="s">
        <v>138</v>
      </c>
      <c r="Z1480" s="103" t="s">
        <v>139</v>
      </c>
      <c r="AA1480" s="103" t="s">
        <v>47</v>
      </c>
      <c r="AB1480" s="103" t="s">
        <v>140</v>
      </c>
      <c r="AC1480" s="104" t="s">
        <v>141</v>
      </c>
    </row>
    <row r="1481" spans="1:29" ht="25.5" customHeight="1" x14ac:dyDescent="0.35">
      <c r="A1481" s="188"/>
      <c r="B1481" s="190"/>
      <c r="C1481" s="99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0"/>
      <c r="E1481" s="78" t="str">
        <f>IF(C1481="","",IFERROR(VLOOKUP(C1481,parametros!$A$11:$E$15,5,0),""))</f>
        <v/>
      </c>
      <c r="F1481" s="79" t="str">
        <f t="shared" si="117"/>
        <v/>
      </c>
      <c r="G1481" s="101"/>
      <c r="H1481" s="91">
        <f t="shared" si="118"/>
        <v>0</v>
      </c>
      <c r="I1481" s="91" t="str">
        <f t="shared" si="119"/>
        <v/>
      </c>
      <c r="J1481" s="91" t="str">
        <f t="shared" si="120"/>
        <v/>
      </c>
      <c r="K1481" s="92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2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58"/>
      <c r="U1481" s="217" t="str">
        <f t="shared" si="121"/>
        <v/>
      </c>
      <c r="V1481" s="215" t="s">
        <v>47</v>
      </c>
      <c r="W1481" s="102" t="s">
        <v>136</v>
      </c>
      <c r="X1481" s="102" t="s">
        <v>137</v>
      </c>
      <c r="Y1481" s="103" t="s">
        <v>138</v>
      </c>
      <c r="Z1481" s="103" t="s">
        <v>139</v>
      </c>
      <c r="AA1481" s="103" t="s">
        <v>47</v>
      </c>
      <c r="AB1481" s="103" t="s">
        <v>140</v>
      </c>
      <c r="AC1481" s="104" t="s">
        <v>141</v>
      </c>
    </row>
    <row r="1482" spans="1:29" ht="25.5" customHeight="1" x14ac:dyDescent="0.35">
      <c r="A1482" s="188"/>
      <c r="B1482" s="190"/>
      <c r="C1482" s="99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0"/>
      <c r="E1482" s="78" t="str">
        <f>IF(C1482="","",IFERROR(VLOOKUP(C1482,parametros!$A$11:$E$15,5,0),""))</f>
        <v/>
      </c>
      <c r="F1482" s="79" t="str">
        <f t="shared" si="117"/>
        <v/>
      </c>
      <c r="G1482" s="101"/>
      <c r="H1482" s="91">
        <f t="shared" si="118"/>
        <v>0</v>
      </c>
      <c r="I1482" s="91" t="str">
        <f t="shared" si="119"/>
        <v/>
      </c>
      <c r="J1482" s="91" t="str">
        <f t="shared" si="120"/>
        <v/>
      </c>
      <c r="K1482" s="92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2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58"/>
      <c r="U1482" s="217" t="str">
        <f t="shared" si="121"/>
        <v/>
      </c>
      <c r="V1482" s="215" t="s">
        <v>47</v>
      </c>
      <c r="W1482" s="102" t="s">
        <v>136</v>
      </c>
      <c r="X1482" s="102" t="s">
        <v>137</v>
      </c>
      <c r="Y1482" s="103" t="s">
        <v>138</v>
      </c>
      <c r="Z1482" s="103" t="s">
        <v>139</v>
      </c>
      <c r="AA1482" s="103" t="s">
        <v>47</v>
      </c>
      <c r="AB1482" s="103" t="s">
        <v>140</v>
      </c>
      <c r="AC1482" s="104" t="s">
        <v>141</v>
      </c>
    </row>
    <row r="1483" spans="1:29" ht="25.5" customHeight="1" x14ac:dyDescent="0.35">
      <c r="A1483" s="188"/>
      <c r="B1483" s="190"/>
      <c r="C1483" s="99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0"/>
      <c r="E1483" s="78" t="str">
        <f>IF(C1483="","",IFERROR(VLOOKUP(C1483,parametros!$A$11:$E$15,5,0),""))</f>
        <v/>
      </c>
      <c r="F1483" s="79" t="str">
        <f t="shared" si="117"/>
        <v/>
      </c>
      <c r="G1483" s="101"/>
      <c r="H1483" s="91">
        <f t="shared" si="118"/>
        <v>0</v>
      </c>
      <c r="I1483" s="91" t="str">
        <f t="shared" si="119"/>
        <v/>
      </c>
      <c r="J1483" s="91" t="str">
        <f t="shared" si="120"/>
        <v/>
      </c>
      <c r="K1483" s="92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2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58"/>
      <c r="U1483" s="217" t="str">
        <f t="shared" si="121"/>
        <v/>
      </c>
      <c r="V1483" s="215" t="s">
        <v>47</v>
      </c>
      <c r="W1483" s="102" t="s">
        <v>136</v>
      </c>
      <c r="X1483" s="102" t="s">
        <v>137</v>
      </c>
      <c r="Y1483" s="103" t="s">
        <v>138</v>
      </c>
      <c r="Z1483" s="103" t="s">
        <v>139</v>
      </c>
      <c r="AA1483" s="103" t="s">
        <v>47</v>
      </c>
      <c r="AB1483" s="103" t="s">
        <v>140</v>
      </c>
      <c r="AC1483" s="104" t="s">
        <v>141</v>
      </c>
    </row>
    <row r="1484" spans="1:29" ht="25.5" customHeight="1" x14ac:dyDescent="0.35">
      <c r="A1484" s="188"/>
      <c r="B1484" s="190"/>
      <c r="C1484" s="99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0"/>
      <c r="E1484" s="78" t="str">
        <f>IF(C1484="","",IFERROR(VLOOKUP(C1484,parametros!$A$11:$E$15,5,0),""))</f>
        <v/>
      </c>
      <c r="F1484" s="79" t="str">
        <f t="shared" si="117"/>
        <v/>
      </c>
      <c r="G1484" s="101"/>
      <c r="H1484" s="91">
        <f t="shared" si="118"/>
        <v>0</v>
      </c>
      <c r="I1484" s="91" t="str">
        <f t="shared" si="119"/>
        <v/>
      </c>
      <c r="J1484" s="91" t="str">
        <f t="shared" si="120"/>
        <v/>
      </c>
      <c r="K1484" s="92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2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58"/>
      <c r="U1484" s="217" t="str">
        <f t="shared" si="121"/>
        <v/>
      </c>
      <c r="V1484" s="215" t="s">
        <v>47</v>
      </c>
      <c r="W1484" s="102" t="s">
        <v>136</v>
      </c>
      <c r="X1484" s="102" t="s">
        <v>137</v>
      </c>
      <c r="Y1484" s="103" t="s">
        <v>138</v>
      </c>
      <c r="Z1484" s="103" t="s">
        <v>139</v>
      </c>
      <c r="AA1484" s="103" t="s">
        <v>47</v>
      </c>
      <c r="AB1484" s="103" t="s">
        <v>140</v>
      </c>
      <c r="AC1484" s="104" t="s">
        <v>141</v>
      </c>
    </row>
    <row r="1485" spans="1:29" ht="25.5" customHeight="1" x14ac:dyDescent="0.35">
      <c r="A1485" s="188"/>
      <c r="B1485" s="190"/>
      <c r="C1485" s="99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0"/>
      <c r="E1485" s="78" t="str">
        <f>IF(C1485="","",IFERROR(VLOOKUP(C1485,parametros!$A$11:$E$15,5,0),""))</f>
        <v/>
      </c>
      <c r="F1485" s="79" t="str">
        <f t="shared" si="117"/>
        <v/>
      </c>
      <c r="G1485" s="101"/>
      <c r="H1485" s="91">
        <f t="shared" si="118"/>
        <v>0</v>
      </c>
      <c r="I1485" s="91" t="str">
        <f t="shared" si="119"/>
        <v/>
      </c>
      <c r="J1485" s="91" t="str">
        <f t="shared" si="120"/>
        <v/>
      </c>
      <c r="K1485" s="92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2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58"/>
      <c r="U1485" s="217" t="str">
        <f t="shared" si="121"/>
        <v/>
      </c>
      <c r="V1485" s="215" t="s">
        <v>47</v>
      </c>
      <c r="W1485" s="102" t="s">
        <v>136</v>
      </c>
      <c r="X1485" s="102" t="s">
        <v>137</v>
      </c>
      <c r="Y1485" s="103" t="s">
        <v>138</v>
      </c>
      <c r="Z1485" s="103" t="s">
        <v>139</v>
      </c>
      <c r="AA1485" s="103" t="s">
        <v>47</v>
      </c>
      <c r="AB1485" s="103" t="s">
        <v>140</v>
      </c>
      <c r="AC1485" s="104" t="s">
        <v>141</v>
      </c>
    </row>
    <row r="1486" spans="1:29" ht="25.5" customHeight="1" x14ac:dyDescent="0.35">
      <c r="A1486" s="188"/>
      <c r="B1486" s="190"/>
      <c r="C1486" s="99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0"/>
      <c r="E1486" s="78" t="str">
        <f>IF(C1486="","",IFERROR(VLOOKUP(C1486,parametros!$A$11:$E$15,5,0),""))</f>
        <v/>
      </c>
      <c r="F1486" s="79" t="str">
        <f t="shared" si="117"/>
        <v/>
      </c>
      <c r="G1486" s="101"/>
      <c r="H1486" s="91">
        <f t="shared" si="118"/>
        <v>0</v>
      </c>
      <c r="I1486" s="91" t="str">
        <f t="shared" si="119"/>
        <v/>
      </c>
      <c r="J1486" s="91" t="str">
        <f t="shared" si="120"/>
        <v/>
      </c>
      <c r="K1486" s="92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2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58"/>
      <c r="U1486" s="217" t="str">
        <f t="shared" si="121"/>
        <v/>
      </c>
      <c r="V1486" s="215" t="s">
        <v>47</v>
      </c>
      <c r="W1486" s="102" t="s">
        <v>136</v>
      </c>
      <c r="X1486" s="102" t="s">
        <v>137</v>
      </c>
      <c r="Y1486" s="103" t="s">
        <v>138</v>
      </c>
      <c r="Z1486" s="103" t="s">
        <v>139</v>
      </c>
      <c r="AA1486" s="103" t="s">
        <v>47</v>
      </c>
      <c r="AB1486" s="103" t="s">
        <v>140</v>
      </c>
      <c r="AC1486" s="104" t="s">
        <v>141</v>
      </c>
    </row>
    <row r="1487" spans="1:29" ht="25.5" customHeight="1" x14ac:dyDescent="0.35">
      <c r="A1487" s="188"/>
      <c r="B1487" s="190"/>
      <c r="C1487" s="99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0"/>
      <c r="E1487" s="78" t="str">
        <f>IF(C1487="","",IFERROR(VLOOKUP(C1487,parametros!$A$11:$E$15,5,0),""))</f>
        <v/>
      </c>
      <c r="F1487" s="79" t="str">
        <f t="shared" si="117"/>
        <v/>
      </c>
      <c r="G1487" s="101"/>
      <c r="H1487" s="91">
        <f t="shared" si="118"/>
        <v>0</v>
      </c>
      <c r="I1487" s="91" t="str">
        <f t="shared" si="119"/>
        <v/>
      </c>
      <c r="J1487" s="91" t="str">
        <f t="shared" si="120"/>
        <v/>
      </c>
      <c r="K1487" s="92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2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58"/>
      <c r="U1487" s="217" t="str">
        <f t="shared" si="121"/>
        <v/>
      </c>
      <c r="V1487" s="215" t="s">
        <v>47</v>
      </c>
      <c r="W1487" s="102" t="s">
        <v>136</v>
      </c>
      <c r="X1487" s="102" t="s">
        <v>137</v>
      </c>
      <c r="Y1487" s="103" t="s">
        <v>138</v>
      </c>
      <c r="Z1487" s="103" t="s">
        <v>139</v>
      </c>
      <c r="AA1487" s="103" t="s">
        <v>47</v>
      </c>
      <c r="AB1487" s="103" t="s">
        <v>140</v>
      </c>
      <c r="AC1487" s="104" t="s">
        <v>141</v>
      </c>
    </row>
    <row r="1488" spans="1:29" ht="25.5" customHeight="1" x14ac:dyDescent="0.35">
      <c r="A1488" s="188"/>
      <c r="B1488" s="190"/>
      <c r="C1488" s="99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0"/>
      <c r="E1488" s="78" t="str">
        <f>IF(C1488="","",IFERROR(VLOOKUP(C1488,parametros!$A$11:$E$15,5,0),""))</f>
        <v/>
      </c>
      <c r="F1488" s="79" t="str">
        <f t="shared" si="117"/>
        <v/>
      </c>
      <c r="G1488" s="101"/>
      <c r="H1488" s="91">
        <f t="shared" si="118"/>
        <v>0</v>
      </c>
      <c r="I1488" s="91" t="str">
        <f t="shared" si="119"/>
        <v/>
      </c>
      <c r="J1488" s="91" t="str">
        <f t="shared" si="120"/>
        <v/>
      </c>
      <c r="K1488" s="92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2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58"/>
      <c r="U1488" s="217" t="str">
        <f t="shared" si="121"/>
        <v/>
      </c>
      <c r="V1488" s="215" t="s">
        <v>47</v>
      </c>
      <c r="W1488" s="102" t="s">
        <v>136</v>
      </c>
      <c r="X1488" s="102" t="s">
        <v>137</v>
      </c>
      <c r="Y1488" s="103" t="s">
        <v>138</v>
      </c>
      <c r="Z1488" s="103" t="s">
        <v>139</v>
      </c>
      <c r="AA1488" s="103" t="s">
        <v>47</v>
      </c>
      <c r="AB1488" s="103" t="s">
        <v>140</v>
      </c>
      <c r="AC1488" s="104" t="s">
        <v>141</v>
      </c>
    </row>
    <row r="1489" spans="1:29" ht="25.5" customHeight="1" x14ac:dyDescent="0.35">
      <c r="A1489" s="188"/>
      <c r="B1489" s="190"/>
      <c r="C1489" s="99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0"/>
      <c r="E1489" s="78" t="str">
        <f>IF(C1489="","",IFERROR(VLOOKUP(C1489,parametros!$A$11:$E$15,5,0),""))</f>
        <v/>
      </c>
      <c r="F1489" s="79" t="str">
        <f t="shared" si="117"/>
        <v/>
      </c>
      <c r="G1489" s="101"/>
      <c r="H1489" s="91">
        <f t="shared" si="118"/>
        <v>0</v>
      </c>
      <c r="I1489" s="91" t="str">
        <f t="shared" si="119"/>
        <v/>
      </c>
      <c r="J1489" s="91" t="str">
        <f t="shared" si="120"/>
        <v/>
      </c>
      <c r="K1489" s="92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2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58"/>
      <c r="U1489" s="217" t="str">
        <f t="shared" si="121"/>
        <v/>
      </c>
      <c r="V1489" s="215" t="s">
        <v>47</v>
      </c>
      <c r="W1489" s="102" t="s">
        <v>136</v>
      </c>
      <c r="X1489" s="102" t="s">
        <v>137</v>
      </c>
      <c r="Y1489" s="103" t="s">
        <v>138</v>
      </c>
      <c r="Z1489" s="103" t="s">
        <v>139</v>
      </c>
      <c r="AA1489" s="103" t="s">
        <v>47</v>
      </c>
      <c r="AB1489" s="103" t="s">
        <v>140</v>
      </c>
      <c r="AC1489" s="104" t="s">
        <v>141</v>
      </c>
    </row>
    <row r="1490" spans="1:29" ht="25.5" customHeight="1" x14ac:dyDescent="0.35">
      <c r="A1490" s="188"/>
      <c r="B1490" s="190"/>
      <c r="C1490" s="99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0"/>
      <c r="E1490" s="78" t="str">
        <f>IF(C1490="","",IFERROR(VLOOKUP(C1490,parametros!$A$11:$E$15,5,0),""))</f>
        <v/>
      </c>
      <c r="F1490" s="79" t="str">
        <f t="shared" si="117"/>
        <v/>
      </c>
      <c r="G1490" s="101"/>
      <c r="H1490" s="91">
        <f t="shared" si="118"/>
        <v>0</v>
      </c>
      <c r="I1490" s="91" t="str">
        <f t="shared" si="119"/>
        <v/>
      </c>
      <c r="J1490" s="91" t="str">
        <f t="shared" si="120"/>
        <v/>
      </c>
      <c r="K1490" s="92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2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58"/>
      <c r="U1490" s="217" t="str">
        <f t="shared" si="121"/>
        <v/>
      </c>
      <c r="V1490" s="215" t="s">
        <v>47</v>
      </c>
      <c r="W1490" s="102" t="s">
        <v>136</v>
      </c>
      <c r="X1490" s="102" t="s">
        <v>137</v>
      </c>
      <c r="Y1490" s="103" t="s">
        <v>138</v>
      </c>
      <c r="Z1490" s="103" t="s">
        <v>139</v>
      </c>
      <c r="AA1490" s="103" t="s">
        <v>47</v>
      </c>
      <c r="AB1490" s="103" t="s">
        <v>140</v>
      </c>
      <c r="AC1490" s="104" t="s">
        <v>141</v>
      </c>
    </row>
    <row r="1491" spans="1:29" ht="25.5" customHeight="1" x14ac:dyDescent="0.35">
      <c r="A1491" s="188"/>
      <c r="B1491" s="190"/>
      <c r="C1491" s="99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0"/>
      <c r="E1491" s="78" t="str">
        <f>IF(C1491="","",IFERROR(VLOOKUP(C1491,parametros!$A$11:$E$15,5,0),""))</f>
        <v/>
      </c>
      <c r="F1491" s="79" t="str">
        <f t="shared" si="117"/>
        <v/>
      </c>
      <c r="G1491" s="101"/>
      <c r="H1491" s="91">
        <f t="shared" si="118"/>
        <v>0</v>
      </c>
      <c r="I1491" s="91" t="str">
        <f t="shared" si="119"/>
        <v/>
      </c>
      <c r="J1491" s="91" t="str">
        <f t="shared" si="120"/>
        <v/>
      </c>
      <c r="K1491" s="92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2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58"/>
      <c r="U1491" s="217" t="str">
        <f t="shared" si="121"/>
        <v/>
      </c>
      <c r="V1491" s="215" t="s">
        <v>47</v>
      </c>
      <c r="W1491" s="102" t="s">
        <v>136</v>
      </c>
      <c r="X1491" s="102" t="s">
        <v>137</v>
      </c>
      <c r="Y1491" s="103" t="s">
        <v>138</v>
      </c>
      <c r="Z1491" s="103" t="s">
        <v>139</v>
      </c>
      <c r="AA1491" s="103" t="s">
        <v>47</v>
      </c>
      <c r="AB1491" s="103" t="s">
        <v>140</v>
      </c>
      <c r="AC1491" s="104" t="s">
        <v>141</v>
      </c>
    </row>
    <row r="1492" spans="1:29" ht="25.5" customHeight="1" x14ac:dyDescent="0.35">
      <c r="A1492" s="188"/>
      <c r="B1492" s="190"/>
      <c r="C1492" s="99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0"/>
      <c r="E1492" s="78" t="str">
        <f>IF(C1492="","",IFERROR(VLOOKUP(C1492,parametros!$A$11:$E$15,5,0),""))</f>
        <v/>
      </c>
      <c r="F1492" s="79" t="str">
        <f t="shared" si="117"/>
        <v/>
      </c>
      <c r="G1492" s="101"/>
      <c r="H1492" s="91">
        <f t="shared" si="118"/>
        <v>0</v>
      </c>
      <c r="I1492" s="91" t="str">
        <f t="shared" si="119"/>
        <v/>
      </c>
      <c r="J1492" s="91" t="str">
        <f t="shared" si="120"/>
        <v/>
      </c>
      <c r="K1492" s="92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2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58"/>
      <c r="U1492" s="217" t="str">
        <f t="shared" si="121"/>
        <v/>
      </c>
      <c r="V1492" s="215" t="s">
        <v>47</v>
      </c>
      <c r="W1492" s="102" t="s">
        <v>136</v>
      </c>
      <c r="X1492" s="102" t="s">
        <v>137</v>
      </c>
      <c r="Y1492" s="103" t="s">
        <v>138</v>
      </c>
      <c r="Z1492" s="103" t="s">
        <v>139</v>
      </c>
      <c r="AA1492" s="103" t="s">
        <v>47</v>
      </c>
      <c r="AB1492" s="103" t="s">
        <v>140</v>
      </c>
      <c r="AC1492" s="104" t="s">
        <v>141</v>
      </c>
    </row>
    <row r="1493" spans="1:29" ht="25.5" customHeight="1" x14ac:dyDescent="0.35">
      <c r="A1493" s="188"/>
      <c r="B1493" s="190"/>
      <c r="C1493" s="99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0"/>
      <c r="E1493" s="78" t="str">
        <f>IF(C1493="","",IFERROR(VLOOKUP(C1493,parametros!$A$11:$E$15,5,0),""))</f>
        <v/>
      </c>
      <c r="F1493" s="79" t="str">
        <f t="shared" si="117"/>
        <v/>
      </c>
      <c r="G1493" s="101"/>
      <c r="H1493" s="91">
        <f t="shared" si="118"/>
        <v>0</v>
      </c>
      <c r="I1493" s="91" t="str">
        <f t="shared" si="119"/>
        <v/>
      </c>
      <c r="J1493" s="91" t="str">
        <f t="shared" si="120"/>
        <v/>
      </c>
      <c r="K1493" s="92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2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58"/>
      <c r="U1493" s="217" t="str">
        <f t="shared" si="121"/>
        <v/>
      </c>
      <c r="V1493" s="215" t="s">
        <v>47</v>
      </c>
      <c r="W1493" s="102" t="s">
        <v>136</v>
      </c>
      <c r="X1493" s="102" t="s">
        <v>137</v>
      </c>
      <c r="Y1493" s="103" t="s">
        <v>138</v>
      </c>
      <c r="Z1493" s="103" t="s">
        <v>139</v>
      </c>
      <c r="AA1493" s="103" t="s">
        <v>47</v>
      </c>
      <c r="AB1493" s="103" t="s">
        <v>140</v>
      </c>
      <c r="AC1493" s="104" t="s">
        <v>141</v>
      </c>
    </row>
    <row r="1494" spans="1:29" ht="25.5" customHeight="1" x14ac:dyDescent="0.35">
      <c r="A1494" s="188"/>
      <c r="B1494" s="190"/>
      <c r="C1494" s="99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0"/>
      <c r="E1494" s="78" t="str">
        <f>IF(C1494="","",IFERROR(VLOOKUP(C1494,parametros!$A$11:$E$15,5,0),""))</f>
        <v/>
      </c>
      <c r="F1494" s="79" t="str">
        <f t="shared" si="117"/>
        <v/>
      </c>
      <c r="G1494" s="101"/>
      <c r="H1494" s="91">
        <f t="shared" si="118"/>
        <v>0</v>
      </c>
      <c r="I1494" s="91" t="str">
        <f t="shared" si="119"/>
        <v/>
      </c>
      <c r="J1494" s="91" t="str">
        <f t="shared" si="120"/>
        <v/>
      </c>
      <c r="K1494" s="92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2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58"/>
      <c r="U1494" s="217" t="str">
        <f t="shared" si="121"/>
        <v/>
      </c>
      <c r="V1494" s="215" t="s">
        <v>47</v>
      </c>
      <c r="W1494" s="102" t="s">
        <v>136</v>
      </c>
      <c r="X1494" s="102" t="s">
        <v>137</v>
      </c>
      <c r="Y1494" s="103" t="s">
        <v>138</v>
      </c>
      <c r="Z1494" s="103" t="s">
        <v>139</v>
      </c>
      <c r="AA1494" s="103" t="s">
        <v>47</v>
      </c>
      <c r="AB1494" s="103" t="s">
        <v>140</v>
      </c>
      <c r="AC1494" s="104" t="s">
        <v>141</v>
      </c>
    </row>
    <row r="1495" spans="1:29" ht="25.5" customHeight="1" x14ac:dyDescent="0.35">
      <c r="A1495" s="188"/>
      <c r="B1495" s="190"/>
      <c r="C1495" s="99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0"/>
      <c r="E1495" s="78" t="str">
        <f>IF(C1495="","",IFERROR(VLOOKUP(C1495,parametros!$A$11:$E$15,5,0),""))</f>
        <v/>
      </c>
      <c r="F1495" s="79" t="str">
        <f t="shared" si="117"/>
        <v/>
      </c>
      <c r="G1495" s="101"/>
      <c r="H1495" s="91">
        <f t="shared" si="118"/>
        <v>0</v>
      </c>
      <c r="I1495" s="91" t="str">
        <f t="shared" si="119"/>
        <v/>
      </c>
      <c r="J1495" s="91" t="str">
        <f t="shared" si="120"/>
        <v/>
      </c>
      <c r="K1495" s="92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2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58"/>
      <c r="U1495" s="217" t="str">
        <f t="shared" si="121"/>
        <v/>
      </c>
      <c r="V1495" s="215" t="s">
        <v>47</v>
      </c>
      <c r="W1495" s="102" t="s">
        <v>136</v>
      </c>
      <c r="X1495" s="102" t="s">
        <v>137</v>
      </c>
      <c r="Y1495" s="103" t="s">
        <v>138</v>
      </c>
      <c r="Z1495" s="103" t="s">
        <v>139</v>
      </c>
      <c r="AA1495" s="103" t="s">
        <v>47</v>
      </c>
      <c r="AB1495" s="103" t="s">
        <v>140</v>
      </c>
      <c r="AC1495" s="104" t="s">
        <v>141</v>
      </c>
    </row>
    <row r="1496" spans="1:29" ht="25.5" customHeight="1" x14ac:dyDescent="0.35">
      <c r="A1496" s="188"/>
      <c r="B1496" s="190"/>
      <c r="C1496" s="99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0"/>
      <c r="E1496" s="78" t="str">
        <f>IF(C1496="","",IFERROR(VLOOKUP(C1496,parametros!$A$11:$E$15,5,0),""))</f>
        <v/>
      </c>
      <c r="F1496" s="79" t="str">
        <f t="shared" si="117"/>
        <v/>
      </c>
      <c r="G1496" s="101"/>
      <c r="H1496" s="91">
        <f t="shared" si="118"/>
        <v>0</v>
      </c>
      <c r="I1496" s="91" t="str">
        <f t="shared" si="119"/>
        <v/>
      </c>
      <c r="J1496" s="91" t="str">
        <f t="shared" si="120"/>
        <v/>
      </c>
      <c r="K1496" s="92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2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58"/>
      <c r="U1496" s="217" t="str">
        <f t="shared" si="121"/>
        <v/>
      </c>
      <c r="V1496" s="215" t="s">
        <v>47</v>
      </c>
      <c r="W1496" s="102" t="s">
        <v>136</v>
      </c>
      <c r="X1496" s="102" t="s">
        <v>137</v>
      </c>
      <c r="Y1496" s="103" t="s">
        <v>138</v>
      </c>
      <c r="Z1496" s="103" t="s">
        <v>139</v>
      </c>
      <c r="AA1496" s="103" t="s">
        <v>47</v>
      </c>
      <c r="AB1496" s="103" t="s">
        <v>140</v>
      </c>
      <c r="AC1496" s="104" t="s">
        <v>141</v>
      </c>
    </row>
    <row r="1497" spans="1:29" ht="25.5" customHeight="1" x14ac:dyDescent="0.35">
      <c r="A1497" s="188"/>
      <c r="B1497" s="190"/>
      <c r="C1497" s="99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0"/>
      <c r="E1497" s="78" t="str">
        <f>IF(C1497="","",IFERROR(VLOOKUP(C1497,parametros!$A$11:$E$15,5,0),""))</f>
        <v/>
      </c>
      <c r="F1497" s="79" t="str">
        <f t="shared" si="117"/>
        <v/>
      </c>
      <c r="G1497" s="101"/>
      <c r="H1497" s="91">
        <f t="shared" si="118"/>
        <v>0</v>
      </c>
      <c r="I1497" s="91" t="str">
        <f t="shared" si="119"/>
        <v/>
      </c>
      <c r="J1497" s="91" t="str">
        <f t="shared" si="120"/>
        <v/>
      </c>
      <c r="K1497" s="92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2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58"/>
      <c r="U1497" s="217" t="str">
        <f t="shared" si="121"/>
        <v/>
      </c>
      <c r="V1497" s="215" t="s">
        <v>47</v>
      </c>
      <c r="W1497" s="102" t="s">
        <v>136</v>
      </c>
      <c r="X1497" s="102" t="s">
        <v>137</v>
      </c>
      <c r="Y1497" s="103" t="s">
        <v>138</v>
      </c>
      <c r="Z1497" s="103" t="s">
        <v>139</v>
      </c>
      <c r="AA1497" s="103" t="s">
        <v>47</v>
      </c>
      <c r="AB1497" s="103" t="s">
        <v>140</v>
      </c>
      <c r="AC1497" s="104" t="s">
        <v>141</v>
      </c>
    </row>
    <row r="1498" spans="1:29" ht="25.5" customHeight="1" x14ac:dyDescent="0.35">
      <c r="A1498" s="188"/>
      <c r="B1498" s="190"/>
      <c r="C1498" s="99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0"/>
      <c r="E1498" s="78" t="str">
        <f>IF(C1498="","",IFERROR(VLOOKUP(C1498,parametros!$A$11:$E$15,5,0),""))</f>
        <v/>
      </c>
      <c r="F1498" s="79" t="str">
        <f t="shared" si="117"/>
        <v/>
      </c>
      <c r="G1498" s="101"/>
      <c r="H1498" s="91">
        <f t="shared" si="118"/>
        <v>0</v>
      </c>
      <c r="I1498" s="91" t="str">
        <f t="shared" si="119"/>
        <v/>
      </c>
      <c r="J1498" s="91" t="str">
        <f t="shared" si="120"/>
        <v/>
      </c>
      <c r="K1498" s="92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2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58"/>
      <c r="U1498" s="217" t="str">
        <f t="shared" si="121"/>
        <v/>
      </c>
      <c r="V1498" s="215" t="s">
        <v>47</v>
      </c>
      <c r="W1498" s="102" t="s">
        <v>136</v>
      </c>
      <c r="X1498" s="102" t="s">
        <v>137</v>
      </c>
      <c r="Y1498" s="103" t="s">
        <v>138</v>
      </c>
      <c r="Z1498" s="103" t="s">
        <v>139</v>
      </c>
      <c r="AA1498" s="103" t="s">
        <v>47</v>
      </c>
      <c r="AB1498" s="103" t="s">
        <v>140</v>
      </c>
      <c r="AC1498" s="104" t="s">
        <v>141</v>
      </c>
    </row>
    <row r="1499" spans="1:29" ht="25.5" customHeight="1" x14ac:dyDescent="0.35">
      <c r="A1499" s="188"/>
      <c r="B1499" s="190"/>
      <c r="C1499" s="99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0"/>
      <c r="E1499" s="78" t="str">
        <f>IF(C1499="","",IFERROR(VLOOKUP(C1499,parametros!$A$11:$E$15,5,0),""))</f>
        <v/>
      </c>
      <c r="F1499" s="79" t="str">
        <f t="shared" si="117"/>
        <v/>
      </c>
      <c r="G1499" s="101"/>
      <c r="H1499" s="91">
        <f t="shared" si="118"/>
        <v>0</v>
      </c>
      <c r="I1499" s="91" t="str">
        <f t="shared" si="119"/>
        <v/>
      </c>
      <c r="J1499" s="91" t="str">
        <f t="shared" si="120"/>
        <v/>
      </c>
      <c r="K1499" s="92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2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58"/>
      <c r="U1499" s="217" t="str">
        <f t="shared" si="121"/>
        <v/>
      </c>
      <c r="V1499" s="215" t="s">
        <v>47</v>
      </c>
      <c r="W1499" s="102" t="s">
        <v>136</v>
      </c>
      <c r="X1499" s="102" t="s">
        <v>137</v>
      </c>
      <c r="Y1499" s="103" t="s">
        <v>138</v>
      </c>
      <c r="Z1499" s="103" t="s">
        <v>139</v>
      </c>
      <c r="AA1499" s="103" t="s">
        <v>47</v>
      </c>
      <c r="AB1499" s="103" t="s">
        <v>140</v>
      </c>
      <c r="AC1499" s="104" t="s">
        <v>141</v>
      </c>
    </row>
    <row r="1500" spans="1:29" ht="25.5" customHeight="1" x14ac:dyDescent="0.35">
      <c r="A1500" s="188"/>
      <c r="B1500" s="190"/>
      <c r="C1500" s="99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0"/>
      <c r="E1500" s="78" t="str">
        <f>IF(C1500="","",IFERROR(VLOOKUP(C1500,parametros!$A$11:$E$15,5,0),""))</f>
        <v/>
      </c>
      <c r="F1500" s="79" t="str">
        <f t="shared" si="117"/>
        <v/>
      </c>
      <c r="G1500" s="101"/>
      <c r="H1500" s="91">
        <f t="shared" si="118"/>
        <v>0</v>
      </c>
      <c r="I1500" s="91" t="str">
        <f t="shared" si="119"/>
        <v/>
      </c>
      <c r="J1500" s="91" t="str">
        <f t="shared" si="120"/>
        <v/>
      </c>
      <c r="K1500" s="92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2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58"/>
      <c r="U1500" s="217" t="str">
        <f t="shared" si="121"/>
        <v/>
      </c>
      <c r="V1500" s="215" t="s">
        <v>47</v>
      </c>
      <c r="W1500" s="102" t="s">
        <v>136</v>
      </c>
      <c r="X1500" s="102" t="s">
        <v>137</v>
      </c>
      <c r="Y1500" s="103" t="s">
        <v>138</v>
      </c>
      <c r="Z1500" s="103" t="s">
        <v>139</v>
      </c>
      <c r="AA1500" s="103" t="s">
        <v>47</v>
      </c>
      <c r="AB1500" s="103" t="s">
        <v>140</v>
      </c>
      <c r="AC1500" s="104" t="s">
        <v>141</v>
      </c>
    </row>
    <row r="1501" spans="1:29" ht="25.5" customHeight="1" x14ac:dyDescent="0.35">
      <c r="A1501" s="188"/>
      <c r="B1501" s="190"/>
      <c r="C1501" s="99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0"/>
      <c r="E1501" s="78" t="str">
        <f>IF(C1501="","",IFERROR(VLOOKUP(C1501,parametros!$A$11:$E$15,5,0),""))</f>
        <v/>
      </c>
      <c r="F1501" s="79" t="str">
        <f t="shared" si="117"/>
        <v/>
      </c>
      <c r="G1501" s="101"/>
      <c r="H1501" s="91">
        <f t="shared" si="118"/>
        <v>0</v>
      </c>
      <c r="I1501" s="91" t="str">
        <f t="shared" si="119"/>
        <v/>
      </c>
      <c r="J1501" s="91" t="str">
        <f t="shared" si="120"/>
        <v/>
      </c>
      <c r="K1501" s="92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2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58"/>
      <c r="U1501" s="217" t="str">
        <f t="shared" si="121"/>
        <v/>
      </c>
      <c r="V1501" s="215" t="s">
        <v>47</v>
      </c>
      <c r="W1501" s="102" t="s">
        <v>136</v>
      </c>
      <c r="X1501" s="102" t="s">
        <v>137</v>
      </c>
      <c r="Y1501" s="103" t="s">
        <v>138</v>
      </c>
      <c r="Z1501" s="103" t="s">
        <v>139</v>
      </c>
      <c r="AA1501" s="103" t="s">
        <v>47</v>
      </c>
      <c r="AB1501" s="103" t="s">
        <v>140</v>
      </c>
      <c r="AC1501" s="104" t="s">
        <v>141</v>
      </c>
    </row>
    <row r="1502" spans="1:29" ht="25.5" customHeight="1" x14ac:dyDescent="0.35">
      <c r="A1502" s="188"/>
      <c r="B1502" s="190"/>
      <c r="C1502" s="99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0"/>
      <c r="E1502" s="78" t="str">
        <f>IF(C1502="","",IFERROR(VLOOKUP(C1502,parametros!$A$11:$E$15,5,0),""))</f>
        <v/>
      </c>
      <c r="F1502" s="79" t="str">
        <f t="shared" si="117"/>
        <v/>
      </c>
      <c r="G1502" s="101"/>
      <c r="H1502" s="91">
        <f t="shared" si="118"/>
        <v>0</v>
      </c>
      <c r="I1502" s="91" t="str">
        <f t="shared" si="119"/>
        <v/>
      </c>
      <c r="J1502" s="91" t="str">
        <f t="shared" si="120"/>
        <v/>
      </c>
      <c r="K1502" s="92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2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58"/>
      <c r="U1502" s="217" t="str">
        <f t="shared" si="121"/>
        <v/>
      </c>
      <c r="V1502" s="215" t="s">
        <v>47</v>
      </c>
      <c r="W1502" s="102" t="s">
        <v>136</v>
      </c>
      <c r="X1502" s="102" t="s">
        <v>137</v>
      </c>
      <c r="Y1502" s="103" t="s">
        <v>138</v>
      </c>
      <c r="Z1502" s="103" t="s">
        <v>139</v>
      </c>
      <c r="AA1502" s="103" t="s">
        <v>47</v>
      </c>
      <c r="AB1502" s="103" t="s">
        <v>140</v>
      </c>
      <c r="AC1502" s="104" t="s">
        <v>141</v>
      </c>
    </row>
    <row r="1503" spans="1:29" ht="25.5" customHeight="1" x14ac:dyDescent="0.35">
      <c r="A1503" s="188"/>
      <c r="B1503" s="190"/>
      <c r="C1503" s="99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0"/>
      <c r="E1503" s="78" t="str">
        <f>IF(C1503="","",IFERROR(VLOOKUP(C1503,parametros!$A$11:$E$15,5,0),""))</f>
        <v/>
      </c>
      <c r="F1503" s="79" t="str">
        <f t="shared" si="117"/>
        <v/>
      </c>
      <c r="G1503" s="101"/>
      <c r="H1503" s="91">
        <f t="shared" si="118"/>
        <v>0</v>
      </c>
      <c r="I1503" s="91" t="str">
        <f t="shared" si="119"/>
        <v/>
      </c>
      <c r="J1503" s="91" t="str">
        <f t="shared" si="120"/>
        <v/>
      </c>
      <c r="K1503" s="92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2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58"/>
      <c r="U1503" s="217" t="str">
        <f t="shared" si="121"/>
        <v/>
      </c>
      <c r="V1503" s="215" t="s">
        <v>47</v>
      </c>
      <c r="W1503" s="102" t="s">
        <v>136</v>
      </c>
      <c r="X1503" s="102" t="s">
        <v>137</v>
      </c>
      <c r="Y1503" s="103" t="s">
        <v>138</v>
      </c>
      <c r="Z1503" s="103" t="s">
        <v>139</v>
      </c>
      <c r="AA1503" s="103" t="s">
        <v>47</v>
      </c>
      <c r="AB1503" s="103" t="s">
        <v>140</v>
      </c>
      <c r="AC1503" s="104" t="s">
        <v>141</v>
      </c>
    </row>
    <row r="1504" spans="1:29" ht="25.5" customHeight="1" x14ac:dyDescent="0.35">
      <c r="A1504" s="188"/>
      <c r="B1504" s="190"/>
      <c r="C1504" s="99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0"/>
      <c r="E1504" s="78" t="str">
        <f>IF(C1504="","",IFERROR(VLOOKUP(C1504,parametros!$A$11:$E$15,5,0),""))</f>
        <v/>
      </c>
      <c r="F1504" s="79" t="str">
        <f t="shared" si="117"/>
        <v/>
      </c>
      <c r="G1504" s="101"/>
      <c r="H1504" s="91">
        <f t="shared" si="118"/>
        <v>0</v>
      </c>
      <c r="I1504" s="91" t="str">
        <f t="shared" si="119"/>
        <v/>
      </c>
      <c r="J1504" s="91" t="str">
        <f t="shared" si="120"/>
        <v/>
      </c>
      <c r="K1504" s="92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2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58"/>
      <c r="U1504" s="217" t="str">
        <f t="shared" si="121"/>
        <v/>
      </c>
      <c r="V1504" s="215" t="s">
        <v>47</v>
      </c>
      <c r="W1504" s="102" t="s">
        <v>136</v>
      </c>
      <c r="X1504" s="102" t="s">
        <v>137</v>
      </c>
      <c r="Y1504" s="103" t="s">
        <v>138</v>
      </c>
      <c r="Z1504" s="103" t="s">
        <v>139</v>
      </c>
      <c r="AA1504" s="103" t="s">
        <v>47</v>
      </c>
      <c r="AB1504" s="103" t="s">
        <v>140</v>
      </c>
      <c r="AC1504" s="104" t="s">
        <v>141</v>
      </c>
    </row>
    <row r="1505" spans="1:29" ht="25.5" customHeight="1" x14ac:dyDescent="0.35">
      <c r="A1505" s="188"/>
      <c r="B1505" s="190"/>
      <c r="C1505" s="99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0"/>
      <c r="E1505" s="78" t="str">
        <f>IF(C1505="","",IFERROR(VLOOKUP(C1505,parametros!$A$11:$E$15,5,0),""))</f>
        <v/>
      </c>
      <c r="F1505" s="79" t="str">
        <f t="shared" si="117"/>
        <v/>
      </c>
      <c r="G1505" s="101"/>
      <c r="H1505" s="91">
        <f t="shared" si="118"/>
        <v>0</v>
      </c>
      <c r="I1505" s="91" t="str">
        <f t="shared" si="119"/>
        <v/>
      </c>
      <c r="J1505" s="91" t="str">
        <f t="shared" si="120"/>
        <v/>
      </c>
      <c r="K1505" s="92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2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58"/>
      <c r="U1505" s="217" t="str">
        <f t="shared" si="121"/>
        <v/>
      </c>
      <c r="V1505" s="215" t="s">
        <v>47</v>
      </c>
      <c r="W1505" s="102" t="s">
        <v>136</v>
      </c>
      <c r="X1505" s="102" t="s">
        <v>137</v>
      </c>
      <c r="Y1505" s="103" t="s">
        <v>138</v>
      </c>
      <c r="Z1505" s="103" t="s">
        <v>139</v>
      </c>
      <c r="AA1505" s="103" t="s">
        <v>47</v>
      </c>
      <c r="AB1505" s="103" t="s">
        <v>140</v>
      </c>
      <c r="AC1505" s="104" t="s">
        <v>141</v>
      </c>
    </row>
    <row r="1506" spans="1:29" ht="25.5" customHeight="1" x14ac:dyDescent="0.35">
      <c r="A1506" s="188"/>
      <c r="B1506" s="190"/>
      <c r="C1506" s="99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0"/>
      <c r="E1506" s="78" t="str">
        <f>IF(C1506="","",IFERROR(VLOOKUP(C1506,parametros!$A$11:$E$15,5,0),""))</f>
        <v/>
      </c>
      <c r="F1506" s="79" t="str">
        <f t="shared" si="117"/>
        <v/>
      </c>
      <c r="G1506" s="101"/>
      <c r="H1506" s="91">
        <f t="shared" si="118"/>
        <v>0</v>
      </c>
      <c r="I1506" s="91" t="str">
        <f t="shared" si="119"/>
        <v/>
      </c>
      <c r="J1506" s="91" t="str">
        <f t="shared" si="120"/>
        <v/>
      </c>
      <c r="K1506" s="92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2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58"/>
      <c r="U1506" s="217" t="str">
        <f t="shared" si="121"/>
        <v/>
      </c>
      <c r="V1506" s="215" t="s">
        <v>47</v>
      </c>
      <c r="W1506" s="102" t="s">
        <v>136</v>
      </c>
      <c r="X1506" s="102" t="s">
        <v>137</v>
      </c>
      <c r="Y1506" s="103" t="s">
        <v>138</v>
      </c>
      <c r="Z1506" s="103" t="s">
        <v>139</v>
      </c>
      <c r="AA1506" s="103" t="s">
        <v>47</v>
      </c>
      <c r="AB1506" s="103" t="s">
        <v>140</v>
      </c>
      <c r="AC1506" s="104" t="s">
        <v>141</v>
      </c>
    </row>
    <row r="1507" spans="1:29" ht="25.5" customHeight="1" x14ac:dyDescent="0.35">
      <c r="A1507" s="188"/>
      <c r="B1507" s="190"/>
      <c r="C1507" s="99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0"/>
      <c r="E1507" s="78" t="str">
        <f>IF(C1507="","",IFERROR(VLOOKUP(C1507,parametros!$A$11:$E$15,5,0),""))</f>
        <v/>
      </c>
      <c r="F1507" s="79" t="str">
        <f t="shared" si="117"/>
        <v/>
      </c>
      <c r="G1507" s="101"/>
      <c r="H1507" s="91">
        <f t="shared" si="118"/>
        <v>0</v>
      </c>
      <c r="I1507" s="91" t="str">
        <f t="shared" si="119"/>
        <v/>
      </c>
      <c r="J1507" s="91" t="str">
        <f t="shared" si="120"/>
        <v/>
      </c>
      <c r="K1507" s="92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2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58"/>
      <c r="U1507" s="217" t="str">
        <f t="shared" si="121"/>
        <v/>
      </c>
      <c r="V1507" s="215" t="s">
        <v>47</v>
      </c>
      <c r="W1507" s="102" t="s">
        <v>136</v>
      </c>
      <c r="X1507" s="102" t="s">
        <v>137</v>
      </c>
      <c r="Y1507" s="103" t="s">
        <v>138</v>
      </c>
      <c r="Z1507" s="103" t="s">
        <v>139</v>
      </c>
      <c r="AA1507" s="103" t="s">
        <v>47</v>
      </c>
      <c r="AB1507" s="103" t="s">
        <v>140</v>
      </c>
      <c r="AC1507" s="104" t="s">
        <v>141</v>
      </c>
    </row>
    <row r="1508" spans="1:29" ht="25.5" customHeight="1" x14ac:dyDescent="0.35">
      <c r="A1508" s="188"/>
      <c r="B1508" s="190"/>
      <c r="C1508" s="99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0"/>
      <c r="E1508" s="78" t="str">
        <f>IF(C1508="","",IFERROR(VLOOKUP(C1508,parametros!$A$11:$E$15,5,0),""))</f>
        <v/>
      </c>
      <c r="F1508" s="79" t="str">
        <f t="shared" si="117"/>
        <v/>
      </c>
      <c r="G1508" s="101"/>
      <c r="H1508" s="91">
        <f t="shared" si="118"/>
        <v>0</v>
      </c>
      <c r="I1508" s="91" t="str">
        <f t="shared" si="119"/>
        <v/>
      </c>
      <c r="J1508" s="91" t="str">
        <f t="shared" si="120"/>
        <v/>
      </c>
      <c r="K1508" s="92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2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58"/>
      <c r="U1508" s="217" t="str">
        <f t="shared" si="121"/>
        <v/>
      </c>
      <c r="V1508" s="215" t="s">
        <v>47</v>
      </c>
      <c r="W1508" s="102" t="s">
        <v>136</v>
      </c>
      <c r="X1508" s="102" t="s">
        <v>137</v>
      </c>
      <c r="Y1508" s="103" t="s">
        <v>138</v>
      </c>
      <c r="Z1508" s="103" t="s">
        <v>139</v>
      </c>
      <c r="AA1508" s="103" t="s">
        <v>47</v>
      </c>
      <c r="AB1508" s="103" t="s">
        <v>140</v>
      </c>
      <c r="AC1508" s="104" t="s">
        <v>141</v>
      </c>
    </row>
    <row r="1509" spans="1:29" ht="25.5" customHeight="1" x14ac:dyDescent="0.35">
      <c r="A1509" s="188"/>
      <c r="B1509" s="190"/>
      <c r="C1509" s="99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0"/>
      <c r="E1509" s="78" t="str">
        <f>IF(C1509="","",IFERROR(VLOOKUP(C1509,parametros!$A$11:$E$15,5,0),""))</f>
        <v/>
      </c>
      <c r="F1509" s="79" t="str">
        <f t="shared" si="117"/>
        <v/>
      </c>
      <c r="G1509" s="101"/>
      <c r="H1509" s="91">
        <f t="shared" si="118"/>
        <v>0</v>
      </c>
      <c r="I1509" s="91" t="str">
        <f t="shared" si="119"/>
        <v/>
      </c>
      <c r="J1509" s="91" t="str">
        <f t="shared" si="120"/>
        <v/>
      </c>
      <c r="K1509" s="92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2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58"/>
      <c r="U1509" s="217" t="str">
        <f t="shared" si="121"/>
        <v/>
      </c>
      <c r="V1509" s="215" t="s">
        <v>47</v>
      </c>
      <c r="W1509" s="102" t="s">
        <v>136</v>
      </c>
      <c r="X1509" s="102" t="s">
        <v>137</v>
      </c>
      <c r="Y1509" s="103" t="s">
        <v>138</v>
      </c>
      <c r="Z1509" s="103" t="s">
        <v>139</v>
      </c>
      <c r="AA1509" s="103" t="s">
        <v>47</v>
      </c>
      <c r="AB1509" s="103" t="s">
        <v>140</v>
      </c>
      <c r="AC1509" s="104" t="s">
        <v>141</v>
      </c>
    </row>
    <row r="1510" spans="1:29" ht="25.5" customHeight="1" x14ac:dyDescent="0.35">
      <c r="A1510" s="188"/>
      <c r="B1510" s="190"/>
      <c r="C1510" s="99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0"/>
      <c r="E1510" s="78" t="str">
        <f>IF(C1510="","",IFERROR(VLOOKUP(C1510,parametros!$A$11:$E$15,5,0),""))</f>
        <v/>
      </c>
      <c r="F1510" s="79" t="str">
        <f t="shared" si="117"/>
        <v/>
      </c>
      <c r="G1510" s="101"/>
      <c r="H1510" s="91">
        <f t="shared" si="118"/>
        <v>0</v>
      </c>
      <c r="I1510" s="91" t="str">
        <f t="shared" si="119"/>
        <v/>
      </c>
      <c r="J1510" s="91" t="str">
        <f t="shared" si="120"/>
        <v/>
      </c>
      <c r="K1510" s="92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2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58"/>
      <c r="U1510" s="217" t="str">
        <f t="shared" si="121"/>
        <v/>
      </c>
      <c r="V1510" s="215" t="s">
        <v>47</v>
      </c>
      <c r="W1510" s="102" t="s">
        <v>136</v>
      </c>
      <c r="X1510" s="102" t="s">
        <v>137</v>
      </c>
      <c r="Y1510" s="103" t="s">
        <v>138</v>
      </c>
      <c r="Z1510" s="103" t="s">
        <v>139</v>
      </c>
      <c r="AA1510" s="103" t="s">
        <v>47</v>
      </c>
      <c r="AB1510" s="103" t="s">
        <v>140</v>
      </c>
      <c r="AC1510" s="104" t="s">
        <v>141</v>
      </c>
    </row>
    <row r="1511" spans="1:29" ht="25.5" customHeight="1" x14ac:dyDescent="0.35">
      <c r="A1511" s="188"/>
      <c r="B1511" s="190"/>
      <c r="C1511" s="99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0"/>
      <c r="E1511" s="78" t="str">
        <f>IF(C1511="","",IFERROR(VLOOKUP(C1511,parametros!$A$11:$E$15,5,0),""))</f>
        <v/>
      </c>
      <c r="F1511" s="79" t="str">
        <f t="shared" si="117"/>
        <v/>
      </c>
      <c r="G1511" s="101"/>
      <c r="H1511" s="91">
        <f t="shared" si="118"/>
        <v>0</v>
      </c>
      <c r="I1511" s="91" t="str">
        <f t="shared" si="119"/>
        <v/>
      </c>
      <c r="J1511" s="91" t="str">
        <f t="shared" si="120"/>
        <v/>
      </c>
      <c r="K1511" s="92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2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58"/>
      <c r="U1511" s="217" t="str">
        <f t="shared" si="121"/>
        <v/>
      </c>
      <c r="V1511" s="215" t="s">
        <v>47</v>
      </c>
      <c r="W1511" s="102" t="s">
        <v>136</v>
      </c>
      <c r="X1511" s="102" t="s">
        <v>137</v>
      </c>
      <c r="Y1511" s="103" t="s">
        <v>138</v>
      </c>
      <c r="Z1511" s="103" t="s">
        <v>139</v>
      </c>
      <c r="AA1511" s="103" t="s">
        <v>47</v>
      </c>
      <c r="AB1511" s="103" t="s">
        <v>140</v>
      </c>
      <c r="AC1511" s="104" t="s">
        <v>141</v>
      </c>
    </row>
    <row r="1512" spans="1:29" ht="25.5" customHeight="1" x14ac:dyDescent="0.35">
      <c r="A1512" s="188"/>
      <c r="B1512" s="190"/>
      <c r="C1512" s="99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0"/>
      <c r="E1512" s="78" t="str">
        <f>IF(C1512="","",IFERROR(VLOOKUP(C1512,parametros!$A$11:$E$15,5,0),""))</f>
        <v/>
      </c>
      <c r="F1512" s="79" t="str">
        <f t="shared" si="117"/>
        <v/>
      </c>
      <c r="G1512" s="101"/>
      <c r="H1512" s="91">
        <f t="shared" si="118"/>
        <v>0</v>
      </c>
      <c r="I1512" s="91" t="str">
        <f t="shared" si="119"/>
        <v/>
      </c>
      <c r="J1512" s="91" t="str">
        <f t="shared" si="120"/>
        <v/>
      </c>
      <c r="K1512" s="92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2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58"/>
      <c r="U1512" s="217" t="str">
        <f t="shared" si="121"/>
        <v/>
      </c>
      <c r="V1512" s="215" t="s">
        <v>47</v>
      </c>
      <c r="W1512" s="102" t="s">
        <v>136</v>
      </c>
      <c r="X1512" s="102" t="s">
        <v>137</v>
      </c>
      <c r="Y1512" s="103" t="s">
        <v>138</v>
      </c>
      <c r="Z1512" s="103" t="s">
        <v>139</v>
      </c>
      <c r="AA1512" s="103" t="s">
        <v>47</v>
      </c>
      <c r="AB1512" s="103" t="s">
        <v>140</v>
      </c>
      <c r="AC1512" s="104" t="s">
        <v>141</v>
      </c>
    </row>
    <row r="1513" spans="1:29" ht="25.5" customHeight="1" x14ac:dyDescent="0.35">
      <c r="A1513" s="188"/>
      <c r="B1513" s="190"/>
      <c r="C1513" s="99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0"/>
      <c r="E1513" s="78" t="str">
        <f>IF(C1513="","",IFERROR(VLOOKUP(C1513,parametros!$A$11:$E$15,5,0),""))</f>
        <v/>
      </c>
      <c r="F1513" s="79" t="str">
        <f t="shared" si="117"/>
        <v/>
      </c>
      <c r="G1513" s="101"/>
      <c r="H1513" s="91">
        <f t="shared" si="118"/>
        <v>0</v>
      </c>
      <c r="I1513" s="91" t="str">
        <f t="shared" si="119"/>
        <v/>
      </c>
      <c r="J1513" s="91" t="str">
        <f t="shared" si="120"/>
        <v/>
      </c>
      <c r="K1513" s="92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2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58"/>
      <c r="U1513" s="217" t="str">
        <f t="shared" si="121"/>
        <v/>
      </c>
      <c r="V1513" s="215" t="s">
        <v>47</v>
      </c>
      <c r="W1513" s="102" t="s">
        <v>136</v>
      </c>
      <c r="X1513" s="102" t="s">
        <v>137</v>
      </c>
      <c r="Y1513" s="103" t="s">
        <v>138</v>
      </c>
      <c r="Z1513" s="103" t="s">
        <v>139</v>
      </c>
      <c r="AA1513" s="103" t="s">
        <v>47</v>
      </c>
      <c r="AB1513" s="103" t="s">
        <v>140</v>
      </c>
      <c r="AC1513" s="104" t="s">
        <v>141</v>
      </c>
    </row>
    <row r="1514" spans="1:29" ht="25.5" customHeight="1" x14ac:dyDescent="0.35">
      <c r="A1514" s="188"/>
      <c r="B1514" s="190"/>
      <c r="C1514" s="99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0"/>
      <c r="E1514" s="78" t="str">
        <f>IF(C1514="","",IFERROR(VLOOKUP(C1514,parametros!$A$11:$E$15,5,0),""))</f>
        <v/>
      </c>
      <c r="F1514" s="79" t="str">
        <f t="shared" si="117"/>
        <v/>
      </c>
      <c r="G1514" s="101"/>
      <c r="H1514" s="91">
        <f t="shared" si="118"/>
        <v>0</v>
      </c>
      <c r="I1514" s="91" t="str">
        <f t="shared" si="119"/>
        <v/>
      </c>
      <c r="J1514" s="91" t="str">
        <f t="shared" si="120"/>
        <v/>
      </c>
      <c r="K1514" s="92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2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58"/>
      <c r="U1514" s="217" t="str">
        <f t="shared" si="121"/>
        <v/>
      </c>
      <c r="V1514" s="215" t="s">
        <v>47</v>
      </c>
      <c r="W1514" s="102" t="s">
        <v>136</v>
      </c>
      <c r="X1514" s="102" t="s">
        <v>137</v>
      </c>
      <c r="Y1514" s="103" t="s">
        <v>138</v>
      </c>
      <c r="Z1514" s="103" t="s">
        <v>139</v>
      </c>
      <c r="AA1514" s="103" t="s">
        <v>47</v>
      </c>
      <c r="AB1514" s="103" t="s">
        <v>140</v>
      </c>
      <c r="AC1514" s="104" t="s">
        <v>141</v>
      </c>
    </row>
    <row r="1515" spans="1:29" ht="25.5" customHeight="1" x14ac:dyDescent="0.35">
      <c r="A1515" s="188"/>
      <c r="B1515" s="190"/>
      <c r="C1515" s="99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0"/>
      <c r="E1515" s="78" t="str">
        <f>IF(C1515="","",IFERROR(VLOOKUP(C1515,parametros!$A$11:$E$15,5,0),""))</f>
        <v/>
      </c>
      <c r="F1515" s="79" t="str">
        <f t="shared" si="117"/>
        <v/>
      </c>
      <c r="G1515" s="101"/>
      <c r="H1515" s="91">
        <f t="shared" si="118"/>
        <v>0</v>
      </c>
      <c r="I1515" s="91" t="str">
        <f t="shared" si="119"/>
        <v/>
      </c>
      <c r="J1515" s="91" t="str">
        <f t="shared" si="120"/>
        <v/>
      </c>
      <c r="K1515" s="92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2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58"/>
      <c r="U1515" s="217" t="str">
        <f t="shared" si="121"/>
        <v/>
      </c>
      <c r="V1515" s="215" t="s">
        <v>47</v>
      </c>
      <c r="W1515" s="102" t="s">
        <v>136</v>
      </c>
      <c r="X1515" s="102" t="s">
        <v>137</v>
      </c>
      <c r="Y1515" s="103" t="s">
        <v>138</v>
      </c>
      <c r="Z1515" s="103" t="s">
        <v>139</v>
      </c>
      <c r="AA1515" s="103" t="s">
        <v>47</v>
      </c>
      <c r="AB1515" s="103" t="s">
        <v>140</v>
      </c>
      <c r="AC1515" s="104" t="s">
        <v>141</v>
      </c>
    </row>
    <row r="1516" spans="1:29" ht="25.5" customHeight="1" x14ac:dyDescent="0.35">
      <c r="A1516" s="188"/>
      <c r="B1516" s="190"/>
      <c r="C1516" s="99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0"/>
      <c r="E1516" s="78" t="str">
        <f>IF(C1516="","",IFERROR(VLOOKUP(C1516,parametros!$A$11:$E$15,5,0),""))</f>
        <v/>
      </c>
      <c r="F1516" s="79" t="str">
        <f t="shared" si="117"/>
        <v/>
      </c>
      <c r="G1516" s="101"/>
      <c r="H1516" s="91">
        <f t="shared" si="118"/>
        <v>0</v>
      </c>
      <c r="I1516" s="91" t="str">
        <f t="shared" si="119"/>
        <v/>
      </c>
      <c r="J1516" s="91" t="str">
        <f t="shared" si="120"/>
        <v/>
      </c>
      <c r="K1516" s="92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2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58"/>
      <c r="U1516" s="217" t="str">
        <f t="shared" si="121"/>
        <v/>
      </c>
      <c r="V1516" s="215" t="s">
        <v>47</v>
      </c>
      <c r="W1516" s="102" t="s">
        <v>136</v>
      </c>
      <c r="X1516" s="102" t="s">
        <v>137</v>
      </c>
      <c r="Y1516" s="103" t="s">
        <v>138</v>
      </c>
      <c r="Z1516" s="103" t="s">
        <v>139</v>
      </c>
      <c r="AA1516" s="103" t="s">
        <v>47</v>
      </c>
      <c r="AB1516" s="103" t="s">
        <v>140</v>
      </c>
      <c r="AC1516" s="104" t="s">
        <v>141</v>
      </c>
    </row>
    <row r="1517" spans="1:29" ht="25.5" customHeight="1" x14ac:dyDescent="0.35">
      <c r="A1517" s="188"/>
      <c r="B1517" s="190"/>
      <c r="C1517" s="99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0"/>
      <c r="E1517" s="78" t="str">
        <f>IF(C1517="","",IFERROR(VLOOKUP(C1517,parametros!$A$11:$E$15,5,0),""))</f>
        <v/>
      </c>
      <c r="F1517" s="79" t="str">
        <f t="shared" si="117"/>
        <v/>
      </c>
      <c r="G1517" s="101"/>
      <c r="H1517" s="91">
        <f t="shared" si="118"/>
        <v>0</v>
      </c>
      <c r="I1517" s="91" t="str">
        <f t="shared" si="119"/>
        <v/>
      </c>
      <c r="J1517" s="91" t="str">
        <f t="shared" si="120"/>
        <v/>
      </c>
      <c r="K1517" s="92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2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58"/>
      <c r="U1517" s="217" t="str">
        <f t="shared" si="121"/>
        <v/>
      </c>
      <c r="V1517" s="215" t="s">
        <v>47</v>
      </c>
      <c r="W1517" s="102" t="s">
        <v>136</v>
      </c>
      <c r="X1517" s="102" t="s">
        <v>137</v>
      </c>
      <c r="Y1517" s="103" t="s">
        <v>138</v>
      </c>
      <c r="Z1517" s="103" t="s">
        <v>139</v>
      </c>
      <c r="AA1517" s="103" t="s">
        <v>47</v>
      </c>
      <c r="AB1517" s="103" t="s">
        <v>140</v>
      </c>
      <c r="AC1517" s="104" t="s">
        <v>141</v>
      </c>
    </row>
    <row r="1518" spans="1:29" ht="25.5" customHeight="1" x14ac:dyDescent="0.35">
      <c r="A1518" s="188"/>
      <c r="B1518" s="190"/>
      <c r="C1518" s="99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0"/>
      <c r="E1518" s="78" t="str">
        <f>IF(C1518="","",IFERROR(VLOOKUP(C1518,parametros!$A$11:$E$15,5,0),""))</f>
        <v/>
      </c>
      <c r="F1518" s="79" t="str">
        <f t="shared" si="117"/>
        <v/>
      </c>
      <c r="G1518" s="101"/>
      <c r="H1518" s="91">
        <f t="shared" si="118"/>
        <v>0</v>
      </c>
      <c r="I1518" s="91" t="str">
        <f t="shared" si="119"/>
        <v/>
      </c>
      <c r="J1518" s="91" t="str">
        <f t="shared" si="120"/>
        <v/>
      </c>
      <c r="K1518" s="92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2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58"/>
      <c r="U1518" s="217" t="str">
        <f t="shared" si="121"/>
        <v/>
      </c>
      <c r="V1518" s="215" t="s">
        <v>47</v>
      </c>
      <c r="W1518" s="102" t="s">
        <v>136</v>
      </c>
      <c r="X1518" s="102" t="s">
        <v>137</v>
      </c>
      <c r="Y1518" s="103" t="s">
        <v>138</v>
      </c>
      <c r="Z1518" s="103" t="s">
        <v>139</v>
      </c>
      <c r="AA1518" s="103" t="s">
        <v>47</v>
      </c>
      <c r="AB1518" s="103" t="s">
        <v>140</v>
      </c>
      <c r="AC1518" s="104" t="s">
        <v>141</v>
      </c>
    </row>
    <row r="1519" spans="1:29" ht="25.5" customHeight="1" x14ac:dyDescent="0.35">
      <c r="A1519" s="188"/>
      <c r="B1519" s="190"/>
      <c r="C1519" s="99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0"/>
      <c r="E1519" s="78" t="str">
        <f>IF(C1519="","",IFERROR(VLOOKUP(C1519,parametros!$A$11:$E$15,5,0),""))</f>
        <v/>
      </c>
      <c r="F1519" s="79" t="str">
        <f t="shared" si="117"/>
        <v/>
      </c>
      <c r="G1519" s="101"/>
      <c r="H1519" s="91">
        <f t="shared" si="118"/>
        <v>0</v>
      </c>
      <c r="I1519" s="91" t="str">
        <f t="shared" si="119"/>
        <v/>
      </c>
      <c r="J1519" s="91" t="str">
        <f t="shared" si="120"/>
        <v/>
      </c>
      <c r="K1519" s="92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2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58"/>
      <c r="U1519" s="217" t="str">
        <f t="shared" si="121"/>
        <v/>
      </c>
      <c r="V1519" s="215" t="s">
        <v>47</v>
      </c>
      <c r="W1519" s="102" t="s">
        <v>136</v>
      </c>
      <c r="X1519" s="102" t="s">
        <v>137</v>
      </c>
      <c r="Y1519" s="103" t="s">
        <v>138</v>
      </c>
      <c r="Z1519" s="103" t="s">
        <v>139</v>
      </c>
      <c r="AA1519" s="103" t="s">
        <v>47</v>
      </c>
      <c r="AB1519" s="103" t="s">
        <v>140</v>
      </c>
      <c r="AC1519" s="104" t="s">
        <v>141</v>
      </c>
    </row>
    <row r="1520" spans="1:29" ht="25.5" customHeight="1" x14ac:dyDescent="0.35">
      <c r="A1520" s="188"/>
      <c r="B1520" s="190"/>
      <c r="C1520" s="99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0"/>
      <c r="E1520" s="78" t="str">
        <f>IF(C1520="","",IFERROR(VLOOKUP(C1520,parametros!$A$11:$E$15,5,0),""))</f>
        <v/>
      </c>
      <c r="F1520" s="79" t="str">
        <f t="shared" si="117"/>
        <v/>
      </c>
      <c r="G1520" s="101"/>
      <c r="H1520" s="91">
        <f t="shared" si="118"/>
        <v>0</v>
      </c>
      <c r="I1520" s="91" t="str">
        <f t="shared" si="119"/>
        <v/>
      </c>
      <c r="J1520" s="91" t="str">
        <f t="shared" si="120"/>
        <v/>
      </c>
      <c r="K1520" s="92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2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58"/>
      <c r="U1520" s="217" t="str">
        <f t="shared" si="121"/>
        <v/>
      </c>
      <c r="V1520" s="215" t="s">
        <v>47</v>
      </c>
      <c r="W1520" s="102" t="s">
        <v>136</v>
      </c>
      <c r="X1520" s="102" t="s">
        <v>137</v>
      </c>
      <c r="Y1520" s="103" t="s">
        <v>138</v>
      </c>
      <c r="Z1520" s="103" t="s">
        <v>139</v>
      </c>
      <c r="AA1520" s="103" t="s">
        <v>47</v>
      </c>
      <c r="AB1520" s="103" t="s">
        <v>140</v>
      </c>
      <c r="AC1520" s="104" t="s">
        <v>141</v>
      </c>
    </row>
    <row r="1521" spans="1:29" ht="25.5" customHeight="1" x14ac:dyDescent="0.35">
      <c r="A1521" s="188"/>
      <c r="B1521" s="190"/>
      <c r="C1521" s="99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0"/>
      <c r="E1521" s="78" t="str">
        <f>IF(C1521="","",IFERROR(VLOOKUP(C1521,parametros!$A$11:$E$15,5,0),""))</f>
        <v/>
      </c>
      <c r="F1521" s="79" t="str">
        <f t="shared" si="117"/>
        <v/>
      </c>
      <c r="G1521" s="101"/>
      <c r="H1521" s="91">
        <f t="shared" si="118"/>
        <v>0</v>
      </c>
      <c r="I1521" s="91" t="str">
        <f t="shared" si="119"/>
        <v/>
      </c>
      <c r="J1521" s="91" t="str">
        <f t="shared" si="120"/>
        <v/>
      </c>
      <c r="K1521" s="92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2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58"/>
      <c r="U1521" s="217" t="str">
        <f t="shared" si="121"/>
        <v/>
      </c>
      <c r="V1521" s="215" t="s">
        <v>47</v>
      </c>
      <c r="W1521" s="102" t="s">
        <v>136</v>
      </c>
      <c r="X1521" s="102" t="s">
        <v>137</v>
      </c>
      <c r="Y1521" s="103" t="s">
        <v>138</v>
      </c>
      <c r="Z1521" s="103" t="s">
        <v>139</v>
      </c>
      <c r="AA1521" s="103" t="s">
        <v>47</v>
      </c>
      <c r="AB1521" s="103" t="s">
        <v>140</v>
      </c>
      <c r="AC1521" s="104" t="s">
        <v>141</v>
      </c>
    </row>
    <row r="1522" spans="1:29" ht="25.5" customHeight="1" x14ac:dyDescent="0.35">
      <c r="A1522" s="188"/>
      <c r="B1522" s="190"/>
      <c r="C1522" s="99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0"/>
      <c r="E1522" s="78" t="str">
        <f>IF(C1522="","",IFERROR(VLOOKUP(C1522,parametros!$A$11:$E$15,5,0),""))</f>
        <v/>
      </c>
      <c r="F1522" s="79" t="str">
        <f t="shared" si="117"/>
        <v/>
      </c>
      <c r="G1522" s="101"/>
      <c r="H1522" s="91">
        <f t="shared" si="118"/>
        <v>0</v>
      </c>
      <c r="I1522" s="91" t="str">
        <f t="shared" si="119"/>
        <v/>
      </c>
      <c r="J1522" s="91" t="str">
        <f t="shared" si="120"/>
        <v/>
      </c>
      <c r="K1522" s="92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2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58"/>
      <c r="U1522" s="217" t="str">
        <f t="shared" si="121"/>
        <v/>
      </c>
      <c r="V1522" s="215" t="s">
        <v>47</v>
      </c>
      <c r="W1522" s="102" t="s">
        <v>136</v>
      </c>
      <c r="X1522" s="102" t="s">
        <v>137</v>
      </c>
      <c r="Y1522" s="103" t="s">
        <v>138</v>
      </c>
      <c r="Z1522" s="103" t="s">
        <v>139</v>
      </c>
      <c r="AA1522" s="103" t="s">
        <v>47</v>
      </c>
      <c r="AB1522" s="103" t="s">
        <v>140</v>
      </c>
      <c r="AC1522" s="104" t="s">
        <v>141</v>
      </c>
    </row>
    <row r="1523" spans="1:29" ht="25.5" customHeight="1" x14ac:dyDescent="0.35">
      <c r="A1523" s="188"/>
      <c r="B1523" s="190"/>
      <c r="C1523" s="99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0"/>
      <c r="E1523" s="78" t="str">
        <f>IF(C1523="","",IFERROR(VLOOKUP(C1523,parametros!$A$11:$E$15,5,0),""))</f>
        <v/>
      </c>
      <c r="F1523" s="79" t="str">
        <f t="shared" si="117"/>
        <v/>
      </c>
      <c r="G1523" s="101"/>
      <c r="H1523" s="91">
        <f t="shared" si="118"/>
        <v>0</v>
      </c>
      <c r="I1523" s="91" t="str">
        <f t="shared" si="119"/>
        <v/>
      </c>
      <c r="J1523" s="91" t="str">
        <f t="shared" si="120"/>
        <v/>
      </c>
      <c r="K1523" s="92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2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58"/>
      <c r="U1523" s="217" t="str">
        <f t="shared" si="121"/>
        <v/>
      </c>
      <c r="V1523" s="215" t="s">
        <v>47</v>
      </c>
      <c r="W1523" s="102" t="s">
        <v>136</v>
      </c>
      <c r="X1523" s="102" t="s">
        <v>137</v>
      </c>
      <c r="Y1523" s="103" t="s">
        <v>138</v>
      </c>
      <c r="Z1523" s="103" t="s">
        <v>139</v>
      </c>
      <c r="AA1523" s="103" t="s">
        <v>47</v>
      </c>
      <c r="AB1523" s="103" t="s">
        <v>140</v>
      </c>
      <c r="AC1523" s="104" t="s">
        <v>141</v>
      </c>
    </row>
    <row r="1524" spans="1:29" ht="25.5" customHeight="1" x14ac:dyDescent="0.35">
      <c r="A1524" s="188"/>
      <c r="B1524" s="190"/>
      <c r="C1524" s="99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0"/>
      <c r="E1524" s="78" t="str">
        <f>IF(C1524="","",IFERROR(VLOOKUP(C1524,parametros!$A$11:$E$15,5,0),""))</f>
        <v/>
      </c>
      <c r="F1524" s="79" t="str">
        <f t="shared" si="117"/>
        <v/>
      </c>
      <c r="G1524" s="101"/>
      <c r="H1524" s="91">
        <f t="shared" si="118"/>
        <v>0</v>
      </c>
      <c r="I1524" s="91" t="str">
        <f t="shared" si="119"/>
        <v/>
      </c>
      <c r="J1524" s="91" t="str">
        <f t="shared" si="120"/>
        <v/>
      </c>
      <c r="K1524" s="92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2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58"/>
      <c r="U1524" s="217" t="str">
        <f t="shared" si="121"/>
        <v/>
      </c>
      <c r="V1524" s="215" t="s">
        <v>47</v>
      </c>
      <c r="W1524" s="102" t="s">
        <v>136</v>
      </c>
      <c r="X1524" s="102" t="s">
        <v>137</v>
      </c>
      <c r="Y1524" s="103" t="s">
        <v>138</v>
      </c>
      <c r="Z1524" s="103" t="s">
        <v>139</v>
      </c>
      <c r="AA1524" s="103" t="s">
        <v>47</v>
      </c>
      <c r="AB1524" s="103" t="s">
        <v>140</v>
      </c>
      <c r="AC1524" s="104" t="s">
        <v>141</v>
      </c>
    </row>
    <row r="1525" spans="1:29" ht="25.5" customHeight="1" x14ac:dyDescent="0.35">
      <c r="A1525" s="188"/>
      <c r="B1525" s="190"/>
      <c r="C1525" s="99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0"/>
      <c r="E1525" s="78" t="str">
        <f>IF(C1525="","",IFERROR(VLOOKUP(C1525,parametros!$A$11:$E$15,5,0),""))</f>
        <v/>
      </c>
      <c r="F1525" s="79" t="str">
        <f t="shared" si="117"/>
        <v/>
      </c>
      <c r="G1525" s="101"/>
      <c r="H1525" s="91">
        <f t="shared" si="118"/>
        <v>0</v>
      </c>
      <c r="I1525" s="91" t="str">
        <f t="shared" si="119"/>
        <v/>
      </c>
      <c r="J1525" s="91" t="str">
        <f t="shared" si="120"/>
        <v/>
      </c>
      <c r="K1525" s="92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2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58"/>
      <c r="U1525" s="217" t="str">
        <f t="shared" si="121"/>
        <v/>
      </c>
      <c r="V1525" s="215" t="s">
        <v>47</v>
      </c>
      <c r="W1525" s="102" t="s">
        <v>136</v>
      </c>
      <c r="X1525" s="102" t="s">
        <v>137</v>
      </c>
      <c r="Y1525" s="103" t="s">
        <v>138</v>
      </c>
      <c r="Z1525" s="103" t="s">
        <v>139</v>
      </c>
      <c r="AA1525" s="103" t="s">
        <v>47</v>
      </c>
      <c r="AB1525" s="103" t="s">
        <v>140</v>
      </c>
      <c r="AC1525" s="104" t="s">
        <v>141</v>
      </c>
    </row>
    <row r="1526" spans="1:29" ht="25.5" customHeight="1" x14ac:dyDescent="0.35">
      <c r="A1526" s="188"/>
      <c r="B1526" s="190"/>
      <c r="C1526" s="99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0"/>
      <c r="E1526" s="78" t="str">
        <f>IF(C1526="","",IFERROR(VLOOKUP(C1526,parametros!$A$11:$E$15,5,0),""))</f>
        <v/>
      </c>
      <c r="F1526" s="79" t="str">
        <f t="shared" si="117"/>
        <v/>
      </c>
      <c r="G1526" s="101"/>
      <c r="H1526" s="91">
        <f t="shared" si="118"/>
        <v>0</v>
      </c>
      <c r="I1526" s="91" t="str">
        <f t="shared" si="119"/>
        <v/>
      </c>
      <c r="J1526" s="91" t="str">
        <f t="shared" si="120"/>
        <v/>
      </c>
      <c r="K1526" s="92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2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58"/>
      <c r="U1526" s="217" t="str">
        <f t="shared" si="121"/>
        <v/>
      </c>
      <c r="V1526" s="215" t="s">
        <v>47</v>
      </c>
      <c r="W1526" s="102" t="s">
        <v>136</v>
      </c>
      <c r="X1526" s="102" t="s">
        <v>137</v>
      </c>
      <c r="Y1526" s="103" t="s">
        <v>138</v>
      </c>
      <c r="Z1526" s="103" t="s">
        <v>139</v>
      </c>
      <c r="AA1526" s="103" t="s">
        <v>47</v>
      </c>
      <c r="AB1526" s="103" t="s">
        <v>140</v>
      </c>
      <c r="AC1526" s="104" t="s">
        <v>141</v>
      </c>
    </row>
    <row r="1527" spans="1:29" ht="25.5" customHeight="1" x14ac:dyDescent="0.35">
      <c r="A1527" s="188"/>
      <c r="B1527" s="190"/>
      <c r="C1527" s="99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0"/>
      <c r="E1527" s="78" t="str">
        <f>IF(C1527="","",IFERROR(VLOOKUP(C1527,parametros!$A$11:$E$15,5,0),""))</f>
        <v/>
      </c>
      <c r="F1527" s="79" t="str">
        <f t="shared" si="117"/>
        <v/>
      </c>
      <c r="G1527" s="101"/>
      <c r="H1527" s="91">
        <f t="shared" si="118"/>
        <v>0</v>
      </c>
      <c r="I1527" s="91" t="str">
        <f t="shared" si="119"/>
        <v/>
      </c>
      <c r="J1527" s="91" t="str">
        <f t="shared" si="120"/>
        <v/>
      </c>
      <c r="K1527" s="92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2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58"/>
      <c r="U1527" s="217" t="str">
        <f t="shared" si="121"/>
        <v/>
      </c>
      <c r="V1527" s="215" t="s">
        <v>47</v>
      </c>
      <c r="W1527" s="102" t="s">
        <v>136</v>
      </c>
      <c r="X1527" s="102" t="s">
        <v>137</v>
      </c>
      <c r="Y1527" s="103" t="s">
        <v>138</v>
      </c>
      <c r="Z1527" s="103" t="s">
        <v>139</v>
      </c>
      <c r="AA1527" s="103" t="s">
        <v>47</v>
      </c>
      <c r="AB1527" s="103" t="s">
        <v>140</v>
      </c>
      <c r="AC1527" s="104" t="s">
        <v>141</v>
      </c>
    </row>
    <row r="1528" spans="1:29" ht="25.5" customHeight="1" x14ac:dyDescent="0.35">
      <c r="A1528" s="188"/>
      <c r="B1528" s="190"/>
      <c r="C1528" s="99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0"/>
      <c r="E1528" s="78" t="str">
        <f>IF(C1528="","",IFERROR(VLOOKUP(C1528,parametros!$A$11:$E$15,5,0),""))</f>
        <v/>
      </c>
      <c r="F1528" s="79" t="str">
        <f t="shared" si="117"/>
        <v/>
      </c>
      <c r="G1528" s="101"/>
      <c r="H1528" s="91">
        <f t="shared" si="118"/>
        <v>0</v>
      </c>
      <c r="I1528" s="91" t="str">
        <f t="shared" si="119"/>
        <v/>
      </c>
      <c r="J1528" s="91" t="str">
        <f t="shared" si="120"/>
        <v/>
      </c>
      <c r="K1528" s="92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2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58"/>
      <c r="U1528" s="217" t="str">
        <f t="shared" si="121"/>
        <v/>
      </c>
      <c r="V1528" s="215" t="s">
        <v>47</v>
      </c>
      <c r="W1528" s="102" t="s">
        <v>136</v>
      </c>
      <c r="X1528" s="102" t="s">
        <v>137</v>
      </c>
      <c r="Y1528" s="103" t="s">
        <v>138</v>
      </c>
      <c r="Z1528" s="103" t="s">
        <v>139</v>
      </c>
      <c r="AA1528" s="103" t="s">
        <v>47</v>
      </c>
      <c r="AB1528" s="103" t="s">
        <v>140</v>
      </c>
      <c r="AC1528" s="104" t="s">
        <v>141</v>
      </c>
    </row>
    <row r="1529" spans="1:29" ht="25.5" customHeight="1" x14ac:dyDescent="0.35">
      <c r="A1529" s="188"/>
      <c r="B1529" s="190"/>
      <c r="C1529" s="99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0"/>
      <c r="E1529" s="78" t="str">
        <f>IF(C1529="","",IFERROR(VLOOKUP(C1529,parametros!$A$11:$E$15,5,0),""))</f>
        <v/>
      </c>
      <c r="F1529" s="79" t="str">
        <f t="shared" si="117"/>
        <v/>
      </c>
      <c r="G1529" s="101"/>
      <c r="H1529" s="91">
        <f t="shared" si="118"/>
        <v>0</v>
      </c>
      <c r="I1529" s="91" t="str">
        <f t="shared" si="119"/>
        <v/>
      </c>
      <c r="J1529" s="91" t="str">
        <f t="shared" si="120"/>
        <v/>
      </c>
      <c r="K1529" s="92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2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58"/>
      <c r="U1529" s="217" t="str">
        <f t="shared" si="121"/>
        <v/>
      </c>
      <c r="V1529" s="215" t="s">
        <v>47</v>
      </c>
      <c r="W1529" s="102" t="s">
        <v>136</v>
      </c>
      <c r="X1529" s="102" t="s">
        <v>137</v>
      </c>
      <c r="Y1529" s="103" t="s">
        <v>138</v>
      </c>
      <c r="Z1529" s="103" t="s">
        <v>139</v>
      </c>
      <c r="AA1529" s="103" t="s">
        <v>47</v>
      </c>
      <c r="AB1529" s="103" t="s">
        <v>140</v>
      </c>
      <c r="AC1529" s="104" t="s">
        <v>141</v>
      </c>
    </row>
    <row r="1530" spans="1:29" ht="25.5" customHeight="1" x14ac:dyDescent="0.35">
      <c r="A1530" s="188"/>
      <c r="B1530" s="190"/>
      <c r="C1530" s="99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0"/>
      <c r="E1530" s="78" t="str">
        <f>IF(C1530="","",IFERROR(VLOOKUP(C1530,parametros!$A$11:$E$15,5,0),""))</f>
        <v/>
      </c>
      <c r="F1530" s="79" t="str">
        <f t="shared" si="117"/>
        <v/>
      </c>
      <c r="G1530" s="101"/>
      <c r="H1530" s="91">
        <f t="shared" si="118"/>
        <v>0</v>
      </c>
      <c r="I1530" s="91" t="str">
        <f t="shared" si="119"/>
        <v/>
      </c>
      <c r="J1530" s="91" t="str">
        <f t="shared" si="120"/>
        <v/>
      </c>
      <c r="K1530" s="92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2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58"/>
      <c r="U1530" s="217" t="str">
        <f t="shared" si="121"/>
        <v/>
      </c>
      <c r="V1530" s="215" t="s">
        <v>47</v>
      </c>
      <c r="W1530" s="102" t="s">
        <v>136</v>
      </c>
      <c r="X1530" s="102" t="s">
        <v>137</v>
      </c>
      <c r="Y1530" s="103" t="s">
        <v>138</v>
      </c>
      <c r="Z1530" s="103" t="s">
        <v>139</v>
      </c>
      <c r="AA1530" s="103" t="s">
        <v>47</v>
      </c>
      <c r="AB1530" s="103" t="s">
        <v>140</v>
      </c>
      <c r="AC1530" s="104" t="s">
        <v>141</v>
      </c>
    </row>
    <row r="1531" spans="1:29" ht="25.5" customHeight="1" x14ac:dyDescent="0.35">
      <c r="A1531" s="188"/>
      <c r="B1531" s="190"/>
      <c r="C1531" s="99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0"/>
      <c r="E1531" s="78" t="str">
        <f>IF(C1531="","",IFERROR(VLOOKUP(C1531,parametros!$A$11:$E$15,5,0),""))</f>
        <v/>
      </c>
      <c r="F1531" s="79" t="str">
        <f t="shared" si="117"/>
        <v/>
      </c>
      <c r="G1531" s="101"/>
      <c r="H1531" s="91">
        <f t="shared" si="118"/>
        <v>0</v>
      </c>
      <c r="I1531" s="91" t="str">
        <f t="shared" si="119"/>
        <v/>
      </c>
      <c r="J1531" s="91" t="str">
        <f t="shared" si="120"/>
        <v/>
      </c>
      <c r="K1531" s="92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2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58"/>
      <c r="U1531" s="217" t="str">
        <f t="shared" si="121"/>
        <v/>
      </c>
      <c r="V1531" s="215" t="s">
        <v>47</v>
      </c>
      <c r="W1531" s="102" t="s">
        <v>136</v>
      </c>
      <c r="X1531" s="102" t="s">
        <v>137</v>
      </c>
      <c r="Y1531" s="103" t="s">
        <v>138</v>
      </c>
      <c r="Z1531" s="103" t="s">
        <v>139</v>
      </c>
      <c r="AA1531" s="103" t="s">
        <v>47</v>
      </c>
      <c r="AB1531" s="103" t="s">
        <v>140</v>
      </c>
      <c r="AC1531" s="104" t="s">
        <v>141</v>
      </c>
    </row>
    <row r="1532" spans="1:29" ht="25.5" customHeight="1" x14ac:dyDescent="0.35">
      <c r="A1532" s="188"/>
      <c r="B1532" s="190"/>
      <c r="C1532" s="99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0"/>
      <c r="E1532" s="78" t="str">
        <f>IF(C1532="","",IFERROR(VLOOKUP(C1532,parametros!$A$11:$E$15,5,0),""))</f>
        <v/>
      </c>
      <c r="F1532" s="79" t="str">
        <f t="shared" si="117"/>
        <v/>
      </c>
      <c r="G1532" s="101"/>
      <c r="H1532" s="91">
        <f t="shared" si="118"/>
        <v>0</v>
      </c>
      <c r="I1532" s="91" t="str">
        <f t="shared" si="119"/>
        <v/>
      </c>
      <c r="J1532" s="91" t="str">
        <f t="shared" si="120"/>
        <v/>
      </c>
      <c r="K1532" s="92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2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58"/>
      <c r="U1532" s="217" t="str">
        <f t="shared" si="121"/>
        <v/>
      </c>
      <c r="V1532" s="215" t="s">
        <v>47</v>
      </c>
      <c r="W1532" s="102" t="s">
        <v>136</v>
      </c>
      <c r="X1532" s="102" t="s">
        <v>137</v>
      </c>
      <c r="Y1532" s="103" t="s">
        <v>138</v>
      </c>
      <c r="Z1532" s="103" t="s">
        <v>139</v>
      </c>
      <c r="AA1532" s="103" t="s">
        <v>47</v>
      </c>
      <c r="AB1532" s="103" t="s">
        <v>140</v>
      </c>
      <c r="AC1532" s="104" t="s">
        <v>141</v>
      </c>
    </row>
    <row r="1533" spans="1:29" ht="25.5" customHeight="1" x14ac:dyDescent="0.35">
      <c r="A1533" s="188"/>
      <c r="B1533" s="190"/>
      <c r="C1533" s="99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0"/>
      <c r="E1533" s="78" t="str">
        <f>IF(C1533="","",IFERROR(VLOOKUP(C1533,parametros!$A$11:$E$15,5,0),""))</f>
        <v/>
      </c>
      <c r="F1533" s="79" t="str">
        <f t="shared" si="117"/>
        <v/>
      </c>
      <c r="G1533" s="101"/>
      <c r="H1533" s="91">
        <f t="shared" si="118"/>
        <v>0</v>
      </c>
      <c r="I1533" s="91" t="str">
        <f t="shared" si="119"/>
        <v/>
      </c>
      <c r="J1533" s="91" t="str">
        <f t="shared" si="120"/>
        <v/>
      </c>
      <c r="K1533" s="92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2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58"/>
      <c r="U1533" s="217" t="str">
        <f t="shared" si="121"/>
        <v/>
      </c>
      <c r="V1533" s="215" t="s">
        <v>47</v>
      </c>
      <c r="W1533" s="102" t="s">
        <v>136</v>
      </c>
      <c r="X1533" s="102" t="s">
        <v>137</v>
      </c>
      <c r="Y1533" s="103" t="s">
        <v>138</v>
      </c>
      <c r="Z1533" s="103" t="s">
        <v>139</v>
      </c>
      <c r="AA1533" s="103" t="s">
        <v>47</v>
      </c>
      <c r="AB1533" s="103" t="s">
        <v>140</v>
      </c>
      <c r="AC1533" s="104" t="s">
        <v>141</v>
      </c>
    </row>
    <row r="1534" spans="1:29" ht="25.5" customHeight="1" x14ac:dyDescent="0.35">
      <c r="A1534" s="188"/>
      <c r="B1534" s="190"/>
      <c r="C1534" s="99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0"/>
      <c r="E1534" s="78" t="str">
        <f>IF(C1534="","",IFERROR(VLOOKUP(C1534,parametros!$A$11:$E$15,5,0),""))</f>
        <v/>
      </c>
      <c r="F1534" s="79" t="str">
        <f t="shared" si="117"/>
        <v/>
      </c>
      <c r="G1534" s="101"/>
      <c r="H1534" s="91">
        <f t="shared" si="118"/>
        <v>0</v>
      </c>
      <c r="I1534" s="91" t="str">
        <f t="shared" si="119"/>
        <v/>
      </c>
      <c r="J1534" s="91" t="str">
        <f t="shared" si="120"/>
        <v/>
      </c>
      <c r="K1534" s="92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2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58"/>
      <c r="U1534" s="217" t="str">
        <f t="shared" si="121"/>
        <v/>
      </c>
      <c r="V1534" s="215" t="s">
        <v>47</v>
      </c>
      <c r="W1534" s="102" t="s">
        <v>136</v>
      </c>
      <c r="X1534" s="102" t="s">
        <v>137</v>
      </c>
      <c r="Y1534" s="103" t="s">
        <v>138</v>
      </c>
      <c r="Z1534" s="103" t="s">
        <v>139</v>
      </c>
      <c r="AA1534" s="103" t="s">
        <v>47</v>
      </c>
      <c r="AB1534" s="103" t="s">
        <v>140</v>
      </c>
      <c r="AC1534" s="104" t="s">
        <v>141</v>
      </c>
    </row>
    <row r="1535" spans="1:29" ht="25.5" customHeight="1" x14ac:dyDescent="0.35">
      <c r="A1535" s="188"/>
      <c r="B1535" s="190"/>
      <c r="C1535" s="99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0"/>
      <c r="E1535" s="78" t="str">
        <f>IF(C1535="","",IFERROR(VLOOKUP(C1535,parametros!$A$11:$E$15,5,0),""))</f>
        <v/>
      </c>
      <c r="F1535" s="79" t="str">
        <f t="shared" si="117"/>
        <v/>
      </c>
      <c r="G1535" s="101"/>
      <c r="H1535" s="91">
        <f t="shared" si="118"/>
        <v>0</v>
      </c>
      <c r="I1535" s="91" t="str">
        <f t="shared" si="119"/>
        <v/>
      </c>
      <c r="J1535" s="91" t="str">
        <f t="shared" si="120"/>
        <v/>
      </c>
      <c r="K1535" s="92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2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58"/>
      <c r="U1535" s="217" t="str">
        <f t="shared" si="121"/>
        <v/>
      </c>
      <c r="V1535" s="215" t="s">
        <v>47</v>
      </c>
      <c r="W1535" s="102" t="s">
        <v>136</v>
      </c>
      <c r="X1535" s="102" t="s">
        <v>137</v>
      </c>
      <c r="Y1535" s="103" t="s">
        <v>138</v>
      </c>
      <c r="Z1535" s="103" t="s">
        <v>139</v>
      </c>
      <c r="AA1535" s="103" t="s">
        <v>47</v>
      </c>
      <c r="AB1535" s="103" t="s">
        <v>140</v>
      </c>
      <c r="AC1535" s="104" t="s">
        <v>141</v>
      </c>
    </row>
    <row r="1536" spans="1:29" ht="25.5" customHeight="1" x14ac:dyDescent="0.35">
      <c r="A1536" s="188"/>
      <c r="B1536" s="190"/>
      <c r="C1536" s="99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0"/>
      <c r="E1536" s="78" t="str">
        <f>IF(C1536="","",IFERROR(VLOOKUP(C1536,parametros!$A$11:$E$15,5,0),""))</f>
        <v/>
      </c>
      <c r="F1536" s="79" t="str">
        <f t="shared" si="117"/>
        <v/>
      </c>
      <c r="G1536" s="101"/>
      <c r="H1536" s="91">
        <f t="shared" si="118"/>
        <v>0</v>
      </c>
      <c r="I1536" s="91" t="str">
        <f t="shared" si="119"/>
        <v/>
      </c>
      <c r="J1536" s="91" t="str">
        <f t="shared" si="120"/>
        <v/>
      </c>
      <c r="K1536" s="92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2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58"/>
      <c r="U1536" s="217" t="str">
        <f t="shared" si="121"/>
        <v/>
      </c>
      <c r="V1536" s="215" t="s">
        <v>47</v>
      </c>
      <c r="W1536" s="102" t="s">
        <v>136</v>
      </c>
      <c r="X1536" s="102" t="s">
        <v>137</v>
      </c>
      <c r="Y1536" s="103" t="s">
        <v>138</v>
      </c>
      <c r="Z1536" s="103" t="s">
        <v>139</v>
      </c>
      <c r="AA1536" s="103" t="s">
        <v>47</v>
      </c>
      <c r="AB1536" s="103" t="s">
        <v>140</v>
      </c>
      <c r="AC1536" s="104" t="s">
        <v>141</v>
      </c>
    </row>
    <row r="1537" spans="1:29" ht="25.5" customHeight="1" x14ac:dyDescent="0.35">
      <c r="A1537" s="188"/>
      <c r="B1537" s="190"/>
      <c r="C1537" s="99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0"/>
      <c r="E1537" s="78" t="str">
        <f>IF(C1537="","",IFERROR(VLOOKUP(C1537,parametros!$A$11:$E$15,5,0),""))</f>
        <v/>
      </c>
      <c r="F1537" s="79" t="str">
        <f t="shared" si="117"/>
        <v/>
      </c>
      <c r="G1537" s="101"/>
      <c r="H1537" s="91">
        <f t="shared" si="118"/>
        <v>0</v>
      </c>
      <c r="I1537" s="91" t="str">
        <f t="shared" si="119"/>
        <v/>
      </c>
      <c r="J1537" s="91" t="str">
        <f t="shared" si="120"/>
        <v/>
      </c>
      <c r="K1537" s="92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2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58"/>
      <c r="U1537" s="217" t="str">
        <f t="shared" si="121"/>
        <v/>
      </c>
      <c r="V1537" s="215" t="s">
        <v>47</v>
      </c>
      <c r="W1537" s="102" t="s">
        <v>136</v>
      </c>
      <c r="X1537" s="102" t="s">
        <v>137</v>
      </c>
      <c r="Y1537" s="103" t="s">
        <v>138</v>
      </c>
      <c r="Z1537" s="103" t="s">
        <v>139</v>
      </c>
      <c r="AA1537" s="103" t="s">
        <v>47</v>
      </c>
      <c r="AB1537" s="103" t="s">
        <v>140</v>
      </c>
      <c r="AC1537" s="104" t="s">
        <v>141</v>
      </c>
    </row>
    <row r="1538" spans="1:29" ht="25.5" customHeight="1" x14ac:dyDescent="0.35">
      <c r="A1538" s="188"/>
      <c r="B1538" s="190"/>
      <c r="C1538" s="99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0"/>
      <c r="E1538" s="78" t="str">
        <f>IF(C1538="","",IFERROR(VLOOKUP(C1538,parametros!$A$11:$E$15,5,0),""))</f>
        <v/>
      </c>
      <c r="F1538" s="79" t="str">
        <f t="shared" ref="F1538:F1601" si="122">IF(OR(D1538="",E1538=""),"",ROUND(D1538*E1538,2))</f>
        <v/>
      </c>
      <c r="G1538" s="101"/>
      <c r="H1538" s="91">
        <f t="shared" ref="H1538:H1601" si="123">IF(G1538="Sim",IF(OR(F1538="",D1538="",L1538=""),"",IF(L1538="Sim",ROUND(F1538-D1538,2),0)),0)</f>
        <v>0</v>
      </c>
      <c r="I1538" s="91" t="str">
        <f t="shared" ref="I1538:I1601" si="124">IF(G1538="Sim",0,IF(OR(F1538="",L1538=""),"",F1538))</f>
        <v/>
      </c>
      <c r="J1538" s="91" t="str">
        <f t="shared" ref="J1538:J1601" si="125">IF(G1538="Sim",0,IF(OR(F1538="",D1538="",L1538=""),"",IF(L1538="Sim",ROUND(F1538-D1538,2),0)))</f>
        <v/>
      </c>
      <c r="K1538" s="92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2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58"/>
      <c r="U1538" s="217" t="str">
        <f t="shared" ref="U1538:U1601" si="126">IF(OR($D1538="",$H1538=""),"",ROUND($D1538+$H1538,2))</f>
        <v/>
      </c>
      <c r="V1538" s="215" t="s">
        <v>47</v>
      </c>
      <c r="W1538" s="102" t="s">
        <v>136</v>
      </c>
      <c r="X1538" s="102" t="s">
        <v>137</v>
      </c>
      <c r="Y1538" s="103" t="s">
        <v>138</v>
      </c>
      <c r="Z1538" s="103" t="s">
        <v>139</v>
      </c>
      <c r="AA1538" s="103" t="s">
        <v>47</v>
      </c>
      <c r="AB1538" s="103" t="s">
        <v>140</v>
      </c>
      <c r="AC1538" s="104" t="s">
        <v>141</v>
      </c>
    </row>
    <row r="1539" spans="1:29" ht="25.5" customHeight="1" x14ac:dyDescent="0.35">
      <c r="A1539" s="188"/>
      <c r="B1539" s="190"/>
      <c r="C1539" s="99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0"/>
      <c r="E1539" s="78" t="str">
        <f>IF(C1539="","",IFERROR(VLOOKUP(C1539,parametros!$A$11:$E$15,5,0),""))</f>
        <v/>
      </c>
      <c r="F1539" s="79" t="str">
        <f t="shared" si="122"/>
        <v/>
      </c>
      <c r="G1539" s="101"/>
      <c r="H1539" s="91">
        <f t="shared" si="123"/>
        <v>0</v>
      </c>
      <c r="I1539" s="91" t="str">
        <f t="shared" si="124"/>
        <v/>
      </c>
      <c r="J1539" s="91" t="str">
        <f t="shared" si="125"/>
        <v/>
      </c>
      <c r="K1539" s="92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2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58"/>
      <c r="U1539" s="217" t="str">
        <f t="shared" si="126"/>
        <v/>
      </c>
      <c r="V1539" s="215" t="s">
        <v>47</v>
      </c>
      <c r="W1539" s="102" t="s">
        <v>136</v>
      </c>
      <c r="X1539" s="102" t="s">
        <v>137</v>
      </c>
      <c r="Y1539" s="103" t="s">
        <v>138</v>
      </c>
      <c r="Z1539" s="103" t="s">
        <v>139</v>
      </c>
      <c r="AA1539" s="103" t="s">
        <v>47</v>
      </c>
      <c r="AB1539" s="103" t="s">
        <v>140</v>
      </c>
      <c r="AC1539" s="104" t="s">
        <v>141</v>
      </c>
    </row>
    <row r="1540" spans="1:29" ht="25.5" customHeight="1" x14ac:dyDescent="0.35">
      <c r="A1540" s="188"/>
      <c r="B1540" s="190"/>
      <c r="C1540" s="99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0"/>
      <c r="E1540" s="78" t="str">
        <f>IF(C1540="","",IFERROR(VLOOKUP(C1540,parametros!$A$11:$E$15,5,0),""))</f>
        <v/>
      </c>
      <c r="F1540" s="79" t="str">
        <f t="shared" si="122"/>
        <v/>
      </c>
      <c r="G1540" s="101"/>
      <c r="H1540" s="91">
        <f t="shared" si="123"/>
        <v>0</v>
      </c>
      <c r="I1540" s="91" t="str">
        <f t="shared" si="124"/>
        <v/>
      </c>
      <c r="J1540" s="91" t="str">
        <f t="shared" si="125"/>
        <v/>
      </c>
      <c r="K1540" s="92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2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58"/>
      <c r="U1540" s="217" t="str">
        <f t="shared" si="126"/>
        <v/>
      </c>
      <c r="V1540" s="215" t="s">
        <v>47</v>
      </c>
      <c r="W1540" s="102" t="s">
        <v>136</v>
      </c>
      <c r="X1540" s="102" t="s">
        <v>137</v>
      </c>
      <c r="Y1540" s="103" t="s">
        <v>138</v>
      </c>
      <c r="Z1540" s="103" t="s">
        <v>139</v>
      </c>
      <c r="AA1540" s="103" t="s">
        <v>47</v>
      </c>
      <c r="AB1540" s="103" t="s">
        <v>140</v>
      </c>
      <c r="AC1540" s="104" t="s">
        <v>141</v>
      </c>
    </row>
    <row r="1541" spans="1:29" ht="25.5" customHeight="1" x14ac:dyDescent="0.35">
      <c r="A1541" s="188"/>
      <c r="B1541" s="190"/>
      <c r="C1541" s="99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0"/>
      <c r="E1541" s="78" t="str">
        <f>IF(C1541="","",IFERROR(VLOOKUP(C1541,parametros!$A$11:$E$15,5,0),""))</f>
        <v/>
      </c>
      <c r="F1541" s="79" t="str">
        <f t="shared" si="122"/>
        <v/>
      </c>
      <c r="G1541" s="101"/>
      <c r="H1541" s="91">
        <f t="shared" si="123"/>
        <v>0</v>
      </c>
      <c r="I1541" s="91" t="str">
        <f t="shared" si="124"/>
        <v/>
      </c>
      <c r="J1541" s="91" t="str">
        <f t="shared" si="125"/>
        <v/>
      </c>
      <c r="K1541" s="92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2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58"/>
      <c r="U1541" s="217" t="str">
        <f t="shared" si="126"/>
        <v/>
      </c>
      <c r="V1541" s="215" t="s">
        <v>47</v>
      </c>
      <c r="W1541" s="102" t="s">
        <v>136</v>
      </c>
      <c r="X1541" s="102" t="s">
        <v>137</v>
      </c>
      <c r="Y1541" s="103" t="s">
        <v>138</v>
      </c>
      <c r="Z1541" s="103" t="s">
        <v>139</v>
      </c>
      <c r="AA1541" s="103" t="s">
        <v>47</v>
      </c>
      <c r="AB1541" s="103" t="s">
        <v>140</v>
      </c>
      <c r="AC1541" s="104" t="s">
        <v>141</v>
      </c>
    </row>
    <row r="1542" spans="1:29" ht="25.5" customHeight="1" x14ac:dyDescent="0.35">
      <c r="A1542" s="188"/>
      <c r="B1542" s="190"/>
      <c r="C1542" s="99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0"/>
      <c r="E1542" s="78" t="str">
        <f>IF(C1542="","",IFERROR(VLOOKUP(C1542,parametros!$A$11:$E$15,5,0),""))</f>
        <v/>
      </c>
      <c r="F1542" s="79" t="str">
        <f t="shared" si="122"/>
        <v/>
      </c>
      <c r="G1542" s="101"/>
      <c r="H1542" s="91">
        <f t="shared" si="123"/>
        <v>0</v>
      </c>
      <c r="I1542" s="91" t="str">
        <f t="shared" si="124"/>
        <v/>
      </c>
      <c r="J1542" s="91" t="str">
        <f t="shared" si="125"/>
        <v/>
      </c>
      <c r="K1542" s="92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2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58"/>
      <c r="U1542" s="217" t="str">
        <f t="shared" si="126"/>
        <v/>
      </c>
      <c r="V1542" s="215" t="s">
        <v>47</v>
      </c>
      <c r="W1542" s="102" t="s">
        <v>136</v>
      </c>
      <c r="X1542" s="102" t="s">
        <v>137</v>
      </c>
      <c r="Y1542" s="103" t="s">
        <v>138</v>
      </c>
      <c r="Z1542" s="103" t="s">
        <v>139</v>
      </c>
      <c r="AA1542" s="103" t="s">
        <v>47</v>
      </c>
      <c r="AB1542" s="103" t="s">
        <v>140</v>
      </c>
      <c r="AC1542" s="104" t="s">
        <v>141</v>
      </c>
    </row>
    <row r="1543" spans="1:29" ht="25.5" customHeight="1" x14ac:dyDescent="0.35">
      <c r="A1543" s="188"/>
      <c r="B1543" s="190"/>
      <c r="C1543" s="99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0"/>
      <c r="E1543" s="78" t="str">
        <f>IF(C1543="","",IFERROR(VLOOKUP(C1543,parametros!$A$11:$E$15,5,0),""))</f>
        <v/>
      </c>
      <c r="F1543" s="79" t="str">
        <f t="shared" si="122"/>
        <v/>
      </c>
      <c r="G1543" s="101"/>
      <c r="H1543" s="91">
        <f t="shared" si="123"/>
        <v>0</v>
      </c>
      <c r="I1543" s="91" t="str">
        <f t="shared" si="124"/>
        <v/>
      </c>
      <c r="J1543" s="91" t="str">
        <f t="shared" si="125"/>
        <v/>
      </c>
      <c r="K1543" s="92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2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58"/>
      <c r="U1543" s="217" t="str">
        <f t="shared" si="126"/>
        <v/>
      </c>
      <c r="V1543" s="215" t="s">
        <v>47</v>
      </c>
      <c r="W1543" s="102" t="s">
        <v>136</v>
      </c>
      <c r="X1543" s="102" t="s">
        <v>137</v>
      </c>
      <c r="Y1543" s="103" t="s">
        <v>138</v>
      </c>
      <c r="Z1543" s="103" t="s">
        <v>139</v>
      </c>
      <c r="AA1543" s="103" t="s">
        <v>47</v>
      </c>
      <c r="AB1543" s="103" t="s">
        <v>140</v>
      </c>
      <c r="AC1543" s="104" t="s">
        <v>141</v>
      </c>
    </row>
    <row r="1544" spans="1:29" ht="25.5" customHeight="1" x14ac:dyDescent="0.35">
      <c r="A1544" s="188"/>
      <c r="B1544" s="190"/>
      <c r="C1544" s="99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0"/>
      <c r="E1544" s="78" t="str">
        <f>IF(C1544="","",IFERROR(VLOOKUP(C1544,parametros!$A$11:$E$15,5,0),""))</f>
        <v/>
      </c>
      <c r="F1544" s="79" t="str">
        <f t="shared" si="122"/>
        <v/>
      </c>
      <c r="G1544" s="101"/>
      <c r="H1544" s="91">
        <f t="shared" si="123"/>
        <v>0</v>
      </c>
      <c r="I1544" s="91" t="str">
        <f t="shared" si="124"/>
        <v/>
      </c>
      <c r="J1544" s="91" t="str">
        <f t="shared" si="125"/>
        <v/>
      </c>
      <c r="K1544" s="92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2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58"/>
      <c r="U1544" s="217" t="str">
        <f t="shared" si="126"/>
        <v/>
      </c>
      <c r="V1544" s="215" t="s">
        <v>47</v>
      </c>
      <c r="W1544" s="102" t="s">
        <v>136</v>
      </c>
      <c r="X1544" s="102" t="s">
        <v>137</v>
      </c>
      <c r="Y1544" s="103" t="s">
        <v>138</v>
      </c>
      <c r="Z1544" s="103" t="s">
        <v>139</v>
      </c>
      <c r="AA1544" s="103" t="s">
        <v>47</v>
      </c>
      <c r="AB1544" s="103" t="s">
        <v>140</v>
      </c>
      <c r="AC1544" s="104" t="s">
        <v>141</v>
      </c>
    </row>
    <row r="1545" spans="1:29" ht="25.5" customHeight="1" x14ac:dyDescent="0.35">
      <c r="A1545" s="188"/>
      <c r="B1545" s="190"/>
      <c r="C1545" s="99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0"/>
      <c r="E1545" s="78" t="str">
        <f>IF(C1545="","",IFERROR(VLOOKUP(C1545,parametros!$A$11:$E$15,5,0),""))</f>
        <v/>
      </c>
      <c r="F1545" s="79" t="str">
        <f t="shared" si="122"/>
        <v/>
      </c>
      <c r="G1545" s="101"/>
      <c r="H1545" s="91">
        <f t="shared" si="123"/>
        <v>0</v>
      </c>
      <c r="I1545" s="91" t="str">
        <f t="shared" si="124"/>
        <v/>
      </c>
      <c r="J1545" s="91" t="str">
        <f t="shared" si="125"/>
        <v/>
      </c>
      <c r="K1545" s="92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2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58"/>
      <c r="U1545" s="217" t="str">
        <f t="shared" si="126"/>
        <v/>
      </c>
      <c r="V1545" s="215" t="s">
        <v>47</v>
      </c>
      <c r="W1545" s="102" t="s">
        <v>136</v>
      </c>
      <c r="X1545" s="102" t="s">
        <v>137</v>
      </c>
      <c r="Y1545" s="103" t="s">
        <v>138</v>
      </c>
      <c r="Z1545" s="103" t="s">
        <v>139</v>
      </c>
      <c r="AA1545" s="103" t="s">
        <v>47</v>
      </c>
      <c r="AB1545" s="103" t="s">
        <v>140</v>
      </c>
      <c r="AC1545" s="104" t="s">
        <v>141</v>
      </c>
    </row>
    <row r="1546" spans="1:29" ht="25.5" customHeight="1" x14ac:dyDescent="0.35">
      <c r="A1546" s="188"/>
      <c r="B1546" s="190"/>
      <c r="C1546" s="99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0"/>
      <c r="E1546" s="78" t="str">
        <f>IF(C1546="","",IFERROR(VLOOKUP(C1546,parametros!$A$11:$E$15,5,0),""))</f>
        <v/>
      </c>
      <c r="F1546" s="79" t="str">
        <f t="shared" si="122"/>
        <v/>
      </c>
      <c r="G1546" s="101"/>
      <c r="H1546" s="91">
        <f t="shared" si="123"/>
        <v>0</v>
      </c>
      <c r="I1546" s="91" t="str">
        <f t="shared" si="124"/>
        <v/>
      </c>
      <c r="J1546" s="91" t="str">
        <f t="shared" si="125"/>
        <v/>
      </c>
      <c r="K1546" s="92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2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58"/>
      <c r="U1546" s="217" t="str">
        <f t="shared" si="126"/>
        <v/>
      </c>
      <c r="V1546" s="215" t="s">
        <v>47</v>
      </c>
      <c r="W1546" s="102" t="s">
        <v>136</v>
      </c>
      <c r="X1546" s="102" t="s">
        <v>137</v>
      </c>
      <c r="Y1546" s="103" t="s">
        <v>138</v>
      </c>
      <c r="Z1546" s="103" t="s">
        <v>139</v>
      </c>
      <c r="AA1546" s="103" t="s">
        <v>47</v>
      </c>
      <c r="AB1546" s="103" t="s">
        <v>140</v>
      </c>
      <c r="AC1546" s="104" t="s">
        <v>141</v>
      </c>
    </row>
    <row r="1547" spans="1:29" ht="25.5" customHeight="1" x14ac:dyDescent="0.35">
      <c r="A1547" s="188"/>
      <c r="B1547" s="190"/>
      <c r="C1547" s="99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0"/>
      <c r="E1547" s="78" t="str">
        <f>IF(C1547="","",IFERROR(VLOOKUP(C1547,parametros!$A$11:$E$15,5,0),""))</f>
        <v/>
      </c>
      <c r="F1547" s="79" t="str">
        <f t="shared" si="122"/>
        <v/>
      </c>
      <c r="G1547" s="101"/>
      <c r="H1547" s="91">
        <f t="shared" si="123"/>
        <v>0</v>
      </c>
      <c r="I1547" s="91" t="str">
        <f t="shared" si="124"/>
        <v/>
      </c>
      <c r="J1547" s="91" t="str">
        <f t="shared" si="125"/>
        <v/>
      </c>
      <c r="K1547" s="92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2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58"/>
      <c r="U1547" s="217" t="str">
        <f t="shared" si="126"/>
        <v/>
      </c>
      <c r="V1547" s="215" t="s">
        <v>47</v>
      </c>
      <c r="W1547" s="102" t="s">
        <v>136</v>
      </c>
      <c r="X1547" s="102" t="s">
        <v>137</v>
      </c>
      <c r="Y1547" s="103" t="s">
        <v>138</v>
      </c>
      <c r="Z1547" s="103" t="s">
        <v>139</v>
      </c>
      <c r="AA1547" s="103" t="s">
        <v>47</v>
      </c>
      <c r="AB1547" s="103" t="s">
        <v>140</v>
      </c>
      <c r="AC1547" s="104" t="s">
        <v>141</v>
      </c>
    </row>
    <row r="1548" spans="1:29" ht="25.5" customHeight="1" x14ac:dyDescent="0.35">
      <c r="A1548" s="188"/>
      <c r="B1548" s="190"/>
      <c r="C1548" s="99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0"/>
      <c r="E1548" s="78" t="str">
        <f>IF(C1548="","",IFERROR(VLOOKUP(C1548,parametros!$A$11:$E$15,5,0),""))</f>
        <v/>
      </c>
      <c r="F1548" s="79" t="str">
        <f t="shared" si="122"/>
        <v/>
      </c>
      <c r="G1548" s="101"/>
      <c r="H1548" s="91">
        <f t="shared" si="123"/>
        <v>0</v>
      </c>
      <c r="I1548" s="91" t="str">
        <f t="shared" si="124"/>
        <v/>
      </c>
      <c r="J1548" s="91" t="str">
        <f t="shared" si="125"/>
        <v/>
      </c>
      <c r="K1548" s="92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2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58"/>
      <c r="U1548" s="217" t="str">
        <f t="shared" si="126"/>
        <v/>
      </c>
      <c r="V1548" s="215" t="s">
        <v>47</v>
      </c>
      <c r="W1548" s="102" t="s">
        <v>136</v>
      </c>
      <c r="X1548" s="102" t="s">
        <v>137</v>
      </c>
      <c r="Y1548" s="103" t="s">
        <v>138</v>
      </c>
      <c r="Z1548" s="103" t="s">
        <v>139</v>
      </c>
      <c r="AA1548" s="103" t="s">
        <v>47</v>
      </c>
      <c r="AB1548" s="103" t="s">
        <v>140</v>
      </c>
      <c r="AC1548" s="104" t="s">
        <v>141</v>
      </c>
    </row>
    <row r="1549" spans="1:29" ht="25.5" customHeight="1" x14ac:dyDescent="0.35">
      <c r="A1549" s="188"/>
      <c r="B1549" s="190"/>
      <c r="C1549" s="99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0"/>
      <c r="E1549" s="78" t="str">
        <f>IF(C1549="","",IFERROR(VLOOKUP(C1549,parametros!$A$11:$E$15,5,0),""))</f>
        <v/>
      </c>
      <c r="F1549" s="79" t="str">
        <f t="shared" si="122"/>
        <v/>
      </c>
      <c r="G1549" s="101"/>
      <c r="H1549" s="91">
        <f t="shared" si="123"/>
        <v>0</v>
      </c>
      <c r="I1549" s="91" t="str">
        <f t="shared" si="124"/>
        <v/>
      </c>
      <c r="J1549" s="91" t="str">
        <f t="shared" si="125"/>
        <v/>
      </c>
      <c r="K1549" s="92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2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58"/>
      <c r="U1549" s="217" t="str">
        <f t="shared" si="126"/>
        <v/>
      </c>
      <c r="V1549" s="215" t="s">
        <v>47</v>
      </c>
      <c r="W1549" s="102" t="s">
        <v>136</v>
      </c>
      <c r="X1549" s="102" t="s">
        <v>137</v>
      </c>
      <c r="Y1549" s="103" t="s">
        <v>138</v>
      </c>
      <c r="Z1549" s="103" t="s">
        <v>139</v>
      </c>
      <c r="AA1549" s="103" t="s">
        <v>47</v>
      </c>
      <c r="AB1549" s="103" t="s">
        <v>140</v>
      </c>
      <c r="AC1549" s="104" t="s">
        <v>141</v>
      </c>
    </row>
    <row r="1550" spans="1:29" ht="25.5" customHeight="1" x14ac:dyDescent="0.35">
      <c r="A1550" s="188"/>
      <c r="B1550" s="190"/>
      <c r="C1550" s="99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0"/>
      <c r="E1550" s="78" t="str">
        <f>IF(C1550="","",IFERROR(VLOOKUP(C1550,parametros!$A$11:$E$15,5,0),""))</f>
        <v/>
      </c>
      <c r="F1550" s="79" t="str">
        <f t="shared" si="122"/>
        <v/>
      </c>
      <c r="G1550" s="101"/>
      <c r="H1550" s="91">
        <f t="shared" si="123"/>
        <v>0</v>
      </c>
      <c r="I1550" s="91" t="str">
        <f t="shared" si="124"/>
        <v/>
      </c>
      <c r="J1550" s="91" t="str">
        <f t="shared" si="125"/>
        <v/>
      </c>
      <c r="K1550" s="92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2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58"/>
      <c r="U1550" s="217" t="str">
        <f t="shared" si="126"/>
        <v/>
      </c>
      <c r="V1550" s="215" t="s">
        <v>47</v>
      </c>
      <c r="W1550" s="102" t="s">
        <v>136</v>
      </c>
      <c r="X1550" s="102" t="s">
        <v>137</v>
      </c>
      <c r="Y1550" s="103" t="s">
        <v>138</v>
      </c>
      <c r="Z1550" s="103" t="s">
        <v>139</v>
      </c>
      <c r="AA1550" s="103" t="s">
        <v>47</v>
      </c>
      <c r="AB1550" s="103" t="s">
        <v>140</v>
      </c>
      <c r="AC1550" s="104" t="s">
        <v>141</v>
      </c>
    </row>
    <row r="1551" spans="1:29" ht="25.5" customHeight="1" x14ac:dyDescent="0.35">
      <c r="A1551" s="188"/>
      <c r="B1551" s="190"/>
      <c r="C1551" s="99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0"/>
      <c r="E1551" s="78" t="str">
        <f>IF(C1551="","",IFERROR(VLOOKUP(C1551,parametros!$A$11:$E$15,5,0),""))</f>
        <v/>
      </c>
      <c r="F1551" s="79" t="str">
        <f t="shared" si="122"/>
        <v/>
      </c>
      <c r="G1551" s="101"/>
      <c r="H1551" s="91">
        <f t="shared" si="123"/>
        <v>0</v>
      </c>
      <c r="I1551" s="91" t="str">
        <f t="shared" si="124"/>
        <v/>
      </c>
      <c r="J1551" s="91" t="str">
        <f t="shared" si="125"/>
        <v/>
      </c>
      <c r="K1551" s="92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2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58"/>
      <c r="U1551" s="217" t="str">
        <f t="shared" si="126"/>
        <v/>
      </c>
      <c r="V1551" s="215" t="s">
        <v>47</v>
      </c>
      <c r="W1551" s="102" t="s">
        <v>136</v>
      </c>
      <c r="X1551" s="102" t="s">
        <v>137</v>
      </c>
      <c r="Y1551" s="103" t="s">
        <v>138</v>
      </c>
      <c r="Z1551" s="103" t="s">
        <v>139</v>
      </c>
      <c r="AA1551" s="103" t="s">
        <v>47</v>
      </c>
      <c r="AB1551" s="103" t="s">
        <v>140</v>
      </c>
      <c r="AC1551" s="104" t="s">
        <v>141</v>
      </c>
    </row>
    <row r="1552" spans="1:29" ht="25.5" customHeight="1" x14ac:dyDescent="0.35">
      <c r="A1552" s="188"/>
      <c r="B1552" s="190"/>
      <c r="C1552" s="99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0"/>
      <c r="E1552" s="78" t="str">
        <f>IF(C1552="","",IFERROR(VLOOKUP(C1552,parametros!$A$11:$E$15,5,0),""))</f>
        <v/>
      </c>
      <c r="F1552" s="79" t="str">
        <f t="shared" si="122"/>
        <v/>
      </c>
      <c r="G1552" s="101"/>
      <c r="H1552" s="91">
        <f t="shared" si="123"/>
        <v>0</v>
      </c>
      <c r="I1552" s="91" t="str">
        <f t="shared" si="124"/>
        <v/>
      </c>
      <c r="J1552" s="91" t="str">
        <f t="shared" si="125"/>
        <v/>
      </c>
      <c r="K1552" s="92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2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58"/>
      <c r="U1552" s="217" t="str">
        <f t="shared" si="126"/>
        <v/>
      </c>
      <c r="V1552" s="215" t="s">
        <v>47</v>
      </c>
      <c r="W1552" s="102" t="s">
        <v>136</v>
      </c>
      <c r="X1552" s="102" t="s">
        <v>137</v>
      </c>
      <c r="Y1552" s="103" t="s">
        <v>138</v>
      </c>
      <c r="Z1552" s="103" t="s">
        <v>139</v>
      </c>
      <c r="AA1552" s="103" t="s">
        <v>47</v>
      </c>
      <c r="AB1552" s="103" t="s">
        <v>140</v>
      </c>
      <c r="AC1552" s="104" t="s">
        <v>141</v>
      </c>
    </row>
    <row r="1553" spans="1:29" ht="25.5" customHeight="1" x14ac:dyDescent="0.35">
      <c r="A1553" s="188"/>
      <c r="B1553" s="190"/>
      <c r="C1553" s="99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0"/>
      <c r="E1553" s="78" t="str">
        <f>IF(C1553="","",IFERROR(VLOOKUP(C1553,parametros!$A$11:$E$15,5,0),""))</f>
        <v/>
      </c>
      <c r="F1553" s="79" t="str">
        <f t="shared" si="122"/>
        <v/>
      </c>
      <c r="G1553" s="101"/>
      <c r="H1553" s="91">
        <f t="shared" si="123"/>
        <v>0</v>
      </c>
      <c r="I1553" s="91" t="str">
        <f t="shared" si="124"/>
        <v/>
      </c>
      <c r="J1553" s="91" t="str">
        <f t="shared" si="125"/>
        <v/>
      </c>
      <c r="K1553" s="92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2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58"/>
      <c r="U1553" s="217" t="str">
        <f t="shared" si="126"/>
        <v/>
      </c>
      <c r="V1553" s="215" t="s">
        <v>47</v>
      </c>
      <c r="W1553" s="102" t="s">
        <v>136</v>
      </c>
      <c r="X1553" s="102" t="s">
        <v>137</v>
      </c>
      <c r="Y1553" s="103" t="s">
        <v>138</v>
      </c>
      <c r="Z1553" s="103" t="s">
        <v>139</v>
      </c>
      <c r="AA1553" s="103" t="s">
        <v>47</v>
      </c>
      <c r="AB1553" s="103" t="s">
        <v>140</v>
      </c>
      <c r="AC1553" s="104" t="s">
        <v>141</v>
      </c>
    </row>
    <row r="1554" spans="1:29" ht="25.5" customHeight="1" x14ac:dyDescent="0.35">
      <c r="A1554" s="188"/>
      <c r="B1554" s="190"/>
      <c r="C1554" s="99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0"/>
      <c r="E1554" s="78" t="str">
        <f>IF(C1554="","",IFERROR(VLOOKUP(C1554,parametros!$A$11:$E$15,5,0),""))</f>
        <v/>
      </c>
      <c r="F1554" s="79" t="str">
        <f t="shared" si="122"/>
        <v/>
      </c>
      <c r="G1554" s="101"/>
      <c r="H1554" s="91">
        <f t="shared" si="123"/>
        <v>0</v>
      </c>
      <c r="I1554" s="91" t="str">
        <f t="shared" si="124"/>
        <v/>
      </c>
      <c r="J1554" s="91" t="str">
        <f t="shared" si="125"/>
        <v/>
      </c>
      <c r="K1554" s="92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2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58"/>
      <c r="U1554" s="217" t="str">
        <f t="shared" si="126"/>
        <v/>
      </c>
      <c r="V1554" s="215" t="s">
        <v>47</v>
      </c>
      <c r="W1554" s="102" t="s">
        <v>136</v>
      </c>
      <c r="X1554" s="102" t="s">
        <v>137</v>
      </c>
      <c r="Y1554" s="103" t="s">
        <v>138</v>
      </c>
      <c r="Z1554" s="103" t="s">
        <v>139</v>
      </c>
      <c r="AA1554" s="103" t="s">
        <v>47</v>
      </c>
      <c r="AB1554" s="103" t="s">
        <v>140</v>
      </c>
      <c r="AC1554" s="104" t="s">
        <v>141</v>
      </c>
    </row>
    <row r="1555" spans="1:29" ht="25.5" customHeight="1" x14ac:dyDescent="0.35">
      <c r="A1555" s="188"/>
      <c r="B1555" s="190"/>
      <c r="C1555" s="99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0"/>
      <c r="E1555" s="78" t="str">
        <f>IF(C1555="","",IFERROR(VLOOKUP(C1555,parametros!$A$11:$E$15,5,0),""))</f>
        <v/>
      </c>
      <c r="F1555" s="79" t="str">
        <f t="shared" si="122"/>
        <v/>
      </c>
      <c r="G1555" s="101"/>
      <c r="H1555" s="91">
        <f t="shared" si="123"/>
        <v>0</v>
      </c>
      <c r="I1555" s="91" t="str">
        <f t="shared" si="124"/>
        <v/>
      </c>
      <c r="J1555" s="91" t="str">
        <f t="shared" si="125"/>
        <v/>
      </c>
      <c r="K1555" s="92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2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58"/>
      <c r="U1555" s="217" t="str">
        <f t="shared" si="126"/>
        <v/>
      </c>
      <c r="V1555" s="215" t="s">
        <v>47</v>
      </c>
      <c r="W1555" s="102" t="s">
        <v>136</v>
      </c>
      <c r="X1555" s="102" t="s">
        <v>137</v>
      </c>
      <c r="Y1555" s="103" t="s">
        <v>138</v>
      </c>
      <c r="Z1555" s="103" t="s">
        <v>139</v>
      </c>
      <c r="AA1555" s="103" t="s">
        <v>47</v>
      </c>
      <c r="AB1555" s="103" t="s">
        <v>140</v>
      </c>
      <c r="AC1555" s="104" t="s">
        <v>141</v>
      </c>
    </row>
    <row r="1556" spans="1:29" ht="25.5" customHeight="1" x14ac:dyDescent="0.35">
      <c r="A1556" s="188"/>
      <c r="B1556" s="190"/>
      <c r="C1556" s="99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0"/>
      <c r="E1556" s="78" t="str">
        <f>IF(C1556="","",IFERROR(VLOOKUP(C1556,parametros!$A$11:$E$15,5,0),""))</f>
        <v/>
      </c>
      <c r="F1556" s="79" t="str">
        <f t="shared" si="122"/>
        <v/>
      </c>
      <c r="G1556" s="101"/>
      <c r="H1556" s="91">
        <f t="shared" si="123"/>
        <v>0</v>
      </c>
      <c r="I1556" s="91" t="str">
        <f t="shared" si="124"/>
        <v/>
      </c>
      <c r="J1556" s="91" t="str">
        <f t="shared" si="125"/>
        <v/>
      </c>
      <c r="K1556" s="92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2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58"/>
      <c r="U1556" s="217" t="str">
        <f t="shared" si="126"/>
        <v/>
      </c>
      <c r="V1556" s="215" t="s">
        <v>47</v>
      </c>
      <c r="W1556" s="102" t="s">
        <v>136</v>
      </c>
      <c r="X1556" s="102" t="s">
        <v>137</v>
      </c>
      <c r="Y1556" s="103" t="s">
        <v>138</v>
      </c>
      <c r="Z1556" s="103" t="s">
        <v>139</v>
      </c>
      <c r="AA1556" s="103" t="s">
        <v>47</v>
      </c>
      <c r="AB1556" s="103" t="s">
        <v>140</v>
      </c>
      <c r="AC1556" s="104" t="s">
        <v>141</v>
      </c>
    </row>
    <row r="1557" spans="1:29" ht="25.5" customHeight="1" x14ac:dyDescent="0.35">
      <c r="A1557" s="188"/>
      <c r="B1557" s="190"/>
      <c r="C1557" s="99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0"/>
      <c r="E1557" s="78" t="str">
        <f>IF(C1557="","",IFERROR(VLOOKUP(C1557,parametros!$A$11:$E$15,5,0),""))</f>
        <v/>
      </c>
      <c r="F1557" s="79" t="str">
        <f t="shared" si="122"/>
        <v/>
      </c>
      <c r="G1557" s="101"/>
      <c r="H1557" s="91">
        <f t="shared" si="123"/>
        <v>0</v>
      </c>
      <c r="I1557" s="91" t="str">
        <f t="shared" si="124"/>
        <v/>
      </c>
      <c r="J1557" s="91" t="str">
        <f t="shared" si="125"/>
        <v/>
      </c>
      <c r="K1557" s="92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2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58"/>
      <c r="U1557" s="217" t="str">
        <f t="shared" si="126"/>
        <v/>
      </c>
      <c r="V1557" s="215" t="s">
        <v>47</v>
      </c>
      <c r="W1557" s="102" t="s">
        <v>136</v>
      </c>
      <c r="X1557" s="102" t="s">
        <v>137</v>
      </c>
      <c r="Y1557" s="103" t="s">
        <v>138</v>
      </c>
      <c r="Z1557" s="103" t="s">
        <v>139</v>
      </c>
      <c r="AA1557" s="103" t="s">
        <v>47</v>
      </c>
      <c r="AB1557" s="103" t="s">
        <v>140</v>
      </c>
      <c r="AC1557" s="104" t="s">
        <v>141</v>
      </c>
    </row>
    <row r="1558" spans="1:29" ht="25.5" customHeight="1" x14ac:dyDescent="0.35">
      <c r="A1558" s="188"/>
      <c r="B1558" s="190"/>
      <c r="C1558" s="99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0"/>
      <c r="E1558" s="78" t="str">
        <f>IF(C1558="","",IFERROR(VLOOKUP(C1558,parametros!$A$11:$E$15,5,0),""))</f>
        <v/>
      </c>
      <c r="F1558" s="79" t="str">
        <f t="shared" si="122"/>
        <v/>
      </c>
      <c r="G1558" s="101"/>
      <c r="H1558" s="91">
        <f t="shared" si="123"/>
        <v>0</v>
      </c>
      <c r="I1558" s="91" t="str">
        <f t="shared" si="124"/>
        <v/>
      </c>
      <c r="J1558" s="91" t="str">
        <f t="shared" si="125"/>
        <v/>
      </c>
      <c r="K1558" s="92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2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58"/>
      <c r="U1558" s="217" t="str">
        <f t="shared" si="126"/>
        <v/>
      </c>
      <c r="V1558" s="215" t="s">
        <v>47</v>
      </c>
      <c r="W1558" s="102" t="s">
        <v>136</v>
      </c>
      <c r="X1558" s="102" t="s">
        <v>137</v>
      </c>
      <c r="Y1558" s="103" t="s">
        <v>138</v>
      </c>
      <c r="Z1558" s="103" t="s">
        <v>139</v>
      </c>
      <c r="AA1558" s="103" t="s">
        <v>47</v>
      </c>
      <c r="AB1558" s="103" t="s">
        <v>140</v>
      </c>
      <c r="AC1558" s="104" t="s">
        <v>141</v>
      </c>
    </row>
    <row r="1559" spans="1:29" ht="25.5" customHeight="1" x14ac:dyDescent="0.35">
      <c r="A1559" s="188"/>
      <c r="B1559" s="190"/>
      <c r="C1559" s="99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0"/>
      <c r="E1559" s="78" t="str">
        <f>IF(C1559="","",IFERROR(VLOOKUP(C1559,parametros!$A$11:$E$15,5,0),""))</f>
        <v/>
      </c>
      <c r="F1559" s="79" t="str">
        <f t="shared" si="122"/>
        <v/>
      </c>
      <c r="G1559" s="101"/>
      <c r="H1559" s="91">
        <f t="shared" si="123"/>
        <v>0</v>
      </c>
      <c r="I1559" s="91" t="str">
        <f t="shared" si="124"/>
        <v/>
      </c>
      <c r="J1559" s="91" t="str">
        <f t="shared" si="125"/>
        <v/>
      </c>
      <c r="K1559" s="92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2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58"/>
      <c r="U1559" s="217" t="str">
        <f t="shared" si="126"/>
        <v/>
      </c>
      <c r="V1559" s="215" t="s">
        <v>47</v>
      </c>
      <c r="W1559" s="102" t="s">
        <v>136</v>
      </c>
      <c r="X1559" s="102" t="s">
        <v>137</v>
      </c>
      <c r="Y1559" s="103" t="s">
        <v>138</v>
      </c>
      <c r="Z1559" s="103" t="s">
        <v>139</v>
      </c>
      <c r="AA1559" s="103" t="s">
        <v>47</v>
      </c>
      <c r="AB1559" s="103" t="s">
        <v>140</v>
      </c>
      <c r="AC1559" s="104" t="s">
        <v>141</v>
      </c>
    </row>
    <row r="1560" spans="1:29" ht="25.5" customHeight="1" x14ac:dyDescent="0.35">
      <c r="A1560" s="188"/>
      <c r="B1560" s="190"/>
      <c r="C1560" s="99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0"/>
      <c r="E1560" s="78" t="str">
        <f>IF(C1560="","",IFERROR(VLOOKUP(C1560,parametros!$A$11:$E$15,5,0),""))</f>
        <v/>
      </c>
      <c r="F1560" s="79" t="str">
        <f t="shared" si="122"/>
        <v/>
      </c>
      <c r="G1560" s="101"/>
      <c r="H1560" s="91">
        <f t="shared" si="123"/>
        <v>0</v>
      </c>
      <c r="I1560" s="91" t="str">
        <f t="shared" si="124"/>
        <v/>
      </c>
      <c r="J1560" s="91" t="str">
        <f t="shared" si="125"/>
        <v/>
      </c>
      <c r="K1560" s="92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2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58"/>
      <c r="U1560" s="217" t="str">
        <f t="shared" si="126"/>
        <v/>
      </c>
      <c r="V1560" s="215" t="s">
        <v>47</v>
      </c>
      <c r="W1560" s="102" t="s">
        <v>136</v>
      </c>
      <c r="X1560" s="102" t="s">
        <v>137</v>
      </c>
      <c r="Y1560" s="103" t="s">
        <v>138</v>
      </c>
      <c r="Z1560" s="103" t="s">
        <v>139</v>
      </c>
      <c r="AA1560" s="103" t="s">
        <v>47</v>
      </c>
      <c r="AB1560" s="103" t="s">
        <v>140</v>
      </c>
      <c r="AC1560" s="104" t="s">
        <v>141</v>
      </c>
    </row>
    <row r="1561" spans="1:29" ht="25.5" customHeight="1" x14ac:dyDescent="0.35">
      <c r="A1561" s="188"/>
      <c r="B1561" s="190"/>
      <c r="C1561" s="99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0"/>
      <c r="E1561" s="78" t="str">
        <f>IF(C1561="","",IFERROR(VLOOKUP(C1561,parametros!$A$11:$E$15,5,0),""))</f>
        <v/>
      </c>
      <c r="F1561" s="79" t="str">
        <f t="shared" si="122"/>
        <v/>
      </c>
      <c r="G1561" s="101"/>
      <c r="H1561" s="91">
        <f t="shared" si="123"/>
        <v>0</v>
      </c>
      <c r="I1561" s="91" t="str">
        <f t="shared" si="124"/>
        <v/>
      </c>
      <c r="J1561" s="91" t="str">
        <f t="shared" si="125"/>
        <v/>
      </c>
      <c r="K1561" s="92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2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58"/>
      <c r="U1561" s="217" t="str">
        <f t="shared" si="126"/>
        <v/>
      </c>
      <c r="V1561" s="215" t="s">
        <v>47</v>
      </c>
      <c r="W1561" s="102" t="s">
        <v>136</v>
      </c>
      <c r="X1561" s="102" t="s">
        <v>137</v>
      </c>
      <c r="Y1561" s="103" t="s">
        <v>138</v>
      </c>
      <c r="Z1561" s="103" t="s">
        <v>139</v>
      </c>
      <c r="AA1561" s="103" t="s">
        <v>47</v>
      </c>
      <c r="AB1561" s="103" t="s">
        <v>140</v>
      </c>
      <c r="AC1561" s="104" t="s">
        <v>141</v>
      </c>
    </row>
    <row r="1562" spans="1:29" ht="25.5" customHeight="1" x14ac:dyDescent="0.35">
      <c r="A1562" s="188"/>
      <c r="B1562" s="190"/>
      <c r="C1562" s="99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0"/>
      <c r="E1562" s="78" t="str">
        <f>IF(C1562="","",IFERROR(VLOOKUP(C1562,parametros!$A$11:$E$15,5,0),""))</f>
        <v/>
      </c>
      <c r="F1562" s="79" t="str">
        <f t="shared" si="122"/>
        <v/>
      </c>
      <c r="G1562" s="101"/>
      <c r="H1562" s="91">
        <f t="shared" si="123"/>
        <v>0</v>
      </c>
      <c r="I1562" s="91" t="str">
        <f t="shared" si="124"/>
        <v/>
      </c>
      <c r="J1562" s="91" t="str">
        <f t="shared" si="125"/>
        <v/>
      </c>
      <c r="K1562" s="92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2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58"/>
      <c r="U1562" s="217" t="str">
        <f t="shared" si="126"/>
        <v/>
      </c>
      <c r="V1562" s="215" t="s">
        <v>47</v>
      </c>
      <c r="W1562" s="102" t="s">
        <v>136</v>
      </c>
      <c r="X1562" s="102" t="s">
        <v>137</v>
      </c>
      <c r="Y1562" s="103" t="s">
        <v>138</v>
      </c>
      <c r="Z1562" s="103" t="s">
        <v>139</v>
      </c>
      <c r="AA1562" s="103" t="s">
        <v>47</v>
      </c>
      <c r="AB1562" s="103" t="s">
        <v>140</v>
      </c>
      <c r="AC1562" s="104" t="s">
        <v>141</v>
      </c>
    </row>
    <row r="1563" spans="1:29" ht="25.5" customHeight="1" x14ac:dyDescent="0.35">
      <c r="A1563" s="188"/>
      <c r="B1563" s="190"/>
      <c r="C1563" s="99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0"/>
      <c r="E1563" s="78" t="str">
        <f>IF(C1563="","",IFERROR(VLOOKUP(C1563,parametros!$A$11:$E$15,5,0),""))</f>
        <v/>
      </c>
      <c r="F1563" s="79" t="str">
        <f t="shared" si="122"/>
        <v/>
      </c>
      <c r="G1563" s="101"/>
      <c r="H1563" s="91">
        <f t="shared" si="123"/>
        <v>0</v>
      </c>
      <c r="I1563" s="91" t="str">
        <f t="shared" si="124"/>
        <v/>
      </c>
      <c r="J1563" s="91" t="str">
        <f t="shared" si="125"/>
        <v/>
      </c>
      <c r="K1563" s="92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2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58"/>
      <c r="U1563" s="217" t="str">
        <f t="shared" si="126"/>
        <v/>
      </c>
      <c r="V1563" s="215" t="s">
        <v>47</v>
      </c>
      <c r="W1563" s="102" t="s">
        <v>136</v>
      </c>
      <c r="X1563" s="102" t="s">
        <v>137</v>
      </c>
      <c r="Y1563" s="103" t="s">
        <v>138</v>
      </c>
      <c r="Z1563" s="103" t="s">
        <v>139</v>
      </c>
      <c r="AA1563" s="103" t="s">
        <v>47</v>
      </c>
      <c r="AB1563" s="103" t="s">
        <v>140</v>
      </c>
      <c r="AC1563" s="104" t="s">
        <v>141</v>
      </c>
    </row>
    <row r="1564" spans="1:29" ht="25.5" customHeight="1" x14ac:dyDescent="0.35">
      <c r="A1564" s="188"/>
      <c r="B1564" s="190"/>
      <c r="C1564" s="99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0"/>
      <c r="E1564" s="78" t="str">
        <f>IF(C1564="","",IFERROR(VLOOKUP(C1564,parametros!$A$11:$E$15,5,0),""))</f>
        <v/>
      </c>
      <c r="F1564" s="79" t="str">
        <f t="shared" si="122"/>
        <v/>
      </c>
      <c r="G1564" s="101"/>
      <c r="H1564" s="91">
        <f t="shared" si="123"/>
        <v>0</v>
      </c>
      <c r="I1564" s="91" t="str">
        <f t="shared" si="124"/>
        <v/>
      </c>
      <c r="J1564" s="91" t="str">
        <f t="shared" si="125"/>
        <v/>
      </c>
      <c r="K1564" s="92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2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58"/>
      <c r="U1564" s="217" t="str">
        <f t="shared" si="126"/>
        <v/>
      </c>
      <c r="V1564" s="215" t="s">
        <v>47</v>
      </c>
      <c r="W1564" s="102" t="s">
        <v>136</v>
      </c>
      <c r="X1564" s="102" t="s">
        <v>137</v>
      </c>
      <c r="Y1564" s="103" t="s">
        <v>138</v>
      </c>
      <c r="Z1564" s="103" t="s">
        <v>139</v>
      </c>
      <c r="AA1564" s="103" t="s">
        <v>47</v>
      </c>
      <c r="AB1564" s="103" t="s">
        <v>140</v>
      </c>
      <c r="AC1564" s="104" t="s">
        <v>141</v>
      </c>
    </row>
    <row r="1565" spans="1:29" ht="25.5" customHeight="1" x14ac:dyDescent="0.35">
      <c r="A1565" s="188"/>
      <c r="B1565" s="190"/>
      <c r="C1565" s="99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0"/>
      <c r="E1565" s="78" t="str">
        <f>IF(C1565="","",IFERROR(VLOOKUP(C1565,parametros!$A$11:$E$15,5,0),""))</f>
        <v/>
      </c>
      <c r="F1565" s="79" t="str">
        <f t="shared" si="122"/>
        <v/>
      </c>
      <c r="G1565" s="101"/>
      <c r="H1565" s="91">
        <f t="shared" si="123"/>
        <v>0</v>
      </c>
      <c r="I1565" s="91" t="str">
        <f t="shared" si="124"/>
        <v/>
      </c>
      <c r="J1565" s="91" t="str">
        <f t="shared" si="125"/>
        <v/>
      </c>
      <c r="K1565" s="92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2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58"/>
      <c r="U1565" s="217" t="str">
        <f t="shared" si="126"/>
        <v/>
      </c>
      <c r="V1565" s="215" t="s">
        <v>47</v>
      </c>
      <c r="W1565" s="102" t="s">
        <v>136</v>
      </c>
      <c r="X1565" s="102" t="s">
        <v>137</v>
      </c>
      <c r="Y1565" s="103" t="s">
        <v>138</v>
      </c>
      <c r="Z1565" s="103" t="s">
        <v>139</v>
      </c>
      <c r="AA1565" s="103" t="s">
        <v>47</v>
      </c>
      <c r="AB1565" s="103" t="s">
        <v>140</v>
      </c>
      <c r="AC1565" s="104" t="s">
        <v>141</v>
      </c>
    </row>
    <row r="1566" spans="1:29" ht="25.5" customHeight="1" x14ac:dyDescent="0.35">
      <c r="A1566" s="188"/>
      <c r="B1566" s="190"/>
      <c r="C1566" s="99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0"/>
      <c r="E1566" s="78" t="str">
        <f>IF(C1566="","",IFERROR(VLOOKUP(C1566,parametros!$A$11:$E$15,5,0),""))</f>
        <v/>
      </c>
      <c r="F1566" s="79" t="str">
        <f t="shared" si="122"/>
        <v/>
      </c>
      <c r="G1566" s="101"/>
      <c r="H1566" s="91">
        <f t="shared" si="123"/>
        <v>0</v>
      </c>
      <c r="I1566" s="91" t="str">
        <f t="shared" si="124"/>
        <v/>
      </c>
      <c r="J1566" s="91" t="str">
        <f t="shared" si="125"/>
        <v/>
      </c>
      <c r="K1566" s="92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2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58"/>
      <c r="U1566" s="217" t="str">
        <f t="shared" si="126"/>
        <v/>
      </c>
      <c r="V1566" s="215" t="s">
        <v>47</v>
      </c>
      <c r="W1566" s="102" t="s">
        <v>136</v>
      </c>
      <c r="X1566" s="102" t="s">
        <v>137</v>
      </c>
      <c r="Y1566" s="103" t="s">
        <v>138</v>
      </c>
      <c r="Z1566" s="103" t="s">
        <v>139</v>
      </c>
      <c r="AA1566" s="103" t="s">
        <v>47</v>
      </c>
      <c r="AB1566" s="103" t="s">
        <v>140</v>
      </c>
      <c r="AC1566" s="104" t="s">
        <v>141</v>
      </c>
    </row>
    <row r="1567" spans="1:29" ht="25.5" customHeight="1" x14ac:dyDescent="0.35">
      <c r="A1567" s="188"/>
      <c r="B1567" s="190"/>
      <c r="C1567" s="99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0"/>
      <c r="E1567" s="78" t="str">
        <f>IF(C1567="","",IFERROR(VLOOKUP(C1567,parametros!$A$11:$E$15,5,0),""))</f>
        <v/>
      </c>
      <c r="F1567" s="79" t="str">
        <f t="shared" si="122"/>
        <v/>
      </c>
      <c r="G1567" s="101"/>
      <c r="H1567" s="91">
        <f t="shared" si="123"/>
        <v>0</v>
      </c>
      <c r="I1567" s="91" t="str">
        <f t="shared" si="124"/>
        <v/>
      </c>
      <c r="J1567" s="91" t="str">
        <f t="shared" si="125"/>
        <v/>
      </c>
      <c r="K1567" s="92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2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58"/>
      <c r="U1567" s="217" t="str">
        <f t="shared" si="126"/>
        <v/>
      </c>
      <c r="V1567" s="215" t="s">
        <v>47</v>
      </c>
      <c r="W1567" s="102" t="s">
        <v>136</v>
      </c>
      <c r="X1567" s="102" t="s">
        <v>137</v>
      </c>
      <c r="Y1567" s="103" t="s">
        <v>138</v>
      </c>
      <c r="Z1567" s="103" t="s">
        <v>139</v>
      </c>
      <c r="AA1567" s="103" t="s">
        <v>47</v>
      </c>
      <c r="AB1567" s="103" t="s">
        <v>140</v>
      </c>
      <c r="AC1567" s="104" t="s">
        <v>141</v>
      </c>
    </row>
    <row r="1568" spans="1:29" ht="25.5" customHeight="1" x14ac:dyDescent="0.35">
      <c r="A1568" s="188"/>
      <c r="B1568" s="190"/>
      <c r="C1568" s="99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0"/>
      <c r="E1568" s="78" t="str">
        <f>IF(C1568="","",IFERROR(VLOOKUP(C1568,parametros!$A$11:$E$15,5,0),""))</f>
        <v/>
      </c>
      <c r="F1568" s="79" t="str">
        <f t="shared" si="122"/>
        <v/>
      </c>
      <c r="G1568" s="101"/>
      <c r="H1568" s="91">
        <f t="shared" si="123"/>
        <v>0</v>
      </c>
      <c r="I1568" s="91" t="str">
        <f t="shared" si="124"/>
        <v/>
      </c>
      <c r="J1568" s="91" t="str">
        <f t="shared" si="125"/>
        <v/>
      </c>
      <c r="K1568" s="92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2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58"/>
      <c r="U1568" s="217" t="str">
        <f t="shared" si="126"/>
        <v/>
      </c>
      <c r="V1568" s="215" t="s">
        <v>47</v>
      </c>
      <c r="W1568" s="102" t="s">
        <v>136</v>
      </c>
      <c r="X1568" s="102" t="s">
        <v>137</v>
      </c>
      <c r="Y1568" s="103" t="s">
        <v>138</v>
      </c>
      <c r="Z1568" s="103" t="s">
        <v>139</v>
      </c>
      <c r="AA1568" s="103" t="s">
        <v>47</v>
      </c>
      <c r="AB1568" s="103" t="s">
        <v>140</v>
      </c>
      <c r="AC1568" s="104" t="s">
        <v>141</v>
      </c>
    </row>
    <row r="1569" spans="1:29" ht="25.5" customHeight="1" x14ac:dyDescent="0.35">
      <c r="A1569" s="188"/>
      <c r="B1569" s="190"/>
      <c r="C1569" s="99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0"/>
      <c r="E1569" s="78" t="str">
        <f>IF(C1569="","",IFERROR(VLOOKUP(C1569,parametros!$A$11:$E$15,5,0),""))</f>
        <v/>
      </c>
      <c r="F1569" s="79" t="str">
        <f t="shared" si="122"/>
        <v/>
      </c>
      <c r="G1569" s="101"/>
      <c r="H1569" s="91">
        <f t="shared" si="123"/>
        <v>0</v>
      </c>
      <c r="I1569" s="91" t="str">
        <f t="shared" si="124"/>
        <v/>
      </c>
      <c r="J1569" s="91" t="str">
        <f t="shared" si="125"/>
        <v/>
      </c>
      <c r="K1569" s="92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2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58"/>
      <c r="U1569" s="217" t="str">
        <f t="shared" si="126"/>
        <v/>
      </c>
      <c r="V1569" s="215" t="s">
        <v>47</v>
      </c>
      <c r="W1569" s="102" t="s">
        <v>136</v>
      </c>
      <c r="X1569" s="102" t="s">
        <v>137</v>
      </c>
      <c r="Y1569" s="103" t="s">
        <v>138</v>
      </c>
      <c r="Z1569" s="103" t="s">
        <v>139</v>
      </c>
      <c r="AA1569" s="103" t="s">
        <v>47</v>
      </c>
      <c r="AB1569" s="103" t="s">
        <v>140</v>
      </c>
      <c r="AC1569" s="104" t="s">
        <v>141</v>
      </c>
    </row>
    <row r="1570" spans="1:29" ht="25.5" customHeight="1" x14ac:dyDescent="0.35">
      <c r="A1570" s="188"/>
      <c r="B1570" s="190"/>
      <c r="C1570" s="99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0"/>
      <c r="E1570" s="78" t="str">
        <f>IF(C1570="","",IFERROR(VLOOKUP(C1570,parametros!$A$11:$E$15,5,0),""))</f>
        <v/>
      </c>
      <c r="F1570" s="79" t="str">
        <f t="shared" si="122"/>
        <v/>
      </c>
      <c r="G1570" s="101"/>
      <c r="H1570" s="91">
        <f t="shared" si="123"/>
        <v>0</v>
      </c>
      <c r="I1570" s="91" t="str">
        <f t="shared" si="124"/>
        <v/>
      </c>
      <c r="J1570" s="91" t="str">
        <f t="shared" si="125"/>
        <v/>
      </c>
      <c r="K1570" s="92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2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58"/>
      <c r="U1570" s="217" t="str">
        <f t="shared" si="126"/>
        <v/>
      </c>
      <c r="V1570" s="215" t="s">
        <v>47</v>
      </c>
      <c r="W1570" s="102" t="s">
        <v>136</v>
      </c>
      <c r="X1570" s="102" t="s">
        <v>137</v>
      </c>
      <c r="Y1570" s="103" t="s">
        <v>138</v>
      </c>
      <c r="Z1570" s="103" t="s">
        <v>139</v>
      </c>
      <c r="AA1570" s="103" t="s">
        <v>47</v>
      </c>
      <c r="AB1570" s="103" t="s">
        <v>140</v>
      </c>
      <c r="AC1570" s="104" t="s">
        <v>141</v>
      </c>
    </row>
    <row r="1571" spans="1:29" ht="25.5" customHeight="1" x14ac:dyDescent="0.35">
      <c r="A1571" s="188"/>
      <c r="B1571" s="190"/>
      <c r="C1571" s="99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0"/>
      <c r="E1571" s="78" t="str">
        <f>IF(C1571="","",IFERROR(VLOOKUP(C1571,parametros!$A$11:$E$15,5,0),""))</f>
        <v/>
      </c>
      <c r="F1571" s="79" t="str">
        <f t="shared" si="122"/>
        <v/>
      </c>
      <c r="G1571" s="101"/>
      <c r="H1571" s="91">
        <f t="shared" si="123"/>
        <v>0</v>
      </c>
      <c r="I1571" s="91" t="str">
        <f t="shared" si="124"/>
        <v/>
      </c>
      <c r="J1571" s="91" t="str">
        <f t="shared" si="125"/>
        <v/>
      </c>
      <c r="K1571" s="92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2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58"/>
      <c r="U1571" s="217" t="str">
        <f t="shared" si="126"/>
        <v/>
      </c>
      <c r="V1571" s="215" t="s">
        <v>47</v>
      </c>
      <c r="W1571" s="102" t="s">
        <v>136</v>
      </c>
      <c r="X1571" s="102" t="s">
        <v>137</v>
      </c>
      <c r="Y1571" s="103" t="s">
        <v>138</v>
      </c>
      <c r="Z1571" s="103" t="s">
        <v>139</v>
      </c>
      <c r="AA1571" s="103" t="s">
        <v>47</v>
      </c>
      <c r="AB1571" s="103" t="s">
        <v>140</v>
      </c>
      <c r="AC1571" s="104" t="s">
        <v>141</v>
      </c>
    </row>
    <row r="1572" spans="1:29" ht="25.5" customHeight="1" x14ac:dyDescent="0.35">
      <c r="A1572" s="188"/>
      <c r="B1572" s="190"/>
      <c r="C1572" s="99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0"/>
      <c r="E1572" s="78" t="str">
        <f>IF(C1572="","",IFERROR(VLOOKUP(C1572,parametros!$A$11:$E$15,5,0),""))</f>
        <v/>
      </c>
      <c r="F1572" s="79" t="str">
        <f t="shared" si="122"/>
        <v/>
      </c>
      <c r="G1572" s="101"/>
      <c r="H1572" s="91">
        <f t="shared" si="123"/>
        <v>0</v>
      </c>
      <c r="I1572" s="91" t="str">
        <f t="shared" si="124"/>
        <v/>
      </c>
      <c r="J1572" s="91" t="str">
        <f t="shared" si="125"/>
        <v/>
      </c>
      <c r="K1572" s="92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2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58"/>
      <c r="U1572" s="217" t="str">
        <f t="shared" si="126"/>
        <v/>
      </c>
      <c r="V1572" s="215" t="s">
        <v>47</v>
      </c>
      <c r="W1572" s="102" t="s">
        <v>136</v>
      </c>
      <c r="X1572" s="102" t="s">
        <v>137</v>
      </c>
      <c r="Y1572" s="103" t="s">
        <v>138</v>
      </c>
      <c r="Z1572" s="103" t="s">
        <v>139</v>
      </c>
      <c r="AA1572" s="103" t="s">
        <v>47</v>
      </c>
      <c r="AB1572" s="103" t="s">
        <v>140</v>
      </c>
      <c r="AC1572" s="104" t="s">
        <v>141</v>
      </c>
    </row>
    <row r="1573" spans="1:29" ht="25.5" customHeight="1" x14ac:dyDescent="0.35">
      <c r="A1573" s="188"/>
      <c r="B1573" s="190"/>
      <c r="C1573" s="99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0"/>
      <c r="E1573" s="78" t="str">
        <f>IF(C1573="","",IFERROR(VLOOKUP(C1573,parametros!$A$11:$E$15,5,0),""))</f>
        <v/>
      </c>
      <c r="F1573" s="79" t="str">
        <f t="shared" si="122"/>
        <v/>
      </c>
      <c r="G1573" s="101"/>
      <c r="H1573" s="91">
        <f t="shared" si="123"/>
        <v>0</v>
      </c>
      <c r="I1573" s="91" t="str">
        <f t="shared" si="124"/>
        <v/>
      </c>
      <c r="J1573" s="91" t="str">
        <f t="shared" si="125"/>
        <v/>
      </c>
      <c r="K1573" s="92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2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58"/>
      <c r="U1573" s="217" t="str">
        <f t="shared" si="126"/>
        <v/>
      </c>
      <c r="V1573" s="215" t="s">
        <v>47</v>
      </c>
      <c r="W1573" s="102" t="s">
        <v>136</v>
      </c>
      <c r="X1573" s="102" t="s">
        <v>137</v>
      </c>
      <c r="Y1573" s="103" t="s">
        <v>138</v>
      </c>
      <c r="Z1573" s="103" t="s">
        <v>139</v>
      </c>
      <c r="AA1573" s="103" t="s">
        <v>47</v>
      </c>
      <c r="AB1573" s="103" t="s">
        <v>140</v>
      </c>
      <c r="AC1573" s="104" t="s">
        <v>141</v>
      </c>
    </row>
    <row r="1574" spans="1:29" ht="25.5" customHeight="1" x14ac:dyDescent="0.35">
      <c r="A1574" s="188"/>
      <c r="B1574" s="190"/>
      <c r="C1574" s="99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0"/>
      <c r="E1574" s="78" t="str">
        <f>IF(C1574="","",IFERROR(VLOOKUP(C1574,parametros!$A$11:$E$15,5,0),""))</f>
        <v/>
      </c>
      <c r="F1574" s="79" t="str">
        <f t="shared" si="122"/>
        <v/>
      </c>
      <c r="G1574" s="101"/>
      <c r="H1574" s="91">
        <f t="shared" si="123"/>
        <v>0</v>
      </c>
      <c r="I1574" s="91" t="str">
        <f t="shared" si="124"/>
        <v/>
      </c>
      <c r="J1574" s="91" t="str">
        <f t="shared" si="125"/>
        <v/>
      </c>
      <c r="K1574" s="92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2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58"/>
      <c r="U1574" s="217" t="str">
        <f t="shared" si="126"/>
        <v/>
      </c>
      <c r="V1574" s="215" t="s">
        <v>47</v>
      </c>
      <c r="W1574" s="102" t="s">
        <v>136</v>
      </c>
      <c r="X1574" s="102" t="s">
        <v>137</v>
      </c>
      <c r="Y1574" s="103" t="s">
        <v>138</v>
      </c>
      <c r="Z1574" s="103" t="s">
        <v>139</v>
      </c>
      <c r="AA1574" s="103" t="s">
        <v>47</v>
      </c>
      <c r="AB1574" s="103" t="s">
        <v>140</v>
      </c>
      <c r="AC1574" s="104" t="s">
        <v>141</v>
      </c>
    </row>
    <row r="1575" spans="1:29" ht="25.5" customHeight="1" x14ac:dyDescent="0.35">
      <c r="A1575" s="188"/>
      <c r="B1575" s="190"/>
      <c r="C1575" s="99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0"/>
      <c r="E1575" s="78" t="str">
        <f>IF(C1575="","",IFERROR(VLOOKUP(C1575,parametros!$A$11:$E$15,5,0),""))</f>
        <v/>
      </c>
      <c r="F1575" s="79" t="str">
        <f t="shared" si="122"/>
        <v/>
      </c>
      <c r="G1575" s="101"/>
      <c r="H1575" s="91">
        <f t="shared" si="123"/>
        <v>0</v>
      </c>
      <c r="I1575" s="91" t="str">
        <f t="shared" si="124"/>
        <v/>
      </c>
      <c r="J1575" s="91" t="str">
        <f t="shared" si="125"/>
        <v/>
      </c>
      <c r="K1575" s="92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2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58"/>
      <c r="U1575" s="217" t="str">
        <f t="shared" si="126"/>
        <v/>
      </c>
      <c r="V1575" s="215" t="s">
        <v>47</v>
      </c>
      <c r="W1575" s="102" t="s">
        <v>136</v>
      </c>
      <c r="X1575" s="102" t="s">
        <v>137</v>
      </c>
      <c r="Y1575" s="103" t="s">
        <v>138</v>
      </c>
      <c r="Z1575" s="103" t="s">
        <v>139</v>
      </c>
      <c r="AA1575" s="103" t="s">
        <v>47</v>
      </c>
      <c r="AB1575" s="103" t="s">
        <v>140</v>
      </c>
      <c r="AC1575" s="104" t="s">
        <v>141</v>
      </c>
    </row>
    <row r="1576" spans="1:29" ht="25.5" customHeight="1" x14ac:dyDescent="0.35">
      <c r="A1576" s="188"/>
      <c r="B1576" s="190"/>
      <c r="C1576" s="99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0"/>
      <c r="E1576" s="78" t="str">
        <f>IF(C1576="","",IFERROR(VLOOKUP(C1576,parametros!$A$11:$E$15,5,0),""))</f>
        <v/>
      </c>
      <c r="F1576" s="79" t="str">
        <f t="shared" si="122"/>
        <v/>
      </c>
      <c r="G1576" s="101"/>
      <c r="H1576" s="91">
        <f t="shared" si="123"/>
        <v>0</v>
      </c>
      <c r="I1576" s="91" t="str">
        <f t="shared" si="124"/>
        <v/>
      </c>
      <c r="J1576" s="91" t="str">
        <f t="shared" si="125"/>
        <v/>
      </c>
      <c r="K1576" s="92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2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58"/>
      <c r="U1576" s="217" t="str">
        <f t="shared" si="126"/>
        <v/>
      </c>
      <c r="V1576" s="215" t="s">
        <v>47</v>
      </c>
      <c r="W1576" s="102" t="s">
        <v>136</v>
      </c>
      <c r="X1576" s="102" t="s">
        <v>137</v>
      </c>
      <c r="Y1576" s="103" t="s">
        <v>138</v>
      </c>
      <c r="Z1576" s="103" t="s">
        <v>139</v>
      </c>
      <c r="AA1576" s="103" t="s">
        <v>47</v>
      </c>
      <c r="AB1576" s="103" t="s">
        <v>140</v>
      </c>
      <c r="AC1576" s="104" t="s">
        <v>141</v>
      </c>
    </row>
    <row r="1577" spans="1:29" ht="25.5" customHeight="1" x14ac:dyDescent="0.35">
      <c r="A1577" s="188"/>
      <c r="B1577" s="190"/>
      <c r="C1577" s="99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0"/>
      <c r="E1577" s="78" t="str">
        <f>IF(C1577="","",IFERROR(VLOOKUP(C1577,parametros!$A$11:$E$15,5,0),""))</f>
        <v/>
      </c>
      <c r="F1577" s="79" t="str">
        <f t="shared" si="122"/>
        <v/>
      </c>
      <c r="G1577" s="101"/>
      <c r="H1577" s="91">
        <f t="shared" si="123"/>
        <v>0</v>
      </c>
      <c r="I1577" s="91" t="str">
        <f t="shared" si="124"/>
        <v/>
      </c>
      <c r="J1577" s="91" t="str">
        <f t="shared" si="125"/>
        <v/>
      </c>
      <c r="K1577" s="92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2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58"/>
      <c r="U1577" s="217" t="str">
        <f t="shared" si="126"/>
        <v/>
      </c>
      <c r="V1577" s="215" t="s">
        <v>47</v>
      </c>
      <c r="W1577" s="102" t="s">
        <v>136</v>
      </c>
      <c r="X1577" s="102" t="s">
        <v>137</v>
      </c>
      <c r="Y1577" s="103" t="s">
        <v>138</v>
      </c>
      <c r="Z1577" s="103" t="s">
        <v>139</v>
      </c>
      <c r="AA1577" s="103" t="s">
        <v>47</v>
      </c>
      <c r="AB1577" s="103" t="s">
        <v>140</v>
      </c>
      <c r="AC1577" s="104" t="s">
        <v>141</v>
      </c>
    </row>
    <row r="1578" spans="1:29" ht="25.5" customHeight="1" x14ac:dyDescent="0.35">
      <c r="A1578" s="188"/>
      <c r="B1578" s="190"/>
      <c r="C1578" s="99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0"/>
      <c r="E1578" s="78" t="str">
        <f>IF(C1578="","",IFERROR(VLOOKUP(C1578,parametros!$A$11:$E$15,5,0),""))</f>
        <v/>
      </c>
      <c r="F1578" s="79" t="str">
        <f t="shared" si="122"/>
        <v/>
      </c>
      <c r="G1578" s="101"/>
      <c r="H1578" s="91">
        <f t="shared" si="123"/>
        <v>0</v>
      </c>
      <c r="I1578" s="91" t="str">
        <f t="shared" si="124"/>
        <v/>
      </c>
      <c r="J1578" s="91" t="str">
        <f t="shared" si="125"/>
        <v/>
      </c>
      <c r="K1578" s="92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2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58"/>
      <c r="U1578" s="217" t="str">
        <f t="shared" si="126"/>
        <v/>
      </c>
      <c r="V1578" s="215" t="s">
        <v>47</v>
      </c>
      <c r="W1578" s="102" t="s">
        <v>136</v>
      </c>
      <c r="X1578" s="102" t="s">
        <v>137</v>
      </c>
      <c r="Y1578" s="103" t="s">
        <v>138</v>
      </c>
      <c r="Z1578" s="103" t="s">
        <v>139</v>
      </c>
      <c r="AA1578" s="103" t="s">
        <v>47</v>
      </c>
      <c r="AB1578" s="103" t="s">
        <v>140</v>
      </c>
      <c r="AC1578" s="104" t="s">
        <v>141</v>
      </c>
    </row>
    <row r="1579" spans="1:29" ht="25.5" customHeight="1" x14ac:dyDescent="0.35">
      <c r="A1579" s="188"/>
      <c r="B1579" s="190"/>
      <c r="C1579" s="99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0"/>
      <c r="E1579" s="78" t="str">
        <f>IF(C1579="","",IFERROR(VLOOKUP(C1579,parametros!$A$11:$E$15,5,0),""))</f>
        <v/>
      </c>
      <c r="F1579" s="79" t="str">
        <f t="shared" si="122"/>
        <v/>
      </c>
      <c r="G1579" s="101"/>
      <c r="H1579" s="91">
        <f t="shared" si="123"/>
        <v>0</v>
      </c>
      <c r="I1579" s="91" t="str">
        <f t="shared" si="124"/>
        <v/>
      </c>
      <c r="J1579" s="91" t="str">
        <f t="shared" si="125"/>
        <v/>
      </c>
      <c r="K1579" s="92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2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58"/>
      <c r="U1579" s="217" t="str">
        <f t="shared" si="126"/>
        <v/>
      </c>
      <c r="V1579" s="215" t="s">
        <v>47</v>
      </c>
      <c r="W1579" s="102" t="s">
        <v>136</v>
      </c>
      <c r="X1579" s="102" t="s">
        <v>137</v>
      </c>
      <c r="Y1579" s="103" t="s">
        <v>138</v>
      </c>
      <c r="Z1579" s="103" t="s">
        <v>139</v>
      </c>
      <c r="AA1579" s="103" t="s">
        <v>47</v>
      </c>
      <c r="AB1579" s="103" t="s">
        <v>140</v>
      </c>
      <c r="AC1579" s="104" t="s">
        <v>141</v>
      </c>
    </row>
    <row r="1580" spans="1:29" ht="25.5" customHeight="1" x14ac:dyDescent="0.35">
      <c r="A1580" s="188"/>
      <c r="B1580" s="190"/>
      <c r="C1580" s="99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0"/>
      <c r="E1580" s="78" t="str">
        <f>IF(C1580="","",IFERROR(VLOOKUP(C1580,parametros!$A$11:$E$15,5,0),""))</f>
        <v/>
      </c>
      <c r="F1580" s="79" t="str">
        <f t="shared" si="122"/>
        <v/>
      </c>
      <c r="G1580" s="101"/>
      <c r="H1580" s="91">
        <f t="shared" si="123"/>
        <v>0</v>
      </c>
      <c r="I1580" s="91" t="str">
        <f t="shared" si="124"/>
        <v/>
      </c>
      <c r="J1580" s="91" t="str">
        <f t="shared" si="125"/>
        <v/>
      </c>
      <c r="K1580" s="92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2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58"/>
      <c r="U1580" s="217" t="str">
        <f t="shared" si="126"/>
        <v/>
      </c>
      <c r="V1580" s="215" t="s">
        <v>47</v>
      </c>
      <c r="W1580" s="102" t="s">
        <v>136</v>
      </c>
      <c r="X1580" s="102" t="s">
        <v>137</v>
      </c>
      <c r="Y1580" s="103" t="s">
        <v>138</v>
      </c>
      <c r="Z1580" s="103" t="s">
        <v>139</v>
      </c>
      <c r="AA1580" s="103" t="s">
        <v>47</v>
      </c>
      <c r="AB1580" s="103" t="s">
        <v>140</v>
      </c>
      <c r="AC1580" s="104" t="s">
        <v>141</v>
      </c>
    </row>
    <row r="1581" spans="1:29" ht="25.5" customHeight="1" x14ac:dyDescent="0.35">
      <c r="A1581" s="188"/>
      <c r="B1581" s="190"/>
      <c r="C1581" s="99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0"/>
      <c r="E1581" s="78" t="str">
        <f>IF(C1581="","",IFERROR(VLOOKUP(C1581,parametros!$A$11:$E$15,5,0),""))</f>
        <v/>
      </c>
      <c r="F1581" s="79" t="str">
        <f t="shared" si="122"/>
        <v/>
      </c>
      <c r="G1581" s="101"/>
      <c r="H1581" s="91">
        <f t="shared" si="123"/>
        <v>0</v>
      </c>
      <c r="I1581" s="91" t="str">
        <f t="shared" si="124"/>
        <v/>
      </c>
      <c r="J1581" s="91" t="str">
        <f t="shared" si="125"/>
        <v/>
      </c>
      <c r="K1581" s="92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2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58"/>
      <c r="U1581" s="217" t="str">
        <f t="shared" si="126"/>
        <v/>
      </c>
      <c r="V1581" s="215" t="s">
        <v>47</v>
      </c>
      <c r="W1581" s="102" t="s">
        <v>136</v>
      </c>
      <c r="X1581" s="102" t="s">
        <v>137</v>
      </c>
      <c r="Y1581" s="103" t="s">
        <v>138</v>
      </c>
      <c r="Z1581" s="103" t="s">
        <v>139</v>
      </c>
      <c r="AA1581" s="103" t="s">
        <v>47</v>
      </c>
      <c r="AB1581" s="103" t="s">
        <v>140</v>
      </c>
      <c r="AC1581" s="104" t="s">
        <v>141</v>
      </c>
    </row>
    <row r="1582" spans="1:29" ht="25.5" customHeight="1" x14ac:dyDescent="0.35">
      <c r="A1582" s="188"/>
      <c r="B1582" s="190"/>
      <c r="C1582" s="99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0"/>
      <c r="E1582" s="78" t="str">
        <f>IF(C1582="","",IFERROR(VLOOKUP(C1582,parametros!$A$11:$E$15,5,0),""))</f>
        <v/>
      </c>
      <c r="F1582" s="79" t="str">
        <f t="shared" si="122"/>
        <v/>
      </c>
      <c r="G1582" s="101"/>
      <c r="H1582" s="91">
        <f t="shared" si="123"/>
        <v>0</v>
      </c>
      <c r="I1582" s="91" t="str">
        <f t="shared" si="124"/>
        <v/>
      </c>
      <c r="J1582" s="91" t="str">
        <f t="shared" si="125"/>
        <v/>
      </c>
      <c r="K1582" s="92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2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58"/>
      <c r="U1582" s="217" t="str">
        <f t="shared" si="126"/>
        <v/>
      </c>
      <c r="V1582" s="215" t="s">
        <v>47</v>
      </c>
      <c r="W1582" s="102" t="s">
        <v>136</v>
      </c>
      <c r="X1582" s="102" t="s">
        <v>137</v>
      </c>
      <c r="Y1582" s="103" t="s">
        <v>138</v>
      </c>
      <c r="Z1582" s="103" t="s">
        <v>139</v>
      </c>
      <c r="AA1582" s="103" t="s">
        <v>47</v>
      </c>
      <c r="AB1582" s="103" t="s">
        <v>140</v>
      </c>
      <c r="AC1582" s="104" t="s">
        <v>141</v>
      </c>
    </row>
    <row r="1583" spans="1:29" ht="25.5" customHeight="1" x14ac:dyDescent="0.35">
      <c r="A1583" s="188"/>
      <c r="B1583" s="190"/>
      <c r="C1583" s="99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0"/>
      <c r="E1583" s="78" t="str">
        <f>IF(C1583="","",IFERROR(VLOOKUP(C1583,parametros!$A$11:$E$15,5,0),""))</f>
        <v/>
      </c>
      <c r="F1583" s="79" t="str">
        <f t="shared" si="122"/>
        <v/>
      </c>
      <c r="G1583" s="101"/>
      <c r="H1583" s="91">
        <f t="shared" si="123"/>
        <v>0</v>
      </c>
      <c r="I1583" s="91" t="str">
        <f t="shared" si="124"/>
        <v/>
      </c>
      <c r="J1583" s="91" t="str">
        <f t="shared" si="125"/>
        <v/>
      </c>
      <c r="K1583" s="92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2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58"/>
      <c r="U1583" s="217" t="str">
        <f t="shared" si="126"/>
        <v/>
      </c>
      <c r="V1583" s="215" t="s">
        <v>47</v>
      </c>
      <c r="W1583" s="102" t="s">
        <v>136</v>
      </c>
      <c r="X1583" s="102" t="s">
        <v>137</v>
      </c>
      <c r="Y1583" s="103" t="s">
        <v>138</v>
      </c>
      <c r="Z1583" s="103" t="s">
        <v>139</v>
      </c>
      <c r="AA1583" s="103" t="s">
        <v>47</v>
      </c>
      <c r="AB1583" s="103" t="s">
        <v>140</v>
      </c>
      <c r="AC1583" s="104" t="s">
        <v>141</v>
      </c>
    </row>
    <row r="1584" spans="1:29" ht="25.5" customHeight="1" x14ac:dyDescent="0.35">
      <c r="A1584" s="188"/>
      <c r="B1584" s="190"/>
      <c r="C1584" s="99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0"/>
      <c r="E1584" s="78" t="str">
        <f>IF(C1584="","",IFERROR(VLOOKUP(C1584,parametros!$A$11:$E$15,5,0),""))</f>
        <v/>
      </c>
      <c r="F1584" s="79" t="str">
        <f t="shared" si="122"/>
        <v/>
      </c>
      <c r="G1584" s="101"/>
      <c r="H1584" s="91">
        <f t="shared" si="123"/>
        <v>0</v>
      </c>
      <c r="I1584" s="91" t="str">
        <f t="shared" si="124"/>
        <v/>
      </c>
      <c r="J1584" s="91" t="str">
        <f t="shared" si="125"/>
        <v/>
      </c>
      <c r="K1584" s="92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2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58"/>
      <c r="U1584" s="217" t="str">
        <f t="shared" si="126"/>
        <v/>
      </c>
      <c r="V1584" s="215" t="s">
        <v>47</v>
      </c>
      <c r="W1584" s="102" t="s">
        <v>136</v>
      </c>
      <c r="X1584" s="102" t="s">
        <v>137</v>
      </c>
      <c r="Y1584" s="103" t="s">
        <v>138</v>
      </c>
      <c r="Z1584" s="103" t="s">
        <v>139</v>
      </c>
      <c r="AA1584" s="103" t="s">
        <v>47</v>
      </c>
      <c r="AB1584" s="103" t="s">
        <v>140</v>
      </c>
      <c r="AC1584" s="104" t="s">
        <v>141</v>
      </c>
    </row>
    <row r="1585" spans="1:29" ht="25.5" customHeight="1" x14ac:dyDescent="0.35">
      <c r="A1585" s="188"/>
      <c r="B1585" s="190"/>
      <c r="C1585" s="99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0"/>
      <c r="E1585" s="78" t="str">
        <f>IF(C1585="","",IFERROR(VLOOKUP(C1585,parametros!$A$11:$E$15,5,0),""))</f>
        <v/>
      </c>
      <c r="F1585" s="79" t="str">
        <f t="shared" si="122"/>
        <v/>
      </c>
      <c r="G1585" s="101"/>
      <c r="H1585" s="91">
        <f t="shared" si="123"/>
        <v>0</v>
      </c>
      <c r="I1585" s="91" t="str">
        <f t="shared" si="124"/>
        <v/>
      </c>
      <c r="J1585" s="91" t="str">
        <f t="shared" si="125"/>
        <v/>
      </c>
      <c r="K1585" s="92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2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58"/>
      <c r="U1585" s="217" t="str">
        <f t="shared" si="126"/>
        <v/>
      </c>
      <c r="V1585" s="215" t="s">
        <v>47</v>
      </c>
      <c r="W1585" s="102" t="s">
        <v>136</v>
      </c>
      <c r="X1585" s="102" t="s">
        <v>137</v>
      </c>
      <c r="Y1585" s="103" t="s">
        <v>138</v>
      </c>
      <c r="Z1585" s="103" t="s">
        <v>139</v>
      </c>
      <c r="AA1585" s="103" t="s">
        <v>47</v>
      </c>
      <c r="AB1585" s="103" t="s">
        <v>140</v>
      </c>
      <c r="AC1585" s="104" t="s">
        <v>141</v>
      </c>
    </row>
    <row r="1586" spans="1:29" ht="25.5" customHeight="1" x14ac:dyDescent="0.35">
      <c r="A1586" s="188"/>
      <c r="B1586" s="190"/>
      <c r="C1586" s="99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0"/>
      <c r="E1586" s="78" t="str">
        <f>IF(C1586="","",IFERROR(VLOOKUP(C1586,parametros!$A$11:$E$15,5,0),""))</f>
        <v/>
      </c>
      <c r="F1586" s="79" t="str">
        <f t="shared" si="122"/>
        <v/>
      </c>
      <c r="G1586" s="101"/>
      <c r="H1586" s="91">
        <f t="shared" si="123"/>
        <v>0</v>
      </c>
      <c r="I1586" s="91" t="str">
        <f t="shared" si="124"/>
        <v/>
      </c>
      <c r="J1586" s="91" t="str">
        <f t="shared" si="125"/>
        <v/>
      </c>
      <c r="K1586" s="92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2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58"/>
      <c r="U1586" s="217" t="str">
        <f t="shared" si="126"/>
        <v/>
      </c>
      <c r="V1586" s="215" t="s">
        <v>47</v>
      </c>
      <c r="W1586" s="102" t="s">
        <v>136</v>
      </c>
      <c r="X1586" s="102" t="s">
        <v>137</v>
      </c>
      <c r="Y1586" s="103" t="s">
        <v>138</v>
      </c>
      <c r="Z1586" s="103" t="s">
        <v>139</v>
      </c>
      <c r="AA1586" s="103" t="s">
        <v>47</v>
      </c>
      <c r="AB1586" s="103" t="s">
        <v>140</v>
      </c>
      <c r="AC1586" s="104" t="s">
        <v>141</v>
      </c>
    </row>
    <row r="1587" spans="1:29" ht="25.5" customHeight="1" x14ac:dyDescent="0.35">
      <c r="A1587" s="188"/>
      <c r="B1587" s="190"/>
      <c r="C1587" s="99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0"/>
      <c r="E1587" s="78" t="str">
        <f>IF(C1587="","",IFERROR(VLOOKUP(C1587,parametros!$A$11:$E$15,5,0),""))</f>
        <v/>
      </c>
      <c r="F1587" s="79" t="str">
        <f t="shared" si="122"/>
        <v/>
      </c>
      <c r="G1587" s="101"/>
      <c r="H1587" s="91">
        <f t="shared" si="123"/>
        <v>0</v>
      </c>
      <c r="I1587" s="91" t="str">
        <f t="shared" si="124"/>
        <v/>
      </c>
      <c r="J1587" s="91" t="str">
        <f t="shared" si="125"/>
        <v/>
      </c>
      <c r="K1587" s="92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2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58"/>
      <c r="U1587" s="217" t="str">
        <f t="shared" si="126"/>
        <v/>
      </c>
      <c r="V1587" s="215" t="s">
        <v>47</v>
      </c>
      <c r="W1587" s="102" t="s">
        <v>136</v>
      </c>
      <c r="X1587" s="102" t="s">
        <v>137</v>
      </c>
      <c r="Y1587" s="103" t="s">
        <v>138</v>
      </c>
      <c r="Z1587" s="103" t="s">
        <v>139</v>
      </c>
      <c r="AA1587" s="103" t="s">
        <v>47</v>
      </c>
      <c r="AB1587" s="103" t="s">
        <v>140</v>
      </c>
      <c r="AC1587" s="104" t="s">
        <v>141</v>
      </c>
    </row>
    <row r="1588" spans="1:29" ht="25.5" customHeight="1" x14ac:dyDescent="0.35">
      <c r="A1588" s="188"/>
      <c r="B1588" s="190"/>
      <c r="C1588" s="99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0"/>
      <c r="E1588" s="78" t="str">
        <f>IF(C1588="","",IFERROR(VLOOKUP(C1588,parametros!$A$11:$E$15,5,0),""))</f>
        <v/>
      </c>
      <c r="F1588" s="79" t="str">
        <f t="shared" si="122"/>
        <v/>
      </c>
      <c r="G1588" s="101"/>
      <c r="H1588" s="91">
        <f t="shared" si="123"/>
        <v>0</v>
      </c>
      <c r="I1588" s="91" t="str">
        <f t="shared" si="124"/>
        <v/>
      </c>
      <c r="J1588" s="91" t="str">
        <f t="shared" si="125"/>
        <v/>
      </c>
      <c r="K1588" s="92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2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58"/>
      <c r="U1588" s="217" t="str">
        <f t="shared" si="126"/>
        <v/>
      </c>
      <c r="V1588" s="215" t="s">
        <v>47</v>
      </c>
      <c r="W1588" s="102" t="s">
        <v>136</v>
      </c>
      <c r="X1588" s="102" t="s">
        <v>137</v>
      </c>
      <c r="Y1588" s="103" t="s">
        <v>138</v>
      </c>
      <c r="Z1588" s="103" t="s">
        <v>139</v>
      </c>
      <c r="AA1588" s="103" t="s">
        <v>47</v>
      </c>
      <c r="AB1588" s="103" t="s">
        <v>140</v>
      </c>
      <c r="AC1588" s="104" t="s">
        <v>141</v>
      </c>
    </row>
    <row r="1589" spans="1:29" ht="25.5" customHeight="1" x14ac:dyDescent="0.35">
      <c r="A1589" s="188"/>
      <c r="B1589" s="190"/>
      <c r="C1589" s="99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0"/>
      <c r="E1589" s="78" t="str">
        <f>IF(C1589="","",IFERROR(VLOOKUP(C1589,parametros!$A$11:$E$15,5,0),""))</f>
        <v/>
      </c>
      <c r="F1589" s="79" t="str">
        <f t="shared" si="122"/>
        <v/>
      </c>
      <c r="G1589" s="101"/>
      <c r="H1589" s="91">
        <f t="shared" si="123"/>
        <v>0</v>
      </c>
      <c r="I1589" s="91" t="str">
        <f t="shared" si="124"/>
        <v/>
      </c>
      <c r="J1589" s="91" t="str">
        <f t="shared" si="125"/>
        <v/>
      </c>
      <c r="K1589" s="92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2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58"/>
      <c r="U1589" s="217" t="str">
        <f t="shared" si="126"/>
        <v/>
      </c>
      <c r="V1589" s="215" t="s">
        <v>47</v>
      </c>
      <c r="W1589" s="102" t="s">
        <v>136</v>
      </c>
      <c r="X1589" s="102" t="s">
        <v>137</v>
      </c>
      <c r="Y1589" s="103" t="s">
        <v>138</v>
      </c>
      <c r="Z1589" s="103" t="s">
        <v>139</v>
      </c>
      <c r="AA1589" s="103" t="s">
        <v>47</v>
      </c>
      <c r="AB1589" s="103" t="s">
        <v>140</v>
      </c>
      <c r="AC1589" s="104" t="s">
        <v>141</v>
      </c>
    </row>
    <row r="1590" spans="1:29" ht="25.5" customHeight="1" x14ac:dyDescent="0.35">
      <c r="A1590" s="188"/>
      <c r="B1590" s="190"/>
      <c r="C1590" s="99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0"/>
      <c r="E1590" s="78" t="str">
        <f>IF(C1590="","",IFERROR(VLOOKUP(C1590,parametros!$A$11:$E$15,5,0),""))</f>
        <v/>
      </c>
      <c r="F1590" s="79" t="str">
        <f t="shared" si="122"/>
        <v/>
      </c>
      <c r="G1590" s="101"/>
      <c r="H1590" s="91">
        <f t="shared" si="123"/>
        <v>0</v>
      </c>
      <c r="I1590" s="91" t="str">
        <f t="shared" si="124"/>
        <v/>
      </c>
      <c r="J1590" s="91" t="str">
        <f t="shared" si="125"/>
        <v/>
      </c>
      <c r="K1590" s="92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2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58"/>
      <c r="U1590" s="217" t="str">
        <f t="shared" si="126"/>
        <v/>
      </c>
      <c r="V1590" s="215" t="s">
        <v>47</v>
      </c>
      <c r="W1590" s="102" t="s">
        <v>136</v>
      </c>
      <c r="X1590" s="102" t="s">
        <v>137</v>
      </c>
      <c r="Y1590" s="103" t="s">
        <v>138</v>
      </c>
      <c r="Z1590" s="103" t="s">
        <v>139</v>
      </c>
      <c r="AA1590" s="103" t="s">
        <v>47</v>
      </c>
      <c r="AB1590" s="103" t="s">
        <v>140</v>
      </c>
      <c r="AC1590" s="104" t="s">
        <v>141</v>
      </c>
    </row>
    <row r="1591" spans="1:29" ht="25.5" customHeight="1" x14ac:dyDescent="0.35">
      <c r="A1591" s="188"/>
      <c r="B1591" s="190"/>
      <c r="C1591" s="99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0"/>
      <c r="E1591" s="78" t="str">
        <f>IF(C1591="","",IFERROR(VLOOKUP(C1591,parametros!$A$11:$E$15,5,0),""))</f>
        <v/>
      </c>
      <c r="F1591" s="79" t="str">
        <f t="shared" si="122"/>
        <v/>
      </c>
      <c r="G1591" s="101"/>
      <c r="H1591" s="91">
        <f t="shared" si="123"/>
        <v>0</v>
      </c>
      <c r="I1591" s="91" t="str">
        <f t="shared" si="124"/>
        <v/>
      </c>
      <c r="J1591" s="91" t="str">
        <f t="shared" si="125"/>
        <v/>
      </c>
      <c r="K1591" s="92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2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58"/>
      <c r="U1591" s="217" t="str">
        <f t="shared" si="126"/>
        <v/>
      </c>
      <c r="V1591" s="215" t="s">
        <v>47</v>
      </c>
      <c r="W1591" s="102" t="s">
        <v>136</v>
      </c>
      <c r="X1591" s="102" t="s">
        <v>137</v>
      </c>
      <c r="Y1591" s="103" t="s">
        <v>138</v>
      </c>
      <c r="Z1591" s="103" t="s">
        <v>139</v>
      </c>
      <c r="AA1591" s="103" t="s">
        <v>47</v>
      </c>
      <c r="AB1591" s="103" t="s">
        <v>140</v>
      </c>
      <c r="AC1591" s="104" t="s">
        <v>141</v>
      </c>
    </row>
    <row r="1592" spans="1:29" ht="25.5" customHeight="1" x14ac:dyDescent="0.35">
      <c r="A1592" s="188"/>
      <c r="B1592" s="190"/>
      <c r="C1592" s="99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0"/>
      <c r="E1592" s="78" t="str">
        <f>IF(C1592="","",IFERROR(VLOOKUP(C1592,parametros!$A$11:$E$15,5,0),""))</f>
        <v/>
      </c>
      <c r="F1592" s="79" t="str">
        <f t="shared" si="122"/>
        <v/>
      </c>
      <c r="G1592" s="101"/>
      <c r="H1592" s="91">
        <f t="shared" si="123"/>
        <v>0</v>
      </c>
      <c r="I1592" s="91" t="str">
        <f t="shared" si="124"/>
        <v/>
      </c>
      <c r="J1592" s="91" t="str">
        <f t="shared" si="125"/>
        <v/>
      </c>
      <c r="K1592" s="92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2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58"/>
      <c r="U1592" s="217" t="str">
        <f t="shared" si="126"/>
        <v/>
      </c>
      <c r="V1592" s="215" t="s">
        <v>47</v>
      </c>
      <c r="W1592" s="102" t="s">
        <v>136</v>
      </c>
      <c r="X1592" s="102" t="s">
        <v>137</v>
      </c>
      <c r="Y1592" s="103" t="s">
        <v>138</v>
      </c>
      <c r="Z1592" s="103" t="s">
        <v>139</v>
      </c>
      <c r="AA1592" s="103" t="s">
        <v>47</v>
      </c>
      <c r="AB1592" s="103" t="s">
        <v>140</v>
      </c>
      <c r="AC1592" s="104" t="s">
        <v>141</v>
      </c>
    </row>
    <row r="1593" spans="1:29" ht="25.5" customHeight="1" x14ac:dyDescent="0.35">
      <c r="A1593" s="188"/>
      <c r="B1593" s="190"/>
      <c r="C1593" s="99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0"/>
      <c r="E1593" s="78" t="str">
        <f>IF(C1593="","",IFERROR(VLOOKUP(C1593,parametros!$A$11:$E$15,5,0),""))</f>
        <v/>
      </c>
      <c r="F1593" s="79" t="str">
        <f t="shared" si="122"/>
        <v/>
      </c>
      <c r="G1593" s="101"/>
      <c r="H1593" s="91">
        <f t="shared" si="123"/>
        <v>0</v>
      </c>
      <c r="I1593" s="91" t="str">
        <f t="shared" si="124"/>
        <v/>
      </c>
      <c r="J1593" s="91" t="str">
        <f t="shared" si="125"/>
        <v/>
      </c>
      <c r="K1593" s="92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2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58"/>
      <c r="U1593" s="217" t="str">
        <f t="shared" si="126"/>
        <v/>
      </c>
      <c r="V1593" s="215" t="s">
        <v>47</v>
      </c>
      <c r="W1593" s="102" t="s">
        <v>136</v>
      </c>
      <c r="X1593" s="102" t="s">
        <v>137</v>
      </c>
      <c r="Y1593" s="103" t="s">
        <v>138</v>
      </c>
      <c r="Z1593" s="103" t="s">
        <v>139</v>
      </c>
      <c r="AA1593" s="103" t="s">
        <v>47</v>
      </c>
      <c r="AB1593" s="103" t="s">
        <v>140</v>
      </c>
      <c r="AC1593" s="104" t="s">
        <v>141</v>
      </c>
    </row>
    <row r="1594" spans="1:29" ht="25.5" customHeight="1" x14ac:dyDescent="0.35">
      <c r="A1594" s="188"/>
      <c r="B1594" s="190"/>
      <c r="C1594" s="99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0"/>
      <c r="E1594" s="78" t="str">
        <f>IF(C1594="","",IFERROR(VLOOKUP(C1594,parametros!$A$11:$E$15,5,0),""))</f>
        <v/>
      </c>
      <c r="F1594" s="79" t="str">
        <f t="shared" si="122"/>
        <v/>
      </c>
      <c r="G1594" s="101"/>
      <c r="H1594" s="91">
        <f t="shared" si="123"/>
        <v>0</v>
      </c>
      <c r="I1594" s="91" t="str">
        <f t="shared" si="124"/>
        <v/>
      </c>
      <c r="J1594" s="91" t="str">
        <f t="shared" si="125"/>
        <v/>
      </c>
      <c r="K1594" s="92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2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58"/>
      <c r="U1594" s="217" t="str">
        <f t="shared" si="126"/>
        <v/>
      </c>
      <c r="V1594" s="215" t="s">
        <v>47</v>
      </c>
      <c r="W1594" s="102" t="s">
        <v>136</v>
      </c>
      <c r="X1594" s="102" t="s">
        <v>137</v>
      </c>
      <c r="Y1594" s="103" t="s">
        <v>138</v>
      </c>
      <c r="Z1594" s="103" t="s">
        <v>139</v>
      </c>
      <c r="AA1594" s="103" t="s">
        <v>47</v>
      </c>
      <c r="AB1594" s="103" t="s">
        <v>140</v>
      </c>
      <c r="AC1594" s="104" t="s">
        <v>141</v>
      </c>
    </row>
    <row r="1595" spans="1:29" ht="25.5" customHeight="1" x14ac:dyDescent="0.35">
      <c r="A1595" s="188"/>
      <c r="B1595" s="190"/>
      <c r="C1595" s="99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0"/>
      <c r="E1595" s="78" t="str">
        <f>IF(C1595="","",IFERROR(VLOOKUP(C1595,parametros!$A$11:$E$15,5,0),""))</f>
        <v/>
      </c>
      <c r="F1595" s="79" t="str">
        <f t="shared" si="122"/>
        <v/>
      </c>
      <c r="G1595" s="101"/>
      <c r="H1595" s="91">
        <f t="shared" si="123"/>
        <v>0</v>
      </c>
      <c r="I1595" s="91" t="str">
        <f t="shared" si="124"/>
        <v/>
      </c>
      <c r="J1595" s="91" t="str">
        <f t="shared" si="125"/>
        <v/>
      </c>
      <c r="K1595" s="92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2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58"/>
      <c r="U1595" s="217" t="str">
        <f t="shared" si="126"/>
        <v/>
      </c>
      <c r="V1595" s="215" t="s">
        <v>47</v>
      </c>
      <c r="W1595" s="102" t="s">
        <v>136</v>
      </c>
      <c r="X1595" s="102" t="s">
        <v>137</v>
      </c>
      <c r="Y1595" s="103" t="s">
        <v>138</v>
      </c>
      <c r="Z1595" s="103" t="s">
        <v>139</v>
      </c>
      <c r="AA1595" s="103" t="s">
        <v>47</v>
      </c>
      <c r="AB1595" s="103" t="s">
        <v>140</v>
      </c>
      <c r="AC1595" s="104" t="s">
        <v>141</v>
      </c>
    </row>
    <row r="1596" spans="1:29" ht="25.5" customHeight="1" x14ac:dyDescent="0.35">
      <c r="A1596" s="188"/>
      <c r="B1596" s="190"/>
      <c r="C1596" s="99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0"/>
      <c r="E1596" s="78" t="str">
        <f>IF(C1596="","",IFERROR(VLOOKUP(C1596,parametros!$A$11:$E$15,5,0),""))</f>
        <v/>
      </c>
      <c r="F1596" s="79" t="str">
        <f t="shared" si="122"/>
        <v/>
      </c>
      <c r="G1596" s="101"/>
      <c r="H1596" s="91">
        <f t="shared" si="123"/>
        <v>0</v>
      </c>
      <c r="I1596" s="91" t="str">
        <f t="shared" si="124"/>
        <v/>
      </c>
      <c r="J1596" s="91" t="str">
        <f t="shared" si="125"/>
        <v/>
      </c>
      <c r="K1596" s="92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2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58"/>
      <c r="U1596" s="217" t="str">
        <f t="shared" si="126"/>
        <v/>
      </c>
      <c r="V1596" s="215" t="s">
        <v>47</v>
      </c>
      <c r="W1596" s="102" t="s">
        <v>136</v>
      </c>
      <c r="X1596" s="102" t="s">
        <v>137</v>
      </c>
      <c r="Y1596" s="103" t="s">
        <v>138</v>
      </c>
      <c r="Z1596" s="103" t="s">
        <v>139</v>
      </c>
      <c r="AA1596" s="103" t="s">
        <v>47</v>
      </c>
      <c r="AB1596" s="103" t="s">
        <v>140</v>
      </c>
      <c r="AC1596" s="104" t="s">
        <v>141</v>
      </c>
    </row>
    <row r="1597" spans="1:29" ht="25.5" customHeight="1" x14ac:dyDescent="0.35">
      <c r="A1597" s="188"/>
      <c r="B1597" s="190"/>
      <c r="C1597" s="99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0"/>
      <c r="E1597" s="78" t="str">
        <f>IF(C1597="","",IFERROR(VLOOKUP(C1597,parametros!$A$11:$E$15,5,0),""))</f>
        <v/>
      </c>
      <c r="F1597" s="79" t="str">
        <f t="shared" si="122"/>
        <v/>
      </c>
      <c r="G1597" s="101"/>
      <c r="H1597" s="91">
        <f t="shared" si="123"/>
        <v>0</v>
      </c>
      <c r="I1597" s="91" t="str">
        <f t="shared" si="124"/>
        <v/>
      </c>
      <c r="J1597" s="91" t="str">
        <f t="shared" si="125"/>
        <v/>
      </c>
      <c r="K1597" s="92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2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58"/>
      <c r="U1597" s="217" t="str">
        <f t="shared" si="126"/>
        <v/>
      </c>
      <c r="V1597" s="215" t="s">
        <v>47</v>
      </c>
      <c r="W1597" s="102" t="s">
        <v>136</v>
      </c>
      <c r="X1597" s="102" t="s">
        <v>137</v>
      </c>
      <c r="Y1597" s="103" t="s">
        <v>138</v>
      </c>
      <c r="Z1597" s="103" t="s">
        <v>139</v>
      </c>
      <c r="AA1597" s="103" t="s">
        <v>47</v>
      </c>
      <c r="AB1597" s="103" t="s">
        <v>140</v>
      </c>
      <c r="AC1597" s="104" t="s">
        <v>141</v>
      </c>
    </row>
    <row r="1598" spans="1:29" ht="25.5" customHeight="1" x14ac:dyDescent="0.35">
      <c r="A1598" s="188"/>
      <c r="B1598" s="190"/>
      <c r="C1598" s="99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0"/>
      <c r="E1598" s="78" t="str">
        <f>IF(C1598="","",IFERROR(VLOOKUP(C1598,parametros!$A$11:$E$15,5,0),""))</f>
        <v/>
      </c>
      <c r="F1598" s="79" t="str">
        <f t="shared" si="122"/>
        <v/>
      </c>
      <c r="G1598" s="101"/>
      <c r="H1598" s="91">
        <f t="shared" si="123"/>
        <v>0</v>
      </c>
      <c r="I1598" s="91" t="str">
        <f t="shared" si="124"/>
        <v/>
      </c>
      <c r="J1598" s="91" t="str">
        <f t="shared" si="125"/>
        <v/>
      </c>
      <c r="K1598" s="92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2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58"/>
      <c r="U1598" s="217" t="str">
        <f t="shared" si="126"/>
        <v/>
      </c>
      <c r="V1598" s="215" t="s">
        <v>47</v>
      </c>
      <c r="W1598" s="102" t="s">
        <v>136</v>
      </c>
      <c r="X1598" s="102" t="s">
        <v>137</v>
      </c>
      <c r="Y1598" s="103" t="s">
        <v>138</v>
      </c>
      <c r="Z1598" s="103" t="s">
        <v>139</v>
      </c>
      <c r="AA1598" s="103" t="s">
        <v>47</v>
      </c>
      <c r="AB1598" s="103" t="s">
        <v>140</v>
      </c>
      <c r="AC1598" s="104" t="s">
        <v>141</v>
      </c>
    </row>
    <row r="1599" spans="1:29" ht="25.5" customHeight="1" x14ac:dyDescent="0.35">
      <c r="A1599" s="188"/>
      <c r="B1599" s="190"/>
      <c r="C1599" s="99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0"/>
      <c r="E1599" s="78" t="str">
        <f>IF(C1599="","",IFERROR(VLOOKUP(C1599,parametros!$A$11:$E$15,5,0),""))</f>
        <v/>
      </c>
      <c r="F1599" s="79" t="str">
        <f t="shared" si="122"/>
        <v/>
      </c>
      <c r="G1599" s="101"/>
      <c r="H1599" s="91">
        <f t="shared" si="123"/>
        <v>0</v>
      </c>
      <c r="I1599" s="91" t="str">
        <f t="shared" si="124"/>
        <v/>
      </c>
      <c r="J1599" s="91" t="str">
        <f t="shared" si="125"/>
        <v/>
      </c>
      <c r="K1599" s="92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2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58"/>
      <c r="U1599" s="217" t="str">
        <f t="shared" si="126"/>
        <v/>
      </c>
      <c r="V1599" s="215" t="s">
        <v>47</v>
      </c>
      <c r="W1599" s="102" t="s">
        <v>136</v>
      </c>
      <c r="X1599" s="102" t="s">
        <v>137</v>
      </c>
      <c r="Y1599" s="103" t="s">
        <v>138</v>
      </c>
      <c r="Z1599" s="103" t="s">
        <v>139</v>
      </c>
      <c r="AA1599" s="103" t="s">
        <v>47</v>
      </c>
      <c r="AB1599" s="103" t="s">
        <v>140</v>
      </c>
      <c r="AC1599" s="104" t="s">
        <v>141</v>
      </c>
    </row>
    <row r="1600" spans="1:29" ht="25.5" customHeight="1" x14ac:dyDescent="0.35">
      <c r="A1600" s="188"/>
      <c r="B1600" s="190"/>
      <c r="C1600" s="99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0"/>
      <c r="E1600" s="78" t="str">
        <f>IF(C1600="","",IFERROR(VLOOKUP(C1600,parametros!$A$11:$E$15,5,0),""))</f>
        <v/>
      </c>
      <c r="F1600" s="79" t="str">
        <f t="shared" si="122"/>
        <v/>
      </c>
      <c r="G1600" s="101"/>
      <c r="H1600" s="91">
        <f t="shared" si="123"/>
        <v>0</v>
      </c>
      <c r="I1600" s="91" t="str">
        <f t="shared" si="124"/>
        <v/>
      </c>
      <c r="J1600" s="91" t="str">
        <f t="shared" si="125"/>
        <v/>
      </c>
      <c r="K1600" s="92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2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58"/>
      <c r="U1600" s="217" t="str">
        <f t="shared" si="126"/>
        <v/>
      </c>
      <c r="V1600" s="215" t="s">
        <v>47</v>
      </c>
      <c r="W1600" s="102" t="s">
        <v>136</v>
      </c>
      <c r="X1600" s="102" t="s">
        <v>137</v>
      </c>
      <c r="Y1600" s="103" t="s">
        <v>138</v>
      </c>
      <c r="Z1600" s="103" t="s">
        <v>139</v>
      </c>
      <c r="AA1600" s="103" t="s">
        <v>47</v>
      </c>
      <c r="AB1600" s="103" t="s">
        <v>140</v>
      </c>
      <c r="AC1600" s="104" t="s">
        <v>141</v>
      </c>
    </row>
    <row r="1601" spans="1:29" ht="25.5" customHeight="1" x14ac:dyDescent="0.35">
      <c r="A1601" s="188"/>
      <c r="B1601" s="190"/>
      <c r="C1601" s="99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0"/>
      <c r="E1601" s="78" t="str">
        <f>IF(C1601="","",IFERROR(VLOOKUP(C1601,parametros!$A$11:$E$15,5,0),""))</f>
        <v/>
      </c>
      <c r="F1601" s="79" t="str">
        <f t="shared" si="122"/>
        <v/>
      </c>
      <c r="G1601" s="101"/>
      <c r="H1601" s="91">
        <f t="shared" si="123"/>
        <v>0</v>
      </c>
      <c r="I1601" s="91" t="str">
        <f t="shared" si="124"/>
        <v/>
      </c>
      <c r="J1601" s="91" t="str">
        <f t="shared" si="125"/>
        <v/>
      </c>
      <c r="K1601" s="92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2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58"/>
      <c r="U1601" s="217" t="str">
        <f t="shared" si="126"/>
        <v/>
      </c>
      <c r="V1601" s="215" t="s">
        <v>47</v>
      </c>
      <c r="W1601" s="102" t="s">
        <v>136</v>
      </c>
      <c r="X1601" s="102" t="s">
        <v>137</v>
      </c>
      <c r="Y1601" s="103" t="s">
        <v>138</v>
      </c>
      <c r="Z1601" s="103" t="s">
        <v>139</v>
      </c>
      <c r="AA1601" s="103" t="s">
        <v>47</v>
      </c>
      <c r="AB1601" s="103" t="s">
        <v>140</v>
      </c>
      <c r="AC1601" s="104" t="s">
        <v>141</v>
      </c>
    </row>
    <row r="1602" spans="1:29" ht="25.5" customHeight="1" x14ac:dyDescent="0.35">
      <c r="A1602" s="188"/>
      <c r="B1602" s="190"/>
      <c r="C1602" s="99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0"/>
      <c r="E1602" s="78" t="str">
        <f>IF(C1602="","",IFERROR(VLOOKUP(C1602,parametros!$A$11:$E$15,5,0),""))</f>
        <v/>
      </c>
      <c r="F1602" s="79" t="str">
        <f t="shared" ref="F1602:F1665" si="127">IF(OR(D1602="",E1602=""),"",ROUND(D1602*E1602,2))</f>
        <v/>
      </c>
      <c r="G1602" s="101"/>
      <c r="H1602" s="91">
        <f t="shared" ref="H1602:H1665" si="128">IF(G1602="Sim",IF(OR(F1602="",D1602="",L1602=""),"",IF(L1602="Sim",ROUND(F1602-D1602,2),0)),0)</f>
        <v>0</v>
      </c>
      <c r="I1602" s="91" t="str">
        <f t="shared" ref="I1602:I1665" si="129">IF(G1602="Sim",0,IF(OR(F1602="",L1602=""),"",F1602))</f>
        <v/>
      </c>
      <c r="J1602" s="91" t="str">
        <f t="shared" ref="J1602:J1665" si="130">IF(G1602="Sim",0,IF(OR(F1602="",D1602="",L1602=""),"",IF(L1602="Sim",ROUND(F1602-D1602,2),0)))</f>
        <v/>
      </c>
      <c r="K1602" s="92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2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58"/>
      <c r="U1602" s="217" t="str">
        <f t="shared" ref="U1602:U1665" si="131">IF(OR($D1602="",$H1602=""),"",ROUND($D1602+$H1602,2))</f>
        <v/>
      </c>
      <c r="V1602" s="215" t="s">
        <v>47</v>
      </c>
      <c r="W1602" s="102" t="s">
        <v>136</v>
      </c>
      <c r="X1602" s="102" t="s">
        <v>137</v>
      </c>
      <c r="Y1602" s="103" t="s">
        <v>138</v>
      </c>
      <c r="Z1602" s="103" t="s">
        <v>139</v>
      </c>
      <c r="AA1602" s="103" t="s">
        <v>47</v>
      </c>
      <c r="AB1602" s="103" t="s">
        <v>140</v>
      </c>
      <c r="AC1602" s="104" t="s">
        <v>141</v>
      </c>
    </row>
    <row r="1603" spans="1:29" ht="25.5" customHeight="1" x14ac:dyDescent="0.35">
      <c r="A1603" s="188"/>
      <c r="B1603" s="190"/>
      <c r="C1603" s="99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0"/>
      <c r="E1603" s="78" t="str">
        <f>IF(C1603="","",IFERROR(VLOOKUP(C1603,parametros!$A$11:$E$15,5,0),""))</f>
        <v/>
      </c>
      <c r="F1603" s="79" t="str">
        <f t="shared" si="127"/>
        <v/>
      </c>
      <c r="G1603" s="101"/>
      <c r="H1603" s="91">
        <f t="shared" si="128"/>
        <v>0</v>
      </c>
      <c r="I1603" s="91" t="str">
        <f t="shared" si="129"/>
        <v/>
      </c>
      <c r="J1603" s="91" t="str">
        <f t="shared" si="130"/>
        <v/>
      </c>
      <c r="K1603" s="92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2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58"/>
      <c r="U1603" s="217" t="str">
        <f t="shared" si="131"/>
        <v/>
      </c>
      <c r="V1603" s="215" t="s">
        <v>47</v>
      </c>
      <c r="W1603" s="102" t="s">
        <v>136</v>
      </c>
      <c r="X1603" s="102" t="s">
        <v>137</v>
      </c>
      <c r="Y1603" s="103" t="s">
        <v>138</v>
      </c>
      <c r="Z1603" s="103" t="s">
        <v>139</v>
      </c>
      <c r="AA1603" s="103" t="s">
        <v>47</v>
      </c>
      <c r="AB1603" s="103" t="s">
        <v>140</v>
      </c>
      <c r="AC1603" s="104" t="s">
        <v>141</v>
      </c>
    </row>
    <row r="1604" spans="1:29" ht="25.5" customHeight="1" x14ac:dyDescent="0.35">
      <c r="A1604" s="188"/>
      <c r="B1604" s="190"/>
      <c r="C1604" s="99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0"/>
      <c r="E1604" s="78" t="str">
        <f>IF(C1604="","",IFERROR(VLOOKUP(C1604,parametros!$A$11:$E$15,5,0),""))</f>
        <v/>
      </c>
      <c r="F1604" s="79" t="str">
        <f t="shared" si="127"/>
        <v/>
      </c>
      <c r="G1604" s="101"/>
      <c r="H1604" s="91">
        <f t="shared" si="128"/>
        <v>0</v>
      </c>
      <c r="I1604" s="91" t="str">
        <f t="shared" si="129"/>
        <v/>
      </c>
      <c r="J1604" s="91" t="str">
        <f t="shared" si="130"/>
        <v/>
      </c>
      <c r="K1604" s="92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2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58"/>
      <c r="U1604" s="217" t="str">
        <f t="shared" si="131"/>
        <v/>
      </c>
      <c r="V1604" s="215" t="s">
        <v>47</v>
      </c>
      <c r="W1604" s="102" t="s">
        <v>136</v>
      </c>
      <c r="X1604" s="102" t="s">
        <v>137</v>
      </c>
      <c r="Y1604" s="103" t="s">
        <v>138</v>
      </c>
      <c r="Z1604" s="103" t="s">
        <v>139</v>
      </c>
      <c r="AA1604" s="103" t="s">
        <v>47</v>
      </c>
      <c r="AB1604" s="103" t="s">
        <v>140</v>
      </c>
      <c r="AC1604" s="104" t="s">
        <v>141</v>
      </c>
    </row>
    <row r="1605" spans="1:29" ht="25.5" customHeight="1" x14ac:dyDescent="0.35">
      <c r="A1605" s="188"/>
      <c r="B1605" s="190"/>
      <c r="C1605" s="99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0"/>
      <c r="E1605" s="78" t="str">
        <f>IF(C1605="","",IFERROR(VLOOKUP(C1605,parametros!$A$11:$E$15,5,0),""))</f>
        <v/>
      </c>
      <c r="F1605" s="79" t="str">
        <f t="shared" si="127"/>
        <v/>
      </c>
      <c r="G1605" s="101"/>
      <c r="H1605" s="91">
        <f t="shared" si="128"/>
        <v>0</v>
      </c>
      <c r="I1605" s="91" t="str">
        <f t="shared" si="129"/>
        <v/>
      </c>
      <c r="J1605" s="91" t="str">
        <f t="shared" si="130"/>
        <v/>
      </c>
      <c r="K1605" s="92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2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58"/>
      <c r="U1605" s="217" t="str">
        <f t="shared" si="131"/>
        <v/>
      </c>
      <c r="V1605" s="215" t="s">
        <v>47</v>
      </c>
      <c r="W1605" s="102" t="s">
        <v>136</v>
      </c>
      <c r="X1605" s="102" t="s">
        <v>137</v>
      </c>
      <c r="Y1605" s="103" t="s">
        <v>138</v>
      </c>
      <c r="Z1605" s="103" t="s">
        <v>139</v>
      </c>
      <c r="AA1605" s="103" t="s">
        <v>47</v>
      </c>
      <c r="AB1605" s="103" t="s">
        <v>140</v>
      </c>
      <c r="AC1605" s="104" t="s">
        <v>141</v>
      </c>
    </row>
    <row r="1606" spans="1:29" ht="25.5" customHeight="1" x14ac:dyDescent="0.35">
      <c r="A1606" s="188"/>
      <c r="B1606" s="190"/>
      <c r="C1606" s="99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0"/>
      <c r="E1606" s="78" t="str">
        <f>IF(C1606="","",IFERROR(VLOOKUP(C1606,parametros!$A$11:$E$15,5,0),""))</f>
        <v/>
      </c>
      <c r="F1606" s="79" t="str">
        <f t="shared" si="127"/>
        <v/>
      </c>
      <c r="G1606" s="101"/>
      <c r="H1606" s="91">
        <f t="shared" si="128"/>
        <v>0</v>
      </c>
      <c r="I1606" s="91" t="str">
        <f t="shared" si="129"/>
        <v/>
      </c>
      <c r="J1606" s="91" t="str">
        <f t="shared" si="130"/>
        <v/>
      </c>
      <c r="K1606" s="92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2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58"/>
      <c r="U1606" s="217" t="str">
        <f t="shared" si="131"/>
        <v/>
      </c>
      <c r="V1606" s="215" t="s">
        <v>47</v>
      </c>
      <c r="W1606" s="102" t="s">
        <v>136</v>
      </c>
      <c r="X1606" s="102" t="s">
        <v>137</v>
      </c>
      <c r="Y1606" s="103" t="s">
        <v>138</v>
      </c>
      <c r="Z1606" s="103" t="s">
        <v>139</v>
      </c>
      <c r="AA1606" s="103" t="s">
        <v>47</v>
      </c>
      <c r="AB1606" s="103" t="s">
        <v>140</v>
      </c>
      <c r="AC1606" s="104" t="s">
        <v>141</v>
      </c>
    </row>
    <row r="1607" spans="1:29" ht="25.5" customHeight="1" x14ac:dyDescent="0.35">
      <c r="A1607" s="188"/>
      <c r="B1607" s="190"/>
      <c r="C1607" s="99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0"/>
      <c r="E1607" s="78" t="str">
        <f>IF(C1607="","",IFERROR(VLOOKUP(C1607,parametros!$A$11:$E$15,5,0),""))</f>
        <v/>
      </c>
      <c r="F1607" s="79" t="str">
        <f t="shared" si="127"/>
        <v/>
      </c>
      <c r="G1607" s="101"/>
      <c r="H1607" s="91">
        <f t="shared" si="128"/>
        <v>0</v>
      </c>
      <c r="I1607" s="91" t="str">
        <f t="shared" si="129"/>
        <v/>
      </c>
      <c r="J1607" s="91" t="str">
        <f t="shared" si="130"/>
        <v/>
      </c>
      <c r="K1607" s="92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2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58"/>
      <c r="U1607" s="217" t="str">
        <f t="shared" si="131"/>
        <v/>
      </c>
      <c r="V1607" s="215" t="s">
        <v>47</v>
      </c>
      <c r="W1607" s="102" t="s">
        <v>136</v>
      </c>
      <c r="X1607" s="102" t="s">
        <v>137</v>
      </c>
      <c r="Y1607" s="103" t="s">
        <v>138</v>
      </c>
      <c r="Z1607" s="103" t="s">
        <v>139</v>
      </c>
      <c r="AA1607" s="103" t="s">
        <v>47</v>
      </c>
      <c r="AB1607" s="103" t="s">
        <v>140</v>
      </c>
      <c r="AC1607" s="104" t="s">
        <v>141</v>
      </c>
    </row>
    <row r="1608" spans="1:29" ht="25.5" customHeight="1" x14ac:dyDescent="0.35">
      <c r="A1608" s="188"/>
      <c r="B1608" s="190"/>
      <c r="C1608" s="99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0"/>
      <c r="E1608" s="78" t="str">
        <f>IF(C1608="","",IFERROR(VLOOKUP(C1608,parametros!$A$11:$E$15,5,0),""))</f>
        <v/>
      </c>
      <c r="F1608" s="79" t="str">
        <f t="shared" si="127"/>
        <v/>
      </c>
      <c r="G1608" s="101"/>
      <c r="H1608" s="91">
        <f t="shared" si="128"/>
        <v>0</v>
      </c>
      <c r="I1608" s="91" t="str">
        <f t="shared" si="129"/>
        <v/>
      </c>
      <c r="J1608" s="91" t="str">
        <f t="shared" si="130"/>
        <v/>
      </c>
      <c r="K1608" s="92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2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58"/>
      <c r="U1608" s="217" t="str">
        <f t="shared" si="131"/>
        <v/>
      </c>
      <c r="V1608" s="215" t="s">
        <v>47</v>
      </c>
      <c r="W1608" s="102" t="s">
        <v>136</v>
      </c>
      <c r="X1608" s="102" t="s">
        <v>137</v>
      </c>
      <c r="Y1608" s="103" t="s">
        <v>138</v>
      </c>
      <c r="Z1608" s="103" t="s">
        <v>139</v>
      </c>
      <c r="AA1608" s="103" t="s">
        <v>47</v>
      </c>
      <c r="AB1608" s="103" t="s">
        <v>140</v>
      </c>
      <c r="AC1608" s="104" t="s">
        <v>141</v>
      </c>
    </row>
    <row r="1609" spans="1:29" ht="25.5" customHeight="1" x14ac:dyDescent="0.35">
      <c r="A1609" s="188"/>
      <c r="B1609" s="190"/>
      <c r="C1609" s="99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0"/>
      <c r="E1609" s="78" t="str">
        <f>IF(C1609="","",IFERROR(VLOOKUP(C1609,parametros!$A$11:$E$15,5,0),""))</f>
        <v/>
      </c>
      <c r="F1609" s="79" t="str">
        <f t="shared" si="127"/>
        <v/>
      </c>
      <c r="G1609" s="101"/>
      <c r="H1609" s="91">
        <f t="shared" si="128"/>
        <v>0</v>
      </c>
      <c r="I1609" s="91" t="str">
        <f t="shared" si="129"/>
        <v/>
      </c>
      <c r="J1609" s="91" t="str">
        <f t="shared" si="130"/>
        <v/>
      </c>
      <c r="K1609" s="92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2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58"/>
      <c r="U1609" s="217" t="str">
        <f t="shared" si="131"/>
        <v/>
      </c>
      <c r="V1609" s="215" t="s">
        <v>47</v>
      </c>
      <c r="W1609" s="102" t="s">
        <v>136</v>
      </c>
      <c r="X1609" s="102" t="s">
        <v>137</v>
      </c>
      <c r="Y1609" s="103" t="s">
        <v>138</v>
      </c>
      <c r="Z1609" s="103" t="s">
        <v>139</v>
      </c>
      <c r="AA1609" s="103" t="s">
        <v>47</v>
      </c>
      <c r="AB1609" s="103" t="s">
        <v>140</v>
      </c>
      <c r="AC1609" s="104" t="s">
        <v>141</v>
      </c>
    </row>
    <row r="1610" spans="1:29" ht="25.5" customHeight="1" x14ac:dyDescent="0.35">
      <c r="A1610" s="188"/>
      <c r="B1610" s="190"/>
      <c r="C1610" s="99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0"/>
      <c r="E1610" s="78" t="str">
        <f>IF(C1610="","",IFERROR(VLOOKUP(C1610,parametros!$A$11:$E$15,5,0),""))</f>
        <v/>
      </c>
      <c r="F1610" s="79" t="str">
        <f t="shared" si="127"/>
        <v/>
      </c>
      <c r="G1610" s="101"/>
      <c r="H1610" s="91">
        <f t="shared" si="128"/>
        <v>0</v>
      </c>
      <c r="I1610" s="91" t="str">
        <f t="shared" si="129"/>
        <v/>
      </c>
      <c r="J1610" s="91" t="str">
        <f t="shared" si="130"/>
        <v/>
      </c>
      <c r="K1610" s="92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2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58"/>
      <c r="U1610" s="217" t="str">
        <f t="shared" si="131"/>
        <v/>
      </c>
      <c r="V1610" s="215" t="s">
        <v>47</v>
      </c>
      <c r="W1610" s="102" t="s">
        <v>136</v>
      </c>
      <c r="X1610" s="102" t="s">
        <v>137</v>
      </c>
      <c r="Y1610" s="103" t="s">
        <v>138</v>
      </c>
      <c r="Z1610" s="103" t="s">
        <v>139</v>
      </c>
      <c r="AA1610" s="103" t="s">
        <v>47</v>
      </c>
      <c r="AB1610" s="103" t="s">
        <v>140</v>
      </c>
      <c r="AC1610" s="104" t="s">
        <v>141</v>
      </c>
    </row>
    <row r="1611" spans="1:29" ht="25.5" customHeight="1" x14ac:dyDescent="0.35">
      <c r="A1611" s="188"/>
      <c r="B1611" s="190"/>
      <c r="C1611" s="99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0"/>
      <c r="E1611" s="78" t="str">
        <f>IF(C1611="","",IFERROR(VLOOKUP(C1611,parametros!$A$11:$E$15,5,0),""))</f>
        <v/>
      </c>
      <c r="F1611" s="79" t="str">
        <f t="shared" si="127"/>
        <v/>
      </c>
      <c r="G1611" s="101"/>
      <c r="H1611" s="91">
        <f t="shared" si="128"/>
        <v>0</v>
      </c>
      <c r="I1611" s="91" t="str">
        <f t="shared" si="129"/>
        <v/>
      </c>
      <c r="J1611" s="91" t="str">
        <f t="shared" si="130"/>
        <v/>
      </c>
      <c r="K1611" s="92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2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58"/>
      <c r="U1611" s="217" t="str">
        <f t="shared" si="131"/>
        <v/>
      </c>
      <c r="V1611" s="215" t="s">
        <v>47</v>
      </c>
      <c r="W1611" s="102" t="s">
        <v>136</v>
      </c>
      <c r="X1611" s="102" t="s">
        <v>137</v>
      </c>
      <c r="Y1611" s="103" t="s">
        <v>138</v>
      </c>
      <c r="Z1611" s="103" t="s">
        <v>139</v>
      </c>
      <c r="AA1611" s="103" t="s">
        <v>47</v>
      </c>
      <c r="AB1611" s="103" t="s">
        <v>140</v>
      </c>
      <c r="AC1611" s="104" t="s">
        <v>141</v>
      </c>
    </row>
    <row r="1612" spans="1:29" ht="25.5" customHeight="1" x14ac:dyDescent="0.35">
      <c r="A1612" s="188"/>
      <c r="B1612" s="190"/>
      <c r="C1612" s="99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0"/>
      <c r="E1612" s="78" t="str">
        <f>IF(C1612="","",IFERROR(VLOOKUP(C1612,parametros!$A$11:$E$15,5,0),""))</f>
        <v/>
      </c>
      <c r="F1612" s="79" t="str">
        <f t="shared" si="127"/>
        <v/>
      </c>
      <c r="G1612" s="101"/>
      <c r="H1612" s="91">
        <f t="shared" si="128"/>
        <v>0</v>
      </c>
      <c r="I1612" s="91" t="str">
        <f t="shared" si="129"/>
        <v/>
      </c>
      <c r="J1612" s="91" t="str">
        <f t="shared" si="130"/>
        <v/>
      </c>
      <c r="K1612" s="92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2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58"/>
      <c r="U1612" s="217" t="str">
        <f t="shared" si="131"/>
        <v/>
      </c>
      <c r="V1612" s="215" t="s">
        <v>47</v>
      </c>
      <c r="W1612" s="102" t="s">
        <v>136</v>
      </c>
      <c r="X1612" s="102" t="s">
        <v>137</v>
      </c>
      <c r="Y1612" s="103" t="s">
        <v>138</v>
      </c>
      <c r="Z1612" s="103" t="s">
        <v>139</v>
      </c>
      <c r="AA1612" s="103" t="s">
        <v>47</v>
      </c>
      <c r="AB1612" s="103" t="s">
        <v>140</v>
      </c>
      <c r="AC1612" s="104" t="s">
        <v>141</v>
      </c>
    </row>
    <row r="1613" spans="1:29" ht="25.5" customHeight="1" x14ac:dyDescent="0.35">
      <c r="A1613" s="188"/>
      <c r="B1613" s="190"/>
      <c r="C1613" s="99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0"/>
      <c r="E1613" s="78" t="str">
        <f>IF(C1613="","",IFERROR(VLOOKUP(C1613,parametros!$A$11:$E$15,5,0),""))</f>
        <v/>
      </c>
      <c r="F1613" s="79" t="str">
        <f t="shared" si="127"/>
        <v/>
      </c>
      <c r="G1613" s="101"/>
      <c r="H1613" s="91">
        <f t="shared" si="128"/>
        <v>0</v>
      </c>
      <c r="I1613" s="91" t="str">
        <f t="shared" si="129"/>
        <v/>
      </c>
      <c r="J1613" s="91" t="str">
        <f t="shared" si="130"/>
        <v/>
      </c>
      <c r="K1613" s="92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2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58"/>
      <c r="U1613" s="217" t="str">
        <f t="shared" si="131"/>
        <v/>
      </c>
      <c r="V1613" s="215" t="s">
        <v>47</v>
      </c>
      <c r="W1613" s="102" t="s">
        <v>136</v>
      </c>
      <c r="X1613" s="102" t="s">
        <v>137</v>
      </c>
      <c r="Y1613" s="103" t="s">
        <v>138</v>
      </c>
      <c r="Z1613" s="103" t="s">
        <v>139</v>
      </c>
      <c r="AA1613" s="103" t="s">
        <v>47</v>
      </c>
      <c r="AB1613" s="103" t="s">
        <v>140</v>
      </c>
      <c r="AC1613" s="104" t="s">
        <v>141</v>
      </c>
    </row>
    <row r="1614" spans="1:29" ht="25.5" customHeight="1" x14ac:dyDescent="0.35">
      <c r="A1614" s="188"/>
      <c r="B1614" s="190"/>
      <c r="C1614" s="99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0"/>
      <c r="E1614" s="78" t="str">
        <f>IF(C1614="","",IFERROR(VLOOKUP(C1614,parametros!$A$11:$E$15,5,0),""))</f>
        <v/>
      </c>
      <c r="F1614" s="79" t="str">
        <f t="shared" si="127"/>
        <v/>
      </c>
      <c r="G1614" s="101"/>
      <c r="H1614" s="91">
        <f t="shared" si="128"/>
        <v>0</v>
      </c>
      <c r="I1614" s="91" t="str">
        <f t="shared" si="129"/>
        <v/>
      </c>
      <c r="J1614" s="91" t="str">
        <f t="shared" si="130"/>
        <v/>
      </c>
      <c r="K1614" s="92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2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58"/>
      <c r="U1614" s="217" t="str">
        <f t="shared" si="131"/>
        <v/>
      </c>
      <c r="V1614" s="215" t="s">
        <v>47</v>
      </c>
      <c r="W1614" s="102" t="s">
        <v>136</v>
      </c>
      <c r="X1614" s="102" t="s">
        <v>137</v>
      </c>
      <c r="Y1614" s="103" t="s">
        <v>138</v>
      </c>
      <c r="Z1614" s="103" t="s">
        <v>139</v>
      </c>
      <c r="AA1614" s="103" t="s">
        <v>47</v>
      </c>
      <c r="AB1614" s="103" t="s">
        <v>140</v>
      </c>
      <c r="AC1614" s="104" t="s">
        <v>141</v>
      </c>
    </row>
    <row r="1615" spans="1:29" ht="25.5" customHeight="1" x14ac:dyDescent="0.35">
      <c r="A1615" s="188"/>
      <c r="B1615" s="190"/>
      <c r="C1615" s="99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0"/>
      <c r="E1615" s="78" t="str">
        <f>IF(C1615="","",IFERROR(VLOOKUP(C1615,parametros!$A$11:$E$15,5,0),""))</f>
        <v/>
      </c>
      <c r="F1615" s="79" t="str">
        <f t="shared" si="127"/>
        <v/>
      </c>
      <c r="G1615" s="101"/>
      <c r="H1615" s="91">
        <f t="shared" si="128"/>
        <v>0</v>
      </c>
      <c r="I1615" s="91" t="str">
        <f t="shared" si="129"/>
        <v/>
      </c>
      <c r="J1615" s="91" t="str">
        <f t="shared" si="130"/>
        <v/>
      </c>
      <c r="K1615" s="92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2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58"/>
      <c r="U1615" s="217" t="str">
        <f t="shared" si="131"/>
        <v/>
      </c>
      <c r="V1615" s="215" t="s">
        <v>47</v>
      </c>
      <c r="W1615" s="102" t="s">
        <v>136</v>
      </c>
      <c r="X1615" s="102" t="s">
        <v>137</v>
      </c>
      <c r="Y1615" s="103" t="s">
        <v>138</v>
      </c>
      <c r="Z1615" s="103" t="s">
        <v>139</v>
      </c>
      <c r="AA1615" s="103" t="s">
        <v>47</v>
      </c>
      <c r="AB1615" s="103" t="s">
        <v>140</v>
      </c>
      <c r="AC1615" s="104" t="s">
        <v>141</v>
      </c>
    </row>
    <row r="1616" spans="1:29" ht="25.5" customHeight="1" x14ac:dyDescent="0.35">
      <c r="A1616" s="188"/>
      <c r="B1616" s="190"/>
      <c r="C1616" s="99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0"/>
      <c r="E1616" s="78" t="str">
        <f>IF(C1616="","",IFERROR(VLOOKUP(C1616,parametros!$A$11:$E$15,5,0),""))</f>
        <v/>
      </c>
      <c r="F1616" s="79" t="str">
        <f t="shared" si="127"/>
        <v/>
      </c>
      <c r="G1616" s="101"/>
      <c r="H1616" s="91">
        <f t="shared" si="128"/>
        <v>0</v>
      </c>
      <c r="I1616" s="91" t="str">
        <f t="shared" si="129"/>
        <v/>
      </c>
      <c r="J1616" s="91" t="str">
        <f t="shared" si="130"/>
        <v/>
      </c>
      <c r="K1616" s="92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2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58"/>
      <c r="U1616" s="217" t="str">
        <f t="shared" si="131"/>
        <v/>
      </c>
      <c r="V1616" s="215" t="s">
        <v>47</v>
      </c>
      <c r="W1616" s="102" t="s">
        <v>136</v>
      </c>
      <c r="X1616" s="102" t="s">
        <v>137</v>
      </c>
      <c r="Y1616" s="103" t="s">
        <v>138</v>
      </c>
      <c r="Z1616" s="103" t="s">
        <v>139</v>
      </c>
      <c r="AA1616" s="103" t="s">
        <v>47</v>
      </c>
      <c r="AB1616" s="103" t="s">
        <v>140</v>
      </c>
      <c r="AC1616" s="104" t="s">
        <v>141</v>
      </c>
    </row>
    <row r="1617" spans="1:29" ht="25.5" customHeight="1" x14ac:dyDescent="0.35">
      <c r="A1617" s="188"/>
      <c r="B1617" s="190"/>
      <c r="C1617" s="99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0"/>
      <c r="E1617" s="78" t="str">
        <f>IF(C1617="","",IFERROR(VLOOKUP(C1617,parametros!$A$11:$E$15,5,0),""))</f>
        <v/>
      </c>
      <c r="F1617" s="79" t="str">
        <f t="shared" si="127"/>
        <v/>
      </c>
      <c r="G1617" s="101"/>
      <c r="H1617" s="91">
        <f t="shared" si="128"/>
        <v>0</v>
      </c>
      <c r="I1617" s="91" t="str">
        <f t="shared" si="129"/>
        <v/>
      </c>
      <c r="J1617" s="91" t="str">
        <f t="shared" si="130"/>
        <v/>
      </c>
      <c r="K1617" s="92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2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58"/>
      <c r="U1617" s="217" t="str">
        <f t="shared" si="131"/>
        <v/>
      </c>
      <c r="V1617" s="215" t="s">
        <v>47</v>
      </c>
      <c r="W1617" s="102" t="s">
        <v>136</v>
      </c>
      <c r="X1617" s="102" t="s">
        <v>137</v>
      </c>
      <c r="Y1617" s="103" t="s">
        <v>138</v>
      </c>
      <c r="Z1617" s="103" t="s">
        <v>139</v>
      </c>
      <c r="AA1617" s="103" t="s">
        <v>47</v>
      </c>
      <c r="AB1617" s="103" t="s">
        <v>140</v>
      </c>
      <c r="AC1617" s="104" t="s">
        <v>141</v>
      </c>
    </row>
    <row r="1618" spans="1:29" ht="25.5" customHeight="1" x14ac:dyDescent="0.35">
      <c r="A1618" s="188"/>
      <c r="B1618" s="190"/>
      <c r="C1618" s="99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0"/>
      <c r="E1618" s="78" t="str">
        <f>IF(C1618="","",IFERROR(VLOOKUP(C1618,parametros!$A$11:$E$15,5,0),""))</f>
        <v/>
      </c>
      <c r="F1618" s="79" t="str">
        <f t="shared" si="127"/>
        <v/>
      </c>
      <c r="G1618" s="101"/>
      <c r="H1618" s="91">
        <f t="shared" si="128"/>
        <v>0</v>
      </c>
      <c r="I1618" s="91" t="str">
        <f t="shared" si="129"/>
        <v/>
      </c>
      <c r="J1618" s="91" t="str">
        <f t="shared" si="130"/>
        <v/>
      </c>
      <c r="K1618" s="92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2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58"/>
      <c r="U1618" s="217" t="str">
        <f t="shared" si="131"/>
        <v/>
      </c>
      <c r="V1618" s="215" t="s">
        <v>47</v>
      </c>
      <c r="W1618" s="102" t="s">
        <v>136</v>
      </c>
      <c r="X1618" s="102" t="s">
        <v>137</v>
      </c>
      <c r="Y1618" s="103" t="s">
        <v>138</v>
      </c>
      <c r="Z1618" s="103" t="s">
        <v>139</v>
      </c>
      <c r="AA1618" s="103" t="s">
        <v>47</v>
      </c>
      <c r="AB1618" s="103" t="s">
        <v>140</v>
      </c>
      <c r="AC1618" s="104" t="s">
        <v>141</v>
      </c>
    </row>
    <row r="1619" spans="1:29" ht="25.5" customHeight="1" x14ac:dyDescent="0.35">
      <c r="A1619" s="188"/>
      <c r="B1619" s="190"/>
      <c r="C1619" s="99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0"/>
      <c r="E1619" s="78" t="str">
        <f>IF(C1619="","",IFERROR(VLOOKUP(C1619,parametros!$A$11:$E$15,5,0),""))</f>
        <v/>
      </c>
      <c r="F1619" s="79" t="str">
        <f t="shared" si="127"/>
        <v/>
      </c>
      <c r="G1619" s="101"/>
      <c r="H1619" s="91">
        <f t="shared" si="128"/>
        <v>0</v>
      </c>
      <c r="I1619" s="91" t="str">
        <f t="shared" si="129"/>
        <v/>
      </c>
      <c r="J1619" s="91" t="str">
        <f t="shared" si="130"/>
        <v/>
      </c>
      <c r="K1619" s="92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2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58"/>
      <c r="U1619" s="217" t="str">
        <f t="shared" si="131"/>
        <v/>
      </c>
      <c r="V1619" s="215" t="s">
        <v>47</v>
      </c>
      <c r="W1619" s="102" t="s">
        <v>136</v>
      </c>
      <c r="X1619" s="102" t="s">
        <v>137</v>
      </c>
      <c r="Y1619" s="103" t="s">
        <v>138</v>
      </c>
      <c r="Z1619" s="103" t="s">
        <v>139</v>
      </c>
      <c r="AA1619" s="103" t="s">
        <v>47</v>
      </c>
      <c r="AB1619" s="103" t="s">
        <v>140</v>
      </c>
      <c r="AC1619" s="104" t="s">
        <v>141</v>
      </c>
    </row>
    <row r="1620" spans="1:29" ht="25.5" customHeight="1" x14ac:dyDescent="0.35">
      <c r="A1620" s="188"/>
      <c r="B1620" s="190"/>
      <c r="C1620" s="99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0"/>
      <c r="E1620" s="78" t="str">
        <f>IF(C1620="","",IFERROR(VLOOKUP(C1620,parametros!$A$11:$E$15,5,0),""))</f>
        <v/>
      </c>
      <c r="F1620" s="79" t="str">
        <f t="shared" si="127"/>
        <v/>
      </c>
      <c r="G1620" s="101"/>
      <c r="H1620" s="91">
        <f t="shared" si="128"/>
        <v>0</v>
      </c>
      <c r="I1620" s="91" t="str">
        <f t="shared" si="129"/>
        <v/>
      </c>
      <c r="J1620" s="91" t="str">
        <f t="shared" si="130"/>
        <v/>
      </c>
      <c r="K1620" s="92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2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58"/>
      <c r="U1620" s="217" t="str">
        <f t="shared" si="131"/>
        <v/>
      </c>
      <c r="V1620" s="215" t="s">
        <v>47</v>
      </c>
      <c r="W1620" s="102" t="s">
        <v>136</v>
      </c>
      <c r="X1620" s="102" t="s">
        <v>137</v>
      </c>
      <c r="Y1620" s="103" t="s">
        <v>138</v>
      </c>
      <c r="Z1620" s="103" t="s">
        <v>139</v>
      </c>
      <c r="AA1620" s="103" t="s">
        <v>47</v>
      </c>
      <c r="AB1620" s="103" t="s">
        <v>140</v>
      </c>
      <c r="AC1620" s="104" t="s">
        <v>141</v>
      </c>
    </row>
    <row r="1621" spans="1:29" ht="25.5" customHeight="1" x14ac:dyDescent="0.35">
      <c r="A1621" s="188"/>
      <c r="B1621" s="190"/>
      <c r="C1621" s="99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0"/>
      <c r="E1621" s="78" t="str">
        <f>IF(C1621="","",IFERROR(VLOOKUP(C1621,parametros!$A$11:$E$15,5,0),""))</f>
        <v/>
      </c>
      <c r="F1621" s="79" t="str">
        <f t="shared" si="127"/>
        <v/>
      </c>
      <c r="G1621" s="101"/>
      <c r="H1621" s="91">
        <f t="shared" si="128"/>
        <v>0</v>
      </c>
      <c r="I1621" s="91" t="str">
        <f t="shared" si="129"/>
        <v/>
      </c>
      <c r="J1621" s="91" t="str">
        <f t="shared" si="130"/>
        <v/>
      </c>
      <c r="K1621" s="92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2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58"/>
      <c r="U1621" s="217" t="str">
        <f t="shared" si="131"/>
        <v/>
      </c>
      <c r="V1621" s="215" t="s">
        <v>47</v>
      </c>
      <c r="W1621" s="102" t="s">
        <v>136</v>
      </c>
      <c r="X1621" s="102" t="s">
        <v>137</v>
      </c>
      <c r="Y1621" s="103" t="s">
        <v>138</v>
      </c>
      <c r="Z1621" s="103" t="s">
        <v>139</v>
      </c>
      <c r="AA1621" s="103" t="s">
        <v>47</v>
      </c>
      <c r="AB1621" s="103" t="s">
        <v>140</v>
      </c>
      <c r="AC1621" s="104" t="s">
        <v>141</v>
      </c>
    </row>
    <row r="1622" spans="1:29" ht="25.5" customHeight="1" x14ac:dyDescent="0.35">
      <c r="A1622" s="188"/>
      <c r="B1622" s="190"/>
      <c r="C1622" s="99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0"/>
      <c r="E1622" s="78" t="str">
        <f>IF(C1622="","",IFERROR(VLOOKUP(C1622,parametros!$A$11:$E$15,5,0),""))</f>
        <v/>
      </c>
      <c r="F1622" s="79" t="str">
        <f t="shared" si="127"/>
        <v/>
      </c>
      <c r="G1622" s="101"/>
      <c r="H1622" s="91">
        <f t="shared" si="128"/>
        <v>0</v>
      </c>
      <c r="I1622" s="91" t="str">
        <f t="shared" si="129"/>
        <v/>
      </c>
      <c r="J1622" s="91" t="str">
        <f t="shared" si="130"/>
        <v/>
      </c>
      <c r="K1622" s="92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2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58"/>
      <c r="U1622" s="217" t="str">
        <f t="shared" si="131"/>
        <v/>
      </c>
      <c r="V1622" s="215" t="s">
        <v>47</v>
      </c>
      <c r="W1622" s="102" t="s">
        <v>136</v>
      </c>
      <c r="X1622" s="102" t="s">
        <v>137</v>
      </c>
      <c r="Y1622" s="103" t="s">
        <v>138</v>
      </c>
      <c r="Z1622" s="103" t="s">
        <v>139</v>
      </c>
      <c r="AA1622" s="103" t="s">
        <v>47</v>
      </c>
      <c r="AB1622" s="103" t="s">
        <v>140</v>
      </c>
      <c r="AC1622" s="104" t="s">
        <v>141</v>
      </c>
    </row>
    <row r="1623" spans="1:29" ht="25.5" customHeight="1" x14ac:dyDescent="0.35">
      <c r="A1623" s="188"/>
      <c r="B1623" s="190"/>
      <c r="C1623" s="99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0"/>
      <c r="E1623" s="78" t="str">
        <f>IF(C1623="","",IFERROR(VLOOKUP(C1623,parametros!$A$11:$E$15,5,0),""))</f>
        <v/>
      </c>
      <c r="F1623" s="79" t="str">
        <f t="shared" si="127"/>
        <v/>
      </c>
      <c r="G1623" s="101"/>
      <c r="H1623" s="91">
        <f t="shared" si="128"/>
        <v>0</v>
      </c>
      <c r="I1623" s="91" t="str">
        <f t="shared" si="129"/>
        <v/>
      </c>
      <c r="J1623" s="91" t="str">
        <f t="shared" si="130"/>
        <v/>
      </c>
      <c r="K1623" s="92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2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58"/>
      <c r="U1623" s="217" t="str">
        <f t="shared" si="131"/>
        <v/>
      </c>
      <c r="V1623" s="215" t="s">
        <v>47</v>
      </c>
      <c r="W1623" s="102" t="s">
        <v>136</v>
      </c>
      <c r="X1623" s="102" t="s">
        <v>137</v>
      </c>
      <c r="Y1623" s="103" t="s">
        <v>138</v>
      </c>
      <c r="Z1623" s="103" t="s">
        <v>139</v>
      </c>
      <c r="AA1623" s="103" t="s">
        <v>47</v>
      </c>
      <c r="AB1623" s="103" t="s">
        <v>140</v>
      </c>
      <c r="AC1623" s="104" t="s">
        <v>141</v>
      </c>
    </row>
    <row r="1624" spans="1:29" ht="25.5" customHeight="1" x14ac:dyDescent="0.35">
      <c r="A1624" s="188"/>
      <c r="B1624" s="190"/>
      <c r="C1624" s="99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0"/>
      <c r="E1624" s="78" t="str">
        <f>IF(C1624="","",IFERROR(VLOOKUP(C1624,parametros!$A$11:$E$15,5,0),""))</f>
        <v/>
      </c>
      <c r="F1624" s="79" t="str">
        <f t="shared" si="127"/>
        <v/>
      </c>
      <c r="G1624" s="101"/>
      <c r="H1624" s="91">
        <f t="shared" si="128"/>
        <v>0</v>
      </c>
      <c r="I1624" s="91" t="str">
        <f t="shared" si="129"/>
        <v/>
      </c>
      <c r="J1624" s="91" t="str">
        <f t="shared" si="130"/>
        <v/>
      </c>
      <c r="K1624" s="92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2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58"/>
      <c r="U1624" s="217" t="str">
        <f t="shared" si="131"/>
        <v/>
      </c>
      <c r="V1624" s="215" t="s">
        <v>47</v>
      </c>
      <c r="W1624" s="102" t="s">
        <v>136</v>
      </c>
      <c r="X1624" s="102" t="s">
        <v>137</v>
      </c>
      <c r="Y1624" s="103" t="s">
        <v>138</v>
      </c>
      <c r="Z1624" s="103" t="s">
        <v>139</v>
      </c>
      <c r="AA1624" s="103" t="s">
        <v>47</v>
      </c>
      <c r="AB1624" s="103" t="s">
        <v>140</v>
      </c>
      <c r="AC1624" s="104" t="s">
        <v>141</v>
      </c>
    </row>
    <row r="1625" spans="1:29" ht="25.5" customHeight="1" x14ac:dyDescent="0.35">
      <c r="A1625" s="188"/>
      <c r="B1625" s="190"/>
      <c r="C1625" s="99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0"/>
      <c r="E1625" s="78" t="str">
        <f>IF(C1625="","",IFERROR(VLOOKUP(C1625,parametros!$A$11:$E$15,5,0),""))</f>
        <v/>
      </c>
      <c r="F1625" s="79" t="str">
        <f t="shared" si="127"/>
        <v/>
      </c>
      <c r="G1625" s="101"/>
      <c r="H1625" s="91">
        <f t="shared" si="128"/>
        <v>0</v>
      </c>
      <c r="I1625" s="91" t="str">
        <f t="shared" si="129"/>
        <v/>
      </c>
      <c r="J1625" s="91" t="str">
        <f t="shared" si="130"/>
        <v/>
      </c>
      <c r="K1625" s="92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2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58"/>
      <c r="U1625" s="217" t="str">
        <f t="shared" si="131"/>
        <v/>
      </c>
      <c r="V1625" s="215" t="s">
        <v>47</v>
      </c>
      <c r="W1625" s="102" t="s">
        <v>136</v>
      </c>
      <c r="X1625" s="102" t="s">
        <v>137</v>
      </c>
      <c r="Y1625" s="103" t="s">
        <v>138</v>
      </c>
      <c r="Z1625" s="103" t="s">
        <v>139</v>
      </c>
      <c r="AA1625" s="103" t="s">
        <v>47</v>
      </c>
      <c r="AB1625" s="103" t="s">
        <v>140</v>
      </c>
      <c r="AC1625" s="104" t="s">
        <v>141</v>
      </c>
    </row>
    <row r="1626" spans="1:29" ht="25.5" customHeight="1" x14ac:dyDescent="0.35">
      <c r="A1626" s="188"/>
      <c r="B1626" s="190"/>
      <c r="C1626" s="99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0"/>
      <c r="E1626" s="78" t="str">
        <f>IF(C1626="","",IFERROR(VLOOKUP(C1626,parametros!$A$11:$E$15,5,0),""))</f>
        <v/>
      </c>
      <c r="F1626" s="79" t="str">
        <f t="shared" si="127"/>
        <v/>
      </c>
      <c r="G1626" s="101"/>
      <c r="H1626" s="91">
        <f t="shared" si="128"/>
        <v>0</v>
      </c>
      <c r="I1626" s="91" t="str">
        <f t="shared" si="129"/>
        <v/>
      </c>
      <c r="J1626" s="91" t="str">
        <f t="shared" si="130"/>
        <v/>
      </c>
      <c r="K1626" s="92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2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58"/>
      <c r="U1626" s="217" t="str">
        <f t="shared" si="131"/>
        <v/>
      </c>
      <c r="V1626" s="215" t="s">
        <v>47</v>
      </c>
      <c r="W1626" s="102" t="s">
        <v>136</v>
      </c>
      <c r="X1626" s="102" t="s">
        <v>137</v>
      </c>
      <c r="Y1626" s="103" t="s">
        <v>138</v>
      </c>
      <c r="Z1626" s="103" t="s">
        <v>139</v>
      </c>
      <c r="AA1626" s="103" t="s">
        <v>47</v>
      </c>
      <c r="AB1626" s="103" t="s">
        <v>140</v>
      </c>
      <c r="AC1626" s="104" t="s">
        <v>141</v>
      </c>
    </row>
    <row r="1627" spans="1:29" ht="25.5" customHeight="1" x14ac:dyDescent="0.35">
      <c r="A1627" s="188"/>
      <c r="B1627" s="190"/>
      <c r="C1627" s="99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0"/>
      <c r="E1627" s="78" t="str">
        <f>IF(C1627="","",IFERROR(VLOOKUP(C1627,parametros!$A$11:$E$15,5,0),""))</f>
        <v/>
      </c>
      <c r="F1627" s="79" t="str">
        <f t="shared" si="127"/>
        <v/>
      </c>
      <c r="G1627" s="101"/>
      <c r="H1627" s="91">
        <f t="shared" si="128"/>
        <v>0</v>
      </c>
      <c r="I1627" s="91" t="str">
        <f t="shared" si="129"/>
        <v/>
      </c>
      <c r="J1627" s="91" t="str">
        <f t="shared" si="130"/>
        <v/>
      </c>
      <c r="K1627" s="92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2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58"/>
      <c r="U1627" s="217" t="str">
        <f t="shared" si="131"/>
        <v/>
      </c>
      <c r="V1627" s="215" t="s">
        <v>47</v>
      </c>
      <c r="W1627" s="102" t="s">
        <v>136</v>
      </c>
      <c r="X1627" s="102" t="s">
        <v>137</v>
      </c>
      <c r="Y1627" s="103" t="s">
        <v>138</v>
      </c>
      <c r="Z1627" s="103" t="s">
        <v>139</v>
      </c>
      <c r="AA1627" s="103" t="s">
        <v>47</v>
      </c>
      <c r="AB1627" s="103" t="s">
        <v>140</v>
      </c>
      <c r="AC1627" s="104" t="s">
        <v>141</v>
      </c>
    </row>
    <row r="1628" spans="1:29" ht="25.5" customHeight="1" x14ac:dyDescent="0.35">
      <c r="A1628" s="188"/>
      <c r="B1628" s="190"/>
      <c r="C1628" s="99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0"/>
      <c r="E1628" s="78" t="str">
        <f>IF(C1628="","",IFERROR(VLOOKUP(C1628,parametros!$A$11:$E$15,5,0),""))</f>
        <v/>
      </c>
      <c r="F1628" s="79" t="str">
        <f t="shared" si="127"/>
        <v/>
      </c>
      <c r="G1628" s="101"/>
      <c r="H1628" s="91">
        <f t="shared" si="128"/>
        <v>0</v>
      </c>
      <c r="I1628" s="91" t="str">
        <f t="shared" si="129"/>
        <v/>
      </c>
      <c r="J1628" s="91" t="str">
        <f t="shared" si="130"/>
        <v/>
      </c>
      <c r="K1628" s="92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2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58"/>
      <c r="U1628" s="217" t="str">
        <f t="shared" si="131"/>
        <v/>
      </c>
      <c r="V1628" s="215" t="s">
        <v>47</v>
      </c>
      <c r="W1628" s="102" t="s">
        <v>136</v>
      </c>
      <c r="X1628" s="102" t="s">
        <v>137</v>
      </c>
      <c r="Y1628" s="103" t="s">
        <v>138</v>
      </c>
      <c r="Z1628" s="103" t="s">
        <v>139</v>
      </c>
      <c r="AA1628" s="103" t="s">
        <v>47</v>
      </c>
      <c r="AB1628" s="103" t="s">
        <v>140</v>
      </c>
      <c r="AC1628" s="104" t="s">
        <v>141</v>
      </c>
    </row>
    <row r="1629" spans="1:29" ht="25.5" customHeight="1" x14ac:dyDescent="0.35">
      <c r="A1629" s="188"/>
      <c r="B1629" s="190"/>
      <c r="C1629" s="99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0"/>
      <c r="E1629" s="78" t="str">
        <f>IF(C1629="","",IFERROR(VLOOKUP(C1629,parametros!$A$11:$E$15,5,0),""))</f>
        <v/>
      </c>
      <c r="F1629" s="79" t="str">
        <f t="shared" si="127"/>
        <v/>
      </c>
      <c r="G1629" s="101"/>
      <c r="H1629" s="91">
        <f t="shared" si="128"/>
        <v>0</v>
      </c>
      <c r="I1629" s="91" t="str">
        <f t="shared" si="129"/>
        <v/>
      </c>
      <c r="J1629" s="91" t="str">
        <f t="shared" si="130"/>
        <v/>
      </c>
      <c r="K1629" s="92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2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58"/>
      <c r="U1629" s="217" t="str">
        <f t="shared" si="131"/>
        <v/>
      </c>
      <c r="V1629" s="215" t="s">
        <v>47</v>
      </c>
      <c r="W1629" s="102" t="s">
        <v>136</v>
      </c>
      <c r="X1629" s="102" t="s">
        <v>137</v>
      </c>
      <c r="Y1629" s="103" t="s">
        <v>138</v>
      </c>
      <c r="Z1629" s="103" t="s">
        <v>139</v>
      </c>
      <c r="AA1629" s="103" t="s">
        <v>47</v>
      </c>
      <c r="AB1629" s="103" t="s">
        <v>140</v>
      </c>
      <c r="AC1629" s="104" t="s">
        <v>141</v>
      </c>
    </row>
    <row r="1630" spans="1:29" ht="25.5" customHeight="1" x14ac:dyDescent="0.35">
      <c r="A1630" s="188"/>
      <c r="B1630" s="190"/>
      <c r="C1630" s="99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0"/>
      <c r="E1630" s="78" t="str">
        <f>IF(C1630="","",IFERROR(VLOOKUP(C1630,parametros!$A$11:$E$15,5,0),""))</f>
        <v/>
      </c>
      <c r="F1630" s="79" t="str">
        <f t="shared" si="127"/>
        <v/>
      </c>
      <c r="G1630" s="101"/>
      <c r="H1630" s="91">
        <f t="shared" si="128"/>
        <v>0</v>
      </c>
      <c r="I1630" s="91" t="str">
        <f t="shared" si="129"/>
        <v/>
      </c>
      <c r="J1630" s="91" t="str">
        <f t="shared" si="130"/>
        <v/>
      </c>
      <c r="K1630" s="92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2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58"/>
      <c r="U1630" s="217" t="str">
        <f t="shared" si="131"/>
        <v/>
      </c>
      <c r="V1630" s="215" t="s">
        <v>47</v>
      </c>
      <c r="W1630" s="102" t="s">
        <v>136</v>
      </c>
      <c r="X1630" s="102" t="s">
        <v>137</v>
      </c>
      <c r="Y1630" s="103" t="s">
        <v>138</v>
      </c>
      <c r="Z1630" s="103" t="s">
        <v>139</v>
      </c>
      <c r="AA1630" s="103" t="s">
        <v>47</v>
      </c>
      <c r="AB1630" s="103" t="s">
        <v>140</v>
      </c>
      <c r="AC1630" s="104" t="s">
        <v>141</v>
      </c>
    </row>
    <row r="1631" spans="1:29" ht="25.5" customHeight="1" x14ac:dyDescent="0.35">
      <c r="A1631" s="188"/>
      <c r="B1631" s="190"/>
      <c r="C1631" s="99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0"/>
      <c r="E1631" s="78" t="str">
        <f>IF(C1631="","",IFERROR(VLOOKUP(C1631,parametros!$A$11:$E$15,5,0),""))</f>
        <v/>
      </c>
      <c r="F1631" s="79" t="str">
        <f t="shared" si="127"/>
        <v/>
      </c>
      <c r="G1631" s="101"/>
      <c r="H1631" s="91">
        <f t="shared" si="128"/>
        <v>0</v>
      </c>
      <c r="I1631" s="91" t="str">
        <f t="shared" si="129"/>
        <v/>
      </c>
      <c r="J1631" s="91" t="str">
        <f t="shared" si="130"/>
        <v/>
      </c>
      <c r="K1631" s="92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2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58"/>
      <c r="U1631" s="217" t="str">
        <f t="shared" si="131"/>
        <v/>
      </c>
      <c r="V1631" s="215" t="s">
        <v>47</v>
      </c>
      <c r="W1631" s="102" t="s">
        <v>136</v>
      </c>
      <c r="X1631" s="102" t="s">
        <v>137</v>
      </c>
      <c r="Y1631" s="103" t="s">
        <v>138</v>
      </c>
      <c r="Z1631" s="103" t="s">
        <v>139</v>
      </c>
      <c r="AA1631" s="103" t="s">
        <v>47</v>
      </c>
      <c r="AB1631" s="103" t="s">
        <v>140</v>
      </c>
      <c r="AC1631" s="104" t="s">
        <v>141</v>
      </c>
    </row>
    <row r="1632" spans="1:29" ht="25.5" customHeight="1" x14ac:dyDescent="0.35">
      <c r="A1632" s="188"/>
      <c r="B1632" s="190"/>
      <c r="C1632" s="99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0"/>
      <c r="E1632" s="78" t="str">
        <f>IF(C1632="","",IFERROR(VLOOKUP(C1632,parametros!$A$11:$E$15,5,0),""))</f>
        <v/>
      </c>
      <c r="F1632" s="79" t="str">
        <f t="shared" si="127"/>
        <v/>
      </c>
      <c r="G1632" s="101"/>
      <c r="H1632" s="91">
        <f t="shared" si="128"/>
        <v>0</v>
      </c>
      <c r="I1632" s="91" t="str">
        <f t="shared" si="129"/>
        <v/>
      </c>
      <c r="J1632" s="91" t="str">
        <f t="shared" si="130"/>
        <v/>
      </c>
      <c r="K1632" s="92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2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58"/>
      <c r="U1632" s="217" t="str">
        <f t="shared" si="131"/>
        <v/>
      </c>
      <c r="V1632" s="215" t="s">
        <v>47</v>
      </c>
      <c r="W1632" s="102" t="s">
        <v>136</v>
      </c>
      <c r="X1632" s="102" t="s">
        <v>137</v>
      </c>
      <c r="Y1632" s="103" t="s">
        <v>138</v>
      </c>
      <c r="Z1632" s="103" t="s">
        <v>139</v>
      </c>
      <c r="AA1632" s="103" t="s">
        <v>47</v>
      </c>
      <c r="AB1632" s="103" t="s">
        <v>140</v>
      </c>
      <c r="AC1632" s="104" t="s">
        <v>141</v>
      </c>
    </row>
    <row r="1633" spans="1:29" ht="25.5" customHeight="1" x14ac:dyDescent="0.35">
      <c r="A1633" s="188"/>
      <c r="B1633" s="190"/>
      <c r="C1633" s="99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0"/>
      <c r="E1633" s="78" t="str">
        <f>IF(C1633="","",IFERROR(VLOOKUP(C1633,parametros!$A$11:$E$15,5,0),""))</f>
        <v/>
      </c>
      <c r="F1633" s="79" t="str">
        <f t="shared" si="127"/>
        <v/>
      </c>
      <c r="G1633" s="101"/>
      <c r="H1633" s="91">
        <f t="shared" si="128"/>
        <v>0</v>
      </c>
      <c r="I1633" s="91" t="str">
        <f t="shared" si="129"/>
        <v/>
      </c>
      <c r="J1633" s="91" t="str">
        <f t="shared" si="130"/>
        <v/>
      </c>
      <c r="K1633" s="92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2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58"/>
      <c r="U1633" s="217" t="str">
        <f t="shared" si="131"/>
        <v/>
      </c>
      <c r="V1633" s="215" t="s">
        <v>47</v>
      </c>
      <c r="W1633" s="102" t="s">
        <v>136</v>
      </c>
      <c r="X1633" s="102" t="s">
        <v>137</v>
      </c>
      <c r="Y1633" s="103" t="s">
        <v>138</v>
      </c>
      <c r="Z1633" s="103" t="s">
        <v>139</v>
      </c>
      <c r="AA1633" s="103" t="s">
        <v>47</v>
      </c>
      <c r="AB1633" s="103" t="s">
        <v>140</v>
      </c>
      <c r="AC1633" s="104" t="s">
        <v>141</v>
      </c>
    </row>
    <row r="1634" spans="1:29" ht="25.5" customHeight="1" x14ac:dyDescent="0.35">
      <c r="A1634" s="188"/>
      <c r="B1634" s="190"/>
      <c r="C1634" s="99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0"/>
      <c r="E1634" s="78" t="str">
        <f>IF(C1634="","",IFERROR(VLOOKUP(C1634,parametros!$A$11:$E$15,5,0),""))</f>
        <v/>
      </c>
      <c r="F1634" s="79" t="str">
        <f t="shared" si="127"/>
        <v/>
      </c>
      <c r="G1634" s="101"/>
      <c r="H1634" s="91">
        <f t="shared" si="128"/>
        <v>0</v>
      </c>
      <c r="I1634" s="91" t="str">
        <f t="shared" si="129"/>
        <v/>
      </c>
      <c r="J1634" s="91" t="str">
        <f t="shared" si="130"/>
        <v/>
      </c>
      <c r="K1634" s="92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2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58"/>
      <c r="U1634" s="217" t="str">
        <f t="shared" si="131"/>
        <v/>
      </c>
      <c r="V1634" s="215" t="s">
        <v>47</v>
      </c>
      <c r="W1634" s="102" t="s">
        <v>136</v>
      </c>
      <c r="X1634" s="102" t="s">
        <v>137</v>
      </c>
      <c r="Y1634" s="103" t="s">
        <v>138</v>
      </c>
      <c r="Z1634" s="103" t="s">
        <v>139</v>
      </c>
      <c r="AA1634" s="103" t="s">
        <v>47</v>
      </c>
      <c r="AB1634" s="103" t="s">
        <v>140</v>
      </c>
      <c r="AC1634" s="104" t="s">
        <v>141</v>
      </c>
    </row>
    <row r="1635" spans="1:29" ht="25.5" customHeight="1" x14ac:dyDescent="0.35">
      <c r="A1635" s="188"/>
      <c r="B1635" s="190"/>
      <c r="C1635" s="99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0"/>
      <c r="E1635" s="78" t="str">
        <f>IF(C1635="","",IFERROR(VLOOKUP(C1635,parametros!$A$11:$E$15,5,0),""))</f>
        <v/>
      </c>
      <c r="F1635" s="79" t="str">
        <f t="shared" si="127"/>
        <v/>
      </c>
      <c r="G1635" s="101"/>
      <c r="H1635" s="91">
        <f t="shared" si="128"/>
        <v>0</v>
      </c>
      <c r="I1635" s="91" t="str">
        <f t="shared" si="129"/>
        <v/>
      </c>
      <c r="J1635" s="91" t="str">
        <f t="shared" si="130"/>
        <v/>
      </c>
      <c r="K1635" s="92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2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58"/>
      <c r="U1635" s="217" t="str">
        <f t="shared" si="131"/>
        <v/>
      </c>
      <c r="V1635" s="215" t="s">
        <v>47</v>
      </c>
      <c r="W1635" s="102" t="s">
        <v>136</v>
      </c>
      <c r="X1635" s="102" t="s">
        <v>137</v>
      </c>
      <c r="Y1635" s="103" t="s">
        <v>138</v>
      </c>
      <c r="Z1635" s="103" t="s">
        <v>139</v>
      </c>
      <c r="AA1635" s="103" t="s">
        <v>47</v>
      </c>
      <c r="AB1635" s="103" t="s">
        <v>140</v>
      </c>
      <c r="AC1635" s="104" t="s">
        <v>141</v>
      </c>
    </row>
    <row r="1636" spans="1:29" ht="25.5" customHeight="1" x14ac:dyDescent="0.35">
      <c r="A1636" s="188"/>
      <c r="B1636" s="190"/>
      <c r="C1636" s="99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0"/>
      <c r="E1636" s="78" t="str">
        <f>IF(C1636="","",IFERROR(VLOOKUP(C1636,parametros!$A$11:$E$15,5,0),""))</f>
        <v/>
      </c>
      <c r="F1636" s="79" t="str">
        <f t="shared" si="127"/>
        <v/>
      </c>
      <c r="G1636" s="101"/>
      <c r="H1636" s="91">
        <f t="shared" si="128"/>
        <v>0</v>
      </c>
      <c r="I1636" s="91" t="str">
        <f t="shared" si="129"/>
        <v/>
      </c>
      <c r="J1636" s="91" t="str">
        <f t="shared" si="130"/>
        <v/>
      </c>
      <c r="K1636" s="92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2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58"/>
      <c r="U1636" s="217" t="str">
        <f t="shared" si="131"/>
        <v/>
      </c>
      <c r="V1636" s="215" t="s">
        <v>47</v>
      </c>
      <c r="W1636" s="102" t="s">
        <v>136</v>
      </c>
      <c r="X1636" s="102" t="s">
        <v>137</v>
      </c>
      <c r="Y1636" s="103" t="s">
        <v>138</v>
      </c>
      <c r="Z1636" s="103" t="s">
        <v>139</v>
      </c>
      <c r="AA1636" s="103" t="s">
        <v>47</v>
      </c>
      <c r="AB1636" s="103" t="s">
        <v>140</v>
      </c>
      <c r="AC1636" s="104" t="s">
        <v>141</v>
      </c>
    </row>
    <row r="1637" spans="1:29" ht="25.5" customHeight="1" x14ac:dyDescent="0.35">
      <c r="A1637" s="188"/>
      <c r="B1637" s="190"/>
      <c r="C1637" s="99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0"/>
      <c r="E1637" s="78" t="str">
        <f>IF(C1637="","",IFERROR(VLOOKUP(C1637,parametros!$A$11:$E$15,5,0),""))</f>
        <v/>
      </c>
      <c r="F1637" s="79" t="str">
        <f t="shared" si="127"/>
        <v/>
      </c>
      <c r="G1637" s="101"/>
      <c r="H1637" s="91">
        <f t="shared" si="128"/>
        <v>0</v>
      </c>
      <c r="I1637" s="91" t="str">
        <f t="shared" si="129"/>
        <v/>
      </c>
      <c r="J1637" s="91" t="str">
        <f t="shared" si="130"/>
        <v/>
      </c>
      <c r="K1637" s="92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2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58"/>
      <c r="U1637" s="217" t="str">
        <f t="shared" si="131"/>
        <v/>
      </c>
      <c r="V1637" s="215" t="s">
        <v>47</v>
      </c>
      <c r="W1637" s="102" t="s">
        <v>136</v>
      </c>
      <c r="X1637" s="102" t="s">
        <v>137</v>
      </c>
      <c r="Y1637" s="103" t="s">
        <v>138</v>
      </c>
      <c r="Z1637" s="103" t="s">
        <v>139</v>
      </c>
      <c r="AA1637" s="103" t="s">
        <v>47</v>
      </c>
      <c r="AB1637" s="103" t="s">
        <v>140</v>
      </c>
      <c r="AC1637" s="104" t="s">
        <v>141</v>
      </c>
    </row>
    <row r="1638" spans="1:29" ht="25.5" customHeight="1" x14ac:dyDescent="0.35">
      <c r="A1638" s="188"/>
      <c r="B1638" s="190"/>
      <c r="C1638" s="99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0"/>
      <c r="E1638" s="78" t="str">
        <f>IF(C1638="","",IFERROR(VLOOKUP(C1638,parametros!$A$11:$E$15,5,0),""))</f>
        <v/>
      </c>
      <c r="F1638" s="79" t="str">
        <f t="shared" si="127"/>
        <v/>
      </c>
      <c r="G1638" s="101"/>
      <c r="H1638" s="91">
        <f t="shared" si="128"/>
        <v>0</v>
      </c>
      <c r="I1638" s="91" t="str">
        <f t="shared" si="129"/>
        <v/>
      </c>
      <c r="J1638" s="91" t="str">
        <f t="shared" si="130"/>
        <v/>
      </c>
      <c r="K1638" s="92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2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58"/>
      <c r="U1638" s="217" t="str">
        <f t="shared" si="131"/>
        <v/>
      </c>
      <c r="V1638" s="215" t="s">
        <v>47</v>
      </c>
      <c r="W1638" s="102" t="s">
        <v>136</v>
      </c>
      <c r="X1638" s="102" t="s">
        <v>137</v>
      </c>
      <c r="Y1638" s="103" t="s">
        <v>138</v>
      </c>
      <c r="Z1638" s="103" t="s">
        <v>139</v>
      </c>
      <c r="AA1638" s="103" t="s">
        <v>47</v>
      </c>
      <c r="AB1638" s="103" t="s">
        <v>140</v>
      </c>
      <c r="AC1638" s="104" t="s">
        <v>141</v>
      </c>
    </row>
    <row r="1639" spans="1:29" ht="25.5" customHeight="1" x14ac:dyDescent="0.35">
      <c r="A1639" s="188"/>
      <c r="B1639" s="190"/>
      <c r="C1639" s="99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0"/>
      <c r="E1639" s="78" t="str">
        <f>IF(C1639="","",IFERROR(VLOOKUP(C1639,parametros!$A$11:$E$15,5,0),""))</f>
        <v/>
      </c>
      <c r="F1639" s="79" t="str">
        <f t="shared" si="127"/>
        <v/>
      </c>
      <c r="G1639" s="101"/>
      <c r="H1639" s="91">
        <f t="shared" si="128"/>
        <v>0</v>
      </c>
      <c r="I1639" s="91" t="str">
        <f t="shared" si="129"/>
        <v/>
      </c>
      <c r="J1639" s="91" t="str">
        <f t="shared" si="130"/>
        <v/>
      </c>
      <c r="K1639" s="92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2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58"/>
      <c r="U1639" s="217" t="str">
        <f t="shared" si="131"/>
        <v/>
      </c>
      <c r="V1639" s="215" t="s">
        <v>47</v>
      </c>
      <c r="W1639" s="102" t="s">
        <v>136</v>
      </c>
      <c r="X1639" s="102" t="s">
        <v>137</v>
      </c>
      <c r="Y1639" s="103" t="s">
        <v>138</v>
      </c>
      <c r="Z1639" s="103" t="s">
        <v>139</v>
      </c>
      <c r="AA1639" s="103" t="s">
        <v>47</v>
      </c>
      <c r="AB1639" s="103" t="s">
        <v>140</v>
      </c>
      <c r="AC1639" s="104" t="s">
        <v>141</v>
      </c>
    </row>
    <row r="1640" spans="1:29" ht="25.5" customHeight="1" x14ac:dyDescent="0.35">
      <c r="A1640" s="188"/>
      <c r="B1640" s="190"/>
      <c r="C1640" s="99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0"/>
      <c r="E1640" s="78" t="str">
        <f>IF(C1640="","",IFERROR(VLOOKUP(C1640,parametros!$A$11:$E$15,5,0),""))</f>
        <v/>
      </c>
      <c r="F1640" s="79" t="str">
        <f t="shared" si="127"/>
        <v/>
      </c>
      <c r="G1640" s="101"/>
      <c r="H1640" s="91">
        <f t="shared" si="128"/>
        <v>0</v>
      </c>
      <c r="I1640" s="91" t="str">
        <f t="shared" si="129"/>
        <v/>
      </c>
      <c r="J1640" s="91" t="str">
        <f t="shared" si="130"/>
        <v/>
      </c>
      <c r="K1640" s="92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2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58"/>
      <c r="U1640" s="217" t="str">
        <f t="shared" si="131"/>
        <v/>
      </c>
      <c r="V1640" s="215" t="s">
        <v>47</v>
      </c>
      <c r="W1640" s="102" t="s">
        <v>136</v>
      </c>
      <c r="X1640" s="102" t="s">
        <v>137</v>
      </c>
      <c r="Y1640" s="103" t="s">
        <v>138</v>
      </c>
      <c r="Z1640" s="103" t="s">
        <v>139</v>
      </c>
      <c r="AA1640" s="103" t="s">
        <v>47</v>
      </c>
      <c r="AB1640" s="103" t="s">
        <v>140</v>
      </c>
      <c r="AC1640" s="104" t="s">
        <v>141</v>
      </c>
    </row>
    <row r="1641" spans="1:29" ht="25.5" customHeight="1" x14ac:dyDescent="0.35">
      <c r="A1641" s="188"/>
      <c r="B1641" s="190"/>
      <c r="C1641" s="99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0"/>
      <c r="E1641" s="78" t="str">
        <f>IF(C1641="","",IFERROR(VLOOKUP(C1641,parametros!$A$11:$E$15,5,0),""))</f>
        <v/>
      </c>
      <c r="F1641" s="79" t="str">
        <f t="shared" si="127"/>
        <v/>
      </c>
      <c r="G1641" s="101"/>
      <c r="H1641" s="91">
        <f t="shared" si="128"/>
        <v>0</v>
      </c>
      <c r="I1641" s="91" t="str">
        <f t="shared" si="129"/>
        <v/>
      </c>
      <c r="J1641" s="91" t="str">
        <f t="shared" si="130"/>
        <v/>
      </c>
      <c r="K1641" s="92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2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58"/>
      <c r="U1641" s="217" t="str">
        <f t="shared" si="131"/>
        <v/>
      </c>
      <c r="V1641" s="215" t="s">
        <v>47</v>
      </c>
      <c r="W1641" s="102" t="s">
        <v>136</v>
      </c>
      <c r="X1641" s="102" t="s">
        <v>137</v>
      </c>
      <c r="Y1641" s="103" t="s">
        <v>138</v>
      </c>
      <c r="Z1641" s="103" t="s">
        <v>139</v>
      </c>
      <c r="AA1641" s="103" t="s">
        <v>47</v>
      </c>
      <c r="AB1641" s="103" t="s">
        <v>140</v>
      </c>
      <c r="AC1641" s="104" t="s">
        <v>141</v>
      </c>
    </row>
    <row r="1642" spans="1:29" ht="25.5" customHeight="1" x14ac:dyDescent="0.35">
      <c r="A1642" s="188"/>
      <c r="B1642" s="190"/>
      <c r="C1642" s="99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0"/>
      <c r="E1642" s="78" t="str">
        <f>IF(C1642="","",IFERROR(VLOOKUP(C1642,parametros!$A$11:$E$15,5,0),""))</f>
        <v/>
      </c>
      <c r="F1642" s="79" t="str">
        <f t="shared" si="127"/>
        <v/>
      </c>
      <c r="G1642" s="101"/>
      <c r="H1642" s="91">
        <f t="shared" si="128"/>
        <v>0</v>
      </c>
      <c r="I1642" s="91" t="str">
        <f t="shared" si="129"/>
        <v/>
      </c>
      <c r="J1642" s="91" t="str">
        <f t="shared" si="130"/>
        <v/>
      </c>
      <c r="K1642" s="92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2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58"/>
      <c r="U1642" s="217" t="str">
        <f t="shared" si="131"/>
        <v/>
      </c>
      <c r="V1642" s="215" t="s">
        <v>47</v>
      </c>
      <c r="W1642" s="102" t="s">
        <v>136</v>
      </c>
      <c r="X1642" s="102" t="s">
        <v>137</v>
      </c>
      <c r="Y1642" s="103" t="s">
        <v>138</v>
      </c>
      <c r="Z1642" s="103" t="s">
        <v>139</v>
      </c>
      <c r="AA1642" s="103" t="s">
        <v>47</v>
      </c>
      <c r="AB1642" s="103" t="s">
        <v>140</v>
      </c>
      <c r="AC1642" s="104" t="s">
        <v>141</v>
      </c>
    </row>
    <row r="1643" spans="1:29" ht="25.5" customHeight="1" x14ac:dyDescent="0.35">
      <c r="A1643" s="188"/>
      <c r="B1643" s="190"/>
      <c r="C1643" s="99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0"/>
      <c r="E1643" s="78" t="str">
        <f>IF(C1643="","",IFERROR(VLOOKUP(C1643,parametros!$A$11:$E$15,5,0),""))</f>
        <v/>
      </c>
      <c r="F1643" s="79" t="str">
        <f t="shared" si="127"/>
        <v/>
      </c>
      <c r="G1643" s="101"/>
      <c r="H1643" s="91">
        <f t="shared" si="128"/>
        <v>0</v>
      </c>
      <c r="I1643" s="91" t="str">
        <f t="shared" si="129"/>
        <v/>
      </c>
      <c r="J1643" s="91" t="str">
        <f t="shared" si="130"/>
        <v/>
      </c>
      <c r="K1643" s="92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2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58"/>
      <c r="U1643" s="217" t="str">
        <f t="shared" si="131"/>
        <v/>
      </c>
      <c r="V1643" s="215" t="s">
        <v>47</v>
      </c>
      <c r="W1643" s="102" t="s">
        <v>136</v>
      </c>
      <c r="X1643" s="102" t="s">
        <v>137</v>
      </c>
      <c r="Y1643" s="103" t="s">
        <v>138</v>
      </c>
      <c r="Z1643" s="103" t="s">
        <v>139</v>
      </c>
      <c r="AA1643" s="103" t="s">
        <v>47</v>
      </c>
      <c r="AB1643" s="103" t="s">
        <v>140</v>
      </c>
      <c r="AC1643" s="104" t="s">
        <v>141</v>
      </c>
    </row>
    <row r="1644" spans="1:29" ht="25.5" customHeight="1" x14ac:dyDescent="0.35">
      <c r="A1644" s="188"/>
      <c r="B1644" s="190"/>
      <c r="C1644" s="99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0"/>
      <c r="E1644" s="78" t="str">
        <f>IF(C1644="","",IFERROR(VLOOKUP(C1644,parametros!$A$11:$E$15,5,0),""))</f>
        <v/>
      </c>
      <c r="F1644" s="79" t="str">
        <f t="shared" si="127"/>
        <v/>
      </c>
      <c r="G1644" s="101"/>
      <c r="H1644" s="91">
        <f t="shared" si="128"/>
        <v>0</v>
      </c>
      <c r="I1644" s="91" t="str">
        <f t="shared" si="129"/>
        <v/>
      </c>
      <c r="J1644" s="91" t="str">
        <f t="shared" si="130"/>
        <v/>
      </c>
      <c r="K1644" s="92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2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58"/>
      <c r="U1644" s="217" t="str">
        <f t="shared" si="131"/>
        <v/>
      </c>
      <c r="V1644" s="215" t="s">
        <v>47</v>
      </c>
      <c r="W1644" s="102" t="s">
        <v>136</v>
      </c>
      <c r="X1644" s="102" t="s">
        <v>137</v>
      </c>
      <c r="Y1644" s="103" t="s">
        <v>138</v>
      </c>
      <c r="Z1644" s="103" t="s">
        <v>139</v>
      </c>
      <c r="AA1644" s="103" t="s">
        <v>47</v>
      </c>
      <c r="AB1644" s="103" t="s">
        <v>140</v>
      </c>
      <c r="AC1644" s="104" t="s">
        <v>141</v>
      </c>
    </row>
    <row r="1645" spans="1:29" ht="25.5" customHeight="1" x14ac:dyDescent="0.35">
      <c r="A1645" s="188"/>
      <c r="B1645" s="190"/>
      <c r="C1645" s="99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0"/>
      <c r="E1645" s="78" t="str">
        <f>IF(C1645="","",IFERROR(VLOOKUP(C1645,parametros!$A$11:$E$15,5,0),""))</f>
        <v/>
      </c>
      <c r="F1645" s="79" t="str">
        <f t="shared" si="127"/>
        <v/>
      </c>
      <c r="G1645" s="101"/>
      <c r="H1645" s="91">
        <f t="shared" si="128"/>
        <v>0</v>
      </c>
      <c r="I1645" s="91" t="str">
        <f t="shared" si="129"/>
        <v/>
      </c>
      <c r="J1645" s="91" t="str">
        <f t="shared" si="130"/>
        <v/>
      </c>
      <c r="K1645" s="92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2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58"/>
      <c r="U1645" s="217" t="str">
        <f t="shared" si="131"/>
        <v/>
      </c>
      <c r="V1645" s="215" t="s">
        <v>47</v>
      </c>
      <c r="W1645" s="102" t="s">
        <v>136</v>
      </c>
      <c r="X1645" s="102" t="s">
        <v>137</v>
      </c>
      <c r="Y1645" s="103" t="s">
        <v>138</v>
      </c>
      <c r="Z1645" s="103" t="s">
        <v>139</v>
      </c>
      <c r="AA1645" s="103" t="s">
        <v>47</v>
      </c>
      <c r="AB1645" s="103" t="s">
        <v>140</v>
      </c>
      <c r="AC1645" s="104" t="s">
        <v>141</v>
      </c>
    </row>
    <row r="1646" spans="1:29" ht="25.5" customHeight="1" x14ac:dyDescent="0.35">
      <c r="A1646" s="188"/>
      <c r="B1646" s="190"/>
      <c r="C1646" s="99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0"/>
      <c r="E1646" s="78" t="str">
        <f>IF(C1646="","",IFERROR(VLOOKUP(C1646,parametros!$A$11:$E$15,5,0),""))</f>
        <v/>
      </c>
      <c r="F1646" s="79" t="str">
        <f t="shared" si="127"/>
        <v/>
      </c>
      <c r="G1646" s="101"/>
      <c r="H1646" s="91">
        <f t="shared" si="128"/>
        <v>0</v>
      </c>
      <c r="I1646" s="91" t="str">
        <f t="shared" si="129"/>
        <v/>
      </c>
      <c r="J1646" s="91" t="str">
        <f t="shared" si="130"/>
        <v/>
      </c>
      <c r="K1646" s="92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2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58"/>
      <c r="U1646" s="217" t="str">
        <f t="shared" si="131"/>
        <v/>
      </c>
      <c r="V1646" s="215" t="s">
        <v>47</v>
      </c>
      <c r="W1646" s="102" t="s">
        <v>136</v>
      </c>
      <c r="X1646" s="102" t="s">
        <v>137</v>
      </c>
      <c r="Y1646" s="103" t="s">
        <v>138</v>
      </c>
      <c r="Z1646" s="103" t="s">
        <v>139</v>
      </c>
      <c r="AA1646" s="103" t="s">
        <v>47</v>
      </c>
      <c r="AB1646" s="103" t="s">
        <v>140</v>
      </c>
      <c r="AC1646" s="104" t="s">
        <v>141</v>
      </c>
    </row>
    <row r="1647" spans="1:29" ht="25.5" customHeight="1" x14ac:dyDescent="0.35">
      <c r="A1647" s="188"/>
      <c r="B1647" s="190"/>
      <c r="C1647" s="99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0"/>
      <c r="E1647" s="78" t="str">
        <f>IF(C1647="","",IFERROR(VLOOKUP(C1647,parametros!$A$11:$E$15,5,0),""))</f>
        <v/>
      </c>
      <c r="F1647" s="79" t="str">
        <f t="shared" si="127"/>
        <v/>
      </c>
      <c r="G1647" s="101"/>
      <c r="H1647" s="91">
        <f t="shared" si="128"/>
        <v>0</v>
      </c>
      <c r="I1647" s="91" t="str">
        <f t="shared" si="129"/>
        <v/>
      </c>
      <c r="J1647" s="91" t="str">
        <f t="shared" si="130"/>
        <v/>
      </c>
      <c r="K1647" s="92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2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58"/>
      <c r="U1647" s="217" t="str">
        <f t="shared" si="131"/>
        <v/>
      </c>
      <c r="V1647" s="215" t="s">
        <v>47</v>
      </c>
      <c r="W1647" s="102" t="s">
        <v>136</v>
      </c>
      <c r="X1647" s="102" t="s">
        <v>137</v>
      </c>
      <c r="Y1647" s="103" t="s">
        <v>138</v>
      </c>
      <c r="Z1647" s="103" t="s">
        <v>139</v>
      </c>
      <c r="AA1647" s="103" t="s">
        <v>47</v>
      </c>
      <c r="AB1647" s="103" t="s">
        <v>140</v>
      </c>
      <c r="AC1647" s="104" t="s">
        <v>141</v>
      </c>
    </row>
    <row r="1648" spans="1:29" ht="25.5" customHeight="1" x14ac:dyDescent="0.35">
      <c r="A1648" s="188"/>
      <c r="B1648" s="190"/>
      <c r="C1648" s="99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0"/>
      <c r="E1648" s="78" t="str">
        <f>IF(C1648="","",IFERROR(VLOOKUP(C1648,parametros!$A$11:$E$15,5,0),""))</f>
        <v/>
      </c>
      <c r="F1648" s="79" t="str">
        <f t="shared" si="127"/>
        <v/>
      </c>
      <c r="G1648" s="101"/>
      <c r="H1648" s="91">
        <f t="shared" si="128"/>
        <v>0</v>
      </c>
      <c r="I1648" s="91" t="str">
        <f t="shared" si="129"/>
        <v/>
      </c>
      <c r="J1648" s="91" t="str">
        <f t="shared" si="130"/>
        <v/>
      </c>
      <c r="K1648" s="92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2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58"/>
      <c r="U1648" s="217" t="str">
        <f t="shared" si="131"/>
        <v/>
      </c>
      <c r="V1648" s="215" t="s">
        <v>47</v>
      </c>
      <c r="W1648" s="102" t="s">
        <v>136</v>
      </c>
      <c r="X1648" s="102" t="s">
        <v>137</v>
      </c>
      <c r="Y1648" s="103" t="s">
        <v>138</v>
      </c>
      <c r="Z1648" s="103" t="s">
        <v>139</v>
      </c>
      <c r="AA1648" s="103" t="s">
        <v>47</v>
      </c>
      <c r="AB1648" s="103" t="s">
        <v>140</v>
      </c>
      <c r="AC1648" s="104" t="s">
        <v>141</v>
      </c>
    </row>
    <row r="1649" spans="1:29" ht="25.5" customHeight="1" x14ac:dyDescent="0.35">
      <c r="A1649" s="188"/>
      <c r="B1649" s="190"/>
      <c r="C1649" s="99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0"/>
      <c r="E1649" s="78" t="str">
        <f>IF(C1649="","",IFERROR(VLOOKUP(C1649,parametros!$A$11:$E$15,5,0),""))</f>
        <v/>
      </c>
      <c r="F1649" s="79" t="str">
        <f t="shared" si="127"/>
        <v/>
      </c>
      <c r="G1649" s="101"/>
      <c r="H1649" s="91">
        <f t="shared" si="128"/>
        <v>0</v>
      </c>
      <c r="I1649" s="91" t="str">
        <f t="shared" si="129"/>
        <v/>
      </c>
      <c r="J1649" s="91" t="str">
        <f t="shared" si="130"/>
        <v/>
      </c>
      <c r="K1649" s="92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2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58"/>
      <c r="U1649" s="217" t="str">
        <f t="shared" si="131"/>
        <v/>
      </c>
      <c r="V1649" s="215" t="s">
        <v>47</v>
      </c>
      <c r="W1649" s="102" t="s">
        <v>136</v>
      </c>
      <c r="X1649" s="102" t="s">
        <v>137</v>
      </c>
      <c r="Y1649" s="103" t="s">
        <v>138</v>
      </c>
      <c r="Z1649" s="103" t="s">
        <v>139</v>
      </c>
      <c r="AA1649" s="103" t="s">
        <v>47</v>
      </c>
      <c r="AB1649" s="103" t="s">
        <v>140</v>
      </c>
      <c r="AC1649" s="104" t="s">
        <v>141</v>
      </c>
    </row>
    <row r="1650" spans="1:29" ht="25.5" customHeight="1" x14ac:dyDescent="0.35">
      <c r="A1650" s="188"/>
      <c r="B1650" s="190"/>
      <c r="C1650" s="99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0"/>
      <c r="E1650" s="78" t="str">
        <f>IF(C1650="","",IFERROR(VLOOKUP(C1650,parametros!$A$11:$E$15,5,0),""))</f>
        <v/>
      </c>
      <c r="F1650" s="79" t="str">
        <f t="shared" si="127"/>
        <v/>
      </c>
      <c r="G1650" s="101"/>
      <c r="H1650" s="91">
        <f t="shared" si="128"/>
        <v>0</v>
      </c>
      <c r="I1650" s="91" t="str">
        <f t="shared" si="129"/>
        <v/>
      </c>
      <c r="J1650" s="91" t="str">
        <f t="shared" si="130"/>
        <v/>
      </c>
      <c r="K1650" s="92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2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58"/>
      <c r="U1650" s="217" t="str">
        <f t="shared" si="131"/>
        <v/>
      </c>
      <c r="V1650" s="215" t="s">
        <v>47</v>
      </c>
      <c r="W1650" s="102" t="s">
        <v>136</v>
      </c>
      <c r="X1650" s="102" t="s">
        <v>137</v>
      </c>
      <c r="Y1650" s="103" t="s">
        <v>138</v>
      </c>
      <c r="Z1650" s="103" t="s">
        <v>139</v>
      </c>
      <c r="AA1650" s="103" t="s">
        <v>47</v>
      </c>
      <c r="AB1650" s="103" t="s">
        <v>140</v>
      </c>
      <c r="AC1650" s="104" t="s">
        <v>141</v>
      </c>
    </row>
    <row r="1651" spans="1:29" ht="25.5" customHeight="1" x14ac:dyDescent="0.35">
      <c r="A1651" s="188"/>
      <c r="B1651" s="190"/>
      <c r="C1651" s="99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0"/>
      <c r="E1651" s="78" t="str">
        <f>IF(C1651="","",IFERROR(VLOOKUP(C1651,parametros!$A$11:$E$15,5,0),""))</f>
        <v/>
      </c>
      <c r="F1651" s="79" t="str">
        <f t="shared" si="127"/>
        <v/>
      </c>
      <c r="G1651" s="101"/>
      <c r="H1651" s="91">
        <f t="shared" si="128"/>
        <v>0</v>
      </c>
      <c r="I1651" s="91" t="str">
        <f t="shared" si="129"/>
        <v/>
      </c>
      <c r="J1651" s="91" t="str">
        <f t="shared" si="130"/>
        <v/>
      </c>
      <c r="K1651" s="92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2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58"/>
      <c r="U1651" s="217" t="str">
        <f t="shared" si="131"/>
        <v/>
      </c>
      <c r="V1651" s="215" t="s">
        <v>47</v>
      </c>
      <c r="W1651" s="102" t="s">
        <v>136</v>
      </c>
      <c r="X1651" s="102" t="s">
        <v>137</v>
      </c>
      <c r="Y1651" s="103" t="s">
        <v>138</v>
      </c>
      <c r="Z1651" s="103" t="s">
        <v>139</v>
      </c>
      <c r="AA1651" s="103" t="s">
        <v>47</v>
      </c>
      <c r="AB1651" s="103" t="s">
        <v>140</v>
      </c>
      <c r="AC1651" s="104" t="s">
        <v>141</v>
      </c>
    </row>
    <row r="1652" spans="1:29" ht="25.5" customHeight="1" x14ac:dyDescent="0.35">
      <c r="A1652" s="188"/>
      <c r="B1652" s="190"/>
      <c r="C1652" s="99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0"/>
      <c r="E1652" s="78" t="str">
        <f>IF(C1652="","",IFERROR(VLOOKUP(C1652,parametros!$A$11:$E$15,5,0),""))</f>
        <v/>
      </c>
      <c r="F1652" s="79" t="str">
        <f t="shared" si="127"/>
        <v/>
      </c>
      <c r="G1652" s="101"/>
      <c r="H1652" s="91">
        <f t="shared" si="128"/>
        <v>0</v>
      </c>
      <c r="I1652" s="91" t="str">
        <f t="shared" si="129"/>
        <v/>
      </c>
      <c r="J1652" s="91" t="str">
        <f t="shared" si="130"/>
        <v/>
      </c>
      <c r="K1652" s="92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2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58"/>
      <c r="U1652" s="217" t="str">
        <f t="shared" si="131"/>
        <v/>
      </c>
      <c r="V1652" s="215" t="s">
        <v>47</v>
      </c>
      <c r="W1652" s="102" t="s">
        <v>136</v>
      </c>
      <c r="X1652" s="102" t="s">
        <v>137</v>
      </c>
      <c r="Y1652" s="103" t="s">
        <v>138</v>
      </c>
      <c r="Z1652" s="103" t="s">
        <v>139</v>
      </c>
      <c r="AA1652" s="103" t="s">
        <v>47</v>
      </c>
      <c r="AB1652" s="103" t="s">
        <v>140</v>
      </c>
      <c r="AC1652" s="104" t="s">
        <v>141</v>
      </c>
    </row>
    <row r="1653" spans="1:29" ht="25.5" customHeight="1" x14ac:dyDescent="0.35">
      <c r="A1653" s="188"/>
      <c r="B1653" s="190"/>
      <c r="C1653" s="99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0"/>
      <c r="E1653" s="78" t="str">
        <f>IF(C1653="","",IFERROR(VLOOKUP(C1653,parametros!$A$11:$E$15,5,0),""))</f>
        <v/>
      </c>
      <c r="F1653" s="79" t="str">
        <f t="shared" si="127"/>
        <v/>
      </c>
      <c r="G1653" s="101"/>
      <c r="H1653" s="91">
        <f t="shared" si="128"/>
        <v>0</v>
      </c>
      <c r="I1653" s="91" t="str">
        <f t="shared" si="129"/>
        <v/>
      </c>
      <c r="J1653" s="91" t="str">
        <f t="shared" si="130"/>
        <v/>
      </c>
      <c r="K1653" s="92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2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58"/>
      <c r="U1653" s="217" t="str">
        <f t="shared" si="131"/>
        <v/>
      </c>
      <c r="V1653" s="215" t="s">
        <v>47</v>
      </c>
      <c r="W1653" s="102" t="s">
        <v>136</v>
      </c>
      <c r="X1653" s="102" t="s">
        <v>137</v>
      </c>
      <c r="Y1653" s="103" t="s">
        <v>138</v>
      </c>
      <c r="Z1653" s="103" t="s">
        <v>139</v>
      </c>
      <c r="AA1653" s="103" t="s">
        <v>47</v>
      </c>
      <c r="AB1653" s="103" t="s">
        <v>140</v>
      </c>
      <c r="AC1653" s="104" t="s">
        <v>141</v>
      </c>
    </row>
    <row r="1654" spans="1:29" ht="25.5" customHeight="1" x14ac:dyDescent="0.35">
      <c r="A1654" s="188"/>
      <c r="B1654" s="190"/>
      <c r="C1654" s="99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0"/>
      <c r="E1654" s="78" t="str">
        <f>IF(C1654="","",IFERROR(VLOOKUP(C1654,parametros!$A$11:$E$15,5,0),""))</f>
        <v/>
      </c>
      <c r="F1654" s="79" t="str">
        <f t="shared" si="127"/>
        <v/>
      </c>
      <c r="G1654" s="101"/>
      <c r="H1654" s="91">
        <f t="shared" si="128"/>
        <v>0</v>
      </c>
      <c r="I1654" s="91" t="str">
        <f t="shared" si="129"/>
        <v/>
      </c>
      <c r="J1654" s="91" t="str">
        <f t="shared" si="130"/>
        <v/>
      </c>
      <c r="K1654" s="92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2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58"/>
      <c r="U1654" s="217" t="str">
        <f t="shared" si="131"/>
        <v/>
      </c>
      <c r="V1654" s="215" t="s">
        <v>47</v>
      </c>
      <c r="W1654" s="102" t="s">
        <v>136</v>
      </c>
      <c r="X1654" s="102" t="s">
        <v>137</v>
      </c>
      <c r="Y1654" s="103" t="s">
        <v>138</v>
      </c>
      <c r="Z1654" s="103" t="s">
        <v>139</v>
      </c>
      <c r="AA1654" s="103" t="s">
        <v>47</v>
      </c>
      <c r="AB1654" s="103" t="s">
        <v>140</v>
      </c>
      <c r="AC1654" s="104" t="s">
        <v>141</v>
      </c>
    </row>
    <row r="1655" spans="1:29" ht="25.5" customHeight="1" x14ac:dyDescent="0.35">
      <c r="A1655" s="188"/>
      <c r="B1655" s="190"/>
      <c r="C1655" s="99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0"/>
      <c r="E1655" s="78" t="str">
        <f>IF(C1655="","",IFERROR(VLOOKUP(C1655,parametros!$A$11:$E$15,5,0),""))</f>
        <v/>
      </c>
      <c r="F1655" s="79" t="str">
        <f t="shared" si="127"/>
        <v/>
      </c>
      <c r="G1655" s="101"/>
      <c r="H1655" s="91">
        <f t="shared" si="128"/>
        <v>0</v>
      </c>
      <c r="I1655" s="91" t="str">
        <f t="shared" si="129"/>
        <v/>
      </c>
      <c r="J1655" s="91" t="str">
        <f t="shared" si="130"/>
        <v/>
      </c>
      <c r="K1655" s="92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2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58"/>
      <c r="U1655" s="217" t="str">
        <f t="shared" si="131"/>
        <v/>
      </c>
      <c r="V1655" s="215" t="s">
        <v>47</v>
      </c>
      <c r="W1655" s="102" t="s">
        <v>136</v>
      </c>
      <c r="X1655" s="102" t="s">
        <v>137</v>
      </c>
      <c r="Y1655" s="103" t="s">
        <v>138</v>
      </c>
      <c r="Z1655" s="103" t="s">
        <v>139</v>
      </c>
      <c r="AA1655" s="103" t="s">
        <v>47</v>
      </c>
      <c r="AB1655" s="103" t="s">
        <v>140</v>
      </c>
      <c r="AC1655" s="104" t="s">
        <v>141</v>
      </c>
    </row>
    <row r="1656" spans="1:29" ht="25.5" customHeight="1" x14ac:dyDescent="0.35">
      <c r="A1656" s="188"/>
      <c r="B1656" s="190"/>
      <c r="C1656" s="99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0"/>
      <c r="E1656" s="78" t="str">
        <f>IF(C1656="","",IFERROR(VLOOKUP(C1656,parametros!$A$11:$E$15,5,0),""))</f>
        <v/>
      </c>
      <c r="F1656" s="79" t="str">
        <f t="shared" si="127"/>
        <v/>
      </c>
      <c r="G1656" s="101"/>
      <c r="H1656" s="91">
        <f t="shared" si="128"/>
        <v>0</v>
      </c>
      <c r="I1656" s="91" t="str">
        <f t="shared" si="129"/>
        <v/>
      </c>
      <c r="J1656" s="91" t="str">
        <f t="shared" si="130"/>
        <v/>
      </c>
      <c r="K1656" s="92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2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58"/>
      <c r="U1656" s="217" t="str">
        <f t="shared" si="131"/>
        <v/>
      </c>
      <c r="V1656" s="215" t="s">
        <v>47</v>
      </c>
      <c r="W1656" s="102" t="s">
        <v>136</v>
      </c>
      <c r="X1656" s="102" t="s">
        <v>137</v>
      </c>
      <c r="Y1656" s="103" t="s">
        <v>138</v>
      </c>
      <c r="Z1656" s="103" t="s">
        <v>139</v>
      </c>
      <c r="AA1656" s="103" t="s">
        <v>47</v>
      </c>
      <c r="AB1656" s="103" t="s">
        <v>140</v>
      </c>
      <c r="AC1656" s="104" t="s">
        <v>141</v>
      </c>
    </row>
    <row r="1657" spans="1:29" ht="25.5" customHeight="1" x14ac:dyDescent="0.35">
      <c r="A1657" s="188"/>
      <c r="B1657" s="190"/>
      <c r="C1657" s="99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0"/>
      <c r="E1657" s="78" t="str">
        <f>IF(C1657="","",IFERROR(VLOOKUP(C1657,parametros!$A$11:$E$15,5,0),""))</f>
        <v/>
      </c>
      <c r="F1657" s="79" t="str">
        <f t="shared" si="127"/>
        <v/>
      </c>
      <c r="G1657" s="101"/>
      <c r="H1657" s="91">
        <f t="shared" si="128"/>
        <v>0</v>
      </c>
      <c r="I1657" s="91" t="str">
        <f t="shared" si="129"/>
        <v/>
      </c>
      <c r="J1657" s="91" t="str">
        <f t="shared" si="130"/>
        <v/>
      </c>
      <c r="K1657" s="92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2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58"/>
      <c r="U1657" s="217" t="str">
        <f t="shared" si="131"/>
        <v/>
      </c>
      <c r="V1657" s="215" t="s">
        <v>47</v>
      </c>
      <c r="W1657" s="102" t="s">
        <v>136</v>
      </c>
      <c r="X1657" s="102" t="s">
        <v>137</v>
      </c>
      <c r="Y1657" s="103" t="s">
        <v>138</v>
      </c>
      <c r="Z1657" s="103" t="s">
        <v>139</v>
      </c>
      <c r="AA1657" s="103" t="s">
        <v>47</v>
      </c>
      <c r="AB1657" s="103" t="s">
        <v>140</v>
      </c>
      <c r="AC1657" s="104" t="s">
        <v>141</v>
      </c>
    </row>
    <row r="1658" spans="1:29" ht="25.5" customHeight="1" x14ac:dyDescent="0.35">
      <c r="A1658" s="188"/>
      <c r="B1658" s="190"/>
      <c r="C1658" s="99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0"/>
      <c r="E1658" s="78" t="str">
        <f>IF(C1658="","",IFERROR(VLOOKUP(C1658,parametros!$A$11:$E$15,5,0),""))</f>
        <v/>
      </c>
      <c r="F1658" s="79" t="str">
        <f t="shared" si="127"/>
        <v/>
      </c>
      <c r="G1658" s="101"/>
      <c r="H1658" s="91">
        <f t="shared" si="128"/>
        <v>0</v>
      </c>
      <c r="I1658" s="91" t="str">
        <f t="shared" si="129"/>
        <v/>
      </c>
      <c r="J1658" s="91" t="str">
        <f t="shared" si="130"/>
        <v/>
      </c>
      <c r="K1658" s="92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2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58"/>
      <c r="U1658" s="217" t="str">
        <f t="shared" si="131"/>
        <v/>
      </c>
      <c r="V1658" s="215" t="s">
        <v>47</v>
      </c>
      <c r="W1658" s="102" t="s">
        <v>136</v>
      </c>
      <c r="X1658" s="102" t="s">
        <v>137</v>
      </c>
      <c r="Y1658" s="103" t="s">
        <v>138</v>
      </c>
      <c r="Z1658" s="103" t="s">
        <v>139</v>
      </c>
      <c r="AA1658" s="103" t="s">
        <v>47</v>
      </c>
      <c r="AB1658" s="103" t="s">
        <v>140</v>
      </c>
      <c r="AC1658" s="104" t="s">
        <v>141</v>
      </c>
    </row>
    <row r="1659" spans="1:29" ht="25.5" customHeight="1" x14ac:dyDescent="0.35">
      <c r="A1659" s="188"/>
      <c r="B1659" s="190"/>
      <c r="C1659" s="99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0"/>
      <c r="E1659" s="78" t="str">
        <f>IF(C1659="","",IFERROR(VLOOKUP(C1659,parametros!$A$11:$E$15,5,0),""))</f>
        <v/>
      </c>
      <c r="F1659" s="79" t="str">
        <f t="shared" si="127"/>
        <v/>
      </c>
      <c r="G1659" s="101"/>
      <c r="H1659" s="91">
        <f t="shared" si="128"/>
        <v>0</v>
      </c>
      <c r="I1659" s="91" t="str">
        <f t="shared" si="129"/>
        <v/>
      </c>
      <c r="J1659" s="91" t="str">
        <f t="shared" si="130"/>
        <v/>
      </c>
      <c r="K1659" s="92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2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58"/>
      <c r="U1659" s="217" t="str">
        <f t="shared" si="131"/>
        <v/>
      </c>
      <c r="V1659" s="215" t="s">
        <v>47</v>
      </c>
      <c r="W1659" s="102" t="s">
        <v>136</v>
      </c>
      <c r="X1659" s="102" t="s">
        <v>137</v>
      </c>
      <c r="Y1659" s="103" t="s">
        <v>138</v>
      </c>
      <c r="Z1659" s="103" t="s">
        <v>139</v>
      </c>
      <c r="AA1659" s="103" t="s">
        <v>47</v>
      </c>
      <c r="AB1659" s="103" t="s">
        <v>140</v>
      </c>
      <c r="AC1659" s="104" t="s">
        <v>141</v>
      </c>
    </row>
    <row r="1660" spans="1:29" ht="25.5" customHeight="1" x14ac:dyDescent="0.35">
      <c r="A1660" s="188"/>
      <c r="B1660" s="190"/>
      <c r="C1660" s="99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0"/>
      <c r="E1660" s="78" t="str">
        <f>IF(C1660="","",IFERROR(VLOOKUP(C1660,parametros!$A$11:$E$15,5,0),""))</f>
        <v/>
      </c>
      <c r="F1660" s="79" t="str">
        <f t="shared" si="127"/>
        <v/>
      </c>
      <c r="G1660" s="101"/>
      <c r="H1660" s="91">
        <f t="shared" si="128"/>
        <v>0</v>
      </c>
      <c r="I1660" s="91" t="str">
        <f t="shared" si="129"/>
        <v/>
      </c>
      <c r="J1660" s="91" t="str">
        <f t="shared" si="130"/>
        <v/>
      </c>
      <c r="K1660" s="92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2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58"/>
      <c r="U1660" s="217" t="str">
        <f t="shared" si="131"/>
        <v/>
      </c>
      <c r="V1660" s="215" t="s">
        <v>47</v>
      </c>
      <c r="W1660" s="102" t="s">
        <v>136</v>
      </c>
      <c r="X1660" s="102" t="s">
        <v>137</v>
      </c>
      <c r="Y1660" s="103" t="s">
        <v>138</v>
      </c>
      <c r="Z1660" s="103" t="s">
        <v>139</v>
      </c>
      <c r="AA1660" s="103" t="s">
        <v>47</v>
      </c>
      <c r="AB1660" s="103" t="s">
        <v>140</v>
      </c>
      <c r="AC1660" s="104" t="s">
        <v>141</v>
      </c>
    </row>
    <row r="1661" spans="1:29" ht="25.5" customHeight="1" x14ac:dyDescent="0.35">
      <c r="A1661" s="188"/>
      <c r="B1661" s="190"/>
      <c r="C1661" s="99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0"/>
      <c r="E1661" s="78" t="str">
        <f>IF(C1661="","",IFERROR(VLOOKUP(C1661,parametros!$A$11:$E$15,5,0),""))</f>
        <v/>
      </c>
      <c r="F1661" s="79" t="str">
        <f t="shared" si="127"/>
        <v/>
      </c>
      <c r="G1661" s="101"/>
      <c r="H1661" s="91">
        <f t="shared" si="128"/>
        <v>0</v>
      </c>
      <c r="I1661" s="91" t="str">
        <f t="shared" si="129"/>
        <v/>
      </c>
      <c r="J1661" s="91" t="str">
        <f t="shared" si="130"/>
        <v/>
      </c>
      <c r="K1661" s="92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2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58"/>
      <c r="U1661" s="217" t="str">
        <f t="shared" si="131"/>
        <v/>
      </c>
      <c r="V1661" s="215" t="s">
        <v>47</v>
      </c>
      <c r="W1661" s="102" t="s">
        <v>136</v>
      </c>
      <c r="X1661" s="102" t="s">
        <v>137</v>
      </c>
      <c r="Y1661" s="103" t="s">
        <v>138</v>
      </c>
      <c r="Z1661" s="103" t="s">
        <v>139</v>
      </c>
      <c r="AA1661" s="103" t="s">
        <v>47</v>
      </c>
      <c r="AB1661" s="103" t="s">
        <v>140</v>
      </c>
      <c r="AC1661" s="104" t="s">
        <v>141</v>
      </c>
    </row>
    <row r="1662" spans="1:29" ht="25.5" customHeight="1" x14ac:dyDescent="0.35">
      <c r="A1662" s="188"/>
      <c r="B1662" s="190"/>
      <c r="C1662" s="99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0"/>
      <c r="E1662" s="78" t="str">
        <f>IF(C1662="","",IFERROR(VLOOKUP(C1662,parametros!$A$11:$E$15,5,0),""))</f>
        <v/>
      </c>
      <c r="F1662" s="79" t="str">
        <f t="shared" si="127"/>
        <v/>
      </c>
      <c r="G1662" s="101"/>
      <c r="H1662" s="91">
        <f t="shared" si="128"/>
        <v>0</v>
      </c>
      <c r="I1662" s="91" t="str">
        <f t="shared" si="129"/>
        <v/>
      </c>
      <c r="J1662" s="91" t="str">
        <f t="shared" si="130"/>
        <v/>
      </c>
      <c r="K1662" s="92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2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58"/>
      <c r="U1662" s="217" t="str">
        <f t="shared" si="131"/>
        <v/>
      </c>
      <c r="V1662" s="215" t="s">
        <v>47</v>
      </c>
      <c r="W1662" s="102" t="s">
        <v>136</v>
      </c>
      <c r="X1662" s="102" t="s">
        <v>137</v>
      </c>
      <c r="Y1662" s="103" t="s">
        <v>138</v>
      </c>
      <c r="Z1662" s="103" t="s">
        <v>139</v>
      </c>
      <c r="AA1662" s="103" t="s">
        <v>47</v>
      </c>
      <c r="AB1662" s="103" t="s">
        <v>140</v>
      </c>
      <c r="AC1662" s="104" t="s">
        <v>141</v>
      </c>
    </row>
    <row r="1663" spans="1:29" ht="25.5" customHeight="1" x14ac:dyDescent="0.35">
      <c r="A1663" s="188"/>
      <c r="B1663" s="190"/>
      <c r="C1663" s="99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0"/>
      <c r="E1663" s="78" t="str">
        <f>IF(C1663="","",IFERROR(VLOOKUP(C1663,parametros!$A$11:$E$15,5,0),""))</f>
        <v/>
      </c>
      <c r="F1663" s="79" t="str">
        <f t="shared" si="127"/>
        <v/>
      </c>
      <c r="G1663" s="101"/>
      <c r="H1663" s="91">
        <f t="shared" si="128"/>
        <v>0</v>
      </c>
      <c r="I1663" s="91" t="str">
        <f t="shared" si="129"/>
        <v/>
      </c>
      <c r="J1663" s="91" t="str">
        <f t="shared" si="130"/>
        <v/>
      </c>
      <c r="K1663" s="92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2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58"/>
      <c r="U1663" s="217" t="str">
        <f t="shared" si="131"/>
        <v/>
      </c>
      <c r="V1663" s="215" t="s">
        <v>47</v>
      </c>
      <c r="W1663" s="102" t="s">
        <v>136</v>
      </c>
      <c r="X1663" s="102" t="s">
        <v>137</v>
      </c>
      <c r="Y1663" s="103" t="s">
        <v>138</v>
      </c>
      <c r="Z1663" s="103" t="s">
        <v>139</v>
      </c>
      <c r="AA1663" s="103" t="s">
        <v>47</v>
      </c>
      <c r="AB1663" s="103" t="s">
        <v>140</v>
      </c>
      <c r="AC1663" s="104" t="s">
        <v>141</v>
      </c>
    </row>
    <row r="1664" spans="1:29" ht="25.5" customHeight="1" x14ac:dyDescent="0.35">
      <c r="A1664" s="188"/>
      <c r="B1664" s="190"/>
      <c r="C1664" s="99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0"/>
      <c r="E1664" s="78" t="str">
        <f>IF(C1664="","",IFERROR(VLOOKUP(C1664,parametros!$A$11:$E$15,5,0),""))</f>
        <v/>
      </c>
      <c r="F1664" s="79" t="str">
        <f t="shared" si="127"/>
        <v/>
      </c>
      <c r="G1664" s="101"/>
      <c r="H1664" s="91">
        <f t="shared" si="128"/>
        <v>0</v>
      </c>
      <c r="I1664" s="91" t="str">
        <f t="shared" si="129"/>
        <v/>
      </c>
      <c r="J1664" s="91" t="str">
        <f t="shared" si="130"/>
        <v/>
      </c>
      <c r="K1664" s="92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2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58"/>
      <c r="U1664" s="217" t="str">
        <f t="shared" si="131"/>
        <v/>
      </c>
      <c r="V1664" s="215" t="s">
        <v>47</v>
      </c>
      <c r="W1664" s="102" t="s">
        <v>136</v>
      </c>
      <c r="X1664" s="102" t="s">
        <v>137</v>
      </c>
      <c r="Y1664" s="103" t="s">
        <v>138</v>
      </c>
      <c r="Z1664" s="103" t="s">
        <v>139</v>
      </c>
      <c r="AA1664" s="103" t="s">
        <v>47</v>
      </c>
      <c r="AB1664" s="103" t="s">
        <v>140</v>
      </c>
      <c r="AC1664" s="104" t="s">
        <v>141</v>
      </c>
    </row>
    <row r="1665" spans="1:29" ht="25.5" customHeight="1" x14ac:dyDescent="0.35">
      <c r="A1665" s="188"/>
      <c r="B1665" s="190"/>
      <c r="C1665" s="99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0"/>
      <c r="E1665" s="78" t="str">
        <f>IF(C1665="","",IFERROR(VLOOKUP(C1665,parametros!$A$11:$E$15,5,0),""))</f>
        <v/>
      </c>
      <c r="F1665" s="79" t="str">
        <f t="shared" si="127"/>
        <v/>
      </c>
      <c r="G1665" s="101"/>
      <c r="H1665" s="91">
        <f t="shared" si="128"/>
        <v>0</v>
      </c>
      <c r="I1665" s="91" t="str">
        <f t="shared" si="129"/>
        <v/>
      </c>
      <c r="J1665" s="91" t="str">
        <f t="shared" si="130"/>
        <v/>
      </c>
      <c r="K1665" s="92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2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58"/>
      <c r="U1665" s="217" t="str">
        <f t="shared" si="131"/>
        <v/>
      </c>
      <c r="V1665" s="215" t="s">
        <v>47</v>
      </c>
      <c r="W1665" s="102" t="s">
        <v>136</v>
      </c>
      <c r="X1665" s="102" t="s">
        <v>137</v>
      </c>
      <c r="Y1665" s="103" t="s">
        <v>138</v>
      </c>
      <c r="Z1665" s="103" t="s">
        <v>139</v>
      </c>
      <c r="AA1665" s="103" t="s">
        <v>47</v>
      </c>
      <c r="AB1665" s="103" t="s">
        <v>140</v>
      </c>
      <c r="AC1665" s="104" t="s">
        <v>141</v>
      </c>
    </row>
    <row r="1666" spans="1:29" ht="25.5" customHeight="1" x14ac:dyDescent="0.35">
      <c r="A1666" s="188"/>
      <c r="B1666" s="190"/>
      <c r="C1666" s="99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0"/>
      <c r="E1666" s="78" t="str">
        <f>IF(C1666="","",IFERROR(VLOOKUP(C1666,parametros!$A$11:$E$15,5,0),""))</f>
        <v/>
      </c>
      <c r="F1666" s="79" t="str">
        <f t="shared" ref="F1666:F1729" si="132">IF(OR(D1666="",E1666=""),"",ROUND(D1666*E1666,2))</f>
        <v/>
      </c>
      <c r="G1666" s="101"/>
      <c r="H1666" s="91">
        <f t="shared" ref="H1666:H1729" si="133">IF(G1666="Sim",IF(OR(F1666="",D1666="",L1666=""),"",IF(L1666="Sim",ROUND(F1666-D1666,2),0)),0)</f>
        <v>0</v>
      </c>
      <c r="I1666" s="91" t="str">
        <f t="shared" ref="I1666:I1729" si="134">IF(G1666="Sim",0,IF(OR(F1666="",L1666=""),"",F1666))</f>
        <v/>
      </c>
      <c r="J1666" s="91" t="str">
        <f t="shared" ref="J1666:J1729" si="135">IF(G1666="Sim",0,IF(OR(F1666="",D1666="",L1666=""),"",IF(L1666="Sim",ROUND(F1666-D1666,2),0)))</f>
        <v/>
      </c>
      <c r="K1666" s="92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2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58"/>
      <c r="U1666" s="217" t="str">
        <f t="shared" ref="U1666:U1729" si="136">IF(OR($D1666="",$H1666=""),"",ROUND($D1666+$H1666,2))</f>
        <v/>
      </c>
      <c r="V1666" s="215" t="s">
        <v>47</v>
      </c>
      <c r="W1666" s="102" t="s">
        <v>136</v>
      </c>
      <c r="X1666" s="102" t="s">
        <v>137</v>
      </c>
      <c r="Y1666" s="103" t="s">
        <v>138</v>
      </c>
      <c r="Z1666" s="103" t="s">
        <v>139</v>
      </c>
      <c r="AA1666" s="103" t="s">
        <v>47</v>
      </c>
      <c r="AB1666" s="103" t="s">
        <v>140</v>
      </c>
      <c r="AC1666" s="104" t="s">
        <v>141</v>
      </c>
    </row>
    <row r="1667" spans="1:29" ht="25.5" customHeight="1" x14ac:dyDescent="0.35">
      <c r="A1667" s="188"/>
      <c r="B1667" s="190"/>
      <c r="C1667" s="99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0"/>
      <c r="E1667" s="78" t="str">
        <f>IF(C1667="","",IFERROR(VLOOKUP(C1667,parametros!$A$11:$E$15,5,0),""))</f>
        <v/>
      </c>
      <c r="F1667" s="79" t="str">
        <f t="shared" si="132"/>
        <v/>
      </c>
      <c r="G1667" s="101"/>
      <c r="H1667" s="91">
        <f t="shared" si="133"/>
        <v>0</v>
      </c>
      <c r="I1667" s="91" t="str">
        <f t="shared" si="134"/>
        <v/>
      </c>
      <c r="J1667" s="91" t="str">
        <f t="shared" si="135"/>
        <v/>
      </c>
      <c r="K1667" s="92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2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58"/>
      <c r="U1667" s="217" t="str">
        <f t="shared" si="136"/>
        <v/>
      </c>
      <c r="V1667" s="215" t="s">
        <v>47</v>
      </c>
      <c r="W1667" s="102" t="s">
        <v>136</v>
      </c>
      <c r="X1667" s="102" t="s">
        <v>137</v>
      </c>
      <c r="Y1667" s="103" t="s">
        <v>138</v>
      </c>
      <c r="Z1667" s="103" t="s">
        <v>139</v>
      </c>
      <c r="AA1667" s="103" t="s">
        <v>47</v>
      </c>
      <c r="AB1667" s="103" t="s">
        <v>140</v>
      </c>
      <c r="AC1667" s="104" t="s">
        <v>141</v>
      </c>
    </row>
    <row r="1668" spans="1:29" ht="25.5" customHeight="1" x14ac:dyDescent="0.35">
      <c r="A1668" s="188"/>
      <c r="B1668" s="190"/>
      <c r="C1668" s="99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0"/>
      <c r="E1668" s="78" t="str">
        <f>IF(C1668="","",IFERROR(VLOOKUP(C1668,parametros!$A$11:$E$15,5,0),""))</f>
        <v/>
      </c>
      <c r="F1668" s="79" t="str">
        <f t="shared" si="132"/>
        <v/>
      </c>
      <c r="G1668" s="101"/>
      <c r="H1668" s="91">
        <f t="shared" si="133"/>
        <v>0</v>
      </c>
      <c r="I1668" s="91" t="str">
        <f t="shared" si="134"/>
        <v/>
      </c>
      <c r="J1668" s="91" t="str">
        <f t="shared" si="135"/>
        <v/>
      </c>
      <c r="K1668" s="92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2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58"/>
      <c r="U1668" s="217" t="str">
        <f t="shared" si="136"/>
        <v/>
      </c>
      <c r="V1668" s="215" t="s">
        <v>47</v>
      </c>
      <c r="W1668" s="102" t="s">
        <v>136</v>
      </c>
      <c r="X1668" s="102" t="s">
        <v>137</v>
      </c>
      <c r="Y1668" s="103" t="s">
        <v>138</v>
      </c>
      <c r="Z1668" s="103" t="s">
        <v>139</v>
      </c>
      <c r="AA1668" s="103" t="s">
        <v>47</v>
      </c>
      <c r="AB1668" s="103" t="s">
        <v>140</v>
      </c>
      <c r="AC1668" s="104" t="s">
        <v>141</v>
      </c>
    </row>
    <row r="1669" spans="1:29" ht="25.5" customHeight="1" x14ac:dyDescent="0.35">
      <c r="A1669" s="188"/>
      <c r="B1669" s="190"/>
      <c r="C1669" s="99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0"/>
      <c r="E1669" s="78" t="str">
        <f>IF(C1669="","",IFERROR(VLOOKUP(C1669,parametros!$A$11:$E$15,5,0),""))</f>
        <v/>
      </c>
      <c r="F1669" s="79" t="str">
        <f t="shared" si="132"/>
        <v/>
      </c>
      <c r="G1669" s="101"/>
      <c r="H1669" s="91">
        <f t="shared" si="133"/>
        <v>0</v>
      </c>
      <c r="I1669" s="91" t="str">
        <f t="shared" si="134"/>
        <v/>
      </c>
      <c r="J1669" s="91" t="str">
        <f t="shared" si="135"/>
        <v/>
      </c>
      <c r="K1669" s="92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2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58"/>
      <c r="U1669" s="217" t="str">
        <f t="shared" si="136"/>
        <v/>
      </c>
      <c r="V1669" s="215" t="s">
        <v>47</v>
      </c>
      <c r="W1669" s="102" t="s">
        <v>136</v>
      </c>
      <c r="X1669" s="102" t="s">
        <v>137</v>
      </c>
      <c r="Y1669" s="103" t="s">
        <v>138</v>
      </c>
      <c r="Z1669" s="103" t="s">
        <v>139</v>
      </c>
      <c r="AA1669" s="103" t="s">
        <v>47</v>
      </c>
      <c r="AB1669" s="103" t="s">
        <v>140</v>
      </c>
      <c r="AC1669" s="104" t="s">
        <v>141</v>
      </c>
    </row>
    <row r="1670" spans="1:29" ht="25.5" customHeight="1" x14ac:dyDescent="0.35">
      <c r="A1670" s="188"/>
      <c r="B1670" s="190"/>
      <c r="C1670" s="99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0"/>
      <c r="E1670" s="78" t="str">
        <f>IF(C1670="","",IFERROR(VLOOKUP(C1670,parametros!$A$11:$E$15,5,0),""))</f>
        <v/>
      </c>
      <c r="F1670" s="79" t="str">
        <f t="shared" si="132"/>
        <v/>
      </c>
      <c r="G1670" s="101"/>
      <c r="H1670" s="91">
        <f t="shared" si="133"/>
        <v>0</v>
      </c>
      <c r="I1670" s="91" t="str">
        <f t="shared" si="134"/>
        <v/>
      </c>
      <c r="J1670" s="91" t="str">
        <f t="shared" si="135"/>
        <v/>
      </c>
      <c r="K1670" s="92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2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58"/>
      <c r="U1670" s="217" t="str">
        <f t="shared" si="136"/>
        <v/>
      </c>
      <c r="V1670" s="215" t="s">
        <v>47</v>
      </c>
      <c r="W1670" s="102" t="s">
        <v>136</v>
      </c>
      <c r="X1670" s="102" t="s">
        <v>137</v>
      </c>
      <c r="Y1670" s="103" t="s">
        <v>138</v>
      </c>
      <c r="Z1670" s="103" t="s">
        <v>139</v>
      </c>
      <c r="AA1670" s="103" t="s">
        <v>47</v>
      </c>
      <c r="AB1670" s="103" t="s">
        <v>140</v>
      </c>
      <c r="AC1670" s="104" t="s">
        <v>141</v>
      </c>
    </row>
    <row r="1671" spans="1:29" ht="25.5" customHeight="1" x14ac:dyDescent="0.35">
      <c r="A1671" s="188"/>
      <c r="B1671" s="190"/>
      <c r="C1671" s="99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0"/>
      <c r="E1671" s="78" t="str">
        <f>IF(C1671="","",IFERROR(VLOOKUP(C1671,parametros!$A$11:$E$15,5,0),""))</f>
        <v/>
      </c>
      <c r="F1671" s="79" t="str">
        <f t="shared" si="132"/>
        <v/>
      </c>
      <c r="G1671" s="101"/>
      <c r="H1671" s="91">
        <f t="shared" si="133"/>
        <v>0</v>
      </c>
      <c r="I1671" s="91" t="str">
        <f t="shared" si="134"/>
        <v/>
      </c>
      <c r="J1671" s="91" t="str">
        <f t="shared" si="135"/>
        <v/>
      </c>
      <c r="K1671" s="92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2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58"/>
      <c r="U1671" s="217" t="str">
        <f t="shared" si="136"/>
        <v/>
      </c>
      <c r="V1671" s="215" t="s">
        <v>47</v>
      </c>
      <c r="W1671" s="102" t="s">
        <v>136</v>
      </c>
      <c r="X1671" s="102" t="s">
        <v>137</v>
      </c>
      <c r="Y1671" s="103" t="s">
        <v>138</v>
      </c>
      <c r="Z1671" s="103" t="s">
        <v>139</v>
      </c>
      <c r="AA1671" s="103" t="s">
        <v>47</v>
      </c>
      <c r="AB1671" s="103" t="s">
        <v>140</v>
      </c>
      <c r="AC1671" s="104" t="s">
        <v>141</v>
      </c>
    </row>
    <row r="1672" spans="1:29" ht="25.5" customHeight="1" x14ac:dyDescent="0.35">
      <c r="A1672" s="188"/>
      <c r="B1672" s="190"/>
      <c r="C1672" s="99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0"/>
      <c r="E1672" s="78" t="str">
        <f>IF(C1672="","",IFERROR(VLOOKUP(C1672,parametros!$A$11:$E$15,5,0),""))</f>
        <v/>
      </c>
      <c r="F1672" s="79" t="str">
        <f t="shared" si="132"/>
        <v/>
      </c>
      <c r="G1672" s="101"/>
      <c r="H1672" s="91">
        <f t="shared" si="133"/>
        <v>0</v>
      </c>
      <c r="I1672" s="91" t="str">
        <f t="shared" si="134"/>
        <v/>
      </c>
      <c r="J1672" s="91" t="str">
        <f t="shared" si="135"/>
        <v/>
      </c>
      <c r="K1672" s="92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2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58"/>
      <c r="U1672" s="217" t="str">
        <f t="shared" si="136"/>
        <v/>
      </c>
      <c r="V1672" s="215" t="s">
        <v>47</v>
      </c>
      <c r="W1672" s="102" t="s">
        <v>136</v>
      </c>
      <c r="X1672" s="102" t="s">
        <v>137</v>
      </c>
      <c r="Y1672" s="103" t="s">
        <v>138</v>
      </c>
      <c r="Z1672" s="103" t="s">
        <v>139</v>
      </c>
      <c r="AA1672" s="103" t="s">
        <v>47</v>
      </c>
      <c r="AB1672" s="103" t="s">
        <v>140</v>
      </c>
      <c r="AC1672" s="104" t="s">
        <v>141</v>
      </c>
    </row>
    <row r="1673" spans="1:29" ht="25.5" customHeight="1" x14ac:dyDescent="0.35">
      <c r="A1673" s="188"/>
      <c r="B1673" s="190"/>
      <c r="C1673" s="99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0"/>
      <c r="E1673" s="78" t="str">
        <f>IF(C1673="","",IFERROR(VLOOKUP(C1673,parametros!$A$11:$E$15,5,0),""))</f>
        <v/>
      </c>
      <c r="F1673" s="79" t="str">
        <f t="shared" si="132"/>
        <v/>
      </c>
      <c r="G1673" s="101"/>
      <c r="H1673" s="91">
        <f t="shared" si="133"/>
        <v>0</v>
      </c>
      <c r="I1673" s="91" t="str">
        <f t="shared" si="134"/>
        <v/>
      </c>
      <c r="J1673" s="91" t="str">
        <f t="shared" si="135"/>
        <v/>
      </c>
      <c r="K1673" s="92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2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58"/>
      <c r="U1673" s="217" t="str">
        <f t="shared" si="136"/>
        <v/>
      </c>
      <c r="V1673" s="215" t="s">
        <v>47</v>
      </c>
      <c r="W1673" s="102" t="s">
        <v>136</v>
      </c>
      <c r="X1673" s="102" t="s">
        <v>137</v>
      </c>
      <c r="Y1673" s="103" t="s">
        <v>138</v>
      </c>
      <c r="Z1673" s="103" t="s">
        <v>139</v>
      </c>
      <c r="AA1673" s="103" t="s">
        <v>47</v>
      </c>
      <c r="AB1673" s="103" t="s">
        <v>140</v>
      </c>
      <c r="AC1673" s="104" t="s">
        <v>141</v>
      </c>
    </row>
    <row r="1674" spans="1:29" ht="25.5" customHeight="1" x14ac:dyDescent="0.35">
      <c r="A1674" s="188"/>
      <c r="B1674" s="190"/>
      <c r="C1674" s="99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0"/>
      <c r="E1674" s="78" t="str">
        <f>IF(C1674="","",IFERROR(VLOOKUP(C1674,parametros!$A$11:$E$15,5,0),""))</f>
        <v/>
      </c>
      <c r="F1674" s="79" t="str">
        <f t="shared" si="132"/>
        <v/>
      </c>
      <c r="G1674" s="101"/>
      <c r="H1674" s="91">
        <f t="shared" si="133"/>
        <v>0</v>
      </c>
      <c r="I1674" s="91" t="str">
        <f t="shared" si="134"/>
        <v/>
      </c>
      <c r="J1674" s="91" t="str">
        <f t="shared" si="135"/>
        <v/>
      </c>
      <c r="K1674" s="92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2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58"/>
      <c r="U1674" s="217" t="str">
        <f t="shared" si="136"/>
        <v/>
      </c>
      <c r="V1674" s="215" t="s">
        <v>47</v>
      </c>
      <c r="W1674" s="102" t="s">
        <v>136</v>
      </c>
      <c r="X1674" s="102" t="s">
        <v>137</v>
      </c>
      <c r="Y1674" s="103" t="s">
        <v>138</v>
      </c>
      <c r="Z1674" s="103" t="s">
        <v>139</v>
      </c>
      <c r="AA1674" s="103" t="s">
        <v>47</v>
      </c>
      <c r="AB1674" s="103" t="s">
        <v>140</v>
      </c>
      <c r="AC1674" s="104" t="s">
        <v>141</v>
      </c>
    </row>
    <row r="1675" spans="1:29" ht="25.5" customHeight="1" x14ac:dyDescent="0.35">
      <c r="A1675" s="188"/>
      <c r="B1675" s="190"/>
      <c r="C1675" s="99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0"/>
      <c r="E1675" s="78" t="str">
        <f>IF(C1675="","",IFERROR(VLOOKUP(C1675,parametros!$A$11:$E$15,5,0),""))</f>
        <v/>
      </c>
      <c r="F1675" s="79" t="str">
        <f t="shared" si="132"/>
        <v/>
      </c>
      <c r="G1675" s="101"/>
      <c r="H1675" s="91">
        <f t="shared" si="133"/>
        <v>0</v>
      </c>
      <c r="I1675" s="91" t="str">
        <f t="shared" si="134"/>
        <v/>
      </c>
      <c r="J1675" s="91" t="str">
        <f t="shared" si="135"/>
        <v/>
      </c>
      <c r="K1675" s="92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2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58"/>
      <c r="U1675" s="217" t="str">
        <f t="shared" si="136"/>
        <v/>
      </c>
      <c r="V1675" s="215" t="s">
        <v>47</v>
      </c>
      <c r="W1675" s="102" t="s">
        <v>136</v>
      </c>
      <c r="X1675" s="102" t="s">
        <v>137</v>
      </c>
      <c r="Y1675" s="103" t="s">
        <v>138</v>
      </c>
      <c r="Z1675" s="103" t="s">
        <v>139</v>
      </c>
      <c r="AA1675" s="103" t="s">
        <v>47</v>
      </c>
      <c r="AB1675" s="103" t="s">
        <v>140</v>
      </c>
      <c r="AC1675" s="104" t="s">
        <v>141</v>
      </c>
    </row>
    <row r="1676" spans="1:29" ht="25.5" customHeight="1" x14ac:dyDescent="0.35">
      <c r="A1676" s="188"/>
      <c r="B1676" s="190"/>
      <c r="C1676" s="99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0"/>
      <c r="E1676" s="78" t="str">
        <f>IF(C1676="","",IFERROR(VLOOKUP(C1676,parametros!$A$11:$E$15,5,0),""))</f>
        <v/>
      </c>
      <c r="F1676" s="79" t="str">
        <f t="shared" si="132"/>
        <v/>
      </c>
      <c r="G1676" s="101"/>
      <c r="H1676" s="91">
        <f t="shared" si="133"/>
        <v>0</v>
      </c>
      <c r="I1676" s="91" t="str">
        <f t="shared" si="134"/>
        <v/>
      </c>
      <c r="J1676" s="91" t="str">
        <f t="shared" si="135"/>
        <v/>
      </c>
      <c r="K1676" s="92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2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58"/>
      <c r="U1676" s="217" t="str">
        <f t="shared" si="136"/>
        <v/>
      </c>
      <c r="V1676" s="215" t="s">
        <v>47</v>
      </c>
      <c r="W1676" s="102" t="s">
        <v>136</v>
      </c>
      <c r="X1676" s="102" t="s">
        <v>137</v>
      </c>
      <c r="Y1676" s="103" t="s">
        <v>138</v>
      </c>
      <c r="Z1676" s="103" t="s">
        <v>139</v>
      </c>
      <c r="AA1676" s="103" t="s">
        <v>47</v>
      </c>
      <c r="AB1676" s="103" t="s">
        <v>140</v>
      </c>
      <c r="AC1676" s="104" t="s">
        <v>141</v>
      </c>
    </row>
    <row r="1677" spans="1:29" ht="25.5" customHeight="1" x14ac:dyDescent="0.35">
      <c r="A1677" s="188"/>
      <c r="B1677" s="190"/>
      <c r="C1677" s="99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0"/>
      <c r="E1677" s="78" t="str">
        <f>IF(C1677="","",IFERROR(VLOOKUP(C1677,parametros!$A$11:$E$15,5,0),""))</f>
        <v/>
      </c>
      <c r="F1677" s="79" t="str">
        <f t="shared" si="132"/>
        <v/>
      </c>
      <c r="G1677" s="101"/>
      <c r="H1677" s="91">
        <f t="shared" si="133"/>
        <v>0</v>
      </c>
      <c r="I1677" s="91" t="str">
        <f t="shared" si="134"/>
        <v/>
      </c>
      <c r="J1677" s="91" t="str">
        <f t="shared" si="135"/>
        <v/>
      </c>
      <c r="K1677" s="92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2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58"/>
      <c r="U1677" s="217" t="str">
        <f t="shared" si="136"/>
        <v/>
      </c>
      <c r="V1677" s="215" t="s">
        <v>47</v>
      </c>
      <c r="W1677" s="102" t="s">
        <v>136</v>
      </c>
      <c r="X1677" s="102" t="s">
        <v>137</v>
      </c>
      <c r="Y1677" s="103" t="s">
        <v>138</v>
      </c>
      <c r="Z1677" s="103" t="s">
        <v>139</v>
      </c>
      <c r="AA1677" s="103" t="s">
        <v>47</v>
      </c>
      <c r="AB1677" s="103" t="s">
        <v>140</v>
      </c>
      <c r="AC1677" s="104" t="s">
        <v>141</v>
      </c>
    </row>
    <row r="1678" spans="1:29" ht="25.5" customHeight="1" x14ac:dyDescent="0.35">
      <c r="A1678" s="188"/>
      <c r="B1678" s="190"/>
      <c r="C1678" s="99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0"/>
      <c r="E1678" s="78" t="str">
        <f>IF(C1678="","",IFERROR(VLOOKUP(C1678,parametros!$A$11:$E$15,5,0),""))</f>
        <v/>
      </c>
      <c r="F1678" s="79" t="str">
        <f t="shared" si="132"/>
        <v/>
      </c>
      <c r="G1678" s="101"/>
      <c r="H1678" s="91">
        <f t="shared" si="133"/>
        <v>0</v>
      </c>
      <c r="I1678" s="91" t="str">
        <f t="shared" si="134"/>
        <v/>
      </c>
      <c r="J1678" s="91" t="str">
        <f t="shared" si="135"/>
        <v/>
      </c>
      <c r="K1678" s="92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2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58"/>
      <c r="U1678" s="217" t="str">
        <f t="shared" si="136"/>
        <v/>
      </c>
      <c r="V1678" s="215" t="s">
        <v>47</v>
      </c>
      <c r="W1678" s="102" t="s">
        <v>136</v>
      </c>
      <c r="X1678" s="102" t="s">
        <v>137</v>
      </c>
      <c r="Y1678" s="103" t="s">
        <v>138</v>
      </c>
      <c r="Z1678" s="103" t="s">
        <v>139</v>
      </c>
      <c r="AA1678" s="103" t="s">
        <v>47</v>
      </c>
      <c r="AB1678" s="103" t="s">
        <v>140</v>
      </c>
      <c r="AC1678" s="104" t="s">
        <v>141</v>
      </c>
    </row>
    <row r="1679" spans="1:29" ht="25.5" customHeight="1" x14ac:dyDescent="0.35">
      <c r="A1679" s="188"/>
      <c r="B1679" s="190"/>
      <c r="C1679" s="99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0"/>
      <c r="E1679" s="78" t="str">
        <f>IF(C1679="","",IFERROR(VLOOKUP(C1679,parametros!$A$11:$E$15,5,0),""))</f>
        <v/>
      </c>
      <c r="F1679" s="79" t="str">
        <f t="shared" si="132"/>
        <v/>
      </c>
      <c r="G1679" s="101"/>
      <c r="H1679" s="91">
        <f t="shared" si="133"/>
        <v>0</v>
      </c>
      <c r="I1679" s="91" t="str">
        <f t="shared" si="134"/>
        <v/>
      </c>
      <c r="J1679" s="91" t="str">
        <f t="shared" si="135"/>
        <v/>
      </c>
      <c r="K1679" s="92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2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58"/>
      <c r="U1679" s="217" t="str">
        <f t="shared" si="136"/>
        <v/>
      </c>
      <c r="V1679" s="215" t="s">
        <v>47</v>
      </c>
      <c r="W1679" s="102" t="s">
        <v>136</v>
      </c>
      <c r="X1679" s="102" t="s">
        <v>137</v>
      </c>
      <c r="Y1679" s="103" t="s">
        <v>138</v>
      </c>
      <c r="Z1679" s="103" t="s">
        <v>139</v>
      </c>
      <c r="AA1679" s="103" t="s">
        <v>47</v>
      </c>
      <c r="AB1679" s="103" t="s">
        <v>140</v>
      </c>
      <c r="AC1679" s="104" t="s">
        <v>141</v>
      </c>
    </row>
    <row r="1680" spans="1:29" ht="25.5" customHeight="1" x14ac:dyDescent="0.35">
      <c r="A1680" s="188"/>
      <c r="B1680" s="190"/>
      <c r="C1680" s="99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0"/>
      <c r="E1680" s="78" t="str">
        <f>IF(C1680="","",IFERROR(VLOOKUP(C1680,parametros!$A$11:$E$15,5,0),""))</f>
        <v/>
      </c>
      <c r="F1680" s="79" t="str">
        <f t="shared" si="132"/>
        <v/>
      </c>
      <c r="G1680" s="101"/>
      <c r="H1680" s="91">
        <f t="shared" si="133"/>
        <v>0</v>
      </c>
      <c r="I1680" s="91" t="str">
        <f t="shared" si="134"/>
        <v/>
      </c>
      <c r="J1680" s="91" t="str">
        <f t="shared" si="135"/>
        <v/>
      </c>
      <c r="K1680" s="92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2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58"/>
      <c r="U1680" s="217" t="str">
        <f t="shared" si="136"/>
        <v/>
      </c>
      <c r="V1680" s="215" t="s">
        <v>47</v>
      </c>
      <c r="W1680" s="102" t="s">
        <v>136</v>
      </c>
      <c r="X1680" s="102" t="s">
        <v>137</v>
      </c>
      <c r="Y1680" s="103" t="s">
        <v>138</v>
      </c>
      <c r="Z1680" s="103" t="s">
        <v>139</v>
      </c>
      <c r="AA1680" s="103" t="s">
        <v>47</v>
      </c>
      <c r="AB1680" s="103" t="s">
        <v>140</v>
      </c>
      <c r="AC1680" s="104" t="s">
        <v>141</v>
      </c>
    </row>
    <row r="1681" spans="1:29" ht="25.5" customHeight="1" x14ac:dyDescent="0.35">
      <c r="A1681" s="188"/>
      <c r="B1681" s="190"/>
      <c r="C1681" s="99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0"/>
      <c r="E1681" s="78" t="str">
        <f>IF(C1681="","",IFERROR(VLOOKUP(C1681,parametros!$A$11:$E$15,5,0),""))</f>
        <v/>
      </c>
      <c r="F1681" s="79" t="str">
        <f t="shared" si="132"/>
        <v/>
      </c>
      <c r="G1681" s="101"/>
      <c r="H1681" s="91">
        <f t="shared" si="133"/>
        <v>0</v>
      </c>
      <c r="I1681" s="91" t="str">
        <f t="shared" si="134"/>
        <v/>
      </c>
      <c r="J1681" s="91" t="str">
        <f t="shared" si="135"/>
        <v/>
      </c>
      <c r="K1681" s="92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2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58"/>
      <c r="U1681" s="217" t="str">
        <f t="shared" si="136"/>
        <v/>
      </c>
      <c r="V1681" s="215" t="s">
        <v>47</v>
      </c>
      <c r="W1681" s="102" t="s">
        <v>136</v>
      </c>
      <c r="X1681" s="102" t="s">
        <v>137</v>
      </c>
      <c r="Y1681" s="103" t="s">
        <v>138</v>
      </c>
      <c r="Z1681" s="103" t="s">
        <v>139</v>
      </c>
      <c r="AA1681" s="103" t="s">
        <v>47</v>
      </c>
      <c r="AB1681" s="103" t="s">
        <v>140</v>
      </c>
      <c r="AC1681" s="104" t="s">
        <v>141</v>
      </c>
    </row>
    <row r="1682" spans="1:29" ht="25.5" customHeight="1" x14ac:dyDescent="0.35">
      <c r="A1682" s="188"/>
      <c r="B1682" s="190"/>
      <c r="C1682" s="99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0"/>
      <c r="E1682" s="78" t="str">
        <f>IF(C1682="","",IFERROR(VLOOKUP(C1682,parametros!$A$11:$E$15,5,0),""))</f>
        <v/>
      </c>
      <c r="F1682" s="79" t="str">
        <f t="shared" si="132"/>
        <v/>
      </c>
      <c r="G1682" s="101"/>
      <c r="H1682" s="91">
        <f t="shared" si="133"/>
        <v>0</v>
      </c>
      <c r="I1682" s="91" t="str">
        <f t="shared" si="134"/>
        <v/>
      </c>
      <c r="J1682" s="91" t="str">
        <f t="shared" si="135"/>
        <v/>
      </c>
      <c r="K1682" s="92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2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58"/>
      <c r="U1682" s="217" t="str">
        <f t="shared" si="136"/>
        <v/>
      </c>
      <c r="V1682" s="215" t="s">
        <v>47</v>
      </c>
      <c r="W1682" s="102" t="s">
        <v>136</v>
      </c>
      <c r="X1682" s="102" t="s">
        <v>137</v>
      </c>
      <c r="Y1682" s="103" t="s">
        <v>138</v>
      </c>
      <c r="Z1682" s="103" t="s">
        <v>139</v>
      </c>
      <c r="AA1682" s="103" t="s">
        <v>47</v>
      </c>
      <c r="AB1682" s="103" t="s">
        <v>140</v>
      </c>
      <c r="AC1682" s="104" t="s">
        <v>141</v>
      </c>
    </row>
    <row r="1683" spans="1:29" ht="25.5" customHeight="1" x14ac:dyDescent="0.35">
      <c r="A1683" s="188"/>
      <c r="B1683" s="190"/>
      <c r="C1683" s="99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0"/>
      <c r="E1683" s="78" t="str">
        <f>IF(C1683="","",IFERROR(VLOOKUP(C1683,parametros!$A$11:$E$15,5,0),""))</f>
        <v/>
      </c>
      <c r="F1683" s="79" t="str">
        <f t="shared" si="132"/>
        <v/>
      </c>
      <c r="G1683" s="101"/>
      <c r="H1683" s="91">
        <f t="shared" si="133"/>
        <v>0</v>
      </c>
      <c r="I1683" s="91" t="str">
        <f t="shared" si="134"/>
        <v/>
      </c>
      <c r="J1683" s="91" t="str">
        <f t="shared" si="135"/>
        <v/>
      </c>
      <c r="K1683" s="92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2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58"/>
      <c r="U1683" s="217" t="str">
        <f t="shared" si="136"/>
        <v/>
      </c>
      <c r="V1683" s="215" t="s">
        <v>47</v>
      </c>
      <c r="W1683" s="102" t="s">
        <v>136</v>
      </c>
      <c r="X1683" s="102" t="s">
        <v>137</v>
      </c>
      <c r="Y1683" s="103" t="s">
        <v>138</v>
      </c>
      <c r="Z1683" s="103" t="s">
        <v>139</v>
      </c>
      <c r="AA1683" s="103" t="s">
        <v>47</v>
      </c>
      <c r="AB1683" s="103" t="s">
        <v>140</v>
      </c>
      <c r="AC1683" s="104" t="s">
        <v>141</v>
      </c>
    </row>
    <row r="1684" spans="1:29" ht="25.5" customHeight="1" x14ac:dyDescent="0.35">
      <c r="A1684" s="188"/>
      <c r="B1684" s="190"/>
      <c r="C1684" s="99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0"/>
      <c r="E1684" s="78" t="str">
        <f>IF(C1684="","",IFERROR(VLOOKUP(C1684,parametros!$A$11:$E$15,5,0),""))</f>
        <v/>
      </c>
      <c r="F1684" s="79" t="str">
        <f t="shared" si="132"/>
        <v/>
      </c>
      <c r="G1684" s="101"/>
      <c r="H1684" s="91">
        <f t="shared" si="133"/>
        <v>0</v>
      </c>
      <c r="I1684" s="91" t="str">
        <f t="shared" si="134"/>
        <v/>
      </c>
      <c r="J1684" s="91" t="str">
        <f t="shared" si="135"/>
        <v/>
      </c>
      <c r="K1684" s="92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2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58"/>
      <c r="U1684" s="217" t="str">
        <f t="shared" si="136"/>
        <v/>
      </c>
      <c r="V1684" s="215" t="s">
        <v>47</v>
      </c>
      <c r="W1684" s="102" t="s">
        <v>136</v>
      </c>
      <c r="X1684" s="102" t="s">
        <v>137</v>
      </c>
      <c r="Y1684" s="103" t="s">
        <v>138</v>
      </c>
      <c r="Z1684" s="103" t="s">
        <v>139</v>
      </c>
      <c r="AA1684" s="103" t="s">
        <v>47</v>
      </c>
      <c r="AB1684" s="103" t="s">
        <v>140</v>
      </c>
      <c r="AC1684" s="104" t="s">
        <v>141</v>
      </c>
    </row>
    <row r="1685" spans="1:29" ht="25.5" customHeight="1" x14ac:dyDescent="0.35">
      <c r="A1685" s="188"/>
      <c r="B1685" s="190"/>
      <c r="C1685" s="99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0"/>
      <c r="E1685" s="78" t="str">
        <f>IF(C1685="","",IFERROR(VLOOKUP(C1685,parametros!$A$11:$E$15,5,0),""))</f>
        <v/>
      </c>
      <c r="F1685" s="79" t="str">
        <f t="shared" si="132"/>
        <v/>
      </c>
      <c r="G1685" s="101"/>
      <c r="H1685" s="91">
        <f t="shared" si="133"/>
        <v>0</v>
      </c>
      <c r="I1685" s="91" t="str">
        <f t="shared" si="134"/>
        <v/>
      </c>
      <c r="J1685" s="91" t="str">
        <f t="shared" si="135"/>
        <v/>
      </c>
      <c r="K1685" s="92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2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58"/>
      <c r="U1685" s="217" t="str">
        <f t="shared" si="136"/>
        <v/>
      </c>
      <c r="V1685" s="215" t="s">
        <v>47</v>
      </c>
      <c r="W1685" s="102" t="s">
        <v>136</v>
      </c>
      <c r="X1685" s="102" t="s">
        <v>137</v>
      </c>
      <c r="Y1685" s="103" t="s">
        <v>138</v>
      </c>
      <c r="Z1685" s="103" t="s">
        <v>139</v>
      </c>
      <c r="AA1685" s="103" t="s">
        <v>47</v>
      </c>
      <c r="AB1685" s="103" t="s">
        <v>140</v>
      </c>
      <c r="AC1685" s="104" t="s">
        <v>141</v>
      </c>
    </row>
    <row r="1686" spans="1:29" ht="25.5" customHeight="1" x14ac:dyDescent="0.35">
      <c r="A1686" s="188"/>
      <c r="B1686" s="190"/>
      <c r="C1686" s="99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0"/>
      <c r="E1686" s="78" t="str">
        <f>IF(C1686="","",IFERROR(VLOOKUP(C1686,parametros!$A$11:$E$15,5,0),""))</f>
        <v/>
      </c>
      <c r="F1686" s="79" t="str">
        <f t="shared" si="132"/>
        <v/>
      </c>
      <c r="G1686" s="101"/>
      <c r="H1686" s="91">
        <f t="shared" si="133"/>
        <v>0</v>
      </c>
      <c r="I1686" s="91" t="str">
        <f t="shared" si="134"/>
        <v/>
      </c>
      <c r="J1686" s="91" t="str">
        <f t="shared" si="135"/>
        <v/>
      </c>
      <c r="K1686" s="92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2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58"/>
      <c r="U1686" s="217" t="str">
        <f t="shared" si="136"/>
        <v/>
      </c>
      <c r="V1686" s="215" t="s">
        <v>47</v>
      </c>
      <c r="W1686" s="102" t="s">
        <v>136</v>
      </c>
      <c r="X1686" s="102" t="s">
        <v>137</v>
      </c>
      <c r="Y1686" s="103" t="s">
        <v>138</v>
      </c>
      <c r="Z1686" s="103" t="s">
        <v>139</v>
      </c>
      <c r="AA1686" s="103" t="s">
        <v>47</v>
      </c>
      <c r="AB1686" s="103" t="s">
        <v>140</v>
      </c>
      <c r="AC1686" s="104" t="s">
        <v>141</v>
      </c>
    </row>
    <row r="1687" spans="1:29" ht="25.5" customHeight="1" x14ac:dyDescent="0.35">
      <c r="A1687" s="188"/>
      <c r="B1687" s="190"/>
      <c r="C1687" s="99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0"/>
      <c r="E1687" s="78" t="str">
        <f>IF(C1687="","",IFERROR(VLOOKUP(C1687,parametros!$A$11:$E$15,5,0),""))</f>
        <v/>
      </c>
      <c r="F1687" s="79" t="str">
        <f t="shared" si="132"/>
        <v/>
      </c>
      <c r="G1687" s="101"/>
      <c r="H1687" s="91">
        <f t="shared" si="133"/>
        <v>0</v>
      </c>
      <c r="I1687" s="91" t="str">
        <f t="shared" si="134"/>
        <v/>
      </c>
      <c r="J1687" s="91" t="str">
        <f t="shared" si="135"/>
        <v/>
      </c>
      <c r="K1687" s="92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2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58"/>
      <c r="U1687" s="217" t="str">
        <f t="shared" si="136"/>
        <v/>
      </c>
      <c r="V1687" s="215" t="s">
        <v>47</v>
      </c>
      <c r="W1687" s="102" t="s">
        <v>136</v>
      </c>
      <c r="X1687" s="102" t="s">
        <v>137</v>
      </c>
      <c r="Y1687" s="103" t="s">
        <v>138</v>
      </c>
      <c r="Z1687" s="103" t="s">
        <v>139</v>
      </c>
      <c r="AA1687" s="103" t="s">
        <v>47</v>
      </c>
      <c r="AB1687" s="103" t="s">
        <v>140</v>
      </c>
      <c r="AC1687" s="104" t="s">
        <v>141</v>
      </c>
    </row>
    <row r="1688" spans="1:29" ht="25.5" customHeight="1" x14ac:dyDescent="0.35">
      <c r="A1688" s="188"/>
      <c r="B1688" s="190"/>
      <c r="C1688" s="99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0"/>
      <c r="E1688" s="78" t="str">
        <f>IF(C1688="","",IFERROR(VLOOKUP(C1688,parametros!$A$11:$E$15,5,0),""))</f>
        <v/>
      </c>
      <c r="F1688" s="79" t="str">
        <f t="shared" si="132"/>
        <v/>
      </c>
      <c r="G1688" s="101"/>
      <c r="H1688" s="91">
        <f t="shared" si="133"/>
        <v>0</v>
      </c>
      <c r="I1688" s="91" t="str">
        <f t="shared" si="134"/>
        <v/>
      </c>
      <c r="J1688" s="91" t="str">
        <f t="shared" si="135"/>
        <v/>
      </c>
      <c r="K1688" s="92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2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58"/>
      <c r="U1688" s="217" t="str">
        <f t="shared" si="136"/>
        <v/>
      </c>
      <c r="V1688" s="215" t="s">
        <v>47</v>
      </c>
      <c r="W1688" s="102" t="s">
        <v>136</v>
      </c>
      <c r="X1688" s="102" t="s">
        <v>137</v>
      </c>
      <c r="Y1688" s="103" t="s">
        <v>138</v>
      </c>
      <c r="Z1688" s="103" t="s">
        <v>139</v>
      </c>
      <c r="AA1688" s="103" t="s">
        <v>47</v>
      </c>
      <c r="AB1688" s="103" t="s">
        <v>140</v>
      </c>
      <c r="AC1688" s="104" t="s">
        <v>141</v>
      </c>
    </row>
    <row r="1689" spans="1:29" ht="25.5" customHeight="1" x14ac:dyDescent="0.35">
      <c r="A1689" s="188"/>
      <c r="B1689" s="190"/>
      <c r="C1689" s="99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0"/>
      <c r="E1689" s="78" t="str">
        <f>IF(C1689="","",IFERROR(VLOOKUP(C1689,parametros!$A$11:$E$15,5,0),""))</f>
        <v/>
      </c>
      <c r="F1689" s="79" t="str">
        <f t="shared" si="132"/>
        <v/>
      </c>
      <c r="G1689" s="101"/>
      <c r="H1689" s="91">
        <f t="shared" si="133"/>
        <v>0</v>
      </c>
      <c r="I1689" s="91" t="str">
        <f t="shared" si="134"/>
        <v/>
      </c>
      <c r="J1689" s="91" t="str">
        <f t="shared" si="135"/>
        <v/>
      </c>
      <c r="K1689" s="92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2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58"/>
      <c r="U1689" s="217" t="str">
        <f t="shared" si="136"/>
        <v/>
      </c>
      <c r="V1689" s="215" t="s">
        <v>47</v>
      </c>
      <c r="W1689" s="102" t="s">
        <v>136</v>
      </c>
      <c r="X1689" s="102" t="s">
        <v>137</v>
      </c>
      <c r="Y1689" s="103" t="s">
        <v>138</v>
      </c>
      <c r="Z1689" s="103" t="s">
        <v>139</v>
      </c>
      <c r="AA1689" s="103" t="s">
        <v>47</v>
      </c>
      <c r="AB1689" s="103" t="s">
        <v>140</v>
      </c>
      <c r="AC1689" s="104" t="s">
        <v>141</v>
      </c>
    </row>
    <row r="1690" spans="1:29" ht="25.5" customHeight="1" x14ac:dyDescent="0.35">
      <c r="A1690" s="188"/>
      <c r="B1690" s="190"/>
      <c r="C1690" s="99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0"/>
      <c r="E1690" s="78" t="str">
        <f>IF(C1690="","",IFERROR(VLOOKUP(C1690,parametros!$A$11:$E$15,5,0),""))</f>
        <v/>
      </c>
      <c r="F1690" s="79" t="str">
        <f t="shared" si="132"/>
        <v/>
      </c>
      <c r="G1690" s="101"/>
      <c r="H1690" s="91">
        <f t="shared" si="133"/>
        <v>0</v>
      </c>
      <c r="I1690" s="91" t="str">
        <f t="shared" si="134"/>
        <v/>
      </c>
      <c r="J1690" s="91" t="str">
        <f t="shared" si="135"/>
        <v/>
      </c>
      <c r="K1690" s="92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2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58"/>
      <c r="U1690" s="217" t="str">
        <f t="shared" si="136"/>
        <v/>
      </c>
      <c r="V1690" s="215" t="s">
        <v>47</v>
      </c>
      <c r="W1690" s="102" t="s">
        <v>136</v>
      </c>
      <c r="X1690" s="102" t="s">
        <v>137</v>
      </c>
      <c r="Y1690" s="103" t="s">
        <v>138</v>
      </c>
      <c r="Z1690" s="103" t="s">
        <v>139</v>
      </c>
      <c r="AA1690" s="103" t="s">
        <v>47</v>
      </c>
      <c r="AB1690" s="103" t="s">
        <v>140</v>
      </c>
      <c r="AC1690" s="104" t="s">
        <v>141</v>
      </c>
    </row>
    <row r="1691" spans="1:29" ht="25.5" customHeight="1" x14ac:dyDescent="0.35">
      <c r="A1691" s="188"/>
      <c r="B1691" s="190"/>
      <c r="C1691" s="99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0"/>
      <c r="E1691" s="78" t="str">
        <f>IF(C1691="","",IFERROR(VLOOKUP(C1691,parametros!$A$11:$E$15,5,0),""))</f>
        <v/>
      </c>
      <c r="F1691" s="79" t="str">
        <f t="shared" si="132"/>
        <v/>
      </c>
      <c r="G1691" s="101"/>
      <c r="H1691" s="91">
        <f t="shared" si="133"/>
        <v>0</v>
      </c>
      <c r="I1691" s="91" t="str">
        <f t="shared" si="134"/>
        <v/>
      </c>
      <c r="J1691" s="91" t="str">
        <f t="shared" si="135"/>
        <v/>
      </c>
      <c r="K1691" s="92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2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58"/>
      <c r="U1691" s="217" t="str">
        <f t="shared" si="136"/>
        <v/>
      </c>
      <c r="V1691" s="215" t="s">
        <v>47</v>
      </c>
      <c r="W1691" s="102" t="s">
        <v>136</v>
      </c>
      <c r="X1691" s="102" t="s">
        <v>137</v>
      </c>
      <c r="Y1691" s="103" t="s">
        <v>138</v>
      </c>
      <c r="Z1691" s="103" t="s">
        <v>139</v>
      </c>
      <c r="AA1691" s="103" t="s">
        <v>47</v>
      </c>
      <c r="AB1691" s="103" t="s">
        <v>140</v>
      </c>
      <c r="AC1691" s="104" t="s">
        <v>141</v>
      </c>
    </row>
    <row r="1692" spans="1:29" ht="25.5" customHeight="1" x14ac:dyDescent="0.35">
      <c r="A1692" s="188"/>
      <c r="B1692" s="190"/>
      <c r="C1692" s="99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0"/>
      <c r="E1692" s="78" t="str">
        <f>IF(C1692="","",IFERROR(VLOOKUP(C1692,parametros!$A$11:$E$15,5,0),""))</f>
        <v/>
      </c>
      <c r="F1692" s="79" t="str">
        <f t="shared" si="132"/>
        <v/>
      </c>
      <c r="G1692" s="101"/>
      <c r="H1692" s="91">
        <f t="shared" si="133"/>
        <v>0</v>
      </c>
      <c r="I1692" s="91" t="str">
        <f t="shared" si="134"/>
        <v/>
      </c>
      <c r="J1692" s="91" t="str">
        <f t="shared" si="135"/>
        <v/>
      </c>
      <c r="K1692" s="92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2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58"/>
      <c r="U1692" s="217" t="str">
        <f t="shared" si="136"/>
        <v/>
      </c>
      <c r="V1692" s="215" t="s">
        <v>47</v>
      </c>
      <c r="W1692" s="102" t="s">
        <v>136</v>
      </c>
      <c r="X1692" s="102" t="s">
        <v>137</v>
      </c>
      <c r="Y1692" s="103" t="s">
        <v>138</v>
      </c>
      <c r="Z1692" s="103" t="s">
        <v>139</v>
      </c>
      <c r="AA1692" s="103" t="s">
        <v>47</v>
      </c>
      <c r="AB1692" s="103" t="s">
        <v>140</v>
      </c>
      <c r="AC1692" s="104" t="s">
        <v>141</v>
      </c>
    </row>
    <row r="1693" spans="1:29" ht="25.5" customHeight="1" x14ac:dyDescent="0.35">
      <c r="A1693" s="188"/>
      <c r="B1693" s="190"/>
      <c r="C1693" s="99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0"/>
      <c r="E1693" s="78" t="str">
        <f>IF(C1693="","",IFERROR(VLOOKUP(C1693,parametros!$A$11:$E$15,5,0),""))</f>
        <v/>
      </c>
      <c r="F1693" s="79" t="str">
        <f t="shared" si="132"/>
        <v/>
      </c>
      <c r="G1693" s="101"/>
      <c r="H1693" s="91">
        <f t="shared" si="133"/>
        <v>0</v>
      </c>
      <c r="I1693" s="91" t="str">
        <f t="shared" si="134"/>
        <v/>
      </c>
      <c r="J1693" s="91" t="str">
        <f t="shared" si="135"/>
        <v/>
      </c>
      <c r="K1693" s="92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2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58"/>
      <c r="U1693" s="217" t="str">
        <f t="shared" si="136"/>
        <v/>
      </c>
      <c r="V1693" s="215" t="s">
        <v>47</v>
      </c>
      <c r="W1693" s="102" t="s">
        <v>136</v>
      </c>
      <c r="X1693" s="102" t="s">
        <v>137</v>
      </c>
      <c r="Y1693" s="103" t="s">
        <v>138</v>
      </c>
      <c r="Z1693" s="103" t="s">
        <v>139</v>
      </c>
      <c r="AA1693" s="103" t="s">
        <v>47</v>
      </c>
      <c r="AB1693" s="103" t="s">
        <v>140</v>
      </c>
      <c r="AC1693" s="104" t="s">
        <v>141</v>
      </c>
    </row>
    <row r="1694" spans="1:29" ht="25.5" customHeight="1" x14ac:dyDescent="0.35">
      <c r="A1694" s="188"/>
      <c r="B1694" s="190"/>
      <c r="C1694" s="99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0"/>
      <c r="E1694" s="78" t="str">
        <f>IF(C1694="","",IFERROR(VLOOKUP(C1694,parametros!$A$11:$E$15,5,0),""))</f>
        <v/>
      </c>
      <c r="F1694" s="79" t="str">
        <f t="shared" si="132"/>
        <v/>
      </c>
      <c r="G1694" s="101"/>
      <c r="H1694" s="91">
        <f t="shared" si="133"/>
        <v>0</v>
      </c>
      <c r="I1694" s="91" t="str">
        <f t="shared" si="134"/>
        <v/>
      </c>
      <c r="J1694" s="91" t="str">
        <f t="shared" si="135"/>
        <v/>
      </c>
      <c r="K1694" s="92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2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58"/>
      <c r="U1694" s="217" t="str">
        <f t="shared" si="136"/>
        <v/>
      </c>
      <c r="V1694" s="215" t="s">
        <v>47</v>
      </c>
      <c r="W1694" s="102" t="s">
        <v>136</v>
      </c>
      <c r="X1694" s="102" t="s">
        <v>137</v>
      </c>
      <c r="Y1694" s="103" t="s">
        <v>138</v>
      </c>
      <c r="Z1694" s="103" t="s">
        <v>139</v>
      </c>
      <c r="AA1694" s="103" t="s">
        <v>47</v>
      </c>
      <c r="AB1694" s="103" t="s">
        <v>140</v>
      </c>
      <c r="AC1694" s="104" t="s">
        <v>141</v>
      </c>
    </row>
    <row r="1695" spans="1:29" ht="25.5" customHeight="1" x14ac:dyDescent="0.35">
      <c r="A1695" s="188"/>
      <c r="B1695" s="190"/>
      <c r="C1695" s="99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0"/>
      <c r="E1695" s="78" t="str">
        <f>IF(C1695="","",IFERROR(VLOOKUP(C1695,parametros!$A$11:$E$15,5,0),""))</f>
        <v/>
      </c>
      <c r="F1695" s="79" t="str">
        <f t="shared" si="132"/>
        <v/>
      </c>
      <c r="G1695" s="101"/>
      <c r="H1695" s="91">
        <f t="shared" si="133"/>
        <v>0</v>
      </c>
      <c r="I1695" s="91" t="str">
        <f t="shared" si="134"/>
        <v/>
      </c>
      <c r="J1695" s="91" t="str">
        <f t="shared" si="135"/>
        <v/>
      </c>
      <c r="K1695" s="92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2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58"/>
      <c r="U1695" s="217" t="str">
        <f t="shared" si="136"/>
        <v/>
      </c>
      <c r="V1695" s="215" t="s">
        <v>47</v>
      </c>
      <c r="W1695" s="102" t="s">
        <v>136</v>
      </c>
      <c r="X1695" s="102" t="s">
        <v>137</v>
      </c>
      <c r="Y1695" s="103" t="s">
        <v>138</v>
      </c>
      <c r="Z1695" s="103" t="s">
        <v>139</v>
      </c>
      <c r="AA1695" s="103" t="s">
        <v>47</v>
      </c>
      <c r="AB1695" s="103" t="s">
        <v>140</v>
      </c>
      <c r="AC1695" s="104" t="s">
        <v>141</v>
      </c>
    </row>
    <row r="1696" spans="1:29" ht="25.5" customHeight="1" x14ac:dyDescent="0.35">
      <c r="A1696" s="188"/>
      <c r="B1696" s="190"/>
      <c r="C1696" s="99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0"/>
      <c r="E1696" s="78" t="str">
        <f>IF(C1696="","",IFERROR(VLOOKUP(C1696,parametros!$A$11:$E$15,5,0),""))</f>
        <v/>
      </c>
      <c r="F1696" s="79" t="str">
        <f t="shared" si="132"/>
        <v/>
      </c>
      <c r="G1696" s="101"/>
      <c r="H1696" s="91">
        <f t="shared" si="133"/>
        <v>0</v>
      </c>
      <c r="I1696" s="91" t="str">
        <f t="shared" si="134"/>
        <v/>
      </c>
      <c r="J1696" s="91" t="str">
        <f t="shared" si="135"/>
        <v/>
      </c>
      <c r="K1696" s="92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2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58"/>
      <c r="U1696" s="217" t="str">
        <f t="shared" si="136"/>
        <v/>
      </c>
      <c r="V1696" s="215" t="s">
        <v>47</v>
      </c>
      <c r="W1696" s="102" t="s">
        <v>136</v>
      </c>
      <c r="X1696" s="102" t="s">
        <v>137</v>
      </c>
      <c r="Y1696" s="103" t="s">
        <v>138</v>
      </c>
      <c r="Z1696" s="103" t="s">
        <v>139</v>
      </c>
      <c r="AA1696" s="103" t="s">
        <v>47</v>
      </c>
      <c r="AB1696" s="103" t="s">
        <v>140</v>
      </c>
      <c r="AC1696" s="104" t="s">
        <v>141</v>
      </c>
    </row>
    <row r="1697" spans="1:29" ht="25.5" customHeight="1" x14ac:dyDescent="0.35">
      <c r="A1697" s="188"/>
      <c r="B1697" s="190"/>
      <c r="C1697" s="99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0"/>
      <c r="E1697" s="78" t="str">
        <f>IF(C1697="","",IFERROR(VLOOKUP(C1697,parametros!$A$11:$E$15,5,0),""))</f>
        <v/>
      </c>
      <c r="F1697" s="79" t="str">
        <f t="shared" si="132"/>
        <v/>
      </c>
      <c r="G1697" s="101"/>
      <c r="H1697" s="91">
        <f t="shared" si="133"/>
        <v>0</v>
      </c>
      <c r="I1697" s="91" t="str">
        <f t="shared" si="134"/>
        <v/>
      </c>
      <c r="J1697" s="91" t="str">
        <f t="shared" si="135"/>
        <v/>
      </c>
      <c r="K1697" s="92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2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58"/>
      <c r="U1697" s="217" t="str">
        <f t="shared" si="136"/>
        <v/>
      </c>
      <c r="V1697" s="215" t="s">
        <v>47</v>
      </c>
      <c r="W1697" s="102" t="s">
        <v>136</v>
      </c>
      <c r="X1697" s="102" t="s">
        <v>137</v>
      </c>
      <c r="Y1697" s="103" t="s">
        <v>138</v>
      </c>
      <c r="Z1697" s="103" t="s">
        <v>139</v>
      </c>
      <c r="AA1697" s="103" t="s">
        <v>47</v>
      </c>
      <c r="AB1697" s="103" t="s">
        <v>140</v>
      </c>
      <c r="AC1697" s="104" t="s">
        <v>141</v>
      </c>
    </row>
    <row r="1698" spans="1:29" ht="25.5" customHeight="1" x14ac:dyDescent="0.35">
      <c r="A1698" s="188"/>
      <c r="B1698" s="190"/>
      <c r="C1698" s="99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0"/>
      <c r="E1698" s="78" t="str">
        <f>IF(C1698="","",IFERROR(VLOOKUP(C1698,parametros!$A$11:$E$15,5,0),""))</f>
        <v/>
      </c>
      <c r="F1698" s="79" t="str">
        <f t="shared" si="132"/>
        <v/>
      </c>
      <c r="G1698" s="101"/>
      <c r="H1698" s="91">
        <f t="shared" si="133"/>
        <v>0</v>
      </c>
      <c r="I1698" s="91" t="str">
        <f t="shared" si="134"/>
        <v/>
      </c>
      <c r="J1698" s="91" t="str">
        <f t="shared" si="135"/>
        <v/>
      </c>
      <c r="K1698" s="92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2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58"/>
      <c r="U1698" s="217" t="str">
        <f t="shared" si="136"/>
        <v/>
      </c>
      <c r="V1698" s="215" t="s">
        <v>47</v>
      </c>
      <c r="W1698" s="102" t="s">
        <v>136</v>
      </c>
      <c r="X1698" s="102" t="s">
        <v>137</v>
      </c>
      <c r="Y1698" s="103" t="s">
        <v>138</v>
      </c>
      <c r="Z1698" s="103" t="s">
        <v>139</v>
      </c>
      <c r="AA1698" s="103" t="s">
        <v>47</v>
      </c>
      <c r="AB1698" s="103" t="s">
        <v>140</v>
      </c>
      <c r="AC1698" s="104" t="s">
        <v>141</v>
      </c>
    </row>
    <row r="1699" spans="1:29" ht="25.5" customHeight="1" x14ac:dyDescent="0.35">
      <c r="A1699" s="188"/>
      <c r="B1699" s="190"/>
      <c r="C1699" s="99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0"/>
      <c r="E1699" s="78" t="str">
        <f>IF(C1699="","",IFERROR(VLOOKUP(C1699,parametros!$A$11:$E$15,5,0),""))</f>
        <v/>
      </c>
      <c r="F1699" s="79" t="str">
        <f t="shared" si="132"/>
        <v/>
      </c>
      <c r="G1699" s="101"/>
      <c r="H1699" s="91">
        <f t="shared" si="133"/>
        <v>0</v>
      </c>
      <c r="I1699" s="91" t="str">
        <f t="shared" si="134"/>
        <v/>
      </c>
      <c r="J1699" s="91" t="str">
        <f t="shared" si="135"/>
        <v/>
      </c>
      <c r="K1699" s="92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2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58"/>
      <c r="U1699" s="217" t="str">
        <f t="shared" si="136"/>
        <v/>
      </c>
      <c r="V1699" s="215" t="s">
        <v>47</v>
      </c>
      <c r="W1699" s="102" t="s">
        <v>136</v>
      </c>
      <c r="X1699" s="102" t="s">
        <v>137</v>
      </c>
      <c r="Y1699" s="103" t="s">
        <v>138</v>
      </c>
      <c r="Z1699" s="103" t="s">
        <v>139</v>
      </c>
      <c r="AA1699" s="103" t="s">
        <v>47</v>
      </c>
      <c r="AB1699" s="103" t="s">
        <v>140</v>
      </c>
      <c r="AC1699" s="104" t="s">
        <v>141</v>
      </c>
    </row>
    <row r="1700" spans="1:29" ht="25.5" customHeight="1" x14ac:dyDescent="0.35">
      <c r="A1700" s="188"/>
      <c r="B1700" s="190"/>
      <c r="C1700" s="99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0"/>
      <c r="E1700" s="78" t="str">
        <f>IF(C1700="","",IFERROR(VLOOKUP(C1700,parametros!$A$11:$E$15,5,0),""))</f>
        <v/>
      </c>
      <c r="F1700" s="79" t="str">
        <f t="shared" si="132"/>
        <v/>
      </c>
      <c r="G1700" s="101"/>
      <c r="H1700" s="91">
        <f t="shared" si="133"/>
        <v>0</v>
      </c>
      <c r="I1700" s="91" t="str">
        <f t="shared" si="134"/>
        <v/>
      </c>
      <c r="J1700" s="91" t="str">
        <f t="shared" si="135"/>
        <v/>
      </c>
      <c r="K1700" s="92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2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58"/>
      <c r="U1700" s="217" t="str">
        <f t="shared" si="136"/>
        <v/>
      </c>
      <c r="V1700" s="215" t="s">
        <v>47</v>
      </c>
      <c r="W1700" s="102" t="s">
        <v>136</v>
      </c>
      <c r="X1700" s="102" t="s">
        <v>137</v>
      </c>
      <c r="Y1700" s="103" t="s">
        <v>138</v>
      </c>
      <c r="Z1700" s="103" t="s">
        <v>139</v>
      </c>
      <c r="AA1700" s="103" t="s">
        <v>47</v>
      </c>
      <c r="AB1700" s="103" t="s">
        <v>140</v>
      </c>
      <c r="AC1700" s="104" t="s">
        <v>141</v>
      </c>
    </row>
    <row r="1701" spans="1:29" ht="25.5" customHeight="1" x14ac:dyDescent="0.35">
      <c r="A1701" s="188"/>
      <c r="B1701" s="190"/>
      <c r="C1701" s="99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0"/>
      <c r="E1701" s="78" t="str">
        <f>IF(C1701="","",IFERROR(VLOOKUP(C1701,parametros!$A$11:$E$15,5,0),""))</f>
        <v/>
      </c>
      <c r="F1701" s="79" t="str">
        <f t="shared" si="132"/>
        <v/>
      </c>
      <c r="G1701" s="101"/>
      <c r="H1701" s="91">
        <f t="shared" si="133"/>
        <v>0</v>
      </c>
      <c r="I1701" s="91" t="str">
        <f t="shared" si="134"/>
        <v/>
      </c>
      <c r="J1701" s="91" t="str">
        <f t="shared" si="135"/>
        <v/>
      </c>
      <c r="K1701" s="92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2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58"/>
      <c r="U1701" s="217" t="str">
        <f t="shared" si="136"/>
        <v/>
      </c>
      <c r="V1701" s="215" t="s">
        <v>47</v>
      </c>
      <c r="W1701" s="102" t="s">
        <v>136</v>
      </c>
      <c r="X1701" s="102" t="s">
        <v>137</v>
      </c>
      <c r="Y1701" s="103" t="s">
        <v>138</v>
      </c>
      <c r="Z1701" s="103" t="s">
        <v>139</v>
      </c>
      <c r="AA1701" s="103" t="s">
        <v>47</v>
      </c>
      <c r="AB1701" s="103" t="s">
        <v>140</v>
      </c>
      <c r="AC1701" s="104" t="s">
        <v>141</v>
      </c>
    </row>
    <row r="1702" spans="1:29" ht="25.5" customHeight="1" x14ac:dyDescent="0.35">
      <c r="A1702" s="188"/>
      <c r="B1702" s="190"/>
      <c r="C1702" s="99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0"/>
      <c r="E1702" s="78" t="str">
        <f>IF(C1702="","",IFERROR(VLOOKUP(C1702,parametros!$A$11:$E$15,5,0),""))</f>
        <v/>
      </c>
      <c r="F1702" s="79" t="str">
        <f t="shared" si="132"/>
        <v/>
      </c>
      <c r="G1702" s="101"/>
      <c r="H1702" s="91">
        <f t="shared" si="133"/>
        <v>0</v>
      </c>
      <c r="I1702" s="91" t="str">
        <f t="shared" si="134"/>
        <v/>
      </c>
      <c r="J1702" s="91" t="str">
        <f t="shared" si="135"/>
        <v/>
      </c>
      <c r="K1702" s="92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2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58"/>
      <c r="U1702" s="217" t="str">
        <f t="shared" si="136"/>
        <v/>
      </c>
      <c r="V1702" s="215" t="s">
        <v>47</v>
      </c>
      <c r="W1702" s="102" t="s">
        <v>136</v>
      </c>
      <c r="X1702" s="102" t="s">
        <v>137</v>
      </c>
      <c r="Y1702" s="103" t="s">
        <v>138</v>
      </c>
      <c r="Z1702" s="103" t="s">
        <v>139</v>
      </c>
      <c r="AA1702" s="103" t="s">
        <v>47</v>
      </c>
      <c r="AB1702" s="103" t="s">
        <v>140</v>
      </c>
      <c r="AC1702" s="104" t="s">
        <v>141</v>
      </c>
    </row>
    <row r="1703" spans="1:29" ht="25.5" customHeight="1" x14ac:dyDescent="0.35">
      <c r="A1703" s="188"/>
      <c r="B1703" s="190"/>
      <c r="C1703" s="99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0"/>
      <c r="E1703" s="78" t="str">
        <f>IF(C1703="","",IFERROR(VLOOKUP(C1703,parametros!$A$11:$E$15,5,0),""))</f>
        <v/>
      </c>
      <c r="F1703" s="79" t="str">
        <f t="shared" si="132"/>
        <v/>
      </c>
      <c r="G1703" s="101"/>
      <c r="H1703" s="91">
        <f t="shared" si="133"/>
        <v>0</v>
      </c>
      <c r="I1703" s="91" t="str">
        <f t="shared" si="134"/>
        <v/>
      </c>
      <c r="J1703" s="91" t="str">
        <f t="shared" si="135"/>
        <v/>
      </c>
      <c r="K1703" s="92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2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58"/>
      <c r="U1703" s="217" t="str">
        <f t="shared" si="136"/>
        <v/>
      </c>
      <c r="V1703" s="215" t="s">
        <v>47</v>
      </c>
      <c r="W1703" s="102" t="s">
        <v>136</v>
      </c>
      <c r="X1703" s="102" t="s">
        <v>137</v>
      </c>
      <c r="Y1703" s="103" t="s">
        <v>138</v>
      </c>
      <c r="Z1703" s="103" t="s">
        <v>139</v>
      </c>
      <c r="AA1703" s="103" t="s">
        <v>47</v>
      </c>
      <c r="AB1703" s="103" t="s">
        <v>140</v>
      </c>
      <c r="AC1703" s="104" t="s">
        <v>141</v>
      </c>
    </row>
    <row r="1704" spans="1:29" ht="25.5" customHeight="1" x14ac:dyDescent="0.35">
      <c r="A1704" s="188"/>
      <c r="B1704" s="190"/>
      <c r="C1704" s="99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0"/>
      <c r="E1704" s="78" t="str">
        <f>IF(C1704="","",IFERROR(VLOOKUP(C1704,parametros!$A$11:$E$15,5,0),""))</f>
        <v/>
      </c>
      <c r="F1704" s="79" t="str">
        <f t="shared" si="132"/>
        <v/>
      </c>
      <c r="G1704" s="101"/>
      <c r="H1704" s="91">
        <f t="shared" si="133"/>
        <v>0</v>
      </c>
      <c r="I1704" s="91" t="str">
        <f t="shared" si="134"/>
        <v/>
      </c>
      <c r="J1704" s="91" t="str">
        <f t="shared" si="135"/>
        <v/>
      </c>
      <c r="K1704" s="92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2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58"/>
      <c r="U1704" s="217" t="str">
        <f t="shared" si="136"/>
        <v/>
      </c>
      <c r="V1704" s="215" t="s">
        <v>47</v>
      </c>
      <c r="W1704" s="102" t="s">
        <v>136</v>
      </c>
      <c r="X1704" s="102" t="s">
        <v>137</v>
      </c>
      <c r="Y1704" s="103" t="s">
        <v>138</v>
      </c>
      <c r="Z1704" s="103" t="s">
        <v>139</v>
      </c>
      <c r="AA1704" s="103" t="s">
        <v>47</v>
      </c>
      <c r="AB1704" s="103" t="s">
        <v>140</v>
      </c>
      <c r="AC1704" s="104" t="s">
        <v>141</v>
      </c>
    </row>
    <row r="1705" spans="1:29" ht="25.5" customHeight="1" x14ac:dyDescent="0.35">
      <c r="A1705" s="188"/>
      <c r="B1705" s="190"/>
      <c r="C1705" s="99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0"/>
      <c r="E1705" s="78" t="str">
        <f>IF(C1705="","",IFERROR(VLOOKUP(C1705,parametros!$A$11:$E$15,5,0),""))</f>
        <v/>
      </c>
      <c r="F1705" s="79" t="str">
        <f t="shared" si="132"/>
        <v/>
      </c>
      <c r="G1705" s="101"/>
      <c r="H1705" s="91">
        <f t="shared" si="133"/>
        <v>0</v>
      </c>
      <c r="I1705" s="91" t="str">
        <f t="shared" si="134"/>
        <v/>
      </c>
      <c r="J1705" s="91" t="str">
        <f t="shared" si="135"/>
        <v/>
      </c>
      <c r="K1705" s="92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2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58"/>
      <c r="U1705" s="217" t="str">
        <f t="shared" si="136"/>
        <v/>
      </c>
      <c r="V1705" s="215" t="s">
        <v>47</v>
      </c>
      <c r="W1705" s="102" t="s">
        <v>136</v>
      </c>
      <c r="X1705" s="102" t="s">
        <v>137</v>
      </c>
      <c r="Y1705" s="103" t="s">
        <v>138</v>
      </c>
      <c r="Z1705" s="103" t="s">
        <v>139</v>
      </c>
      <c r="AA1705" s="103" t="s">
        <v>47</v>
      </c>
      <c r="AB1705" s="103" t="s">
        <v>140</v>
      </c>
      <c r="AC1705" s="104" t="s">
        <v>141</v>
      </c>
    </row>
    <row r="1706" spans="1:29" ht="25.5" customHeight="1" x14ac:dyDescent="0.35">
      <c r="A1706" s="188"/>
      <c r="B1706" s="190"/>
      <c r="C1706" s="99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0"/>
      <c r="E1706" s="78" t="str">
        <f>IF(C1706="","",IFERROR(VLOOKUP(C1706,parametros!$A$11:$E$15,5,0),""))</f>
        <v/>
      </c>
      <c r="F1706" s="79" t="str">
        <f t="shared" si="132"/>
        <v/>
      </c>
      <c r="G1706" s="101"/>
      <c r="H1706" s="91">
        <f t="shared" si="133"/>
        <v>0</v>
      </c>
      <c r="I1706" s="91" t="str">
        <f t="shared" si="134"/>
        <v/>
      </c>
      <c r="J1706" s="91" t="str">
        <f t="shared" si="135"/>
        <v/>
      </c>
      <c r="K1706" s="92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2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58"/>
      <c r="U1706" s="217" t="str">
        <f t="shared" si="136"/>
        <v/>
      </c>
      <c r="V1706" s="215" t="s">
        <v>47</v>
      </c>
      <c r="W1706" s="102" t="s">
        <v>136</v>
      </c>
      <c r="X1706" s="102" t="s">
        <v>137</v>
      </c>
      <c r="Y1706" s="103" t="s">
        <v>138</v>
      </c>
      <c r="Z1706" s="103" t="s">
        <v>139</v>
      </c>
      <c r="AA1706" s="103" t="s">
        <v>47</v>
      </c>
      <c r="AB1706" s="103" t="s">
        <v>140</v>
      </c>
      <c r="AC1706" s="104" t="s">
        <v>141</v>
      </c>
    </row>
    <row r="1707" spans="1:29" ht="25.5" customHeight="1" x14ac:dyDescent="0.35">
      <c r="A1707" s="188"/>
      <c r="B1707" s="190"/>
      <c r="C1707" s="99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0"/>
      <c r="E1707" s="78" t="str">
        <f>IF(C1707="","",IFERROR(VLOOKUP(C1707,parametros!$A$11:$E$15,5,0),""))</f>
        <v/>
      </c>
      <c r="F1707" s="79" t="str">
        <f t="shared" si="132"/>
        <v/>
      </c>
      <c r="G1707" s="101"/>
      <c r="H1707" s="91">
        <f t="shared" si="133"/>
        <v>0</v>
      </c>
      <c r="I1707" s="91" t="str">
        <f t="shared" si="134"/>
        <v/>
      </c>
      <c r="J1707" s="91" t="str">
        <f t="shared" si="135"/>
        <v/>
      </c>
      <c r="K1707" s="92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2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58"/>
      <c r="U1707" s="217" t="str">
        <f t="shared" si="136"/>
        <v/>
      </c>
      <c r="V1707" s="215" t="s">
        <v>47</v>
      </c>
      <c r="W1707" s="102" t="s">
        <v>136</v>
      </c>
      <c r="X1707" s="102" t="s">
        <v>137</v>
      </c>
      <c r="Y1707" s="103" t="s">
        <v>138</v>
      </c>
      <c r="Z1707" s="103" t="s">
        <v>139</v>
      </c>
      <c r="AA1707" s="103" t="s">
        <v>47</v>
      </c>
      <c r="AB1707" s="103" t="s">
        <v>140</v>
      </c>
      <c r="AC1707" s="104" t="s">
        <v>141</v>
      </c>
    </row>
    <row r="1708" spans="1:29" ht="25.5" customHeight="1" x14ac:dyDescent="0.35">
      <c r="A1708" s="188"/>
      <c r="B1708" s="190"/>
      <c r="C1708" s="99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0"/>
      <c r="E1708" s="78" t="str">
        <f>IF(C1708="","",IFERROR(VLOOKUP(C1708,parametros!$A$11:$E$15,5,0),""))</f>
        <v/>
      </c>
      <c r="F1708" s="79" t="str">
        <f t="shared" si="132"/>
        <v/>
      </c>
      <c r="G1708" s="101"/>
      <c r="H1708" s="91">
        <f t="shared" si="133"/>
        <v>0</v>
      </c>
      <c r="I1708" s="91" t="str">
        <f t="shared" si="134"/>
        <v/>
      </c>
      <c r="J1708" s="91" t="str">
        <f t="shared" si="135"/>
        <v/>
      </c>
      <c r="K1708" s="92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2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58"/>
      <c r="U1708" s="217" t="str">
        <f t="shared" si="136"/>
        <v/>
      </c>
      <c r="V1708" s="215" t="s">
        <v>47</v>
      </c>
      <c r="W1708" s="102" t="s">
        <v>136</v>
      </c>
      <c r="X1708" s="102" t="s">
        <v>137</v>
      </c>
      <c r="Y1708" s="103" t="s">
        <v>138</v>
      </c>
      <c r="Z1708" s="103" t="s">
        <v>139</v>
      </c>
      <c r="AA1708" s="103" t="s">
        <v>47</v>
      </c>
      <c r="AB1708" s="103" t="s">
        <v>140</v>
      </c>
      <c r="AC1708" s="104" t="s">
        <v>141</v>
      </c>
    </row>
    <row r="1709" spans="1:29" ht="25.5" customHeight="1" x14ac:dyDescent="0.35">
      <c r="A1709" s="188"/>
      <c r="B1709" s="190"/>
      <c r="C1709" s="99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0"/>
      <c r="E1709" s="78" t="str">
        <f>IF(C1709="","",IFERROR(VLOOKUP(C1709,parametros!$A$11:$E$15,5,0),""))</f>
        <v/>
      </c>
      <c r="F1709" s="79" t="str">
        <f t="shared" si="132"/>
        <v/>
      </c>
      <c r="G1709" s="101"/>
      <c r="H1709" s="91">
        <f t="shared" si="133"/>
        <v>0</v>
      </c>
      <c r="I1709" s="91" t="str">
        <f t="shared" si="134"/>
        <v/>
      </c>
      <c r="J1709" s="91" t="str">
        <f t="shared" si="135"/>
        <v/>
      </c>
      <c r="K1709" s="92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2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58"/>
      <c r="U1709" s="217" t="str">
        <f t="shared" si="136"/>
        <v/>
      </c>
      <c r="V1709" s="215" t="s">
        <v>47</v>
      </c>
      <c r="W1709" s="102" t="s">
        <v>136</v>
      </c>
      <c r="X1709" s="102" t="s">
        <v>137</v>
      </c>
      <c r="Y1709" s="103" t="s">
        <v>138</v>
      </c>
      <c r="Z1709" s="103" t="s">
        <v>139</v>
      </c>
      <c r="AA1709" s="103" t="s">
        <v>47</v>
      </c>
      <c r="AB1709" s="103" t="s">
        <v>140</v>
      </c>
      <c r="AC1709" s="104" t="s">
        <v>141</v>
      </c>
    </row>
    <row r="1710" spans="1:29" ht="25.5" customHeight="1" x14ac:dyDescent="0.35">
      <c r="A1710" s="188"/>
      <c r="B1710" s="190"/>
      <c r="C1710" s="99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0"/>
      <c r="E1710" s="78" t="str">
        <f>IF(C1710="","",IFERROR(VLOOKUP(C1710,parametros!$A$11:$E$15,5,0),""))</f>
        <v/>
      </c>
      <c r="F1710" s="79" t="str">
        <f t="shared" si="132"/>
        <v/>
      </c>
      <c r="G1710" s="101"/>
      <c r="H1710" s="91">
        <f t="shared" si="133"/>
        <v>0</v>
      </c>
      <c r="I1710" s="91" t="str">
        <f t="shared" si="134"/>
        <v/>
      </c>
      <c r="J1710" s="91" t="str">
        <f t="shared" si="135"/>
        <v/>
      </c>
      <c r="K1710" s="92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2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58"/>
      <c r="U1710" s="217" t="str">
        <f t="shared" si="136"/>
        <v/>
      </c>
      <c r="V1710" s="215" t="s">
        <v>47</v>
      </c>
      <c r="W1710" s="102" t="s">
        <v>136</v>
      </c>
      <c r="X1710" s="102" t="s">
        <v>137</v>
      </c>
      <c r="Y1710" s="103" t="s">
        <v>138</v>
      </c>
      <c r="Z1710" s="103" t="s">
        <v>139</v>
      </c>
      <c r="AA1710" s="103" t="s">
        <v>47</v>
      </c>
      <c r="AB1710" s="103" t="s">
        <v>140</v>
      </c>
      <c r="AC1710" s="104" t="s">
        <v>141</v>
      </c>
    </row>
    <row r="1711" spans="1:29" ht="25.5" customHeight="1" x14ac:dyDescent="0.35">
      <c r="A1711" s="188"/>
      <c r="B1711" s="190"/>
      <c r="C1711" s="99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0"/>
      <c r="E1711" s="78" t="str">
        <f>IF(C1711="","",IFERROR(VLOOKUP(C1711,parametros!$A$11:$E$15,5,0),""))</f>
        <v/>
      </c>
      <c r="F1711" s="79" t="str">
        <f t="shared" si="132"/>
        <v/>
      </c>
      <c r="G1711" s="101"/>
      <c r="H1711" s="91">
        <f t="shared" si="133"/>
        <v>0</v>
      </c>
      <c r="I1711" s="91" t="str">
        <f t="shared" si="134"/>
        <v/>
      </c>
      <c r="J1711" s="91" t="str">
        <f t="shared" si="135"/>
        <v/>
      </c>
      <c r="K1711" s="92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2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58"/>
      <c r="U1711" s="217" t="str">
        <f t="shared" si="136"/>
        <v/>
      </c>
      <c r="V1711" s="215" t="s">
        <v>47</v>
      </c>
      <c r="W1711" s="102" t="s">
        <v>136</v>
      </c>
      <c r="X1711" s="102" t="s">
        <v>137</v>
      </c>
      <c r="Y1711" s="103" t="s">
        <v>138</v>
      </c>
      <c r="Z1711" s="103" t="s">
        <v>139</v>
      </c>
      <c r="AA1711" s="103" t="s">
        <v>47</v>
      </c>
      <c r="AB1711" s="103" t="s">
        <v>140</v>
      </c>
      <c r="AC1711" s="104" t="s">
        <v>141</v>
      </c>
    </row>
    <row r="1712" spans="1:29" ht="25.5" customHeight="1" x14ac:dyDescent="0.35">
      <c r="A1712" s="188"/>
      <c r="B1712" s="190"/>
      <c r="C1712" s="99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0"/>
      <c r="E1712" s="78" t="str">
        <f>IF(C1712="","",IFERROR(VLOOKUP(C1712,parametros!$A$11:$E$15,5,0),""))</f>
        <v/>
      </c>
      <c r="F1712" s="79" t="str">
        <f t="shared" si="132"/>
        <v/>
      </c>
      <c r="G1712" s="101"/>
      <c r="H1712" s="91">
        <f t="shared" si="133"/>
        <v>0</v>
      </c>
      <c r="I1712" s="91" t="str">
        <f t="shared" si="134"/>
        <v/>
      </c>
      <c r="J1712" s="91" t="str">
        <f t="shared" si="135"/>
        <v/>
      </c>
      <c r="K1712" s="92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2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58"/>
      <c r="U1712" s="217" t="str">
        <f t="shared" si="136"/>
        <v/>
      </c>
      <c r="V1712" s="215" t="s">
        <v>47</v>
      </c>
      <c r="W1712" s="102" t="s">
        <v>136</v>
      </c>
      <c r="X1712" s="102" t="s">
        <v>137</v>
      </c>
      <c r="Y1712" s="103" t="s">
        <v>138</v>
      </c>
      <c r="Z1712" s="103" t="s">
        <v>139</v>
      </c>
      <c r="AA1712" s="103" t="s">
        <v>47</v>
      </c>
      <c r="AB1712" s="103" t="s">
        <v>140</v>
      </c>
      <c r="AC1712" s="104" t="s">
        <v>141</v>
      </c>
    </row>
    <row r="1713" spans="1:29" ht="25.5" customHeight="1" x14ac:dyDescent="0.35">
      <c r="A1713" s="188"/>
      <c r="B1713" s="190"/>
      <c r="C1713" s="99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0"/>
      <c r="E1713" s="78" t="str">
        <f>IF(C1713="","",IFERROR(VLOOKUP(C1713,parametros!$A$11:$E$15,5,0),""))</f>
        <v/>
      </c>
      <c r="F1713" s="79" t="str">
        <f t="shared" si="132"/>
        <v/>
      </c>
      <c r="G1713" s="101"/>
      <c r="H1713" s="91">
        <f t="shared" si="133"/>
        <v>0</v>
      </c>
      <c r="I1713" s="91" t="str">
        <f t="shared" si="134"/>
        <v/>
      </c>
      <c r="J1713" s="91" t="str">
        <f t="shared" si="135"/>
        <v/>
      </c>
      <c r="K1713" s="92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2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58"/>
      <c r="U1713" s="217" t="str">
        <f t="shared" si="136"/>
        <v/>
      </c>
      <c r="V1713" s="215" t="s">
        <v>47</v>
      </c>
      <c r="W1713" s="102" t="s">
        <v>136</v>
      </c>
      <c r="X1713" s="102" t="s">
        <v>137</v>
      </c>
      <c r="Y1713" s="103" t="s">
        <v>138</v>
      </c>
      <c r="Z1713" s="103" t="s">
        <v>139</v>
      </c>
      <c r="AA1713" s="103" t="s">
        <v>47</v>
      </c>
      <c r="AB1713" s="103" t="s">
        <v>140</v>
      </c>
      <c r="AC1713" s="104" t="s">
        <v>141</v>
      </c>
    </row>
    <row r="1714" spans="1:29" ht="25.5" customHeight="1" x14ac:dyDescent="0.35">
      <c r="A1714" s="188"/>
      <c r="B1714" s="190"/>
      <c r="C1714" s="99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0"/>
      <c r="E1714" s="78" t="str">
        <f>IF(C1714="","",IFERROR(VLOOKUP(C1714,parametros!$A$11:$E$15,5,0),""))</f>
        <v/>
      </c>
      <c r="F1714" s="79" t="str">
        <f t="shared" si="132"/>
        <v/>
      </c>
      <c r="G1714" s="101"/>
      <c r="H1714" s="91">
        <f t="shared" si="133"/>
        <v>0</v>
      </c>
      <c r="I1714" s="91" t="str">
        <f t="shared" si="134"/>
        <v/>
      </c>
      <c r="J1714" s="91" t="str">
        <f t="shared" si="135"/>
        <v/>
      </c>
      <c r="K1714" s="92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2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58"/>
      <c r="U1714" s="217" t="str">
        <f t="shared" si="136"/>
        <v/>
      </c>
      <c r="V1714" s="215" t="s">
        <v>47</v>
      </c>
      <c r="W1714" s="102" t="s">
        <v>136</v>
      </c>
      <c r="X1714" s="102" t="s">
        <v>137</v>
      </c>
      <c r="Y1714" s="103" t="s">
        <v>138</v>
      </c>
      <c r="Z1714" s="103" t="s">
        <v>139</v>
      </c>
      <c r="AA1714" s="103" t="s">
        <v>47</v>
      </c>
      <c r="AB1714" s="103" t="s">
        <v>140</v>
      </c>
      <c r="AC1714" s="104" t="s">
        <v>141</v>
      </c>
    </row>
    <row r="1715" spans="1:29" ht="25.5" customHeight="1" x14ac:dyDescent="0.35">
      <c r="A1715" s="188"/>
      <c r="B1715" s="190"/>
      <c r="C1715" s="99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0"/>
      <c r="E1715" s="78" t="str">
        <f>IF(C1715="","",IFERROR(VLOOKUP(C1715,parametros!$A$11:$E$15,5,0),""))</f>
        <v/>
      </c>
      <c r="F1715" s="79" t="str">
        <f t="shared" si="132"/>
        <v/>
      </c>
      <c r="G1715" s="101"/>
      <c r="H1715" s="91">
        <f t="shared" si="133"/>
        <v>0</v>
      </c>
      <c r="I1715" s="91" t="str">
        <f t="shared" si="134"/>
        <v/>
      </c>
      <c r="J1715" s="91" t="str">
        <f t="shared" si="135"/>
        <v/>
      </c>
      <c r="K1715" s="92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2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58"/>
      <c r="U1715" s="217" t="str">
        <f t="shared" si="136"/>
        <v/>
      </c>
      <c r="V1715" s="215" t="s">
        <v>47</v>
      </c>
      <c r="W1715" s="102" t="s">
        <v>136</v>
      </c>
      <c r="X1715" s="102" t="s">
        <v>137</v>
      </c>
      <c r="Y1715" s="103" t="s">
        <v>138</v>
      </c>
      <c r="Z1715" s="103" t="s">
        <v>139</v>
      </c>
      <c r="AA1715" s="103" t="s">
        <v>47</v>
      </c>
      <c r="AB1715" s="103" t="s">
        <v>140</v>
      </c>
      <c r="AC1715" s="104" t="s">
        <v>141</v>
      </c>
    </row>
    <row r="1716" spans="1:29" ht="25.5" customHeight="1" x14ac:dyDescent="0.35">
      <c r="A1716" s="188"/>
      <c r="B1716" s="190"/>
      <c r="C1716" s="99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0"/>
      <c r="E1716" s="78" t="str">
        <f>IF(C1716="","",IFERROR(VLOOKUP(C1716,parametros!$A$11:$E$15,5,0),""))</f>
        <v/>
      </c>
      <c r="F1716" s="79" t="str">
        <f t="shared" si="132"/>
        <v/>
      </c>
      <c r="G1716" s="101"/>
      <c r="H1716" s="91">
        <f t="shared" si="133"/>
        <v>0</v>
      </c>
      <c r="I1716" s="91" t="str">
        <f t="shared" si="134"/>
        <v/>
      </c>
      <c r="J1716" s="91" t="str">
        <f t="shared" si="135"/>
        <v/>
      </c>
      <c r="K1716" s="92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2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58"/>
      <c r="U1716" s="217" t="str">
        <f t="shared" si="136"/>
        <v/>
      </c>
      <c r="V1716" s="215" t="s">
        <v>47</v>
      </c>
      <c r="W1716" s="102" t="s">
        <v>136</v>
      </c>
      <c r="X1716" s="102" t="s">
        <v>137</v>
      </c>
      <c r="Y1716" s="103" t="s">
        <v>138</v>
      </c>
      <c r="Z1716" s="103" t="s">
        <v>139</v>
      </c>
      <c r="AA1716" s="103" t="s">
        <v>47</v>
      </c>
      <c r="AB1716" s="103" t="s">
        <v>140</v>
      </c>
      <c r="AC1716" s="104" t="s">
        <v>141</v>
      </c>
    </row>
    <row r="1717" spans="1:29" ht="25.5" customHeight="1" x14ac:dyDescent="0.35">
      <c r="A1717" s="188"/>
      <c r="B1717" s="190"/>
      <c r="C1717" s="99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0"/>
      <c r="E1717" s="78" t="str">
        <f>IF(C1717="","",IFERROR(VLOOKUP(C1717,parametros!$A$11:$E$15,5,0),""))</f>
        <v/>
      </c>
      <c r="F1717" s="79" t="str">
        <f t="shared" si="132"/>
        <v/>
      </c>
      <c r="G1717" s="101"/>
      <c r="H1717" s="91">
        <f t="shared" si="133"/>
        <v>0</v>
      </c>
      <c r="I1717" s="91" t="str">
        <f t="shared" si="134"/>
        <v/>
      </c>
      <c r="J1717" s="91" t="str">
        <f t="shared" si="135"/>
        <v/>
      </c>
      <c r="K1717" s="92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2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58"/>
      <c r="U1717" s="217" t="str">
        <f t="shared" si="136"/>
        <v/>
      </c>
      <c r="V1717" s="215" t="s">
        <v>47</v>
      </c>
      <c r="W1717" s="102" t="s">
        <v>136</v>
      </c>
      <c r="X1717" s="102" t="s">
        <v>137</v>
      </c>
      <c r="Y1717" s="103" t="s">
        <v>138</v>
      </c>
      <c r="Z1717" s="103" t="s">
        <v>139</v>
      </c>
      <c r="AA1717" s="103" t="s">
        <v>47</v>
      </c>
      <c r="AB1717" s="103" t="s">
        <v>140</v>
      </c>
      <c r="AC1717" s="104" t="s">
        <v>141</v>
      </c>
    </row>
    <row r="1718" spans="1:29" ht="25.5" customHeight="1" x14ac:dyDescent="0.35">
      <c r="A1718" s="188"/>
      <c r="B1718" s="190"/>
      <c r="C1718" s="99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0"/>
      <c r="E1718" s="78" t="str">
        <f>IF(C1718="","",IFERROR(VLOOKUP(C1718,parametros!$A$11:$E$15,5,0),""))</f>
        <v/>
      </c>
      <c r="F1718" s="79" t="str">
        <f t="shared" si="132"/>
        <v/>
      </c>
      <c r="G1718" s="101"/>
      <c r="H1718" s="91">
        <f t="shared" si="133"/>
        <v>0</v>
      </c>
      <c r="I1718" s="91" t="str">
        <f t="shared" si="134"/>
        <v/>
      </c>
      <c r="J1718" s="91" t="str">
        <f t="shared" si="135"/>
        <v/>
      </c>
      <c r="K1718" s="92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2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58"/>
      <c r="U1718" s="217" t="str">
        <f t="shared" si="136"/>
        <v/>
      </c>
      <c r="V1718" s="215" t="s">
        <v>47</v>
      </c>
      <c r="W1718" s="102" t="s">
        <v>136</v>
      </c>
      <c r="X1718" s="102" t="s">
        <v>137</v>
      </c>
      <c r="Y1718" s="103" t="s">
        <v>138</v>
      </c>
      <c r="Z1718" s="103" t="s">
        <v>139</v>
      </c>
      <c r="AA1718" s="103" t="s">
        <v>47</v>
      </c>
      <c r="AB1718" s="103" t="s">
        <v>140</v>
      </c>
      <c r="AC1718" s="104" t="s">
        <v>141</v>
      </c>
    </row>
    <row r="1719" spans="1:29" ht="25.5" customHeight="1" x14ac:dyDescent="0.35">
      <c r="A1719" s="188"/>
      <c r="B1719" s="190"/>
      <c r="C1719" s="99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0"/>
      <c r="E1719" s="78" t="str">
        <f>IF(C1719="","",IFERROR(VLOOKUP(C1719,parametros!$A$11:$E$15,5,0),""))</f>
        <v/>
      </c>
      <c r="F1719" s="79" t="str">
        <f t="shared" si="132"/>
        <v/>
      </c>
      <c r="G1719" s="101"/>
      <c r="H1719" s="91">
        <f t="shared" si="133"/>
        <v>0</v>
      </c>
      <c r="I1719" s="91" t="str">
        <f t="shared" si="134"/>
        <v/>
      </c>
      <c r="J1719" s="91" t="str">
        <f t="shared" si="135"/>
        <v/>
      </c>
      <c r="K1719" s="92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2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58"/>
      <c r="U1719" s="217" t="str">
        <f t="shared" si="136"/>
        <v/>
      </c>
      <c r="V1719" s="215" t="s">
        <v>47</v>
      </c>
      <c r="W1719" s="102" t="s">
        <v>136</v>
      </c>
      <c r="X1719" s="102" t="s">
        <v>137</v>
      </c>
      <c r="Y1719" s="103" t="s">
        <v>138</v>
      </c>
      <c r="Z1719" s="103" t="s">
        <v>139</v>
      </c>
      <c r="AA1719" s="103" t="s">
        <v>47</v>
      </c>
      <c r="AB1719" s="103" t="s">
        <v>140</v>
      </c>
      <c r="AC1719" s="104" t="s">
        <v>141</v>
      </c>
    </row>
    <row r="1720" spans="1:29" ht="25.5" customHeight="1" x14ac:dyDescent="0.35">
      <c r="A1720" s="188"/>
      <c r="B1720" s="190"/>
      <c r="C1720" s="99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0"/>
      <c r="E1720" s="78" t="str">
        <f>IF(C1720="","",IFERROR(VLOOKUP(C1720,parametros!$A$11:$E$15,5,0),""))</f>
        <v/>
      </c>
      <c r="F1720" s="79" t="str">
        <f t="shared" si="132"/>
        <v/>
      </c>
      <c r="G1720" s="101"/>
      <c r="H1720" s="91">
        <f t="shared" si="133"/>
        <v>0</v>
      </c>
      <c r="I1720" s="91" t="str">
        <f t="shared" si="134"/>
        <v/>
      </c>
      <c r="J1720" s="91" t="str">
        <f t="shared" si="135"/>
        <v/>
      </c>
      <c r="K1720" s="92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2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58"/>
      <c r="U1720" s="217" t="str">
        <f t="shared" si="136"/>
        <v/>
      </c>
      <c r="V1720" s="215" t="s">
        <v>47</v>
      </c>
      <c r="W1720" s="102" t="s">
        <v>136</v>
      </c>
      <c r="X1720" s="102" t="s">
        <v>137</v>
      </c>
      <c r="Y1720" s="103" t="s">
        <v>138</v>
      </c>
      <c r="Z1720" s="103" t="s">
        <v>139</v>
      </c>
      <c r="AA1720" s="103" t="s">
        <v>47</v>
      </c>
      <c r="AB1720" s="103" t="s">
        <v>140</v>
      </c>
      <c r="AC1720" s="104" t="s">
        <v>141</v>
      </c>
    </row>
    <row r="1721" spans="1:29" ht="25.5" customHeight="1" x14ac:dyDescent="0.35">
      <c r="A1721" s="188"/>
      <c r="B1721" s="190"/>
      <c r="C1721" s="99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0"/>
      <c r="E1721" s="78" t="str">
        <f>IF(C1721="","",IFERROR(VLOOKUP(C1721,parametros!$A$11:$E$15,5,0),""))</f>
        <v/>
      </c>
      <c r="F1721" s="79" t="str">
        <f t="shared" si="132"/>
        <v/>
      </c>
      <c r="G1721" s="101"/>
      <c r="H1721" s="91">
        <f t="shared" si="133"/>
        <v>0</v>
      </c>
      <c r="I1721" s="91" t="str">
        <f t="shared" si="134"/>
        <v/>
      </c>
      <c r="J1721" s="91" t="str">
        <f t="shared" si="135"/>
        <v/>
      </c>
      <c r="K1721" s="92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2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58"/>
      <c r="U1721" s="217" t="str">
        <f t="shared" si="136"/>
        <v/>
      </c>
      <c r="V1721" s="215" t="s">
        <v>47</v>
      </c>
      <c r="W1721" s="102" t="s">
        <v>136</v>
      </c>
      <c r="X1721" s="102" t="s">
        <v>137</v>
      </c>
      <c r="Y1721" s="103" t="s">
        <v>138</v>
      </c>
      <c r="Z1721" s="103" t="s">
        <v>139</v>
      </c>
      <c r="AA1721" s="103" t="s">
        <v>47</v>
      </c>
      <c r="AB1721" s="103" t="s">
        <v>140</v>
      </c>
      <c r="AC1721" s="104" t="s">
        <v>141</v>
      </c>
    </row>
    <row r="1722" spans="1:29" ht="25.5" customHeight="1" x14ac:dyDescent="0.35">
      <c r="A1722" s="188"/>
      <c r="B1722" s="190"/>
      <c r="C1722" s="99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0"/>
      <c r="E1722" s="78" t="str">
        <f>IF(C1722="","",IFERROR(VLOOKUP(C1722,parametros!$A$11:$E$15,5,0),""))</f>
        <v/>
      </c>
      <c r="F1722" s="79" t="str">
        <f t="shared" si="132"/>
        <v/>
      </c>
      <c r="G1722" s="101"/>
      <c r="H1722" s="91">
        <f t="shared" si="133"/>
        <v>0</v>
      </c>
      <c r="I1722" s="91" t="str">
        <f t="shared" si="134"/>
        <v/>
      </c>
      <c r="J1722" s="91" t="str">
        <f t="shared" si="135"/>
        <v/>
      </c>
      <c r="K1722" s="92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2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58"/>
      <c r="U1722" s="217" t="str">
        <f t="shared" si="136"/>
        <v/>
      </c>
      <c r="V1722" s="215" t="s">
        <v>47</v>
      </c>
      <c r="W1722" s="102" t="s">
        <v>136</v>
      </c>
      <c r="X1722" s="102" t="s">
        <v>137</v>
      </c>
      <c r="Y1722" s="103" t="s">
        <v>138</v>
      </c>
      <c r="Z1722" s="103" t="s">
        <v>139</v>
      </c>
      <c r="AA1722" s="103" t="s">
        <v>47</v>
      </c>
      <c r="AB1722" s="103" t="s">
        <v>140</v>
      </c>
      <c r="AC1722" s="104" t="s">
        <v>141</v>
      </c>
    </row>
    <row r="1723" spans="1:29" ht="25.5" customHeight="1" x14ac:dyDescent="0.35">
      <c r="A1723" s="188"/>
      <c r="B1723" s="190"/>
      <c r="C1723" s="99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0"/>
      <c r="E1723" s="78" t="str">
        <f>IF(C1723="","",IFERROR(VLOOKUP(C1723,parametros!$A$11:$E$15,5,0),""))</f>
        <v/>
      </c>
      <c r="F1723" s="79" t="str">
        <f t="shared" si="132"/>
        <v/>
      </c>
      <c r="G1723" s="101"/>
      <c r="H1723" s="91">
        <f t="shared" si="133"/>
        <v>0</v>
      </c>
      <c r="I1723" s="91" t="str">
        <f t="shared" si="134"/>
        <v/>
      </c>
      <c r="J1723" s="91" t="str">
        <f t="shared" si="135"/>
        <v/>
      </c>
      <c r="K1723" s="92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2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58"/>
      <c r="U1723" s="217" t="str">
        <f t="shared" si="136"/>
        <v/>
      </c>
      <c r="V1723" s="215" t="s">
        <v>47</v>
      </c>
      <c r="W1723" s="102" t="s">
        <v>136</v>
      </c>
      <c r="X1723" s="102" t="s">
        <v>137</v>
      </c>
      <c r="Y1723" s="103" t="s">
        <v>138</v>
      </c>
      <c r="Z1723" s="103" t="s">
        <v>139</v>
      </c>
      <c r="AA1723" s="103" t="s">
        <v>47</v>
      </c>
      <c r="AB1723" s="103" t="s">
        <v>140</v>
      </c>
      <c r="AC1723" s="104" t="s">
        <v>141</v>
      </c>
    </row>
    <row r="1724" spans="1:29" ht="25.5" customHeight="1" x14ac:dyDescent="0.35">
      <c r="A1724" s="188"/>
      <c r="B1724" s="190"/>
      <c r="C1724" s="99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0"/>
      <c r="E1724" s="78" t="str">
        <f>IF(C1724="","",IFERROR(VLOOKUP(C1724,parametros!$A$11:$E$15,5,0),""))</f>
        <v/>
      </c>
      <c r="F1724" s="79" t="str">
        <f t="shared" si="132"/>
        <v/>
      </c>
      <c r="G1724" s="101"/>
      <c r="H1724" s="91">
        <f t="shared" si="133"/>
        <v>0</v>
      </c>
      <c r="I1724" s="91" t="str">
        <f t="shared" si="134"/>
        <v/>
      </c>
      <c r="J1724" s="91" t="str">
        <f t="shared" si="135"/>
        <v/>
      </c>
      <c r="K1724" s="92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2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58"/>
      <c r="U1724" s="217" t="str">
        <f t="shared" si="136"/>
        <v/>
      </c>
      <c r="V1724" s="215" t="s">
        <v>47</v>
      </c>
      <c r="W1724" s="102" t="s">
        <v>136</v>
      </c>
      <c r="X1724" s="102" t="s">
        <v>137</v>
      </c>
      <c r="Y1724" s="103" t="s">
        <v>138</v>
      </c>
      <c r="Z1724" s="103" t="s">
        <v>139</v>
      </c>
      <c r="AA1724" s="103" t="s">
        <v>47</v>
      </c>
      <c r="AB1724" s="103" t="s">
        <v>140</v>
      </c>
      <c r="AC1724" s="104" t="s">
        <v>141</v>
      </c>
    </row>
    <row r="1725" spans="1:29" ht="25.5" customHeight="1" x14ac:dyDescent="0.35">
      <c r="A1725" s="188"/>
      <c r="B1725" s="190"/>
      <c r="C1725" s="99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0"/>
      <c r="E1725" s="78" t="str">
        <f>IF(C1725="","",IFERROR(VLOOKUP(C1725,parametros!$A$11:$E$15,5,0),""))</f>
        <v/>
      </c>
      <c r="F1725" s="79" t="str">
        <f t="shared" si="132"/>
        <v/>
      </c>
      <c r="G1725" s="101"/>
      <c r="H1725" s="91">
        <f t="shared" si="133"/>
        <v>0</v>
      </c>
      <c r="I1725" s="91" t="str">
        <f t="shared" si="134"/>
        <v/>
      </c>
      <c r="J1725" s="91" t="str">
        <f t="shared" si="135"/>
        <v/>
      </c>
      <c r="K1725" s="92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2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58"/>
      <c r="U1725" s="217" t="str">
        <f t="shared" si="136"/>
        <v/>
      </c>
      <c r="V1725" s="215" t="s">
        <v>47</v>
      </c>
      <c r="W1725" s="102" t="s">
        <v>136</v>
      </c>
      <c r="X1725" s="102" t="s">
        <v>137</v>
      </c>
      <c r="Y1725" s="103" t="s">
        <v>138</v>
      </c>
      <c r="Z1725" s="103" t="s">
        <v>139</v>
      </c>
      <c r="AA1725" s="103" t="s">
        <v>47</v>
      </c>
      <c r="AB1725" s="103" t="s">
        <v>140</v>
      </c>
      <c r="AC1725" s="104" t="s">
        <v>141</v>
      </c>
    </row>
    <row r="1726" spans="1:29" ht="25.5" customHeight="1" x14ac:dyDescent="0.35">
      <c r="A1726" s="188"/>
      <c r="B1726" s="190"/>
      <c r="C1726" s="99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0"/>
      <c r="E1726" s="78" t="str">
        <f>IF(C1726="","",IFERROR(VLOOKUP(C1726,parametros!$A$11:$E$15,5,0),""))</f>
        <v/>
      </c>
      <c r="F1726" s="79" t="str">
        <f t="shared" si="132"/>
        <v/>
      </c>
      <c r="G1726" s="101"/>
      <c r="H1726" s="91">
        <f t="shared" si="133"/>
        <v>0</v>
      </c>
      <c r="I1726" s="91" t="str">
        <f t="shared" si="134"/>
        <v/>
      </c>
      <c r="J1726" s="91" t="str">
        <f t="shared" si="135"/>
        <v/>
      </c>
      <c r="K1726" s="92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2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58"/>
      <c r="U1726" s="217" t="str">
        <f t="shared" si="136"/>
        <v/>
      </c>
      <c r="V1726" s="215" t="s">
        <v>47</v>
      </c>
      <c r="W1726" s="102" t="s">
        <v>136</v>
      </c>
      <c r="X1726" s="102" t="s">
        <v>137</v>
      </c>
      <c r="Y1726" s="103" t="s">
        <v>138</v>
      </c>
      <c r="Z1726" s="103" t="s">
        <v>139</v>
      </c>
      <c r="AA1726" s="103" t="s">
        <v>47</v>
      </c>
      <c r="AB1726" s="103" t="s">
        <v>140</v>
      </c>
      <c r="AC1726" s="104" t="s">
        <v>141</v>
      </c>
    </row>
    <row r="1727" spans="1:29" ht="25.5" customHeight="1" x14ac:dyDescent="0.35">
      <c r="A1727" s="188"/>
      <c r="B1727" s="190"/>
      <c r="C1727" s="99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0"/>
      <c r="E1727" s="78" t="str">
        <f>IF(C1727="","",IFERROR(VLOOKUP(C1727,parametros!$A$11:$E$15,5,0),""))</f>
        <v/>
      </c>
      <c r="F1727" s="79" t="str">
        <f t="shared" si="132"/>
        <v/>
      </c>
      <c r="G1727" s="101"/>
      <c r="H1727" s="91">
        <f t="shared" si="133"/>
        <v>0</v>
      </c>
      <c r="I1727" s="91" t="str">
        <f t="shared" si="134"/>
        <v/>
      </c>
      <c r="J1727" s="91" t="str">
        <f t="shared" si="135"/>
        <v/>
      </c>
      <c r="K1727" s="92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2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58"/>
      <c r="U1727" s="217" t="str">
        <f t="shared" si="136"/>
        <v/>
      </c>
      <c r="V1727" s="215" t="s">
        <v>47</v>
      </c>
      <c r="W1727" s="102" t="s">
        <v>136</v>
      </c>
      <c r="X1727" s="102" t="s">
        <v>137</v>
      </c>
      <c r="Y1727" s="103" t="s">
        <v>138</v>
      </c>
      <c r="Z1727" s="103" t="s">
        <v>139</v>
      </c>
      <c r="AA1727" s="103" t="s">
        <v>47</v>
      </c>
      <c r="AB1727" s="103" t="s">
        <v>140</v>
      </c>
      <c r="AC1727" s="104" t="s">
        <v>141</v>
      </c>
    </row>
    <row r="1728" spans="1:29" ht="25.5" customHeight="1" x14ac:dyDescent="0.35">
      <c r="A1728" s="188"/>
      <c r="B1728" s="190"/>
      <c r="C1728" s="99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0"/>
      <c r="E1728" s="78" t="str">
        <f>IF(C1728="","",IFERROR(VLOOKUP(C1728,parametros!$A$11:$E$15,5,0),""))</f>
        <v/>
      </c>
      <c r="F1728" s="79" t="str">
        <f t="shared" si="132"/>
        <v/>
      </c>
      <c r="G1728" s="101"/>
      <c r="H1728" s="91">
        <f t="shared" si="133"/>
        <v>0</v>
      </c>
      <c r="I1728" s="91" t="str">
        <f t="shared" si="134"/>
        <v/>
      </c>
      <c r="J1728" s="91" t="str">
        <f t="shared" si="135"/>
        <v/>
      </c>
      <c r="K1728" s="92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2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58"/>
      <c r="U1728" s="217" t="str">
        <f t="shared" si="136"/>
        <v/>
      </c>
      <c r="V1728" s="215" t="s">
        <v>47</v>
      </c>
      <c r="W1728" s="102" t="s">
        <v>136</v>
      </c>
      <c r="X1728" s="102" t="s">
        <v>137</v>
      </c>
      <c r="Y1728" s="103" t="s">
        <v>138</v>
      </c>
      <c r="Z1728" s="103" t="s">
        <v>139</v>
      </c>
      <c r="AA1728" s="103" t="s">
        <v>47</v>
      </c>
      <c r="AB1728" s="103" t="s">
        <v>140</v>
      </c>
      <c r="AC1728" s="104" t="s">
        <v>141</v>
      </c>
    </row>
    <row r="1729" spans="1:29" ht="25.5" customHeight="1" x14ac:dyDescent="0.35">
      <c r="A1729" s="188"/>
      <c r="B1729" s="190"/>
      <c r="C1729" s="99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0"/>
      <c r="E1729" s="78" t="str">
        <f>IF(C1729="","",IFERROR(VLOOKUP(C1729,parametros!$A$11:$E$15,5,0),""))</f>
        <v/>
      </c>
      <c r="F1729" s="79" t="str">
        <f t="shared" si="132"/>
        <v/>
      </c>
      <c r="G1729" s="101"/>
      <c r="H1729" s="91">
        <f t="shared" si="133"/>
        <v>0</v>
      </c>
      <c r="I1729" s="91" t="str">
        <f t="shared" si="134"/>
        <v/>
      </c>
      <c r="J1729" s="91" t="str">
        <f t="shared" si="135"/>
        <v/>
      </c>
      <c r="K1729" s="92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2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58"/>
      <c r="U1729" s="217" t="str">
        <f t="shared" si="136"/>
        <v/>
      </c>
      <c r="V1729" s="215" t="s">
        <v>47</v>
      </c>
      <c r="W1729" s="102" t="s">
        <v>136</v>
      </c>
      <c r="X1729" s="102" t="s">
        <v>137</v>
      </c>
      <c r="Y1729" s="103" t="s">
        <v>138</v>
      </c>
      <c r="Z1729" s="103" t="s">
        <v>139</v>
      </c>
      <c r="AA1729" s="103" t="s">
        <v>47</v>
      </c>
      <c r="AB1729" s="103" t="s">
        <v>140</v>
      </c>
      <c r="AC1729" s="104" t="s">
        <v>141</v>
      </c>
    </row>
    <row r="1730" spans="1:29" ht="25.5" customHeight="1" x14ac:dyDescent="0.35">
      <c r="A1730" s="188"/>
      <c r="B1730" s="190"/>
      <c r="C1730" s="99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0"/>
      <c r="E1730" s="78" t="str">
        <f>IF(C1730="","",IFERROR(VLOOKUP(C1730,parametros!$A$11:$E$15,5,0),""))</f>
        <v/>
      </c>
      <c r="F1730" s="79" t="str">
        <f t="shared" ref="F1730:F1793" si="137">IF(OR(D1730="",E1730=""),"",ROUND(D1730*E1730,2))</f>
        <v/>
      </c>
      <c r="G1730" s="101"/>
      <c r="H1730" s="91">
        <f t="shared" ref="H1730:H1793" si="138">IF(G1730="Sim",IF(OR(F1730="",D1730="",L1730=""),"",IF(L1730="Sim",ROUND(F1730-D1730,2),0)),0)</f>
        <v>0</v>
      </c>
      <c r="I1730" s="91" t="str">
        <f t="shared" ref="I1730:I1793" si="139">IF(G1730="Sim",0,IF(OR(F1730="",L1730=""),"",F1730))</f>
        <v/>
      </c>
      <c r="J1730" s="91" t="str">
        <f t="shared" ref="J1730:J1793" si="140">IF(G1730="Sim",0,IF(OR(F1730="",D1730="",L1730=""),"",IF(L1730="Sim",ROUND(F1730-D1730,2),0)))</f>
        <v/>
      </c>
      <c r="K1730" s="92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2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58"/>
      <c r="U1730" s="217" t="str">
        <f t="shared" ref="U1730:U1793" si="141">IF(OR($D1730="",$H1730=""),"",ROUND($D1730+$H1730,2))</f>
        <v/>
      </c>
      <c r="V1730" s="215" t="s">
        <v>47</v>
      </c>
      <c r="W1730" s="102" t="s">
        <v>136</v>
      </c>
      <c r="X1730" s="102" t="s">
        <v>137</v>
      </c>
      <c r="Y1730" s="103" t="s">
        <v>138</v>
      </c>
      <c r="Z1730" s="103" t="s">
        <v>139</v>
      </c>
      <c r="AA1730" s="103" t="s">
        <v>47</v>
      </c>
      <c r="AB1730" s="103" t="s">
        <v>140</v>
      </c>
      <c r="AC1730" s="104" t="s">
        <v>141</v>
      </c>
    </row>
    <row r="1731" spans="1:29" ht="25.5" customHeight="1" x14ac:dyDescent="0.35">
      <c r="A1731" s="188"/>
      <c r="B1731" s="190"/>
      <c r="C1731" s="99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0"/>
      <c r="E1731" s="78" t="str">
        <f>IF(C1731="","",IFERROR(VLOOKUP(C1731,parametros!$A$11:$E$15,5,0),""))</f>
        <v/>
      </c>
      <c r="F1731" s="79" t="str">
        <f t="shared" si="137"/>
        <v/>
      </c>
      <c r="G1731" s="101"/>
      <c r="H1731" s="91">
        <f t="shared" si="138"/>
        <v>0</v>
      </c>
      <c r="I1731" s="91" t="str">
        <f t="shared" si="139"/>
        <v/>
      </c>
      <c r="J1731" s="91" t="str">
        <f t="shared" si="140"/>
        <v/>
      </c>
      <c r="K1731" s="92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2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58"/>
      <c r="U1731" s="217" t="str">
        <f t="shared" si="141"/>
        <v/>
      </c>
      <c r="V1731" s="215" t="s">
        <v>47</v>
      </c>
      <c r="W1731" s="102" t="s">
        <v>136</v>
      </c>
      <c r="X1731" s="102" t="s">
        <v>137</v>
      </c>
      <c r="Y1731" s="103" t="s">
        <v>138</v>
      </c>
      <c r="Z1731" s="103" t="s">
        <v>139</v>
      </c>
      <c r="AA1731" s="103" t="s">
        <v>47</v>
      </c>
      <c r="AB1731" s="103" t="s">
        <v>140</v>
      </c>
      <c r="AC1731" s="104" t="s">
        <v>141</v>
      </c>
    </row>
    <row r="1732" spans="1:29" ht="25.5" customHeight="1" x14ac:dyDescent="0.35">
      <c r="A1732" s="188"/>
      <c r="B1732" s="190"/>
      <c r="C1732" s="99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0"/>
      <c r="E1732" s="78" t="str">
        <f>IF(C1732="","",IFERROR(VLOOKUP(C1732,parametros!$A$11:$E$15,5,0),""))</f>
        <v/>
      </c>
      <c r="F1732" s="79" t="str">
        <f t="shared" si="137"/>
        <v/>
      </c>
      <c r="G1732" s="101"/>
      <c r="H1732" s="91">
        <f t="shared" si="138"/>
        <v>0</v>
      </c>
      <c r="I1732" s="91" t="str">
        <f t="shared" si="139"/>
        <v/>
      </c>
      <c r="J1732" s="91" t="str">
        <f t="shared" si="140"/>
        <v/>
      </c>
      <c r="K1732" s="92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2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58"/>
      <c r="U1732" s="217" t="str">
        <f t="shared" si="141"/>
        <v/>
      </c>
      <c r="V1732" s="215" t="s">
        <v>47</v>
      </c>
      <c r="W1732" s="102" t="s">
        <v>136</v>
      </c>
      <c r="X1732" s="102" t="s">
        <v>137</v>
      </c>
      <c r="Y1732" s="103" t="s">
        <v>138</v>
      </c>
      <c r="Z1732" s="103" t="s">
        <v>139</v>
      </c>
      <c r="AA1732" s="103" t="s">
        <v>47</v>
      </c>
      <c r="AB1732" s="103" t="s">
        <v>140</v>
      </c>
      <c r="AC1732" s="104" t="s">
        <v>141</v>
      </c>
    </row>
    <row r="1733" spans="1:29" ht="25.5" customHeight="1" x14ac:dyDescent="0.35">
      <c r="A1733" s="188"/>
      <c r="B1733" s="190"/>
      <c r="C1733" s="99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0"/>
      <c r="E1733" s="78" t="str">
        <f>IF(C1733="","",IFERROR(VLOOKUP(C1733,parametros!$A$11:$E$15,5,0),""))</f>
        <v/>
      </c>
      <c r="F1733" s="79" t="str">
        <f t="shared" si="137"/>
        <v/>
      </c>
      <c r="G1733" s="101"/>
      <c r="H1733" s="91">
        <f t="shared" si="138"/>
        <v>0</v>
      </c>
      <c r="I1733" s="91" t="str">
        <f t="shared" si="139"/>
        <v/>
      </c>
      <c r="J1733" s="91" t="str">
        <f t="shared" si="140"/>
        <v/>
      </c>
      <c r="K1733" s="92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2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58"/>
      <c r="U1733" s="217" t="str">
        <f t="shared" si="141"/>
        <v/>
      </c>
      <c r="V1733" s="215" t="s">
        <v>47</v>
      </c>
      <c r="W1733" s="102" t="s">
        <v>136</v>
      </c>
      <c r="X1733" s="102" t="s">
        <v>137</v>
      </c>
      <c r="Y1733" s="103" t="s">
        <v>138</v>
      </c>
      <c r="Z1733" s="103" t="s">
        <v>139</v>
      </c>
      <c r="AA1733" s="103" t="s">
        <v>47</v>
      </c>
      <c r="AB1733" s="103" t="s">
        <v>140</v>
      </c>
      <c r="AC1733" s="104" t="s">
        <v>141</v>
      </c>
    </row>
    <row r="1734" spans="1:29" ht="25.5" customHeight="1" x14ac:dyDescent="0.35">
      <c r="A1734" s="188"/>
      <c r="B1734" s="190"/>
      <c r="C1734" s="99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0"/>
      <c r="E1734" s="78" t="str">
        <f>IF(C1734="","",IFERROR(VLOOKUP(C1734,parametros!$A$11:$E$15,5,0),""))</f>
        <v/>
      </c>
      <c r="F1734" s="79" t="str">
        <f t="shared" si="137"/>
        <v/>
      </c>
      <c r="G1734" s="101"/>
      <c r="H1734" s="91">
        <f t="shared" si="138"/>
        <v>0</v>
      </c>
      <c r="I1734" s="91" t="str">
        <f t="shared" si="139"/>
        <v/>
      </c>
      <c r="J1734" s="91" t="str">
        <f t="shared" si="140"/>
        <v/>
      </c>
      <c r="K1734" s="92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2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58"/>
      <c r="U1734" s="217" t="str">
        <f t="shared" si="141"/>
        <v/>
      </c>
      <c r="V1734" s="215" t="s">
        <v>47</v>
      </c>
      <c r="W1734" s="102" t="s">
        <v>136</v>
      </c>
      <c r="X1734" s="102" t="s">
        <v>137</v>
      </c>
      <c r="Y1734" s="103" t="s">
        <v>138</v>
      </c>
      <c r="Z1734" s="103" t="s">
        <v>139</v>
      </c>
      <c r="AA1734" s="103" t="s">
        <v>47</v>
      </c>
      <c r="AB1734" s="103" t="s">
        <v>140</v>
      </c>
      <c r="AC1734" s="104" t="s">
        <v>141</v>
      </c>
    </row>
    <row r="1735" spans="1:29" ht="25.5" customHeight="1" x14ac:dyDescent="0.35">
      <c r="A1735" s="188"/>
      <c r="B1735" s="190"/>
      <c r="C1735" s="99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0"/>
      <c r="E1735" s="78" t="str">
        <f>IF(C1735="","",IFERROR(VLOOKUP(C1735,parametros!$A$11:$E$15,5,0),""))</f>
        <v/>
      </c>
      <c r="F1735" s="79" t="str">
        <f t="shared" si="137"/>
        <v/>
      </c>
      <c r="G1735" s="101"/>
      <c r="H1735" s="91">
        <f t="shared" si="138"/>
        <v>0</v>
      </c>
      <c r="I1735" s="91" t="str">
        <f t="shared" si="139"/>
        <v/>
      </c>
      <c r="J1735" s="91" t="str">
        <f t="shared" si="140"/>
        <v/>
      </c>
      <c r="K1735" s="92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2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58"/>
      <c r="U1735" s="217" t="str">
        <f t="shared" si="141"/>
        <v/>
      </c>
      <c r="V1735" s="215" t="s">
        <v>47</v>
      </c>
      <c r="W1735" s="102" t="s">
        <v>136</v>
      </c>
      <c r="X1735" s="102" t="s">
        <v>137</v>
      </c>
      <c r="Y1735" s="103" t="s">
        <v>138</v>
      </c>
      <c r="Z1735" s="103" t="s">
        <v>139</v>
      </c>
      <c r="AA1735" s="103" t="s">
        <v>47</v>
      </c>
      <c r="AB1735" s="103" t="s">
        <v>140</v>
      </c>
      <c r="AC1735" s="104" t="s">
        <v>141</v>
      </c>
    </row>
    <row r="1736" spans="1:29" ht="25.5" customHeight="1" x14ac:dyDescent="0.35">
      <c r="A1736" s="188"/>
      <c r="B1736" s="190"/>
      <c r="C1736" s="99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0"/>
      <c r="E1736" s="78" t="str">
        <f>IF(C1736="","",IFERROR(VLOOKUP(C1736,parametros!$A$11:$E$15,5,0),""))</f>
        <v/>
      </c>
      <c r="F1736" s="79" t="str">
        <f t="shared" si="137"/>
        <v/>
      </c>
      <c r="G1736" s="101"/>
      <c r="H1736" s="91">
        <f t="shared" si="138"/>
        <v>0</v>
      </c>
      <c r="I1736" s="91" t="str">
        <f t="shared" si="139"/>
        <v/>
      </c>
      <c r="J1736" s="91" t="str">
        <f t="shared" si="140"/>
        <v/>
      </c>
      <c r="K1736" s="92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2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58"/>
      <c r="U1736" s="217" t="str">
        <f t="shared" si="141"/>
        <v/>
      </c>
      <c r="V1736" s="215" t="s">
        <v>47</v>
      </c>
      <c r="W1736" s="102" t="s">
        <v>136</v>
      </c>
      <c r="X1736" s="102" t="s">
        <v>137</v>
      </c>
      <c r="Y1736" s="103" t="s">
        <v>138</v>
      </c>
      <c r="Z1736" s="103" t="s">
        <v>139</v>
      </c>
      <c r="AA1736" s="103" t="s">
        <v>47</v>
      </c>
      <c r="AB1736" s="103" t="s">
        <v>140</v>
      </c>
      <c r="AC1736" s="104" t="s">
        <v>141</v>
      </c>
    </row>
    <row r="1737" spans="1:29" ht="25.5" customHeight="1" x14ac:dyDescent="0.35">
      <c r="A1737" s="188"/>
      <c r="B1737" s="190"/>
      <c r="C1737" s="99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0"/>
      <c r="E1737" s="78" t="str">
        <f>IF(C1737="","",IFERROR(VLOOKUP(C1737,parametros!$A$11:$E$15,5,0),""))</f>
        <v/>
      </c>
      <c r="F1737" s="79" t="str">
        <f t="shared" si="137"/>
        <v/>
      </c>
      <c r="G1737" s="101"/>
      <c r="H1737" s="91">
        <f t="shared" si="138"/>
        <v>0</v>
      </c>
      <c r="I1737" s="91" t="str">
        <f t="shared" si="139"/>
        <v/>
      </c>
      <c r="J1737" s="91" t="str">
        <f t="shared" si="140"/>
        <v/>
      </c>
      <c r="K1737" s="92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2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58"/>
      <c r="U1737" s="217" t="str">
        <f t="shared" si="141"/>
        <v/>
      </c>
      <c r="V1737" s="215" t="s">
        <v>47</v>
      </c>
      <c r="W1737" s="102" t="s">
        <v>136</v>
      </c>
      <c r="X1737" s="102" t="s">
        <v>137</v>
      </c>
      <c r="Y1737" s="103" t="s">
        <v>138</v>
      </c>
      <c r="Z1737" s="103" t="s">
        <v>139</v>
      </c>
      <c r="AA1737" s="103" t="s">
        <v>47</v>
      </c>
      <c r="AB1737" s="103" t="s">
        <v>140</v>
      </c>
      <c r="AC1737" s="104" t="s">
        <v>141</v>
      </c>
    </row>
    <row r="1738" spans="1:29" ht="25.5" customHeight="1" x14ac:dyDescent="0.35">
      <c r="A1738" s="188"/>
      <c r="B1738" s="190"/>
      <c r="C1738" s="99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0"/>
      <c r="E1738" s="78" t="str">
        <f>IF(C1738="","",IFERROR(VLOOKUP(C1738,parametros!$A$11:$E$15,5,0),""))</f>
        <v/>
      </c>
      <c r="F1738" s="79" t="str">
        <f t="shared" si="137"/>
        <v/>
      </c>
      <c r="G1738" s="101"/>
      <c r="H1738" s="91">
        <f t="shared" si="138"/>
        <v>0</v>
      </c>
      <c r="I1738" s="91" t="str">
        <f t="shared" si="139"/>
        <v/>
      </c>
      <c r="J1738" s="91" t="str">
        <f t="shared" si="140"/>
        <v/>
      </c>
      <c r="K1738" s="92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2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58"/>
      <c r="U1738" s="217" t="str">
        <f t="shared" si="141"/>
        <v/>
      </c>
      <c r="V1738" s="215" t="s">
        <v>47</v>
      </c>
      <c r="W1738" s="102" t="s">
        <v>136</v>
      </c>
      <c r="X1738" s="102" t="s">
        <v>137</v>
      </c>
      <c r="Y1738" s="103" t="s">
        <v>138</v>
      </c>
      <c r="Z1738" s="103" t="s">
        <v>139</v>
      </c>
      <c r="AA1738" s="103" t="s">
        <v>47</v>
      </c>
      <c r="AB1738" s="103" t="s">
        <v>140</v>
      </c>
      <c r="AC1738" s="104" t="s">
        <v>141</v>
      </c>
    </row>
    <row r="1739" spans="1:29" ht="25.5" customHeight="1" x14ac:dyDescent="0.35">
      <c r="A1739" s="188"/>
      <c r="B1739" s="190"/>
      <c r="C1739" s="99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0"/>
      <c r="E1739" s="78" t="str">
        <f>IF(C1739="","",IFERROR(VLOOKUP(C1739,parametros!$A$11:$E$15,5,0),""))</f>
        <v/>
      </c>
      <c r="F1739" s="79" t="str">
        <f t="shared" si="137"/>
        <v/>
      </c>
      <c r="G1739" s="101"/>
      <c r="H1739" s="91">
        <f t="shared" si="138"/>
        <v>0</v>
      </c>
      <c r="I1739" s="91" t="str">
        <f t="shared" si="139"/>
        <v/>
      </c>
      <c r="J1739" s="91" t="str">
        <f t="shared" si="140"/>
        <v/>
      </c>
      <c r="K1739" s="92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2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58"/>
      <c r="U1739" s="217" t="str">
        <f t="shared" si="141"/>
        <v/>
      </c>
      <c r="V1739" s="215" t="s">
        <v>47</v>
      </c>
      <c r="W1739" s="102" t="s">
        <v>136</v>
      </c>
      <c r="X1739" s="102" t="s">
        <v>137</v>
      </c>
      <c r="Y1739" s="103" t="s">
        <v>138</v>
      </c>
      <c r="Z1739" s="103" t="s">
        <v>139</v>
      </c>
      <c r="AA1739" s="103" t="s">
        <v>47</v>
      </c>
      <c r="AB1739" s="103" t="s">
        <v>140</v>
      </c>
      <c r="AC1739" s="104" t="s">
        <v>141</v>
      </c>
    </row>
    <row r="1740" spans="1:29" ht="25.5" customHeight="1" x14ac:dyDescent="0.35">
      <c r="A1740" s="188"/>
      <c r="B1740" s="190"/>
      <c r="C1740" s="99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0"/>
      <c r="E1740" s="78" t="str">
        <f>IF(C1740="","",IFERROR(VLOOKUP(C1740,parametros!$A$11:$E$15,5,0),""))</f>
        <v/>
      </c>
      <c r="F1740" s="79" t="str">
        <f t="shared" si="137"/>
        <v/>
      </c>
      <c r="G1740" s="101"/>
      <c r="H1740" s="91">
        <f t="shared" si="138"/>
        <v>0</v>
      </c>
      <c r="I1740" s="91" t="str">
        <f t="shared" si="139"/>
        <v/>
      </c>
      <c r="J1740" s="91" t="str">
        <f t="shared" si="140"/>
        <v/>
      </c>
      <c r="K1740" s="92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2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58"/>
      <c r="U1740" s="217" t="str">
        <f t="shared" si="141"/>
        <v/>
      </c>
      <c r="V1740" s="215" t="s">
        <v>47</v>
      </c>
      <c r="W1740" s="102" t="s">
        <v>136</v>
      </c>
      <c r="X1740" s="102" t="s">
        <v>137</v>
      </c>
      <c r="Y1740" s="103" t="s">
        <v>138</v>
      </c>
      <c r="Z1740" s="103" t="s">
        <v>139</v>
      </c>
      <c r="AA1740" s="103" t="s">
        <v>47</v>
      </c>
      <c r="AB1740" s="103" t="s">
        <v>140</v>
      </c>
      <c r="AC1740" s="104" t="s">
        <v>141</v>
      </c>
    </row>
    <row r="1741" spans="1:29" ht="25.5" customHeight="1" x14ac:dyDescent="0.35">
      <c r="A1741" s="188"/>
      <c r="B1741" s="190"/>
      <c r="C1741" s="99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0"/>
      <c r="E1741" s="78" t="str">
        <f>IF(C1741="","",IFERROR(VLOOKUP(C1741,parametros!$A$11:$E$15,5,0),""))</f>
        <v/>
      </c>
      <c r="F1741" s="79" t="str">
        <f t="shared" si="137"/>
        <v/>
      </c>
      <c r="G1741" s="101"/>
      <c r="H1741" s="91">
        <f t="shared" si="138"/>
        <v>0</v>
      </c>
      <c r="I1741" s="91" t="str">
        <f t="shared" si="139"/>
        <v/>
      </c>
      <c r="J1741" s="91" t="str">
        <f t="shared" si="140"/>
        <v/>
      </c>
      <c r="K1741" s="92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2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58"/>
      <c r="U1741" s="217" t="str">
        <f t="shared" si="141"/>
        <v/>
      </c>
      <c r="V1741" s="215" t="s">
        <v>47</v>
      </c>
      <c r="W1741" s="102" t="s">
        <v>136</v>
      </c>
      <c r="X1741" s="102" t="s">
        <v>137</v>
      </c>
      <c r="Y1741" s="103" t="s">
        <v>138</v>
      </c>
      <c r="Z1741" s="103" t="s">
        <v>139</v>
      </c>
      <c r="AA1741" s="103" t="s">
        <v>47</v>
      </c>
      <c r="AB1741" s="103" t="s">
        <v>140</v>
      </c>
      <c r="AC1741" s="104" t="s">
        <v>141</v>
      </c>
    </row>
    <row r="1742" spans="1:29" ht="25.5" customHeight="1" x14ac:dyDescent="0.35">
      <c r="A1742" s="188"/>
      <c r="B1742" s="190"/>
      <c r="C1742" s="99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0"/>
      <c r="E1742" s="78" t="str">
        <f>IF(C1742="","",IFERROR(VLOOKUP(C1742,parametros!$A$11:$E$15,5,0),""))</f>
        <v/>
      </c>
      <c r="F1742" s="79" t="str">
        <f t="shared" si="137"/>
        <v/>
      </c>
      <c r="G1742" s="101"/>
      <c r="H1742" s="91">
        <f t="shared" si="138"/>
        <v>0</v>
      </c>
      <c r="I1742" s="91" t="str">
        <f t="shared" si="139"/>
        <v/>
      </c>
      <c r="J1742" s="91" t="str">
        <f t="shared" si="140"/>
        <v/>
      </c>
      <c r="K1742" s="92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2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58"/>
      <c r="U1742" s="217" t="str">
        <f t="shared" si="141"/>
        <v/>
      </c>
      <c r="V1742" s="215" t="s">
        <v>47</v>
      </c>
      <c r="W1742" s="102" t="s">
        <v>136</v>
      </c>
      <c r="X1742" s="102" t="s">
        <v>137</v>
      </c>
      <c r="Y1742" s="103" t="s">
        <v>138</v>
      </c>
      <c r="Z1742" s="103" t="s">
        <v>139</v>
      </c>
      <c r="AA1742" s="103" t="s">
        <v>47</v>
      </c>
      <c r="AB1742" s="103" t="s">
        <v>140</v>
      </c>
      <c r="AC1742" s="104" t="s">
        <v>141</v>
      </c>
    </row>
    <row r="1743" spans="1:29" ht="25.5" customHeight="1" x14ac:dyDescent="0.35">
      <c r="A1743" s="188"/>
      <c r="B1743" s="190"/>
      <c r="C1743" s="99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0"/>
      <c r="E1743" s="78" t="str">
        <f>IF(C1743="","",IFERROR(VLOOKUP(C1743,parametros!$A$11:$E$15,5,0),""))</f>
        <v/>
      </c>
      <c r="F1743" s="79" t="str">
        <f t="shared" si="137"/>
        <v/>
      </c>
      <c r="G1743" s="101"/>
      <c r="H1743" s="91">
        <f t="shared" si="138"/>
        <v>0</v>
      </c>
      <c r="I1743" s="91" t="str">
        <f t="shared" si="139"/>
        <v/>
      </c>
      <c r="J1743" s="91" t="str">
        <f t="shared" si="140"/>
        <v/>
      </c>
      <c r="K1743" s="92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2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58"/>
      <c r="U1743" s="217" t="str">
        <f t="shared" si="141"/>
        <v/>
      </c>
      <c r="V1743" s="215" t="s">
        <v>47</v>
      </c>
      <c r="W1743" s="102" t="s">
        <v>136</v>
      </c>
      <c r="X1743" s="102" t="s">
        <v>137</v>
      </c>
      <c r="Y1743" s="103" t="s">
        <v>138</v>
      </c>
      <c r="Z1743" s="103" t="s">
        <v>139</v>
      </c>
      <c r="AA1743" s="103" t="s">
        <v>47</v>
      </c>
      <c r="AB1743" s="103" t="s">
        <v>140</v>
      </c>
      <c r="AC1743" s="104" t="s">
        <v>141</v>
      </c>
    </row>
    <row r="1744" spans="1:29" ht="25.5" customHeight="1" x14ac:dyDescent="0.35">
      <c r="A1744" s="188"/>
      <c r="B1744" s="190"/>
      <c r="C1744" s="99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0"/>
      <c r="E1744" s="78" t="str">
        <f>IF(C1744="","",IFERROR(VLOOKUP(C1744,parametros!$A$11:$E$15,5,0),""))</f>
        <v/>
      </c>
      <c r="F1744" s="79" t="str">
        <f t="shared" si="137"/>
        <v/>
      </c>
      <c r="G1744" s="101"/>
      <c r="H1744" s="91">
        <f t="shared" si="138"/>
        <v>0</v>
      </c>
      <c r="I1744" s="91" t="str">
        <f t="shared" si="139"/>
        <v/>
      </c>
      <c r="J1744" s="91" t="str">
        <f t="shared" si="140"/>
        <v/>
      </c>
      <c r="K1744" s="92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2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58"/>
      <c r="U1744" s="217" t="str">
        <f t="shared" si="141"/>
        <v/>
      </c>
      <c r="V1744" s="215" t="s">
        <v>47</v>
      </c>
      <c r="W1744" s="102" t="s">
        <v>136</v>
      </c>
      <c r="X1744" s="102" t="s">
        <v>137</v>
      </c>
      <c r="Y1744" s="103" t="s">
        <v>138</v>
      </c>
      <c r="Z1744" s="103" t="s">
        <v>139</v>
      </c>
      <c r="AA1744" s="103" t="s">
        <v>47</v>
      </c>
      <c r="AB1744" s="103" t="s">
        <v>140</v>
      </c>
      <c r="AC1744" s="104" t="s">
        <v>141</v>
      </c>
    </row>
    <row r="1745" spans="1:29" ht="25.5" customHeight="1" x14ac:dyDescent="0.35">
      <c r="A1745" s="188"/>
      <c r="B1745" s="190"/>
      <c r="C1745" s="99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0"/>
      <c r="E1745" s="78" t="str">
        <f>IF(C1745="","",IFERROR(VLOOKUP(C1745,parametros!$A$11:$E$15,5,0),""))</f>
        <v/>
      </c>
      <c r="F1745" s="79" t="str">
        <f t="shared" si="137"/>
        <v/>
      </c>
      <c r="G1745" s="101"/>
      <c r="H1745" s="91">
        <f t="shared" si="138"/>
        <v>0</v>
      </c>
      <c r="I1745" s="91" t="str">
        <f t="shared" si="139"/>
        <v/>
      </c>
      <c r="J1745" s="91" t="str">
        <f t="shared" si="140"/>
        <v/>
      </c>
      <c r="K1745" s="92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2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58"/>
      <c r="U1745" s="217" t="str">
        <f t="shared" si="141"/>
        <v/>
      </c>
      <c r="V1745" s="215" t="s">
        <v>47</v>
      </c>
      <c r="W1745" s="102" t="s">
        <v>136</v>
      </c>
      <c r="X1745" s="102" t="s">
        <v>137</v>
      </c>
      <c r="Y1745" s="103" t="s">
        <v>138</v>
      </c>
      <c r="Z1745" s="103" t="s">
        <v>139</v>
      </c>
      <c r="AA1745" s="103" t="s">
        <v>47</v>
      </c>
      <c r="AB1745" s="103" t="s">
        <v>140</v>
      </c>
      <c r="AC1745" s="104" t="s">
        <v>141</v>
      </c>
    </row>
    <row r="1746" spans="1:29" ht="25.5" customHeight="1" x14ac:dyDescent="0.35">
      <c r="A1746" s="188"/>
      <c r="B1746" s="190"/>
      <c r="C1746" s="99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0"/>
      <c r="E1746" s="78" t="str">
        <f>IF(C1746="","",IFERROR(VLOOKUP(C1746,parametros!$A$11:$E$15,5,0),""))</f>
        <v/>
      </c>
      <c r="F1746" s="79" t="str">
        <f t="shared" si="137"/>
        <v/>
      </c>
      <c r="G1746" s="101"/>
      <c r="H1746" s="91">
        <f t="shared" si="138"/>
        <v>0</v>
      </c>
      <c r="I1746" s="91" t="str">
        <f t="shared" si="139"/>
        <v/>
      </c>
      <c r="J1746" s="91" t="str">
        <f t="shared" si="140"/>
        <v/>
      </c>
      <c r="K1746" s="92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2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58"/>
      <c r="U1746" s="217" t="str">
        <f t="shared" si="141"/>
        <v/>
      </c>
      <c r="V1746" s="215" t="s">
        <v>47</v>
      </c>
      <c r="W1746" s="102" t="s">
        <v>136</v>
      </c>
      <c r="X1746" s="102" t="s">
        <v>137</v>
      </c>
      <c r="Y1746" s="103" t="s">
        <v>138</v>
      </c>
      <c r="Z1746" s="103" t="s">
        <v>139</v>
      </c>
      <c r="AA1746" s="103" t="s">
        <v>47</v>
      </c>
      <c r="AB1746" s="103" t="s">
        <v>140</v>
      </c>
      <c r="AC1746" s="104" t="s">
        <v>141</v>
      </c>
    </row>
    <row r="1747" spans="1:29" ht="25.5" customHeight="1" x14ac:dyDescent="0.35">
      <c r="A1747" s="188"/>
      <c r="B1747" s="190"/>
      <c r="C1747" s="99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0"/>
      <c r="E1747" s="78" t="str">
        <f>IF(C1747="","",IFERROR(VLOOKUP(C1747,parametros!$A$11:$E$15,5,0),""))</f>
        <v/>
      </c>
      <c r="F1747" s="79" t="str">
        <f t="shared" si="137"/>
        <v/>
      </c>
      <c r="G1747" s="101"/>
      <c r="H1747" s="91">
        <f t="shared" si="138"/>
        <v>0</v>
      </c>
      <c r="I1747" s="91" t="str">
        <f t="shared" si="139"/>
        <v/>
      </c>
      <c r="J1747" s="91" t="str">
        <f t="shared" si="140"/>
        <v/>
      </c>
      <c r="K1747" s="92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2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58"/>
      <c r="U1747" s="217" t="str">
        <f t="shared" si="141"/>
        <v/>
      </c>
      <c r="V1747" s="215" t="s">
        <v>47</v>
      </c>
      <c r="W1747" s="102" t="s">
        <v>136</v>
      </c>
      <c r="X1747" s="102" t="s">
        <v>137</v>
      </c>
      <c r="Y1747" s="103" t="s">
        <v>138</v>
      </c>
      <c r="Z1747" s="103" t="s">
        <v>139</v>
      </c>
      <c r="AA1747" s="103" t="s">
        <v>47</v>
      </c>
      <c r="AB1747" s="103" t="s">
        <v>140</v>
      </c>
      <c r="AC1747" s="104" t="s">
        <v>141</v>
      </c>
    </row>
    <row r="1748" spans="1:29" ht="25.5" customHeight="1" x14ac:dyDescent="0.35">
      <c r="A1748" s="188"/>
      <c r="B1748" s="190"/>
      <c r="C1748" s="99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0"/>
      <c r="E1748" s="78" t="str">
        <f>IF(C1748="","",IFERROR(VLOOKUP(C1748,parametros!$A$11:$E$15,5,0),""))</f>
        <v/>
      </c>
      <c r="F1748" s="79" t="str">
        <f t="shared" si="137"/>
        <v/>
      </c>
      <c r="G1748" s="101"/>
      <c r="H1748" s="91">
        <f t="shared" si="138"/>
        <v>0</v>
      </c>
      <c r="I1748" s="91" t="str">
        <f t="shared" si="139"/>
        <v/>
      </c>
      <c r="J1748" s="91" t="str">
        <f t="shared" si="140"/>
        <v/>
      </c>
      <c r="K1748" s="92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2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58"/>
      <c r="U1748" s="217" t="str">
        <f t="shared" si="141"/>
        <v/>
      </c>
      <c r="V1748" s="215" t="s">
        <v>47</v>
      </c>
      <c r="W1748" s="102" t="s">
        <v>136</v>
      </c>
      <c r="X1748" s="102" t="s">
        <v>137</v>
      </c>
      <c r="Y1748" s="103" t="s">
        <v>138</v>
      </c>
      <c r="Z1748" s="103" t="s">
        <v>139</v>
      </c>
      <c r="AA1748" s="103" t="s">
        <v>47</v>
      </c>
      <c r="AB1748" s="103" t="s">
        <v>140</v>
      </c>
      <c r="AC1748" s="104" t="s">
        <v>141</v>
      </c>
    </row>
    <row r="1749" spans="1:29" ht="25.5" customHeight="1" x14ac:dyDescent="0.35">
      <c r="A1749" s="188"/>
      <c r="B1749" s="190"/>
      <c r="C1749" s="99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0"/>
      <c r="E1749" s="78" t="str">
        <f>IF(C1749="","",IFERROR(VLOOKUP(C1749,parametros!$A$11:$E$15,5,0),""))</f>
        <v/>
      </c>
      <c r="F1749" s="79" t="str">
        <f t="shared" si="137"/>
        <v/>
      </c>
      <c r="G1749" s="101"/>
      <c r="H1749" s="91">
        <f t="shared" si="138"/>
        <v>0</v>
      </c>
      <c r="I1749" s="91" t="str">
        <f t="shared" si="139"/>
        <v/>
      </c>
      <c r="J1749" s="91" t="str">
        <f t="shared" si="140"/>
        <v/>
      </c>
      <c r="K1749" s="92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2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58"/>
      <c r="U1749" s="217" t="str">
        <f t="shared" si="141"/>
        <v/>
      </c>
      <c r="V1749" s="215" t="s">
        <v>47</v>
      </c>
      <c r="W1749" s="102" t="s">
        <v>136</v>
      </c>
      <c r="X1749" s="102" t="s">
        <v>137</v>
      </c>
      <c r="Y1749" s="103" t="s">
        <v>138</v>
      </c>
      <c r="Z1749" s="103" t="s">
        <v>139</v>
      </c>
      <c r="AA1749" s="103" t="s">
        <v>47</v>
      </c>
      <c r="AB1749" s="103" t="s">
        <v>140</v>
      </c>
      <c r="AC1749" s="104" t="s">
        <v>141</v>
      </c>
    </row>
    <row r="1750" spans="1:29" ht="25.5" customHeight="1" x14ac:dyDescent="0.35">
      <c r="A1750" s="188"/>
      <c r="B1750" s="190"/>
      <c r="C1750" s="99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0"/>
      <c r="E1750" s="78" t="str">
        <f>IF(C1750="","",IFERROR(VLOOKUP(C1750,parametros!$A$11:$E$15,5,0),""))</f>
        <v/>
      </c>
      <c r="F1750" s="79" t="str">
        <f t="shared" si="137"/>
        <v/>
      </c>
      <c r="G1750" s="101"/>
      <c r="H1750" s="91">
        <f t="shared" si="138"/>
        <v>0</v>
      </c>
      <c r="I1750" s="91" t="str">
        <f t="shared" si="139"/>
        <v/>
      </c>
      <c r="J1750" s="91" t="str">
        <f t="shared" si="140"/>
        <v/>
      </c>
      <c r="K1750" s="92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2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58"/>
      <c r="U1750" s="217" t="str">
        <f t="shared" si="141"/>
        <v/>
      </c>
      <c r="V1750" s="215" t="s">
        <v>47</v>
      </c>
      <c r="W1750" s="102" t="s">
        <v>136</v>
      </c>
      <c r="X1750" s="102" t="s">
        <v>137</v>
      </c>
      <c r="Y1750" s="103" t="s">
        <v>138</v>
      </c>
      <c r="Z1750" s="103" t="s">
        <v>139</v>
      </c>
      <c r="AA1750" s="103" t="s">
        <v>47</v>
      </c>
      <c r="AB1750" s="103" t="s">
        <v>140</v>
      </c>
      <c r="AC1750" s="104" t="s">
        <v>141</v>
      </c>
    </row>
    <row r="1751" spans="1:29" ht="25.5" customHeight="1" x14ac:dyDescent="0.35">
      <c r="A1751" s="188"/>
      <c r="B1751" s="190"/>
      <c r="C1751" s="99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0"/>
      <c r="E1751" s="78" t="str">
        <f>IF(C1751="","",IFERROR(VLOOKUP(C1751,parametros!$A$11:$E$15,5,0),""))</f>
        <v/>
      </c>
      <c r="F1751" s="79" t="str">
        <f t="shared" si="137"/>
        <v/>
      </c>
      <c r="G1751" s="101"/>
      <c r="H1751" s="91">
        <f t="shared" si="138"/>
        <v>0</v>
      </c>
      <c r="I1751" s="91" t="str">
        <f t="shared" si="139"/>
        <v/>
      </c>
      <c r="J1751" s="91" t="str">
        <f t="shared" si="140"/>
        <v/>
      </c>
      <c r="K1751" s="92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2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58"/>
      <c r="U1751" s="217" t="str">
        <f t="shared" si="141"/>
        <v/>
      </c>
      <c r="V1751" s="215" t="s">
        <v>47</v>
      </c>
      <c r="W1751" s="102" t="s">
        <v>136</v>
      </c>
      <c r="X1751" s="102" t="s">
        <v>137</v>
      </c>
      <c r="Y1751" s="103" t="s">
        <v>138</v>
      </c>
      <c r="Z1751" s="103" t="s">
        <v>139</v>
      </c>
      <c r="AA1751" s="103" t="s">
        <v>47</v>
      </c>
      <c r="AB1751" s="103" t="s">
        <v>140</v>
      </c>
      <c r="AC1751" s="104" t="s">
        <v>141</v>
      </c>
    </row>
    <row r="1752" spans="1:29" ht="25.5" customHeight="1" x14ac:dyDescent="0.35">
      <c r="A1752" s="188"/>
      <c r="B1752" s="190"/>
      <c r="C1752" s="99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0"/>
      <c r="E1752" s="78" t="str">
        <f>IF(C1752="","",IFERROR(VLOOKUP(C1752,parametros!$A$11:$E$15,5,0),""))</f>
        <v/>
      </c>
      <c r="F1752" s="79" t="str">
        <f t="shared" si="137"/>
        <v/>
      </c>
      <c r="G1752" s="101"/>
      <c r="H1752" s="91">
        <f t="shared" si="138"/>
        <v>0</v>
      </c>
      <c r="I1752" s="91" t="str">
        <f t="shared" si="139"/>
        <v/>
      </c>
      <c r="J1752" s="91" t="str">
        <f t="shared" si="140"/>
        <v/>
      </c>
      <c r="K1752" s="92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2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58"/>
      <c r="U1752" s="217" t="str">
        <f t="shared" si="141"/>
        <v/>
      </c>
      <c r="V1752" s="215" t="s">
        <v>47</v>
      </c>
      <c r="W1752" s="102" t="s">
        <v>136</v>
      </c>
      <c r="X1752" s="102" t="s">
        <v>137</v>
      </c>
      <c r="Y1752" s="103" t="s">
        <v>138</v>
      </c>
      <c r="Z1752" s="103" t="s">
        <v>139</v>
      </c>
      <c r="AA1752" s="103" t="s">
        <v>47</v>
      </c>
      <c r="AB1752" s="103" t="s">
        <v>140</v>
      </c>
      <c r="AC1752" s="104" t="s">
        <v>141</v>
      </c>
    </row>
    <row r="1753" spans="1:29" ht="25.5" customHeight="1" x14ac:dyDescent="0.35">
      <c r="A1753" s="188"/>
      <c r="B1753" s="190"/>
      <c r="C1753" s="99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0"/>
      <c r="E1753" s="78" t="str">
        <f>IF(C1753="","",IFERROR(VLOOKUP(C1753,parametros!$A$11:$E$15,5,0),""))</f>
        <v/>
      </c>
      <c r="F1753" s="79" t="str">
        <f t="shared" si="137"/>
        <v/>
      </c>
      <c r="G1753" s="101"/>
      <c r="H1753" s="91">
        <f t="shared" si="138"/>
        <v>0</v>
      </c>
      <c r="I1753" s="91" t="str">
        <f t="shared" si="139"/>
        <v/>
      </c>
      <c r="J1753" s="91" t="str">
        <f t="shared" si="140"/>
        <v/>
      </c>
      <c r="K1753" s="92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2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58"/>
      <c r="U1753" s="217" t="str">
        <f t="shared" si="141"/>
        <v/>
      </c>
      <c r="V1753" s="215" t="s">
        <v>47</v>
      </c>
      <c r="W1753" s="102" t="s">
        <v>136</v>
      </c>
      <c r="X1753" s="102" t="s">
        <v>137</v>
      </c>
      <c r="Y1753" s="103" t="s">
        <v>138</v>
      </c>
      <c r="Z1753" s="103" t="s">
        <v>139</v>
      </c>
      <c r="AA1753" s="103" t="s">
        <v>47</v>
      </c>
      <c r="AB1753" s="103" t="s">
        <v>140</v>
      </c>
      <c r="AC1753" s="104" t="s">
        <v>141</v>
      </c>
    </row>
    <row r="1754" spans="1:29" ht="25.5" customHeight="1" x14ac:dyDescent="0.35">
      <c r="A1754" s="188"/>
      <c r="B1754" s="190"/>
      <c r="C1754" s="99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0"/>
      <c r="E1754" s="78" t="str">
        <f>IF(C1754="","",IFERROR(VLOOKUP(C1754,parametros!$A$11:$E$15,5,0),""))</f>
        <v/>
      </c>
      <c r="F1754" s="79" t="str">
        <f t="shared" si="137"/>
        <v/>
      </c>
      <c r="G1754" s="101"/>
      <c r="H1754" s="91">
        <f t="shared" si="138"/>
        <v>0</v>
      </c>
      <c r="I1754" s="91" t="str">
        <f t="shared" si="139"/>
        <v/>
      </c>
      <c r="J1754" s="91" t="str">
        <f t="shared" si="140"/>
        <v/>
      </c>
      <c r="K1754" s="92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2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58"/>
      <c r="U1754" s="217" t="str">
        <f t="shared" si="141"/>
        <v/>
      </c>
      <c r="V1754" s="215" t="s">
        <v>47</v>
      </c>
      <c r="W1754" s="102" t="s">
        <v>136</v>
      </c>
      <c r="X1754" s="102" t="s">
        <v>137</v>
      </c>
      <c r="Y1754" s="103" t="s">
        <v>138</v>
      </c>
      <c r="Z1754" s="103" t="s">
        <v>139</v>
      </c>
      <c r="AA1754" s="103" t="s">
        <v>47</v>
      </c>
      <c r="AB1754" s="103" t="s">
        <v>140</v>
      </c>
      <c r="AC1754" s="104" t="s">
        <v>141</v>
      </c>
    </row>
    <row r="1755" spans="1:29" ht="25.5" customHeight="1" x14ac:dyDescent="0.35">
      <c r="A1755" s="188"/>
      <c r="B1755" s="190"/>
      <c r="C1755" s="99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0"/>
      <c r="E1755" s="78" t="str">
        <f>IF(C1755="","",IFERROR(VLOOKUP(C1755,parametros!$A$11:$E$15,5,0),""))</f>
        <v/>
      </c>
      <c r="F1755" s="79" t="str">
        <f t="shared" si="137"/>
        <v/>
      </c>
      <c r="G1755" s="101"/>
      <c r="H1755" s="91">
        <f t="shared" si="138"/>
        <v>0</v>
      </c>
      <c r="I1755" s="91" t="str">
        <f t="shared" si="139"/>
        <v/>
      </c>
      <c r="J1755" s="91" t="str">
        <f t="shared" si="140"/>
        <v/>
      </c>
      <c r="K1755" s="92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2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58"/>
      <c r="U1755" s="217" t="str">
        <f t="shared" si="141"/>
        <v/>
      </c>
      <c r="V1755" s="215" t="s">
        <v>47</v>
      </c>
      <c r="W1755" s="102" t="s">
        <v>136</v>
      </c>
      <c r="X1755" s="102" t="s">
        <v>137</v>
      </c>
      <c r="Y1755" s="103" t="s">
        <v>138</v>
      </c>
      <c r="Z1755" s="103" t="s">
        <v>139</v>
      </c>
      <c r="AA1755" s="103" t="s">
        <v>47</v>
      </c>
      <c r="AB1755" s="103" t="s">
        <v>140</v>
      </c>
      <c r="AC1755" s="104" t="s">
        <v>141</v>
      </c>
    </row>
    <row r="1756" spans="1:29" ht="25.5" customHeight="1" x14ac:dyDescent="0.35">
      <c r="A1756" s="188"/>
      <c r="B1756" s="190"/>
      <c r="C1756" s="99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0"/>
      <c r="E1756" s="78" t="str">
        <f>IF(C1756="","",IFERROR(VLOOKUP(C1756,parametros!$A$11:$E$15,5,0),""))</f>
        <v/>
      </c>
      <c r="F1756" s="79" t="str">
        <f t="shared" si="137"/>
        <v/>
      </c>
      <c r="G1756" s="101"/>
      <c r="H1756" s="91">
        <f t="shared" si="138"/>
        <v>0</v>
      </c>
      <c r="I1756" s="91" t="str">
        <f t="shared" si="139"/>
        <v/>
      </c>
      <c r="J1756" s="91" t="str">
        <f t="shared" si="140"/>
        <v/>
      </c>
      <c r="K1756" s="92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2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58"/>
      <c r="U1756" s="217" t="str">
        <f t="shared" si="141"/>
        <v/>
      </c>
      <c r="V1756" s="215" t="s">
        <v>47</v>
      </c>
      <c r="W1756" s="102" t="s">
        <v>136</v>
      </c>
      <c r="X1756" s="102" t="s">
        <v>137</v>
      </c>
      <c r="Y1756" s="103" t="s">
        <v>138</v>
      </c>
      <c r="Z1756" s="103" t="s">
        <v>139</v>
      </c>
      <c r="AA1756" s="103" t="s">
        <v>47</v>
      </c>
      <c r="AB1756" s="103" t="s">
        <v>140</v>
      </c>
      <c r="AC1756" s="104" t="s">
        <v>141</v>
      </c>
    </row>
    <row r="1757" spans="1:29" ht="25.5" customHeight="1" x14ac:dyDescent="0.35">
      <c r="A1757" s="188"/>
      <c r="B1757" s="190"/>
      <c r="C1757" s="99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0"/>
      <c r="E1757" s="78" t="str">
        <f>IF(C1757="","",IFERROR(VLOOKUP(C1757,parametros!$A$11:$E$15,5,0),""))</f>
        <v/>
      </c>
      <c r="F1757" s="79" t="str">
        <f t="shared" si="137"/>
        <v/>
      </c>
      <c r="G1757" s="101"/>
      <c r="H1757" s="91">
        <f t="shared" si="138"/>
        <v>0</v>
      </c>
      <c r="I1757" s="91" t="str">
        <f t="shared" si="139"/>
        <v/>
      </c>
      <c r="J1757" s="91" t="str">
        <f t="shared" si="140"/>
        <v/>
      </c>
      <c r="K1757" s="92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2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58"/>
      <c r="U1757" s="217" t="str">
        <f t="shared" si="141"/>
        <v/>
      </c>
      <c r="V1757" s="215" t="s">
        <v>47</v>
      </c>
      <c r="W1757" s="102" t="s">
        <v>136</v>
      </c>
      <c r="X1757" s="102" t="s">
        <v>137</v>
      </c>
      <c r="Y1757" s="103" t="s">
        <v>138</v>
      </c>
      <c r="Z1757" s="103" t="s">
        <v>139</v>
      </c>
      <c r="AA1757" s="103" t="s">
        <v>47</v>
      </c>
      <c r="AB1757" s="103" t="s">
        <v>140</v>
      </c>
      <c r="AC1757" s="104" t="s">
        <v>141</v>
      </c>
    </row>
    <row r="1758" spans="1:29" ht="25.5" customHeight="1" x14ac:dyDescent="0.35">
      <c r="A1758" s="188"/>
      <c r="B1758" s="190"/>
      <c r="C1758" s="99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0"/>
      <c r="E1758" s="78" t="str">
        <f>IF(C1758="","",IFERROR(VLOOKUP(C1758,parametros!$A$11:$E$15,5,0),""))</f>
        <v/>
      </c>
      <c r="F1758" s="79" t="str">
        <f t="shared" si="137"/>
        <v/>
      </c>
      <c r="G1758" s="101"/>
      <c r="H1758" s="91">
        <f t="shared" si="138"/>
        <v>0</v>
      </c>
      <c r="I1758" s="91" t="str">
        <f t="shared" si="139"/>
        <v/>
      </c>
      <c r="J1758" s="91" t="str">
        <f t="shared" si="140"/>
        <v/>
      </c>
      <c r="K1758" s="92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2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58"/>
      <c r="U1758" s="217" t="str">
        <f t="shared" si="141"/>
        <v/>
      </c>
      <c r="V1758" s="215" t="s">
        <v>47</v>
      </c>
      <c r="W1758" s="102" t="s">
        <v>136</v>
      </c>
      <c r="X1758" s="102" t="s">
        <v>137</v>
      </c>
      <c r="Y1758" s="103" t="s">
        <v>138</v>
      </c>
      <c r="Z1758" s="103" t="s">
        <v>139</v>
      </c>
      <c r="AA1758" s="103" t="s">
        <v>47</v>
      </c>
      <c r="AB1758" s="103" t="s">
        <v>140</v>
      </c>
      <c r="AC1758" s="104" t="s">
        <v>141</v>
      </c>
    </row>
    <row r="1759" spans="1:29" ht="25.5" customHeight="1" x14ac:dyDescent="0.35">
      <c r="A1759" s="188"/>
      <c r="B1759" s="190"/>
      <c r="C1759" s="99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0"/>
      <c r="E1759" s="78" t="str">
        <f>IF(C1759="","",IFERROR(VLOOKUP(C1759,parametros!$A$11:$E$15,5,0),""))</f>
        <v/>
      </c>
      <c r="F1759" s="79" t="str">
        <f t="shared" si="137"/>
        <v/>
      </c>
      <c r="G1759" s="101"/>
      <c r="H1759" s="91">
        <f t="shared" si="138"/>
        <v>0</v>
      </c>
      <c r="I1759" s="91" t="str">
        <f t="shared" si="139"/>
        <v/>
      </c>
      <c r="J1759" s="91" t="str">
        <f t="shared" si="140"/>
        <v/>
      </c>
      <c r="K1759" s="92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2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58"/>
      <c r="U1759" s="217" t="str">
        <f t="shared" si="141"/>
        <v/>
      </c>
      <c r="V1759" s="215" t="s">
        <v>47</v>
      </c>
      <c r="W1759" s="102" t="s">
        <v>136</v>
      </c>
      <c r="X1759" s="102" t="s">
        <v>137</v>
      </c>
      <c r="Y1759" s="103" t="s">
        <v>138</v>
      </c>
      <c r="Z1759" s="103" t="s">
        <v>139</v>
      </c>
      <c r="AA1759" s="103" t="s">
        <v>47</v>
      </c>
      <c r="AB1759" s="103" t="s">
        <v>140</v>
      </c>
      <c r="AC1759" s="104" t="s">
        <v>141</v>
      </c>
    </row>
    <row r="1760" spans="1:29" ht="25.5" customHeight="1" x14ac:dyDescent="0.35">
      <c r="A1760" s="188"/>
      <c r="B1760" s="190"/>
      <c r="C1760" s="99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0"/>
      <c r="E1760" s="78" t="str">
        <f>IF(C1760="","",IFERROR(VLOOKUP(C1760,parametros!$A$11:$E$15,5,0),""))</f>
        <v/>
      </c>
      <c r="F1760" s="79" t="str">
        <f t="shared" si="137"/>
        <v/>
      </c>
      <c r="G1760" s="101"/>
      <c r="H1760" s="91">
        <f t="shared" si="138"/>
        <v>0</v>
      </c>
      <c r="I1760" s="91" t="str">
        <f t="shared" si="139"/>
        <v/>
      </c>
      <c r="J1760" s="91" t="str">
        <f t="shared" si="140"/>
        <v/>
      </c>
      <c r="K1760" s="92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2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58"/>
      <c r="U1760" s="217" t="str">
        <f t="shared" si="141"/>
        <v/>
      </c>
      <c r="V1760" s="215" t="s">
        <v>47</v>
      </c>
      <c r="W1760" s="102" t="s">
        <v>136</v>
      </c>
      <c r="X1760" s="102" t="s">
        <v>137</v>
      </c>
      <c r="Y1760" s="103" t="s">
        <v>138</v>
      </c>
      <c r="Z1760" s="103" t="s">
        <v>139</v>
      </c>
      <c r="AA1760" s="103" t="s">
        <v>47</v>
      </c>
      <c r="AB1760" s="103" t="s">
        <v>140</v>
      </c>
      <c r="AC1760" s="104" t="s">
        <v>141</v>
      </c>
    </row>
    <row r="1761" spans="1:29" ht="25.5" customHeight="1" x14ac:dyDescent="0.35">
      <c r="A1761" s="188"/>
      <c r="B1761" s="190"/>
      <c r="C1761" s="99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0"/>
      <c r="E1761" s="78" t="str">
        <f>IF(C1761="","",IFERROR(VLOOKUP(C1761,parametros!$A$11:$E$15,5,0),""))</f>
        <v/>
      </c>
      <c r="F1761" s="79" t="str">
        <f t="shared" si="137"/>
        <v/>
      </c>
      <c r="G1761" s="101"/>
      <c r="H1761" s="91">
        <f t="shared" si="138"/>
        <v>0</v>
      </c>
      <c r="I1761" s="91" t="str">
        <f t="shared" si="139"/>
        <v/>
      </c>
      <c r="J1761" s="91" t="str">
        <f t="shared" si="140"/>
        <v/>
      </c>
      <c r="K1761" s="92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2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58"/>
      <c r="U1761" s="217" t="str">
        <f t="shared" si="141"/>
        <v/>
      </c>
      <c r="V1761" s="215" t="s">
        <v>47</v>
      </c>
      <c r="W1761" s="102" t="s">
        <v>136</v>
      </c>
      <c r="X1761" s="102" t="s">
        <v>137</v>
      </c>
      <c r="Y1761" s="103" t="s">
        <v>138</v>
      </c>
      <c r="Z1761" s="103" t="s">
        <v>139</v>
      </c>
      <c r="AA1761" s="103" t="s">
        <v>47</v>
      </c>
      <c r="AB1761" s="103" t="s">
        <v>140</v>
      </c>
      <c r="AC1761" s="104" t="s">
        <v>141</v>
      </c>
    </row>
    <row r="1762" spans="1:29" ht="25.5" customHeight="1" x14ac:dyDescent="0.35">
      <c r="A1762" s="188"/>
      <c r="B1762" s="190"/>
      <c r="C1762" s="99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0"/>
      <c r="E1762" s="78" t="str">
        <f>IF(C1762="","",IFERROR(VLOOKUP(C1762,parametros!$A$11:$E$15,5,0),""))</f>
        <v/>
      </c>
      <c r="F1762" s="79" t="str">
        <f t="shared" si="137"/>
        <v/>
      </c>
      <c r="G1762" s="101"/>
      <c r="H1762" s="91">
        <f t="shared" si="138"/>
        <v>0</v>
      </c>
      <c r="I1762" s="91" t="str">
        <f t="shared" si="139"/>
        <v/>
      </c>
      <c r="J1762" s="91" t="str">
        <f t="shared" si="140"/>
        <v/>
      </c>
      <c r="K1762" s="92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2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58"/>
      <c r="U1762" s="217" t="str">
        <f t="shared" si="141"/>
        <v/>
      </c>
      <c r="V1762" s="215" t="s">
        <v>47</v>
      </c>
      <c r="W1762" s="102" t="s">
        <v>136</v>
      </c>
      <c r="X1762" s="102" t="s">
        <v>137</v>
      </c>
      <c r="Y1762" s="103" t="s">
        <v>138</v>
      </c>
      <c r="Z1762" s="103" t="s">
        <v>139</v>
      </c>
      <c r="AA1762" s="103" t="s">
        <v>47</v>
      </c>
      <c r="AB1762" s="103" t="s">
        <v>140</v>
      </c>
      <c r="AC1762" s="104" t="s">
        <v>141</v>
      </c>
    </row>
    <row r="1763" spans="1:29" ht="25.5" customHeight="1" x14ac:dyDescent="0.35">
      <c r="A1763" s="188"/>
      <c r="B1763" s="190"/>
      <c r="C1763" s="99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0"/>
      <c r="E1763" s="78" t="str">
        <f>IF(C1763="","",IFERROR(VLOOKUP(C1763,parametros!$A$11:$E$15,5,0),""))</f>
        <v/>
      </c>
      <c r="F1763" s="79" t="str">
        <f t="shared" si="137"/>
        <v/>
      </c>
      <c r="G1763" s="101"/>
      <c r="H1763" s="91">
        <f t="shared" si="138"/>
        <v>0</v>
      </c>
      <c r="I1763" s="91" t="str">
        <f t="shared" si="139"/>
        <v/>
      </c>
      <c r="J1763" s="91" t="str">
        <f t="shared" si="140"/>
        <v/>
      </c>
      <c r="K1763" s="92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2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58"/>
      <c r="U1763" s="217" t="str">
        <f t="shared" si="141"/>
        <v/>
      </c>
      <c r="V1763" s="215" t="s">
        <v>47</v>
      </c>
      <c r="W1763" s="102" t="s">
        <v>136</v>
      </c>
      <c r="X1763" s="102" t="s">
        <v>137</v>
      </c>
      <c r="Y1763" s="103" t="s">
        <v>138</v>
      </c>
      <c r="Z1763" s="103" t="s">
        <v>139</v>
      </c>
      <c r="AA1763" s="103" t="s">
        <v>47</v>
      </c>
      <c r="AB1763" s="103" t="s">
        <v>140</v>
      </c>
      <c r="AC1763" s="104" t="s">
        <v>141</v>
      </c>
    </row>
    <row r="1764" spans="1:29" ht="25.5" customHeight="1" x14ac:dyDescent="0.35">
      <c r="A1764" s="188"/>
      <c r="B1764" s="190"/>
      <c r="C1764" s="99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0"/>
      <c r="E1764" s="78" t="str">
        <f>IF(C1764="","",IFERROR(VLOOKUP(C1764,parametros!$A$11:$E$15,5,0),""))</f>
        <v/>
      </c>
      <c r="F1764" s="79" t="str">
        <f t="shared" si="137"/>
        <v/>
      </c>
      <c r="G1764" s="101"/>
      <c r="H1764" s="91">
        <f t="shared" si="138"/>
        <v>0</v>
      </c>
      <c r="I1764" s="91" t="str">
        <f t="shared" si="139"/>
        <v/>
      </c>
      <c r="J1764" s="91" t="str">
        <f t="shared" si="140"/>
        <v/>
      </c>
      <c r="K1764" s="92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2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58"/>
      <c r="U1764" s="217" t="str">
        <f t="shared" si="141"/>
        <v/>
      </c>
      <c r="V1764" s="215" t="s">
        <v>47</v>
      </c>
      <c r="W1764" s="102" t="s">
        <v>136</v>
      </c>
      <c r="X1764" s="102" t="s">
        <v>137</v>
      </c>
      <c r="Y1764" s="103" t="s">
        <v>138</v>
      </c>
      <c r="Z1764" s="103" t="s">
        <v>139</v>
      </c>
      <c r="AA1764" s="103" t="s">
        <v>47</v>
      </c>
      <c r="AB1764" s="103" t="s">
        <v>140</v>
      </c>
      <c r="AC1764" s="104" t="s">
        <v>141</v>
      </c>
    </row>
    <row r="1765" spans="1:29" ht="25.5" customHeight="1" x14ac:dyDescent="0.35">
      <c r="A1765" s="188"/>
      <c r="B1765" s="190"/>
      <c r="C1765" s="99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0"/>
      <c r="E1765" s="78" t="str">
        <f>IF(C1765="","",IFERROR(VLOOKUP(C1765,parametros!$A$11:$E$15,5,0),""))</f>
        <v/>
      </c>
      <c r="F1765" s="79" t="str">
        <f t="shared" si="137"/>
        <v/>
      </c>
      <c r="G1765" s="101"/>
      <c r="H1765" s="91">
        <f t="shared" si="138"/>
        <v>0</v>
      </c>
      <c r="I1765" s="91" t="str">
        <f t="shared" si="139"/>
        <v/>
      </c>
      <c r="J1765" s="91" t="str">
        <f t="shared" si="140"/>
        <v/>
      </c>
      <c r="K1765" s="92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2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58"/>
      <c r="U1765" s="217" t="str">
        <f t="shared" si="141"/>
        <v/>
      </c>
      <c r="V1765" s="215" t="s">
        <v>47</v>
      </c>
      <c r="W1765" s="102" t="s">
        <v>136</v>
      </c>
      <c r="X1765" s="102" t="s">
        <v>137</v>
      </c>
      <c r="Y1765" s="103" t="s">
        <v>138</v>
      </c>
      <c r="Z1765" s="103" t="s">
        <v>139</v>
      </c>
      <c r="AA1765" s="103" t="s">
        <v>47</v>
      </c>
      <c r="AB1765" s="103" t="s">
        <v>140</v>
      </c>
      <c r="AC1765" s="104" t="s">
        <v>141</v>
      </c>
    </row>
    <row r="1766" spans="1:29" ht="25.5" customHeight="1" x14ac:dyDescent="0.35">
      <c r="A1766" s="188"/>
      <c r="B1766" s="190"/>
      <c r="C1766" s="99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0"/>
      <c r="E1766" s="78" t="str">
        <f>IF(C1766="","",IFERROR(VLOOKUP(C1766,parametros!$A$11:$E$15,5,0),""))</f>
        <v/>
      </c>
      <c r="F1766" s="79" t="str">
        <f t="shared" si="137"/>
        <v/>
      </c>
      <c r="G1766" s="101"/>
      <c r="H1766" s="91">
        <f t="shared" si="138"/>
        <v>0</v>
      </c>
      <c r="I1766" s="91" t="str">
        <f t="shared" si="139"/>
        <v/>
      </c>
      <c r="J1766" s="91" t="str">
        <f t="shared" si="140"/>
        <v/>
      </c>
      <c r="K1766" s="92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2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58"/>
      <c r="U1766" s="217" t="str">
        <f t="shared" si="141"/>
        <v/>
      </c>
      <c r="V1766" s="215" t="s">
        <v>47</v>
      </c>
      <c r="W1766" s="102" t="s">
        <v>136</v>
      </c>
      <c r="X1766" s="102" t="s">
        <v>137</v>
      </c>
      <c r="Y1766" s="103" t="s">
        <v>138</v>
      </c>
      <c r="Z1766" s="103" t="s">
        <v>139</v>
      </c>
      <c r="AA1766" s="103" t="s">
        <v>47</v>
      </c>
      <c r="AB1766" s="103" t="s">
        <v>140</v>
      </c>
      <c r="AC1766" s="104" t="s">
        <v>141</v>
      </c>
    </row>
    <row r="1767" spans="1:29" ht="25.5" customHeight="1" x14ac:dyDescent="0.35">
      <c r="A1767" s="188"/>
      <c r="B1767" s="190"/>
      <c r="C1767" s="99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0"/>
      <c r="E1767" s="78" t="str">
        <f>IF(C1767="","",IFERROR(VLOOKUP(C1767,parametros!$A$11:$E$15,5,0),""))</f>
        <v/>
      </c>
      <c r="F1767" s="79" t="str">
        <f t="shared" si="137"/>
        <v/>
      </c>
      <c r="G1767" s="101"/>
      <c r="H1767" s="91">
        <f t="shared" si="138"/>
        <v>0</v>
      </c>
      <c r="I1767" s="91" t="str">
        <f t="shared" si="139"/>
        <v/>
      </c>
      <c r="J1767" s="91" t="str">
        <f t="shared" si="140"/>
        <v/>
      </c>
      <c r="K1767" s="92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2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58"/>
      <c r="U1767" s="217" t="str">
        <f t="shared" si="141"/>
        <v/>
      </c>
      <c r="V1767" s="215" t="s">
        <v>47</v>
      </c>
      <c r="W1767" s="102" t="s">
        <v>136</v>
      </c>
      <c r="X1767" s="102" t="s">
        <v>137</v>
      </c>
      <c r="Y1767" s="103" t="s">
        <v>138</v>
      </c>
      <c r="Z1767" s="103" t="s">
        <v>139</v>
      </c>
      <c r="AA1767" s="103" t="s">
        <v>47</v>
      </c>
      <c r="AB1767" s="103" t="s">
        <v>140</v>
      </c>
      <c r="AC1767" s="104" t="s">
        <v>141</v>
      </c>
    </row>
    <row r="1768" spans="1:29" ht="25.5" customHeight="1" x14ac:dyDescent="0.35">
      <c r="A1768" s="188"/>
      <c r="B1768" s="190"/>
      <c r="C1768" s="99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0"/>
      <c r="E1768" s="78" t="str">
        <f>IF(C1768="","",IFERROR(VLOOKUP(C1768,parametros!$A$11:$E$15,5,0),""))</f>
        <v/>
      </c>
      <c r="F1768" s="79" t="str">
        <f t="shared" si="137"/>
        <v/>
      </c>
      <c r="G1768" s="101"/>
      <c r="H1768" s="91">
        <f t="shared" si="138"/>
        <v>0</v>
      </c>
      <c r="I1768" s="91" t="str">
        <f t="shared" si="139"/>
        <v/>
      </c>
      <c r="J1768" s="91" t="str">
        <f t="shared" si="140"/>
        <v/>
      </c>
      <c r="K1768" s="92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2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58"/>
      <c r="U1768" s="217" t="str">
        <f t="shared" si="141"/>
        <v/>
      </c>
      <c r="V1768" s="215" t="s">
        <v>47</v>
      </c>
      <c r="W1768" s="102" t="s">
        <v>136</v>
      </c>
      <c r="X1768" s="102" t="s">
        <v>137</v>
      </c>
      <c r="Y1768" s="103" t="s">
        <v>138</v>
      </c>
      <c r="Z1768" s="103" t="s">
        <v>139</v>
      </c>
      <c r="AA1768" s="103" t="s">
        <v>47</v>
      </c>
      <c r="AB1768" s="103" t="s">
        <v>140</v>
      </c>
      <c r="AC1768" s="104" t="s">
        <v>141</v>
      </c>
    </row>
    <row r="1769" spans="1:29" ht="25.5" customHeight="1" x14ac:dyDescent="0.35">
      <c r="A1769" s="188"/>
      <c r="B1769" s="190"/>
      <c r="C1769" s="99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0"/>
      <c r="E1769" s="78" t="str">
        <f>IF(C1769="","",IFERROR(VLOOKUP(C1769,parametros!$A$11:$E$15,5,0),""))</f>
        <v/>
      </c>
      <c r="F1769" s="79" t="str">
        <f t="shared" si="137"/>
        <v/>
      </c>
      <c r="G1769" s="101"/>
      <c r="H1769" s="91">
        <f t="shared" si="138"/>
        <v>0</v>
      </c>
      <c r="I1769" s="91" t="str">
        <f t="shared" si="139"/>
        <v/>
      </c>
      <c r="J1769" s="91" t="str">
        <f t="shared" si="140"/>
        <v/>
      </c>
      <c r="K1769" s="92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2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58"/>
      <c r="U1769" s="217" t="str">
        <f t="shared" si="141"/>
        <v/>
      </c>
      <c r="V1769" s="215" t="s">
        <v>47</v>
      </c>
      <c r="W1769" s="102" t="s">
        <v>136</v>
      </c>
      <c r="X1769" s="102" t="s">
        <v>137</v>
      </c>
      <c r="Y1769" s="103" t="s">
        <v>138</v>
      </c>
      <c r="Z1769" s="103" t="s">
        <v>139</v>
      </c>
      <c r="AA1769" s="103" t="s">
        <v>47</v>
      </c>
      <c r="AB1769" s="103" t="s">
        <v>140</v>
      </c>
      <c r="AC1769" s="104" t="s">
        <v>141</v>
      </c>
    </row>
    <row r="1770" spans="1:29" ht="25.5" customHeight="1" x14ac:dyDescent="0.35">
      <c r="A1770" s="188"/>
      <c r="B1770" s="190"/>
      <c r="C1770" s="99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0"/>
      <c r="E1770" s="78" t="str">
        <f>IF(C1770="","",IFERROR(VLOOKUP(C1770,parametros!$A$11:$E$15,5,0),""))</f>
        <v/>
      </c>
      <c r="F1770" s="79" t="str">
        <f t="shared" si="137"/>
        <v/>
      </c>
      <c r="G1770" s="101"/>
      <c r="H1770" s="91">
        <f t="shared" si="138"/>
        <v>0</v>
      </c>
      <c r="I1770" s="91" t="str">
        <f t="shared" si="139"/>
        <v/>
      </c>
      <c r="J1770" s="91" t="str">
        <f t="shared" si="140"/>
        <v/>
      </c>
      <c r="K1770" s="92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2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58"/>
      <c r="U1770" s="217" t="str">
        <f t="shared" si="141"/>
        <v/>
      </c>
      <c r="V1770" s="215" t="s">
        <v>47</v>
      </c>
      <c r="W1770" s="102" t="s">
        <v>136</v>
      </c>
      <c r="X1770" s="102" t="s">
        <v>137</v>
      </c>
      <c r="Y1770" s="103" t="s">
        <v>138</v>
      </c>
      <c r="Z1770" s="103" t="s">
        <v>139</v>
      </c>
      <c r="AA1770" s="103" t="s">
        <v>47</v>
      </c>
      <c r="AB1770" s="103" t="s">
        <v>140</v>
      </c>
      <c r="AC1770" s="104" t="s">
        <v>141</v>
      </c>
    </row>
    <row r="1771" spans="1:29" ht="25.5" customHeight="1" x14ac:dyDescent="0.35">
      <c r="A1771" s="188"/>
      <c r="B1771" s="190"/>
      <c r="C1771" s="99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0"/>
      <c r="E1771" s="78" t="str">
        <f>IF(C1771="","",IFERROR(VLOOKUP(C1771,parametros!$A$11:$E$15,5,0),""))</f>
        <v/>
      </c>
      <c r="F1771" s="79" t="str">
        <f t="shared" si="137"/>
        <v/>
      </c>
      <c r="G1771" s="101"/>
      <c r="H1771" s="91">
        <f t="shared" si="138"/>
        <v>0</v>
      </c>
      <c r="I1771" s="91" t="str">
        <f t="shared" si="139"/>
        <v/>
      </c>
      <c r="J1771" s="91" t="str">
        <f t="shared" si="140"/>
        <v/>
      </c>
      <c r="K1771" s="92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2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58"/>
      <c r="U1771" s="217" t="str">
        <f t="shared" si="141"/>
        <v/>
      </c>
      <c r="V1771" s="215" t="s">
        <v>47</v>
      </c>
      <c r="W1771" s="102" t="s">
        <v>136</v>
      </c>
      <c r="X1771" s="102" t="s">
        <v>137</v>
      </c>
      <c r="Y1771" s="103" t="s">
        <v>138</v>
      </c>
      <c r="Z1771" s="103" t="s">
        <v>139</v>
      </c>
      <c r="AA1771" s="103" t="s">
        <v>47</v>
      </c>
      <c r="AB1771" s="103" t="s">
        <v>140</v>
      </c>
      <c r="AC1771" s="104" t="s">
        <v>141</v>
      </c>
    </row>
    <row r="1772" spans="1:29" ht="25.5" customHeight="1" x14ac:dyDescent="0.35">
      <c r="A1772" s="188"/>
      <c r="B1772" s="190"/>
      <c r="C1772" s="99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0"/>
      <c r="E1772" s="78" t="str">
        <f>IF(C1772="","",IFERROR(VLOOKUP(C1772,parametros!$A$11:$E$15,5,0),""))</f>
        <v/>
      </c>
      <c r="F1772" s="79" t="str">
        <f t="shared" si="137"/>
        <v/>
      </c>
      <c r="G1772" s="101"/>
      <c r="H1772" s="91">
        <f t="shared" si="138"/>
        <v>0</v>
      </c>
      <c r="I1772" s="91" t="str">
        <f t="shared" si="139"/>
        <v/>
      </c>
      <c r="J1772" s="91" t="str">
        <f t="shared" si="140"/>
        <v/>
      </c>
      <c r="K1772" s="92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2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58"/>
      <c r="U1772" s="217" t="str">
        <f t="shared" si="141"/>
        <v/>
      </c>
      <c r="V1772" s="215" t="s">
        <v>47</v>
      </c>
      <c r="W1772" s="102" t="s">
        <v>136</v>
      </c>
      <c r="X1772" s="102" t="s">
        <v>137</v>
      </c>
      <c r="Y1772" s="103" t="s">
        <v>138</v>
      </c>
      <c r="Z1772" s="103" t="s">
        <v>139</v>
      </c>
      <c r="AA1772" s="103" t="s">
        <v>47</v>
      </c>
      <c r="AB1772" s="103" t="s">
        <v>140</v>
      </c>
      <c r="AC1772" s="104" t="s">
        <v>141</v>
      </c>
    </row>
    <row r="1773" spans="1:29" ht="25.5" customHeight="1" x14ac:dyDescent="0.35">
      <c r="A1773" s="188"/>
      <c r="B1773" s="190"/>
      <c r="C1773" s="99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0"/>
      <c r="E1773" s="78" t="str">
        <f>IF(C1773="","",IFERROR(VLOOKUP(C1773,parametros!$A$11:$E$15,5,0),""))</f>
        <v/>
      </c>
      <c r="F1773" s="79" t="str">
        <f t="shared" si="137"/>
        <v/>
      </c>
      <c r="G1773" s="101"/>
      <c r="H1773" s="91">
        <f t="shared" si="138"/>
        <v>0</v>
      </c>
      <c r="I1773" s="91" t="str">
        <f t="shared" si="139"/>
        <v/>
      </c>
      <c r="J1773" s="91" t="str">
        <f t="shared" si="140"/>
        <v/>
      </c>
      <c r="K1773" s="92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2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58"/>
      <c r="U1773" s="217" t="str">
        <f t="shared" si="141"/>
        <v/>
      </c>
      <c r="V1773" s="215" t="s">
        <v>47</v>
      </c>
      <c r="W1773" s="102" t="s">
        <v>136</v>
      </c>
      <c r="X1773" s="102" t="s">
        <v>137</v>
      </c>
      <c r="Y1773" s="103" t="s">
        <v>138</v>
      </c>
      <c r="Z1773" s="103" t="s">
        <v>139</v>
      </c>
      <c r="AA1773" s="103" t="s">
        <v>47</v>
      </c>
      <c r="AB1773" s="103" t="s">
        <v>140</v>
      </c>
      <c r="AC1773" s="104" t="s">
        <v>141</v>
      </c>
    </row>
    <row r="1774" spans="1:29" ht="25.5" customHeight="1" x14ac:dyDescent="0.35">
      <c r="A1774" s="188"/>
      <c r="B1774" s="190"/>
      <c r="C1774" s="99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0"/>
      <c r="E1774" s="78" t="str">
        <f>IF(C1774="","",IFERROR(VLOOKUP(C1774,parametros!$A$11:$E$15,5,0),""))</f>
        <v/>
      </c>
      <c r="F1774" s="79" t="str">
        <f t="shared" si="137"/>
        <v/>
      </c>
      <c r="G1774" s="101"/>
      <c r="H1774" s="91">
        <f t="shared" si="138"/>
        <v>0</v>
      </c>
      <c r="I1774" s="91" t="str">
        <f t="shared" si="139"/>
        <v/>
      </c>
      <c r="J1774" s="91" t="str">
        <f t="shared" si="140"/>
        <v/>
      </c>
      <c r="K1774" s="92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2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58"/>
      <c r="U1774" s="217" t="str">
        <f t="shared" si="141"/>
        <v/>
      </c>
      <c r="V1774" s="215" t="s">
        <v>47</v>
      </c>
      <c r="W1774" s="102" t="s">
        <v>136</v>
      </c>
      <c r="X1774" s="102" t="s">
        <v>137</v>
      </c>
      <c r="Y1774" s="103" t="s">
        <v>138</v>
      </c>
      <c r="Z1774" s="103" t="s">
        <v>139</v>
      </c>
      <c r="AA1774" s="103" t="s">
        <v>47</v>
      </c>
      <c r="AB1774" s="103" t="s">
        <v>140</v>
      </c>
      <c r="AC1774" s="104" t="s">
        <v>141</v>
      </c>
    </row>
    <row r="1775" spans="1:29" ht="25.5" customHeight="1" x14ac:dyDescent="0.35">
      <c r="A1775" s="188"/>
      <c r="B1775" s="190"/>
      <c r="C1775" s="99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0"/>
      <c r="E1775" s="78" t="str">
        <f>IF(C1775="","",IFERROR(VLOOKUP(C1775,parametros!$A$11:$E$15,5,0),""))</f>
        <v/>
      </c>
      <c r="F1775" s="79" t="str">
        <f t="shared" si="137"/>
        <v/>
      </c>
      <c r="G1775" s="101"/>
      <c r="H1775" s="91">
        <f t="shared" si="138"/>
        <v>0</v>
      </c>
      <c r="I1775" s="91" t="str">
        <f t="shared" si="139"/>
        <v/>
      </c>
      <c r="J1775" s="91" t="str">
        <f t="shared" si="140"/>
        <v/>
      </c>
      <c r="K1775" s="92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2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58"/>
      <c r="U1775" s="217" t="str">
        <f t="shared" si="141"/>
        <v/>
      </c>
      <c r="V1775" s="215" t="s">
        <v>47</v>
      </c>
      <c r="W1775" s="102" t="s">
        <v>136</v>
      </c>
      <c r="X1775" s="102" t="s">
        <v>137</v>
      </c>
      <c r="Y1775" s="103" t="s">
        <v>138</v>
      </c>
      <c r="Z1775" s="103" t="s">
        <v>139</v>
      </c>
      <c r="AA1775" s="103" t="s">
        <v>47</v>
      </c>
      <c r="AB1775" s="103" t="s">
        <v>140</v>
      </c>
      <c r="AC1775" s="104" t="s">
        <v>141</v>
      </c>
    </row>
    <row r="1776" spans="1:29" ht="25.5" customHeight="1" x14ac:dyDescent="0.35">
      <c r="A1776" s="188"/>
      <c r="B1776" s="190"/>
      <c r="C1776" s="99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0"/>
      <c r="E1776" s="78" t="str">
        <f>IF(C1776="","",IFERROR(VLOOKUP(C1776,parametros!$A$11:$E$15,5,0),""))</f>
        <v/>
      </c>
      <c r="F1776" s="79" t="str">
        <f t="shared" si="137"/>
        <v/>
      </c>
      <c r="G1776" s="101"/>
      <c r="H1776" s="91">
        <f t="shared" si="138"/>
        <v>0</v>
      </c>
      <c r="I1776" s="91" t="str">
        <f t="shared" si="139"/>
        <v/>
      </c>
      <c r="J1776" s="91" t="str">
        <f t="shared" si="140"/>
        <v/>
      </c>
      <c r="K1776" s="92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2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58"/>
      <c r="U1776" s="217" t="str">
        <f t="shared" si="141"/>
        <v/>
      </c>
      <c r="V1776" s="215" t="s">
        <v>47</v>
      </c>
      <c r="W1776" s="102" t="s">
        <v>136</v>
      </c>
      <c r="X1776" s="102" t="s">
        <v>137</v>
      </c>
      <c r="Y1776" s="103" t="s">
        <v>138</v>
      </c>
      <c r="Z1776" s="103" t="s">
        <v>139</v>
      </c>
      <c r="AA1776" s="103" t="s">
        <v>47</v>
      </c>
      <c r="AB1776" s="103" t="s">
        <v>140</v>
      </c>
      <c r="AC1776" s="104" t="s">
        <v>141</v>
      </c>
    </row>
    <row r="1777" spans="1:29" ht="25.5" customHeight="1" x14ac:dyDescent="0.35">
      <c r="A1777" s="188"/>
      <c r="B1777" s="190"/>
      <c r="C1777" s="99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0"/>
      <c r="E1777" s="78" t="str">
        <f>IF(C1777="","",IFERROR(VLOOKUP(C1777,parametros!$A$11:$E$15,5,0),""))</f>
        <v/>
      </c>
      <c r="F1777" s="79" t="str">
        <f t="shared" si="137"/>
        <v/>
      </c>
      <c r="G1777" s="101"/>
      <c r="H1777" s="91">
        <f t="shared" si="138"/>
        <v>0</v>
      </c>
      <c r="I1777" s="91" t="str">
        <f t="shared" si="139"/>
        <v/>
      </c>
      <c r="J1777" s="91" t="str">
        <f t="shared" si="140"/>
        <v/>
      </c>
      <c r="K1777" s="92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2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58"/>
      <c r="U1777" s="217" t="str">
        <f t="shared" si="141"/>
        <v/>
      </c>
      <c r="V1777" s="215" t="s">
        <v>47</v>
      </c>
      <c r="W1777" s="102" t="s">
        <v>136</v>
      </c>
      <c r="X1777" s="102" t="s">
        <v>137</v>
      </c>
      <c r="Y1777" s="103" t="s">
        <v>138</v>
      </c>
      <c r="Z1777" s="103" t="s">
        <v>139</v>
      </c>
      <c r="AA1777" s="103" t="s">
        <v>47</v>
      </c>
      <c r="AB1777" s="103" t="s">
        <v>140</v>
      </c>
      <c r="AC1777" s="104" t="s">
        <v>141</v>
      </c>
    </row>
    <row r="1778" spans="1:29" ht="25.5" customHeight="1" x14ac:dyDescent="0.35">
      <c r="A1778" s="188"/>
      <c r="B1778" s="190"/>
      <c r="C1778" s="99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0"/>
      <c r="E1778" s="78" t="str">
        <f>IF(C1778="","",IFERROR(VLOOKUP(C1778,parametros!$A$11:$E$15,5,0),""))</f>
        <v/>
      </c>
      <c r="F1778" s="79" t="str">
        <f t="shared" si="137"/>
        <v/>
      </c>
      <c r="G1778" s="101"/>
      <c r="H1778" s="91">
        <f t="shared" si="138"/>
        <v>0</v>
      </c>
      <c r="I1778" s="91" t="str">
        <f t="shared" si="139"/>
        <v/>
      </c>
      <c r="J1778" s="91" t="str">
        <f t="shared" si="140"/>
        <v/>
      </c>
      <c r="K1778" s="92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2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58"/>
      <c r="U1778" s="217" t="str">
        <f t="shared" si="141"/>
        <v/>
      </c>
      <c r="V1778" s="215" t="s">
        <v>47</v>
      </c>
      <c r="W1778" s="102" t="s">
        <v>136</v>
      </c>
      <c r="X1778" s="102" t="s">
        <v>137</v>
      </c>
      <c r="Y1778" s="103" t="s">
        <v>138</v>
      </c>
      <c r="Z1778" s="103" t="s">
        <v>139</v>
      </c>
      <c r="AA1778" s="103" t="s">
        <v>47</v>
      </c>
      <c r="AB1778" s="103" t="s">
        <v>140</v>
      </c>
      <c r="AC1778" s="104" t="s">
        <v>141</v>
      </c>
    </row>
    <row r="1779" spans="1:29" ht="25.5" customHeight="1" x14ac:dyDescent="0.35">
      <c r="A1779" s="188"/>
      <c r="B1779" s="190"/>
      <c r="C1779" s="99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0"/>
      <c r="E1779" s="78" t="str">
        <f>IF(C1779="","",IFERROR(VLOOKUP(C1779,parametros!$A$11:$E$15,5,0),""))</f>
        <v/>
      </c>
      <c r="F1779" s="79" t="str">
        <f t="shared" si="137"/>
        <v/>
      </c>
      <c r="G1779" s="101"/>
      <c r="H1779" s="91">
        <f t="shared" si="138"/>
        <v>0</v>
      </c>
      <c r="I1779" s="91" t="str">
        <f t="shared" si="139"/>
        <v/>
      </c>
      <c r="J1779" s="91" t="str">
        <f t="shared" si="140"/>
        <v/>
      </c>
      <c r="K1779" s="92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2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58"/>
      <c r="U1779" s="217" t="str">
        <f t="shared" si="141"/>
        <v/>
      </c>
      <c r="V1779" s="215" t="s">
        <v>47</v>
      </c>
      <c r="W1779" s="102" t="s">
        <v>136</v>
      </c>
      <c r="X1779" s="102" t="s">
        <v>137</v>
      </c>
      <c r="Y1779" s="103" t="s">
        <v>138</v>
      </c>
      <c r="Z1779" s="103" t="s">
        <v>139</v>
      </c>
      <c r="AA1779" s="103" t="s">
        <v>47</v>
      </c>
      <c r="AB1779" s="103" t="s">
        <v>140</v>
      </c>
      <c r="AC1779" s="104" t="s">
        <v>141</v>
      </c>
    </row>
    <row r="1780" spans="1:29" ht="25.5" customHeight="1" x14ac:dyDescent="0.35">
      <c r="A1780" s="188"/>
      <c r="B1780" s="190"/>
      <c r="C1780" s="99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0"/>
      <c r="E1780" s="78" t="str">
        <f>IF(C1780="","",IFERROR(VLOOKUP(C1780,parametros!$A$11:$E$15,5,0),""))</f>
        <v/>
      </c>
      <c r="F1780" s="79" t="str">
        <f t="shared" si="137"/>
        <v/>
      </c>
      <c r="G1780" s="101"/>
      <c r="H1780" s="91">
        <f t="shared" si="138"/>
        <v>0</v>
      </c>
      <c r="I1780" s="91" t="str">
        <f t="shared" si="139"/>
        <v/>
      </c>
      <c r="J1780" s="91" t="str">
        <f t="shared" si="140"/>
        <v/>
      </c>
      <c r="K1780" s="92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2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58"/>
      <c r="U1780" s="217" t="str">
        <f t="shared" si="141"/>
        <v/>
      </c>
      <c r="V1780" s="215" t="s">
        <v>47</v>
      </c>
      <c r="W1780" s="102" t="s">
        <v>136</v>
      </c>
      <c r="X1780" s="102" t="s">
        <v>137</v>
      </c>
      <c r="Y1780" s="103" t="s">
        <v>138</v>
      </c>
      <c r="Z1780" s="103" t="s">
        <v>139</v>
      </c>
      <c r="AA1780" s="103" t="s">
        <v>47</v>
      </c>
      <c r="AB1780" s="103" t="s">
        <v>140</v>
      </c>
      <c r="AC1780" s="104" t="s">
        <v>141</v>
      </c>
    </row>
    <row r="1781" spans="1:29" ht="25.5" customHeight="1" x14ac:dyDescent="0.35">
      <c r="A1781" s="188"/>
      <c r="B1781" s="190"/>
      <c r="C1781" s="99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0"/>
      <c r="E1781" s="78" t="str">
        <f>IF(C1781="","",IFERROR(VLOOKUP(C1781,parametros!$A$11:$E$15,5,0),""))</f>
        <v/>
      </c>
      <c r="F1781" s="79" t="str">
        <f t="shared" si="137"/>
        <v/>
      </c>
      <c r="G1781" s="101"/>
      <c r="H1781" s="91">
        <f t="shared" si="138"/>
        <v>0</v>
      </c>
      <c r="I1781" s="91" t="str">
        <f t="shared" si="139"/>
        <v/>
      </c>
      <c r="J1781" s="91" t="str">
        <f t="shared" si="140"/>
        <v/>
      </c>
      <c r="K1781" s="92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2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58"/>
      <c r="U1781" s="217" t="str">
        <f t="shared" si="141"/>
        <v/>
      </c>
      <c r="V1781" s="215" t="s">
        <v>47</v>
      </c>
      <c r="W1781" s="102" t="s">
        <v>136</v>
      </c>
      <c r="X1781" s="102" t="s">
        <v>137</v>
      </c>
      <c r="Y1781" s="103" t="s">
        <v>138</v>
      </c>
      <c r="Z1781" s="103" t="s">
        <v>139</v>
      </c>
      <c r="AA1781" s="103" t="s">
        <v>47</v>
      </c>
      <c r="AB1781" s="103" t="s">
        <v>140</v>
      </c>
      <c r="AC1781" s="104" t="s">
        <v>141</v>
      </c>
    </row>
    <row r="1782" spans="1:29" ht="25.5" customHeight="1" x14ac:dyDescent="0.35">
      <c r="A1782" s="188"/>
      <c r="B1782" s="190"/>
      <c r="C1782" s="99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0"/>
      <c r="E1782" s="78" t="str">
        <f>IF(C1782="","",IFERROR(VLOOKUP(C1782,parametros!$A$11:$E$15,5,0),""))</f>
        <v/>
      </c>
      <c r="F1782" s="79" t="str">
        <f t="shared" si="137"/>
        <v/>
      </c>
      <c r="G1782" s="101"/>
      <c r="H1782" s="91">
        <f t="shared" si="138"/>
        <v>0</v>
      </c>
      <c r="I1782" s="91" t="str">
        <f t="shared" si="139"/>
        <v/>
      </c>
      <c r="J1782" s="91" t="str">
        <f t="shared" si="140"/>
        <v/>
      </c>
      <c r="K1782" s="92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2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58"/>
      <c r="U1782" s="217" t="str">
        <f t="shared" si="141"/>
        <v/>
      </c>
      <c r="V1782" s="215" t="s">
        <v>47</v>
      </c>
      <c r="W1782" s="102" t="s">
        <v>136</v>
      </c>
      <c r="X1782" s="102" t="s">
        <v>137</v>
      </c>
      <c r="Y1782" s="103" t="s">
        <v>138</v>
      </c>
      <c r="Z1782" s="103" t="s">
        <v>139</v>
      </c>
      <c r="AA1782" s="103" t="s">
        <v>47</v>
      </c>
      <c r="AB1782" s="103" t="s">
        <v>140</v>
      </c>
      <c r="AC1782" s="104" t="s">
        <v>141</v>
      </c>
    </row>
    <row r="1783" spans="1:29" ht="25.5" customHeight="1" x14ac:dyDescent="0.35">
      <c r="A1783" s="188"/>
      <c r="B1783" s="190"/>
      <c r="C1783" s="99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0"/>
      <c r="E1783" s="78" t="str">
        <f>IF(C1783="","",IFERROR(VLOOKUP(C1783,parametros!$A$11:$E$15,5,0),""))</f>
        <v/>
      </c>
      <c r="F1783" s="79" t="str">
        <f t="shared" si="137"/>
        <v/>
      </c>
      <c r="G1783" s="101"/>
      <c r="H1783" s="91">
        <f t="shared" si="138"/>
        <v>0</v>
      </c>
      <c r="I1783" s="91" t="str">
        <f t="shared" si="139"/>
        <v/>
      </c>
      <c r="J1783" s="91" t="str">
        <f t="shared" si="140"/>
        <v/>
      </c>
      <c r="K1783" s="92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2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58"/>
      <c r="U1783" s="217" t="str">
        <f t="shared" si="141"/>
        <v/>
      </c>
      <c r="V1783" s="215" t="s">
        <v>47</v>
      </c>
      <c r="W1783" s="102" t="s">
        <v>136</v>
      </c>
      <c r="X1783" s="102" t="s">
        <v>137</v>
      </c>
      <c r="Y1783" s="103" t="s">
        <v>138</v>
      </c>
      <c r="Z1783" s="103" t="s">
        <v>139</v>
      </c>
      <c r="AA1783" s="103" t="s">
        <v>47</v>
      </c>
      <c r="AB1783" s="103" t="s">
        <v>140</v>
      </c>
      <c r="AC1783" s="104" t="s">
        <v>141</v>
      </c>
    </row>
    <row r="1784" spans="1:29" ht="25.5" customHeight="1" x14ac:dyDescent="0.35">
      <c r="A1784" s="188"/>
      <c r="B1784" s="190"/>
      <c r="C1784" s="99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0"/>
      <c r="E1784" s="78" t="str">
        <f>IF(C1784="","",IFERROR(VLOOKUP(C1784,parametros!$A$11:$E$15,5,0),""))</f>
        <v/>
      </c>
      <c r="F1784" s="79" t="str">
        <f t="shared" si="137"/>
        <v/>
      </c>
      <c r="G1784" s="101"/>
      <c r="H1784" s="91">
        <f t="shared" si="138"/>
        <v>0</v>
      </c>
      <c r="I1784" s="91" t="str">
        <f t="shared" si="139"/>
        <v/>
      </c>
      <c r="J1784" s="91" t="str">
        <f t="shared" si="140"/>
        <v/>
      </c>
      <c r="K1784" s="92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2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58"/>
      <c r="U1784" s="217" t="str">
        <f t="shared" si="141"/>
        <v/>
      </c>
      <c r="V1784" s="215" t="s">
        <v>47</v>
      </c>
      <c r="W1784" s="102" t="s">
        <v>136</v>
      </c>
      <c r="X1784" s="102" t="s">
        <v>137</v>
      </c>
      <c r="Y1784" s="103" t="s">
        <v>138</v>
      </c>
      <c r="Z1784" s="103" t="s">
        <v>139</v>
      </c>
      <c r="AA1784" s="103" t="s">
        <v>47</v>
      </c>
      <c r="AB1784" s="103" t="s">
        <v>140</v>
      </c>
      <c r="AC1784" s="104" t="s">
        <v>141</v>
      </c>
    </row>
    <row r="1785" spans="1:29" ht="25.5" customHeight="1" x14ac:dyDescent="0.35">
      <c r="A1785" s="188"/>
      <c r="B1785" s="190"/>
      <c r="C1785" s="99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0"/>
      <c r="E1785" s="78" t="str">
        <f>IF(C1785="","",IFERROR(VLOOKUP(C1785,parametros!$A$11:$E$15,5,0),""))</f>
        <v/>
      </c>
      <c r="F1785" s="79" t="str">
        <f t="shared" si="137"/>
        <v/>
      </c>
      <c r="G1785" s="101"/>
      <c r="H1785" s="91">
        <f t="shared" si="138"/>
        <v>0</v>
      </c>
      <c r="I1785" s="91" t="str">
        <f t="shared" si="139"/>
        <v/>
      </c>
      <c r="J1785" s="91" t="str">
        <f t="shared" si="140"/>
        <v/>
      </c>
      <c r="K1785" s="92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2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58"/>
      <c r="U1785" s="217" t="str">
        <f t="shared" si="141"/>
        <v/>
      </c>
      <c r="V1785" s="215" t="s">
        <v>47</v>
      </c>
      <c r="W1785" s="102" t="s">
        <v>136</v>
      </c>
      <c r="X1785" s="102" t="s">
        <v>137</v>
      </c>
      <c r="Y1785" s="103" t="s">
        <v>138</v>
      </c>
      <c r="Z1785" s="103" t="s">
        <v>139</v>
      </c>
      <c r="AA1785" s="103" t="s">
        <v>47</v>
      </c>
      <c r="AB1785" s="103" t="s">
        <v>140</v>
      </c>
      <c r="AC1785" s="104" t="s">
        <v>141</v>
      </c>
    </row>
    <row r="1786" spans="1:29" ht="25.5" customHeight="1" x14ac:dyDescent="0.35">
      <c r="A1786" s="188"/>
      <c r="B1786" s="190"/>
      <c r="C1786" s="99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0"/>
      <c r="E1786" s="78" t="str">
        <f>IF(C1786="","",IFERROR(VLOOKUP(C1786,parametros!$A$11:$E$15,5,0),""))</f>
        <v/>
      </c>
      <c r="F1786" s="79" t="str">
        <f t="shared" si="137"/>
        <v/>
      </c>
      <c r="G1786" s="101"/>
      <c r="H1786" s="91">
        <f t="shared" si="138"/>
        <v>0</v>
      </c>
      <c r="I1786" s="91" t="str">
        <f t="shared" si="139"/>
        <v/>
      </c>
      <c r="J1786" s="91" t="str">
        <f t="shared" si="140"/>
        <v/>
      </c>
      <c r="K1786" s="92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2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58"/>
      <c r="U1786" s="217" t="str">
        <f t="shared" si="141"/>
        <v/>
      </c>
      <c r="V1786" s="215" t="s">
        <v>47</v>
      </c>
      <c r="W1786" s="102" t="s">
        <v>136</v>
      </c>
      <c r="X1786" s="102" t="s">
        <v>137</v>
      </c>
      <c r="Y1786" s="103" t="s">
        <v>138</v>
      </c>
      <c r="Z1786" s="103" t="s">
        <v>139</v>
      </c>
      <c r="AA1786" s="103" t="s">
        <v>47</v>
      </c>
      <c r="AB1786" s="103" t="s">
        <v>140</v>
      </c>
      <c r="AC1786" s="104" t="s">
        <v>141</v>
      </c>
    </row>
    <row r="1787" spans="1:29" ht="25.5" customHeight="1" x14ac:dyDescent="0.35">
      <c r="A1787" s="188"/>
      <c r="B1787" s="190"/>
      <c r="C1787" s="99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0"/>
      <c r="E1787" s="78" t="str">
        <f>IF(C1787="","",IFERROR(VLOOKUP(C1787,parametros!$A$11:$E$15,5,0),""))</f>
        <v/>
      </c>
      <c r="F1787" s="79" t="str">
        <f t="shared" si="137"/>
        <v/>
      </c>
      <c r="G1787" s="101"/>
      <c r="H1787" s="91">
        <f t="shared" si="138"/>
        <v>0</v>
      </c>
      <c r="I1787" s="91" t="str">
        <f t="shared" si="139"/>
        <v/>
      </c>
      <c r="J1787" s="91" t="str">
        <f t="shared" si="140"/>
        <v/>
      </c>
      <c r="K1787" s="92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2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58"/>
      <c r="U1787" s="217" t="str">
        <f t="shared" si="141"/>
        <v/>
      </c>
      <c r="V1787" s="215" t="s">
        <v>47</v>
      </c>
      <c r="W1787" s="102" t="s">
        <v>136</v>
      </c>
      <c r="X1787" s="102" t="s">
        <v>137</v>
      </c>
      <c r="Y1787" s="103" t="s">
        <v>138</v>
      </c>
      <c r="Z1787" s="103" t="s">
        <v>139</v>
      </c>
      <c r="AA1787" s="103" t="s">
        <v>47</v>
      </c>
      <c r="AB1787" s="103" t="s">
        <v>140</v>
      </c>
      <c r="AC1787" s="104" t="s">
        <v>141</v>
      </c>
    </row>
    <row r="1788" spans="1:29" ht="25.5" customHeight="1" x14ac:dyDescent="0.35">
      <c r="A1788" s="188"/>
      <c r="B1788" s="190"/>
      <c r="C1788" s="99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0"/>
      <c r="E1788" s="78" t="str">
        <f>IF(C1788="","",IFERROR(VLOOKUP(C1788,parametros!$A$11:$E$15,5,0),""))</f>
        <v/>
      </c>
      <c r="F1788" s="79" t="str">
        <f t="shared" si="137"/>
        <v/>
      </c>
      <c r="G1788" s="101"/>
      <c r="H1788" s="91">
        <f t="shared" si="138"/>
        <v>0</v>
      </c>
      <c r="I1788" s="91" t="str">
        <f t="shared" si="139"/>
        <v/>
      </c>
      <c r="J1788" s="91" t="str">
        <f t="shared" si="140"/>
        <v/>
      </c>
      <c r="K1788" s="92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2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58"/>
      <c r="U1788" s="217" t="str">
        <f t="shared" si="141"/>
        <v/>
      </c>
      <c r="V1788" s="215" t="s">
        <v>47</v>
      </c>
      <c r="W1788" s="102" t="s">
        <v>136</v>
      </c>
      <c r="X1788" s="102" t="s">
        <v>137</v>
      </c>
      <c r="Y1788" s="103" t="s">
        <v>138</v>
      </c>
      <c r="Z1788" s="103" t="s">
        <v>139</v>
      </c>
      <c r="AA1788" s="103" t="s">
        <v>47</v>
      </c>
      <c r="AB1788" s="103" t="s">
        <v>140</v>
      </c>
      <c r="AC1788" s="104" t="s">
        <v>141</v>
      </c>
    </row>
    <row r="1789" spans="1:29" ht="25.5" customHeight="1" x14ac:dyDescent="0.35">
      <c r="A1789" s="188"/>
      <c r="B1789" s="190"/>
      <c r="C1789" s="99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0"/>
      <c r="E1789" s="78" t="str">
        <f>IF(C1789="","",IFERROR(VLOOKUP(C1789,parametros!$A$11:$E$15,5,0),""))</f>
        <v/>
      </c>
      <c r="F1789" s="79" t="str">
        <f t="shared" si="137"/>
        <v/>
      </c>
      <c r="G1789" s="101"/>
      <c r="H1789" s="91">
        <f t="shared" si="138"/>
        <v>0</v>
      </c>
      <c r="I1789" s="91" t="str">
        <f t="shared" si="139"/>
        <v/>
      </c>
      <c r="J1789" s="91" t="str">
        <f t="shared" si="140"/>
        <v/>
      </c>
      <c r="K1789" s="92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2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58"/>
      <c r="U1789" s="217" t="str">
        <f t="shared" si="141"/>
        <v/>
      </c>
      <c r="V1789" s="215" t="s">
        <v>47</v>
      </c>
      <c r="W1789" s="102" t="s">
        <v>136</v>
      </c>
      <c r="X1789" s="102" t="s">
        <v>137</v>
      </c>
      <c r="Y1789" s="103" t="s">
        <v>138</v>
      </c>
      <c r="Z1789" s="103" t="s">
        <v>139</v>
      </c>
      <c r="AA1789" s="103" t="s">
        <v>47</v>
      </c>
      <c r="AB1789" s="103" t="s">
        <v>140</v>
      </c>
      <c r="AC1789" s="104" t="s">
        <v>141</v>
      </c>
    </row>
    <row r="1790" spans="1:29" ht="25.5" customHeight="1" x14ac:dyDescent="0.35">
      <c r="A1790" s="188"/>
      <c r="B1790" s="190"/>
      <c r="C1790" s="99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0"/>
      <c r="E1790" s="78" t="str">
        <f>IF(C1790="","",IFERROR(VLOOKUP(C1790,parametros!$A$11:$E$15,5,0),""))</f>
        <v/>
      </c>
      <c r="F1790" s="79" t="str">
        <f t="shared" si="137"/>
        <v/>
      </c>
      <c r="G1790" s="101"/>
      <c r="H1790" s="91">
        <f t="shared" si="138"/>
        <v>0</v>
      </c>
      <c r="I1790" s="91" t="str">
        <f t="shared" si="139"/>
        <v/>
      </c>
      <c r="J1790" s="91" t="str">
        <f t="shared" si="140"/>
        <v/>
      </c>
      <c r="K1790" s="92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2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58"/>
      <c r="U1790" s="217" t="str">
        <f t="shared" si="141"/>
        <v/>
      </c>
      <c r="V1790" s="215" t="s">
        <v>47</v>
      </c>
      <c r="W1790" s="102" t="s">
        <v>136</v>
      </c>
      <c r="X1790" s="102" t="s">
        <v>137</v>
      </c>
      <c r="Y1790" s="103" t="s">
        <v>138</v>
      </c>
      <c r="Z1790" s="103" t="s">
        <v>139</v>
      </c>
      <c r="AA1790" s="103" t="s">
        <v>47</v>
      </c>
      <c r="AB1790" s="103" t="s">
        <v>140</v>
      </c>
      <c r="AC1790" s="104" t="s">
        <v>141</v>
      </c>
    </row>
    <row r="1791" spans="1:29" ht="25.5" customHeight="1" x14ac:dyDescent="0.35">
      <c r="A1791" s="188"/>
      <c r="B1791" s="190"/>
      <c r="C1791" s="99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0"/>
      <c r="E1791" s="78" t="str">
        <f>IF(C1791="","",IFERROR(VLOOKUP(C1791,parametros!$A$11:$E$15,5,0),""))</f>
        <v/>
      </c>
      <c r="F1791" s="79" t="str">
        <f t="shared" si="137"/>
        <v/>
      </c>
      <c r="G1791" s="101"/>
      <c r="H1791" s="91">
        <f t="shared" si="138"/>
        <v>0</v>
      </c>
      <c r="I1791" s="91" t="str">
        <f t="shared" si="139"/>
        <v/>
      </c>
      <c r="J1791" s="91" t="str">
        <f t="shared" si="140"/>
        <v/>
      </c>
      <c r="K1791" s="92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2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58"/>
      <c r="U1791" s="217" t="str">
        <f t="shared" si="141"/>
        <v/>
      </c>
      <c r="V1791" s="215" t="s">
        <v>47</v>
      </c>
      <c r="W1791" s="102" t="s">
        <v>136</v>
      </c>
      <c r="X1791" s="102" t="s">
        <v>137</v>
      </c>
      <c r="Y1791" s="103" t="s">
        <v>138</v>
      </c>
      <c r="Z1791" s="103" t="s">
        <v>139</v>
      </c>
      <c r="AA1791" s="103" t="s">
        <v>47</v>
      </c>
      <c r="AB1791" s="103" t="s">
        <v>140</v>
      </c>
      <c r="AC1791" s="104" t="s">
        <v>141</v>
      </c>
    </row>
    <row r="1792" spans="1:29" ht="25.5" customHeight="1" x14ac:dyDescent="0.35">
      <c r="A1792" s="188"/>
      <c r="B1792" s="190"/>
      <c r="C1792" s="99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0"/>
      <c r="E1792" s="78" t="str">
        <f>IF(C1792="","",IFERROR(VLOOKUP(C1792,parametros!$A$11:$E$15,5,0),""))</f>
        <v/>
      </c>
      <c r="F1792" s="79" t="str">
        <f t="shared" si="137"/>
        <v/>
      </c>
      <c r="G1792" s="101"/>
      <c r="H1792" s="91">
        <f t="shared" si="138"/>
        <v>0</v>
      </c>
      <c r="I1792" s="91" t="str">
        <f t="shared" si="139"/>
        <v/>
      </c>
      <c r="J1792" s="91" t="str">
        <f t="shared" si="140"/>
        <v/>
      </c>
      <c r="K1792" s="92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2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58"/>
      <c r="U1792" s="217" t="str">
        <f t="shared" si="141"/>
        <v/>
      </c>
      <c r="V1792" s="215" t="s">
        <v>47</v>
      </c>
      <c r="W1792" s="102" t="s">
        <v>136</v>
      </c>
      <c r="X1792" s="102" t="s">
        <v>137</v>
      </c>
      <c r="Y1792" s="103" t="s">
        <v>138</v>
      </c>
      <c r="Z1792" s="103" t="s">
        <v>139</v>
      </c>
      <c r="AA1792" s="103" t="s">
        <v>47</v>
      </c>
      <c r="AB1792" s="103" t="s">
        <v>140</v>
      </c>
      <c r="AC1792" s="104" t="s">
        <v>141</v>
      </c>
    </row>
    <row r="1793" spans="1:29" ht="25.5" customHeight="1" x14ac:dyDescent="0.35">
      <c r="A1793" s="188"/>
      <c r="B1793" s="190"/>
      <c r="C1793" s="99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0"/>
      <c r="E1793" s="78" t="str">
        <f>IF(C1793="","",IFERROR(VLOOKUP(C1793,parametros!$A$11:$E$15,5,0),""))</f>
        <v/>
      </c>
      <c r="F1793" s="79" t="str">
        <f t="shared" si="137"/>
        <v/>
      </c>
      <c r="G1793" s="101"/>
      <c r="H1793" s="91">
        <f t="shared" si="138"/>
        <v>0</v>
      </c>
      <c r="I1793" s="91" t="str">
        <f t="shared" si="139"/>
        <v/>
      </c>
      <c r="J1793" s="91" t="str">
        <f t="shared" si="140"/>
        <v/>
      </c>
      <c r="K1793" s="92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2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58"/>
      <c r="U1793" s="217" t="str">
        <f t="shared" si="141"/>
        <v/>
      </c>
      <c r="V1793" s="215" t="s">
        <v>47</v>
      </c>
      <c r="W1793" s="102" t="s">
        <v>136</v>
      </c>
      <c r="X1793" s="102" t="s">
        <v>137</v>
      </c>
      <c r="Y1793" s="103" t="s">
        <v>138</v>
      </c>
      <c r="Z1793" s="103" t="s">
        <v>139</v>
      </c>
      <c r="AA1793" s="103" t="s">
        <v>47</v>
      </c>
      <c r="AB1793" s="103" t="s">
        <v>140</v>
      </c>
      <c r="AC1793" s="104" t="s">
        <v>141</v>
      </c>
    </row>
    <row r="1794" spans="1:29" ht="25.5" customHeight="1" x14ac:dyDescent="0.35">
      <c r="A1794" s="188"/>
      <c r="B1794" s="190"/>
      <c r="C1794" s="99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0"/>
      <c r="E1794" s="78" t="str">
        <f>IF(C1794="","",IFERROR(VLOOKUP(C1794,parametros!$A$11:$E$15,5,0),""))</f>
        <v/>
      </c>
      <c r="F1794" s="79" t="str">
        <f t="shared" ref="F1794:F1857" si="142">IF(OR(D1794="",E1794=""),"",ROUND(D1794*E1794,2))</f>
        <v/>
      </c>
      <c r="G1794" s="101"/>
      <c r="H1794" s="91">
        <f t="shared" ref="H1794:H1857" si="143">IF(G1794="Sim",IF(OR(F1794="",D1794="",L1794=""),"",IF(L1794="Sim",ROUND(F1794-D1794,2),0)),0)</f>
        <v>0</v>
      </c>
      <c r="I1794" s="91" t="str">
        <f t="shared" ref="I1794:I1857" si="144">IF(G1794="Sim",0,IF(OR(F1794="",L1794=""),"",F1794))</f>
        <v/>
      </c>
      <c r="J1794" s="91" t="str">
        <f t="shared" ref="J1794:J1857" si="145">IF(G1794="Sim",0,IF(OR(F1794="",D1794="",L1794=""),"",IF(L1794="Sim",ROUND(F1794-D1794,2),0)))</f>
        <v/>
      </c>
      <c r="K1794" s="92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2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58"/>
      <c r="U1794" s="217" t="str">
        <f t="shared" ref="U1794:U1857" si="146">IF(OR($D1794="",$H1794=""),"",ROUND($D1794+$H1794,2))</f>
        <v/>
      </c>
      <c r="V1794" s="215" t="s">
        <v>47</v>
      </c>
      <c r="W1794" s="102" t="s">
        <v>136</v>
      </c>
      <c r="X1794" s="102" t="s">
        <v>137</v>
      </c>
      <c r="Y1794" s="103" t="s">
        <v>138</v>
      </c>
      <c r="Z1794" s="103" t="s">
        <v>139</v>
      </c>
      <c r="AA1794" s="103" t="s">
        <v>47</v>
      </c>
      <c r="AB1794" s="103" t="s">
        <v>140</v>
      </c>
      <c r="AC1794" s="104" t="s">
        <v>141</v>
      </c>
    </row>
    <row r="1795" spans="1:29" ht="25.5" customHeight="1" x14ac:dyDescent="0.35">
      <c r="A1795" s="188"/>
      <c r="B1795" s="190"/>
      <c r="C1795" s="99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0"/>
      <c r="E1795" s="78" t="str">
        <f>IF(C1795="","",IFERROR(VLOOKUP(C1795,parametros!$A$11:$E$15,5,0),""))</f>
        <v/>
      </c>
      <c r="F1795" s="79" t="str">
        <f t="shared" si="142"/>
        <v/>
      </c>
      <c r="G1795" s="101"/>
      <c r="H1795" s="91">
        <f t="shared" si="143"/>
        <v>0</v>
      </c>
      <c r="I1795" s="91" t="str">
        <f t="shared" si="144"/>
        <v/>
      </c>
      <c r="J1795" s="91" t="str">
        <f t="shared" si="145"/>
        <v/>
      </c>
      <c r="K1795" s="92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2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58"/>
      <c r="U1795" s="217" t="str">
        <f t="shared" si="146"/>
        <v/>
      </c>
      <c r="V1795" s="215" t="s">
        <v>47</v>
      </c>
      <c r="W1795" s="102" t="s">
        <v>136</v>
      </c>
      <c r="X1795" s="102" t="s">
        <v>137</v>
      </c>
      <c r="Y1795" s="103" t="s">
        <v>138</v>
      </c>
      <c r="Z1795" s="103" t="s">
        <v>139</v>
      </c>
      <c r="AA1795" s="103" t="s">
        <v>47</v>
      </c>
      <c r="AB1795" s="103" t="s">
        <v>140</v>
      </c>
      <c r="AC1795" s="104" t="s">
        <v>141</v>
      </c>
    </row>
    <row r="1796" spans="1:29" ht="25.5" customHeight="1" x14ac:dyDescent="0.35">
      <c r="A1796" s="188"/>
      <c r="B1796" s="190"/>
      <c r="C1796" s="99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0"/>
      <c r="E1796" s="78" t="str">
        <f>IF(C1796="","",IFERROR(VLOOKUP(C1796,parametros!$A$11:$E$15,5,0),""))</f>
        <v/>
      </c>
      <c r="F1796" s="79" t="str">
        <f t="shared" si="142"/>
        <v/>
      </c>
      <c r="G1796" s="101"/>
      <c r="H1796" s="91">
        <f t="shared" si="143"/>
        <v>0</v>
      </c>
      <c r="I1796" s="91" t="str">
        <f t="shared" si="144"/>
        <v/>
      </c>
      <c r="J1796" s="91" t="str">
        <f t="shared" si="145"/>
        <v/>
      </c>
      <c r="K1796" s="92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2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58"/>
      <c r="U1796" s="217" t="str">
        <f t="shared" si="146"/>
        <v/>
      </c>
      <c r="V1796" s="215" t="s">
        <v>47</v>
      </c>
      <c r="W1796" s="102" t="s">
        <v>136</v>
      </c>
      <c r="X1796" s="102" t="s">
        <v>137</v>
      </c>
      <c r="Y1796" s="103" t="s">
        <v>138</v>
      </c>
      <c r="Z1796" s="103" t="s">
        <v>139</v>
      </c>
      <c r="AA1796" s="103" t="s">
        <v>47</v>
      </c>
      <c r="AB1796" s="103" t="s">
        <v>140</v>
      </c>
      <c r="AC1796" s="104" t="s">
        <v>141</v>
      </c>
    </row>
    <row r="1797" spans="1:29" ht="25.5" customHeight="1" x14ac:dyDescent="0.35">
      <c r="A1797" s="188"/>
      <c r="B1797" s="190"/>
      <c r="C1797" s="99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0"/>
      <c r="E1797" s="78" t="str">
        <f>IF(C1797="","",IFERROR(VLOOKUP(C1797,parametros!$A$11:$E$15,5,0),""))</f>
        <v/>
      </c>
      <c r="F1797" s="79" t="str">
        <f t="shared" si="142"/>
        <v/>
      </c>
      <c r="G1797" s="101"/>
      <c r="H1797" s="91">
        <f t="shared" si="143"/>
        <v>0</v>
      </c>
      <c r="I1797" s="91" t="str">
        <f t="shared" si="144"/>
        <v/>
      </c>
      <c r="J1797" s="91" t="str">
        <f t="shared" si="145"/>
        <v/>
      </c>
      <c r="K1797" s="92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2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58"/>
      <c r="U1797" s="217" t="str">
        <f t="shared" si="146"/>
        <v/>
      </c>
      <c r="V1797" s="215" t="s">
        <v>47</v>
      </c>
      <c r="W1797" s="102" t="s">
        <v>136</v>
      </c>
      <c r="X1797" s="102" t="s">
        <v>137</v>
      </c>
      <c r="Y1797" s="103" t="s">
        <v>138</v>
      </c>
      <c r="Z1797" s="103" t="s">
        <v>139</v>
      </c>
      <c r="AA1797" s="103" t="s">
        <v>47</v>
      </c>
      <c r="AB1797" s="103" t="s">
        <v>140</v>
      </c>
      <c r="AC1797" s="104" t="s">
        <v>141</v>
      </c>
    </row>
    <row r="1798" spans="1:29" ht="25.5" customHeight="1" x14ac:dyDescent="0.35">
      <c r="A1798" s="188"/>
      <c r="B1798" s="190"/>
      <c r="C1798" s="99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0"/>
      <c r="E1798" s="78" t="str">
        <f>IF(C1798="","",IFERROR(VLOOKUP(C1798,parametros!$A$11:$E$15,5,0),""))</f>
        <v/>
      </c>
      <c r="F1798" s="79" t="str">
        <f t="shared" si="142"/>
        <v/>
      </c>
      <c r="G1798" s="101"/>
      <c r="H1798" s="91">
        <f t="shared" si="143"/>
        <v>0</v>
      </c>
      <c r="I1798" s="91" t="str">
        <f t="shared" si="144"/>
        <v/>
      </c>
      <c r="J1798" s="91" t="str">
        <f t="shared" si="145"/>
        <v/>
      </c>
      <c r="K1798" s="92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2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58"/>
      <c r="U1798" s="217" t="str">
        <f t="shared" si="146"/>
        <v/>
      </c>
      <c r="V1798" s="215" t="s">
        <v>47</v>
      </c>
      <c r="W1798" s="102" t="s">
        <v>136</v>
      </c>
      <c r="X1798" s="102" t="s">
        <v>137</v>
      </c>
      <c r="Y1798" s="103" t="s">
        <v>138</v>
      </c>
      <c r="Z1798" s="103" t="s">
        <v>139</v>
      </c>
      <c r="AA1798" s="103" t="s">
        <v>47</v>
      </c>
      <c r="AB1798" s="103" t="s">
        <v>140</v>
      </c>
      <c r="AC1798" s="104" t="s">
        <v>141</v>
      </c>
    </row>
    <row r="1799" spans="1:29" ht="25.5" customHeight="1" x14ac:dyDescent="0.35">
      <c r="A1799" s="188"/>
      <c r="B1799" s="190"/>
      <c r="C1799" s="99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0"/>
      <c r="E1799" s="78" t="str">
        <f>IF(C1799="","",IFERROR(VLOOKUP(C1799,parametros!$A$11:$E$15,5,0),""))</f>
        <v/>
      </c>
      <c r="F1799" s="79" t="str">
        <f t="shared" si="142"/>
        <v/>
      </c>
      <c r="G1799" s="101"/>
      <c r="H1799" s="91">
        <f t="shared" si="143"/>
        <v>0</v>
      </c>
      <c r="I1799" s="91" t="str">
        <f t="shared" si="144"/>
        <v/>
      </c>
      <c r="J1799" s="91" t="str">
        <f t="shared" si="145"/>
        <v/>
      </c>
      <c r="K1799" s="92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2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58"/>
      <c r="U1799" s="217" t="str">
        <f t="shared" si="146"/>
        <v/>
      </c>
      <c r="V1799" s="215" t="s">
        <v>47</v>
      </c>
      <c r="W1799" s="102" t="s">
        <v>136</v>
      </c>
      <c r="X1799" s="102" t="s">
        <v>137</v>
      </c>
      <c r="Y1799" s="103" t="s">
        <v>138</v>
      </c>
      <c r="Z1799" s="103" t="s">
        <v>139</v>
      </c>
      <c r="AA1799" s="103" t="s">
        <v>47</v>
      </c>
      <c r="AB1799" s="103" t="s">
        <v>140</v>
      </c>
      <c r="AC1799" s="104" t="s">
        <v>141</v>
      </c>
    </row>
    <row r="1800" spans="1:29" ht="25.5" customHeight="1" x14ac:dyDescent="0.35">
      <c r="A1800" s="188"/>
      <c r="B1800" s="190"/>
      <c r="C1800" s="99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0"/>
      <c r="E1800" s="78" t="str">
        <f>IF(C1800="","",IFERROR(VLOOKUP(C1800,parametros!$A$11:$E$15,5,0),""))</f>
        <v/>
      </c>
      <c r="F1800" s="79" t="str">
        <f t="shared" si="142"/>
        <v/>
      </c>
      <c r="G1800" s="101"/>
      <c r="H1800" s="91">
        <f t="shared" si="143"/>
        <v>0</v>
      </c>
      <c r="I1800" s="91" t="str">
        <f t="shared" si="144"/>
        <v/>
      </c>
      <c r="J1800" s="91" t="str">
        <f t="shared" si="145"/>
        <v/>
      </c>
      <c r="K1800" s="92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2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58"/>
      <c r="U1800" s="217" t="str">
        <f t="shared" si="146"/>
        <v/>
      </c>
      <c r="V1800" s="215" t="s">
        <v>47</v>
      </c>
      <c r="W1800" s="102" t="s">
        <v>136</v>
      </c>
      <c r="X1800" s="102" t="s">
        <v>137</v>
      </c>
      <c r="Y1800" s="103" t="s">
        <v>138</v>
      </c>
      <c r="Z1800" s="103" t="s">
        <v>139</v>
      </c>
      <c r="AA1800" s="103" t="s">
        <v>47</v>
      </c>
      <c r="AB1800" s="103" t="s">
        <v>140</v>
      </c>
      <c r="AC1800" s="104" t="s">
        <v>141</v>
      </c>
    </row>
    <row r="1801" spans="1:29" ht="25.5" customHeight="1" x14ac:dyDescent="0.35">
      <c r="A1801" s="188"/>
      <c r="B1801" s="190"/>
      <c r="C1801" s="99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0"/>
      <c r="E1801" s="78" t="str">
        <f>IF(C1801="","",IFERROR(VLOOKUP(C1801,parametros!$A$11:$E$15,5,0),""))</f>
        <v/>
      </c>
      <c r="F1801" s="79" t="str">
        <f t="shared" si="142"/>
        <v/>
      </c>
      <c r="G1801" s="101"/>
      <c r="H1801" s="91">
        <f t="shared" si="143"/>
        <v>0</v>
      </c>
      <c r="I1801" s="91" t="str">
        <f t="shared" si="144"/>
        <v/>
      </c>
      <c r="J1801" s="91" t="str">
        <f t="shared" si="145"/>
        <v/>
      </c>
      <c r="K1801" s="92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2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58"/>
      <c r="U1801" s="217" t="str">
        <f t="shared" si="146"/>
        <v/>
      </c>
      <c r="V1801" s="215" t="s">
        <v>47</v>
      </c>
      <c r="W1801" s="102" t="s">
        <v>136</v>
      </c>
      <c r="X1801" s="102" t="s">
        <v>137</v>
      </c>
      <c r="Y1801" s="103" t="s">
        <v>138</v>
      </c>
      <c r="Z1801" s="103" t="s">
        <v>139</v>
      </c>
      <c r="AA1801" s="103" t="s">
        <v>47</v>
      </c>
      <c r="AB1801" s="103" t="s">
        <v>140</v>
      </c>
      <c r="AC1801" s="104" t="s">
        <v>141</v>
      </c>
    </row>
    <row r="1802" spans="1:29" ht="25.5" customHeight="1" x14ac:dyDescent="0.35">
      <c r="A1802" s="188"/>
      <c r="B1802" s="190"/>
      <c r="C1802" s="99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0"/>
      <c r="E1802" s="78" t="str">
        <f>IF(C1802="","",IFERROR(VLOOKUP(C1802,parametros!$A$11:$E$15,5,0),""))</f>
        <v/>
      </c>
      <c r="F1802" s="79" t="str">
        <f t="shared" si="142"/>
        <v/>
      </c>
      <c r="G1802" s="101"/>
      <c r="H1802" s="91">
        <f t="shared" si="143"/>
        <v>0</v>
      </c>
      <c r="I1802" s="91" t="str">
        <f t="shared" si="144"/>
        <v/>
      </c>
      <c r="J1802" s="91" t="str">
        <f t="shared" si="145"/>
        <v/>
      </c>
      <c r="K1802" s="92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2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58"/>
      <c r="U1802" s="217" t="str">
        <f t="shared" si="146"/>
        <v/>
      </c>
      <c r="V1802" s="215" t="s">
        <v>47</v>
      </c>
      <c r="W1802" s="102" t="s">
        <v>136</v>
      </c>
      <c r="X1802" s="102" t="s">
        <v>137</v>
      </c>
      <c r="Y1802" s="103" t="s">
        <v>138</v>
      </c>
      <c r="Z1802" s="103" t="s">
        <v>139</v>
      </c>
      <c r="AA1802" s="103" t="s">
        <v>47</v>
      </c>
      <c r="AB1802" s="103" t="s">
        <v>140</v>
      </c>
      <c r="AC1802" s="104" t="s">
        <v>141</v>
      </c>
    </row>
    <row r="1803" spans="1:29" ht="25.5" customHeight="1" x14ac:dyDescent="0.35">
      <c r="A1803" s="188"/>
      <c r="B1803" s="190"/>
      <c r="C1803" s="99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0"/>
      <c r="E1803" s="78" t="str">
        <f>IF(C1803="","",IFERROR(VLOOKUP(C1803,parametros!$A$11:$E$15,5,0),""))</f>
        <v/>
      </c>
      <c r="F1803" s="79" t="str">
        <f t="shared" si="142"/>
        <v/>
      </c>
      <c r="G1803" s="101"/>
      <c r="H1803" s="91">
        <f t="shared" si="143"/>
        <v>0</v>
      </c>
      <c r="I1803" s="91" t="str">
        <f t="shared" si="144"/>
        <v/>
      </c>
      <c r="J1803" s="91" t="str">
        <f t="shared" si="145"/>
        <v/>
      </c>
      <c r="K1803" s="92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2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58"/>
      <c r="U1803" s="217" t="str">
        <f t="shared" si="146"/>
        <v/>
      </c>
      <c r="V1803" s="215" t="s">
        <v>47</v>
      </c>
      <c r="W1803" s="102" t="s">
        <v>136</v>
      </c>
      <c r="X1803" s="102" t="s">
        <v>137</v>
      </c>
      <c r="Y1803" s="103" t="s">
        <v>138</v>
      </c>
      <c r="Z1803" s="103" t="s">
        <v>139</v>
      </c>
      <c r="AA1803" s="103" t="s">
        <v>47</v>
      </c>
      <c r="AB1803" s="103" t="s">
        <v>140</v>
      </c>
      <c r="AC1803" s="104" t="s">
        <v>141</v>
      </c>
    </row>
    <row r="1804" spans="1:29" ht="25.5" customHeight="1" x14ac:dyDescent="0.35">
      <c r="A1804" s="188"/>
      <c r="B1804" s="190"/>
      <c r="C1804" s="99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0"/>
      <c r="E1804" s="78" t="str">
        <f>IF(C1804="","",IFERROR(VLOOKUP(C1804,parametros!$A$11:$E$15,5,0),""))</f>
        <v/>
      </c>
      <c r="F1804" s="79" t="str">
        <f t="shared" si="142"/>
        <v/>
      </c>
      <c r="G1804" s="101"/>
      <c r="H1804" s="91">
        <f t="shared" si="143"/>
        <v>0</v>
      </c>
      <c r="I1804" s="91" t="str">
        <f t="shared" si="144"/>
        <v/>
      </c>
      <c r="J1804" s="91" t="str">
        <f t="shared" si="145"/>
        <v/>
      </c>
      <c r="K1804" s="92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2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58"/>
      <c r="U1804" s="217" t="str">
        <f t="shared" si="146"/>
        <v/>
      </c>
      <c r="V1804" s="215" t="s">
        <v>47</v>
      </c>
      <c r="W1804" s="102" t="s">
        <v>136</v>
      </c>
      <c r="X1804" s="102" t="s">
        <v>137</v>
      </c>
      <c r="Y1804" s="103" t="s">
        <v>138</v>
      </c>
      <c r="Z1804" s="103" t="s">
        <v>139</v>
      </c>
      <c r="AA1804" s="103" t="s">
        <v>47</v>
      </c>
      <c r="AB1804" s="103" t="s">
        <v>140</v>
      </c>
      <c r="AC1804" s="104" t="s">
        <v>141</v>
      </c>
    </row>
    <row r="1805" spans="1:29" ht="25.5" customHeight="1" x14ac:dyDescent="0.35">
      <c r="A1805" s="188"/>
      <c r="B1805" s="190"/>
      <c r="C1805" s="99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0"/>
      <c r="E1805" s="78" t="str">
        <f>IF(C1805="","",IFERROR(VLOOKUP(C1805,parametros!$A$11:$E$15,5,0),""))</f>
        <v/>
      </c>
      <c r="F1805" s="79" t="str">
        <f t="shared" si="142"/>
        <v/>
      </c>
      <c r="G1805" s="101"/>
      <c r="H1805" s="91">
        <f t="shared" si="143"/>
        <v>0</v>
      </c>
      <c r="I1805" s="91" t="str">
        <f t="shared" si="144"/>
        <v/>
      </c>
      <c r="J1805" s="91" t="str">
        <f t="shared" si="145"/>
        <v/>
      </c>
      <c r="K1805" s="92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2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58"/>
      <c r="U1805" s="217" t="str">
        <f t="shared" si="146"/>
        <v/>
      </c>
      <c r="V1805" s="215" t="s">
        <v>47</v>
      </c>
      <c r="W1805" s="102" t="s">
        <v>136</v>
      </c>
      <c r="X1805" s="102" t="s">
        <v>137</v>
      </c>
      <c r="Y1805" s="103" t="s">
        <v>138</v>
      </c>
      <c r="Z1805" s="103" t="s">
        <v>139</v>
      </c>
      <c r="AA1805" s="103" t="s">
        <v>47</v>
      </c>
      <c r="AB1805" s="103" t="s">
        <v>140</v>
      </c>
      <c r="AC1805" s="104" t="s">
        <v>141</v>
      </c>
    </row>
    <row r="1806" spans="1:29" ht="25.5" customHeight="1" x14ac:dyDescent="0.35">
      <c r="A1806" s="188"/>
      <c r="B1806" s="190"/>
      <c r="C1806" s="99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0"/>
      <c r="E1806" s="78" t="str">
        <f>IF(C1806="","",IFERROR(VLOOKUP(C1806,parametros!$A$11:$E$15,5,0),""))</f>
        <v/>
      </c>
      <c r="F1806" s="79" t="str">
        <f t="shared" si="142"/>
        <v/>
      </c>
      <c r="G1806" s="101"/>
      <c r="H1806" s="91">
        <f t="shared" si="143"/>
        <v>0</v>
      </c>
      <c r="I1806" s="91" t="str">
        <f t="shared" si="144"/>
        <v/>
      </c>
      <c r="J1806" s="91" t="str">
        <f t="shared" si="145"/>
        <v/>
      </c>
      <c r="K1806" s="92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2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58"/>
      <c r="U1806" s="217" t="str">
        <f t="shared" si="146"/>
        <v/>
      </c>
      <c r="V1806" s="215" t="s">
        <v>47</v>
      </c>
      <c r="W1806" s="102" t="s">
        <v>136</v>
      </c>
      <c r="X1806" s="102" t="s">
        <v>137</v>
      </c>
      <c r="Y1806" s="103" t="s">
        <v>138</v>
      </c>
      <c r="Z1806" s="103" t="s">
        <v>139</v>
      </c>
      <c r="AA1806" s="103" t="s">
        <v>47</v>
      </c>
      <c r="AB1806" s="103" t="s">
        <v>140</v>
      </c>
      <c r="AC1806" s="104" t="s">
        <v>141</v>
      </c>
    </row>
    <row r="1807" spans="1:29" ht="25.5" customHeight="1" x14ac:dyDescent="0.35">
      <c r="A1807" s="188"/>
      <c r="B1807" s="190"/>
      <c r="C1807" s="99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0"/>
      <c r="E1807" s="78" t="str">
        <f>IF(C1807="","",IFERROR(VLOOKUP(C1807,parametros!$A$11:$E$15,5,0),""))</f>
        <v/>
      </c>
      <c r="F1807" s="79" t="str">
        <f t="shared" si="142"/>
        <v/>
      </c>
      <c r="G1807" s="101"/>
      <c r="H1807" s="91">
        <f t="shared" si="143"/>
        <v>0</v>
      </c>
      <c r="I1807" s="91" t="str">
        <f t="shared" si="144"/>
        <v/>
      </c>
      <c r="J1807" s="91" t="str">
        <f t="shared" si="145"/>
        <v/>
      </c>
      <c r="K1807" s="92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2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58"/>
      <c r="U1807" s="217" t="str">
        <f t="shared" si="146"/>
        <v/>
      </c>
      <c r="V1807" s="215" t="s">
        <v>47</v>
      </c>
      <c r="W1807" s="102" t="s">
        <v>136</v>
      </c>
      <c r="X1807" s="102" t="s">
        <v>137</v>
      </c>
      <c r="Y1807" s="103" t="s">
        <v>138</v>
      </c>
      <c r="Z1807" s="103" t="s">
        <v>139</v>
      </c>
      <c r="AA1807" s="103" t="s">
        <v>47</v>
      </c>
      <c r="AB1807" s="103" t="s">
        <v>140</v>
      </c>
      <c r="AC1807" s="104" t="s">
        <v>141</v>
      </c>
    </row>
    <row r="1808" spans="1:29" ht="25.5" customHeight="1" x14ac:dyDescent="0.35">
      <c r="A1808" s="188"/>
      <c r="B1808" s="190"/>
      <c r="C1808" s="99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0"/>
      <c r="E1808" s="78" t="str">
        <f>IF(C1808="","",IFERROR(VLOOKUP(C1808,parametros!$A$11:$E$15,5,0),""))</f>
        <v/>
      </c>
      <c r="F1808" s="79" t="str">
        <f t="shared" si="142"/>
        <v/>
      </c>
      <c r="G1808" s="101"/>
      <c r="H1808" s="91">
        <f t="shared" si="143"/>
        <v>0</v>
      </c>
      <c r="I1808" s="91" t="str">
        <f t="shared" si="144"/>
        <v/>
      </c>
      <c r="J1808" s="91" t="str">
        <f t="shared" si="145"/>
        <v/>
      </c>
      <c r="K1808" s="92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2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58"/>
      <c r="U1808" s="217" t="str">
        <f t="shared" si="146"/>
        <v/>
      </c>
      <c r="V1808" s="215" t="s">
        <v>47</v>
      </c>
      <c r="W1808" s="102" t="s">
        <v>136</v>
      </c>
      <c r="X1808" s="102" t="s">
        <v>137</v>
      </c>
      <c r="Y1808" s="103" t="s">
        <v>138</v>
      </c>
      <c r="Z1808" s="103" t="s">
        <v>139</v>
      </c>
      <c r="AA1808" s="103" t="s">
        <v>47</v>
      </c>
      <c r="AB1808" s="103" t="s">
        <v>140</v>
      </c>
      <c r="AC1808" s="104" t="s">
        <v>141</v>
      </c>
    </row>
    <row r="1809" spans="1:29" ht="25.5" customHeight="1" x14ac:dyDescent="0.35">
      <c r="A1809" s="188"/>
      <c r="B1809" s="190"/>
      <c r="C1809" s="99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0"/>
      <c r="E1809" s="78" t="str">
        <f>IF(C1809="","",IFERROR(VLOOKUP(C1809,parametros!$A$11:$E$15,5,0),""))</f>
        <v/>
      </c>
      <c r="F1809" s="79" t="str">
        <f t="shared" si="142"/>
        <v/>
      </c>
      <c r="G1809" s="101"/>
      <c r="H1809" s="91">
        <f t="shared" si="143"/>
        <v>0</v>
      </c>
      <c r="I1809" s="91" t="str">
        <f t="shared" si="144"/>
        <v/>
      </c>
      <c r="J1809" s="91" t="str">
        <f t="shared" si="145"/>
        <v/>
      </c>
      <c r="K1809" s="92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2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58"/>
      <c r="U1809" s="217" t="str">
        <f t="shared" si="146"/>
        <v/>
      </c>
      <c r="V1809" s="215" t="s">
        <v>47</v>
      </c>
      <c r="W1809" s="102" t="s">
        <v>136</v>
      </c>
      <c r="X1809" s="102" t="s">
        <v>137</v>
      </c>
      <c r="Y1809" s="103" t="s">
        <v>138</v>
      </c>
      <c r="Z1809" s="103" t="s">
        <v>139</v>
      </c>
      <c r="AA1809" s="103" t="s">
        <v>47</v>
      </c>
      <c r="AB1809" s="103" t="s">
        <v>140</v>
      </c>
      <c r="AC1809" s="104" t="s">
        <v>141</v>
      </c>
    </row>
    <row r="1810" spans="1:29" ht="25.5" customHeight="1" x14ac:dyDescent="0.35">
      <c r="A1810" s="188"/>
      <c r="B1810" s="190"/>
      <c r="C1810" s="99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0"/>
      <c r="E1810" s="78" t="str">
        <f>IF(C1810="","",IFERROR(VLOOKUP(C1810,parametros!$A$11:$E$15,5,0),""))</f>
        <v/>
      </c>
      <c r="F1810" s="79" t="str">
        <f t="shared" si="142"/>
        <v/>
      </c>
      <c r="G1810" s="101"/>
      <c r="H1810" s="91">
        <f t="shared" si="143"/>
        <v>0</v>
      </c>
      <c r="I1810" s="91" t="str">
        <f t="shared" si="144"/>
        <v/>
      </c>
      <c r="J1810" s="91" t="str">
        <f t="shared" si="145"/>
        <v/>
      </c>
      <c r="K1810" s="92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2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58"/>
      <c r="U1810" s="217" t="str">
        <f t="shared" si="146"/>
        <v/>
      </c>
      <c r="V1810" s="215" t="s">
        <v>47</v>
      </c>
      <c r="W1810" s="102" t="s">
        <v>136</v>
      </c>
      <c r="X1810" s="102" t="s">
        <v>137</v>
      </c>
      <c r="Y1810" s="103" t="s">
        <v>138</v>
      </c>
      <c r="Z1810" s="103" t="s">
        <v>139</v>
      </c>
      <c r="AA1810" s="103" t="s">
        <v>47</v>
      </c>
      <c r="AB1810" s="103" t="s">
        <v>140</v>
      </c>
      <c r="AC1810" s="104" t="s">
        <v>141</v>
      </c>
    </row>
    <row r="1811" spans="1:29" ht="25.5" customHeight="1" x14ac:dyDescent="0.35">
      <c r="A1811" s="188"/>
      <c r="B1811" s="190"/>
      <c r="C1811" s="99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0"/>
      <c r="E1811" s="78" t="str">
        <f>IF(C1811="","",IFERROR(VLOOKUP(C1811,parametros!$A$11:$E$15,5,0),""))</f>
        <v/>
      </c>
      <c r="F1811" s="79" t="str">
        <f t="shared" si="142"/>
        <v/>
      </c>
      <c r="G1811" s="101"/>
      <c r="H1811" s="91">
        <f t="shared" si="143"/>
        <v>0</v>
      </c>
      <c r="I1811" s="91" t="str">
        <f t="shared" si="144"/>
        <v/>
      </c>
      <c r="J1811" s="91" t="str">
        <f t="shared" si="145"/>
        <v/>
      </c>
      <c r="K1811" s="92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2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58"/>
      <c r="U1811" s="217" t="str">
        <f t="shared" si="146"/>
        <v/>
      </c>
      <c r="V1811" s="215" t="s">
        <v>47</v>
      </c>
      <c r="W1811" s="102" t="s">
        <v>136</v>
      </c>
      <c r="X1811" s="102" t="s">
        <v>137</v>
      </c>
      <c r="Y1811" s="103" t="s">
        <v>138</v>
      </c>
      <c r="Z1811" s="103" t="s">
        <v>139</v>
      </c>
      <c r="AA1811" s="103" t="s">
        <v>47</v>
      </c>
      <c r="AB1811" s="103" t="s">
        <v>140</v>
      </c>
      <c r="AC1811" s="104" t="s">
        <v>141</v>
      </c>
    </row>
    <row r="1812" spans="1:29" ht="25.5" customHeight="1" x14ac:dyDescent="0.35">
      <c r="A1812" s="188"/>
      <c r="B1812" s="190"/>
      <c r="C1812" s="99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0"/>
      <c r="E1812" s="78" t="str">
        <f>IF(C1812="","",IFERROR(VLOOKUP(C1812,parametros!$A$11:$E$15,5,0),""))</f>
        <v/>
      </c>
      <c r="F1812" s="79" t="str">
        <f t="shared" si="142"/>
        <v/>
      </c>
      <c r="G1812" s="101"/>
      <c r="H1812" s="91">
        <f t="shared" si="143"/>
        <v>0</v>
      </c>
      <c r="I1812" s="91" t="str">
        <f t="shared" si="144"/>
        <v/>
      </c>
      <c r="J1812" s="91" t="str">
        <f t="shared" si="145"/>
        <v/>
      </c>
      <c r="K1812" s="92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2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58"/>
      <c r="U1812" s="217" t="str">
        <f t="shared" si="146"/>
        <v/>
      </c>
      <c r="V1812" s="215" t="s">
        <v>47</v>
      </c>
      <c r="W1812" s="102" t="s">
        <v>136</v>
      </c>
      <c r="X1812" s="102" t="s">
        <v>137</v>
      </c>
      <c r="Y1812" s="103" t="s">
        <v>138</v>
      </c>
      <c r="Z1812" s="103" t="s">
        <v>139</v>
      </c>
      <c r="AA1812" s="103" t="s">
        <v>47</v>
      </c>
      <c r="AB1812" s="103" t="s">
        <v>140</v>
      </c>
      <c r="AC1812" s="104" t="s">
        <v>141</v>
      </c>
    </row>
    <row r="1813" spans="1:29" ht="25.5" customHeight="1" x14ac:dyDescent="0.35">
      <c r="A1813" s="188"/>
      <c r="B1813" s="190"/>
      <c r="C1813" s="99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0"/>
      <c r="E1813" s="78" t="str">
        <f>IF(C1813="","",IFERROR(VLOOKUP(C1813,parametros!$A$11:$E$15,5,0),""))</f>
        <v/>
      </c>
      <c r="F1813" s="79" t="str">
        <f t="shared" si="142"/>
        <v/>
      </c>
      <c r="G1813" s="101"/>
      <c r="H1813" s="91">
        <f t="shared" si="143"/>
        <v>0</v>
      </c>
      <c r="I1813" s="91" t="str">
        <f t="shared" si="144"/>
        <v/>
      </c>
      <c r="J1813" s="91" t="str">
        <f t="shared" si="145"/>
        <v/>
      </c>
      <c r="K1813" s="92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2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58"/>
      <c r="U1813" s="217" t="str">
        <f t="shared" si="146"/>
        <v/>
      </c>
      <c r="V1813" s="215" t="s">
        <v>47</v>
      </c>
      <c r="W1813" s="102" t="s">
        <v>136</v>
      </c>
      <c r="X1813" s="102" t="s">
        <v>137</v>
      </c>
      <c r="Y1813" s="103" t="s">
        <v>138</v>
      </c>
      <c r="Z1813" s="103" t="s">
        <v>139</v>
      </c>
      <c r="AA1813" s="103" t="s">
        <v>47</v>
      </c>
      <c r="AB1813" s="103" t="s">
        <v>140</v>
      </c>
      <c r="AC1813" s="104" t="s">
        <v>141</v>
      </c>
    </row>
    <row r="1814" spans="1:29" ht="25.5" customHeight="1" x14ac:dyDescent="0.35">
      <c r="A1814" s="188"/>
      <c r="B1814" s="190"/>
      <c r="C1814" s="99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0"/>
      <c r="E1814" s="78" t="str">
        <f>IF(C1814="","",IFERROR(VLOOKUP(C1814,parametros!$A$11:$E$15,5,0),""))</f>
        <v/>
      </c>
      <c r="F1814" s="79" t="str">
        <f t="shared" si="142"/>
        <v/>
      </c>
      <c r="G1814" s="101"/>
      <c r="H1814" s="91">
        <f t="shared" si="143"/>
        <v>0</v>
      </c>
      <c r="I1814" s="91" t="str">
        <f t="shared" si="144"/>
        <v/>
      </c>
      <c r="J1814" s="91" t="str">
        <f t="shared" si="145"/>
        <v/>
      </c>
      <c r="K1814" s="92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2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58"/>
      <c r="U1814" s="217" t="str">
        <f t="shared" si="146"/>
        <v/>
      </c>
      <c r="V1814" s="215" t="s">
        <v>47</v>
      </c>
      <c r="W1814" s="102" t="s">
        <v>136</v>
      </c>
      <c r="X1814" s="102" t="s">
        <v>137</v>
      </c>
      <c r="Y1814" s="103" t="s">
        <v>138</v>
      </c>
      <c r="Z1814" s="103" t="s">
        <v>139</v>
      </c>
      <c r="AA1814" s="103" t="s">
        <v>47</v>
      </c>
      <c r="AB1814" s="103" t="s">
        <v>140</v>
      </c>
      <c r="AC1814" s="104" t="s">
        <v>141</v>
      </c>
    </row>
    <row r="1815" spans="1:29" ht="25.5" customHeight="1" x14ac:dyDescent="0.35">
      <c r="A1815" s="188"/>
      <c r="B1815" s="190"/>
      <c r="C1815" s="99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0"/>
      <c r="E1815" s="78" t="str">
        <f>IF(C1815="","",IFERROR(VLOOKUP(C1815,parametros!$A$11:$E$15,5,0),""))</f>
        <v/>
      </c>
      <c r="F1815" s="79" t="str">
        <f t="shared" si="142"/>
        <v/>
      </c>
      <c r="G1815" s="101"/>
      <c r="H1815" s="91">
        <f t="shared" si="143"/>
        <v>0</v>
      </c>
      <c r="I1815" s="91" t="str">
        <f t="shared" si="144"/>
        <v/>
      </c>
      <c r="J1815" s="91" t="str">
        <f t="shared" si="145"/>
        <v/>
      </c>
      <c r="K1815" s="92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2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58"/>
      <c r="U1815" s="217" t="str">
        <f t="shared" si="146"/>
        <v/>
      </c>
      <c r="V1815" s="215" t="s">
        <v>47</v>
      </c>
      <c r="W1815" s="102" t="s">
        <v>136</v>
      </c>
      <c r="X1815" s="102" t="s">
        <v>137</v>
      </c>
      <c r="Y1815" s="103" t="s">
        <v>138</v>
      </c>
      <c r="Z1815" s="103" t="s">
        <v>139</v>
      </c>
      <c r="AA1815" s="103" t="s">
        <v>47</v>
      </c>
      <c r="AB1815" s="103" t="s">
        <v>140</v>
      </c>
      <c r="AC1815" s="104" t="s">
        <v>141</v>
      </c>
    </row>
    <row r="1816" spans="1:29" ht="25.5" customHeight="1" x14ac:dyDescent="0.35">
      <c r="A1816" s="188"/>
      <c r="B1816" s="190"/>
      <c r="C1816" s="99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0"/>
      <c r="E1816" s="78" t="str">
        <f>IF(C1816="","",IFERROR(VLOOKUP(C1816,parametros!$A$11:$E$15,5,0),""))</f>
        <v/>
      </c>
      <c r="F1816" s="79" t="str">
        <f t="shared" si="142"/>
        <v/>
      </c>
      <c r="G1816" s="101"/>
      <c r="H1816" s="91">
        <f t="shared" si="143"/>
        <v>0</v>
      </c>
      <c r="I1816" s="91" t="str">
        <f t="shared" si="144"/>
        <v/>
      </c>
      <c r="J1816" s="91" t="str">
        <f t="shared" si="145"/>
        <v/>
      </c>
      <c r="K1816" s="92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2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58"/>
      <c r="U1816" s="217" t="str">
        <f t="shared" si="146"/>
        <v/>
      </c>
      <c r="V1816" s="215" t="s">
        <v>47</v>
      </c>
      <c r="W1816" s="102" t="s">
        <v>136</v>
      </c>
      <c r="X1816" s="102" t="s">
        <v>137</v>
      </c>
      <c r="Y1816" s="103" t="s">
        <v>138</v>
      </c>
      <c r="Z1816" s="103" t="s">
        <v>139</v>
      </c>
      <c r="AA1816" s="103" t="s">
        <v>47</v>
      </c>
      <c r="AB1816" s="103" t="s">
        <v>140</v>
      </c>
      <c r="AC1816" s="104" t="s">
        <v>141</v>
      </c>
    </row>
    <row r="1817" spans="1:29" ht="25.5" customHeight="1" x14ac:dyDescent="0.35">
      <c r="A1817" s="188"/>
      <c r="B1817" s="190"/>
      <c r="C1817" s="99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0"/>
      <c r="E1817" s="78" t="str">
        <f>IF(C1817="","",IFERROR(VLOOKUP(C1817,parametros!$A$11:$E$15,5,0),""))</f>
        <v/>
      </c>
      <c r="F1817" s="79" t="str">
        <f t="shared" si="142"/>
        <v/>
      </c>
      <c r="G1817" s="101"/>
      <c r="H1817" s="91">
        <f t="shared" si="143"/>
        <v>0</v>
      </c>
      <c r="I1817" s="91" t="str">
        <f t="shared" si="144"/>
        <v/>
      </c>
      <c r="J1817" s="91" t="str">
        <f t="shared" si="145"/>
        <v/>
      </c>
      <c r="K1817" s="92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2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58"/>
      <c r="U1817" s="217" t="str">
        <f t="shared" si="146"/>
        <v/>
      </c>
      <c r="V1817" s="215" t="s">
        <v>47</v>
      </c>
      <c r="W1817" s="102" t="s">
        <v>136</v>
      </c>
      <c r="X1817" s="102" t="s">
        <v>137</v>
      </c>
      <c r="Y1817" s="103" t="s">
        <v>138</v>
      </c>
      <c r="Z1817" s="103" t="s">
        <v>139</v>
      </c>
      <c r="AA1817" s="103" t="s">
        <v>47</v>
      </c>
      <c r="AB1817" s="103" t="s">
        <v>140</v>
      </c>
      <c r="AC1817" s="104" t="s">
        <v>141</v>
      </c>
    </row>
    <row r="1818" spans="1:29" ht="25.5" customHeight="1" x14ac:dyDescent="0.35">
      <c r="A1818" s="188"/>
      <c r="B1818" s="190"/>
      <c r="C1818" s="99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0"/>
      <c r="E1818" s="78" t="str">
        <f>IF(C1818="","",IFERROR(VLOOKUP(C1818,parametros!$A$11:$E$15,5,0),""))</f>
        <v/>
      </c>
      <c r="F1818" s="79" t="str">
        <f t="shared" si="142"/>
        <v/>
      </c>
      <c r="G1818" s="101"/>
      <c r="H1818" s="91">
        <f t="shared" si="143"/>
        <v>0</v>
      </c>
      <c r="I1818" s="91" t="str">
        <f t="shared" si="144"/>
        <v/>
      </c>
      <c r="J1818" s="91" t="str">
        <f t="shared" si="145"/>
        <v/>
      </c>
      <c r="K1818" s="92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2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58"/>
      <c r="U1818" s="217" t="str">
        <f t="shared" si="146"/>
        <v/>
      </c>
      <c r="V1818" s="215" t="s">
        <v>47</v>
      </c>
      <c r="W1818" s="102" t="s">
        <v>136</v>
      </c>
      <c r="X1818" s="102" t="s">
        <v>137</v>
      </c>
      <c r="Y1818" s="103" t="s">
        <v>138</v>
      </c>
      <c r="Z1818" s="103" t="s">
        <v>139</v>
      </c>
      <c r="AA1818" s="103" t="s">
        <v>47</v>
      </c>
      <c r="AB1818" s="103" t="s">
        <v>140</v>
      </c>
      <c r="AC1818" s="104" t="s">
        <v>141</v>
      </c>
    </row>
    <row r="1819" spans="1:29" ht="25.5" customHeight="1" x14ac:dyDescent="0.35">
      <c r="A1819" s="188"/>
      <c r="B1819" s="190"/>
      <c r="C1819" s="99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0"/>
      <c r="E1819" s="78" t="str">
        <f>IF(C1819="","",IFERROR(VLOOKUP(C1819,parametros!$A$11:$E$15,5,0),""))</f>
        <v/>
      </c>
      <c r="F1819" s="79" t="str">
        <f t="shared" si="142"/>
        <v/>
      </c>
      <c r="G1819" s="101"/>
      <c r="H1819" s="91">
        <f t="shared" si="143"/>
        <v>0</v>
      </c>
      <c r="I1819" s="91" t="str">
        <f t="shared" si="144"/>
        <v/>
      </c>
      <c r="J1819" s="91" t="str">
        <f t="shared" si="145"/>
        <v/>
      </c>
      <c r="K1819" s="92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2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58"/>
      <c r="U1819" s="217" t="str">
        <f t="shared" si="146"/>
        <v/>
      </c>
      <c r="V1819" s="215" t="s">
        <v>47</v>
      </c>
      <c r="W1819" s="102" t="s">
        <v>136</v>
      </c>
      <c r="X1819" s="102" t="s">
        <v>137</v>
      </c>
      <c r="Y1819" s="103" t="s">
        <v>138</v>
      </c>
      <c r="Z1819" s="103" t="s">
        <v>139</v>
      </c>
      <c r="AA1819" s="103" t="s">
        <v>47</v>
      </c>
      <c r="AB1819" s="103" t="s">
        <v>140</v>
      </c>
      <c r="AC1819" s="104" t="s">
        <v>141</v>
      </c>
    </row>
    <row r="1820" spans="1:29" ht="25.5" customHeight="1" x14ac:dyDescent="0.35">
      <c r="A1820" s="188"/>
      <c r="B1820" s="190"/>
      <c r="C1820" s="99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0"/>
      <c r="E1820" s="78" t="str">
        <f>IF(C1820="","",IFERROR(VLOOKUP(C1820,parametros!$A$11:$E$15,5,0),""))</f>
        <v/>
      </c>
      <c r="F1820" s="79" t="str">
        <f t="shared" si="142"/>
        <v/>
      </c>
      <c r="G1820" s="101"/>
      <c r="H1820" s="91">
        <f t="shared" si="143"/>
        <v>0</v>
      </c>
      <c r="I1820" s="91" t="str">
        <f t="shared" si="144"/>
        <v/>
      </c>
      <c r="J1820" s="91" t="str">
        <f t="shared" si="145"/>
        <v/>
      </c>
      <c r="K1820" s="92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2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58"/>
      <c r="U1820" s="217" t="str">
        <f t="shared" si="146"/>
        <v/>
      </c>
      <c r="V1820" s="215" t="s">
        <v>47</v>
      </c>
      <c r="W1820" s="102" t="s">
        <v>136</v>
      </c>
      <c r="X1820" s="102" t="s">
        <v>137</v>
      </c>
      <c r="Y1820" s="103" t="s">
        <v>138</v>
      </c>
      <c r="Z1820" s="103" t="s">
        <v>139</v>
      </c>
      <c r="AA1820" s="103" t="s">
        <v>47</v>
      </c>
      <c r="AB1820" s="103" t="s">
        <v>140</v>
      </c>
      <c r="AC1820" s="104" t="s">
        <v>141</v>
      </c>
    </row>
    <row r="1821" spans="1:29" ht="25.5" customHeight="1" x14ac:dyDescent="0.35">
      <c r="A1821" s="188"/>
      <c r="B1821" s="190"/>
      <c r="C1821" s="99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0"/>
      <c r="E1821" s="78" t="str">
        <f>IF(C1821="","",IFERROR(VLOOKUP(C1821,parametros!$A$11:$E$15,5,0),""))</f>
        <v/>
      </c>
      <c r="F1821" s="79" t="str">
        <f t="shared" si="142"/>
        <v/>
      </c>
      <c r="G1821" s="101"/>
      <c r="H1821" s="91">
        <f t="shared" si="143"/>
        <v>0</v>
      </c>
      <c r="I1821" s="91" t="str">
        <f t="shared" si="144"/>
        <v/>
      </c>
      <c r="J1821" s="91" t="str">
        <f t="shared" si="145"/>
        <v/>
      </c>
      <c r="K1821" s="92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2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58"/>
      <c r="U1821" s="217" t="str">
        <f t="shared" si="146"/>
        <v/>
      </c>
      <c r="V1821" s="215" t="s">
        <v>47</v>
      </c>
      <c r="W1821" s="102" t="s">
        <v>136</v>
      </c>
      <c r="X1821" s="102" t="s">
        <v>137</v>
      </c>
      <c r="Y1821" s="103" t="s">
        <v>138</v>
      </c>
      <c r="Z1821" s="103" t="s">
        <v>139</v>
      </c>
      <c r="AA1821" s="103" t="s">
        <v>47</v>
      </c>
      <c r="AB1821" s="103" t="s">
        <v>140</v>
      </c>
      <c r="AC1821" s="104" t="s">
        <v>141</v>
      </c>
    </row>
    <row r="1822" spans="1:29" ht="25.5" customHeight="1" x14ac:dyDescent="0.35">
      <c r="A1822" s="188"/>
      <c r="B1822" s="190"/>
      <c r="C1822" s="99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0"/>
      <c r="E1822" s="78" t="str">
        <f>IF(C1822="","",IFERROR(VLOOKUP(C1822,parametros!$A$11:$E$15,5,0),""))</f>
        <v/>
      </c>
      <c r="F1822" s="79" t="str">
        <f t="shared" si="142"/>
        <v/>
      </c>
      <c r="G1822" s="101"/>
      <c r="H1822" s="91">
        <f t="shared" si="143"/>
        <v>0</v>
      </c>
      <c r="I1822" s="91" t="str">
        <f t="shared" si="144"/>
        <v/>
      </c>
      <c r="J1822" s="91" t="str">
        <f t="shared" si="145"/>
        <v/>
      </c>
      <c r="K1822" s="92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2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58"/>
      <c r="U1822" s="217" t="str">
        <f t="shared" si="146"/>
        <v/>
      </c>
      <c r="V1822" s="215" t="s">
        <v>47</v>
      </c>
      <c r="W1822" s="102" t="s">
        <v>136</v>
      </c>
      <c r="X1822" s="102" t="s">
        <v>137</v>
      </c>
      <c r="Y1822" s="103" t="s">
        <v>138</v>
      </c>
      <c r="Z1822" s="103" t="s">
        <v>139</v>
      </c>
      <c r="AA1822" s="103" t="s">
        <v>47</v>
      </c>
      <c r="AB1822" s="103" t="s">
        <v>140</v>
      </c>
      <c r="AC1822" s="104" t="s">
        <v>141</v>
      </c>
    </row>
    <row r="1823" spans="1:29" ht="25.5" customHeight="1" x14ac:dyDescent="0.35">
      <c r="A1823" s="188"/>
      <c r="B1823" s="190"/>
      <c r="C1823" s="99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0"/>
      <c r="E1823" s="78" t="str">
        <f>IF(C1823="","",IFERROR(VLOOKUP(C1823,parametros!$A$11:$E$15,5,0),""))</f>
        <v/>
      </c>
      <c r="F1823" s="79" t="str">
        <f t="shared" si="142"/>
        <v/>
      </c>
      <c r="G1823" s="101"/>
      <c r="H1823" s="91">
        <f t="shared" si="143"/>
        <v>0</v>
      </c>
      <c r="I1823" s="91" t="str">
        <f t="shared" si="144"/>
        <v/>
      </c>
      <c r="J1823" s="91" t="str">
        <f t="shared" si="145"/>
        <v/>
      </c>
      <c r="K1823" s="92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2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58"/>
      <c r="U1823" s="217" t="str">
        <f t="shared" si="146"/>
        <v/>
      </c>
      <c r="V1823" s="215" t="s">
        <v>47</v>
      </c>
      <c r="W1823" s="102" t="s">
        <v>136</v>
      </c>
      <c r="X1823" s="102" t="s">
        <v>137</v>
      </c>
      <c r="Y1823" s="103" t="s">
        <v>138</v>
      </c>
      <c r="Z1823" s="103" t="s">
        <v>139</v>
      </c>
      <c r="AA1823" s="103" t="s">
        <v>47</v>
      </c>
      <c r="AB1823" s="103" t="s">
        <v>140</v>
      </c>
      <c r="AC1823" s="104" t="s">
        <v>141</v>
      </c>
    </row>
    <row r="1824" spans="1:29" ht="25.5" customHeight="1" x14ac:dyDescent="0.35">
      <c r="A1824" s="188"/>
      <c r="B1824" s="190"/>
      <c r="C1824" s="99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0"/>
      <c r="E1824" s="78" t="str">
        <f>IF(C1824="","",IFERROR(VLOOKUP(C1824,parametros!$A$11:$E$15,5,0),""))</f>
        <v/>
      </c>
      <c r="F1824" s="79" t="str">
        <f t="shared" si="142"/>
        <v/>
      </c>
      <c r="G1824" s="101"/>
      <c r="H1824" s="91">
        <f t="shared" si="143"/>
        <v>0</v>
      </c>
      <c r="I1824" s="91" t="str">
        <f t="shared" si="144"/>
        <v/>
      </c>
      <c r="J1824" s="91" t="str">
        <f t="shared" si="145"/>
        <v/>
      </c>
      <c r="K1824" s="92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2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58"/>
      <c r="U1824" s="217" t="str">
        <f t="shared" si="146"/>
        <v/>
      </c>
      <c r="V1824" s="215" t="s">
        <v>47</v>
      </c>
      <c r="W1824" s="102" t="s">
        <v>136</v>
      </c>
      <c r="X1824" s="102" t="s">
        <v>137</v>
      </c>
      <c r="Y1824" s="103" t="s">
        <v>138</v>
      </c>
      <c r="Z1824" s="103" t="s">
        <v>139</v>
      </c>
      <c r="AA1824" s="103" t="s">
        <v>47</v>
      </c>
      <c r="AB1824" s="103" t="s">
        <v>140</v>
      </c>
      <c r="AC1824" s="104" t="s">
        <v>141</v>
      </c>
    </row>
    <row r="1825" spans="1:29" ht="25.5" customHeight="1" x14ac:dyDescent="0.35">
      <c r="A1825" s="188"/>
      <c r="B1825" s="190"/>
      <c r="C1825" s="99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0"/>
      <c r="E1825" s="78" t="str">
        <f>IF(C1825="","",IFERROR(VLOOKUP(C1825,parametros!$A$11:$E$15,5,0),""))</f>
        <v/>
      </c>
      <c r="F1825" s="79" t="str">
        <f t="shared" si="142"/>
        <v/>
      </c>
      <c r="G1825" s="101"/>
      <c r="H1825" s="91">
        <f t="shared" si="143"/>
        <v>0</v>
      </c>
      <c r="I1825" s="91" t="str">
        <f t="shared" si="144"/>
        <v/>
      </c>
      <c r="J1825" s="91" t="str">
        <f t="shared" si="145"/>
        <v/>
      </c>
      <c r="K1825" s="92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2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58"/>
      <c r="U1825" s="217" t="str">
        <f t="shared" si="146"/>
        <v/>
      </c>
      <c r="V1825" s="215" t="s">
        <v>47</v>
      </c>
      <c r="W1825" s="102" t="s">
        <v>136</v>
      </c>
      <c r="X1825" s="102" t="s">
        <v>137</v>
      </c>
      <c r="Y1825" s="103" t="s">
        <v>138</v>
      </c>
      <c r="Z1825" s="103" t="s">
        <v>139</v>
      </c>
      <c r="AA1825" s="103" t="s">
        <v>47</v>
      </c>
      <c r="AB1825" s="103" t="s">
        <v>140</v>
      </c>
      <c r="AC1825" s="104" t="s">
        <v>141</v>
      </c>
    </row>
    <row r="1826" spans="1:29" ht="25.5" customHeight="1" x14ac:dyDescent="0.35">
      <c r="A1826" s="188"/>
      <c r="B1826" s="190"/>
      <c r="C1826" s="99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0"/>
      <c r="E1826" s="78" t="str">
        <f>IF(C1826="","",IFERROR(VLOOKUP(C1826,parametros!$A$11:$E$15,5,0),""))</f>
        <v/>
      </c>
      <c r="F1826" s="79" t="str">
        <f t="shared" si="142"/>
        <v/>
      </c>
      <c r="G1826" s="101"/>
      <c r="H1826" s="91">
        <f t="shared" si="143"/>
        <v>0</v>
      </c>
      <c r="I1826" s="91" t="str">
        <f t="shared" si="144"/>
        <v/>
      </c>
      <c r="J1826" s="91" t="str">
        <f t="shared" si="145"/>
        <v/>
      </c>
      <c r="K1826" s="92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2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58"/>
      <c r="U1826" s="217" t="str">
        <f t="shared" si="146"/>
        <v/>
      </c>
      <c r="V1826" s="215" t="s">
        <v>47</v>
      </c>
      <c r="W1826" s="102" t="s">
        <v>136</v>
      </c>
      <c r="X1826" s="102" t="s">
        <v>137</v>
      </c>
      <c r="Y1826" s="103" t="s">
        <v>138</v>
      </c>
      <c r="Z1826" s="103" t="s">
        <v>139</v>
      </c>
      <c r="AA1826" s="103" t="s">
        <v>47</v>
      </c>
      <c r="AB1826" s="103" t="s">
        <v>140</v>
      </c>
      <c r="AC1826" s="104" t="s">
        <v>141</v>
      </c>
    </row>
    <row r="1827" spans="1:29" ht="25.5" customHeight="1" x14ac:dyDescent="0.35">
      <c r="A1827" s="188"/>
      <c r="B1827" s="190"/>
      <c r="C1827" s="99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0"/>
      <c r="E1827" s="78" t="str">
        <f>IF(C1827="","",IFERROR(VLOOKUP(C1827,parametros!$A$11:$E$15,5,0),""))</f>
        <v/>
      </c>
      <c r="F1827" s="79" t="str">
        <f t="shared" si="142"/>
        <v/>
      </c>
      <c r="G1827" s="101"/>
      <c r="H1827" s="91">
        <f t="shared" si="143"/>
        <v>0</v>
      </c>
      <c r="I1827" s="91" t="str">
        <f t="shared" si="144"/>
        <v/>
      </c>
      <c r="J1827" s="91" t="str">
        <f t="shared" si="145"/>
        <v/>
      </c>
      <c r="K1827" s="92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2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58"/>
      <c r="U1827" s="217" t="str">
        <f t="shared" si="146"/>
        <v/>
      </c>
      <c r="V1827" s="215" t="s">
        <v>47</v>
      </c>
      <c r="W1827" s="102" t="s">
        <v>136</v>
      </c>
      <c r="X1827" s="102" t="s">
        <v>137</v>
      </c>
      <c r="Y1827" s="103" t="s">
        <v>138</v>
      </c>
      <c r="Z1827" s="103" t="s">
        <v>139</v>
      </c>
      <c r="AA1827" s="103" t="s">
        <v>47</v>
      </c>
      <c r="AB1827" s="103" t="s">
        <v>140</v>
      </c>
      <c r="AC1827" s="104" t="s">
        <v>141</v>
      </c>
    </row>
    <row r="1828" spans="1:29" ht="25.5" customHeight="1" x14ac:dyDescent="0.35">
      <c r="A1828" s="188"/>
      <c r="B1828" s="190"/>
      <c r="C1828" s="99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0"/>
      <c r="E1828" s="78" t="str">
        <f>IF(C1828="","",IFERROR(VLOOKUP(C1828,parametros!$A$11:$E$15,5,0),""))</f>
        <v/>
      </c>
      <c r="F1828" s="79" t="str">
        <f t="shared" si="142"/>
        <v/>
      </c>
      <c r="G1828" s="101"/>
      <c r="H1828" s="91">
        <f t="shared" si="143"/>
        <v>0</v>
      </c>
      <c r="I1828" s="91" t="str">
        <f t="shared" si="144"/>
        <v/>
      </c>
      <c r="J1828" s="91" t="str">
        <f t="shared" si="145"/>
        <v/>
      </c>
      <c r="K1828" s="92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2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58"/>
      <c r="U1828" s="217" t="str">
        <f t="shared" si="146"/>
        <v/>
      </c>
      <c r="V1828" s="215" t="s">
        <v>47</v>
      </c>
      <c r="W1828" s="102" t="s">
        <v>136</v>
      </c>
      <c r="X1828" s="102" t="s">
        <v>137</v>
      </c>
      <c r="Y1828" s="103" t="s">
        <v>138</v>
      </c>
      <c r="Z1828" s="103" t="s">
        <v>139</v>
      </c>
      <c r="AA1828" s="103" t="s">
        <v>47</v>
      </c>
      <c r="AB1828" s="103" t="s">
        <v>140</v>
      </c>
      <c r="AC1828" s="104" t="s">
        <v>141</v>
      </c>
    </row>
    <row r="1829" spans="1:29" ht="25.5" customHeight="1" x14ac:dyDescent="0.35">
      <c r="A1829" s="188"/>
      <c r="B1829" s="190"/>
      <c r="C1829" s="99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0"/>
      <c r="E1829" s="78" t="str">
        <f>IF(C1829="","",IFERROR(VLOOKUP(C1829,parametros!$A$11:$E$15,5,0),""))</f>
        <v/>
      </c>
      <c r="F1829" s="79" t="str">
        <f t="shared" si="142"/>
        <v/>
      </c>
      <c r="G1829" s="101"/>
      <c r="H1829" s="91">
        <f t="shared" si="143"/>
        <v>0</v>
      </c>
      <c r="I1829" s="91" t="str">
        <f t="shared" si="144"/>
        <v/>
      </c>
      <c r="J1829" s="91" t="str">
        <f t="shared" si="145"/>
        <v/>
      </c>
      <c r="K1829" s="92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2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58"/>
      <c r="U1829" s="217" t="str">
        <f t="shared" si="146"/>
        <v/>
      </c>
      <c r="V1829" s="215" t="s">
        <v>47</v>
      </c>
      <c r="W1829" s="102" t="s">
        <v>136</v>
      </c>
      <c r="X1829" s="102" t="s">
        <v>137</v>
      </c>
      <c r="Y1829" s="103" t="s">
        <v>138</v>
      </c>
      <c r="Z1829" s="103" t="s">
        <v>139</v>
      </c>
      <c r="AA1829" s="103" t="s">
        <v>47</v>
      </c>
      <c r="AB1829" s="103" t="s">
        <v>140</v>
      </c>
      <c r="AC1829" s="104" t="s">
        <v>141</v>
      </c>
    </row>
    <row r="1830" spans="1:29" ht="25.5" customHeight="1" x14ac:dyDescent="0.35">
      <c r="A1830" s="188"/>
      <c r="B1830" s="190"/>
      <c r="C1830" s="99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0"/>
      <c r="E1830" s="78" t="str">
        <f>IF(C1830="","",IFERROR(VLOOKUP(C1830,parametros!$A$11:$E$15,5,0),""))</f>
        <v/>
      </c>
      <c r="F1830" s="79" t="str">
        <f t="shared" si="142"/>
        <v/>
      </c>
      <c r="G1830" s="101"/>
      <c r="H1830" s="91">
        <f t="shared" si="143"/>
        <v>0</v>
      </c>
      <c r="I1830" s="91" t="str">
        <f t="shared" si="144"/>
        <v/>
      </c>
      <c r="J1830" s="91" t="str">
        <f t="shared" si="145"/>
        <v/>
      </c>
      <c r="K1830" s="92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2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58"/>
      <c r="U1830" s="217" t="str">
        <f t="shared" si="146"/>
        <v/>
      </c>
      <c r="V1830" s="215" t="s">
        <v>47</v>
      </c>
      <c r="W1830" s="102" t="s">
        <v>136</v>
      </c>
      <c r="X1830" s="102" t="s">
        <v>137</v>
      </c>
      <c r="Y1830" s="103" t="s">
        <v>138</v>
      </c>
      <c r="Z1830" s="103" t="s">
        <v>139</v>
      </c>
      <c r="AA1830" s="103" t="s">
        <v>47</v>
      </c>
      <c r="AB1830" s="103" t="s">
        <v>140</v>
      </c>
      <c r="AC1830" s="104" t="s">
        <v>141</v>
      </c>
    </row>
    <row r="1831" spans="1:29" ht="25.5" customHeight="1" x14ac:dyDescent="0.35">
      <c r="A1831" s="188"/>
      <c r="B1831" s="190"/>
      <c r="C1831" s="99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0"/>
      <c r="E1831" s="78" t="str">
        <f>IF(C1831="","",IFERROR(VLOOKUP(C1831,parametros!$A$11:$E$15,5,0),""))</f>
        <v/>
      </c>
      <c r="F1831" s="79" t="str">
        <f t="shared" si="142"/>
        <v/>
      </c>
      <c r="G1831" s="101"/>
      <c r="H1831" s="91">
        <f t="shared" si="143"/>
        <v>0</v>
      </c>
      <c r="I1831" s="91" t="str">
        <f t="shared" si="144"/>
        <v/>
      </c>
      <c r="J1831" s="91" t="str">
        <f t="shared" si="145"/>
        <v/>
      </c>
      <c r="K1831" s="92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2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58"/>
      <c r="U1831" s="217" t="str">
        <f t="shared" si="146"/>
        <v/>
      </c>
      <c r="V1831" s="215" t="s">
        <v>47</v>
      </c>
      <c r="W1831" s="102" t="s">
        <v>136</v>
      </c>
      <c r="X1831" s="102" t="s">
        <v>137</v>
      </c>
      <c r="Y1831" s="103" t="s">
        <v>138</v>
      </c>
      <c r="Z1831" s="103" t="s">
        <v>139</v>
      </c>
      <c r="AA1831" s="103" t="s">
        <v>47</v>
      </c>
      <c r="AB1831" s="103" t="s">
        <v>140</v>
      </c>
      <c r="AC1831" s="104" t="s">
        <v>141</v>
      </c>
    </row>
    <row r="1832" spans="1:29" ht="25.5" customHeight="1" x14ac:dyDescent="0.35">
      <c r="A1832" s="188"/>
      <c r="B1832" s="190"/>
      <c r="C1832" s="99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0"/>
      <c r="E1832" s="78" t="str">
        <f>IF(C1832="","",IFERROR(VLOOKUP(C1832,parametros!$A$11:$E$15,5,0),""))</f>
        <v/>
      </c>
      <c r="F1832" s="79" t="str">
        <f t="shared" si="142"/>
        <v/>
      </c>
      <c r="G1832" s="101"/>
      <c r="H1832" s="91">
        <f t="shared" si="143"/>
        <v>0</v>
      </c>
      <c r="I1832" s="91" t="str">
        <f t="shared" si="144"/>
        <v/>
      </c>
      <c r="J1832" s="91" t="str">
        <f t="shared" si="145"/>
        <v/>
      </c>
      <c r="K1832" s="92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2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58"/>
      <c r="U1832" s="217" t="str">
        <f t="shared" si="146"/>
        <v/>
      </c>
      <c r="V1832" s="215" t="s">
        <v>47</v>
      </c>
      <c r="W1832" s="102" t="s">
        <v>136</v>
      </c>
      <c r="X1832" s="102" t="s">
        <v>137</v>
      </c>
      <c r="Y1832" s="103" t="s">
        <v>138</v>
      </c>
      <c r="Z1832" s="103" t="s">
        <v>139</v>
      </c>
      <c r="AA1832" s="103" t="s">
        <v>47</v>
      </c>
      <c r="AB1832" s="103" t="s">
        <v>140</v>
      </c>
      <c r="AC1832" s="104" t="s">
        <v>141</v>
      </c>
    </row>
    <row r="1833" spans="1:29" ht="25.5" customHeight="1" x14ac:dyDescent="0.35">
      <c r="A1833" s="188"/>
      <c r="B1833" s="190"/>
      <c r="C1833" s="99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0"/>
      <c r="E1833" s="78" t="str">
        <f>IF(C1833="","",IFERROR(VLOOKUP(C1833,parametros!$A$11:$E$15,5,0),""))</f>
        <v/>
      </c>
      <c r="F1833" s="79" t="str">
        <f t="shared" si="142"/>
        <v/>
      </c>
      <c r="G1833" s="101"/>
      <c r="H1833" s="91">
        <f t="shared" si="143"/>
        <v>0</v>
      </c>
      <c r="I1833" s="91" t="str">
        <f t="shared" si="144"/>
        <v/>
      </c>
      <c r="J1833" s="91" t="str">
        <f t="shared" si="145"/>
        <v/>
      </c>
      <c r="K1833" s="92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2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58"/>
      <c r="U1833" s="217" t="str">
        <f t="shared" si="146"/>
        <v/>
      </c>
      <c r="V1833" s="215" t="s">
        <v>47</v>
      </c>
      <c r="W1833" s="102" t="s">
        <v>136</v>
      </c>
      <c r="X1833" s="102" t="s">
        <v>137</v>
      </c>
      <c r="Y1833" s="103" t="s">
        <v>138</v>
      </c>
      <c r="Z1833" s="103" t="s">
        <v>139</v>
      </c>
      <c r="AA1833" s="103" t="s">
        <v>47</v>
      </c>
      <c r="AB1833" s="103" t="s">
        <v>140</v>
      </c>
      <c r="AC1833" s="104" t="s">
        <v>141</v>
      </c>
    </row>
    <row r="1834" spans="1:29" ht="25.5" customHeight="1" x14ac:dyDescent="0.35">
      <c r="A1834" s="188"/>
      <c r="B1834" s="190"/>
      <c r="C1834" s="99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0"/>
      <c r="E1834" s="78" t="str">
        <f>IF(C1834="","",IFERROR(VLOOKUP(C1834,parametros!$A$11:$E$15,5,0),""))</f>
        <v/>
      </c>
      <c r="F1834" s="79" t="str">
        <f t="shared" si="142"/>
        <v/>
      </c>
      <c r="G1834" s="101"/>
      <c r="H1834" s="91">
        <f t="shared" si="143"/>
        <v>0</v>
      </c>
      <c r="I1834" s="91" t="str">
        <f t="shared" si="144"/>
        <v/>
      </c>
      <c r="J1834" s="91" t="str">
        <f t="shared" si="145"/>
        <v/>
      </c>
      <c r="K1834" s="92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2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58"/>
      <c r="U1834" s="217" t="str">
        <f t="shared" si="146"/>
        <v/>
      </c>
      <c r="V1834" s="215" t="s">
        <v>47</v>
      </c>
      <c r="W1834" s="102" t="s">
        <v>136</v>
      </c>
      <c r="X1834" s="102" t="s">
        <v>137</v>
      </c>
      <c r="Y1834" s="103" t="s">
        <v>138</v>
      </c>
      <c r="Z1834" s="103" t="s">
        <v>139</v>
      </c>
      <c r="AA1834" s="103" t="s">
        <v>47</v>
      </c>
      <c r="AB1834" s="103" t="s">
        <v>140</v>
      </c>
      <c r="AC1834" s="104" t="s">
        <v>141</v>
      </c>
    </row>
    <row r="1835" spans="1:29" ht="25.5" customHeight="1" x14ac:dyDescent="0.35">
      <c r="A1835" s="188"/>
      <c r="B1835" s="190"/>
      <c r="C1835" s="99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0"/>
      <c r="E1835" s="78" t="str">
        <f>IF(C1835="","",IFERROR(VLOOKUP(C1835,parametros!$A$11:$E$15,5,0),""))</f>
        <v/>
      </c>
      <c r="F1835" s="79" t="str">
        <f t="shared" si="142"/>
        <v/>
      </c>
      <c r="G1835" s="101"/>
      <c r="H1835" s="91">
        <f t="shared" si="143"/>
        <v>0</v>
      </c>
      <c r="I1835" s="91" t="str">
        <f t="shared" si="144"/>
        <v/>
      </c>
      <c r="J1835" s="91" t="str">
        <f t="shared" si="145"/>
        <v/>
      </c>
      <c r="K1835" s="92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2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58"/>
      <c r="U1835" s="217" t="str">
        <f t="shared" si="146"/>
        <v/>
      </c>
      <c r="V1835" s="215" t="s">
        <v>47</v>
      </c>
      <c r="W1835" s="102" t="s">
        <v>136</v>
      </c>
      <c r="X1835" s="102" t="s">
        <v>137</v>
      </c>
      <c r="Y1835" s="103" t="s">
        <v>138</v>
      </c>
      <c r="Z1835" s="103" t="s">
        <v>139</v>
      </c>
      <c r="AA1835" s="103" t="s">
        <v>47</v>
      </c>
      <c r="AB1835" s="103" t="s">
        <v>140</v>
      </c>
      <c r="AC1835" s="104" t="s">
        <v>141</v>
      </c>
    </row>
    <row r="1836" spans="1:29" ht="25.5" customHeight="1" x14ac:dyDescent="0.35">
      <c r="A1836" s="188"/>
      <c r="B1836" s="190"/>
      <c r="C1836" s="99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0"/>
      <c r="E1836" s="78" t="str">
        <f>IF(C1836="","",IFERROR(VLOOKUP(C1836,parametros!$A$11:$E$15,5,0),""))</f>
        <v/>
      </c>
      <c r="F1836" s="79" t="str">
        <f t="shared" si="142"/>
        <v/>
      </c>
      <c r="G1836" s="101"/>
      <c r="H1836" s="91">
        <f t="shared" si="143"/>
        <v>0</v>
      </c>
      <c r="I1836" s="91" t="str">
        <f t="shared" si="144"/>
        <v/>
      </c>
      <c r="J1836" s="91" t="str">
        <f t="shared" si="145"/>
        <v/>
      </c>
      <c r="K1836" s="92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2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58"/>
      <c r="U1836" s="217" t="str">
        <f t="shared" si="146"/>
        <v/>
      </c>
      <c r="V1836" s="215" t="s">
        <v>47</v>
      </c>
      <c r="W1836" s="102" t="s">
        <v>136</v>
      </c>
      <c r="X1836" s="102" t="s">
        <v>137</v>
      </c>
      <c r="Y1836" s="103" t="s">
        <v>138</v>
      </c>
      <c r="Z1836" s="103" t="s">
        <v>139</v>
      </c>
      <c r="AA1836" s="103" t="s">
        <v>47</v>
      </c>
      <c r="AB1836" s="103" t="s">
        <v>140</v>
      </c>
      <c r="AC1836" s="104" t="s">
        <v>141</v>
      </c>
    </row>
    <row r="1837" spans="1:29" ht="25.5" customHeight="1" x14ac:dyDescent="0.35">
      <c r="A1837" s="188"/>
      <c r="B1837" s="190"/>
      <c r="C1837" s="99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0"/>
      <c r="E1837" s="78" t="str">
        <f>IF(C1837="","",IFERROR(VLOOKUP(C1837,parametros!$A$11:$E$15,5,0),""))</f>
        <v/>
      </c>
      <c r="F1837" s="79" t="str">
        <f t="shared" si="142"/>
        <v/>
      </c>
      <c r="G1837" s="101"/>
      <c r="H1837" s="91">
        <f t="shared" si="143"/>
        <v>0</v>
      </c>
      <c r="I1837" s="91" t="str">
        <f t="shared" si="144"/>
        <v/>
      </c>
      <c r="J1837" s="91" t="str">
        <f t="shared" si="145"/>
        <v/>
      </c>
      <c r="K1837" s="92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2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58"/>
      <c r="U1837" s="217" t="str">
        <f t="shared" si="146"/>
        <v/>
      </c>
      <c r="V1837" s="215" t="s">
        <v>47</v>
      </c>
      <c r="W1837" s="102" t="s">
        <v>136</v>
      </c>
      <c r="X1837" s="102" t="s">
        <v>137</v>
      </c>
      <c r="Y1837" s="103" t="s">
        <v>138</v>
      </c>
      <c r="Z1837" s="103" t="s">
        <v>139</v>
      </c>
      <c r="AA1837" s="103" t="s">
        <v>47</v>
      </c>
      <c r="AB1837" s="103" t="s">
        <v>140</v>
      </c>
      <c r="AC1837" s="104" t="s">
        <v>141</v>
      </c>
    </row>
    <row r="1838" spans="1:29" ht="25.5" customHeight="1" x14ac:dyDescent="0.35">
      <c r="A1838" s="188"/>
      <c r="B1838" s="190"/>
      <c r="C1838" s="99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0"/>
      <c r="E1838" s="78" t="str">
        <f>IF(C1838="","",IFERROR(VLOOKUP(C1838,parametros!$A$11:$E$15,5,0),""))</f>
        <v/>
      </c>
      <c r="F1838" s="79" t="str">
        <f t="shared" si="142"/>
        <v/>
      </c>
      <c r="G1838" s="101"/>
      <c r="H1838" s="91">
        <f t="shared" si="143"/>
        <v>0</v>
      </c>
      <c r="I1838" s="91" t="str">
        <f t="shared" si="144"/>
        <v/>
      </c>
      <c r="J1838" s="91" t="str">
        <f t="shared" si="145"/>
        <v/>
      </c>
      <c r="K1838" s="92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2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58"/>
      <c r="U1838" s="217" t="str">
        <f t="shared" si="146"/>
        <v/>
      </c>
      <c r="V1838" s="215" t="s">
        <v>47</v>
      </c>
      <c r="W1838" s="102" t="s">
        <v>136</v>
      </c>
      <c r="X1838" s="102" t="s">
        <v>137</v>
      </c>
      <c r="Y1838" s="103" t="s">
        <v>138</v>
      </c>
      <c r="Z1838" s="103" t="s">
        <v>139</v>
      </c>
      <c r="AA1838" s="103" t="s">
        <v>47</v>
      </c>
      <c r="AB1838" s="103" t="s">
        <v>140</v>
      </c>
      <c r="AC1838" s="104" t="s">
        <v>141</v>
      </c>
    </row>
    <row r="1839" spans="1:29" ht="25.5" customHeight="1" x14ac:dyDescent="0.35">
      <c r="A1839" s="188"/>
      <c r="B1839" s="190"/>
      <c r="C1839" s="99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0"/>
      <c r="E1839" s="78" t="str">
        <f>IF(C1839="","",IFERROR(VLOOKUP(C1839,parametros!$A$11:$E$15,5,0),""))</f>
        <v/>
      </c>
      <c r="F1839" s="79" t="str">
        <f t="shared" si="142"/>
        <v/>
      </c>
      <c r="G1839" s="101"/>
      <c r="H1839" s="91">
        <f t="shared" si="143"/>
        <v>0</v>
      </c>
      <c r="I1839" s="91" t="str">
        <f t="shared" si="144"/>
        <v/>
      </c>
      <c r="J1839" s="91" t="str">
        <f t="shared" si="145"/>
        <v/>
      </c>
      <c r="K1839" s="92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2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58"/>
      <c r="U1839" s="217" t="str">
        <f t="shared" si="146"/>
        <v/>
      </c>
      <c r="V1839" s="215" t="s">
        <v>47</v>
      </c>
      <c r="W1839" s="102" t="s">
        <v>136</v>
      </c>
      <c r="X1839" s="102" t="s">
        <v>137</v>
      </c>
      <c r="Y1839" s="103" t="s">
        <v>138</v>
      </c>
      <c r="Z1839" s="103" t="s">
        <v>139</v>
      </c>
      <c r="AA1839" s="103" t="s">
        <v>47</v>
      </c>
      <c r="AB1839" s="103" t="s">
        <v>140</v>
      </c>
      <c r="AC1839" s="104" t="s">
        <v>141</v>
      </c>
    </row>
    <row r="1840" spans="1:29" ht="25.5" customHeight="1" x14ac:dyDescent="0.35">
      <c r="A1840" s="188"/>
      <c r="B1840" s="190"/>
      <c r="C1840" s="99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0"/>
      <c r="E1840" s="78" t="str">
        <f>IF(C1840="","",IFERROR(VLOOKUP(C1840,parametros!$A$11:$E$15,5,0),""))</f>
        <v/>
      </c>
      <c r="F1840" s="79" t="str">
        <f t="shared" si="142"/>
        <v/>
      </c>
      <c r="G1840" s="101"/>
      <c r="H1840" s="91">
        <f t="shared" si="143"/>
        <v>0</v>
      </c>
      <c r="I1840" s="91" t="str">
        <f t="shared" si="144"/>
        <v/>
      </c>
      <c r="J1840" s="91" t="str">
        <f t="shared" si="145"/>
        <v/>
      </c>
      <c r="K1840" s="92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2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58"/>
      <c r="U1840" s="217" t="str">
        <f t="shared" si="146"/>
        <v/>
      </c>
      <c r="V1840" s="215" t="s">
        <v>47</v>
      </c>
      <c r="W1840" s="102" t="s">
        <v>136</v>
      </c>
      <c r="X1840" s="102" t="s">
        <v>137</v>
      </c>
      <c r="Y1840" s="103" t="s">
        <v>138</v>
      </c>
      <c r="Z1840" s="103" t="s">
        <v>139</v>
      </c>
      <c r="AA1840" s="103" t="s">
        <v>47</v>
      </c>
      <c r="AB1840" s="103" t="s">
        <v>140</v>
      </c>
      <c r="AC1840" s="104" t="s">
        <v>141</v>
      </c>
    </row>
    <row r="1841" spans="1:29" ht="25.5" customHeight="1" x14ac:dyDescent="0.35">
      <c r="A1841" s="188"/>
      <c r="B1841" s="190"/>
      <c r="C1841" s="99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0"/>
      <c r="E1841" s="78" t="str">
        <f>IF(C1841="","",IFERROR(VLOOKUP(C1841,parametros!$A$11:$E$15,5,0),""))</f>
        <v/>
      </c>
      <c r="F1841" s="79" t="str">
        <f t="shared" si="142"/>
        <v/>
      </c>
      <c r="G1841" s="101"/>
      <c r="H1841" s="91">
        <f t="shared" si="143"/>
        <v>0</v>
      </c>
      <c r="I1841" s="91" t="str">
        <f t="shared" si="144"/>
        <v/>
      </c>
      <c r="J1841" s="91" t="str">
        <f t="shared" si="145"/>
        <v/>
      </c>
      <c r="K1841" s="92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2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58"/>
      <c r="U1841" s="217" t="str">
        <f t="shared" si="146"/>
        <v/>
      </c>
      <c r="V1841" s="215" t="s">
        <v>47</v>
      </c>
      <c r="W1841" s="102" t="s">
        <v>136</v>
      </c>
      <c r="X1841" s="102" t="s">
        <v>137</v>
      </c>
      <c r="Y1841" s="103" t="s">
        <v>138</v>
      </c>
      <c r="Z1841" s="103" t="s">
        <v>139</v>
      </c>
      <c r="AA1841" s="103" t="s">
        <v>47</v>
      </c>
      <c r="AB1841" s="103" t="s">
        <v>140</v>
      </c>
      <c r="AC1841" s="104" t="s">
        <v>141</v>
      </c>
    </row>
    <row r="1842" spans="1:29" ht="25.5" customHeight="1" x14ac:dyDescent="0.35">
      <c r="A1842" s="188"/>
      <c r="B1842" s="190"/>
      <c r="C1842" s="99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0"/>
      <c r="E1842" s="78" t="str">
        <f>IF(C1842="","",IFERROR(VLOOKUP(C1842,parametros!$A$11:$E$15,5,0),""))</f>
        <v/>
      </c>
      <c r="F1842" s="79" t="str">
        <f t="shared" si="142"/>
        <v/>
      </c>
      <c r="G1842" s="101"/>
      <c r="H1842" s="91">
        <f t="shared" si="143"/>
        <v>0</v>
      </c>
      <c r="I1842" s="91" t="str">
        <f t="shared" si="144"/>
        <v/>
      </c>
      <c r="J1842" s="91" t="str">
        <f t="shared" si="145"/>
        <v/>
      </c>
      <c r="K1842" s="92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2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58"/>
      <c r="U1842" s="217" t="str">
        <f t="shared" si="146"/>
        <v/>
      </c>
      <c r="V1842" s="215" t="s">
        <v>47</v>
      </c>
      <c r="W1842" s="102" t="s">
        <v>136</v>
      </c>
      <c r="X1842" s="102" t="s">
        <v>137</v>
      </c>
      <c r="Y1842" s="103" t="s">
        <v>138</v>
      </c>
      <c r="Z1842" s="103" t="s">
        <v>139</v>
      </c>
      <c r="AA1842" s="103" t="s">
        <v>47</v>
      </c>
      <c r="AB1842" s="103" t="s">
        <v>140</v>
      </c>
      <c r="AC1842" s="104" t="s">
        <v>141</v>
      </c>
    </row>
    <row r="1843" spans="1:29" ht="25.5" customHeight="1" x14ac:dyDescent="0.35">
      <c r="A1843" s="188"/>
      <c r="B1843" s="190"/>
      <c r="C1843" s="99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0"/>
      <c r="E1843" s="78" t="str">
        <f>IF(C1843="","",IFERROR(VLOOKUP(C1843,parametros!$A$11:$E$15,5,0),""))</f>
        <v/>
      </c>
      <c r="F1843" s="79" t="str">
        <f t="shared" si="142"/>
        <v/>
      </c>
      <c r="G1843" s="101"/>
      <c r="H1843" s="91">
        <f t="shared" si="143"/>
        <v>0</v>
      </c>
      <c r="I1843" s="91" t="str">
        <f t="shared" si="144"/>
        <v/>
      </c>
      <c r="J1843" s="91" t="str">
        <f t="shared" si="145"/>
        <v/>
      </c>
      <c r="K1843" s="92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2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58"/>
      <c r="U1843" s="217" t="str">
        <f t="shared" si="146"/>
        <v/>
      </c>
      <c r="V1843" s="215" t="s">
        <v>47</v>
      </c>
      <c r="W1843" s="102" t="s">
        <v>136</v>
      </c>
      <c r="X1843" s="102" t="s">
        <v>137</v>
      </c>
      <c r="Y1843" s="103" t="s">
        <v>138</v>
      </c>
      <c r="Z1843" s="103" t="s">
        <v>139</v>
      </c>
      <c r="AA1843" s="103" t="s">
        <v>47</v>
      </c>
      <c r="AB1843" s="103" t="s">
        <v>140</v>
      </c>
      <c r="AC1843" s="104" t="s">
        <v>141</v>
      </c>
    </row>
    <row r="1844" spans="1:29" ht="25.5" customHeight="1" x14ac:dyDescent="0.35">
      <c r="A1844" s="188"/>
      <c r="B1844" s="190"/>
      <c r="C1844" s="99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0"/>
      <c r="E1844" s="78" t="str">
        <f>IF(C1844="","",IFERROR(VLOOKUP(C1844,parametros!$A$11:$E$15,5,0),""))</f>
        <v/>
      </c>
      <c r="F1844" s="79" t="str">
        <f t="shared" si="142"/>
        <v/>
      </c>
      <c r="G1844" s="101"/>
      <c r="H1844" s="91">
        <f t="shared" si="143"/>
        <v>0</v>
      </c>
      <c r="I1844" s="91" t="str">
        <f t="shared" si="144"/>
        <v/>
      </c>
      <c r="J1844" s="91" t="str">
        <f t="shared" si="145"/>
        <v/>
      </c>
      <c r="K1844" s="92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2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58"/>
      <c r="U1844" s="217" t="str">
        <f t="shared" si="146"/>
        <v/>
      </c>
      <c r="V1844" s="215" t="s">
        <v>47</v>
      </c>
      <c r="W1844" s="102" t="s">
        <v>136</v>
      </c>
      <c r="X1844" s="102" t="s">
        <v>137</v>
      </c>
      <c r="Y1844" s="103" t="s">
        <v>138</v>
      </c>
      <c r="Z1844" s="103" t="s">
        <v>139</v>
      </c>
      <c r="AA1844" s="103" t="s">
        <v>47</v>
      </c>
      <c r="AB1844" s="103" t="s">
        <v>140</v>
      </c>
      <c r="AC1844" s="104" t="s">
        <v>141</v>
      </c>
    </row>
    <row r="1845" spans="1:29" ht="25.5" customHeight="1" x14ac:dyDescent="0.35">
      <c r="A1845" s="188"/>
      <c r="B1845" s="190"/>
      <c r="C1845" s="99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0"/>
      <c r="E1845" s="78" t="str">
        <f>IF(C1845="","",IFERROR(VLOOKUP(C1845,parametros!$A$11:$E$15,5,0),""))</f>
        <v/>
      </c>
      <c r="F1845" s="79" t="str">
        <f t="shared" si="142"/>
        <v/>
      </c>
      <c r="G1845" s="101"/>
      <c r="H1845" s="91">
        <f t="shared" si="143"/>
        <v>0</v>
      </c>
      <c r="I1845" s="91" t="str">
        <f t="shared" si="144"/>
        <v/>
      </c>
      <c r="J1845" s="91" t="str">
        <f t="shared" si="145"/>
        <v/>
      </c>
      <c r="K1845" s="92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2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58"/>
      <c r="U1845" s="217" t="str">
        <f t="shared" si="146"/>
        <v/>
      </c>
      <c r="V1845" s="215" t="s">
        <v>47</v>
      </c>
      <c r="W1845" s="102" t="s">
        <v>136</v>
      </c>
      <c r="X1845" s="102" t="s">
        <v>137</v>
      </c>
      <c r="Y1845" s="103" t="s">
        <v>138</v>
      </c>
      <c r="Z1845" s="103" t="s">
        <v>139</v>
      </c>
      <c r="AA1845" s="103" t="s">
        <v>47</v>
      </c>
      <c r="AB1845" s="103" t="s">
        <v>140</v>
      </c>
      <c r="AC1845" s="104" t="s">
        <v>141</v>
      </c>
    </row>
    <row r="1846" spans="1:29" ht="25.5" customHeight="1" x14ac:dyDescent="0.35">
      <c r="A1846" s="188"/>
      <c r="B1846" s="190"/>
      <c r="C1846" s="99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0"/>
      <c r="E1846" s="78" t="str">
        <f>IF(C1846="","",IFERROR(VLOOKUP(C1846,parametros!$A$11:$E$15,5,0),""))</f>
        <v/>
      </c>
      <c r="F1846" s="79" t="str">
        <f t="shared" si="142"/>
        <v/>
      </c>
      <c r="G1846" s="101"/>
      <c r="H1846" s="91">
        <f t="shared" si="143"/>
        <v>0</v>
      </c>
      <c r="I1846" s="91" t="str">
        <f t="shared" si="144"/>
        <v/>
      </c>
      <c r="J1846" s="91" t="str">
        <f t="shared" si="145"/>
        <v/>
      </c>
      <c r="K1846" s="92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2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58"/>
      <c r="U1846" s="217" t="str">
        <f t="shared" si="146"/>
        <v/>
      </c>
      <c r="V1846" s="215" t="s">
        <v>47</v>
      </c>
      <c r="W1846" s="102" t="s">
        <v>136</v>
      </c>
      <c r="X1846" s="102" t="s">
        <v>137</v>
      </c>
      <c r="Y1846" s="103" t="s">
        <v>138</v>
      </c>
      <c r="Z1846" s="103" t="s">
        <v>139</v>
      </c>
      <c r="AA1846" s="103" t="s">
        <v>47</v>
      </c>
      <c r="AB1846" s="103" t="s">
        <v>140</v>
      </c>
      <c r="AC1846" s="104" t="s">
        <v>141</v>
      </c>
    </row>
    <row r="1847" spans="1:29" ht="25.5" customHeight="1" x14ac:dyDescent="0.35">
      <c r="A1847" s="188"/>
      <c r="B1847" s="190"/>
      <c r="C1847" s="99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0"/>
      <c r="E1847" s="78" t="str">
        <f>IF(C1847="","",IFERROR(VLOOKUP(C1847,parametros!$A$11:$E$15,5,0),""))</f>
        <v/>
      </c>
      <c r="F1847" s="79" t="str">
        <f t="shared" si="142"/>
        <v/>
      </c>
      <c r="G1847" s="101"/>
      <c r="H1847" s="91">
        <f t="shared" si="143"/>
        <v>0</v>
      </c>
      <c r="I1847" s="91" t="str">
        <f t="shared" si="144"/>
        <v/>
      </c>
      <c r="J1847" s="91" t="str">
        <f t="shared" si="145"/>
        <v/>
      </c>
      <c r="K1847" s="92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2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58"/>
      <c r="U1847" s="217" t="str">
        <f t="shared" si="146"/>
        <v/>
      </c>
      <c r="V1847" s="215" t="s">
        <v>47</v>
      </c>
      <c r="W1847" s="102" t="s">
        <v>136</v>
      </c>
      <c r="X1847" s="102" t="s">
        <v>137</v>
      </c>
      <c r="Y1847" s="103" t="s">
        <v>138</v>
      </c>
      <c r="Z1847" s="103" t="s">
        <v>139</v>
      </c>
      <c r="AA1847" s="103" t="s">
        <v>47</v>
      </c>
      <c r="AB1847" s="103" t="s">
        <v>140</v>
      </c>
      <c r="AC1847" s="104" t="s">
        <v>141</v>
      </c>
    </row>
    <row r="1848" spans="1:29" ht="25.5" customHeight="1" x14ac:dyDescent="0.35">
      <c r="A1848" s="188"/>
      <c r="B1848" s="190"/>
      <c r="C1848" s="99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0"/>
      <c r="E1848" s="78" t="str">
        <f>IF(C1848="","",IFERROR(VLOOKUP(C1848,parametros!$A$11:$E$15,5,0),""))</f>
        <v/>
      </c>
      <c r="F1848" s="79" t="str">
        <f t="shared" si="142"/>
        <v/>
      </c>
      <c r="G1848" s="101"/>
      <c r="H1848" s="91">
        <f t="shared" si="143"/>
        <v>0</v>
      </c>
      <c r="I1848" s="91" t="str">
        <f t="shared" si="144"/>
        <v/>
      </c>
      <c r="J1848" s="91" t="str">
        <f t="shared" si="145"/>
        <v/>
      </c>
      <c r="K1848" s="92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2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58"/>
      <c r="U1848" s="217" t="str">
        <f t="shared" si="146"/>
        <v/>
      </c>
      <c r="V1848" s="215" t="s">
        <v>47</v>
      </c>
      <c r="W1848" s="102" t="s">
        <v>136</v>
      </c>
      <c r="X1848" s="102" t="s">
        <v>137</v>
      </c>
      <c r="Y1848" s="103" t="s">
        <v>138</v>
      </c>
      <c r="Z1848" s="103" t="s">
        <v>139</v>
      </c>
      <c r="AA1848" s="103" t="s">
        <v>47</v>
      </c>
      <c r="AB1848" s="103" t="s">
        <v>140</v>
      </c>
      <c r="AC1848" s="104" t="s">
        <v>141</v>
      </c>
    </row>
    <row r="1849" spans="1:29" ht="25.5" customHeight="1" x14ac:dyDescent="0.35">
      <c r="A1849" s="188"/>
      <c r="B1849" s="190"/>
      <c r="C1849" s="99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0"/>
      <c r="E1849" s="78" t="str">
        <f>IF(C1849="","",IFERROR(VLOOKUP(C1849,parametros!$A$11:$E$15,5,0),""))</f>
        <v/>
      </c>
      <c r="F1849" s="79" t="str">
        <f t="shared" si="142"/>
        <v/>
      </c>
      <c r="G1849" s="101"/>
      <c r="H1849" s="91">
        <f t="shared" si="143"/>
        <v>0</v>
      </c>
      <c r="I1849" s="91" t="str">
        <f t="shared" si="144"/>
        <v/>
      </c>
      <c r="J1849" s="91" t="str">
        <f t="shared" si="145"/>
        <v/>
      </c>
      <c r="K1849" s="92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2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58"/>
      <c r="U1849" s="217" t="str">
        <f t="shared" si="146"/>
        <v/>
      </c>
      <c r="V1849" s="215" t="s">
        <v>47</v>
      </c>
      <c r="W1849" s="102" t="s">
        <v>136</v>
      </c>
      <c r="X1849" s="102" t="s">
        <v>137</v>
      </c>
      <c r="Y1849" s="103" t="s">
        <v>138</v>
      </c>
      <c r="Z1849" s="103" t="s">
        <v>139</v>
      </c>
      <c r="AA1849" s="103" t="s">
        <v>47</v>
      </c>
      <c r="AB1849" s="103" t="s">
        <v>140</v>
      </c>
      <c r="AC1849" s="104" t="s">
        <v>141</v>
      </c>
    </row>
    <row r="1850" spans="1:29" ht="25.5" customHeight="1" x14ac:dyDescent="0.35">
      <c r="A1850" s="188"/>
      <c r="B1850" s="190"/>
      <c r="C1850" s="99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0"/>
      <c r="E1850" s="78" t="str">
        <f>IF(C1850="","",IFERROR(VLOOKUP(C1850,parametros!$A$11:$E$15,5,0),""))</f>
        <v/>
      </c>
      <c r="F1850" s="79" t="str">
        <f t="shared" si="142"/>
        <v/>
      </c>
      <c r="G1850" s="101"/>
      <c r="H1850" s="91">
        <f t="shared" si="143"/>
        <v>0</v>
      </c>
      <c r="I1850" s="91" t="str">
        <f t="shared" si="144"/>
        <v/>
      </c>
      <c r="J1850" s="91" t="str">
        <f t="shared" si="145"/>
        <v/>
      </c>
      <c r="K1850" s="92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2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58"/>
      <c r="U1850" s="217" t="str">
        <f t="shared" si="146"/>
        <v/>
      </c>
      <c r="V1850" s="215" t="s">
        <v>47</v>
      </c>
      <c r="W1850" s="102" t="s">
        <v>136</v>
      </c>
      <c r="X1850" s="102" t="s">
        <v>137</v>
      </c>
      <c r="Y1850" s="103" t="s">
        <v>138</v>
      </c>
      <c r="Z1850" s="103" t="s">
        <v>139</v>
      </c>
      <c r="AA1850" s="103" t="s">
        <v>47</v>
      </c>
      <c r="AB1850" s="103" t="s">
        <v>140</v>
      </c>
      <c r="AC1850" s="104" t="s">
        <v>141</v>
      </c>
    </row>
    <row r="1851" spans="1:29" ht="25.5" customHeight="1" x14ac:dyDescent="0.35">
      <c r="A1851" s="188"/>
      <c r="B1851" s="190"/>
      <c r="C1851" s="99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0"/>
      <c r="E1851" s="78" t="str">
        <f>IF(C1851="","",IFERROR(VLOOKUP(C1851,parametros!$A$11:$E$15,5,0),""))</f>
        <v/>
      </c>
      <c r="F1851" s="79" t="str">
        <f t="shared" si="142"/>
        <v/>
      </c>
      <c r="G1851" s="101"/>
      <c r="H1851" s="91">
        <f t="shared" si="143"/>
        <v>0</v>
      </c>
      <c r="I1851" s="91" t="str">
        <f t="shared" si="144"/>
        <v/>
      </c>
      <c r="J1851" s="91" t="str">
        <f t="shared" si="145"/>
        <v/>
      </c>
      <c r="K1851" s="92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2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58"/>
      <c r="U1851" s="217" t="str">
        <f t="shared" si="146"/>
        <v/>
      </c>
      <c r="V1851" s="215" t="s">
        <v>47</v>
      </c>
      <c r="W1851" s="102" t="s">
        <v>136</v>
      </c>
      <c r="X1851" s="102" t="s">
        <v>137</v>
      </c>
      <c r="Y1851" s="103" t="s">
        <v>138</v>
      </c>
      <c r="Z1851" s="103" t="s">
        <v>139</v>
      </c>
      <c r="AA1851" s="103" t="s">
        <v>47</v>
      </c>
      <c r="AB1851" s="103" t="s">
        <v>140</v>
      </c>
      <c r="AC1851" s="104" t="s">
        <v>141</v>
      </c>
    </row>
    <row r="1852" spans="1:29" ht="25.5" customHeight="1" x14ac:dyDescent="0.35">
      <c r="A1852" s="188"/>
      <c r="B1852" s="190"/>
      <c r="C1852" s="99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0"/>
      <c r="E1852" s="78" t="str">
        <f>IF(C1852="","",IFERROR(VLOOKUP(C1852,parametros!$A$11:$E$15,5,0),""))</f>
        <v/>
      </c>
      <c r="F1852" s="79" t="str">
        <f t="shared" si="142"/>
        <v/>
      </c>
      <c r="G1852" s="101"/>
      <c r="H1852" s="91">
        <f t="shared" si="143"/>
        <v>0</v>
      </c>
      <c r="I1852" s="91" t="str">
        <f t="shared" si="144"/>
        <v/>
      </c>
      <c r="J1852" s="91" t="str">
        <f t="shared" si="145"/>
        <v/>
      </c>
      <c r="K1852" s="92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2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58"/>
      <c r="U1852" s="217" t="str">
        <f t="shared" si="146"/>
        <v/>
      </c>
      <c r="V1852" s="215" t="s">
        <v>47</v>
      </c>
      <c r="W1852" s="102" t="s">
        <v>136</v>
      </c>
      <c r="X1852" s="102" t="s">
        <v>137</v>
      </c>
      <c r="Y1852" s="103" t="s">
        <v>138</v>
      </c>
      <c r="Z1852" s="103" t="s">
        <v>139</v>
      </c>
      <c r="AA1852" s="103" t="s">
        <v>47</v>
      </c>
      <c r="AB1852" s="103" t="s">
        <v>140</v>
      </c>
      <c r="AC1852" s="104" t="s">
        <v>141</v>
      </c>
    </row>
    <row r="1853" spans="1:29" ht="25.5" customHeight="1" x14ac:dyDescent="0.35">
      <c r="A1853" s="188"/>
      <c r="B1853" s="190"/>
      <c r="C1853" s="99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0"/>
      <c r="E1853" s="78" t="str">
        <f>IF(C1853="","",IFERROR(VLOOKUP(C1853,parametros!$A$11:$E$15,5,0),""))</f>
        <v/>
      </c>
      <c r="F1853" s="79" t="str">
        <f t="shared" si="142"/>
        <v/>
      </c>
      <c r="G1853" s="101"/>
      <c r="H1853" s="91">
        <f t="shared" si="143"/>
        <v>0</v>
      </c>
      <c r="I1853" s="91" t="str">
        <f t="shared" si="144"/>
        <v/>
      </c>
      <c r="J1853" s="91" t="str">
        <f t="shared" si="145"/>
        <v/>
      </c>
      <c r="K1853" s="92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2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58"/>
      <c r="U1853" s="217" t="str">
        <f t="shared" si="146"/>
        <v/>
      </c>
      <c r="V1853" s="215" t="s">
        <v>47</v>
      </c>
      <c r="W1853" s="102" t="s">
        <v>136</v>
      </c>
      <c r="X1853" s="102" t="s">
        <v>137</v>
      </c>
      <c r="Y1853" s="103" t="s">
        <v>138</v>
      </c>
      <c r="Z1853" s="103" t="s">
        <v>139</v>
      </c>
      <c r="AA1853" s="103" t="s">
        <v>47</v>
      </c>
      <c r="AB1853" s="103" t="s">
        <v>140</v>
      </c>
      <c r="AC1853" s="104" t="s">
        <v>141</v>
      </c>
    </row>
    <row r="1854" spans="1:29" ht="25.5" customHeight="1" x14ac:dyDescent="0.35">
      <c r="A1854" s="188"/>
      <c r="B1854" s="190"/>
      <c r="C1854" s="99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0"/>
      <c r="E1854" s="78" t="str">
        <f>IF(C1854="","",IFERROR(VLOOKUP(C1854,parametros!$A$11:$E$15,5,0),""))</f>
        <v/>
      </c>
      <c r="F1854" s="79" t="str">
        <f t="shared" si="142"/>
        <v/>
      </c>
      <c r="G1854" s="101"/>
      <c r="H1854" s="91">
        <f t="shared" si="143"/>
        <v>0</v>
      </c>
      <c r="I1854" s="91" t="str">
        <f t="shared" si="144"/>
        <v/>
      </c>
      <c r="J1854" s="91" t="str">
        <f t="shared" si="145"/>
        <v/>
      </c>
      <c r="K1854" s="92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2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58"/>
      <c r="U1854" s="217" t="str">
        <f t="shared" si="146"/>
        <v/>
      </c>
      <c r="V1854" s="215" t="s">
        <v>47</v>
      </c>
      <c r="W1854" s="102" t="s">
        <v>136</v>
      </c>
      <c r="X1854" s="102" t="s">
        <v>137</v>
      </c>
      <c r="Y1854" s="103" t="s">
        <v>138</v>
      </c>
      <c r="Z1854" s="103" t="s">
        <v>139</v>
      </c>
      <c r="AA1854" s="103" t="s">
        <v>47</v>
      </c>
      <c r="AB1854" s="103" t="s">
        <v>140</v>
      </c>
      <c r="AC1854" s="104" t="s">
        <v>141</v>
      </c>
    </row>
    <row r="1855" spans="1:29" ht="25.5" customHeight="1" x14ac:dyDescent="0.35">
      <c r="A1855" s="188"/>
      <c r="B1855" s="190"/>
      <c r="C1855" s="99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0"/>
      <c r="E1855" s="78" t="str">
        <f>IF(C1855="","",IFERROR(VLOOKUP(C1855,parametros!$A$11:$E$15,5,0),""))</f>
        <v/>
      </c>
      <c r="F1855" s="79" t="str">
        <f t="shared" si="142"/>
        <v/>
      </c>
      <c r="G1855" s="101"/>
      <c r="H1855" s="91">
        <f t="shared" si="143"/>
        <v>0</v>
      </c>
      <c r="I1855" s="91" t="str">
        <f t="shared" si="144"/>
        <v/>
      </c>
      <c r="J1855" s="91" t="str">
        <f t="shared" si="145"/>
        <v/>
      </c>
      <c r="K1855" s="92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2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58"/>
      <c r="U1855" s="217" t="str">
        <f t="shared" si="146"/>
        <v/>
      </c>
      <c r="V1855" s="215" t="s">
        <v>47</v>
      </c>
      <c r="W1855" s="102" t="s">
        <v>136</v>
      </c>
      <c r="X1855" s="102" t="s">
        <v>137</v>
      </c>
      <c r="Y1855" s="103" t="s">
        <v>138</v>
      </c>
      <c r="Z1855" s="103" t="s">
        <v>139</v>
      </c>
      <c r="AA1855" s="103" t="s">
        <v>47</v>
      </c>
      <c r="AB1855" s="103" t="s">
        <v>140</v>
      </c>
      <c r="AC1855" s="104" t="s">
        <v>141</v>
      </c>
    </row>
    <row r="1856" spans="1:29" ht="25.5" customHeight="1" x14ac:dyDescent="0.35">
      <c r="A1856" s="188"/>
      <c r="B1856" s="190"/>
      <c r="C1856" s="99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0"/>
      <c r="E1856" s="78" t="str">
        <f>IF(C1856="","",IFERROR(VLOOKUP(C1856,parametros!$A$11:$E$15,5,0),""))</f>
        <v/>
      </c>
      <c r="F1856" s="79" t="str">
        <f t="shared" si="142"/>
        <v/>
      </c>
      <c r="G1856" s="101"/>
      <c r="H1856" s="91">
        <f t="shared" si="143"/>
        <v>0</v>
      </c>
      <c r="I1856" s="91" t="str">
        <f t="shared" si="144"/>
        <v/>
      </c>
      <c r="J1856" s="91" t="str">
        <f t="shared" si="145"/>
        <v/>
      </c>
      <c r="K1856" s="92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2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58"/>
      <c r="U1856" s="217" t="str">
        <f t="shared" si="146"/>
        <v/>
      </c>
      <c r="V1856" s="215" t="s">
        <v>47</v>
      </c>
      <c r="W1856" s="102" t="s">
        <v>136</v>
      </c>
      <c r="X1856" s="102" t="s">
        <v>137</v>
      </c>
      <c r="Y1856" s="103" t="s">
        <v>138</v>
      </c>
      <c r="Z1856" s="103" t="s">
        <v>139</v>
      </c>
      <c r="AA1856" s="103" t="s">
        <v>47</v>
      </c>
      <c r="AB1856" s="103" t="s">
        <v>140</v>
      </c>
      <c r="AC1856" s="104" t="s">
        <v>141</v>
      </c>
    </row>
    <row r="1857" spans="1:29" ht="25.5" customHeight="1" x14ac:dyDescent="0.35">
      <c r="A1857" s="188"/>
      <c r="B1857" s="190"/>
      <c r="C1857" s="99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0"/>
      <c r="E1857" s="78" t="str">
        <f>IF(C1857="","",IFERROR(VLOOKUP(C1857,parametros!$A$11:$E$15,5,0),""))</f>
        <v/>
      </c>
      <c r="F1857" s="79" t="str">
        <f t="shared" si="142"/>
        <v/>
      </c>
      <c r="G1857" s="101"/>
      <c r="H1857" s="91">
        <f t="shared" si="143"/>
        <v>0</v>
      </c>
      <c r="I1857" s="91" t="str">
        <f t="shared" si="144"/>
        <v/>
      </c>
      <c r="J1857" s="91" t="str">
        <f t="shared" si="145"/>
        <v/>
      </c>
      <c r="K1857" s="92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2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58"/>
      <c r="U1857" s="217" t="str">
        <f t="shared" si="146"/>
        <v/>
      </c>
      <c r="V1857" s="215" t="s">
        <v>47</v>
      </c>
      <c r="W1857" s="102" t="s">
        <v>136</v>
      </c>
      <c r="X1857" s="102" t="s">
        <v>137</v>
      </c>
      <c r="Y1857" s="103" t="s">
        <v>138</v>
      </c>
      <c r="Z1857" s="103" t="s">
        <v>139</v>
      </c>
      <c r="AA1857" s="103" t="s">
        <v>47</v>
      </c>
      <c r="AB1857" s="103" t="s">
        <v>140</v>
      </c>
      <c r="AC1857" s="104" t="s">
        <v>141</v>
      </c>
    </row>
    <row r="1858" spans="1:29" ht="25.5" customHeight="1" x14ac:dyDescent="0.35">
      <c r="A1858" s="188"/>
      <c r="B1858" s="190"/>
      <c r="C1858" s="99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0"/>
      <c r="E1858" s="78" t="str">
        <f>IF(C1858="","",IFERROR(VLOOKUP(C1858,parametros!$A$11:$E$15,5,0),""))</f>
        <v/>
      </c>
      <c r="F1858" s="79" t="str">
        <f t="shared" ref="F1858:F1921" si="147">IF(OR(D1858="",E1858=""),"",ROUND(D1858*E1858,2))</f>
        <v/>
      </c>
      <c r="G1858" s="101"/>
      <c r="H1858" s="91">
        <f t="shared" ref="H1858:H1921" si="148">IF(G1858="Sim",IF(OR(F1858="",D1858="",L1858=""),"",IF(L1858="Sim",ROUND(F1858-D1858,2),0)),0)</f>
        <v>0</v>
      </c>
      <c r="I1858" s="91" t="str">
        <f t="shared" ref="I1858:I1921" si="149">IF(G1858="Sim",0,IF(OR(F1858="",L1858=""),"",F1858))</f>
        <v/>
      </c>
      <c r="J1858" s="91" t="str">
        <f t="shared" ref="J1858:J1921" si="150">IF(G1858="Sim",0,IF(OR(F1858="",D1858="",L1858=""),"",IF(L1858="Sim",ROUND(F1858-D1858,2),0)))</f>
        <v/>
      </c>
      <c r="K1858" s="92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2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58"/>
      <c r="U1858" s="217" t="str">
        <f t="shared" ref="U1858:U1921" si="151">IF(OR($D1858="",$H1858=""),"",ROUND($D1858+$H1858,2))</f>
        <v/>
      </c>
      <c r="V1858" s="215" t="s">
        <v>47</v>
      </c>
      <c r="W1858" s="102" t="s">
        <v>136</v>
      </c>
      <c r="X1858" s="102" t="s">
        <v>137</v>
      </c>
      <c r="Y1858" s="103" t="s">
        <v>138</v>
      </c>
      <c r="Z1858" s="103" t="s">
        <v>139</v>
      </c>
      <c r="AA1858" s="103" t="s">
        <v>47</v>
      </c>
      <c r="AB1858" s="103" t="s">
        <v>140</v>
      </c>
      <c r="AC1858" s="104" t="s">
        <v>141</v>
      </c>
    </row>
    <row r="1859" spans="1:29" ht="25.5" customHeight="1" x14ac:dyDescent="0.35">
      <c r="A1859" s="188"/>
      <c r="B1859" s="190"/>
      <c r="C1859" s="99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0"/>
      <c r="E1859" s="78" t="str">
        <f>IF(C1859="","",IFERROR(VLOOKUP(C1859,parametros!$A$11:$E$15,5,0),""))</f>
        <v/>
      </c>
      <c r="F1859" s="79" t="str">
        <f t="shared" si="147"/>
        <v/>
      </c>
      <c r="G1859" s="101"/>
      <c r="H1859" s="91">
        <f t="shared" si="148"/>
        <v>0</v>
      </c>
      <c r="I1859" s="91" t="str">
        <f t="shared" si="149"/>
        <v/>
      </c>
      <c r="J1859" s="91" t="str">
        <f t="shared" si="150"/>
        <v/>
      </c>
      <c r="K1859" s="92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2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58"/>
      <c r="U1859" s="217" t="str">
        <f t="shared" si="151"/>
        <v/>
      </c>
      <c r="V1859" s="215" t="s">
        <v>47</v>
      </c>
      <c r="W1859" s="102" t="s">
        <v>136</v>
      </c>
      <c r="X1859" s="102" t="s">
        <v>137</v>
      </c>
      <c r="Y1859" s="103" t="s">
        <v>138</v>
      </c>
      <c r="Z1859" s="103" t="s">
        <v>139</v>
      </c>
      <c r="AA1859" s="103" t="s">
        <v>47</v>
      </c>
      <c r="AB1859" s="103" t="s">
        <v>140</v>
      </c>
      <c r="AC1859" s="104" t="s">
        <v>141</v>
      </c>
    </row>
    <row r="1860" spans="1:29" ht="25.5" customHeight="1" x14ac:dyDescent="0.35">
      <c r="A1860" s="188"/>
      <c r="B1860" s="190"/>
      <c r="C1860" s="99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0"/>
      <c r="E1860" s="78" t="str">
        <f>IF(C1860="","",IFERROR(VLOOKUP(C1860,parametros!$A$11:$E$15,5,0),""))</f>
        <v/>
      </c>
      <c r="F1860" s="79" t="str">
        <f t="shared" si="147"/>
        <v/>
      </c>
      <c r="G1860" s="101"/>
      <c r="H1860" s="91">
        <f t="shared" si="148"/>
        <v>0</v>
      </c>
      <c r="I1860" s="91" t="str">
        <f t="shared" si="149"/>
        <v/>
      </c>
      <c r="J1860" s="91" t="str">
        <f t="shared" si="150"/>
        <v/>
      </c>
      <c r="K1860" s="92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2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58"/>
      <c r="U1860" s="217" t="str">
        <f t="shared" si="151"/>
        <v/>
      </c>
      <c r="V1860" s="215" t="s">
        <v>47</v>
      </c>
      <c r="W1860" s="102" t="s">
        <v>136</v>
      </c>
      <c r="X1860" s="102" t="s">
        <v>137</v>
      </c>
      <c r="Y1860" s="103" t="s">
        <v>138</v>
      </c>
      <c r="Z1860" s="103" t="s">
        <v>139</v>
      </c>
      <c r="AA1860" s="103" t="s">
        <v>47</v>
      </c>
      <c r="AB1860" s="103" t="s">
        <v>140</v>
      </c>
      <c r="AC1860" s="104" t="s">
        <v>141</v>
      </c>
    </row>
    <row r="1861" spans="1:29" ht="25.5" customHeight="1" x14ac:dyDescent="0.35">
      <c r="A1861" s="188"/>
      <c r="B1861" s="190"/>
      <c r="C1861" s="99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0"/>
      <c r="E1861" s="78" t="str">
        <f>IF(C1861="","",IFERROR(VLOOKUP(C1861,parametros!$A$11:$E$15,5,0),""))</f>
        <v/>
      </c>
      <c r="F1861" s="79" t="str">
        <f t="shared" si="147"/>
        <v/>
      </c>
      <c r="G1861" s="101"/>
      <c r="H1861" s="91">
        <f t="shared" si="148"/>
        <v>0</v>
      </c>
      <c r="I1861" s="91" t="str">
        <f t="shared" si="149"/>
        <v/>
      </c>
      <c r="J1861" s="91" t="str">
        <f t="shared" si="150"/>
        <v/>
      </c>
      <c r="K1861" s="92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2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58"/>
      <c r="U1861" s="217" t="str">
        <f t="shared" si="151"/>
        <v/>
      </c>
      <c r="V1861" s="215" t="s">
        <v>47</v>
      </c>
      <c r="W1861" s="102" t="s">
        <v>136</v>
      </c>
      <c r="X1861" s="102" t="s">
        <v>137</v>
      </c>
      <c r="Y1861" s="103" t="s">
        <v>138</v>
      </c>
      <c r="Z1861" s="103" t="s">
        <v>139</v>
      </c>
      <c r="AA1861" s="103" t="s">
        <v>47</v>
      </c>
      <c r="AB1861" s="103" t="s">
        <v>140</v>
      </c>
      <c r="AC1861" s="104" t="s">
        <v>141</v>
      </c>
    </row>
    <row r="1862" spans="1:29" ht="25.5" customHeight="1" x14ac:dyDescent="0.35">
      <c r="A1862" s="188"/>
      <c r="B1862" s="190"/>
      <c r="C1862" s="99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0"/>
      <c r="E1862" s="78" t="str">
        <f>IF(C1862="","",IFERROR(VLOOKUP(C1862,parametros!$A$11:$E$15,5,0),""))</f>
        <v/>
      </c>
      <c r="F1862" s="79" t="str">
        <f t="shared" si="147"/>
        <v/>
      </c>
      <c r="G1862" s="101"/>
      <c r="H1862" s="91">
        <f t="shared" si="148"/>
        <v>0</v>
      </c>
      <c r="I1862" s="91" t="str">
        <f t="shared" si="149"/>
        <v/>
      </c>
      <c r="J1862" s="91" t="str">
        <f t="shared" si="150"/>
        <v/>
      </c>
      <c r="K1862" s="92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2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58"/>
      <c r="U1862" s="217" t="str">
        <f t="shared" si="151"/>
        <v/>
      </c>
      <c r="V1862" s="215" t="s">
        <v>47</v>
      </c>
      <c r="W1862" s="102" t="s">
        <v>136</v>
      </c>
      <c r="X1862" s="102" t="s">
        <v>137</v>
      </c>
      <c r="Y1862" s="103" t="s">
        <v>138</v>
      </c>
      <c r="Z1862" s="103" t="s">
        <v>139</v>
      </c>
      <c r="AA1862" s="103" t="s">
        <v>47</v>
      </c>
      <c r="AB1862" s="103" t="s">
        <v>140</v>
      </c>
      <c r="AC1862" s="104" t="s">
        <v>141</v>
      </c>
    </row>
    <row r="1863" spans="1:29" ht="25.5" customHeight="1" x14ac:dyDescent="0.35">
      <c r="A1863" s="188"/>
      <c r="B1863" s="190"/>
      <c r="C1863" s="99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0"/>
      <c r="E1863" s="78" t="str">
        <f>IF(C1863="","",IFERROR(VLOOKUP(C1863,parametros!$A$11:$E$15,5,0),""))</f>
        <v/>
      </c>
      <c r="F1863" s="79" t="str">
        <f t="shared" si="147"/>
        <v/>
      </c>
      <c r="G1863" s="101"/>
      <c r="H1863" s="91">
        <f t="shared" si="148"/>
        <v>0</v>
      </c>
      <c r="I1863" s="91" t="str">
        <f t="shared" si="149"/>
        <v/>
      </c>
      <c r="J1863" s="91" t="str">
        <f t="shared" si="150"/>
        <v/>
      </c>
      <c r="K1863" s="92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2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58"/>
      <c r="U1863" s="217" t="str">
        <f t="shared" si="151"/>
        <v/>
      </c>
      <c r="V1863" s="215" t="s">
        <v>47</v>
      </c>
      <c r="W1863" s="102" t="s">
        <v>136</v>
      </c>
      <c r="X1863" s="102" t="s">
        <v>137</v>
      </c>
      <c r="Y1863" s="103" t="s">
        <v>138</v>
      </c>
      <c r="Z1863" s="103" t="s">
        <v>139</v>
      </c>
      <c r="AA1863" s="103" t="s">
        <v>47</v>
      </c>
      <c r="AB1863" s="103" t="s">
        <v>140</v>
      </c>
      <c r="AC1863" s="104" t="s">
        <v>141</v>
      </c>
    </row>
    <row r="1864" spans="1:29" ht="25.5" customHeight="1" x14ac:dyDescent="0.35">
      <c r="A1864" s="188"/>
      <c r="B1864" s="190"/>
      <c r="C1864" s="99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0"/>
      <c r="E1864" s="78" t="str">
        <f>IF(C1864="","",IFERROR(VLOOKUP(C1864,parametros!$A$11:$E$15,5,0),""))</f>
        <v/>
      </c>
      <c r="F1864" s="79" t="str">
        <f t="shared" si="147"/>
        <v/>
      </c>
      <c r="G1864" s="101"/>
      <c r="H1864" s="91">
        <f t="shared" si="148"/>
        <v>0</v>
      </c>
      <c r="I1864" s="91" t="str">
        <f t="shared" si="149"/>
        <v/>
      </c>
      <c r="J1864" s="91" t="str">
        <f t="shared" si="150"/>
        <v/>
      </c>
      <c r="K1864" s="92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2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58"/>
      <c r="U1864" s="217" t="str">
        <f t="shared" si="151"/>
        <v/>
      </c>
      <c r="V1864" s="215" t="s">
        <v>47</v>
      </c>
      <c r="W1864" s="102" t="s">
        <v>136</v>
      </c>
      <c r="X1864" s="102" t="s">
        <v>137</v>
      </c>
      <c r="Y1864" s="103" t="s">
        <v>138</v>
      </c>
      <c r="Z1864" s="103" t="s">
        <v>139</v>
      </c>
      <c r="AA1864" s="103" t="s">
        <v>47</v>
      </c>
      <c r="AB1864" s="103" t="s">
        <v>140</v>
      </c>
      <c r="AC1864" s="104" t="s">
        <v>141</v>
      </c>
    </row>
    <row r="1865" spans="1:29" ht="25.5" customHeight="1" x14ac:dyDescent="0.35">
      <c r="A1865" s="188"/>
      <c r="B1865" s="190"/>
      <c r="C1865" s="99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0"/>
      <c r="E1865" s="78" t="str">
        <f>IF(C1865="","",IFERROR(VLOOKUP(C1865,parametros!$A$11:$E$15,5,0),""))</f>
        <v/>
      </c>
      <c r="F1865" s="79" t="str">
        <f t="shared" si="147"/>
        <v/>
      </c>
      <c r="G1865" s="101"/>
      <c r="H1865" s="91">
        <f t="shared" si="148"/>
        <v>0</v>
      </c>
      <c r="I1865" s="91" t="str">
        <f t="shared" si="149"/>
        <v/>
      </c>
      <c r="J1865" s="91" t="str">
        <f t="shared" si="150"/>
        <v/>
      </c>
      <c r="K1865" s="92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2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58"/>
      <c r="U1865" s="217" t="str">
        <f t="shared" si="151"/>
        <v/>
      </c>
      <c r="V1865" s="215" t="s">
        <v>47</v>
      </c>
      <c r="W1865" s="102" t="s">
        <v>136</v>
      </c>
      <c r="X1865" s="102" t="s">
        <v>137</v>
      </c>
      <c r="Y1865" s="103" t="s">
        <v>138</v>
      </c>
      <c r="Z1865" s="103" t="s">
        <v>139</v>
      </c>
      <c r="AA1865" s="103" t="s">
        <v>47</v>
      </c>
      <c r="AB1865" s="103" t="s">
        <v>140</v>
      </c>
      <c r="AC1865" s="104" t="s">
        <v>141</v>
      </c>
    </row>
    <row r="1866" spans="1:29" ht="25.5" customHeight="1" x14ac:dyDescent="0.35">
      <c r="A1866" s="188"/>
      <c r="B1866" s="190"/>
      <c r="C1866" s="99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0"/>
      <c r="E1866" s="78" t="str">
        <f>IF(C1866="","",IFERROR(VLOOKUP(C1866,parametros!$A$11:$E$15,5,0),""))</f>
        <v/>
      </c>
      <c r="F1866" s="79" t="str">
        <f t="shared" si="147"/>
        <v/>
      </c>
      <c r="G1866" s="101"/>
      <c r="H1866" s="91">
        <f t="shared" si="148"/>
        <v>0</v>
      </c>
      <c r="I1866" s="91" t="str">
        <f t="shared" si="149"/>
        <v/>
      </c>
      <c r="J1866" s="91" t="str">
        <f t="shared" si="150"/>
        <v/>
      </c>
      <c r="K1866" s="92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2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58"/>
      <c r="U1866" s="217" t="str">
        <f t="shared" si="151"/>
        <v/>
      </c>
      <c r="V1866" s="215" t="s">
        <v>47</v>
      </c>
      <c r="W1866" s="102" t="s">
        <v>136</v>
      </c>
      <c r="X1866" s="102" t="s">
        <v>137</v>
      </c>
      <c r="Y1866" s="103" t="s">
        <v>138</v>
      </c>
      <c r="Z1866" s="103" t="s">
        <v>139</v>
      </c>
      <c r="AA1866" s="103" t="s">
        <v>47</v>
      </c>
      <c r="AB1866" s="103" t="s">
        <v>140</v>
      </c>
      <c r="AC1866" s="104" t="s">
        <v>141</v>
      </c>
    </row>
    <row r="1867" spans="1:29" ht="25.5" customHeight="1" x14ac:dyDescent="0.35">
      <c r="A1867" s="188"/>
      <c r="B1867" s="190"/>
      <c r="C1867" s="99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0"/>
      <c r="E1867" s="78" t="str">
        <f>IF(C1867="","",IFERROR(VLOOKUP(C1867,parametros!$A$11:$E$15,5,0),""))</f>
        <v/>
      </c>
      <c r="F1867" s="79" t="str">
        <f t="shared" si="147"/>
        <v/>
      </c>
      <c r="G1867" s="101"/>
      <c r="H1867" s="91">
        <f t="shared" si="148"/>
        <v>0</v>
      </c>
      <c r="I1867" s="91" t="str">
        <f t="shared" si="149"/>
        <v/>
      </c>
      <c r="J1867" s="91" t="str">
        <f t="shared" si="150"/>
        <v/>
      </c>
      <c r="K1867" s="92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2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58"/>
      <c r="U1867" s="217" t="str">
        <f t="shared" si="151"/>
        <v/>
      </c>
      <c r="V1867" s="215" t="s">
        <v>47</v>
      </c>
      <c r="W1867" s="102" t="s">
        <v>136</v>
      </c>
      <c r="X1867" s="102" t="s">
        <v>137</v>
      </c>
      <c r="Y1867" s="103" t="s">
        <v>138</v>
      </c>
      <c r="Z1867" s="103" t="s">
        <v>139</v>
      </c>
      <c r="AA1867" s="103" t="s">
        <v>47</v>
      </c>
      <c r="AB1867" s="103" t="s">
        <v>140</v>
      </c>
      <c r="AC1867" s="104" t="s">
        <v>141</v>
      </c>
    </row>
    <row r="1868" spans="1:29" ht="25.5" customHeight="1" x14ac:dyDescent="0.35">
      <c r="A1868" s="188"/>
      <c r="B1868" s="190"/>
      <c r="C1868" s="99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0"/>
      <c r="E1868" s="78" t="str">
        <f>IF(C1868="","",IFERROR(VLOOKUP(C1868,parametros!$A$11:$E$15,5,0),""))</f>
        <v/>
      </c>
      <c r="F1868" s="79" t="str">
        <f t="shared" si="147"/>
        <v/>
      </c>
      <c r="G1868" s="101"/>
      <c r="H1868" s="91">
        <f t="shared" si="148"/>
        <v>0</v>
      </c>
      <c r="I1868" s="91" t="str">
        <f t="shared" si="149"/>
        <v/>
      </c>
      <c r="J1868" s="91" t="str">
        <f t="shared" si="150"/>
        <v/>
      </c>
      <c r="K1868" s="92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2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58"/>
      <c r="U1868" s="217" t="str">
        <f t="shared" si="151"/>
        <v/>
      </c>
      <c r="V1868" s="215" t="s">
        <v>47</v>
      </c>
      <c r="W1868" s="102" t="s">
        <v>136</v>
      </c>
      <c r="X1868" s="102" t="s">
        <v>137</v>
      </c>
      <c r="Y1868" s="103" t="s">
        <v>138</v>
      </c>
      <c r="Z1868" s="103" t="s">
        <v>139</v>
      </c>
      <c r="AA1868" s="103" t="s">
        <v>47</v>
      </c>
      <c r="AB1868" s="103" t="s">
        <v>140</v>
      </c>
      <c r="AC1868" s="104" t="s">
        <v>141</v>
      </c>
    </row>
    <row r="1869" spans="1:29" ht="25.5" customHeight="1" x14ac:dyDescent="0.35">
      <c r="A1869" s="188"/>
      <c r="B1869" s="190"/>
      <c r="C1869" s="99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0"/>
      <c r="E1869" s="78" t="str">
        <f>IF(C1869="","",IFERROR(VLOOKUP(C1869,parametros!$A$11:$E$15,5,0),""))</f>
        <v/>
      </c>
      <c r="F1869" s="79" t="str">
        <f t="shared" si="147"/>
        <v/>
      </c>
      <c r="G1869" s="101"/>
      <c r="H1869" s="91">
        <f t="shared" si="148"/>
        <v>0</v>
      </c>
      <c r="I1869" s="91" t="str">
        <f t="shared" si="149"/>
        <v/>
      </c>
      <c r="J1869" s="91" t="str">
        <f t="shared" si="150"/>
        <v/>
      </c>
      <c r="K1869" s="92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2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58"/>
      <c r="U1869" s="217" t="str">
        <f t="shared" si="151"/>
        <v/>
      </c>
      <c r="V1869" s="215" t="s">
        <v>47</v>
      </c>
      <c r="W1869" s="102" t="s">
        <v>136</v>
      </c>
      <c r="X1869" s="102" t="s">
        <v>137</v>
      </c>
      <c r="Y1869" s="103" t="s">
        <v>138</v>
      </c>
      <c r="Z1869" s="103" t="s">
        <v>139</v>
      </c>
      <c r="AA1869" s="103" t="s">
        <v>47</v>
      </c>
      <c r="AB1869" s="103" t="s">
        <v>140</v>
      </c>
      <c r="AC1869" s="104" t="s">
        <v>141</v>
      </c>
    </row>
    <row r="1870" spans="1:29" ht="25.5" customHeight="1" x14ac:dyDescent="0.35">
      <c r="A1870" s="188"/>
      <c r="B1870" s="190"/>
      <c r="C1870" s="99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0"/>
      <c r="E1870" s="78" t="str">
        <f>IF(C1870="","",IFERROR(VLOOKUP(C1870,parametros!$A$11:$E$15,5,0),""))</f>
        <v/>
      </c>
      <c r="F1870" s="79" t="str">
        <f t="shared" si="147"/>
        <v/>
      </c>
      <c r="G1870" s="101"/>
      <c r="H1870" s="91">
        <f t="shared" si="148"/>
        <v>0</v>
      </c>
      <c r="I1870" s="91" t="str">
        <f t="shared" si="149"/>
        <v/>
      </c>
      <c r="J1870" s="91" t="str">
        <f t="shared" si="150"/>
        <v/>
      </c>
      <c r="K1870" s="92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2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58"/>
      <c r="U1870" s="217" t="str">
        <f t="shared" si="151"/>
        <v/>
      </c>
      <c r="V1870" s="215" t="s">
        <v>47</v>
      </c>
      <c r="W1870" s="102" t="s">
        <v>136</v>
      </c>
      <c r="X1870" s="102" t="s">
        <v>137</v>
      </c>
      <c r="Y1870" s="103" t="s">
        <v>138</v>
      </c>
      <c r="Z1870" s="103" t="s">
        <v>139</v>
      </c>
      <c r="AA1870" s="103" t="s">
        <v>47</v>
      </c>
      <c r="AB1870" s="103" t="s">
        <v>140</v>
      </c>
      <c r="AC1870" s="104" t="s">
        <v>141</v>
      </c>
    </row>
    <row r="1871" spans="1:29" ht="25.5" customHeight="1" x14ac:dyDescent="0.35">
      <c r="A1871" s="188"/>
      <c r="B1871" s="190"/>
      <c r="C1871" s="99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0"/>
      <c r="E1871" s="78" t="str">
        <f>IF(C1871="","",IFERROR(VLOOKUP(C1871,parametros!$A$11:$E$15,5,0),""))</f>
        <v/>
      </c>
      <c r="F1871" s="79" t="str">
        <f t="shared" si="147"/>
        <v/>
      </c>
      <c r="G1871" s="101"/>
      <c r="H1871" s="91">
        <f t="shared" si="148"/>
        <v>0</v>
      </c>
      <c r="I1871" s="91" t="str">
        <f t="shared" si="149"/>
        <v/>
      </c>
      <c r="J1871" s="91" t="str">
        <f t="shared" si="150"/>
        <v/>
      </c>
      <c r="K1871" s="92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2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58"/>
      <c r="U1871" s="217" t="str">
        <f t="shared" si="151"/>
        <v/>
      </c>
      <c r="V1871" s="215" t="s">
        <v>47</v>
      </c>
      <c r="W1871" s="102" t="s">
        <v>136</v>
      </c>
      <c r="X1871" s="102" t="s">
        <v>137</v>
      </c>
      <c r="Y1871" s="103" t="s">
        <v>138</v>
      </c>
      <c r="Z1871" s="103" t="s">
        <v>139</v>
      </c>
      <c r="AA1871" s="103" t="s">
        <v>47</v>
      </c>
      <c r="AB1871" s="103" t="s">
        <v>140</v>
      </c>
      <c r="AC1871" s="104" t="s">
        <v>141</v>
      </c>
    </row>
    <row r="1872" spans="1:29" ht="25.5" customHeight="1" x14ac:dyDescent="0.35">
      <c r="A1872" s="188"/>
      <c r="B1872" s="190"/>
      <c r="C1872" s="99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0"/>
      <c r="E1872" s="78" t="str">
        <f>IF(C1872="","",IFERROR(VLOOKUP(C1872,parametros!$A$11:$E$15,5,0),""))</f>
        <v/>
      </c>
      <c r="F1872" s="79" t="str">
        <f t="shared" si="147"/>
        <v/>
      </c>
      <c r="G1872" s="101"/>
      <c r="H1872" s="91">
        <f t="shared" si="148"/>
        <v>0</v>
      </c>
      <c r="I1872" s="91" t="str">
        <f t="shared" si="149"/>
        <v/>
      </c>
      <c r="J1872" s="91" t="str">
        <f t="shared" si="150"/>
        <v/>
      </c>
      <c r="K1872" s="92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2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58"/>
      <c r="U1872" s="217" t="str">
        <f t="shared" si="151"/>
        <v/>
      </c>
      <c r="V1872" s="215" t="s">
        <v>47</v>
      </c>
      <c r="W1872" s="102" t="s">
        <v>136</v>
      </c>
      <c r="X1872" s="102" t="s">
        <v>137</v>
      </c>
      <c r="Y1872" s="103" t="s">
        <v>138</v>
      </c>
      <c r="Z1872" s="103" t="s">
        <v>139</v>
      </c>
      <c r="AA1872" s="103" t="s">
        <v>47</v>
      </c>
      <c r="AB1872" s="103" t="s">
        <v>140</v>
      </c>
      <c r="AC1872" s="104" t="s">
        <v>141</v>
      </c>
    </row>
    <row r="1873" spans="1:29" ht="25.5" customHeight="1" x14ac:dyDescent="0.35">
      <c r="A1873" s="188"/>
      <c r="B1873" s="190"/>
      <c r="C1873" s="99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0"/>
      <c r="E1873" s="78" t="str">
        <f>IF(C1873="","",IFERROR(VLOOKUP(C1873,parametros!$A$11:$E$15,5,0),""))</f>
        <v/>
      </c>
      <c r="F1873" s="79" t="str">
        <f t="shared" si="147"/>
        <v/>
      </c>
      <c r="G1873" s="101"/>
      <c r="H1873" s="91">
        <f t="shared" si="148"/>
        <v>0</v>
      </c>
      <c r="I1873" s="91" t="str">
        <f t="shared" si="149"/>
        <v/>
      </c>
      <c r="J1873" s="91" t="str">
        <f t="shared" si="150"/>
        <v/>
      </c>
      <c r="K1873" s="92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2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58"/>
      <c r="U1873" s="217" t="str">
        <f t="shared" si="151"/>
        <v/>
      </c>
      <c r="V1873" s="215" t="s">
        <v>47</v>
      </c>
      <c r="W1873" s="102" t="s">
        <v>136</v>
      </c>
      <c r="X1873" s="102" t="s">
        <v>137</v>
      </c>
      <c r="Y1873" s="103" t="s">
        <v>138</v>
      </c>
      <c r="Z1873" s="103" t="s">
        <v>139</v>
      </c>
      <c r="AA1873" s="103" t="s">
        <v>47</v>
      </c>
      <c r="AB1873" s="103" t="s">
        <v>140</v>
      </c>
      <c r="AC1873" s="104" t="s">
        <v>141</v>
      </c>
    </row>
    <row r="1874" spans="1:29" ht="25.5" customHeight="1" x14ac:dyDescent="0.35">
      <c r="A1874" s="188"/>
      <c r="B1874" s="190"/>
      <c r="C1874" s="99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0"/>
      <c r="E1874" s="78" t="str">
        <f>IF(C1874="","",IFERROR(VLOOKUP(C1874,parametros!$A$11:$E$15,5,0),""))</f>
        <v/>
      </c>
      <c r="F1874" s="79" t="str">
        <f t="shared" si="147"/>
        <v/>
      </c>
      <c r="G1874" s="101"/>
      <c r="H1874" s="91">
        <f t="shared" si="148"/>
        <v>0</v>
      </c>
      <c r="I1874" s="91" t="str">
        <f t="shared" si="149"/>
        <v/>
      </c>
      <c r="J1874" s="91" t="str">
        <f t="shared" si="150"/>
        <v/>
      </c>
      <c r="K1874" s="92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2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58"/>
      <c r="U1874" s="217" t="str">
        <f t="shared" si="151"/>
        <v/>
      </c>
      <c r="V1874" s="215" t="s">
        <v>47</v>
      </c>
      <c r="W1874" s="102" t="s">
        <v>136</v>
      </c>
      <c r="X1874" s="102" t="s">
        <v>137</v>
      </c>
      <c r="Y1874" s="103" t="s">
        <v>138</v>
      </c>
      <c r="Z1874" s="103" t="s">
        <v>139</v>
      </c>
      <c r="AA1874" s="103" t="s">
        <v>47</v>
      </c>
      <c r="AB1874" s="103" t="s">
        <v>140</v>
      </c>
      <c r="AC1874" s="104" t="s">
        <v>141</v>
      </c>
    </row>
    <row r="1875" spans="1:29" ht="25.5" customHeight="1" x14ac:dyDescent="0.35">
      <c r="A1875" s="188"/>
      <c r="B1875" s="190"/>
      <c r="C1875" s="99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0"/>
      <c r="E1875" s="78" t="str">
        <f>IF(C1875="","",IFERROR(VLOOKUP(C1875,parametros!$A$11:$E$15,5,0),""))</f>
        <v/>
      </c>
      <c r="F1875" s="79" t="str">
        <f t="shared" si="147"/>
        <v/>
      </c>
      <c r="G1875" s="101"/>
      <c r="H1875" s="91">
        <f t="shared" si="148"/>
        <v>0</v>
      </c>
      <c r="I1875" s="91" t="str">
        <f t="shared" si="149"/>
        <v/>
      </c>
      <c r="J1875" s="91" t="str">
        <f t="shared" si="150"/>
        <v/>
      </c>
      <c r="K1875" s="92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2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58"/>
      <c r="U1875" s="217" t="str">
        <f t="shared" si="151"/>
        <v/>
      </c>
      <c r="V1875" s="215" t="s">
        <v>47</v>
      </c>
      <c r="W1875" s="102" t="s">
        <v>136</v>
      </c>
      <c r="X1875" s="102" t="s">
        <v>137</v>
      </c>
      <c r="Y1875" s="103" t="s">
        <v>138</v>
      </c>
      <c r="Z1875" s="103" t="s">
        <v>139</v>
      </c>
      <c r="AA1875" s="103" t="s">
        <v>47</v>
      </c>
      <c r="AB1875" s="103" t="s">
        <v>140</v>
      </c>
      <c r="AC1875" s="104" t="s">
        <v>141</v>
      </c>
    </row>
    <row r="1876" spans="1:29" ht="25.5" customHeight="1" x14ac:dyDescent="0.35">
      <c r="A1876" s="188"/>
      <c r="B1876" s="190"/>
      <c r="C1876" s="99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0"/>
      <c r="E1876" s="78" t="str">
        <f>IF(C1876="","",IFERROR(VLOOKUP(C1876,parametros!$A$11:$E$15,5,0),""))</f>
        <v/>
      </c>
      <c r="F1876" s="79" t="str">
        <f t="shared" si="147"/>
        <v/>
      </c>
      <c r="G1876" s="101"/>
      <c r="H1876" s="91">
        <f t="shared" si="148"/>
        <v>0</v>
      </c>
      <c r="I1876" s="91" t="str">
        <f t="shared" si="149"/>
        <v/>
      </c>
      <c r="J1876" s="91" t="str">
        <f t="shared" si="150"/>
        <v/>
      </c>
      <c r="K1876" s="92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2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58"/>
      <c r="U1876" s="217" t="str">
        <f t="shared" si="151"/>
        <v/>
      </c>
      <c r="V1876" s="215" t="s">
        <v>47</v>
      </c>
      <c r="W1876" s="102" t="s">
        <v>136</v>
      </c>
      <c r="X1876" s="102" t="s">
        <v>137</v>
      </c>
      <c r="Y1876" s="103" t="s">
        <v>138</v>
      </c>
      <c r="Z1876" s="103" t="s">
        <v>139</v>
      </c>
      <c r="AA1876" s="103" t="s">
        <v>47</v>
      </c>
      <c r="AB1876" s="103" t="s">
        <v>140</v>
      </c>
      <c r="AC1876" s="104" t="s">
        <v>141</v>
      </c>
    </row>
    <row r="1877" spans="1:29" ht="25.5" customHeight="1" x14ac:dyDescent="0.35">
      <c r="A1877" s="188"/>
      <c r="B1877" s="190"/>
      <c r="C1877" s="99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0"/>
      <c r="E1877" s="78" t="str">
        <f>IF(C1877="","",IFERROR(VLOOKUP(C1877,parametros!$A$11:$E$15,5,0),""))</f>
        <v/>
      </c>
      <c r="F1877" s="79" t="str">
        <f t="shared" si="147"/>
        <v/>
      </c>
      <c r="G1877" s="101"/>
      <c r="H1877" s="91">
        <f t="shared" si="148"/>
        <v>0</v>
      </c>
      <c r="I1877" s="91" t="str">
        <f t="shared" si="149"/>
        <v/>
      </c>
      <c r="J1877" s="91" t="str">
        <f t="shared" si="150"/>
        <v/>
      </c>
      <c r="K1877" s="92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2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58"/>
      <c r="U1877" s="217" t="str">
        <f t="shared" si="151"/>
        <v/>
      </c>
      <c r="V1877" s="215" t="s">
        <v>47</v>
      </c>
      <c r="W1877" s="102" t="s">
        <v>136</v>
      </c>
      <c r="X1877" s="102" t="s">
        <v>137</v>
      </c>
      <c r="Y1877" s="103" t="s">
        <v>138</v>
      </c>
      <c r="Z1877" s="103" t="s">
        <v>139</v>
      </c>
      <c r="AA1877" s="103" t="s">
        <v>47</v>
      </c>
      <c r="AB1877" s="103" t="s">
        <v>140</v>
      </c>
      <c r="AC1877" s="104" t="s">
        <v>141</v>
      </c>
    </row>
    <row r="1878" spans="1:29" ht="25.5" customHeight="1" x14ac:dyDescent="0.35">
      <c r="A1878" s="188"/>
      <c r="B1878" s="190"/>
      <c r="C1878" s="99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0"/>
      <c r="E1878" s="78" t="str">
        <f>IF(C1878="","",IFERROR(VLOOKUP(C1878,parametros!$A$11:$E$15,5,0),""))</f>
        <v/>
      </c>
      <c r="F1878" s="79" t="str">
        <f t="shared" si="147"/>
        <v/>
      </c>
      <c r="G1878" s="101"/>
      <c r="H1878" s="91">
        <f t="shared" si="148"/>
        <v>0</v>
      </c>
      <c r="I1878" s="91" t="str">
        <f t="shared" si="149"/>
        <v/>
      </c>
      <c r="J1878" s="91" t="str">
        <f t="shared" si="150"/>
        <v/>
      </c>
      <c r="K1878" s="92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2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58"/>
      <c r="U1878" s="217" t="str">
        <f t="shared" si="151"/>
        <v/>
      </c>
      <c r="V1878" s="215" t="s">
        <v>47</v>
      </c>
      <c r="W1878" s="102" t="s">
        <v>136</v>
      </c>
      <c r="X1878" s="102" t="s">
        <v>137</v>
      </c>
      <c r="Y1878" s="103" t="s">
        <v>138</v>
      </c>
      <c r="Z1878" s="103" t="s">
        <v>139</v>
      </c>
      <c r="AA1878" s="103" t="s">
        <v>47</v>
      </c>
      <c r="AB1878" s="103" t="s">
        <v>140</v>
      </c>
      <c r="AC1878" s="104" t="s">
        <v>141</v>
      </c>
    </row>
    <row r="1879" spans="1:29" ht="25.5" customHeight="1" x14ac:dyDescent="0.35">
      <c r="A1879" s="188"/>
      <c r="B1879" s="190"/>
      <c r="C1879" s="99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0"/>
      <c r="E1879" s="78" t="str">
        <f>IF(C1879="","",IFERROR(VLOOKUP(C1879,parametros!$A$11:$E$15,5,0),""))</f>
        <v/>
      </c>
      <c r="F1879" s="79" t="str">
        <f t="shared" si="147"/>
        <v/>
      </c>
      <c r="G1879" s="101"/>
      <c r="H1879" s="91">
        <f t="shared" si="148"/>
        <v>0</v>
      </c>
      <c r="I1879" s="91" t="str">
        <f t="shared" si="149"/>
        <v/>
      </c>
      <c r="J1879" s="91" t="str">
        <f t="shared" si="150"/>
        <v/>
      </c>
      <c r="K1879" s="92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2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58"/>
      <c r="U1879" s="217" t="str">
        <f t="shared" si="151"/>
        <v/>
      </c>
      <c r="V1879" s="215" t="s">
        <v>47</v>
      </c>
      <c r="W1879" s="102" t="s">
        <v>136</v>
      </c>
      <c r="X1879" s="102" t="s">
        <v>137</v>
      </c>
      <c r="Y1879" s="103" t="s">
        <v>138</v>
      </c>
      <c r="Z1879" s="103" t="s">
        <v>139</v>
      </c>
      <c r="AA1879" s="103" t="s">
        <v>47</v>
      </c>
      <c r="AB1879" s="103" t="s">
        <v>140</v>
      </c>
      <c r="AC1879" s="104" t="s">
        <v>141</v>
      </c>
    </row>
    <row r="1880" spans="1:29" ht="25.5" customHeight="1" x14ac:dyDescent="0.35">
      <c r="A1880" s="188"/>
      <c r="B1880" s="190"/>
      <c r="C1880" s="99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0"/>
      <c r="E1880" s="78" t="str">
        <f>IF(C1880="","",IFERROR(VLOOKUP(C1880,parametros!$A$11:$E$15,5,0),""))</f>
        <v/>
      </c>
      <c r="F1880" s="79" t="str">
        <f t="shared" si="147"/>
        <v/>
      </c>
      <c r="G1880" s="101"/>
      <c r="H1880" s="91">
        <f t="shared" si="148"/>
        <v>0</v>
      </c>
      <c r="I1880" s="91" t="str">
        <f t="shared" si="149"/>
        <v/>
      </c>
      <c r="J1880" s="91" t="str">
        <f t="shared" si="150"/>
        <v/>
      </c>
      <c r="K1880" s="92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2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58"/>
      <c r="U1880" s="217" t="str">
        <f t="shared" si="151"/>
        <v/>
      </c>
      <c r="V1880" s="215" t="s">
        <v>47</v>
      </c>
      <c r="W1880" s="102" t="s">
        <v>136</v>
      </c>
      <c r="X1880" s="102" t="s">
        <v>137</v>
      </c>
      <c r="Y1880" s="103" t="s">
        <v>138</v>
      </c>
      <c r="Z1880" s="103" t="s">
        <v>139</v>
      </c>
      <c r="AA1880" s="103" t="s">
        <v>47</v>
      </c>
      <c r="AB1880" s="103" t="s">
        <v>140</v>
      </c>
      <c r="AC1880" s="104" t="s">
        <v>141</v>
      </c>
    </row>
    <row r="1881" spans="1:29" ht="25.5" customHeight="1" x14ac:dyDescent="0.35">
      <c r="A1881" s="188"/>
      <c r="B1881" s="190"/>
      <c r="C1881" s="99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0"/>
      <c r="E1881" s="78" t="str">
        <f>IF(C1881="","",IFERROR(VLOOKUP(C1881,parametros!$A$11:$E$15,5,0),""))</f>
        <v/>
      </c>
      <c r="F1881" s="79" t="str">
        <f t="shared" si="147"/>
        <v/>
      </c>
      <c r="G1881" s="101"/>
      <c r="H1881" s="91">
        <f t="shared" si="148"/>
        <v>0</v>
      </c>
      <c r="I1881" s="91" t="str">
        <f t="shared" si="149"/>
        <v/>
      </c>
      <c r="J1881" s="91" t="str">
        <f t="shared" si="150"/>
        <v/>
      </c>
      <c r="K1881" s="92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2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58"/>
      <c r="U1881" s="217" t="str">
        <f t="shared" si="151"/>
        <v/>
      </c>
      <c r="V1881" s="215" t="s">
        <v>47</v>
      </c>
      <c r="W1881" s="102" t="s">
        <v>136</v>
      </c>
      <c r="X1881" s="102" t="s">
        <v>137</v>
      </c>
      <c r="Y1881" s="103" t="s">
        <v>138</v>
      </c>
      <c r="Z1881" s="103" t="s">
        <v>139</v>
      </c>
      <c r="AA1881" s="103" t="s">
        <v>47</v>
      </c>
      <c r="AB1881" s="103" t="s">
        <v>140</v>
      </c>
      <c r="AC1881" s="104" t="s">
        <v>141</v>
      </c>
    </row>
    <row r="1882" spans="1:29" ht="25.5" customHeight="1" x14ac:dyDescent="0.35">
      <c r="A1882" s="188"/>
      <c r="B1882" s="190"/>
      <c r="C1882" s="99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0"/>
      <c r="E1882" s="78" t="str">
        <f>IF(C1882="","",IFERROR(VLOOKUP(C1882,parametros!$A$11:$E$15,5,0),""))</f>
        <v/>
      </c>
      <c r="F1882" s="79" t="str">
        <f t="shared" si="147"/>
        <v/>
      </c>
      <c r="G1882" s="101"/>
      <c r="H1882" s="91">
        <f t="shared" si="148"/>
        <v>0</v>
      </c>
      <c r="I1882" s="91" t="str">
        <f t="shared" si="149"/>
        <v/>
      </c>
      <c r="J1882" s="91" t="str">
        <f t="shared" si="150"/>
        <v/>
      </c>
      <c r="K1882" s="92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2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58"/>
      <c r="U1882" s="217" t="str">
        <f t="shared" si="151"/>
        <v/>
      </c>
      <c r="V1882" s="215" t="s">
        <v>47</v>
      </c>
      <c r="W1882" s="102" t="s">
        <v>136</v>
      </c>
      <c r="X1882" s="102" t="s">
        <v>137</v>
      </c>
      <c r="Y1882" s="103" t="s">
        <v>138</v>
      </c>
      <c r="Z1882" s="103" t="s">
        <v>139</v>
      </c>
      <c r="AA1882" s="103" t="s">
        <v>47</v>
      </c>
      <c r="AB1882" s="103" t="s">
        <v>140</v>
      </c>
      <c r="AC1882" s="104" t="s">
        <v>141</v>
      </c>
    </row>
    <row r="1883" spans="1:29" ht="25.5" customHeight="1" x14ac:dyDescent="0.35">
      <c r="A1883" s="188"/>
      <c r="B1883" s="190"/>
      <c r="C1883" s="99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0"/>
      <c r="E1883" s="78" t="str">
        <f>IF(C1883="","",IFERROR(VLOOKUP(C1883,parametros!$A$11:$E$15,5,0),""))</f>
        <v/>
      </c>
      <c r="F1883" s="79" t="str">
        <f t="shared" si="147"/>
        <v/>
      </c>
      <c r="G1883" s="101"/>
      <c r="H1883" s="91">
        <f t="shared" si="148"/>
        <v>0</v>
      </c>
      <c r="I1883" s="91" t="str">
        <f t="shared" si="149"/>
        <v/>
      </c>
      <c r="J1883" s="91" t="str">
        <f t="shared" si="150"/>
        <v/>
      </c>
      <c r="K1883" s="92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2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58"/>
      <c r="U1883" s="217" t="str">
        <f t="shared" si="151"/>
        <v/>
      </c>
      <c r="V1883" s="215" t="s">
        <v>47</v>
      </c>
      <c r="W1883" s="102" t="s">
        <v>136</v>
      </c>
      <c r="X1883" s="102" t="s">
        <v>137</v>
      </c>
      <c r="Y1883" s="103" t="s">
        <v>138</v>
      </c>
      <c r="Z1883" s="103" t="s">
        <v>139</v>
      </c>
      <c r="AA1883" s="103" t="s">
        <v>47</v>
      </c>
      <c r="AB1883" s="103" t="s">
        <v>140</v>
      </c>
      <c r="AC1883" s="104" t="s">
        <v>141</v>
      </c>
    </row>
    <row r="1884" spans="1:29" ht="25.5" customHeight="1" x14ac:dyDescent="0.35">
      <c r="A1884" s="188"/>
      <c r="B1884" s="190"/>
      <c r="C1884" s="99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0"/>
      <c r="E1884" s="78" t="str">
        <f>IF(C1884="","",IFERROR(VLOOKUP(C1884,parametros!$A$11:$E$15,5,0),""))</f>
        <v/>
      </c>
      <c r="F1884" s="79" t="str">
        <f t="shared" si="147"/>
        <v/>
      </c>
      <c r="G1884" s="101"/>
      <c r="H1884" s="91">
        <f t="shared" si="148"/>
        <v>0</v>
      </c>
      <c r="I1884" s="91" t="str">
        <f t="shared" si="149"/>
        <v/>
      </c>
      <c r="J1884" s="91" t="str">
        <f t="shared" si="150"/>
        <v/>
      </c>
      <c r="K1884" s="92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2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58"/>
      <c r="U1884" s="217" t="str">
        <f t="shared" si="151"/>
        <v/>
      </c>
      <c r="V1884" s="215" t="s">
        <v>47</v>
      </c>
      <c r="W1884" s="102" t="s">
        <v>136</v>
      </c>
      <c r="X1884" s="102" t="s">
        <v>137</v>
      </c>
      <c r="Y1884" s="103" t="s">
        <v>138</v>
      </c>
      <c r="Z1884" s="103" t="s">
        <v>139</v>
      </c>
      <c r="AA1884" s="103" t="s">
        <v>47</v>
      </c>
      <c r="AB1884" s="103" t="s">
        <v>140</v>
      </c>
      <c r="AC1884" s="104" t="s">
        <v>141</v>
      </c>
    </row>
    <row r="1885" spans="1:29" ht="25.5" customHeight="1" x14ac:dyDescent="0.35">
      <c r="A1885" s="188"/>
      <c r="B1885" s="190"/>
      <c r="C1885" s="99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0"/>
      <c r="E1885" s="78" t="str">
        <f>IF(C1885="","",IFERROR(VLOOKUP(C1885,parametros!$A$11:$E$15,5,0),""))</f>
        <v/>
      </c>
      <c r="F1885" s="79" t="str">
        <f t="shared" si="147"/>
        <v/>
      </c>
      <c r="G1885" s="101"/>
      <c r="H1885" s="91">
        <f t="shared" si="148"/>
        <v>0</v>
      </c>
      <c r="I1885" s="91" t="str">
        <f t="shared" si="149"/>
        <v/>
      </c>
      <c r="J1885" s="91" t="str">
        <f t="shared" si="150"/>
        <v/>
      </c>
      <c r="K1885" s="92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2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58"/>
      <c r="U1885" s="217" t="str">
        <f t="shared" si="151"/>
        <v/>
      </c>
      <c r="V1885" s="215" t="s">
        <v>47</v>
      </c>
      <c r="W1885" s="102" t="s">
        <v>136</v>
      </c>
      <c r="X1885" s="102" t="s">
        <v>137</v>
      </c>
      <c r="Y1885" s="103" t="s">
        <v>138</v>
      </c>
      <c r="Z1885" s="103" t="s">
        <v>139</v>
      </c>
      <c r="AA1885" s="103" t="s">
        <v>47</v>
      </c>
      <c r="AB1885" s="103" t="s">
        <v>140</v>
      </c>
      <c r="AC1885" s="104" t="s">
        <v>141</v>
      </c>
    </row>
    <row r="1886" spans="1:29" ht="25.5" customHeight="1" x14ac:dyDescent="0.35">
      <c r="A1886" s="188"/>
      <c r="B1886" s="190"/>
      <c r="C1886" s="99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0"/>
      <c r="E1886" s="78" t="str">
        <f>IF(C1886="","",IFERROR(VLOOKUP(C1886,parametros!$A$11:$E$15,5,0),""))</f>
        <v/>
      </c>
      <c r="F1886" s="79" t="str">
        <f t="shared" si="147"/>
        <v/>
      </c>
      <c r="G1886" s="101"/>
      <c r="H1886" s="91">
        <f t="shared" si="148"/>
        <v>0</v>
      </c>
      <c r="I1886" s="91" t="str">
        <f t="shared" si="149"/>
        <v/>
      </c>
      <c r="J1886" s="91" t="str">
        <f t="shared" si="150"/>
        <v/>
      </c>
      <c r="K1886" s="92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2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58"/>
      <c r="U1886" s="217" t="str">
        <f t="shared" si="151"/>
        <v/>
      </c>
      <c r="V1886" s="215" t="s">
        <v>47</v>
      </c>
      <c r="W1886" s="102" t="s">
        <v>136</v>
      </c>
      <c r="X1886" s="102" t="s">
        <v>137</v>
      </c>
      <c r="Y1886" s="103" t="s">
        <v>138</v>
      </c>
      <c r="Z1886" s="103" t="s">
        <v>139</v>
      </c>
      <c r="AA1886" s="103" t="s">
        <v>47</v>
      </c>
      <c r="AB1886" s="103" t="s">
        <v>140</v>
      </c>
      <c r="AC1886" s="104" t="s">
        <v>141</v>
      </c>
    </row>
    <row r="1887" spans="1:29" ht="25.5" customHeight="1" x14ac:dyDescent="0.35">
      <c r="A1887" s="188"/>
      <c r="B1887" s="190"/>
      <c r="C1887" s="99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0"/>
      <c r="E1887" s="78" t="str">
        <f>IF(C1887="","",IFERROR(VLOOKUP(C1887,parametros!$A$11:$E$15,5,0),""))</f>
        <v/>
      </c>
      <c r="F1887" s="79" t="str">
        <f t="shared" si="147"/>
        <v/>
      </c>
      <c r="G1887" s="101"/>
      <c r="H1887" s="91">
        <f t="shared" si="148"/>
        <v>0</v>
      </c>
      <c r="I1887" s="91" t="str">
        <f t="shared" si="149"/>
        <v/>
      </c>
      <c r="J1887" s="91" t="str">
        <f t="shared" si="150"/>
        <v/>
      </c>
      <c r="K1887" s="92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2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58"/>
      <c r="U1887" s="217" t="str">
        <f t="shared" si="151"/>
        <v/>
      </c>
      <c r="V1887" s="215" t="s">
        <v>47</v>
      </c>
      <c r="W1887" s="102" t="s">
        <v>136</v>
      </c>
      <c r="X1887" s="102" t="s">
        <v>137</v>
      </c>
      <c r="Y1887" s="103" t="s">
        <v>138</v>
      </c>
      <c r="Z1887" s="103" t="s">
        <v>139</v>
      </c>
      <c r="AA1887" s="103" t="s">
        <v>47</v>
      </c>
      <c r="AB1887" s="103" t="s">
        <v>140</v>
      </c>
      <c r="AC1887" s="104" t="s">
        <v>141</v>
      </c>
    </row>
    <row r="1888" spans="1:29" ht="25.5" customHeight="1" x14ac:dyDescent="0.35">
      <c r="A1888" s="188"/>
      <c r="B1888" s="190"/>
      <c r="C1888" s="99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0"/>
      <c r="E1888" s="78" t="str">
        <f>IF(C1888="","",IFERROR(VLOOKUP(C1888,parametros!$A$11:$E$15,5,0),""))</f>
        <v/>
      </c>
      <c r="F1888" s="79" t="str">
        <f t="shared" si="147"/>
        <v/>
      </c>
      <c r="G1888" s="101"/>
      <c r="H1888" s="91">
        <f t="shared" si="148"/>
        <v>0</v>
      </c>
      <c r="I1888" s="91" t="str">
        <f t="shared" si="149"/>
        <v/>
      </c>
      <c r="J1888" s="91" t="str">
        <f t="shared" si="150"/>
        <v/>
      </c>
      <c r="K1888" s="92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2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58"/>
      <c r="U1888" s="217" t="str">
        <f t="shared" si="151"/>
        <v/>
      </c>
      <c r="V1888" s="215" t="s">
        <v>47</v>
      </c>
      <c r="W1888" s="102" t="s">
        <v>136</v>
      </c>
      <c r="X1888" s="102" t="s">
        <v>137</v>
      </c>
      <c r="Y1888" s="103" t="s">
        <v>138</v>
      </c>
      <c r="Z1888" s="103" t="s">
        <v>139</v>
      </c>
      <c r="AA1888" s="103" t="s">
        <v>47</v>
      </c>
      <c r="AB1888" s="103" t="s">
        <v>140</v>
      </c>
      <c r="AC1888" s="104" t="s">
        <v>141</v>
      </c>
    </row>
    <row r="1889" spans="1:29" ht="25.5" customHeight="1" x14ac:dyDescent="0.35">
      <c r="A1889" s="188"/>
      <c r="B1889" s="190"/>
      <c r="C1889" s="99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0"/>
      <c r="E1889" s="78" t="str">
        <f>IF(C1889="","",IFERROR(VLOOKUP(C1889,parametros!$A$11:$E$15,5,0),""))</f>
        <v/>
      </c>
      <c r="F1889" s="79" t="str">
        <f t="shared" si="147"/>
        <v/>
      </c>
      <c r="G1889" s="101"/>
      <c r="H1889" s="91">
        <f t="shared" si="148"/>
        <v>0</v>
      </c>
      <c r="I1889" s="91" t="str">
        <f t="shared" si="149"/>
        <v/>
      </c>
      <c r="J1889" s="91" t="str">
        <f t="shared" si="150"/>
        <v/>
      </c>
      <c r="K1889" s="92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2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58"/>
      <c r="U1889" s="217" t="str">
        <f t="shared" si="151"/>
        <v/>
      </c>
      <c r="V1889" s="215" t="s">
        <v>47</v>
      </c>
      <c r="W1889" s="102" t="s">
        <v>136</v>
      </c>
      <c r="X1889" s="102" t="s">
        <v>137</v>
      </c>
      <c r="Y1889" s="103" t="s">
        <v>138</v>
      </c>
      <c r="Z1889" s="103" t="s">
        <v>139</v>
      </c>
      <c r="AA1889" s="103" t="s">
        <v>47</v>
      </c>
      <c r="AB1889" s="103" t="s">
        <v>140</v>
      </c>
      <c r="AC1889" s="104" t="s">
        <v>141</v>
      </c>
    </row>
    <row r="1890" spans="1:29" ht="25.5" customHeight="1" x14ac:dyDescent="0.35">
      <c r="A1890" s="188"/>
      <c r="B1890" s="190"/>
      <c r="C1890" s="99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0"/>
      <c r="E1890" s="78" t="str">
        <f>IF(C1890="","",IFERROR(VLOOKUP(C1890,parametros!$A$11:$E$15,5,0),""))</f>
        <v/>
      </c>
      <c r="F1890" s="79" t="str">
        <f t="shared" si="147"/>
        <v/>
      </c>
      <c r="G1890" s="101"/>
      <c r="H1890" s="91">
        <f t="shared" si="148"/>
        <v>0</v>
      </c>
      <c r="I1890" s="91" t="str">
        <f t="shared" si="149"/>
        <v/>
      </c>
      <c r="J1890" s="91" t="str">
        <f t="shared" si="150"/>
        <v/>
      </c>
      <c r="K1890" s="92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2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58"/>
      <c r="U1890" s="217" t="str">
        <f t="shared" si="151"/>
        <v/>
      </c>
      <c r="V1890" s="215" t="s">
        <v>47</v>
      </c>
      <c r="W1890" s="102" t="s">
        <v>136</v>
      </c>
      <c r="X1890" s="102" t="s">
        <v>137</v>
      </c>
      <c r="Y1890" s="103" t="s">
        <v>138</v>
      </c>
      <c r="Z1890" s="103" t="s">
        <v>139</v>
      </c>
      <c r="AA1890" s="103" t="s">
        <v>47</v>
      </c>
      <c r="AB1890" s="103" t="s">
        <v>140</v>
      </c>
      <c r="AC1890" s="104" t="s">
        <v>141</v>
      </c>
    </row>
    <row r="1891" spans="1:29" ht="25.5" customHeight="1" x14ac:dyDescent="0.35">
      <c r="A1891" s="188"/>
      <c r="B1891" s="190"/>
      <c r="C1891" s="99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0"/>
      <c r="E1891" s="78" t="str">
        <f>IF(C1891="","",IFERROR(VLOOKUP(C1891,parametros!$A$11:$E$15,5,0),""))</f>
        <v/>
      </c>
      <c r="F1891" s="79" t="str">
        <f t="shared" si="147"/>
        <v/>
      </c>
      <c r="G1891" s="101"/>
      <c r="H1891" s="91">
        <f t="shared" si="148"/>
        <v>0</v>
      </c>
      <c r="I1891" s="91" t="str">
        <f t="shared" si="149"/>
        <v/>
      </c>
      <c r="J1891" s="91" t="str">
        <f t="shared" si="150"/>
        <v/>
      </c>
      <c r="K1891" s="92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2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58"/>
      <c r="U1891" s="217" t="str">
        <f t="shared" si="151"/>
        <v/>
      </c>
      <c r="V1891" s="215" t="s">
        <v>47</v>
      </c>
      <c r="W1891" s="102" t="s">
        <v>136</v>
      </c>
      <c r="X1891" s="102" t="s">
        <v>137</v>
      </c>
      <c r="Y1891" s="103" t="s">
        <v>138</v>
      </c>
      <c r="Z1891" s="103" t="s">
        <v>139</v>
      </c>
      <c r="AA1891" s="103" t="s">
        <v>47</v>
      </c>
      <c r="AB1891" s="103" t="s">
        <v>140</v>
      </c>
      <c r="AC1891" s="104" t="s">
        <v>141</v>
      </c>
    </row>
    <row r="1892" spans="1:29" ht="25.5" customHeight="1" x14ac:dyDescent="0.35">
      <c r="A1892" s="188"/>
      <c r="B1892" s="190"/>
      <c r="C1892" s="99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0"/>
      <c r="E1892" s="78" t="str">
        <f>IF(C1892="","",IFERROR(VLOOKUP(C1892,parametros!$A$11:$E$15,5,0),""))</f>
        <v/>
      </c>
      <c r="F1892" s="79" t="str">
        <f t="shared" si="147"/>
        <v/>
      </c>
      <c r="G1892" s="101"/>
      <c r="H1892" s="91">
        <f t="shared" si="148"/>
        <v>0</v>
      </c>
      <c r="I1892" s="91" t="str">
        <f t="shared" si="149"/>
        <v/>
      </c>
      <c r="J1892" s="91" t="str">
        <f t="shared" si="150"/>
        <v/>
      </c>
      <c r="K1892" s="92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2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58"/>
      <c r="U1892" s="217" t="str">
        <f t="shared" si="151"/>
        <v/>
      </c>
      <c r="V1892" s="215" t="s">
        <v>47</v>
      </c>
      <c r="W1892" s="102" t="s">
        <v>136</v>
      </c>
      <c r="X1892" s="102" t="s">
        <v>137</v>
      </c>
      <c r="Y1892" s="103" t="s">
        <v>138</v>
      </c>
      <c r="Z1892" s="103" t="s">
        <v>139</v>
      </c>
      <c r="AA1892" s="103" t="s">
        <v>47</v>
      </c>
      <c r="AB1892" s="103" t="s">
        <v>140</v>
      </c>
      <c r="AC1892" s="104" t="s">
        <v>141</v>
      </c>
    </row>
    <row r="1893" spans="1:29" ht="25.5" customHeight="1" x14ac:dyDescent="0.35">
      <c r="A1893" s="188"/>
      <c r="B1893" s="190"/>
      <c r="C1893" s="99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0"/>
      <c r="E1893" s="78" t="str">
        <f>IF(C1893="","",IFERROR(VLOOKUP(C1893,parametros!$A$11:$E$15,5,0),""))</f>
        <v/>
      </c>
      <c r="F1893" s="79" t="str">
        <f t="shared" si="147"/>
        <v/>
      </c>
      <c r="G1893" s="101"/>
      <c r="H1893" s="91">
        <f t="shared" si="148"/>
        <v>0</v>
      </c>
      <c r="I1893" s="91" t="str">
        <f t="shared" si="149"/>
        <v/>
      </c>
      <c r="J1893" s="91" t="str">
        <f t="shared" si="150"/>
        <v/>
      </c>
      <c r="K1893" s="92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2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58"/>
      <c r="U1893" s="217" t="str">
        <f t="shared" si="151"/>
        <v/>
      </c>
      <c r="V1893" s="215" t="s">
        <v>47</v>
      </c>
      <c r="W1893" s="102" t="s">
        <v>136</v>
      </c>
      <c r="X1893" s="102" t="s">
        <v>137</v>
      </c>
      <c r="Y1893" s="103" t="s">
        <v>138</v>
      </c>
      <c r="Z1893" s="103" t="s">
        <v>139</v>
      </c>
      <c r="AA1893" s="103" t="s">
        <v>47</v>
      </c>
      <c r="AB1893" s="103" t="s">
        <v>140</v>
      </c>
      <c r="AC1893" s="104" t="s">
        <v>141</v>
      </c>
    </row>
    <row r="1894" spans="1:29" ht="25.5" customHeight="1" x14ac:dyDescent="0.35">
      <c r="A1894" s="188"/>
      <c r="B1894" s="190"/>
      <c r="C1894" s="99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0"/>
      <c r="E1894" s="78" t="str">
        <f>IF(C1894="","",IFERROR(VLOOKUP(C1894,parametros!$A$11:$E$15,5,0),""))</f>
        <v/>
      </c>
      <c r="F1894" s="79" t="str">
        <f t="shared" si="147"/>
        <v/>
      </c>
      <c r="G1894" s="101"/>
      <c r="H1894" s="91">
        <f t="shared" si="148"/>
        <v>0</v>
      </c>
      <c r="I1894" s="91" t="str">
        <f t="shared" si="149"/>
        <v/>
      </c>
      <c r="J1894" s="91" t="str">
        <f t="shared" si="150"/>
        <v/>
      </c>
      <c r="K1894" s="92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2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58"/>
      <c r="U1894" s="217" t="str">
        <f t="shared" si="151"/>
        <v/>
      </c>
      <c r="V1894" s="215" t="s">
        <v>47</v>
      </c>
      <c r="W1894" s="102" t="s">
        <v>136</v>
      </c>
      <c r="X1894" s="102" t="s">
        <v>137</v>
      </c>
      <c r="Y1894" s="103" t="s">
        <v>138</v>
      </c>
      <c r="Z1894" s="103" t="s">
        <v>139</v>
      </c>
      <c r="AA1894" s="103" t="s">
        <v>47</v>
      </c>
      <c r="AB1894" s="103" t="s">
        <v>140</v>
      </c>
      <c r="AC1894" s="104" t="s">
        <v>141</v>
      </c>
    </row>
    <row r="1895" spans="1:29" ht="25.5" customHeight="1" x14ac:dyDescent="0.35">
      <c r="A1895" s="188"/>
      <c r="B1895" s="190"/>
      <c r="C1895" s="99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0"/>
      <c r="E1895" s="78" t="str">
        <f>IF(C1895="","",IFERROR(VLOOKUP(C1895,parametros!$A$11:$E$15,5,0),""))</f>
        <v/>
      </c>
      <c r="F1895" s="79" t="str">
        <f t="shared" si="147"/>
        <v/>
      </c>
      <c r="G1895" s="101"/>
      <c r="H1895" s="91">
        <f t="shared" si="148"/>
        <v>0</v>
      </c>
      <c r="I1895" s="91" t="str">
        <f t="shared" si="149"/>
        <v/>
      </c>
      <c r="J1895" s="91" t="str">
        <f t="shared" si="150"/>
        <v/>
      </c>
      <c r="K1895" s="92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2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58"/>
      <c r="U1895" s="217" t="str">
        <f t="shared" si="151"/>
        <v/>
      </c>
      <c r="V1895" s="215" t="s">
        <v>47</v>
      </c>
      <c r="W1895" s="102" t="s">
        <v>136</v>
      </c>
      <c r="X1895" s="102" t="s">
        <v>137</v>
      </c>
      <c r="Y1895" s="103" t="s">
        <v>138</v>
      </c>
      <c r="Z1895" s="103" t="s">
        <v>139</v>
      </c>
      <c r="AA1895" s="103" t="s">
        <v>47</v>
      </c>
      <c r="AB1895" s="103" t="s">
        <v>140</v>
      </c>
      <c r="AC1895" s="104" t="s">
        <v>141</v>
      </c>
    </row>
    <row r="1896" spans="1:29" ht="25.5" customHeight="1" x14ac:dyDescent="0.35">
      <c r="A1896" s="188"/>
      <c r="B1896" s="190"/>
      <c r="C1896" s="99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0"/>
      <c r="E1896" s="78" t="str">
        <f>IF(C1896="","",IFERROR(VLOOKUP(C1896,parametros!$A$11:$E$15,5,0),""))</f>
        <v/>
      </c>
      <c r="F1896" s="79" t="str">
        <f t="shared" si="147"/>
        <v/>
      </c>
      <c r="G1896" s="101"/>
      <c r="H1896" s="91">
        <f t="shared" si="148"/>
        <v>0</v>
      </c>
      <c r="I1896" s="91" t="str">
        <f t="shared" si="149"/>
        <v/>
      </c>
      <c r="J1896" s="91" t="str">
        <f t="shared" si="150"/>
        <v/>
      </c>
      <c r="K1896" s="92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2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58"/>
      <c r="U1896" s="217" t="str">
        <f t="shared" si="151"/>
        <v/>
      </c>
      <c r="V1896" s="215" t="s">
        <v>47</v>
      </c>
      <c r="W1896" s="102" t="s">
        <v>136</v>
      </c>
      <c r="X1896" s="102" t="s">
        <v>137</v>
      </c>
      <c r="Y1896" s="103" t="s">
        <v>138</v>
      </c>
      <c r="Z1896" s="103" t="s">
        <v>139</v>
      </c>
      <c r="AA1896" s="103" t="s">
        <v>47</v>
      </c>
      <c r="AB1896" s="103" t="s">
        <v>140</v>
      </c>
      <c r="AC1896" s="104" t="s">
        <v>141</v>
      </c>
    </row>
    <row r="1897" spans="1:29" ht="25.5" customHeight="1" x14ac:dyDescent="0.35">
      <c r="A1897" s="188"/>
      <c r="B1897" s="190"/>
      <c r="C1897" s="99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0"/>
      <c r="E1897" s="78" t="str">
        <f>IF(C1897="","",IFERROR(VLOOKUP(C1897,parametros!$A$11:$E$15,5,0),""))</f>
        <v/>
      </c>
      <c r="F1897" s="79" t="str">
        <f t="shared" si="147"/>
        <v/>
      </c>
      <c r="G1897" s="101"/>
      <c r="H1897" s="91">
        <f t="shared" si="148"/>
        <v>0</v>
      </c>
      <c r="I1897" s="91" t="str">
        <f t="shared" si="149"/>
        <v/>
      </c>
      <c r="J1897" s="91" t="str">
        <f t="shared" si="150"/>
        <v/>
      </c>
      <c r="K1897" s="92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2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58"/>
      <c r="U1897" s="217" t="str">
        <f t="shared" si="151"/>
        <v/>
      </c>
      <c r="V1897" s="215" t="s">
        <v>47</v>
      </c>
      <c r="W1897" s="102" t="s">
        <v>136</v>
      </c>
      <c r="X1897" s="102" t="s">
        <v>137</v>
      </c>
      <c r="Y1897" s="103" t="s">
        <v>138</v>
      </c>
      <c r="Z1897" s="103" t="s">
        <v>139</v>
      </c>
      <c r="AA1897" s="103" t="s">
        <v>47</v>
      </c>
      <c r="AB1897" s="103" t="s">
        <v>140</v>
      </c>
      <c r="AC1897" s="104" t="s">
        <v>141</v>
      </c>
    </row>
    <row r="1898" spans="1:29" ht="25.5" customHeight="1" x14ac:dyDescent="0.35">
      <c r="A1898" s="188"/>
      <c r="B1898" s="190"/>
      <c r="C1898" s="99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0"/>
      <c r="E1898" s="78" t="str">
        <f>IF(C1898="","",IFERROR(VLOOKUP(C1898,parametros!$A$11:$E$15,5,0),""))</f>
        <v/>
      </c>
      <c r="F1898" s="79" t="str">
        <f t="shared" si="147"/>
        <v/>
      </c>
      <c r="G1898" s="101"/>
      <c r="H1898" s="91">
        <f t="shared" si="148"/>
        <v>0</v>
      </c>
      <c r="I1898" s="91" t="str">
        <f t="shared" si="149"/>
        <v/>
      </c>
      <c r="J1898" s="91" t="str">
        <f t="shared" si="150"/>
        <v/>
      </c>
      <c r="K1898" s="92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2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58"/>
      <c r="U1898" s="217" t="str">
        <f t="shared" si="151"/>
        <v/>
      </c>
      <c r="V1898" s="215" t="s">
        <v>47</v>
      </c>
      <c r="W1898" s="102" t="s">
        <v>136</v>
      </c>
      <c r="X1898" s="102" t="s">
        <v>137</v>
      </c>
      <c r="Y1898" s="103" t="s">
        <v>138</v>
      </c>
      <c r="Z1898" s="103" t="s">
        <v>139</v>
      </c>
      <c r="AA1898" s="103" t="s">
        <v>47</v>
      </c>
      <c r="AB1898" s="103" t="s">
        <v>140</v>
      </c>
      <c r="AC1898" s="104" t="s">
        <v>141</v>
      </c>
    </row>
    <row r="1899" spans="1:29" ht="25.5" customHeight="1" x14ac:dyDescent="0.35">
      <c r="A1899" s="188"/>
      <c r="B1899" s="190"/>
      <c r="C1899" s="99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0"/>
      <c r="E1899" s="78" t="str">
        <f>IF(C1899="","",IFERROR(VLOOKUP(C1899,parametros!$A$11:$E$15,5,0),""))</f>
        <v/>
      </c>
      <c r="F1899" s="79" t="str">
        <f t="shared" si="147"/>
        <v/>
      </c>
      <c r="G1899" s="101"/>
      <c r="H1899" s="91">
        <f t="shared" si="148"/>
        <v>0</v>
      </c>
      <c r="I1899" s="91" t="str">
        <f t="shared" si="149"/>
        <v/>
      </c>
      <c r="J1899" s="91" t="str">
        <f t="shared" si="150"/>
        <v/>
      </c>
      <c r="K1899" s="92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2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58"/>
      <c r="U1899" s="217" t="str">
        <f t="shared" si="151"/>
        <v/>
      </c>
      <c r="V1899" s="215" t="s">
        <v>47</v>
      </c>
      <c r="W1899" s="102" t="s">
        <v>136</v>
      </c>
      <c r="X1899" s="102" t="s">
        <v>137</v>
      </c>
      <c r="Y1899" s="103" t="s">
        <v>138</v>
      </c>
      <c r="Z1899" s="103" t="s">
        <v>139</v>
      </c>
      <c r="AA1899" s="103" t="s">
        <v>47</v>
      </c>
      <c r="AB1899" s="103" t="s">
        <v>140</v>
      </c>
      <c r="AC1899" s="104" t="s">
        <v>141</v>
      </c>
    </row>
    <row r="1900" spans="1:29" ht="25.5" customHeight="1" x14ac:dyDescent="0.35">
      <c r="A1900" s="188"/>
      <c r="B1900" s="190"/>
      <c r="C1900" s="99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0"/>
      <c r="E1900" s="78" t="str">
        <f>IF(C1900="","",IFERROR(VLOOKUP(C1900,parametros!$A$11:$E$15,5,0),""))</f>
        <v/>
      </c>
      <c r="F1900" s="79" t="str">
        <f t="shared" si="147"/>
        <v/>
      </c>
      <c r="G1900" s="101"/>
      <c r="H1900" s="91">
        <f t="shared" si="148"/>
        <v>0</v>
      </c>
      <c r="I1900" s="91" t="str">
        <f t="shared" si="149"/>
        <v/>
      </c>
      <c r="J1900" s="91" t="str">
        <f t="shared" si="150"/>
        <v/>
      </c>
      <c r="K1900" s="92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2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58"/>
      <c r="U1900" s="217" t="str">
        <f t="shared" si="151"/>
        <v/>
      </c>
      <c r="V1900" s="215" t="s">
        <v>47</v>
      </c>
      <c r="W1900" s="102" t="s">
        <v>136</v>
      </c>
      <c r="X1900" s="102" t="s">
        <v>137</v>
      </c>
      <c r="Y1900" s="103" t="s">
        <v>138</v>
      </c>
      <c r="Z1900" s="103" t="s">
        <v>139</v>
      </c>
      <c r="AA1900" s="103" t="s">
        <v>47</v>
      </c>
      <c r="AB1900" s="103" t="s">
        <v>140</v>
      </c>
      <c r="AC1900" s="104" t="s">
        <v>141</v>
      </c>
    </row>
    <row r="1901" spans="1:29" ht="25.5" customHeight="1" x14ac:dyDescent="0.35">
      <c r="A1901" s="188"/>
      <c r="B1901" s="190"/>
      <c r="C1901" s="99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0"/>
      <c r="E1901" s="78" t="str">
        <f>IF(C1901="","",IFERROR(VLOOKUP(C1901,parametros!$A$11:$E$15,5,0),""))</f>
        <v/>
      </c>
      <c r="F1901" s="79" t="str">
        <f t="shared" si="147"/>
        <v/>
      </c>
      <c r="G1901" s="101"/>
      <c r="H1901" s="91">
        <f t="shared" si="148"/>
        <v>0</v>
      </c>
      <c r="I1901" s="91" t="str">
        <f t="shared" si="149"/>
        <v/>
      </c>
      <c r="J1901" s="91" t="str">
        <f t="shared" si="150"/>
        <v/>
      </c>
      <c r="K1901" s="92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2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58"/>
      <c r="U1901" s="217" t="str">
        <f t="shared" si="151"/>
        <v/>
      </c>
      <c r="V1901" s="215" t="s">
        <v>47</v>
      </c>
      <c r="W1901" s="102" t="s">
        <v>136</v>
      </c>
      <c r="X1901" s="102" t="s">
        <v>137</v>
      </c>
      <c r="Y1901" s="103" t="s">
        <v>138</v>
      </c>
      <c r="Z1901" s="103" t="s">
        <v>139</v>
      </c>
      <c r="AA1901" s="103" t="s">
        <v>47</v>
      </c>
      <c r="AB1901" s="103" t="s">
        <v>140</v>
      </c>
      <c r="AC1901" s="104" t="s">
        <v>141</v>
      </c>
    </row>
    <row r="1902" spans="1:29" ht="25.5" customHeight="1" x14ac:dyDescent="0.35">
      <c r="A1902" s="188"/>
      <c r="B1902" s="190"/>
      <c r="C1902" s="99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0"/>
      <c r="E1902" s="78" t="str">
        <f>IF(C1902="","",IFERROR(VLOOKUP(C1902,parametros!$A$11:$E$15,5,0),""))</f>
        <v/>
      </c>
      <c r="F1902" s="79" t="str">
        <f t="shared" si="147"/>
        <v/>
      </c>
      <c r="G1902" s="101"/>
      <c r="H1902" s="91">
        <f t="shared" si="148"/>
        <v>0</v>
      </c>
      <c r="I1902" s="91" t="str">
        <f t="shared" si="149"/>
        <v/>
      </c>
      <c r="J1902" s="91" t="str">
        <f t="shared" si="150"/>
        <v/>
      </c>
      <c r="K1902" s="92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2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58"/>
      <c r="U1902" s="217" t="str">
        <f t="shared" si="151"/>
        <v/>
      </c>
      <c r="V1902" s="215" t="s">
        <v>47</v>
      </c>
      <c r="W1902" s="102" t="s">
        <v>136</v>
      </c>
      <c r="X1902" s="102" t="s">
        <v>137</v>
      </c>
      <c r="Y1902" s="103" t="s">
        <v>138</v>
      </c>
      <c r="Z1902" s="103" t="s">
        <v>139</v>
      </c>
      <c r="AA1902" s="103" t="s">
        <v>47</v>
      </c>
      <c r="AB1902" s="103" t="s">
        <v>140</v>
      </c>
      <c r="AC1902" s="104" t="s">
        <v>141</v>
      </c>
    </row>
    <row r="1903" spans="1:29" ht="25.5" customHeight="1" x14ac:dyDescent="0.35">
      <c r="A1903" s="188"/>
      <c r="B1903" s="190"/>
      <c r="C1903" s="99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0"/>
      <c r="E1903" s="78" t="str">
        <f>IF(C1903="","",IFERROR(VLOOKUP(C1903,parametros!$A$11:$E$15,5,0),""))</f>
        <v/>
      </c>
      <c r="F1903" s="79" t="str">
        <f t="shared" si="147"/>
        <v/>
      </c>
      <c r="G1903" s="101"/>
      <c r="H1903" s="91">
        <f t="shared" si="148"/>
        <v>0</v>
      </c>
      <c r="I1903" s="91" t="str">
        <f t="shared" si="149"/>
        <v/>
      </c>
      <c r="J1903" s="91" t="str">
        <f t="shared" si="150"/>
        <v/>
      </c>
      <c r="K1903" s="92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2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58"/>
      <c r="U1903" s="217" t="str">
        <f t="shared" si="151"/>
        <v/>
      </c>
      <c r="V1903" s="215" t="s">
        <v>47</v>
      </c>
      <c r="W1903" s="102" t="s">
        <v>136</v>
      </c>
      <c r="X1903" s="102" t="s">
        <v>137</v>
      </c>
      <c r="Y1903" s="103" t="s">
        <v>138</v>
      </c>
      <c r="Z1903" s="103" t="s">
        <v>139</v>
      </c>
      <c r="AA1903" s="103" t="s">
        <v>47</v>
      </c>
      <c r="AB1903" s="103" t="s">
        <v>140</v>
      </c>
      <c r="AC1903" s="104" t="s">
        <v>141</v>
      </c>
    </row>
    <row r="1904" spans="1:29" ht="25.5" customHeight="1" x14ac:dyDescent="0.35">
      <c r="A1904" s="188"/>
      <c r="B1904" s="190"/>
      <c r="C1904" s="99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0"/>
      <c r="E1904" s="78" t="str">
        <f>IF(C1904="","",IFERROR(VLOOKUP(C1904,parametros!$A$11:$E$15,5,0),""))</f>
        <v/>
      </c>
      <c r="F1904" s="79" t="str">
        <f t="shared" si="147"/>
        <v/>
      </c>
      <c r="G1904" s="101"/>
      <c r="H1904" s="91">
        <f t="shared" si="148"/>
        <v>0</v>
      </c>
      <c r="I1904" s="91" t="str">
        <f t="shared" si="149"/>
        <v/>
      </c>
      <c r="J1904" s="91" t="str">
        <f t="shared" si="150"/>
        <v/>
      </c>
      <c r="K1904" s="92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2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58"/>
      <c r="U1904" s="217" t="str">
        <f t="shared" si="151"/>
        <v/>
      </c>
      <c r="V1904" s="215" t="s">
        <v>47</v>
      </c>
      <c r="W1904" s="102" t="s">
        <v>136</v>
      </c>
      <c r="X1904" s="102" t="s">
        <v>137</v>
      </c>
      <c r="Y1904" s="103" t="s">
        <v>138</v>
      </c>
      <c r="Z1904" s="103" t="s">
        <v>139</v>
      </c>
      <c r="AA1904" s="103" t="s">
        <v>47</v>
      </c>
      <c r="AB1904" s="103" t="s">
        <v>140</v>
      </c>
      <c r="AC1904" s="104" t="s">
        <v>141</v>
      </c>
    </row>
    <row r="1905" spans="1:29" ht="25.5" customHeight="1" x14ac:dyDescent="0.35">
      <c r="A1905" s="188"/>
      <c r="B1905" s="190"/>
      <c r="C1905" s="99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0"/>
      <c r="E1905" s="78" t="str">
        <f>IF(C1905="","",IFERROR(VLOOKUP(C1905,parametros!$A$11:$E$15,5,0),""))</f>
        <v/>
      </c>
      <c r="F1905" s="79" t="str">
        <f t="shared" si="147"/>
        <v/>
      </c>
      <c r="G1905" s="101"/>
      <c r="H1905" s="91">
        <f t="shared" si="148"/>
        <v>0</v>
      </c>
      <c r="I1905" s="91" t="str">
        <f t="shared" si="149"/>
        <v/>
      </c>
      <c r="J1905" s="91" t="str">
        <f t="shared" si="150"/>
        <v/>
      </c>
      <c r="K1905" s="92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2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58"/>
      <c r="U1905" s="217" t="str">
        <f t="shared" si="151"/>
        <v/>
      </c>
      <c r="V1905" s="215" t="s">
        <v>47</v>
      </c>
      <c r="W1905" s="102" t="s">
        <v>136</v>
      </c>
      <c r="X1905" s="102" t="s">
        <v>137</v>
      </c>
      <c r="Y1905" s="103" t="s">
        <v>138</v>
      </c>
      <c r="Z1905" s="103" t="s">
        <v>139</v>
      </c>
      <c r="AA1905" s="103" t="s">
        <v>47</v>
      </c>
      <c r="AB1905" s="103" t="s">
        <v>140</v>
      </c>
      <c r="AC1905" s="104" t="s">
        <v>141</v>
      </c>
    </row>
    <row r="1906" spans="1:29" ht="25.5" customHeight="1" x14ac:dyDescent="0.35">
      <c r="A1906" s="188"/>
      <c r="B1906" s="190"/>
      <c r="C1906" s="99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0"/>
      <c r="E1906" s="78" t="str">
        <f>IF(C1906="","",IFERROR(VLOOKUP(C1906,parametros!$A$11:$E$15,5,0),""))</f>
        <v/>
      </c>
      <c r="F1906" s="79" t="str">
        <f t="shared" si="147"/>
        <v/>
      </c>
      <c r="G1906" s="101"/>
      <c r="H1906" s="91">
        <f t="shared" si="148"/>
        <v>0</v>
      </c>
      <c r="I1906" s="91" t="str">
        <f t="shared" si="149"/>
        <v/>
      </c>
      <c r="J1906" s="91" t="str">
        <f t="shared" si="150"/>
        <v/>
      </c>
      <c r="K1906" s="92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2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58"/>
      <c r="U1906" s="217" t="str">
        <f t="shared" si="151"/>
        <v/>
      </c>
      <c r="V1906" s="215" t="s">
        <v>47</v>
      </c>
      <c r="W1906" s="102" t="s">
        <v>136</v>
      </c>
      <c r="X1906" s="102" t="s">
        <v>137</v>
      </c>
      <c r="Y1906" s="103" t="s">
        <v>138</v>
      </c>
      <c r="Z1906" s="103" t="s">
        <v>139</v>
      </c>
      <c r="AA1906" s="103" t="s">
        <v>47</v>
      </c>
      <c r="AB1906" s="103" t="s">
        <v>140</v>
      </c>
      <c r="AC1906" s="104" t="s">
        <v>141</v>
      </c>
    </row>
    <row r="1907" spans="1:29" ht="25.5" customHeight="1" x14ac:dyDescent="0.35">
      <c r="A1907" s="188"/>
      <c r="B1907" s="190"/>
      <c r="C1907" s="99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0"/>
      <c r="E1907" s="78" t="str">
        <f>IF(C1907="","",IFERROR(VLOOKUP(C1907,parametros!$A$11:$E$15,5,0),""))</f>
        <v/>
      </c>
      <c r="F1907" s="79" t="str">
        <f t="shared" si="147"/>
        <v/>
      </c>
      <c r="G1907" s="101"/>
      <c r="H1907" s="91">
        <f t="shared" si="148"/>
        <v>0</v>
      </c>
      <c r="I1907" s="91" t="str">
        <f t="shared" si="149"/>
        <v/>
      </c>
      <c r="J1907" s="91" t="str">
        <f t="shared" si="150"/>
        <v/>
      </c>
      <c r="K1907" s="92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2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58"/>
      <c r="U1907" s="217" t="str">
        <f t="shared" si="151"/>
        <v/>
      </c>
      <c r="V1907" s="215" t="s">
        <v>47</v>
      </c>
      <c r="W1907" s="102" t="s">
        <v>136</v>
      </c>
      <c r="X1907" s="102" t="s">
        <v>137</v>
      </c>
      <c r="Y1907" s="103" t="s">
        <v>138</v>
      </c>
      <c r="Z1907" s="103" t="s">
        <v>139</v>
      </c>
      <c r="AA1907" s="103" t="s">
        <v>47</v>
      </c>
      <c r="AB1907" s="103" t="s">
        <v>140</v>
      </c>
      <c r="AC1907" s="104" t="s">
        <v>141</v>
      </c>
    </row>
    <row r="1908" spans="1:29" ht="25.5" customHeight="1" x14ac:dyDescent="0.35">
      <c r="A1908" s="188"/>
      <c r="B1908" s="190"/>
      <c r="C1908" s="99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0"/>
      <c r="E1908" s="78" t="str">
        <f>IF(C1908="","",IFERROR(VLOOKUP(C1908,parametros!$A$11:$E$15,5,0),""))</f>
        <v/>
      </c>
      <c r="F1908" s="79" t="str">
        <f t="shared" si="147"/>
        <v/>
      </c>
      <c r="G1908" s="101"/>
      <c r="H1908" s="91">
        <f t="shared" si="148"/>
        <v>0</v>
      </c>
      <c r="I1908" s="91" t="str">
        <f t="shared" si="149"/>
        <v/>
      </c>
      <c r="J1908" s="91" t="str">
        <f t="shared" si="150"/>
        <v/>
      </c>
      <c r="K1908" s="92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2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58"/>
      <c r="U1908" s="217" t="str">
        <f t="shared" si="151"/>
        <v/>
      </c>
      <c r="V1908" s="215" t="s">
        <v>47</v>
      </c>
      <c r="W1908" s="102" t="s">
        <v>136</v>
      </c>
      <c r="X1908" s="102" t="s">
        <v>137</v>
      </c>
      <c r="Y1908" s="103" t="s">
        <v>138</v>
      </c>
      <c r="Z1908" s="103" t="s">
        <v>139</v>
      </c>
      <c r="AA1908" s="103" t="s">
        <v>47</v>
      </c>
      <c r="AB1908" s="103" t="s">
        <v>140</v>
      </c>
      <c r="AC1908" s="104" t="s">
        <v>141</v>
      </c>
    </row>
    <row r="1909" spans="1:29" ht="25.5" customHeight="1" x14ac:dyDescent="0.35">
      <c r="A1909" s="188"/>
      <c r="B1909" s="190"/>
      <c r="C1909" s="99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0"/>
      <c r="E1909" s="78" t="str">
        <f>IF(C1909="","",IFERROR(VLOOKUP(C1909,parametros!$A$11:$E$15,5,0),""))</f>
        <v/>
      </c>
      <c r="F1909" s="79" t="str">
        <f t="shared" si="147"/>
        <v/>
      </c>
      <c r="G1909" s="101"/>
      <c r="H1909" s="91">
        <f t="shared" si="148"/>
        <v>0</v>
      </c>
      <c r="I1909" s="91" t="str">
        <f t="shared" si="149"/>
        <v/>
      </c>
      <c r="J1909" s="91" t="str">
        <f t="shared" si="150"/>
        <v/>
      </c>
      <c r="K1909" s="92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2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58"/>
      <c r="U1909" s="217" t="str">
        <f t="shared" si="151"/>
        <v/>
      </c>
      <c r="V1909" s="215" t="s">
        <v>47</v>
      </c>
      <c r="W1909" s="102" t="s">
        <v>136</v>
      </c>
      <c r="X1909" s="102" t="s">
        <v>137</v>
      </c>
      <c r="Y1909" s="103" t="s">
        <v>138</v>
      </c>
      <c r="Z1909" s="103" t="s">
        <v>139</v>
      </c>
      <c r="AA1909" s="103" t="s">
        <v>47</v>
      </c>
      <c r="AB1909" s="103" t="s">
        <v>140</v>
      </c>
      <c r="AC1909" s="104" t="s">
        <v>141</v>
      </c>
    </row>
    <row r="1910" spans="1:29" ht="25.5" customHeight="1" x14ac:dyDescent="0.35">
      <c r="A1910" s="188"/>
      <c r="B1910" s="190"/>
      <c r="C1910" s="99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0"/>
      <c r="E1910" s="78" t="str">
        <f>IF(C1910="","",IFERROR(VLOOKUP(C1910,parametros!$A$11:$E$15,5,0),""))</f>
        <v/>
      </c>
      <c r="F1910" s="79" t="str">
        <f t="shared" si="147"/>
        <v/>
      </c>
      <c r="G1910" s="101"/>
      <c r="H1910" s="91">
        <f t="shared" si="148"/>
        <v>0</v>
      </c>
      <c r="I1910" s="91" t="str">
        <f t="shared" si="149"/>
        <v/>
      </c>
      <c r="J1910" s="91" t="str">
        <f t="shared" si="150"/>
        <v/>
      </c>
      <c r="K1910" s="92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2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58"/>
      <c r="U1910" s="217" t="str">
        <f t="shared" si="151"/>
        <v/>
      </c>
      <c r="V1910" s="215" t="s">
        <v>47</v>
      </c>
      <c r="W1910" s="102" t="s">
        <v>136</v>
      </c>
      <c r="X1910" s="102" t="s">
        <v>137</v>
      </c>
      <c r="Y1910" s="103" t="s">
        <v>138</v>
      </c>
      <c r="Z1910" s="103" t="s">
        <v>139</v>
      </c>
      <c r="AA1910" s="103" t="s">
        <v>47</v>
      </c>
      <c r="AB1910" s="103" t="s">
        <v>140</v>
      </c>
      <c r="AC1910" s="104" t="s">
        <v>141</v>
      </c>
    </row>
    <row r="1911" spans="1:29" ht="25.5" customHeight="1" x14ac:dyDescent="0.35">
      <c r="A1911" s="188"/>
      <c r="B1911" s="190"/>
      <c r="C1911" s="99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0"/>
      <c r="E1911" s="78" t="str">
        <f>IF(C1911="","",IFERROR(VLOOKUP(C1911,parametros!$A$11:$E$15,5,0),""))</f>
        <v/>
      </c>
      <c r="F1911" s="79" t="str">
        <f t="shared" si="147"/>
        <v/>
      </c>
      <c r="G1911" s="101"/>
      <c r="H1911" s="91">
        <f t="shared" si="148"/>
        <v>0</v>
      </c>
      <c r="I1911" s="91" t="str">
        <f t="shared" si="149"/>
        <v/>
      </c>
      <c r="J1911" s="91" t="str">
        <f t="shared" si="150"/>
        <v/>
      </c>
      <c r="K1911" s="92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2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58"/>
      <c r="U1911" s="217" t="str">
        <f t="shared" si="151"/>
        <v/>
      </c>
      <c r="V1911" s="215" t="s">
        <v>47</v>
      </c>
      <c r="W1911" s="102" t="s">
        <v>136</v>
      </c>
      <c r="X1911" s="102" t="s">
        <v>137</v>
      </c>
      <c r="Y1911" s="103" t="s">
        <v>138</v>
      </c>
      <c r="Z1911" s="103" t="s">
        <v>139</v>
      </c>
      <c r="AA1911" s="103" t="s">
        <v>47</v>
      </c>
      <c r="AB1911" s="103" t="s">
        <v>140</v>
      </c>
      <c r="AC1911" s="104" t="s">
        <v>141</v>
      </c>
    </row>
    <row r="1912" spans="1:29" ht="25.5" customHeight="1" x14ac:dyDescent="0.35">
      <c r="A1912" s="188"/>
      <c r="B1912" s="190"/>
      <c r="C1912" s="99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0"/>
      <c r="E1912" s="78" t="str">
        <f>IF(C1912="","",IFERROR(VLOOKUP(C1912,parametros!$A$11:$E$15,5,0),""))</f>
        <v/>
      </c>
      <c r="F1912" s="79" t="str">
        <f t="shared" si="147"/>
        <v/>
      </c>
      <c r="G1912" s="101"/>
      <c r="H1912" s="91">
        <f t="shared" si="148"/>
        <v>0</v>
      </c>
      <c r="I1912" s="91" t="str">
        <f t="shared" si="149"/>
        <v/>
      </c>
      <c r="J1912" s="91" t="str">
        <f t="shared" si="150"/>
        <v/>
      </c>
      <c r="K1912" s="92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2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58"/>
      <c r="U1912" s="217" t="str">
        <f t="shared" si="151"/>
        <v/>
      </c>
      <c r="V1912" s="215" t="s">
        <v>47</v>
      </c>
      <c r="W1912" s="102" t="s">
        <v>136</v>
      </c>
      <c r="X1912" s="102" t="s">
        <v>137</v>
      </c>
      <c r="Y1912" s="103" t="s">
        <v>138</v>
      </c>
      <c r="Z1912" s="103" t="s">
        <v>139</v>
      </c>
      <c r="AA1912" s="103" t="s">
        <v>47</v>
      </c>
      <c r="AB1912" s="103" t="s">
        <v>140</v>
      </c>
      <c r="AC1912" s="104" t="s">
        <v>141</v>
      </c>
    </row>
    <row r="1913" spans="1:29" ht="25.5" customHeight="1" x14ac:dyDescent="0.35">
      <c r="A1913" s="188"/>
      <c r="B1913" s="190"/>
      <c r="C1913" s="99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0"/>
      <c r="E1913" s="78" t="str">
        <f>IF(C1913="","",IFERROR(VLOOKUP(C1913,parametros!$A$11:$E$15,5,0),""))</f>
        <v/>
      </c>
      <c r="F1913" s="79" t="str">
        <f t="shared" si="147"/>
        <v/>
      </c>
      <c r="G1913" s="101"/>
      <c r="H1913" s="91">
        <f t="shared" si="148"/>
        <v>0</v>
      </c>
      <c r="I1913" s="91" t="str">
        <f t="shared" si="149"/>
        <v/>
      </c>
      <c r="J1913" s="91" t="str">
        <f t="shared" si="150"/>
        <v/>
      </c>
      <c r="K1913" s="92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2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58"/>
      <c r="U1913" s="217" t="str">
        <f t="shared" si="151"/>
        <v/>
      </c>
      <c r="V1913" s="215" t="s">
        <v>47</v>
      </c>
      <c r="W1913" s="102" t="s">
        <v>136</v>
      </c>
      <c r="X1913" s="102" t="s">
        <v>137</v>
      </c>
      <c r="Y1913" s="103" t="s">
        <v>138</v>
      </c>
      <c r="Z1913" s="103" t="s">
        <v>139</v>
      </c>
      <c r="AA1913" s="103" t="s">
        <v>47</v>
      </c>
      <c r="AB1913" s="103" t="s">
        <v>140</v>
      </c>
      <c r="AC1913" s="104" t="s">
        <v>141</v>
      </c>
    </row>
    <row r="1914" spans="1:29" ht="25.5" customHeight="1" x14ac:dyDescent="0.35">
      <c r="A1914" s="188"/>
      <c r="B1914" s="190"/>
      <c r="C1914" s="99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0"/>
      <c r="E1914" s="78" t="str">
        <f>IF(C1914="","",IFERROR(VLOOKUP(C1914,parametros!$A$11:$E$15,5,0),""))</f>
        <v/>
      </c>
      <c r="F1914" s="79" t="str">
        <f t="shared" si="147"/>
        <v/>
      </c>
      <c r="G1914" s="101"/>
      <c r="H1914" s="91">
        <f t="shared" si="148"/>
        <v>0</v>
      </c>
      <c r="I1914" s="91" t="str">
        <f t="shared" si="149"/>
        <v/>
      </c>
      <c r="J1914" s="91" t="str">
        <f t="shared" si="150"/>
        <v/>
      </c>
      <c r="K1914" s="92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2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58"/>
      <c r="U1914" s="217" t="str">
        <f t="shared" si="151"/>
        <v/>
      </c>
      <c r="V1914" s="215" t="s">
        <v>47</v>
      </c>
      <c r="W1914" s="102" t="s">
        <v>136</v>
      </c>
      <c r="X1914" s="102" t="s">
        <v>137</v>
      </c>
      <c r="Y1914" s="103" t="s">
        <v>138</v>
      </c>
      <c r="Z1914" s="103" t="s">
        <v>139</v>
      </c>
      <c r="AA1914" s="103" t="s">
        <v>47</v>
      </c>
      <c r="AB1914" s="103" t="s">
        <v>140</v>
      </c>
      <c r="AC1914" s="104" t="s">
        <v>141</v>
      </c>
    </row>
    <row r="1915" spans="1:29" ht="25.5" customHeight="1" x14ac:dyDescent="0.35">
      <c r="A1915" s="188"/>
      <c r="B1915" s="190"/>
      <c r="C1915" s="99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0"/>
      <c r="E1915" s="78" t="str">
        <f>IF(C1915="","",IFERROR(VLOOKUP(C1915,parametros!$A$11:$E$15,5,0),""))</f>
        <v/>
      </c>
      <c r="F1915" s="79" t="str">
        <f t="shared" si="147"/>
        <v/>
      </c>
      <c r="G1915" s="101"/>
      <c r="H1915" s="91">
        <f t="shared" si="148"/>
        <v>0</v>
      </c>
      <c r="I1915" s="91" t="str">
        <f t="shared" si="149"/>
        <v/>
      </c>
      <c r="J1915" s="91" t="str">
        <f t="shared" si="150"/>
        <v/>
      </c>
      <c r="K1915" s="92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2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58"/>
      <c r="U1915" s="217" t="str">
        <f t="shared" si="151"/>
        <v/>
      </c>
      <c r="V1915" s="215" t="s">
        <v>47</v>
      </c>
      <c r="W1915" s="102" t="s">
        <v>136</v>
      </c>
      <c r="X1915" s="102" t="s">
        <v>137</v>
      </c>
      <c r="Y1915" s="103" t="s">
        <v>138</v>
      </c>
      <c r="Z1915" s="103" t="s">
        <v>139</v>
      </c>
      <c r="AA1915" s="103" t="s">
        <v>47</v>
      </c>
      <c r="AB1915" s="103" t="s">
        <v>140</v>
      </c>
      <c r="AC1915" s="104" t="s">
        <v>141</v>
      </c>
    </row>
    <row r="1916" spans="1:29" ht="25.5" customHeight="1" x14ac:dyDescent="0.35">
      <c r="A1916" s="188"/>
      <c r="B1916" s="190"/>
      <c r="C1916" s="99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0"/>
      <c r="E1916" s="78" t="str">
        <f>IF(C1916="","",IFERROR(VLOOKUP(C1916,parametros!$A$11:$E$15,5,0),""))</f>
        <v/>
      </c>
      <c r="F1916" s="79" t="str">
        <f t="shared" si="147"/>
        <v/>
      </c>
      <c r="G1916" s="101"/>
      <c r="H1916" s="91">
        <f t="shared" si="148"/>
        <v>0</v>
      </c>
      <c r="I1916" s="91" t="str">
        <f t="shared" si="149"/>
        <v/>
      </c>
      <c r="J1916" s="91" t="str">
        <f t="shared" si="150"/>
        <v/>
      </c>
      <c r="K1916" s="92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2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58"/>
      <c r="U1916" s="217" t="str">
        <f t="shared" si="151"/>
        <v/>
      </c>
      <c r="V1916" s="215" t="s">
        <v>47</v>
      </c>
      <c r="W1916" s="102" t="s">
        <v>136</v>
      </c>
      <c r="X1916" s="102" t="s">
        <v>137</v>
      </c>
      <c r="Y1916" s="103" t="s">
        <v>138</v>
      </c>
      <c r="Z1916" s="103" t="s">
        <v>139</v>
      </c>
      <c r="AA1916" s="103" t="s">
        <v>47</v>
      </c>
      <c r="AB1916" s="103" t="s">
        <v>140</v>
      </c>
      <c r="AC1916" s="104" t="s">
        <v>141</v>
      </c>
    </row>
    <row r="1917" spans="1:29" ht="25.5" customHeight="1" x14ac:dyDescent="0.35">
      <c r="A1917" s="188"/>
      <c r="B1917" s="190"/>
      <c r="C1917" s="99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0"/>
      <c r="E1917" s="78" t="str">
        <f>IF(C1917="","",IFERROR(VLOOKUP(C1917,parametros!$A$11:$E$15,5,0),""))</f>
        <v/>
      </c>
      <c r="F1917" s="79" t="str">
        <f t="shared" si="147"/>
        <v/>
      </c>
      <c r="G1917" s="101"/>
      <c r="H1917" s="91">
        <f t="shared" si="148"/>
        <v>0</v>
      </c>
      <c r="I1917" s="91" t="str">
        <f t="shared" si="149"/>
        <v/>
      </c>
      <c r="J1917" s="91" t="str">
        <f t="shared" si="150"/>
        <v/>
      </c>
      <c r="K1917" s="92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2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58"/>
      <c r="U1917" s="217" t="str">
        <f t="shared" si="151"/>
        <v/>
      </c>
      <c r="V1917" s="215" t="s">
        <v>47</v>
      </c>
      <c r="W1917" s="102" t="s">
        <v>136</v>
      </c>
      <c r="X1917" s="102" t="s">
        <v>137</v>
      </c>
      <c r="Y1917" s="103" t="s">
        <v>138</v>
      </c>
      <c r="Z1917" s="103" t="s">
        <v>139</v>
      </c>
      <c r="AA1917" s="103" t="s">
        <v>47</v>
      </c>
      <c r="AB1917" s="103" t="s">
        <v>140</v>
      </c>
      <c r="AC1917" s="104" t="s">
        <v>141</v>
      </c>
    </row>
    <row r="1918" spans="1:29" ht="25.5" customHeight="1" x14ac:dyDescent="0.35">
      <c r="A1918" s="188"/>
      <c r="B1918" s="190"/>
      <c r="C1918" s="99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0"/>
      <c r="E1918" s="78" t="str">
        <f>IF(C1918="","",IFERROR(VLOOKUP(C1918,parametros!$A$11:$E$15,5,0),""))</f>
        <v/>
      </c>
      <c r="F1918" s="79" t="str">
        <f t="shared" si="147"/>
        <v/>
      </c>
      <c r="G1918" s="101"/>
      <c r="H1918" s="91">
        <f t="shared" si="148"/>
        <v>0</v>
      </c>
      <c r="I1918" s="91" t="str">
        <f t="shared" si="149"/>
        <v/>
      </c>
      <c r="J1918" s="91" t="str">
        <f t="shared" si="150"/>
        <v/>
      </c>
      <c r="K1918" s="92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2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58"/>
      <c r="U1918" s="217" t="str">
        <f t="shared" si="151"/>
        <v/>
      </c>
      <c r="V1918" s="215" t="s">
        <v>47</v>
      </c>
      <c r="W1918" s="102" t="s">
        <v>136</v>
      </c>
      <c r="X1918" s="102" t="s">
        <v>137</v>
      </c>
      <c r="Y1918" s="103" t="s">
        <v>138</v>
      </c>
      <c r="Z1918" s="103" t="s">
        <v>139</v>
      </c>
      <c r="AA1918" s="103" t="s">
        <v>47</v>
      </c>
      <c r="AB1918" s="103" t="s">
        <v>140</v>
      </c>
      <c r="AC1918" s="104" t="s">
        <v>141</v>
      </c>
    </row>
    <row r="1919" spans="1:29" ht="25.5" customHeight="1" x14ac:dyDescent="0.35">
      <c r="A1919" s="188"/>
      <c r="B1919" s="190"/>
      <c r="C1919" s="99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0"/>
      <c r="E1919" s="78" t="str">
        <f>IF(C1919="","",IFERROR(VLOOKUP(C1919,parametros!$A$11:$E$15,5,0),""))</f>
        <v/>
      </c>
      <c r="F1919" s="79" t="str">
        <f t="shared" si="147"/>
        <v/>
      </c>
      <c r="G1919" s="101"/>
      <c r="H1919" s="91">
        <f t="shared" si="148"/>
        <v>0</v>
      </c>
      <c r="I1919" s="91" t="str">
        <f t="shared" si="149"/>
        <v/>
      </c>
      <c r="J1919" s="91" t="str">
        <f t="shared" si="150"/>
        <v/>
      </c>
      <c r="K1919" s="92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2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58"/>
      <c r="U1919" s="217" t="str">
        <f t="shared" si="151"/>
        <v/>
      </c>
      <c r="V1919" s="215" t="s">
        <v>47</v>
      </c>
      <c r="W1919" s="102" t="s">
        <v>136</v>
      </c>
      <c r="X1919" s="102" t="s">
        <v>137</v>
      </c>
      <c r="Y1919" s="103" t="s">
        <v>138</v>
      </c>
      <c r="Z1919" s="103" t="s">
        <v>139</v>
      </c>
      <c r="AA1919" s="103" t="s">
        <v>47</v>
      </c>
      <c r="AB1919" s="103" t="s">
        <v>140</v>
      </c>
      <c r="AC1919" s="104" t="s">
        <v>141</v>
      </c>
    </row>
    <row r="1920" spans="1:29" ht="25.5" customHeight="1" x14ac:dyDescent="0.35">
      <c r="A1920" s="188"/>
      <c r="B1920" s="190"/>
      <c r="C1920" s="99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0"/>
      <c r="E1920" s="78" t="str">
        <f>IF(C1920="","",IFERROR(VLOOKUP(C1920,parametros!$A$11:$E$15,5,0),""))</f>
        <v/>
      </c>
      <c r="F1920" s="79" t="str">
        <f t="shared" si="147"/>
        <v/>
      </c>
      <c r="G1920" s="101"/>
      <c r="H1920" s="91">
        <f t="shared" si="148"/>
        <v>0</v>
      </c>
      <c r="I1920" s="91" t="str">
        <f t="shared" si="149"/>
        <v/>
      </c>
      <c r="J1920" s="91" t="str">
        <f t="shared" si="150"/>
        <v/>
      </c>
      <c r="K1920" s="92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2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58"/>
      <c r="U1920" s="217" t="str">
        <f t="shared" si="151"/>
        <v/>
      </c>
      <c r="V1920" s="215" t="s">
        <v>47</v>
      </c>
      <c r="W1920" s="102" t="s">
        <v>136</v>
      </c>
      <c r="X1920" s="102" t="s">
        <v>137</v>
      </c>
      <c r="Y1920" s="103" t="s">
        <v>138</v>
      </c>
      <c r="Z1920" s="103" t="s">
        <v>139</v>
      </c>
      <c r="AA1920" s="103" t="s">
        <v>47</v>
      </c>
      <c r="AB1920" s="103" t="s">
        <v>140</v>
      </c>
      <c r="AC1920" s="104" t="s">
        <v>141</v>
      </c>
    </row>
    <row r="1921" spans="1:29" ht="25.5" customHeight="1" x14ac:dyDescent="0.35">
      <c r="A1921" s="188"/>
      <c r="B1921" s="190"/>
      <c r="C1921" s="99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0"/>
      <c r="E1921" s="78" t="str">
        <f>IF(C1921="","",IFERROR(VLOOKUP(C1921,parametros!$A$11:$E$15,5,0),""))</f>
        <v/>
      </c>
      <c r="F1921" s="79" t="str">
        <f t="shared" si="147"/>
        <v/>
      </c>
      <c r="G1921" s="101"/>
      <c r="H1921" s="91">
        <f t="shared" si="148"/>
        <v>0</v>
      </c>
      <c r="I1921" s="91" t="str">
        <f t="shared" si="149"/>
        <v/>
      </c>
      <c r="J1921" s="91" t="str">
        <f t="shared" si="150"/>
        <v/>
      </c>
      <c r="K1921" s="92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2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58"/>
      <c r="U1921" s="217" t="str">
        <f t="shared" si="151"/>
        <v/>
      </c>
      <c r="V1921" s="215" t="s">
        <v>47</v>
      </c>
      <c r="W1921" s="102" t="s">
        <v>136</v>
      </c>
      <c r="X1921" s="102" t="s">
        <v>137</v>
      </c>
      <c r="Y1921" s="103" t="s">
        <v>138</v>
      </c>
      <c r="Z1921" s="103" t="s">
        <v>139</v>
      </c>
      <c r="AA1921" s="103" t="s">
        <v>47</v>
      </c>
      <c r="AB1921" s="103" t="s">
        <v>140</v>
      </c>
      <c r="AC1921" s="104" t="s">
        <v>141</v>
      </c>
    </row>
    <row r="1922" spans="1:29" ht="25.5" customHeight="1" x14ac:dyDescent="0.35">
      <c r="A1922" s="188"/>
      <c r="B1922" s="190"/>
      <c r="C1922" s="99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0"/>
      <c r="E1922" s="78" t="str">
        <f>IF(C1922="","",IFERROR(VLOOKUP(C1922,parametros!$A$11:$E$15,5,0),""))</f>
        <v/>
      </c>
      <c r="F1922" s="79" t="str">
        <f t="shared" ref="F1922:F1985" si="152">IF(OR(D1922="",E1922=""),"",ROUND(D1922*E1922,2))</f>
        <v/>
      </c>
      <c r="G1922" s="101"/>
      <c r="H1922" s="91">
        <f t="shared" ref="H1922:H1985" si="153">IF(G1922="Sim",IF(OR(F1922="",D1922="",L1922=""),"",IF(L1922="Sim",ROUND(F1922-D1922,2),0)),0)</f>
        <v>0</v>
      </c>
      <c r="I1922" s="91" t="str">
        <f t="shared" ref="I1922:I1985" si="154">IF(G1922="Sim",0,IF(OR(F1922="",L1922=""),"",F1922))</f>
        <v/>
      </c>
      <c r="J1922" s="91" t="str">
        <f t="shared" ref="J1922:J1985" si="155">IF(G1922="Sim",0,IF(OR(F1922="",D1922="",L1922=""),"",IF(L1922="Sim",ROUND(F1922-D1922,2),0)))</f>
        <v/>
      </c>
      <c r="K1922" s="92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2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58"/>
      <c r="U1922" s="217" t="str">
        <f t="shared" ref="U1922:U1985" si="156">IF(OR($D1922="",$H1922=""),"",ROUND($D1922+$H1922,2))</f>
        <v/>
      </c>
      <c r="V1922" s="215" t="s">
        <v>47</v>
      </c>
      <c r="W1922" s="102" t="s">
        <v>136</v>
      </c>
      <c r="X1922" s="102" t="s">
        <v>137</v>
      </c>
      <c r="Y1922" s="103" t="s">
        <v>138</v>
      </c>
      <c r="Z1922" s="103" t="s">
        <v>139</v>
      </c>
      <c r="AA1922" s="103" t="s">
        <v>47</v>
      </c>
      <c r="AB1922" s="103" t="s">
        <v>140</v>
      </c>
      <c r="AC1922" s="104" t="s">
        <v>141</v>
      </c>
    </row>
    <row r="1923" spans="1:29" ht="25.5" customHeight="1" x14ac:dyDescent="0.35">
      <c r="A1923" s="188"/>
      <c r="B1923" s="190"/>
      <c r="C1923" s="99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0"/>
      <c r="E1923" s="78" t="str">
        <f>IF(C1923="","",IFERROR(VLOOKUP(C1923,parametros!$A$11:$E$15,5,0),""))</f>
        <v/>
      </c>
      <c r="F1923" s="79" t="str">
        <f t="shared" si="152"/>
        <v/>
      </c>
      <c r="G1923" s="101"/>
      <c r="H1923" s="91">
        <f t="shared" si="153"/>
        <v>0</v>
      </c>
      <c r="I1923" s="91" t="str">
        <f t="shared" si="154"/>
        <v/>
      </c>
      <c r="J1923" s="91" t="str">
        <f t="shared" si="155"/>
        <v/>
      </c>
      <c r="K1923" s="92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2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58"/>
      <c r="U1923" s="217" t="str">
        <f t="shared" si="156"/>
        <v/>
      </c>
      <c r="V1923" s="215" t="s">
        <v>47</v>
      </c>
      <c r="W1923" s="102" t="s">
        <v>136</v>
      </c>
      <c r="X1923" s="102" t="s">
        <v>137</v>
      </c>
      <c r="Y1923" s="103" t="s">
        <v>138</v>
      </c>
      <c r="Z1923" s="103" t="s">
        <v>139</v>
      </c>
      <c r="AA1923" s="103" t="s">
        <v>47</v>
      </c>
      <c r="AB1923" s="103" t="s">
        <v>140</v>
      </c>
      <c r="AC1923" s="104" t="s">
        <v>141</v>
      </c>
    </row>
    <row r="1924" spans="1:29" ht="25.5" customHeight="1" x14ac:dyDescent="0.35">
      <c r="A1924" s="188"/>
      <c r="B1924" s="190"/>
      <c r="C1924" s="99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0"/>
      <c r="E1924" s="78" t="str">
        <f>IF(C1924="","",IFERROR(VLOOKUP(C1924,parametros!$A$11:$E$15,5,0),""))</f>
        <v/>
      </c>
      <c r="F1924" s="79" t="str">
        <f t="shared" si="152"/>
        <v/>
      </c>
      <c r="G1924" s="101"/>
      <c r="H1924" s="91">
        <f t="shared" si="153"/>
        <v>0</v>
      </c>
      <c r="I1924" s="91" t="str">
        <f t="shared" si="154"/>
        <v/>
      </c>
      <c r="J1924" s="91" t="str">
        <f t="shared" si="155"/>
        <v/>
      </c>
      <c r="K1924" s="92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2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58"/>
      <c r="U1924" s="217" t="str">
        <f t="shared" si="156"/>
        <v/>
      </c>
      <c r="V1924" s="215" t="s">
        <v>47</v>
      </c>
      <c r="W1924" s="102" t="s">
        <v>136</v>
      </c>
      <c r="X1924" s="102" t="s">
        <v>137</v>
      </c>
      <c r="Y1924" s="103" t="s">
        <v>138</v>
      </c>
      <c r="Z1924" s="103" t="s">
        <v>139</v>
      </c>
      <c r="AA1924" s="103" t="s">
        <v>47</v>
      </c>
      <c r="AB1924" s="103" t="s">
        <v>140</v>
      </c>
      <c r="AC1924" s="104" t="s">
        <v>141</v>
      </c>
    </row>
    <row r="1925" spans="1:29" ht="25.5" customHeight="1" x14ac:dyDescent="0.35">
      <c r="A1925" s="188"/>
      <c r="B1925" s="190"/>
      <c r="C1925" s="99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0"/>
      <c r="E1925" s="78" t="str">
        <f>IF(C1925="","",IFERROR(VLOOKUP(C1925,parametros!$A$11:$E$15,5,0),""))</f>
        <v/>
      </c>
      <c r="F1925" s="79" t="str">
        <f t="shared" si="152"/>
        <v/>
      </c>
      <c r="G1925" s="101"/>
      <c r="H1925" s="91">
        <f t="shared" si="153"/>
        <v>0</v>
      </c>
      <c r="I1925" s="91" t="str">
        <f t="shared" si="154"/>
        <v/>
      </c>
      <c r="J1925" s="91" t="str">
        <f t="shared" si="155"/>
        <v/>
      </c>
      <c r="K1925" s="92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2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58"/>
      <c r="U1925" s="217" t="str">
        <f t="shared" si="156"/>
        <v/>
      </c>
      <c r="V1925" s="215" t="s">
        <v>47</v>
      </c>
      <c r="W1925" s="102" t="s">
        <v>136</v>
      </c>
      <c r="X1925" s="102" t="s">
        <v>137</v>
      </c>
      <c r="Y1925" s="103" t="s">
        <v>138</v>
      </c>
      <c r="Z1925" s="103" t="s">
        <v>139</v>
      </c>
      <c r="AA1925" s="103" t="s">
        <v>47</v>
      </c>
      <c r="AB1925" s="103" t="s">
        <v>140</v>
      </c>
      <c r="AC1925" s="104" t="s">
        <v>141</v>
      </c>
    </row>
    <row r="1926" spans="1:29" ht="25.5" customHeight="1" x14ac:dyDescent="0.35">
      <c r="A1926" s="188"/>
      <c r="B1926" s="190"/>
      <c r="C1926" s="99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0"/>
      <c r="E1926" s="78" t="str">
        <f>IF(C1926="","",IFERROR(VLOOKUP(C1926,parametros!$A$11:$E$15,5,0),""))</f>
        <v/>
      </c>
      <c r="F1926" s="79" t="str">
        <f t="shared" si="152"/>
        <v/>
      </c>
      <c r="G1926" s="101"/>
      <c r="H1926" s="91">
        <f t="shared" si="153"/>
        <v>0</v>
      </c>
      <c r="I1926" s="91" t="str">
        <f t="shared" si="154"/>
        <v/>
      </c>
      <c r="J1926" s="91" t="str">
        <f t="shared" si="155"/>
        <v/>
      </c>
      <c r="K1926" s="92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2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58"/>
      <c r="U1926" s="217" t="str">
        <f t="shared" si="156"/>
        <v/>
      </c>
      <c r="V1926" s="215" t="s">
        <v>47</v>
      </c>
      <c r="W1926" s="102" t="s">
        <v>136</v>
      </c>
      <c r="X1926" s="102" t="s">
        <v>137</v>
      </c>
      <c r="Y1926" s="103" t="s">
        <v>138</v>
      </c>
      <c r="Z1926" s="103" t="s">
        <v>139</v>
      </c>
      <c r="AA1926" s="103" t="s">
        <v>47</v>
      </c>
      <c r="AB1926" s="103" t="s">
        <v>140</v>
      </c>
      <c r="AC1926" s="104" t="s">
        <v>141</v>
      </c>
    </row>
    <row r="1927" spans="1:29" ht="25.5" customHeight="1" x14ac:dyDescent="0.35">
      <c r="A1927" s="188"/>
      <c r="B1927" s="190"/>
      <c r="C1927" s="99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0"/>
      <c r="E1927" s="78" t="str">
        <f>IF(C1927="","",IFERROR(VLOOKUP(C1927,parametros!$A$11:$E$15,5,0),""))</f>
        <v/>
      </c>
      <c r="F1927" s="79" t="str">
        <f t="shared" si="152"/>
        <v/>
      </c>
      <c r="G1927" s="101"/>
      <c r="H1927" s="91">
        <f t="shared" si="153"/>
        <v>0</v>
      </c>
      <c r="I1927" s="91" t="str">
        <f t="shared" si="154"/>
        <v/>
      </c>
      <c r="J1927" s="91" t="str">
        <f t="shared" si="155"/>
        <v/>
      </c>
      <c r="K1927" s="92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2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58"/>
      <c r="U1927" s="217" t="str">
        <f t="shared" si="156"/>
        <v/>
      </c>
      <c r="V1927" s="215" t="s">
        <v>47</v>
      </c>
      <c r="W1927" s="102" t="s">
        <v>136</v>
      </c>
      <c r="X1927" s="102" t="s">
        <v>137</v>
      </c>
      <c r="Y1927" s="103" t="s">
        <v>138</v>
      </c>
      <c r="Z1927" s="103" t="s">
        <v>139</v>
      </c>
      <c r="AA1927" s="103" t="s">
        <v>47</v>
      </c>
      <c r="AB1927" s="103" t="s">
        <v>140</v>
      </c>
      <c r="AC1927" s="104" t="s">
        <v>141</v>
      </c>
    </row>
    <row r="1928" spans="1:29" ht="25.5" customHeight="1" x14ac:dyDescent="0.35">
      <c r="A1928" s="188"/>
      <c r="B1928" s="190"/>
      <c r="C1928" s="99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0"/>
      <c r="E1928" s="78" t="str">
        <f>IF(C1928="","",IFERROR(VLOOKUP(C1928,parametros!$A$11:$E$15,5,0),""))</f>
        <v/>
      </c>
      <c r="F1928" s="79" t="str">
        <f t="shared" si="152"/>
        <v/>
      </c>
      <c r="G1928" s="101"/>
      <c r="H1928" s="91">
        <f t="shared" si="153"/>
        <v>0</v>
      </c>
      <c r="I1928" s="91" t="str">
        <f t="shared" si="154"/>
        <v/>
      </c>
      <c r="J1928" s="91" t="str">
        <f t="shared" si="155"/>
        <v/>
      </c>
      <c r="K1928" s="92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2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58"/>
      <c r="U1928" s="217" t="str">
        <f t="shared" si="156"/>
        <v/>
      </c>
      <c r="V1928" s="215" t="s">
        <v>47</v>
      </c>
      <c r="W1928" s="102" t="s">
        <v>136</v>
      </c>
      <c r="X1928" s="102" t="s">
        <v>137</v>
      </c>
      <c r="Y1928" s="103" t="s">
        <v>138</v>
      </c>
      <c r="Z1928" s="103" t="s">
        <v>139</v>
      </c>
      <c r="AA1928" s="103" t="s">
        <v>47</v>
      </c>
      <c r="AB1928" s="103" t="s">
        <v>140</v>
      </c>
      <c r="AC1928" s="104" t="s">
        <v>141</v>
      </c>
    </row>
    <row r="1929" spans="1:29" ht="25.5" customHeight="1" x14ac:dyDescent="0.35">
      <c r="A1929" s="188"/>
      <c r="B1929" s="190"/>
      <c r="C1929" s="99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0"/>
      <c r="E1929" s="78" t="str">
        <f>IF(C1929="","",IFERROR(VLOOKUP(C1929,parametros!$A$11:$E$15,5,0),""))</f>
        <v/>
      </c>
      <c r="F1929" s="79" t="str">
        <f t="shared" si="152"/>
        <v/>
      </c>
      <c r="G1929" s="101"/>
      <c r="H1929" s="91">
        <f t="shared" si="153"/>
        <v>0</v>
      </c>
      <c r="I1929" s="91" t="str">
        <f t="shared" si="154"/>
        <v/>
      </c>
      <c r="J1929" s="91" t="str">
        <f t="shared" si="155"/>
        <v/>
      </c>
      <c r="K1929" s="92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2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58"/>
      <c r="U1929" s="217" t="str">
        <f t="shared" si="156"/>
        <v/>
      </c>
      <c r="V1929" s="215" t="s">
        <v>47</v>
      </c>
      <c r="W1929" s="102" t="s">
        <v>136</v>
      </c>
      <c r="X1929" s="102" t="s">
        <v>137</v>
      </c>
      <c r="Y1929" s="103" t="s">
        <v>138</v>
      </c>
      <c r="Z1929" s="103" t="s">
        <v>139</v>
      </c>
      <c r="AA1929" s="103" t="s">
        <v>47</v>
      </c>
      <c r="AB1929" s="103" t="s">
        <v>140</v>
      </c>
      <c r="AC1929" s="104" t="s">
        <v>141</v>
      </c>
    </row>
    <row r="1930" spans="1:29" ht="25.5" customHeight="1" x14ac:dyDescent="0.35">
      <c r="A1930" s="188"/>
      <c r="B1930" s="190"/>
      <c r="C1930" s="99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0"/>
      <c r="E1930" s="78" t="str">
        <f>IF(C1930="","",IFERROR(VLOOKUP(C1930,parametros!$A$11:$E$15,5,0),""))</f>
        <v/>
      </c>
      <c r="F1930" s="79" t="str">
        <f t="shared" si="152"/>
        <v/>
      </c>
      <c r="G1930" s="101"/>
      <c r="H1930" s="91">
        <f t="shared" si="153"/>
        <v>0</v>
      </c>
      <c r="I1930" s="91" t="str">
        <f t="shared" si="154"/>
        <v/>
      </c>
      <c r="J1930" s="91" t="str">
        <f t="shared" si="155"/>
        <v/>
      </c>
      <c r="K1930" s="92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2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58"/>
      <c r="U1930" s="217" t="str">
        <f t="shared" si="156"/>
        <v/>
      </c>
      <c r="V1930" s="215" t="s">
        <v>47</v>
      </c>
      <c r="W1930" s="102" t="s">
        <v>136</v>
      </c>
      <c r="X1930" s="102" t="s">
        <v>137</v>
      </c>
      <c r="Y1930" s="103" t="s">
        <v>138</v>
      </c>
      <c r="Z1930" s="103" t="s">
        <v>139</v>
      </c>
      <c r="AA1930" s="103" t="s">
        <v>47</v>
      </c>
      <c r="AB1930" s="103" t="s">
        <v>140</v>
      </c>
      <c r="AC1930" s="104" t="s">
        <v>141</v>
      </c>
    </row>
    <row r="1931" spans="1:29" ht="25.5" customHeight="1" x14ac:dyDescent="0.35">
      <c r="A1931" s="188"/>
      <c r="B1931" s="190"/>
      <c r="C1931" s="99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0"/>
      <c r="E1931" s="78" t="str">
        <f>IF(C1931="","",IFERROR(VLOOKUP(C1931,parametros!$A$11:$E$15,5,0),""))</f>
        <v/>
      </c>
      <c r="F1931" s="79" t="str">
        <f t="shared" si="152"/>
        <v/>
      </c>
      <c r="G1931" s="101"/>
      <c r="H1931" s="91">
        <f t="shared" si="153"/>
        <v>0</v>
      </c>
      <c r="I1931" s="91" t="str">
        <f t="shared" si="154"/>
        <v/>
      </c>
      <c r="J1931" s="91" t="str">
        <f t="shared" si="155"/>
        <v/>
      </c>
      <c r="K1931" s="92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2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58"/>
      <c r="U1931" s="217" t="str">
        <f t="shared" si="156"/>
        <v/>
      </c>
      <c r="V1931" s="215" t="s">
        <v>47</v>
      </c>
      <c r="W1931" s="102" t="s">
        <v>136</v>
      </c>
      <c r="X1931" s="102" t="s">
        <v>137</v>
      </c>
      <c r="Y1931" s="103" t="s">
        <v>138</v>
      </c>
      <c r="Z1931" s="103" t="s">
        <v>139</v>
      </c>
      <c r="AA1931" s="103" t="s">
        <v>47</v>
      </c>
      <c r="AB1931" s="103" t="s">
        <v>140</v>
      </c>
      <c r="AC1931" s="104" t="s">
        <v>141</v>
      </c>
    </row>
    <row r="1932" spans="1:29" ht="25.5" customHeight="1" x14ac:dyDescent="0.35">
      <c r="A1932" s="188"/>
      <c r="B1932" s="190"/>
      <c r="C1932" s="99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0"/>
      <c r="E1932" s="78" t="str">
        <f>IF(C1932="","",IFERROR(VLOOKUP(C1932,parametros!$A$11:$E$15,5,0),""))</f>
        <v/>
      </c>
      <c r="F1932" s="79" t="str">
        <f t="shared" si="152"/>
        <v/>
      </c>
      <c r="G1932" s="101"/>
      <c r="H1932" s="91">
        <f t="shared" si="153"/>
        <v>0</v>
      </c>
      <c r="I1932" s="91" t="str">
        <f t="shared" si="154"/>
        <v/>
      </c>
      <c r="J1932" s="91" t="str">
        <f t="shared" si="155"/>
        <v/>
      </c>
      <c r="K1932" s="92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2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58"/>
      <c r="U1932" s="217" t="str">
        <f t="shared" si="156"/>
        <v/>
      </c>
      <c r="V1932" s="215" t="s">
        <v>47</v>
      </c>
      <c r="W1932" s="102" t="s">
        <v>136</v>
      </c>
      <c r="X1932" s="102" t="s">
        <v>137</v>
      </c>
      <c r="Y1932" s="103" t="s">
        <v>138</v>
      </c>
      <c r="Z1932" s="103" t="s">
        <v>139</v>
      </c>
      <c r="AA1932" s="103" t="s">
        <v>47</v>
      </c>
      <c r="AB1932" s="103" t="s">
        <v>140</v>
      </c>
      <c r="AC1932" s="104" t="s">
        <v>141</v>
      </c>
    </row>
    <row r="1933" spans="1:29" ht="25.5" customHeight="1" x14ac:dyDescent="0.35">
      <c r="A1933" s="188"/>
      <c r="B1933" s="190"/>
      <c r="C1933" s="99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0"/>
      <c r="E1933" s="78" t="str">
        <f>IF(C1933="","",IFERROR(VLOOKUP(C1933,parametros!$A$11:$E$15,5,0),""))</f>
        <v/>
      </c>
      <c r="F1933" s="79" t="str">
        <f t="shared" si="152"/>
        <v/>
      </c>
      <c r="G1933" s="101"/>
      <c r="H1933" s="91">
        <f t="shared" si="153"/>
        <v>0</v>
      </c>
      <c r="I1933" s="91" t="str">
        <f t="shared" si="154"/>
        <v/>
      </c>
      <c r="J1933" s="91" t="str">
        <f t="shared" si="155"/>
        <v/>
      </c>
      <c r="K1933" s="92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2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58"/>
      <c r="U1933" s="217" t="str">
        <f t="shared" si="156"/>
        <v/>
      </c>
      <c r="V1933" s="215" t="s">
        <v>47</v>
      </c>
      <c r="W1933" s="102" t="s">
        <v>136</v>
      </c>
      <c r="X1933" s="102" t="s">
        <v>137</v>
      </c>
      <c r="Y1933" s="103" t="s">
        <v>138</v>
      </c>
      <c r="Z1933" s="103" t="s">
        <v>139</v>
      </c>
      <c r="AA1933" s="103" t="s">
        <v>47</v>
      </c>
      <c r="AB1933" s="103" t="s">
        <v>140</v>
      </c>
      <c r="AC1933" s="104" t="s">
        <v>141</v>
      </c>
    </row>
    <row r="1934" spans="1:29" ht="25.5" customHeight="1" x14ac:dyDescent="0.35">
      <c r="A1934" s="188"/>
      <c r="B1934" s="190"/>
      <c r="C1934" s="99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0"/>
      <c r="E1934" s="78" t="str">
        <f>IF(C1934="","",IFERROR(VLOOKUP(C1934,parametros!$A$11:$E$15,5,0),""))</f>
        <v/>
      </c>
      <c r="F1934" s="79" t="str">
        <f t="shared" si="152"/>
        <v/>
      </c>
      <c r="G1934" s="101"/>
      <c r="H1934" s="91">
        <f t="shared" si="153"/>
        <v>0</v>
      </c>
      <c r="I1934" s="91" t="str">
        <f t="shared" si="154"/>
        <v/>
      </c>
      <c r="J1934" s="91" t="str">
        <f t="shared" si="155"/>
        <v/>
      </c>
      <c r="K1934" s="92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2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58"/>
      <c r="U1934" s="217" t="str">
        <f t="shared" si="156"/>
        <v/>
      </c>
      <c r="V1934" s="215" t="s">
        <v>47</v>
      </c>
      <c r="W1934" s="102" t="s">
        <v>136</v>
      </c>
      <c r="X1934" s="102" t="s">
        <v>137</v>
      </c>
      <c r="Y1934" s="103" t="s">
        <v>138</v>
      </c>
      <c r="Z1934" s="103" t="s">
        <v>139</v>
      </c>
      <c r="AA1934" s="103" t="s">
        <v>47</v>
      </c>
      <c r="AB1934" s="103" t="s">
        <v>140</v>
      </c>
      <c r="AC1934" s="104" t="s">
        <v>141</v>
      </c>
    </row>
    <row r="1935" spans="1:29" ht="25.5" customHeight="1" x14ac:dyDescent="0.35">
      <c r="A1935" s="188"/>
      <c r="B1935" s="190"/>
      <c r="C1935" s="99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0"/>
      <c r="E1935" s="78" t="str">
        <f>IF(C1935="","",IFERROR(VLOOKUP(C1935,parametros!$A$11:$E$15,5,0),""))</f>
        <v/>
      </c>
      <c r="F1935" s="79" t="str">
        <f t="shared" si="152"/>
        <v/>
      </c>
      <c r="G1935" s="101"/>
      <c r="H1935" s="91">
        <f t="shared" si="153"/>
        <v>0</v>
      </c>
      <c r="I1935" s="91" t="str">
        <f t="shared" si="154"/>
        <v/>
      </c>
      <c r="J1935" s="91" t="str">
        <f t="shared" si="155"/>
        <v/>
      </c>
      <c r="K1935" s="92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2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58"/>
      <c r="U1935" s="217" t="str">
        <f t="shared" si="156"/>
        <v/>
      </c>
      <c r="V1935" s="215" t="s">
        <v>47</v>
      </c>
      <c r="W1935" s="102" t="s">
        <v>136</v>
      </c>
      <c r="X1935" s="102" t="s">
        <v>137</v>
      </c>
      <c r="Y1935" s="103" t="s">
        <v>138</v>
      </c>
      <c r="Z1935" s="103" t="s">
        <v>139</v>
      </c>
      <c r="AA1935" s="103" t="s">
        <v>47</v>
      </c>
      <c r="AB1935" s="103" t="s">
        <v>140</v>
      </c>
      <c r="AC1935" s="104" t="s">
        <v>141</v>
      </c>
    </row>
    <row r="1936" spans="1:29" ht="25.5" customHeight="1" x14ac:dyDescent="0.35">
      <c r="A1936" s="188"/>
      <c r="B1936" s="190"/>
      <c r="C1936" s="99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0"/>
      <c r="E1936" s="78" t="str">
        <f>IF(C1936="","",IFERROR(VLOOKUP(C1936,parametros!$A$11:$E$15,5,0),""))</f>
        <v/>
      </c>
      <c r="F1936" s="79" t="str">
        <f t="shared" si="152"/>
        <v/>
      </c>
      <c r="G1936" s="101"/>
      <c r="H1936" s="91">
        <f t="shared" si="153"/>
        <v>0</v>
      </c>
      <c r="I1936" s="91" t="str">
        <f t="shared" si="154"/>
        <v/>
      </c>
      <c r="J1936" s="91" t="str">
        <f t="shared" si="155"/>
        <v/>
      </c>
      <c r="K1936" s="92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2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58"/>
      <c r="U1936" s="217" t="str">
        <f t="shared" si="156"/>
        <v/>
      </c>
      <c r="V1936" s="215" t="s">
        <v>47</v>
      </c>
      <c r="W1936" s="102" t="s">
        <v>136</v>
      </c>
      <c r="X1936" s="102" t="s">
        <v>137</v>
      </c>
      <c r="Y1936" s="103" t="s">
        <v>138</v>
      </c>
      <c r="Z1936" s="103" t="s">
        <v>139</v>
      </c>
      <c r="AA1936" s="103" t="s">
        <v>47</v>
      </c>
      <c r="AB1936" s="103" t="s">
        <v>140</v>
      </c>
      <c r="AC1936" s="104" t="s">
        <v>141</v>
      </c>
    </row>
    <row r="1937" spans="1:29" ht="25.5" customHeight="1" x14ac:dyDescent="0.35">
      <c r="A1937" s="188"/>
      <c r="B1937" s="190"/>
      <c r="C1937" s="99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0"/>
      <c r="E1937" s="78" t="str">
        <f>IF(C1937="","",IFERROR(VLOOKUP(C1937,parametros!$A$11:$E$15,5,0),""))</f>
        <v/>
      </c>
      <c r="F1937" s="79" t="str">
        <f t="shared" si="152"/>
        <v/>
      </c>
      <c r="G1937" s="101"/>
      <c r="H1937" s="91">
        <f t="shared" si="153"/>
        <v>0</v>
      </c>
      <c r="I1937" s="91" t="str">
        <f t="shared" si="154"/>
        <v/>
      </c>
      <c r="J1937" s="91" t="str">
        <f t="shared" si="155"/>
        <v/>
      </c>
      <c r="K1937" s="92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2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58"/>
      <c r="U1937" s="217" t="str">
        <f t="shared" si="156"/>
        <v/>
      </c>
      <c r="V1937" s="215" t="s">
        <v>47</v>
      </c>
      <c r="W1937" s="102" t="s">
        <v>136</v>
      </c>
      <c r="X1937" s="102" t="s">
        <v>137</v>
      </c>
      <c r="Y1937" s="103" t="s">
        <v>138</v>
      </c>
      <c r="Z1937" s="103" t="s">
        <v>139</v>
      </c>
      <c r="AA1937" s="103" t="s">
        <v>47</v>
      </c>
      <c r="AB1937" s="103" t="s">
        <v>140</v>
      </c>
      <c r="AC1937" s="104" t="s">
        <v>141</v>
      </c>
    </row>
    <row r="1938" spans="1:29" ht="25.5" customHeight="1" x14ac:dyDescent="0.35">
      <c r="A1938" s="188"/>
      <c r="B1938" s="190"/>
      <c r="C1938" s="99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0"/>
      <c r="E1938" s="78" t="str">
        <f>IF(C1938="","",IFERROR(VLOOKUP(C1938,parametros!$A$11:$E$15,5,0),""))</f>
        <v/>
      </c>
      <c r="F1938" s="79" t="str">
        <f t="shared" si="152"/>
        <v/>
      </c>
      <c r="G1938" s="101"/>
      <c r="H1938" s="91">
        <f t="shared" si="153"/>
        <v>0</v>
      </c>
      <c r="I1938" s="91" t="str">
        <f t="shared" si="154"/>
        <v/>
      </c>
      <c r="J1938" s="91" t="str">
        <f t="shared" si="155"/>
        <v/>
      </c>
      <c r="K1938" s="92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2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58"/>
      <c r="U1938" s="217" t="str">
        <f t="shared" si="156"/>
        <v/>
      </c>
      <c r="V1938" s="215" t="s">
        <v>47</v>
      </c>
      <c r="W1938" s="102" t="s">
        <v>136</v>
      </c>
      <c r="X1938" s="102" t="s">
        <v>137</v>
      </c>
      <c r="Y1938" s="103" t="s">
        <v>138</v>
      </c>
      <c r="Z1938" s="103" t="s">
        <v>139</v>
      </c>
      <c r="AA1938" s="103" t="s">
        <v>47</v>
      </c>
      <c r="AB1938" s="103" t="s">
        <v>140</v>
      </c>
      <c r="AC1938" s="104" t="s">
        <v>141</v>
      </c>
    </row>
    <row r="1939" spans="1:29" ht="25.5" customHeight="1" x14ac:dyDescent="0.35">
      <c r="A1939" s="188"/>
      <c r="B1939" s="190"/>
      <c r="C1939" s="99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0"/>
      <c r="E1939" s="78" t="str">
        <f>IF(C1939="","",IFERROR(VLOOKUP(C1939,parametros!$A$11:$E$15,5,0),""))</f>
        <v/>
      </c>
      <c r="F1939" s="79" t="str">
        <f t="shared" si="152"/>
        <v/>
      </c>
      <c r="G1939" s="101"/>
      <c r="H1939" s="91">
        <f t="shared" si="153"/>
        <v>0</v>
      </c>
      <c r="I1939" s="91" t="str">
        <f t="shared" si="154"/>
        <v/>
      </c>
      <c r="J1939" s="91" t="str">
        <f t="shared" si="155"/>
        <v/>
      </c>
      <c r="K1939" s="92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2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58"/>
      <c r="U1939" s="217" t="str">
        <f t="shared" si="156"/>
        <v/>
      </c>
      <c r="V1939" s="215" t="s">
        <v>47</v>
      </c>
      <c r="W1939" s="102" t="s">
        <v>136</v>
      </c>
      <c r="X1939" s="102" t="s">
        <v>137</v>
      </c>
      <c r="Y1939" s="103" t="s">
        <v>138</v>
      </c>
      <c r="Z1939" s="103" t="s">
        <v>139</v>
      </c>
      <c r="AA1939" s="103" t="s">
        <v>47</v>
      </c>
      <c r="AB1939" s="103" t="s">
        <v>140</v>
      </c>
      <c r="AC1939" s="104" t="s">
        <v>141</v>
      </c>
    </row>
    <row r="1940" spans="1:29" ht="25.5" customHeight="1" x14ac:dyDescent="0.35">
      <c r="A1940" s="188"/>
      <c r="B1940" s="190"/>
      <c r="C1940" s="99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0"/>
      <c r="E1940" s="78" t="str">
        <f>IF(C1940="","",IFERROR(VLOOKUP(C1940,parametros!$A$11:$E$15,5,0),""))</f>
        <v/>
      </c>
      <c r="F1940" s="79" t="str">
        <f t="shared" si="152"/>
        <v/>
      </c>
      <c r="G1940" s="101"/>
      <c r="H1940" s="91">
        <f t="shared" si="153"/>
        <v>0</v>
      </c>
      <c r="I1940" s="91" t="str">
        <f t="shared" si="154"/>
        <v/>
      </c>
      <c r="J1940" s="91" t="str">
        <f t="shared" si="155"/>
        <v/>
      </c>
      <c r="K1940" s="92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2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58"/>
      <c r="U1940" s="217" t="str">
        <f t="shared" si="156"/>
        <v/>
      </c>
      <c r="V1940" s="215" t="s">
        <v>47</v>
      </c>
      <c r="W1940" s="102" t="s">
        <v>136</v>
      </c>
      <c r="X1940" s="102" t="s">
        <v>137</v>
      </c>
      <c r="Y1940" s="103" t="s">
        <v>138</v>
      </c>
      <c r="Z1940" s="103" t="s">
        <v>139</v>
      </c>
      <c r="AA1940" s="103" t="s">
        <v>47</v>
      </c>
      <c r="AB1940" s="103" t="s">
        <v>140</v>
      </c>
      <c r="AC1940" s="104" t="s">
        <v>141</v>
      </c>
    </row>
    <row r="1941" spans="1:29" ht="25.5" customHeight="1" x14ac:dyDescent="0.35">
      <c r="A1941" s="188"/>
      <c r="B1941" s="190"/>
      <c r="C1941" s="99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0"/>
      <c r="E1941" s="78" t="str">
        <f>IF(C1941="","",IFERROR(VLOOKUP(C1941,parametros!$A$11:$E$15,5,0),""))</f>
        <v/>
      </c>
      <c r="F1941" s="79" t="str">
        <f t="shared" si="152"/>
        <v/>
      </c>
      <c r="G1941" s="101"/>
      <c r="H1941" s="91">
        <f t="shared" si="153"/>
        <v>0</v>
      </c>
      <c r="I1941" s="91" t="str">
        <f t="shared" si="154"/>
        <v/>
      </c>
      <c r="J1941" s="91" t="str">
        <f t="shared" si="155"/>
        <v/>
      </c>
      <c r="K1941" s="92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2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58"/>
      <c r="U1941" s="217" t="str">
        <f t="shared" si="156"/>
        <v/>
      </c>
      <c r="V1941" s="215" t="s">
        <v>47</v>
      </c>
      <c r="W1941" s="102" t="s">
        <v>136</v>
      </c>
      <c r="X1941" s="102" t="s">
        <v>137</v>
      </c>
      <c r="Y1941" s="103" t="s">
        <v>138</v>
      </c>
      <c r="Z1941" s="103" t="s">
        <v>139</v>
      </c>
      <c r="AA1941" s="103" t="s">
        <v>47</v>
      </c>
      <c r="AB1941" s="103" t="s">
        <v>140</v>
      </c>
      <c r="AC1941" s="104" t="s">
        <v>141</v>
      </c>
    </row>
    <row r="1942" spans="1:29" ht="25.5" customHeight="1" x14ac:dyDescent="0.35">
      <c r="A1942" s="188"/>
      <c r="B1942" s="190"/>
      <c r="C1942" s="99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0"/>
      <c r="E1942" s="78" t="str">
        <f>IF(C1942="","",IFERROR(VLOOKUP(C1942,parametros!$A$11:$E$15,5,0),""))</f>
        <v/>
      </c>
      <c r="F1942" s="79" t="str">
        <f t="shared" si="152"/>
        <v/>
      </c>
      <c r="G1942" s="101"/>
      <c r="H1942" s="91">
        <f t="shared" si="153"/>
        <v>0</v>
      </c>
      <c r="I1942" s="91" t="str">
        <f t="shared" si="154"/>
        <v/>
      </c>
      <c r="J1942" s="91" t="str">
        <f t="shared" si="155"/>
        <v/>
      </c>
      <c r="K1942" s="92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2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58"/>
      <c r="U1942" s="217" t="str">
        <f t="shared" si="156"/>
        <v/>
      </c>
      <c r="V1942" s="215" t="s">
        <v>47</v>
      </c>
      <c r="W1942" s="102" t="s">
        <v>136</v>
      </c>
      <c r="X1942" s="102" t="s">
        <v>137</v>
      </c>
      <c r="Y1942" s="103" t="s">
        <v>138</v>
      </c>
      <c r="Z1942" s="103" t="s">
        <v>139</v>
      </c>
      <c r="AA1942" s="103" t="s">
        <v>47</v>
      </c>
      <c r="AB1942" s="103" t="s">
        <v>140</v>
      </c>
      <c r="AC1942" s="104" t="s">
        <v>141</v>
      </c>
    </row>
    <row r="1943" spans="1:29" ht="25.5" customHeight="1" x14ac:dyDescent="0.35">
      <c r="A1943" s="188"/>
      <c r="B1943" s="190"/>
      <c r="C1943" s="99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0"/>
      <c r="E1943" s="78" t="str">
        <f>IF(C1943="","",IFERROR(VLOOKUP(C1943,parametros!$A$11:$E$15,5,0),""))</f>
        <v/>
      </c>
      <c r="F1943" s="79" t="str">
        <f t="shared" si="152"/>
        <v/>
      </c>
      <c r="G1943" s="101"/>
      <c r="H1943" s="91">
        <f t="shared" si="153"/>
        <v>0</v>
      </c>
      <c r="I1943" s="91" t="str">
        <f t="shared" si="154"/>
        <v/>
      </c>
      <c r="J1943" s="91" t="str">
        <f t="shared" si="155"/>
        <v/>
      </c>
      <c r="K1943" s="92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2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58"/>
      <c r="U1943" s="217" t="str">
        <f t="shared" si="156"/>
        <v/>
      </c>
      <c r="V1943" s="215" t="s">
        <v>47</v>
      </c>
      <c r="W1943" s="102" t="s">
        <v>136</v>
      </c>
      <c r="X1943" s="102" t="s">
        <v>137</v>
      </c>
      <c r="Y1943" s="103" t="s">
        <v>138</v>
      </c>
      <c r="Z1943" s="103" t="s">
        <v>139</v>
      </c>
      <c r="AA1943" s="103" t="s">
        <v>47</v>
      </c>
      <c r="AB1943" s="103" t="s">
        <v>140</v>
      </c>
      <c r="AC1943" s="104" t="s">
        <v>141</v>
      </c>
    </row>
    <row r="1944" spans="1:29" ht="25.5" customHeight="1" x14ac:dyDescent="0.35">
      <c r="A1944" s="188"/>
      <c r="B1944" s="190"/>
      <c r="C1944" s="99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0"/>
      <c r="E1944" s="78" t="str">
        <f>IF(C1944="","",IFERROR(VLOOKUP(C1944,parametros!$A$11:$E$15,5,0),""))</f>
        <v/>
      </c>
      <c r="F1944" s="79" t="str">
        <f t="shared" si="152"/>
        <v/>
      </c>
      <c r="G1944" s="101"/>
      <c r="H1944" s="91">
        <f t="shared" si="153"/>
        <v>0</v>
      </c>
      <c r="I1944" s="91" t="str">
        <f t="shared" si="154"/>
        <v/>
      </c>
      <c r="J1944" s="91" t="str">
        <f t="shared" si="155"/>
        <v/>
      </c>
      <c r="K1944" s="92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2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58"/>
      <c r="U1944" s="217" t="str">
        <f t="shared" si="156"/>
        <v/>
      </c>
      <c r="V1944" s="215" t="s">
        <v>47</v>
      </c>
      <c r="W1944" s="102" t="s">
        <v>136</v>
      </c>
      <c r="X1944" s="102" t="s">
        <v>137</v>
      </c>
      <c r="Y1944" s="103" t="s">
        <v>138</v>
      </c>
      <c r="Z1944" s="103" t="s">
        <v>139</v>
      </c>
      <c r="AA1944" s="103" t="s">
        <v>47</v>
      </c>
      <c r="AB1944" s="103" t="s">
        <v>140</v>
      </c>
      <c r="AC1944" s="104" t="s">
        <v>141</v>
      </c>
    </row>
    <row r="1945" spans="1:29" ht="25.5" customHeight="1" x14ac:dyDescent="0.35">
      <c r="A1945" s="188"/>
      <c r="B1945" s="190"/>
      <c r="C1945" s="99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0"/>
      <c r="E1945" s="78" t="str">
        <f>IF(C1945="","",IFERROR(VLOOKUP(C1945,parametros!$A$11:$E$15,5,0),""))</f>
        <v/>
      </c>
      <c r="F1945" s="79" t="str">
        <f t="shared" si="152"/>
        <v/>
      </c>
      <c r="G1945" s="101"/>
      <c r="H1945" s="91">
        <f t="shared" si="153"/>
        <v>0</v>
      </c>
      <c r="I1945" s="91" t="str">
        <f t="shared" si="154"/>
        <v/>
      </c>
      <c r="J1945" s="91" t="str">
        <f t="shared" si="155"/>
        <v/>
      </c>
      <c r="K1945" s="92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2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58"/>
      <c r="U1945" s="217" t="str">
        <f t="shared" si="156"/>
        <v/>
      </c>
      <c r="V1945" s="215" t="s">
        <v>47</v>
      </c>
      <c r="W1945" s="102" t="s">
        <v>136</v>
      </c>
      <c r="X1945" s="102" t="s">
        <v>137</v>
      </c>
      <c r="Y1945" s="103" t="s">
        <v>138</v>
      </c>
      <c r="Z1945" s="103" t="s">
        <v>139</v>
      </c>
      <c r="AA1945" s="103" t="s">
        <v>47</v>
      </c>
      <c r="AB1945" s="103" t="s">
        <v>140</v>
      </c>
      <c r="AC1945" s="104" t="s">
        <v>141</v>
      </c>
    </row>
    <row r="1946" spans="1:29" ht="25.5" customHeight="1" x14ac:dyDescent="0.35">
      <c r="A1946" s="188"/>
      <c r="B1946" s="190"/>
      <c r="C1946" s="99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0"/>
      <c r="E1946" s="78" t="str">
        <f>IF(C1946="","",IFERROR(VLOOKUP(C1946,parametros!$A$11:$E$15,5,0),""))</f>
        <v/>
      </c>
      <c r="F1946" s="79" t="str">
        <f t="shared" si="152"/>
        <v/>
      </c>
      <c r="G1946" s="101"/>
      <c r="H1946" s="91">
        <f t="shared" si="153"/>
        <v>0</v>
      </c>
      <c r="I1946" s="91" t="str">
        <f t="shared" si="154"/>
        <v/>
      </c>
      <c r="J1946" s="91" t="str">
        <f t="shared" si="155"/>
        <v/>
      </c>
      <c r="K1946" s="92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2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58"/>
      <c r="U1946" s="217" t="str">
        <f t="shared" si="156"/>
        <v/>
      </c>
      <c r="V1946" s="215" t="s">
        <v>47</v>
      </c>
      <c r="W1946" s="102" t="s">
        <v>136</v>
      </c>
      <c r="X1946" s="102" t="s">
        <v>137</v>
      </c>
      <c r="Y1946" s="103" t="s">
        <v>138</v>
      </c>
      <c r="Z1946" s="103" t="s">
        <v>139</v>
      </c>
      <c r="AA1946" s="103" t="s">
        <v>47</v>
      </c>
      <c r="AB1946" s="103" t="s">
        <v>140</v>
      </c>
      <c r="AC1946" s="104" t="s">
        <v>141</v>
      </c>
    </row>
    <row r="1947" spans="1:29" ht="25.5" customHeight="1" x14ac:dyDescent="0.35">
      <c r="A1947" s="188"/>
      <c r="B1947" s="190"/>
      <c r="C1947" s="99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0"/>
      <c r="E1947" s="78" t="str">
        <f>IF(C1947="","",IFERROR(VLOOKUP(C1947,parametros!$A$11:$E$15,5,0),""))</f>
        <v/>
      </c>
      <c r="F1947" s="79" t="str">
        <f t="shared" si="152"/>
        <v/>
      </c>
      <c r="G1947" s="101"/>
      <c r="H1947" s="91">
        <f t="shared" si="153"/>
        <v>0</v>
      </c>
      <c r="I1947" s="91" t="str">
        <f t="shared" si="154"/>
        <v/>
      </c>
      <c r="J1947" s="91" t="str">
        <f t="shared" si="155"/>
        <v/>
      </c>
      <c r="K1947" s="92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2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58"/>
      <c r="U1947" s="217" t="str">
        <f t="shared" si="156"/>
        <v/>
      </c>
      <c r="V1947" s="215" t="s">
        <v>47</v>
      </c>
      <c r="W1947" s="102" t="s">
        <v>136</v>
      </c>
      <c r="X1947" s="102" t="s">
        <v>137</v>
      </c>
      <c r="Y1947" s="103" t="s">
        <v>138</v>
      </c>
      <c r="Z1947" s="103" t="s">
        <v>139</v>
      </c>
      <c r="AA1947" s="103" t="s">
        <v>47</v>
      </c>
      <c r="AB1947" s="103" t="s">
        <v>140</v>
      </c>
      <c r="AC1947" s="104" t="s">
        <v>141</v>
      </c>
    </row>
    <row r="1948" spans="1:29" ht="25.5" customHeight="1" x14ac:dyDescent="0.35">
      <c r="A1948" s="188"/>
      <c r="B1948" s="190"/>
      <c r="C1948" s="99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0"/>
      <c r="E1948" s="78" t="str">
        <f>IF(C1948="","",IFERROR(VLOOKUP(C1948,parametros!$A$11:$E$15,5,0),""))</f>
        <v/>
      </c>
      <c r="F1948" s="79" t="str">
        <f t="shared" si="152"/>
        <v/>
      </c>
      <c r="G1948" s="101"/>
      <c r="H1948" s="91">
        <f t="shared" si="153"/>
        <v>0</v>
      </c>
      <c r="I1948" s="91" t="str">
        <f t="shared" si="154"/>
        <v/>
      </c>
      <c r="J1948" s="91" t="str">
        <f t="shared" si="155"/>
        <v/>
      </c>
      <c r="K1948" s="92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2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58"/>
      <c r="U1948" s="217" t="str">
        <f t="shared" si="156"/>
        <v/>
      </c>
      <c r="V1948" s="215" t="s">
        <v>47</v>
      </c>
      <c r="W1948" s="102" t="s">
        <v>136</v>
      </c>
      <c r="X1948" s="102" t="s">
        <v>137</v>
      </c>
      <c r="Y1948" s="103" t="s">
        <v>138</v>
      </c>
      <c r="Z1948" s="103" t="s">
        <v>139</v>
      </c>
      <c r="AA1948" s="103" t="s">
        <v>47</v>
      </c>
      <c r="AB1948" s="103" t="s">
        <v>140</v>
      </c>
      <c r="AC1948" s="104" t="s">
        <v>141</v>
      </c>
    </row>
    <row r="1949" spans="1:29" ht="25.5" customHeight="1" x14ac:dyDescent="0.35">
      <c r="A1949" s="188"/>
      <c r="B1949" s="190"/>
      <c r="C1949" s="99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0"/>
      <c r="E1949" s="78" t="str">
        <f>IF(C1949="","",IFERROR(VLOOKUP(C1949,parametros!$A$11:$E$15,5,0),""))</f>
        <v/>
      </c>
      <c r="F1949" s="79" t="str">
        <f t="shared" si="152"/>
        <v/>
      </c>
      <c r="G1949" s="101"/>
      <c r="H1949" s="91">
        <f t="shared" si="153"/>
        <v>0</v>
      </c>
      <c r="I1949" s="91" t="str">
        <f t="shared" si="154"/>
        <v/>
      </c>
      <c r="J1949" s="91" t="str">
        <f t="shared" si="155"/>
        <v/>
      </c>
      <c r="K1949" s="92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2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58"/>
      <c r="U1949" s="217" t="str">
        <f t="shared" si="156"/>
        <v/>
      </c>
      <c r="V1949" s="215" t="s">
        <v>47</v>
      </c>
      <c r="W1949" s="102" t="s">
        <v>136</v>
      </c>
      <c r="X1949" s="102" t="s">
        <v>137</v>
      </c>
      <c r="Y1949" s="103" t="s">
        <v>138</v>
      </c>
      <c r="Z1949" s="103" t="s">
        <v>139</v>
      </c>
      <c r="AA1949" s="103" t="s">
        <v>47</v>
      </c>
      <c r="AB1949" s="103" t="s">
        <v>140</v>
      </c>
      <c r="AC1949" s="104" t="s">
        <v>141</v>
      </c>
    </row>
    <row r="1950" spans="1:29" ht="25.5" customHeight="1" x14ac:dyDescent="0.35">
      <c r="A1950" s="188"/>
      <c r="B1950" s="190"/>
      <c r="C1950" s="99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0"/>
      <c r="E1950" s="78" t="str">
        <f>IF(C1950="","",IFERROR(VLOOKUP(C1950,parametros!$A$11:$E$15,5,0),""))</f>
        <v/>
      </c>
      <c r="F1950" s="79" t="str">
        <f t="shared" si="152"/>
        <v/>
      </c>
      <c r="G1950" s="101"/>
      <c r="H1950" s="91">
        <f t="shared" si="153"/>
        <v>0</v>
      </c>
      <c r="I1950" s="91" t="str">
        <f t="shared" si="154"/>
        <v/>
      </c>
      <c r="J1950" s="91" t="str">
        <f t="shared" si="155"/>
        <v/>
      </c>
      <c r="K1950" s="92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2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58"/>
      <c r="U1950" s="217" t="str">
        <f t="shared" si="156"/>
        <v/>
      </c>
      <c r="V1950" s="215" t="s">
        <v>47</v>
      </c>
      <c r="W1950" s="102" t="s">
        <v>136</v>
      </c>
      <c r="X1950" s="102" t="s">
        <v>137</v>
      </c>
      <c r="Y1950" s="103" t="s">
        <v>138</v>
      </c>
      <c r="Z1950" s="103" t="s">
        <v>139</v>
      </c>
      <c r="AA1950" s="103" t="s">
        <v>47</v>
      </c>
      <c r="AB1950" s="103" t="s">
        <v>140</v>
      </c>
      <c r="AC1950" s="104" t="s">
        <v>141</v>
      </c>
    </row>
    <row r="1951" spans="1:29" ht="25.5" customHeight="1" x14ac:dyDescent="0.35">
      <c r="A1951" s="188"/>
      <c r="B1951" s="190"/>
      <c r="C1951" s="99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0"/>
      <c r="E1951" s="78" t="str">
        <f>IF(C1951="","",IFERROR(VLOOKUP(C1951,parametros!$A$11:$E$15,5,0),""))</f>
        <v/>
      </c>
      <c r="F1951" s="79" t="str">
        <f t="shared" si="152"/>
        <v/>
      </c>
      <c r="G1951" s="101"/>
      <c r="H1951" s="91">
        <f t="shared" si="153"/>
        <v>0</v>
      </c>
      <c r="I1951" s="91" t="str">
        <f t="shared" si="154"/>
        <v/>
      </c>
      <c r="J1951" s="91" t="str">
        <f t="shared" si="155"/>
        <v/>
      </c>
      <c r="K1951" s="92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2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58"/>
      <c r="U1951" s="217" t="str">
        <f t="shared" si="156"/>
        <v/>
      </c>
      <c r="V1951" s="215" t="s">
        <v>47</v>
      </c>
      <c r="W1951" s="102" t="s">
        <v>136</v>
      </c>
      <c r="X1951" s="102" t="s">
        <v>137</v>
      </c>
      <c r="Y1951" s="103" t="s">
        <v>138</v>
      </c>
      <c r="Z1951" s="103" t="s">
        <v>139</v>
      </c>
      <c r="AA1951" s="103" t="s">
        <v>47</v>
      </c>
      <c r="AB1951" s="103" t="s">
        <v>140</v>
      </c>
      <c r="AC1951" s="104" t="s">
        <v>141</v>
      </c>
    </row>
    <row r="1952" spans="1:29" ht="25.5" customHeight="1" x14ac:dyDescent="0.35">
      <c r="A1952" s="188"/>
      <c r="B1952" s="190"/>
      <c r="C1952" s="99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0"/>
      <c r="E1952" s="78" t="str">
        <f>IF(C1952="","",IFERROR(VLOOKUP(C1952,parametros!$A$11:$E$15,5,0),""))</f>
        <v/>
      </c>
      <c r="F1952" s="79" t="str">
        <f t="shared" si="152"/>
        <v/>
      </c>
      <c r="G1952" s="101"/>
      <c r="H1952" s="91">
        <f t="shared" si="153"/>
        <v>0</v>
      </c>
      <c r="I1952" s="91" t="str">
        <f t="shared" si="154"/>
        <v/>
      </c>
      <c r="J1952" s="91" t="str">
        <f t="shared" si="155"/>
        <v/>
      </c>
      <c r="K1952" s="92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2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58"/>
      <c r="U1952" s="217" t="str">
        <f t="shared" si="156"/>
        <v/>
      </c>
      <c r="V1952" s="215" t="s">
        <v>47</v>
      </c>
      <c r="W1952" s="102" t="s">
        <v>136</v>
      </c>
      <c r="X1952" s="102" t="s">
        <v>137</v>
      </c>
      <c r="Y1952" s="103" t="s">
        <v>138</v>
      </c>
      <c r="Z1952" s="103" t="s">
        <v>139</v>
      </c>
      <c r="AA1952" s="103" t="s">
        <v>47</v>
      </c>
      <c r="AB1952" s="103" t="s">
        <v>140</v>
      </c>
      <c r="AC1952" s="104" t="s">
        <v>141</v>
      </c>
    </row>
    <row r="1953" spans="1:29" ht="25.5" customHeight="1" x14ac:dyDescent="0.35">
      <c r="A1953" s="188"/>
      <c r="B1953" s="190"/>
      <c r="C1953" s="99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0"/>
      <c r="E1953" s="78" t="str">
        <f>IF(C1953="","",IFERROR(VLOOKUP(C1953,parametros!$A$11:$E$15,5,0),""))</f>
        <v/>
      </c>
      <c r="F1953" s="79" t="str">
        <f t="shared" si="152"/>
        <v/>
      </c>
      <c r="G1953" s="101"/>
      <c r="H1953" s="91">
        <f t="shared" si="153"/>
        <v>0</v>
      </c>
      <c r="I1953" s="91" t="str">
        <f t="shared" si="154"/>
        <v/>
      </c>
      <c r="J1953" s="91" t="str">
        <f t="shared" si="155"/>
        <v/>
      </c>
      <c r="K1953" s="92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2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58"/>
      <c r="U1953" s="217" t="str">
        <f t="shared" si="156"/>
        <v/>
      </c>
      <c r="V1953" s="215" t="s">
        <v>47</v>
      </c>
      <c r="W1953" s="102" t="s">
        <v>136</v>
      </c>
      <c r="X1953" s="102" t="s">
        <v>137</v>
      </c>
      <c r="Y1953" s="103" t="s">
        <v>138</v>
      </c>
      <c r="Z1953" s="103" t="s">
        <v>139</v>
      </c>
      <c r="AA1953" s="103" t="s">
        <v>47</v>
      </c>
      <c r="AB1953" s="103" t="s">
        <v>140</v>
      </c>
      <c r="AC1953" s="104" t="s">
        <v>141</v>
      </c>
    </row>
    <row r="1954" spans="1:29" ht="25.5" customHeight="1" x14ac:dyDescent="0.35">
      <c r="A1954" s="188"/>
      <c r="B1954" s="190"/>
      <c r="C1954" s="99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0"/>
      <c r="E1954" s="78" t="str">
        <f>IF(C1954="","",IFERROR(VLOOKUP(C1954,parametros!$A$11:$E$15,5,0),""))</f>
        <v/>
      </c>
      <c r="F1954" s="79" t="str">
        <f t="shared" si="152"/>
        <v/>
      </c>
      <c r="G1954" s="101"/>
      <c r="H1954" s="91">
        <f t="shared" si="153"/>
        <v>0</v>
      </c>
      <c r="I1954" s="91" t="str">
        <f t="shared" si="154"/>
        <v/>
      </c>
      <c r="J1954" s="91" t="str">
        <f t="shared" si="155"/>
        <v/>
      </c>
      <c r="K1954" s="92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2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58"/>
      <c r="U1954" s="217" t="str">
        <f t="shared" si="156"/>
        <v/>
      </c>
      <c r="V1954" s="215" t="s">
        <v>47</v>
      </c>
      <c r="W1954" s="102" t="s">
        <v>136</v>
      </c>
      <c r="X1954" s="102" t="s">
        <v>137</v>
      </c>
      <c r="Y1954" s="103" t="s">
        <v>138</v>
      </c>
      <c r="Z1954" s="103" t="s">
        <v>139</v>
      </c>
      <c r="AA1954" s="103" t="s">
        <v>47</v>
      </c>
      <c r="AB1954" s="103" t="s">
        <v>140</v>
      </c>
      <c r="AC1954" s="104" t="s">
        <v>141</v>
      </c>
    </row>
    <row r="1955" spans="1:29" ht="25.5" customHeight="1" x14ac:dyDescent="0.35">
      <c r="A1955" s="188"/>
      <c r="B1955" s="190"/>
      <c r="C1955" s="99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0"/>
      <c r="E1955" s="78" t="str">
        <f>IF(C1955="","",IFERROR(VLOOKUP(C1955,parametros!$A$11:$E$15,5,0),""))</f>
        <v/>
      </c>
      <c r="F1955" s="79" t="str">
        <f t="shared" si="152"/>
        <v/>
      </c>
      <c r="G1955" s="101"/>
      <c r="H1955" s="91">
        <f t="shared" si="153"/>
        <v>0</v>
      </c>
      <c r="I1955" s="91" t="str">
        <f t="shared" si="154"/>
        <v/>
      </c>
      <c r="J1955" s="91" t="str">
        <f t="shared" si="155"/>
        <v/>
      </c>
      <c r="K1955" s="92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2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58"/>
      <c r="U1955" s="217" t="str">
        <f t="shared" si="156"/>
        <v/>
      </c>
      <c r="V1955" s="215" t="s">
        <v>47</v>
      </c>
      <c r="W1955" s="102" t="s">
        <v>136</v>
      </c>
      <c r="X1955" s="102" t="s">
        <v>137</v>
      </c>
      <c r="Y1955" s="103" t="s">
        <v>138</v>
      </c>
      <c r="Z1955" s="103" t="s">
        <v>139</v>
      </c>
      <c r="AA1955" s="103" t="s">
        <v>47</v>
      </c>
      <c r="AB1955" s="103" t="s">
        <v>140</v>
      </c>
      <c r="AC1955" s="104" t="s">
        <v>141</v>
      </c>
    </row>
    <row r="1956" spans="1:29" ht="25.5" customHeight="1" x14ac:dyDescent="0.35">
      <c r="A1956" s="188"/>
      <c r="B1956" s="190"/>
      <c r="C1956" s="99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0"/>
      <c r="E1956" s="78" t="str">
        <f>IF(C1956="","",IFERROR(VLOOKUP(C1956,parametros!$A$11:$E$15,5,0),""))</f>
        <v/>
      </c>
      <c r="F1956" s="79" t="str">
        <f t="shared" si="152"/>
        <v/>
      </c>
      <c r="G1956" s="101"/>
      <c r="H1956" s="91">
        <f t="shared" si="153"/>
        <v>0</v>
      </c>
      <c r="I1956" s="91" t="str">
        <f t="shared" si="154"/>
        <v/>
      </c>
      <c r="J1956" s="91" t="str">
        <f t="shared" si="155"/>
        <v/>
      </c>
      <c r="K1956" s="92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2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58"/>
      <c r="U1956" s="217" t="str">
        <f t="shared" si="156"/>
        <v/>
      </c>
      <c r="V1956" s="215" t="s">
        <v>47</v>
      </c>
      <c r="W1956" s="102" t="s">
        <v>136</v>
      </c>
      <c r="X1956" s="102" t="s">
        <v>137</v>
      </c>
      <c r="Y1956" s="103" t="s">
        <v>138</v>
      </c>
      <c r="Z1956" s="103" t="s">
        <v>139</v>
      </c>
      <c r="AA1956" s="103" t="s">
        <v>47</v>
      </c>
      <c r="AB1956" s="103" t="s">
        <v>140</v>
      </c>
      <c r="AC1956" s="104" t="s">
        <v>141</v>
      </c>
    </row>
    <row r="1957" spans="1:29" ht="25.5" customHeight="1" x14ac:dyDescent="0.35">
      <c r="A1957" s="188"/>
      <c r="B1957" s="190"/>
      <c r="C1957" s="99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0"/>
      <c r="E1957" s="78" t="str">
        <f>IF(C1957="","",IFERROR(VLOOKUP(C1957,parametros!$A$11:$E$15,5,0),""))</f>
        <v/>
      </c>
      <c r="F1957" s="79" t="str">
        <f t="shared" si="152"/>
        <v/>
      </c>
      <c r="G1957" s="101"/>
      <c r="H1957" s="91">
        <f t="shared" si="153"/>
        <v>0</v>
      </c>
      <c r="I1957" s="91" t="str">
        <f t="shared" si="154"/>
        <v/>
      </c>
      <c r="J1957" s="91" t="str">
        <f t="shared" si="155"/>
        <v/>
      </c>
      <c r="K1957" s="92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2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58"/>
      <c r="U1957" s="217" t="str">
        <f t="shared" si="156"/>
        <v/>
      </c>
      <c r="V1957" s="215" t="s">
        <v>47</v>
      </c>
      <c r="W1957" s="102" t="s">
        <v>136</v>
      </c>
      <c r="X1957" s="102" t="s">
        <v>137</v>
      </c>
      <c r="Y1957" s="103" t="s">
        <v>138</v>
      </c>
      <c r="Z1957" s="103" t="s">
        <v>139</v>
      </c>
      <c r="AA1957" s="103" t="s">
        <v>47</v>
      </c>
      <c r="AB1957" s="103" t="s">
        <v>140</v>
      </c>
      <c r="AC1957" s="104" t="s">
        <v>141</v>
      </c>
    </row>
    <row r="1958" spans="1:29" ht="25.5" customHeight="1" x14ac:dyDescent="0.35">
      <c r="A1958" s="188"/>
      <c r="B1958" s="190"/>
      <c r="C1958" s="99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0"/>
      <c r="E1958" s="78" t="str">
        <f>IF(C1958="","",IFERROR(VLOOKUP(C1958,parametros!$A$11:$E$15,5,0),""))</f>
        <v/>
      </c>
      <c r="F1958" s="79" t="str">
        <f t="shared" si="152"/>
        <v/>
      </c>
      <c r="G1958" s="101"/>
      <c r="H1958" s="91">
        <f t="shared" si="153"/>
        <v>0</v>
      </c>
      <c r="I1958" s="91" t="str">
        <f t="shared" si="154"/>
        <v/>
      </c>
      <c r="J1958" s="91" t="str">
        <f t="shared" si="155"/>
        <v/>
      </c>
      <c r="K1958" s="92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2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58"/>
      <c r="U1958" s="217" t="str">
        <f t="shared" si="156"/>
        <v/>
      </c>
      <c r="V1958" s="215" t="s">
        <v>47</v>
      </c>
      <c r="W1958" s="102" t="s">
        <v>136</v>
      </c>
      <c r="X1958" s="102" t="s">
        <v>137</v>
      </c>
      <c r="Y1958" s="103" t="s">
        <v>138</v>
      </c>
      <c r="Z1958" s="103" t="s">
        <v>139</v>
      </c>
      <c r="AA1958" s="103" t="s">
        <v>47</v>
      </c>
      <c r="AB1958" s="103" t="s">
        <v>140</v>
      </c>
      <c r="AC1958" s="104" t="s">
        <v>141</v>
      </c>
    </row>
    <row r="1959" spans="1:29" ht="25.5" customHeight="1" x14ac:dyDescent="0.35">
      <c r="A1959" s="188"/>
      <c r="B1959" s="190"/>
      <c r="C1959" s="99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0"/>
      <c r="E1959" s="78" t="str">
        <f>IF(C1959="","",IFERROR(VLOOKUP(C1959,parametros!$A$11:$E$15,5,0),""))</f>
        <v/>
      </c>
      <c r="F1959" s="79" t="str">
        <f t="shared" si="152"/>
        <v/>
      </c>
      <c r="G1959" s="101"/>
      <c r="H1959" s="91">
        <f t="shared" si="153"/>
        <v>0</v>
      </c>
      <c r="I1959" s="91" t="str">
        <f t="shared" si="154"/>
        <v/>
      </c>
      <c r="J1959" s="91" t="str">
        <f t="shared" si="155"/>
        <v/>
      </c>
      <c r="K1959" s="92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2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58"/>
      <c r="U1959" s="217" t="str">
        <f t="shared" si="156"/>
        <v/>
      </c>
      <c r="V1959" s="215" t="s">
        <v>47</v>
      </c>
      <c r="W1959" s="102" t="s">
        <v>136</v>
      </c>
      <c r="X1959" s="102" t="s">
        <v>137</v>
      </c>
      <c r="Y1959" s="103" t="s">
        <v>138</v>
      </c>
      <c r="Z1959" s="103" t="s">
        <v>139</v>
      </c>
      <c r="AA1959" s="103" t="s">
        <v>47</v>
      </c>
      <c r="AB1959" s="103" t="s">
        <v>140</v>
      </c>
      <c r="AC1959" s="104" t="s">
        <v>141</v>
      </c>
    </row>
    <row r="1960" spans="1:29" ht="25.5" customHeight="1" x14ac:dyDescent="0.35">
      <c r="A1960" s="188"/>
      <c r="B1960" s="190"/>
      <c r="C1960" s="99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0"/>
      <c r="E1960" s="78" t="str">
        <f>IF(C1960="","",IFERROR(VLOOKUP(C1960,parametros!$A$11:$E$15,5,0),""))</f>
        <v/>
      </c>
      <c r="F1960" s="79" t="str">
        <f t="shared" si="152"/>
        <v/>
      </c>
      <c r="G1960" s="101"/>
      <c r="H1960" s="91">
        <f t="shared" si="153"/>
        <v>0</v>
      </c>
      <c r="I1960" s="91" t="str">
        <f t="shared" si="154"/>
        <v/>
      </c>
      <c r="J1960" s="91" t="str">
        <f t="shared" si="155"/>
        <v/>
      </c>
      <c r="K1960" s="92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2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58"/>
      <c r="U1960" s="217" t="str">
        <f t="shared" si="156"/>
        <v/>
      </c>
      <c r="V1960" s="215" t="s">
        <v>47</v>
      </c>
      <c r="W1960" s="102" t="s">
        <v>136</v>
      </c>
      <c r="X1960" s="102" t="s">
        <v>137</v>
      </c>
      <c r="Y1960" s="103" t="s">
        <v>138</v>
      </c>
      <c r="Z1960" s="103" t="s">
        <v>139</v>
      </c>
      <c r="AA1960" s="103" t="s">
        <v>47</v>
      </c>
      <c r="AB1960" s="103" t="s">
        <v>140</v>
      </c>
      <c r="AC1960" s="104" t="s">
        <v>141</v>
      </c>
    </row>
    <row r="1961" spans="1:29" ht="25.5" customHeight="1" x14ac:dyDescent="0.35">
      <c r="A1961" s="188"/>
      <c r="B1961" s="190"/>
      <c r="C1961" s="99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0"/>
      <c r="E1961" s="78" t="str">
        <f>IF(C1961="","",IFERROR(VLOOKUP(C1961,parametros!$A$11:$E$15,5,0),""))</f>
        <v/>
      </c>
      <c r="F1961" s="79" t="str">
        <f t="shared" si="152"/>
        <v/>
      </c>
      <c r="G1961" s="101"/>
      <c r="H1961" s="91">
        <f t="shared" si="153"/>
        <v>0</v>
      </c>
      <c r="I1961" s="91" t="str">
        <f t="shared" si="154"/>
        <v/>
      </c>
      <c r="J1961" s="91" t="str">
        <f t="shared" si="155"/>
        <v/>
      </c>
      <c r="K1961" s="92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2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58"/>
      <c r="U1961" s="217" t="str">
        <f t="shared" si="156"/>
        <v/>
      </c>
      <c r="V1961" s="215" t="s">
        <v>47</v>
      </c>
      <c r="W1961" s="102" t="s">
        <v>136</v>
      </c>
      <c r="X1961" s="102" t="s">
        <v>137</v>
      </c>
      <c r="Y1961" s="103" t="s">
        <v>138</v>
      </c>
      <c r="Z1961" s="103" t="s">
        <v>139</v>
      </c>
      <c r="AA1961" s="103" t="s">
        <v>47</v>
      </c>
      <c r="AB1961" s="103" t="s">
        <v>140</v>
      </c>
      <c r="AC1961" s="104" t="s">
        <v>141</v>
      </c>
    </row>
    <row r="1962" spans="1:29" ht="25.5" customHeight="1" x14ac:dyDescent="0.35">
      <c r="A1962" s="188"/>
      <c r="B1962" s="190"/>
      <c r="C1962" s="99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0"/>
      <c r="E1962" s="78" t="str">
        <f>IF(C1962="","",IFERROR(VLOOKUP(C1962,parametros!$A$11:$E$15,5,0),""))</f>
        <v/>
      </c>
      <c r="F1962" s="79" t="str">
        <f t="shared" si="152"/>
        <v/>
      </c>
      <c r="G1962" s="101"/>
      <c r="H1962" s="91">
        <f t="shared" si="153"/>
        <v>0</v>
      </c>
      <c r="I1962" s="91" t="str">
        <f t="shared" si="154"/>
        <v/>
      </c>
      <c r="J1962" s="91" t="str">
        <f t="shared" si="155"/>
        <v/>
      </c>
      <c r="K1962" s="92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2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58"/>
      <c r="U1962" s="217" t="str">
        <f t="shared" si="156"/>
        <v/>
      </c>
      <c r="V1962" s="215" t="s">
        <v>47</v>
      </c>
      <c r="W1962" s="102" t="s">
        <v>136</v>
      </c>
      <c r="X1962" s="102" t="s">
        <v>137</v>
      </c>
      <c r="Y1962" s="103" t="s">
        <v>138</v>
      </c>
      <c r="Z1962" s="103" t="s">
        <v>139</v>
      </c>
      <c r="AA1962" s="103" t="s">
        <v>47</v>
      </c>
      <c r="AB1962" s="103" t="s">
        <v>140</v>
      </c>
      <c r="AC1962" s="104" t="s">
        <v>141</v>
      </c>
    </row>
    <row r="1963" spans="1:29" ht="25.5" customHeight="1" x14ac:dyDescent="0.35">
      <c r="A1963" s="188"/>
      <c r="B1963" s="190"/>
      <c r="C1963" s="99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0"/>
      <c r="E1963" s="78" t="str">
        <f>IF(C1963="","",IFERROR(VLOOKUP(C1963,parametros!$A$11:$E$15,5,0),""))</f>
        <v/>
      </c>
      <c r="F1963" s="79" t="str">
        <f t="shared" si="152"/>
        <v/>
      </c>
      <c r="G1963" s="101"/>
      <c r="H1963" s="91">
        <f t="shared" si="153"/>
        <v>0</v>
      </c>
      <c r="I1963" s="91" t="str">
        <f t="shared" si="154"/>
        <v/>
      </c>
      <c r="J1963" s="91" t="str">
        <f t="shared" si="155"/>
        <v/>
      </c>
      <c r="K1963" s="92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2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58"/>
      <c r="U1963" s="217" t="str">
        <f t="shared" si="156"/>
        <v/>
      </c>
      <c r="V1963" s="215" t="s">
        <v>47</v>
      </c>
      <c r="W1963" s="102" t="s">
        <v>136</v>
      </c>
      <c r="X1963" s="102" t="s">
        <v>137</v>
      </c>
      <c r="Y1963" s="103" t="s">
        <v>138</v>
      </c>
      <c r="Z1963" s="103" t="s">
        <v>139</v>
      </c>
      <c r="AA1963" s="103" t="s">
        <v>47</v>
      </c>
      <c r="AB1963" s="103" t="s">
        <v>140</v>
      </c>
      <c r="AC1963" s="104" t="s">
        <v>141</v>
      </c>
    </row>
    <row r="1964" spans="1:29" ht="25.5" customHeight="1" x14ac:dyDescent="0.35">
      <c r="A1964" s="188"/>
      <c r="B1964" s="190"/>
      <c r="C1964" s="99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0"/>
      <c r="E1964" s="78" t="str">
        <f>IF(C1964="","",IFERROR(VLOOKUP(C1964,parametros!$A$11:$E$15,5,0),""))</f>
        <v/>
      </c>
      <c r="F1964" s="79" t="str">
        <f t="shared" si="152"/>
        <v/>
      </c>
      <c r="G1964" s="101"/>
      <c r="H1964" s="91">
        <f t="shared" si="153"/>
        <v>0</v>
      </c>
      <c r="I1964" s="91" t="str">
        <f t="shared" si="154"/>
        <v/>
      </c>
      <c r="J1964" s="91" t="str">
        <f t="shared" si="155"/>
        <v/>
      </c>
      <c r="K1964" s="92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2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58"/>
      <c r="U1964" s="217" t="str">
        <f t="shared" si="156"/>
        <v/>
      </c>
      <c r="V1964" s="215" t="s">
        <v>47</v>
      </c>
      <c r="W1964" s="102" t="s">
        <v>136</v>
      </c>
      <c r="X1964" s="102" t="s">
        <v>137</v>
      </c>
      <c r="Y1964" s="103" t="s">
        <v>138</v>
      </c>
      <c r="Z1964" s="103" t="s">
        <v>139</v>
      </c>
      <c r="AA1964" s="103" t="s">
        <v>47</v>
      </c>
      <c r="AB1964" s="103" t="s">
        <v>140</v>
      </c>
      <c r="AC1964" s="104" t="s">
        <v>141</v>
      </c>
    </row>
    <row r="1965" spans="1:29" ht="25.5" customHeight="1" x14ac:dyDescent="0.35">
      <c r="A1965" s="188"/>
      <c r="B1965" s="190"/>
      <c r="C1965" s="99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0"/>
      <c r="E1965" s="78" t="str">
        <f>IF(C1965="","",IFERROR(VLOOKUP(C1965,parametros!$A$11:$E$15,5,0),""))</f>
        <v/>
      </c>
      <c r="F1965" s="79" t="str">
        <f t="shared" si="152"/>
        <v/>
      </c>
      <c r="G1965" s="101"/>
      <c r="H1965" s="91">
        <f t="shared" si="153"/>
        <v>0</v>
      </c>
      <c r="I1965" s="91" t="str">
        <f t="shared" si="154"/>
        <v/>
      </c>
      <c r="J1965" s="91" t="str">
        <f t="shared" si="155"/>
        <v/>
      </c>
      <c r="K1965" s="92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2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58"/>
      <c r="U1965" s="217" t="str">
        <f t="shared" si="156"/>
        <v/>
      </c>
      <c r="V1965" s="215" t="s">
        <v>47</v>
      </c>
      <c r="W1965" s="102" t="s">
        <v>136</v>
      </c>
      <c r="X1965" s="102" t="s">
        <v>137</v>
      </c>
      <c r="Y1965" s="103" t="s">
        <v>138</v>
      </c>
      <c r="Z1965" s="103" t="s">
        <v>139</v>
      </c>
      <c r="AA1965" s="103" t="s">
        <v>47</v>
      </c>
      <c r="AB1965" s="103" t="s">
        <v>140</v>
      </c>
      <c r="AC1965" s="104" t="s">
        <v>141</v>
      </c>
    </row>
    <row r="1966" spans="1:29" ht="25.5" customHeight="1" x14ac:dyDescent="0.35">
      <c r="A1966" s="188"/>
      <c r="B1966" s="190"/>
      <c r="C1966" s="99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0"/>
      <c r="E1966" s="78" t="str">
        <f>IF(C1966="","",IFERROR(VLOOKUP(C1966,parametros!$A$11:$E$15,5,0),""))</f>
        <v/>
      </c>
      <c r="F1966" s="79" t="str">
        <f t="shared" si="152"/>
        <v/>
      </c>
      <c r="G1966" s="101"/>
      <c r="H1966" s="91">
        <f t="shared" si="153"/>
        <v>0</v>
      </c>
      <c r="I1966" s="91" t="str">
        <f t="shared" si="154"/>
        <v/>
      </c>
      <c r="J1966" s="91" t="str">
        <f t="shared" si="155"/>
        <v/>
      </c>
      <c r="K1966" s="92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2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58"/>
      <c r="U1966" s="217" t="str">
        <f t="shared" si="156"/>
        <v/>
      </c>
      <c r="V1966" s="215" t="s">
        <v>47</v>
      </c>
      <c r="W1966" s="102" t="s">
        <v>136</v>
      </c>
      <c r="X1966" s="102" t="s">
        <v>137</v>
      </c>
      <c r="Y1966" s="103" t="s">
        <v>138</v>
      </c>
      <c r="Z1966" s="103" t="s">
        <v>139</v>
      </c>
      <c r="AA1966" s="103" t="s">
        <v>47</v>
      </c>
      <c r="AB1966" s="103" t="s">
        <v>140</v>
      </c>
      <c r="AC1966" s="104" t="s">
        <v>141</v>
      </c>
    </row>
    <row r="1967" spans="1:29" ht="25.5" customHeight="1" x14ac:dyDescent="0.35">
      <c r="A1967" s="188"/>
      <c r="B1967" s="190"/>
      <c r="C1967" s="99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0"/>
      <c r="E1967" s="78" t="str">
        <f>IF(C1967="","",IFERROR(VLOOKUP(C1967,parametros!$A$11:$E$15,5,0),""))</f>
        <v/>
      </c>
      <c r="F1967" s="79" t="str">
        <f t="shared" si="152"/>
        <v/>
      </c>
      <c r="G1967" s="101"/>
      <c r="H1967" s="91">
        <f t="shared" si="153"/>
        <v>0</v>
      </c>
      <c r="I1967" s="91" t="str">
        <f t="shared" si="154"/>
        <v/>
      </c>
      <c r="J1967" s="91" t="str">
        <f t="shared" si="155"/>
        <v/>
      </c>
      <c r="K1967" s="92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2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58"/>
      <c r="U1967" s="217" t="str">
        <f t="shared" si="156"/>
        <v/>
      </c>
      <c r="V1967" s="215" t="s">
        <v>47</v>
      </c>
      <c r="W1967" s="102" t="s">
        <v>136</v>
      </c>
      <c r="X1967" s="102" t="s">
        <v>137</v>
      </c>
      <c r="Y1967" s="103" t="s">
        <v>138</v>
      </c>
      <c r="Z1967" s="103" t="s">
        <v>139</v>
      </c>
      <c r="AA1967" s="103" t="s">
        <v>47</v>
      </c>
      <c r="AB1967" s="103" t="s">
        <v>140</v>
      </c>
      <c r="AC1967" s="104" t="s">
        <v>141</v>
      </c>
    </row>
    <row r="1968" spans="1:29" ht="25.5" customHeight="1" x14ac:dyDescent="0.35">
      <c r="A1968" s="188"/>
      <c r="B1968" s="190"/>
      <c r="C1968" s="99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0"/>
      <c r="E1968" s="78" t="str">
        <f>IF(C1968="","",IFERROR(VLOOKUP(C1968,parametros!$A$11:$E$15,5,0),""))</f>
        <v/>
      </c>
      <c r="F1968" s="79" t="str">
        <f t="shared" si="152"/>
        <v/>
      </c>
      <c r="G1968" s="101"/>
      <c r="H1968" s="91">
        <f t="shared" si="153"/>
        <v>0</v>
      </c>
      <c r="I1968" s="91" t="str">
        <f t="shared" si="154"/>
        <v/>
      </c>
      <c r="J1968" s="91" t="str">
        <f t="shared" si="155"/>
        <v/>
      </c>
      <c r="K1968" s="92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2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58"/>
      <c r="U1968" s="217" t="str">
        <f t="shared" si="156"/>
        <v/>
      </c>
      <c r="V1968" s="215" t="s">
        <v>47</v>
      </c>
      <c r="W1968" s="102" t="s">
        <v>136</v>
      </c>
      <c r="X1968" s="102" t="s">
        <v>137</v>
      </c>
      <c r="Y1968" s="103" t="s">
        <v>138</v>
      </c>
      <c r="Z1968" s="103" t="s">
        <v>139</v>
      </c>
      <c r="AA1968" s="103" t="s">
        <v>47</v>
      </c>
      <c r="AB1968" s="103" t="s">
        <v>140</v>
      </c>
      <c r="AC1968" s="104" t="s">
        <v>141</v>
      </c>
    </row>
    <row r="1969" spans="1:29" ht="25.5" customHeight="1" x14ac:dyDescent="0.35">
      <c r="A1969" s="188"/>
      <c r="B1969" s="190"/>
      <c r="C1969" s="99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0"/>
      <c r="E1969" s="78" t="str">
        <f>IF(C1969="","",IFERROR(VLOOKUP(C1969,parametros!$A$11:$E$15,5,0),""))</f>
        <v/>
      </c>
      <c r="F1969" s="79" t="str">
        <f t="shared" si="152"/>
        <v/>
      </c>
      <c r="G1969" s="101"/>
      <c r="H1969" s="91">
        <f t="shared" si="153"/>
        <v>0</v>
      </c>
      <c r="I1969" s="91" t="str">
        <f t="shared" si="154"/>
        <v/>
      </c>
      <c r="J1969" s="91" t="str">
        <f t="shared" si="155"/>
        <v/>
      </c>
      <c r="K1969" s="92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2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58"/>
      <c r="U1969" s="217" t="str">
        <f t="shared" si="156"/>
        <v/>
      </c>
      <c r="V1969" s="215" t="s">
        <v>47</v>
      </c>
      <c r="W1969" s="102" t="s">
        <v>136</v>
      </c>
      <c r="X1969" s="102" t="s">
        <v>137</v>
      </c>
      <c r="Y1969" s="103" t="s">
        <v>138</v>
      </c>
      <c r="Z1969" s="103" t="s">
        <v>139</v>
      </c>
      <c r="AA1969" s="103" t="s">
        <v>47</v>
      </c>
      <c r="AB1969" s="103" t="s">
        <v>140</v>
      </c>
      <c r="AC1969" s="104" t="s">
        <v>141</v>
      </c>
    </row>
    <row r="1970" spans="1:29" ht="25.5" customHeight="1" x14ac:dyDescent="0.35">
      <c r="A1970" s="188"/>
      <c r="B1970" s="190"/>
      <c r="C1970" s="99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0"/>
      <c r="E1970" s="78" t="str">
        <f>IF(C1970="","",IFERROR(VLOOKUP(C1970,parametros!$A$11:$E$15,5,0),""))</f>
        <v/>
      </c>
      <c r="F1970" s="79" t="str">
        <f t="shared" si="152"/>
        <v/>
      </c>
      <c r="G1970" s="101"/>
      <c r="H1970" s="91">
        <f t="shared" si="153"/>
        <v>0</v>
      </c>
      <c r="I1970" s="91" t="str">
        <f t="shared" si="154"/>
        <v/>
      </c>
      <c r="J1970" s="91" t="str">
        <f t="shared" si="155"/>
        <v/>
      </c>
      <c r="K1970" s="92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2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58"/>
      <c r="U1970" s="217" t="str">
        <f t="shared" si="156"/>
        <v/>
      </c>
      <c r="V1970" s="215" t="s">
        <v>47</v>
      </c>
      <c r="W1970" s="102" t="s">
        <v>136</v>
      </c>
      <c r="X1970" s="102" t="s">
        <v>137</v>
      </c>
      <c r="Y1970" s="103" t="s">
        <v>138</v>
      </c>
      <c r="Z1970" s="103" t="s">
        <v>139</v>
      </c>
      <c r="AA1970" s="103" t="s">
        <v>47</v>
      </c>
      <c r="AB1970" s="103" t="s">
        <v>140</v>
      </c>
      <c r="AC1970" s="104" t="s">
        <v>141</v>
      </c>
    </row>
    <row r="1971" spans="1:29" ht="25.5" customHeight="1" x14ac:dyDescent="0.35">
      <c r="A1971" s="188"/>
      <c r="B1971" s="190"/>
      <c r="C1971" s="99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0"/>
      <c r="E1971" s="78" t="str">
        <f>IF(C1971="","",IFERROR(VLOOKUP(C1971,parametros!$A$11:$E$15,5,0),""))</f>
        <v/>
      </c>
      <c r="F1971" s="79" t="str">
        <f t="shared" si="152"/>
        <v/>
      </c>
      <c r="G1971" s="101"/>
      <c r="H1971" s="91">
        <f t="shared" si="153"/>
        <v>0</v>
      </c>
      <c r="I1971" s="91" t="str">
        <f t="shared" si="154"/>
        <v/>
      </c>
      <c r="J1971" s="91" t="str">
        <f t="shared" si="155"/>
        <v/>
      </c>
      <c r="K1971" s="92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2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58"/>
      <c r="U1971" s="217" t="str">
        <f t="shared" si="156"/>
        <v/>
      </c>
      <c r="V1971" s="215" t="s">
        <v>47</v>
      </c>
      <c r="W1971" s="102" t="s">
        <v>136</v>
      </c>
      <c r="X1971" s="102" t="s">
        <v>137</v>
      </c>
      <c r="Y1971" s="103" t="s">
        <v>138</v>
      </c>
      <c r="Z1971" s="103" t="s">
        <v>139</v>
      </c>
      <c r="AA1971" s="103" t="s">
        <v>47</v>
      </c>
      <c r="AB1971" s="103" t="s">
        <v>140</v>
      </c>
      <c r="AC1971" s="104" t="s">
        <v>141</v>
      </c>
    </row>
    <row r="1972" spans="1:29" ht="25.5" customHeight="1" x14ac:dyDescent="0.35">
      <c r="A1972" s="188"/>
      <c r="B1972" s="190"/>
      <c r="C1972" s="99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0"/>
      <c r="E1972" s="78" t="str">
        <f>IF(C1972="","",IFERROR(VLOOKUP(C1972,parametros!$A$11:$E$15,5,0),""))</f>
        <v/>
      </c>
      <c r="F1972" s="79" t="str">
        <f t="shared" si="152"/>
        <v/>
      </c>
      <c r="G1972" s="101"/>
      <c r="H1972" s="91">
        <f t="shared" si="153"/>
        <v>0</v>
      </c>
      <c r="I1972" s="91" t="str">
        <f t="shared" si="154"/>
        <v/>
      </c>
      <c r="J1972" s="91" t="str">
        <f t="shared" si="155"/>
        <v/>
      </c>
      <c r="K1972" s="92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2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58"/>
      <c r="U1972" s="217" t="str">
        <f t="shared" si="156"/>
        <v/>
      </c>
      <c r="V1972" s="215" t="s">
        <v>47</v>
      </c>
      <c r="W1972" s="102" t="s">
        <v>136</v>
      </c>
      <c r="X1972" s="102" t="s">
        <v>137</v>
      </c>
      <c r="Y1972" s="103" t="s">
        <v>138</v>
      </c>
      <c r="Z1972" s="103" t="s">
        <v>139</v>
      </c>
      <c r="AA1972" s="103" t="s">
        <v>47</v>
      </c>
      <c r="AB1972" s="103" t="s">
        <v>140</v>
      </c>
      <c r="AC1972" s="104" t="s">
        <v>141</v>
      </c>
    </row>
    <row r="1973" spans="1:29" ht="25.5" customHeight="1" x14ac:dyDescent="0.35">
      <c r="A1973" s="188"/>
      <c r="B1973" s="190"/>
      <c r="C1973" s="99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0"/>
      <c r="E1973" s="78" t="str">
        <f>IF(C1973="","",IFERROR(VLOOKUP(C1973,parametros!$A$11:$E$15,5,0),""))</f>
        <v/>
      </c>
      <c r="F1973" s="79" t="str">
        <f t="shared" si="152"/>
        <v/>
      </c>
      <c r="G1973" s="101"/>
      <c r="H1973" s="91">
        <f t="shared" si="153"/>
        <v>0</v>
      </c>
      <c r="I1973" s="91" t="str">
        <f t="shared" si="154"/>
        <v/>
      </c>
      <c r="J1973" s="91" t="str">
        <f t="shared" si="155"/>
        <v/>
      </c>
      <c r="K1973" s="92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2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58"/>
      <c r="U1973" s="217" t="str">
        <f t="shared" si="156"/>
        <v/>
      </c>
      <c r="V1973" s="215" t="s">
        <v>47</v>
      </c>
      <c r="W1973" s="102" t="s">
        <v>136</v>
      </c>
      <c r="X1973" s="102" t="s">
        <v>137</v>
      </c>
      <c r="Y1973" s="103" t="s">
        <v>138</v>
      </c>
      <c r="Z1973" s="103" t="s">
        <v>139</v>
      </c>
      <c r="AA1973" s="103" t="s">
        <v>47</v>
      </c>
      <c r="AB1973" s="103" t="s">
        <v>140</v>
      </c>
      <c r="AC1973" s="104" t="s">
        <v>141</v>
      </c>
    </row>
    <row r="1974" spans="1:29" ht="25.5" customHeight="1" x14ac:dyDescent="0.35">
      <c r="A1974" s="188"/>
      <c r="B1974" s="190"/>
      <c r="C1974" s="99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0"/>
      <c r="E1974" s="78" t="str">
        <f>IF(C1974="","",IFERROR(VLOOKUP(C1974,parametros!$A$11:$E$15,5,0),""))</f>
        <v/>
      </c>
      <c r="F1974" s="79" t="str">
        <f t="shared" si="152"/>
        <v/>
      </c>
      <c r="G1974" s="101"/>
      <c r="H1974" s="91">
        <f t="shared" si="153"/>
        <v>0</v>
      </c>
      <c r="I1974" s="91" t="str">
        <f t="shared" si="154"/>
        <v/>
      </c>
      <c r="J1974" s="91" t="str">
        <f t="shared" si="155"/>
        <v/>
      </c>
      <c r="K1974" s="92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2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58"/>
      <c r="U1974" s="217" t="str">
        <f t="shared" si="156"/>
        <v/>
      </c>
      <c r="V1974" s="215" t="s">
        <v>47</v>
      </c>
      <c r="W1974" s="102" t="s">
        <v>136</v>
      </c>
      <c r="X1974" s="102" t="s">
        <v>137</v>
      </c>
      <c r="Y1974" s="103" t="s">
        <v>138</v>
      </c>
      <c r="Z1974" s="103" t="s">
        <v>139</v>
      </c>
      <c r="AA1974" s="103" t="s">
        <v>47</v>
      </c>
      <c r="AB1974" s="103" t="s">
        <v>140</v>
      </c>
      <c r="AC1974" s="104" t="s">
        <v>141</v>
      </c>
    </row>
    <row r="1975" spans="1:29" ht="25.5" customHeight="1" x14ac:dyDescent="0.35">
      <c r="A1975" s="188"/>
      <c r="B1975" s="190"/>
      <c r="C1975" s="99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0"/>
      <c r="E1975" s="78" t="str">
        <f>IF(C1975="","",IFERROR(VLOOKUP(C1975,parametros!$A$11:$E$15,5,0),""))</f>
        <v/>
      </c>
      <c r="F1975" s="79" t="str">
        <f t="shared" si="152"/>
        <v/>
      </c>
      <c r="G1975" s="101"/>
      <c r="H1975" s="91">
        <f t="shared" si="153"/>
        <v>0</v>
      </c>
      <c r="I1975" s="91" t="str">
        <f t="shared" si="154"/>
        <v/>
      </c>
      <c r="J1975" s="91" t="str">
        <f t="shared" si="155"/>
        <v/>
      </c>
      <c r="K1975" s="92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2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58"/>
      <c r="U1975" s="217" t="str">
        <f t="shared" si="156"/>
        <v/>
      </c>
      <c r="V1975" s="215" t="s">
        <v>47</v>
      </c>
      <c r="W1975" s="102" t="s">
        <v>136</v>
      </c>
      <c r="X1975" s="102" t="s">
        <v>137</v>
      </c>
      <c r="Y1975" s="103" t="s">
        <v>138</v>
      </c>
      <c r="Z1975" s="103" t="s">
        <v>139</v>
      </c>
      <c r="AA1975" s="103" t="s">
        <v>47</v>
      </c>
      <c r="AB1975" s="103" t="s">
        <v>140</v>
      </c>
      <c r="AC1975" s="104" t="s">
        <v>141</v>
      </c>
    </row>
    <row r="1976" spans="1:29" ht="25.5" customHeight="1" x14ac:dyDescent="0.35">
      <c r="A1976" s="188"/>
      <c r="B1976" s="190"/>
      <c r="C1976" s="99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0"/>
      <c r="E1976" s="78" t="str">
        <f>IF(C1976="","",IFERROR(VLOOKUP(C1976,parametros!$A$11:$E$15,5,0),""))</f>
        <v/>
      </c>
      <c r="F1976" s="79" t="str">
        <f t="shared" si="152"/>
        <v/>
      </c>
      <c r="G1976" s="101"/>
      <c r="H1976" s="91">
        <f t="shared" si="153"/>
        <v>0</v>
      </c>
      <c r="I1976" s="91" t="str">
        <f t="shared" si="154"/>
        <v/>
      </c>
      <c r="J1976" s="91" t="str">
        <f t="shared" si="155"/>
        <v/>
      </c>
      <c r="K1976" s="92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2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58"/>
      <c r="U1976" s="217" t="str">
        <f t="shared" si="156"/>
        <v/>
      </c>
      <c r="V1976" s="215" t="s">
        <v>47</v>
      </c>
      <c r="W1976" s="102" t="s">
        <v>136</v>
      </c>
      <c r="X1976" s="102" t="s">
        <v>137</v>
      </c>
      <c r="Y1976" s="103" t="s">
        <v>138</v>
      </c>
      <c r="Z1976" s="103" t="s">
        <v>139</v>
      </c>
      <c r="AA1976" s="103" t="s">
        <v>47</v>
      </c>
      <c r="AB1976" s="103" t="s">
        <v>140</v>
      </c>
      <c r="AC1976" s="104" t="s">
        <v>141</v>
      </c>
    </row>
    <row r="1977" spans="1:29" ht="25.5" customHeight="1" x14ac:dyDescent="0.35">
      <c r="A1977" s="188"/>
      <c r="B1977" s="190"/>
      <c r="C1977" s="99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0"/>
      <c r="E1977" s="78" t="str">
        <f>IF(C1977="","",IFERROR(VLOOKUP(C1977,parametros!$A$11:$E$15,5,0),""))</f>
        <v/>
      </c>
      <c r="F1977" s="79" t="str">
        <f t="shared" si="152"/>
        <v/>
      </c>
      <c r="G1977" s="101"/>
      <c r="H1977" s="91">
        <f t="shared" si="153"/>
        <v>0</v>
      </c>
      <c r="I1977" s="91" t="str">
        <f t="shared" si="154"/>
        <v/>
      </c>
      <c r="J1977" s="91" t="str">
        <f t="shared" si="155"/>
        <v/>
      </c>
      <c r="K1977" s="92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2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58"/>
      <c r="U1977" s="217" t="str">
        <f t="shared" si="156"/>
        <v/>
      </c>
      <c r="V1977" s="215" t="s">
        <v>47</v>
      </c>
      <c r="W1977" s="102" t="s">
        <v>136</v>
      </c>
      <c r="X1977" s="102" t="s">
        <v>137</v>
      </c>
      <c r="Y1977" s="103" t="s">
        <v>138</v>
      </c>
      <c r="Z1977" s="103" t="s">
        <v>139</v>
      </c>
      <c r="AA1977" s="103" t="s">
        <v>47</v>
      </c>
      <c r="AB1977" s="103" t="s">
        <v>140</v>
      </c>
      <c r="AC1977" s="104" t="s">
        <v>141</v>
      </c>
    </row>
    <row r="1978" spans="1:29" ht="25.5" customHeight="1" x14ac:dyDescent="0.35">
      <c r="A1978" s="188"/>
      <c r="B1978" s="190"/>
      <c r="C1978" s="99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0"/>
      <c r="E1978" s="78" t="str">
        <f>IF(C1978="","",IFERROR(VLOOKUP(C1978,parametros!$A$11:$E$15,5,0),""))</f>
        <v/>
      </c>
      <c r="F1978" s="79" t="str">
        <f t="shared" si="152"/>
        <v/>
      </c>
      <c r="G1978" s="101"/>
      <c r="H1978" s="91">
        <f t="shared" si="153"/>
        <v>0</v>
      </c>
      <c r="I1978" s="91" t="str">
        <f t="shared" si="154"/>
        <v/>
      </c>
      <c r="J1978" s="91" t="str">
        <f t="shared" si="155"/>
        <v/>
      </c>
      <c r="K1978" s="92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2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58"/>
      <c r="U1978" s="217" t="str">
        <f t="shared" si="156"/>
        <v/>
      </c>
      <c r="V1978" s="215" t="s">
        <v>47</v>
      </c>
      <c r="W1978" s="102" t="s">
        <v>136</v>
      </c>
      <c r="X1978" s="102" t="s">
        <v>137</v>
      </c>
      <c r="Y1978" s="103" t="s">
        <v>138</v>
      </c>
      <c r="Z1978" s="103" t="s">
        <v>139</v>
      </c>
      <c r="AA1978" s="103" t="s">
        <v>47</v>
      </c>
      <c r="AB1978" s="103" t="s">
        <v>140</v>
      </c>
      <c r="AC1978" s="104" t="s">
        <v>141</v>
      </c>
    </row>
    <row r="1979" spans="1:29" ht="25.5" customHeight="1" x14ac:dyDescent="0.35">
      <c r="A1979" s="188"/>
      <c r="B1979" s="190"/>
      <c r="C1979" s="99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0"/>
      <c r="E1979" s="78" t="str">
        <f>IF(C1979="","",IFERROR(VLOOKUP(C1979,parametros!$A$11:$E$15,5,0),""))</f>
        <v/>
      </c>
      <c r="F1979" s="79" t="str">
        <f t="shared" si="152"/>
        <v/>
      </c>
      <c r="G1979" s="101"/>
      <c r="H1979" s="91">
        <f t="shared" si="153"/>
        <v>0</v>
      </c>
      <c r="I1979" s="91" t="str">
        <f t="shared" si="154"/>
        <v/>
      </c>
      <c r="J1979" s="91" t="str">
        <f t="shared" si="155"/>
        <v/>
      </c>
      <c r="K1979" s="92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2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58"/>
      <c r="U1979" s="217" t="str">
        <f t="shared" si="156"/>
        <v/>
      </c>
      <c r="V1979" s="215" t="s">
        <v>47</v>
      </c>
      <c r="W1979" s="102" t="s">
        <v>136</v>
      </c>
      <c r="X1979" s="102" t="s">
        <v>137</v>
      </c>
      <c r="Y1979" s="103" t="s">
        <v>138</v>
      </c>
      <c r="Z1979" s="103" t="s">
        <v>139</v>
      </c>
      <c r="AA1979" s="103" t="s">
        <v>47</v>
      </c>
      <c r="AB1979" s="103" t="s">
        <v>140</v>
      </c>
      <c r="AC1979" s="104" t="s">
        <v>141</v>
      </c>
    </row>
    <row r="1980" spans="1:29" ht="25.5" customHeight="1" x14ac:dyDescent="0.35">
      <c r="A1980" s="188"/>
      <c r="B1980" s="190"/>
      <c r="C1980" s="99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0"/>
      <c r="E1980" s="78" t="str">
        <f>IF(C1980="","",IFERROR(VLOOKUP(C1980,parametros!$A$11:$E$15,5,0),""))</f>
        <v/>
      </c>
      <c r="F1980" s="79" t="str">
        <f t="shared" si="152"/>
        <v/>
      </c>
      <c r="G1980" s="101"/>
      <c r="H1980" s="91">
        <f t="shared" si="153"/>
        <v>0</v>
      </c>
      <c r="I1980" s="91" t="str">
        <f t="shared" si="154"/>
        <v/>
      </c>
      <c r="J1980" s="91" t="str">
        <f t="shared" si="155"/>
        <v/>
      </c>
      <c r="K1980" s="92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2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58"/>
      <c r="U1980" s="217" t="str">
        <f t="shared" si="156"/>
        <v/>
      </c>
      <c r="V1980" s="215" t="s">
        <v>47</v>
      </c>
      <c r="W1980" s="102" t="s">
        <v>136</v>
      </c>
      <c r="X1980" s="102" t="s">
        <v>137</v>
      </c>
      <c r="Y1980" s="103" t="s">
        <v>138</v>
      </c>
      <c r="Z1980" s="103" t="s">
        <v>139</v>
      </c>
      <c r="AA1980" s="103" t="s">
        <v>47</v>
      </c>
      <c r="AB1980" s="103" t="s">
        <v>140</v>
      </c>
      <c r="AC1980" s="104" t="s">
        <v>141</v>
      </c>
    </row>
    <row r="1981" spans="1:29" ht="25.5" customHeight="1" x14ac:dyDescent="0.35">
      <c r="A1981" s="188"/>
      <c r="B1981" s="190"/>
      <c r="C1981" s="99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0"/>
      <c r="E1981" s="78" t="str">
        <f>IF(C1981="","",IFERROR(VLOOKUP(C1981,parametros!$A$11:$E$15,5,0),""))</f>
        <v/>
      </c>
      <c r="F1981" s="79" t="str">
        <f t="shared" si="152"/>
        <v/>
      </c>
      <c r="G1981" s="101"/>
      <c r="H1981" s="91">
        <f t="shared" si="153"/>
        <v>0</v>
      </c>
      <c r="I1981" s="91" t="str">
        <f t="shared" si="154"/>
        <v/>
      </c>
      <c r="J1981" s="91" t="str">
        <f t="shared" si="155"/>
        <v/>
      </c>
      <c r="K1981" s="92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2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58"/>
      <c r="U1981" s="217" t="str">
        <f t="shared" si="156"/>
        <v/>
      </c>
      <c r="V1981" s="215" t="s">
        <v>47</v>
      </c>
      <c r="W1981" s="102" t="s">
        <v>136</v>
      </c>
      <c r="X1981" s="102" t="s">
        <v>137</v>
      </c>
      <c r="Y1981" s="103" t="s">
        <v>138</v>
      </c>
      <c r="Z1981" s="103" t="s">
        <v>139</v>
      </c>
      <c r="AA1981" s="103" t="s">
        <v>47</v>
      </c>
      <c r="AB1981" s="103" t="s">
        <v>140</v>
      </c>
      <c r="AC1981" s="104" t="s">
        <v>141</v>
      </c>
    </row>
    <row r="1982" spans="1:29" ht="25.5" customHeight="1" x14ac:dyDescent="0.35">
      <c r="A1982" s="188"/>
      <c r="B1982" s="190"/>
      <c r="C1982" s="99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0"/>
      <c r="E1982" s="78" t="str">
        <f>IF(C1982="","",IFERROR(VLOOKUP(C1982,parametros!$A$11:$E$15,5,0),""))</f>
        <v/>
      </c>
      <c r="F1982" s="79" t="str">
        <f t="shared" si="152"/>
        <v/>
      </c>
      <c r="G1982" s="101"/>
      <c r="H1982" s="91">
        <f t="shared" si="153"/>
        <v>0</v>
      </c>
      <c r="I1982" s="91" t="str">
        <f t="shared" si="154"/>
        <v/>
      </c>
      <c r="J1982" s="91" t="str">
        <f t="shared" si="155"/>
        <v/>
      </c>
      <c r="K1982" s="92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2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58"/>
      <c r="U1982" s="217" t="str">
        <f t="shared" si="156"/>
        <v/>
      </c>
      <c r="V1982" s="215" t="s">
        <v>47</v>
      </c>
      <c r="W1982" s="102" t="s">
        <v>136</v>
      </c>
      <c r="X1982" s="102" t="s">
        <v>137</v>
      </c>
      <c r="Y1982" s="103" t="s">
        <v>138</v>
      </c>
      <c r="Z1982" s="103" t="s">
        <v>139</v>
      </c>
      <c r="AA1982" s="103" t="s">
        <v>47</v>
      </c>
      <c r="AB1982" s="103" t="s">
        <v>140</v>
      </c>
      <c r="AC1982" s="104" t="s">
        <v>141</v>
      </c>
    </row>
    <row r="1983" spans="1:29" ht="25.5" customHeight="1" x14ac:dyDescent="0.35">
      <c r="A1983" s="188"/>
      <c r="B1983" s="190"/>
      <c r="C1983" s="99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0"/>
      <c r="E1983" s="78" t="str">
        <f>IF(C1983="","",IFERROR(VLOOKUP(C1983,parametros!$A$11:$E$15,5,0),""))</f>
        <v/>
      </c>
      <c r="F1983" s="79" t="str">
        <f t="shared" si="152"/>
        <v/>
      </c>
      <c r="G1983" s="101"/>
      <c r="H1983" s="91">
        <f t="shared" si="153"/>
        <v>0</v>
      </c>
      <c r="I1983" s="91" t="str">
        <f t="shared" si="154"/>
        <v/>
      </c>
      <c r="J1983" s="91" t="str">
        <f t="shared" si="155"/>
        <v/>
      </c>
      <c r="K1983" s="92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2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58"/>
      <c r="U1983" s="217" t="str">
        <f t="shared" si="156"/>
        <v/>
      </c>
      <c r="V1983" s="215" t="s">
        <v>47</v>
      </c>
      <c r="W1983" s="102" t="s">
        <v>136</v>
      </c>
      <c r="X1983" s="102" t="s">
        <v>137</v>
      </c>
      <c r="Y1983" s="103" t="s">
        <v>138</v>
      </c>
      <c r="Z1983" s="103" t="s">
        <v>139</v>
      </c>
      <c r="AA1983" s="103" t="s">
        <v>47</v>
      </c>
      <c r="AB1983" s="103" t="s">
        <v>140</v>
      </c>
      <c r="AC1983" s="104" t="s">
        <v>141</v>
      </c>
    </row>
    <row r="1984" spans="1:29" ht="25.5" customHeight="1" x14ac:dyDescent="0.35">
      <c r="A1984" s="188"/>
      <c r="B1984" s="190"/>
      <c r="C1984" s="99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0"/>
      <c r="E1984" s="78" t="str">
        <f>IF(C1984="","",IFERROR(VLOOKUP(C1984,parametros!$A$11:$E$15,5,0),""))</f>
        <v/>
      </c>
      <c r="F1984" s="79" t="str">
        <f t="shared" si="152"/>
        <v/>
      </c>
      <c r="G1984" s="101"/>
      <c r="H1984" s="91">
        <f t="shared" si="153"/>
        <v>0</v>
      </c>
      <c r="I1984" s="91" t="str">
        <f t="shared" si="154"/>
        <v/>
      </c>
      <c r="J1984" s="91" t="str">
        <f t="shared" si="155"/>
        <v/>
      </c>
      <c r="K1984" s="92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2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58"/>
      <c r="U1984" s="217" t="str">
        <f t="shared" si="156"/>
        <v/>
      </c>
      <c r="V1984" s="215" t="s">
        <v>47</v>
      </c>
      <c r="W1984" s="102" t="s">
        <v>136</v>
      </c>
      <c r="X1984" s="102" t="s">
        <v>137</v>
      </c>
      <c r="Y1984" s="103" t="s">
        <v>138</v>
      </c>
      <c r="Z1984" s="103" t="s">
        <v>139</v>
      </c>
      <c r="AA1984" s="103" t="s">
        <v>47</v>
      </c>
      <c r="AB1984" s="103" t="s">
        <v>140</v>
      </c>
      <c r="AC1984" s="104" t="s">
        <v>141</v>
      </c>
    </row>
    <row r="1985" spans="1:29" ht="25.5" customHeight="1" x14ac:dyDescent="0.35">
      <c r="A1985" s="188"/>
      <c r="B1985" s="190"/>
      <c r="C1985" s="99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0"/>
      <c r="E1985" s="78" t="str">
        <f>IF(C1985="","",IFERROR(VLOOKUP(C1985,parametros!$A$11:$E$15,5,0),""))</f>
        <v/>
      </c>
      <c r="F1985" s="79" t="str">
        <f t="shared" si="152"/>
        <v/>
      </c>
      <c r="G1985" s="101"/>
      <c r="H1985" s="91">
        <f t="shared" si="153"/>
        <v>0</v>
      </c>
      <c r="I1985" s="91" t="str">
        <f t="shared" si="154"/>
        <v/>
      </c>
      <c r="J1985" s="91" t="str">
        <f t="shared" si="155"/>
        <v/>
      </c>
      <c r="K1985" s="92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2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58"/>
      <c r="U1985" s="217" t="str">
        <f t="shared" si="156"/>
        <v/>
      </c>
      <c r="V1985" s="215" t="s">
        <v>47</v>
      </c>
      <c r="W1985" s="102" t="s">
        <v>136</v>
      </c>
      <c r="X1985" s="102" t="s">
        <v>137</v>
      </c>
      <c r="Y1985" s="103" t="s">
        <v>138</v>
      </c>
      <c r="Z1985" s="103" t="s">
        <v>139</v>
      </c>
      <c r="AA1985" s="103" t="s">
        <v>47</v>
      </c>
      <c r="AB1985" s="103" t="s">
        <v>140</v>
      </c>
      <c r="AC1985" s="104" t="s">
        <v>141</v>
      </c>
    </row>
    <row r="1986" spans="1:29" ht="25.5" customHeight="1" x14ac:dyDescent="0.35">
      <c r="A1986" s="188"/>
      <c r="B1986" s="190"/>
      <c r="C1986" s="99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0"/>
      <c r="E1986" s="78" t="str">
        <f>IF(C1986="","",IFERROR(VLOOKUP(C1986,parametros!$A$11:$E$15,5,0),""))</f>
        <v/>
      </c>
      <c r="F1986" s="79" t="str">
        <f t="shared" ref="F1986:F2049" si="157">IF(OR(D1986="",E1986=""),"",ROUND(D1986*E1986,2))</f>
        <v/>
      </c>
      <c r="G1986" s="101"/>
      <c r="H1986" s="91">
        <f t="shared" ref="H1986:H2049" si="158">IF(G1986="Sim",IF(OR(F1986="",D1986="",L1986=""),"",IF(L1986="Sim",ROUND(F1986-D1986,2),0)),0)</f>
        <v>0</v>
      </c>
      <c r="I1986" s="91" t="str">
        <f t="shared" ref="I1986:I2049" si="159">IF(G1986="Sim",0,IF(OR(F1986="",L1986=""),"",F1986))</f>
        <v/>
      </c>
      <c r="J1986" s="91" t="str">
        <f t="shared" ref="J1986:J2049" si="160">IF(G1986="Sim",0,IF(OR(F1986="",D1986="",L1986=""),"",IF(L1986="Sim",ROUND(F1986-D1986,2),0)))</f>
        <v/>
      </c>
      <c r="K1986" s="92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2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58"/>
      <c r="U1986" s="217" t="str">
        <f t="shared" ref="U1986:U2049" si="161">IF(OR($D1986="",$H1986=""),"",ROUND($D1986+$H1986,2))</f>
        <v/>
      </c>
      <c r="V1986" s="215" t="s">
        <v>47</v>
      </c>
      <c r="W1986" s="102" t="s">
        <v>136</v>
      </c>
      <c r="X1986" s="102" t="s">
        <v>137</v>
      </c>
      <c r="Y1986" s="103" t="s">
        <v>138</v>
      </c>
      <c r="Z1986" s="103" t="s">
        <v>139</v>
      </c>
      <c r="AA1986" s="103" t="s">
        <v>47</v>
      </c>
      <c r="AB1986" s="103" t="s">
        <v>140</v>
      </c>
      <c r="AC1986" s="104" t="s">
        <v>141</v>
      </c>
    </row>
    <row r="1987" spans="1:29" ht="25.5" customHeight="1" x14ac:dyDescent="0.35">
      <c r="A1987" s="188"/>
      <c r="B1987" s="190"/>
      <c r="C1987" s="99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0"/>
      <c r="E1987" s="78" t="str">
        <f>IF(C1987="","",IFERROR(VLOOKUP(C1987,parametros!$A$11:$E$15,5,0),""))</f>
        <v/>
      </c>
      <c r="F1987" s="79" t="str">
        <f t="shared" si="157"/>
        <v/>
      </c>
      <c r="G1987" s="101"/>
      <c r="H1987" s="91">
        <f t="shared" si="158"/>
        <v>0</v>
      </c>
      <c r="I1987" s="91" t="str">
        <f t="shared" si="159"/>
        <v/>
      </c>
      <c r="J1987" s="91" t="str">
        <f t="shared" si="160"/>
        <v/>
      </c>
      <c r="K1987" s="92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2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58"/>
      <c r="U1987" s="217" t="str">
        <f t="shared" si="161"/>
        <v/>
      </c>
      <c r="V1987" s="215" t="s">
        <v>47</v>
      </c>
      <c r="W1987" s="102" t="s">
        <v>136</v>
      </c>
      <c r="X1987" s="102" t="s">
        <v>137</v>
      </c>
      <c r="Y1987" s="103" t="s">
        <v>138</v>
      </c>
      <c r="Z1987" s="103" t="s">
        <v>139</v>
      </c>
      <c r="AA1987" s="103" t="s">
        <v>47</v>
      </c>
      <c r="AB1987" s="103" t="s">
        <v>140</v>
      </c>
      <c r="AC1987" s="104" t="s">
        <v>141</v>
      </c>
    </row>
    <row r="1988" spans="1:29" ht="25.5" customHeight="1" x14ac:dyDescent="0.35">
      <c r="A1988" s="188"/>
      <c r="B1988" s="190"/>
      <c r="C1988" s="99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0"/>
      <c r="E1988" s="78" t="str">
        <f>IF(C1988="","",IFERROR(VLOOKUP(C1988,parametros!$A$11:$E$15,5,0),""))</f>
        <v/>
      </c>
      <c r="F1988" s="79" t="str">
        <f t="shared" si="157"/>
        <v/>
      </c>
      <c r="G1988" s="101"/>
      <c r="H1988" s="91">
        <f t="shared" si="158"/>
        <v>0</v>
      </c>
      <c r="I1988" s="91" t="str">
        <f t="shared" si="159"/>
        <v/>
      </c>
      <c r="J1988" s="91" t="str">
        <f t="shared" si="160"/>
        <v/>
      </c>
      <c r="K1988" s="92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2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58"/>
      <c r="U1988" s="217" t="str">
        <f t="shared" si="161"/>
        <v/>
      </c>
      <c r="V1988" s="215" t="s">
        <v>47</v>
      </c>
      <c r="W1988" s="102" t="s">
        <v>136</v>
      </c>
      <c r="X1988" s="102" t="s">
        <v>137</v>
      </c>
      <c r="Y1988" s="103" t="s">
        <v>138</v>
      </c>
      <c r="Z1988" s="103" t="s">
        <v>139</v>
      </c>
      <c r="AA1988" s="103" t="s">
        <v>47</v>
      </c>
      <c r="AB1988" s="103" t="s">
        <v>140</v>
      </c>
      <c r="AC1988" s="104" t="s">
        <v>141</v>
      </c>
    </row>
    <row r="1989" spans="1:29" ht="25.5" customHeight="1" x14ac:dyDescent="0.35">
      <c r="A1989" s="188"/>
      <c r="B1989" s="190"/>
      <c r="C1989" s="99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0"/>
      <c r="E1989" s="78" t="str">
        <f>IF(C1989="","",IFERROR(VLOOKUP(C1989,parametros!$A$11:$E$15,5,0),""))</f>
        <v/>
      </c>
      <c r="F1989" s="79" t="str">
        <f t="shared" si="157"/>
        <v/>
      </c>
      <c r="G1989" s="101"/>
      <c r="H1989" s="91">
        <f t="shared" si="158"/>
        <v>0</v>
      </c>
      <c r="I1989" s="91" t="str">
        <f t="shared" si="159"/>
        <v/>
      </c>
      <c r="J1989" s="91" t="str">
        <f t="shared" si="160"/>
        <v/>
      </c>
      <c r="K1989" s="92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2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58"/>
      <c r="U1989" s="217" t="str">
        <f t="shared" si="161"/>
        <v/>
      </c>
      <c r="V1989" s="215" t="s">
        <v>47</v>
      </c>
      <c r="W1989" s="102" t="s">
        <v>136</v>
      </c>
      <c r="X1989" s="102" t="s">
        <v>137</v>
      </c>
      <c r="Y1989" s="103" t="s">
        <v>138</v>
      </c>
      <c r="Z1989" s="103" t="s">
        <v>139</v>
      </c>
      <c r="AA1989" s="103" t="s">
        <v>47</v>
      </c>
      <c r="AB1989" s="103" t="s">
        <v>140</v>
      </c>
      <c r="AC1989" s="104" t="s">
        <v>141</v>
      </c>
    </row>
    <row r="1990" spans="1:29" ht="25.5" customHeight="1" x14ac:dyDescent="0.35">
      <c r="A1990" s="188"/>
      <c r="B1990" s="190"/>
      <c r="C1990" s="99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0"/>
      <c r="E1990" s="78" t="str">
        <f>IF(C1990="","",IFERROR(VLOOKUP(C1990,parametros!$A$11:$E$15,5,0),""))</f>
        <v/>
      </c>
      <c r="F1990" s="79" t="str">
        <f t="shared" si="157"/>
        <v/>
      </c>
      <c r="G1990" s="101"/>
      <c r="H1990" s="91">
        <f t="shared" si="158"/>
        <v>0</v>
      </c>
      <c r="I1990" s="91" t="str">
        <f t="shared" si="159"/>
        <v/>
      </c>
      <c r="J1990" s="91" t="str">
        <f t="shared" si="160"/>
        <v/>
      </c>
      <c r="K1990" s="92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2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58"/>
      <c r="U1990" s="217" t="str">
        <f t="shared" si="161"/>
        <v/>
      </c>
      <c r="V1990" s="215" t="s">
        <v>47</v>
      </c>
      <c r="W1990" s="102" t="s">
        <v>136</v>
      </c>
      <c r="X1990" s="102" t="s">
        <v>137</v>
      </c>
      <c r="Y1990" s="103" t="s">
        <v>138</v>
      </c>
      <c r="Z1990" s="103" t="s">
        <v>139</v>
      </c>
      <c r="AA1990" s="103" t="s">
        <v>47</v>
      </c>
      <c r="AB1990" s="103" t="s">
        <v>140</v>
      </c>
      <c r="AC1990" s="104" t="s">
        <v>141</v>
      </c>
    </row>
    <row r="1991" spans="1:29" ht="25.5" customHeight="1" x14ac:dyDescent="0.35">
      <c r="A1991" s="188"/>
      <c r="B1991" s="190"/>
      <c r="C1991" s="99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0"/>
      <c r="E1991" s="78" t="str">
        <f>IF(C1991="","",IFERROR(VLOOKUP(C1991,parametros!$A$11:$E$15,5,0),""))</f>
        <v/>
      </c>
      <c r="F1991" s="79" t="str">
        <f t="shared" si="157"/>
        <v/>
      </c>
      <c r="G1991" s="101"/>
      <c r="H1991" s="91">
        <f t="shared" si="158"/>
        <v>0</v>
      </c>
      <c r="I1991" s="91" t="str">
        <f t="shared" si="159"/>
        <v/>
      </c>
      <c r="J1991" s="91" t="str">
        <f t="shared" si="160"/>
        <v/>
      </c>
      <c r="K1991" s="92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2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58"/>
      <c r="U1991" s="217" t="str">
        <f t="shared" si="161"/>
        <v/>
      </c>
      <c r="V1991" s="215" t="s">
        <v>47</v>
      </c>
      <c r="W1991" s="102" t="s">
        <v>136</v>
      </c>
      <c r="X1991" s="102" t="s">
        <v>137</v>
      </c>
      <c r="Y1991" s="103" t="s">
        <v>138</v>
      </c>
      <c r="Z1991" s="103" t="s">
        <v>139</v>
      </c>
      <c r="AA1991" s="103" t="s">
        <v>47</v>
      </c>
      <c r="AB1991" s="103" t="s">
        <v>140</v>
      </c>
      <c r="AC1991" s="104" t="s">
        <v>141</v>
      </c>
    </row>
    <row r="1992" spans="1:29" ht="25.5" customHeight="1" x14ac:dyDescent="0.35">
      <c r="A1992" s="188"/>
      <c r="B1992" s="190"/>
      <c r="C1992" s="99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0"/>
      <c r="E1992" s="78" t="str">
        <f>IF(C1992="","",IFERROR(VLOOKUP(C1992,parametros!$A$11:$E$15,5,0),""))</f>
        <v/>
      </c>
      <c r="F1992" s="79" t="str">
        <f t="shared" si="157"/>
        <v/>
      </c>
      <c r="G1992" s="101"/>
      <c r="H1992" s="91">
        <f t="shared" si="158"/>
        <v>0</v>
      </c>
      <c r="I1992" s="91" t="str">
        <f t="shared" si="159"/>
        <v/>
      </c>
      <c r="J1992" s="91" t="str">
        <f t="shared" si="160"/>
        <v/>
      </c>
      <c r="K1992" s="92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2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58"/>
      <c r="U1992" s="217" t="str">
        <f t="shared" si="161"/>
        <v/>
      </c>
      <c r="V1992" s="215" t="s">
        <v>47</v>
      </c>
      <c r="W1992" s="102" t="s">
        <v>136</v>
      </c>
      <c r="X1992" s="102" t="s">
        <v>137</v>
      </c>
      <c r="Y1992" s="103" t="s">
        <v>138</v>
      </c>
      <c r="Z1992" s="103" t="s">
        <v>139</v>
      </c>
      <c r="AA1992" s="103" t="s">
        <v>47</v>
      </c>
      <c r="AB1992" s="103" t="s">
        <v>140</v>
      </c>
      <c r="AC1992" s="104" t="s">
        <v>141</v>
      </c>
    </row>
    <row r="1993" spans="1:29" ht="25.5" customHeight="1" x14ac:dyDescent="0.35">
      <c r="A1993" s="188"/>
      <c r="B1993" s="190"/>
      <c r="C1993" s="99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0"/>
      <c r="E1993" s="78" t="str">
        <f>IF(C1993="","",IFERROR(VLOOKUP(C1993,parametros!$A$11:$E$15,5,0),""))</f>
        <v/>
      </c>
      <c r="F1993" s="79" t="str">
        <f t="shared" si="157"/>
        <v/>
      </c>
      <c r="G1993" s="101"/>
      <c r="H1993" s="91">
        <f t="shared" si="158"/>
        <v>0</v>
      </c>
      <c r="I1993" s="91" t="str">
        <f t="shared" si="159"/>
        <v/>
      </c>
      <c r="J1993" s="91" t="str">
        <f t="shared" si="160"/>
        <v/>
      </c>
      <c r="K1993" s="92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2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58"/>
      <c r="U1993" s="217" t="str">
        <f t="shared" si="161"/>
        <v/>
      </c>
      <c r="V1993" s="215" t="s">
        <v>47</v>
      </c>
      <c r="W1993" s="102" t="s">
        <v>136</v>
      </c>
      <c r="X1993" s="102" t="s">
        <v>137</v>
      </c>
      <c r="Y1993" s="103" t="s">
        <v>138</v>
      </c>
      <c r="Z1993" s="103" t="s">
        <v>139</v>
      </c>
      <c r="AA1993" s="103" t="s">
        <v>47</v>
      </c>
      <c r="AB1993" s="103" t="s">
        <v>140</v>
      </c>
      <c r="AC1993" s="104" t="s">
        <v>141</v>
      </c>
    </row>
    <row r="1994" spans="1:29" ht="25.5" customHeight="1" x14ac:dyDescent="0.35">
      <c r="A1994" s="188"/>
      <c r="B1994" s="190"/>
      <c r="C1994" s="99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0"/>
      <c r="E1994" s="78" t="str">
        <f>IF(C1994="","",IFERROR(VLOOKUP(C1994,parametros!$A$11:$E$15,5,0),""))</f>
        <v/>
      </c>
      <c r="F1994" s="79" t="str">
        <f t="shared" si="157"/>
        <v/>
      </c>
      <c r="G1994" s="101"/>
      <c r="H1994" s="91">
        <f t="shared" si="158"/>
        <v>0</v>
      </c>
      <c r="I1994" s="91" t="str">
        <f t="shared" si="159"/>
        <v/>
      </c>
      <c r="J1994" s="91" t="str">
        <f t="shared" si="160"/>
        <v/>
      </c>
      <c r="K1994" s="92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2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58"/>
      <c r="U1994" s="217" t="str">
        <f t="shared" si="161"/>
        <v/>
      </c>
      <c r="V1994" s="215" t="s">
        <v>47</v>
      </c>
      <c r="W1994" s="102" t="s">
        <v>136</v>
      </c>
      <c r="X1994" s="102" t="s">
        <v>137</v>
      </c>
      <c r="Y1994" s="103" t="s">
        <v>138</v>
      </c>
      <c r="Z1994" s="103" t="s">
        <v>139</v>
      </c>
      <c r="AA1994" s="103" t="s">
        <v>47</v>
      </c>
      <c r="AB1994" s="103" t="s">
        <v>140</v>
      </c>
      <c r="AC1994" s="104" t="s">
        <v>141</v>
      </c>
    </row>
    <row r="1995" spans="1:29" ht="25.5" customHeight="1" x14ac:dyDescent="0.35">
      <c r="A1995" s="188"/>
      <c r="B1995" s="190"/>
      <c r="C1995" s="99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0"/>
      <c r="E1995" s="78" t="str">
        <f>IF(C1995="","",IFERROR(VLOOKUP(C1995,parametros!$A$11:$E$15,5,0),""))</f>
        <v/>
      </c>
      <c r="F1995" s="79" t="str">
        <f t="shared" si="157"/>
        <v/>
      </c>
      <c r="G1995" s="101"/>
      <c r="H1995" s="91">
        <f t="shared" si="158"/>
        <v>0</v>
      </c>
      <c r="I1995" s="91" t="str">
        <f t="shared" si="159"/>
        <v/>
      </c>
      <c r="J1995" s="91" t="str">
        <f t="shared" si="160"/>
        <v/>
      </c>
      <c r="K1995" s="92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2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58"/>
      <c r="U1995" s="217" t="str">
        <f t="shared" si="161"/>
        <v/>
      </c>
      <c r="V1995" s="215" t="s">
        <v>47</v>
      </c>
      <c r="W1995" s="102" t="s">
        <v>136</v>
      </c>
      <c r="X1995" s="102" t="s">
        <v>137</v>
      </c>
      <c r="Y1995" s="103" t="s">
        <v>138</v>
      </c>
      <c r="Z1995" s="103" t="s">
        <v>139</v>
      </c>
      <c r="AA1995" s="103" t="s">
        <v>47</v>
      </c>
      <c r="AB1995" s="103" t="s">
        <v>140</v>
      </c>
      <c r="AC1995" s="104" t="s">
        <v>141</v>
      </c>
    </row>
    <row r="1996" spans="1:29" ht="25.5" customHeight="1" x14ac:dyDescent="0.35">
      <c r="A1996" s="188"/>
      <c r="B1996" s="190"/>
      <c r="C1996" s="99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0"/>
      <c r="E1996" s="78" t="str">
        <f>IF(C1996="","",IFERROR(VLOOKUP(C1996,parametros!$A$11:$E$15,5,0),""))</f>
        <v/>
      </c>
      <c r="F1996" s="79" t="str">
        <f t="shared" si="157"/>
        <v/>
      </c>
      <c r="G1996" s="101"/>
      <c r="H1996" s="91">
        <f t="shared" si="158"/>
        <v>0</v>
      </c>
      <c r="I1996" s="91" t="str">
        <f t="shared" si="159"/>
        <v/>
      </c>
      <c r="J1996" s="91" t="str">
        <f t="shared" si="160"/>
        <v/>
      </c>
      <c r="K1996" s="92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2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58"/>
      <c r="U1996" s="217" t="str">
        <f t="shared" si="161"/>
        <v/>
      </c>
      <c r="V1996" s="215" t="s">
        <v>47</v>
      </c>
      <c r="W1996" s="102" t="s">
        <v>136</v>
      </c>
      <c r="X1996" s="102" t="s">
        <v>137</v>
      </c>
      <c r="Y1996" s="103" t="s">
        <v>138</v>
      </c>
      <c r="Z1996" s="103" t="s">
        <v>139</v>
      </c>
      <c r="AA1996" s="103" t="s">
        <v>47</v>
      </c>
      <c r="AB1996" s="103" t="s">
        <v>140</v>
      </c>
      <c r="AC1996" s="104" t="s">
        <v>141</v>
      </c>
    </row>
    <row r="1997" spans="1:29" ht="25.5" customHeight="1" x14ac:dyDescent="0.35">
      <c r="A1997" s="188"/>
      <c r="B1997" s="190"/>
      <c r="C1997" s="99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0"/>
      <c r="E1997" s="78" t="str">
        <f>IF(C1997="","",IFERROR(VLOOKUP(C1997,parametros!$A$11:$E$15,5,0),""))</f>
        <v/>
      </c>
      <c r="F1997" s="79" t="str">
        <f t="shared" si="157"/>
        <v/>
      </c>
      <c r="G1997" s="101"/>
      <c r="H1997" s="91">
        <f t="shared" si="158"/>
        <v>0</v>
      </c>
      <c r="I1997" s="91" t="str">
        <f t="shared" si="159"/>
        <v/>
      </c>
      <c r="J1997" s="91" t="str">
        <f t="shared" si="160"/>
        <v/>
      </c>
      <c r="K1997" s="92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2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58"/>
      <c r="U1997" s="217" t="str">
        <f t="shared" si="161"/>
        <v/>
      </c>
      <c r="V1997" s="215" t="s">
        <v>47</v>
      </c>
      <c r="W1997" s="102" t="s">
        <v>136</v>
      </c>
      <c r="X1997" s="102" t="s">
        <v>137</v>
      </c>
      <c r="Y1997" s="103" t="s">
        <v>138</v>
      </c>
      <c r="Z1997" s="103" t="s">
        <v>139</v>
      </c>
      <c r="AA1997" s="103" t="s">
        <v>47</v>
      </c>
      <c r="AB1997" s="103" t="s">
        <v>140</v>
      </c>
      <c r="AC1997" s="104" t="s">
        <v>141</v>
      </c>
    </row>
    <row r="1998" spans="1:29" ht="25.5" customHeight="1" x14ac:dyDescent="0.35">
      <c r="A1998" s="188"/>
      <c r="B1998" s="190"/>
      <c r="C1998" s="99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0"/>
      <c r="E1998" s="78" t="str">
        <f>IF(C1998="","",IFERROR(VLOOKUP(C1998,parametros!$A$11:$E$15,5,0),""))</f>
        <v/>
      </c>
      <c r="F1998" s="79" t="str">
        <f t="shared" si="157"/>
        <v/>
      </c>
      <c r="G1998" s="101"/>
      <c r="H1998" s="91">
        <f t="shared" si="158"/>
        <v>0</v>
      </c>
      <c r="I1998" s="91" t="str">
        <f t="shared" si="159"/>
        <v/>
      </c>
      <c r="J1998" s="91" t="str">
        <f t="shared" si="160"/>
        <v/>
      </c>
      <c r="K1998" s="92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2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58"/>
      <c r="U1998" s="217" t="str">
        <f t="shared" si="161"/>
        <v/>
      </c>
      <c r="V1998" s="215" t="s">
        <v>47</v>
      </c>
      <c r="W1998" s="102" t="s">
        <v>136</v>
      </c>
      <c r="X1998" s="102" t="s">
        <v>137</v>
      </c>
      <c r="Y1998" s="103" t="s">
        <v>138</v>
      </c>
      <c r="Z1998" s="103" t="s">
        <v>139</v>
      </c>
      <c r="AA1998" s="103" t="s">
        <v>47</v>
      </c>
      <c r="AB1998" s="103" t="s">
        <v>140</v>
      </c>
      <c r="AC1998" s="104" t="s">
        <v>141</v>
      </c>
    </row>
    <row r="1999" spans="1:29" ht="25.5" customHeight="1" x14ac:dyDescent="0.35">
      <c r="A1999" s="188"/>
      <c r="B1999" s="190"/>
      <c r="C1999" s="99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0"/>
      <c r="E1999" s="78" t="str">
        <f>IF(C1999="","",IFERROR(VLOOKUP(C1999,parametros!$A$11:$E$15,5,0),""))</f>
        <v/>
      </c>
      <c r="F1999" s="79" t="str">
        <f t="shared" si="157"/>
        <v/>
      </c>
      <c r="G1999" s="101"/>
      <c r="H1999" s="91">
        <f t="shared" si="158"/>
        <v>0</v>
      </c>
      <c r="I1999" s="91" t="str">
        <f t="shared" si="159"/>
        <v/>
      </c>
      <c r="J1999" s="91" t="str">
        <f t="shared" si="160"/>
        <v/>
      </c>
      <c r="K1999" s="92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2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58"/>
      <c r="U1999" s="217" t="str">
        <f t="shared" si="161"/>
        <v/>
      </c>
      <c r="V1999" s="215" t="s">
        <v>47</v>
      </c>
      <c r="W1999" s="102" t="s">
        <v>136</v>
      </c>
      <c r="X1999" s="102" t="s">
        <v>137</v>
      </c>
      <c r="Y1999" s="103" t="s">
        <v>138</v>
      </c>
      <c r="Z1999" s="103" t="s">
        <v>139</v>
      </c>
      <c r="AA1999" s="103" t="s">
        <v>47</v>
      </c>
      <c r="AB1999" s="103" t="s">
        <v>140</v>
      </c>
      <c r="AC1999" s="104" t="s">
        <v>141</v>
      </c>
    </row>
    <row r="2000" spans="1:29" ht="25.5" customHeight="1" x14ac:dyDescent="0.35">
      <c r="A2000" s="188"/>
      <c r="B2000" s="190"/>
      <c r="C2000" s="99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0"/>
      <c r="E2000" s="78" t="str">
        <f>IF(C2000="","",IFERROR(VLOOKUP(C2000,parametros!$A$11:$E$15,5,0),""))</f>
        <v/>
      </c>
      <c r="F2000" s="79" t="str">
        <f t="shared" si="157"/>
        <v/>
      </c>
      <c r="G2000" s="101"/>
      <c r="H2000" s="91">
        <f t="shared" si="158"/>
        <v>0</v>
      </c>
      <c r="I2000" s="91" t="str">
        <f t="shared" si="159"/>
        <v/>
      </c>
      <c r="J2000" s="91" t="str">
        <f t="shared" si="160"/>
        <v/>
      </c>
      <c r="K2000" s="92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2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58"/>
      <c r="U2000" s="217" t="str">
        <f t="shared" si="161"/>
        <v/>
      </c>
      <c r="V2000" s="215" t="s">
        <v>47</v>
      </c>
      <c r="W2000" s="102" t="s">
        <v>136</v>
      </c>
      <c r="X2000" s="102" t="s">
        <v>137</v>
      </c>
      <c r="Y2000" s="103" t="s">
        <v>138</v>
      </c>
      <c r="Z2000" s="103" t="s">
        <v>139</v>
      </c>
      <c r="AA2000" s="103" t="s">
        <v>47</v>
      </c>
      <c r="AB2000" s="103" t="s">
        <v>140</v>
      </c>
      <c r="AC2000" s="104" t="s">
        <v>141</v>
      </c>
    </row>
    <row r="2001" spans="1:29" ht="25.5" customHeight="1" x14ac:dyDescent="0.35">
      <c r="A2001" s="188"/>
      <c r="B2001" s="190"/>
      <c r="C2001" s="99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0"/>
      <c r="E2001" s="78" t="str">
        <f>IF(C2001="","",IFERROR(VLOOKUP(C2001,parametros!$A$11:$E$15,5,0),""))</f>
        <v/>
      </c>
      <c r="F2001" s="79" t="str">
        <f t="shared" si="157"/>
        <v/>
      </c>
      <c r="G2001" s="101"/>
      <c r="H2001" s="91">
        <f t="shared" si="158"/>
        <v>0</v>
      </c>
      <c r="I2001" s="91" t="str">
        <f t="shared" si="159"/>
        <v/>
      </c>
      <c r="J2001" s="91" t="str">
        <f t="shared" si="160"/>
        <v/>
      </c>
      <c r="K2001" s="92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2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58"/>
      <c r="U2001" s="217" t="str">
        <f t="shared" si="161"/>
        <v/>
      </c>
      <c r="V2001" s="215" t="s">
        <v>47</v>
      </c>
      <c r="W2001" s="102" t="s">
        <v>136</v>
      </c>
      <c r="X2001" s="102" t="s">
        <v>137</v>
      </c>
      <c r="Y2001" s="103" t="s">
        <v>138</v>
      </c>
      <c r="Z2001" s="103" t="s">
        <v>139</v>
      </c>
      <c r="AA2001" s="103" t="s">
        <v>47</v>
      </c>
      <c r="AB2001" s="103" t="s">
        <v>140</v>
      </c>
      <c r="AC2001" s="104" t="s">
        <v>141</v>
      </c>
    </row>
    <row r="2002" spans="1:29" ht="25.5" customHeight="1" x14ac:dyDescent="0.35">
      <c r="A2002" s="188"/>
      <c r="B2002" s="190"/>
      <c r="C2002" s="99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0"/>
      <c r="E2002" s="78" t="str">
        <f>IF(C2002="","",IFERROR(VLOOKUP(C2002,parametros!$A$11:$E$15,5,0),""))</f>
        <v/>
      </c>
      <c r="F2002" s="79" t="str">
        <f t="shared" si="157"/>
        <v/>
      </c>
      <c r="G2002" s="101"/>
      <c r="H2002" s="91">
        <f t="shared" si="158"/>
        <v>0</v>
      </c>
      <c r="I2002" s="91" t="str">
        <f t="shared" si="159"/>
        <v/>
      </c>
      <c r="J2002" s="91" t="str">
        <f t="shared" si="160"/>
        <v/>
      </c>
      <c r="K2002" s="92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2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58"/>
      <c r="U2002" s="217" t="str">
        <f t="shared" si="161"/>
        <v/>
      </c>
      <c r="V2002" s="215" t="s">
        <v>47</v>
      </c>
      <c r="W2002" s="102" t="s">
        <v>136</v>
      </c>
      <c r="X2002" s="102" t="s">
        <v>137</v>
      </c>
      <c r="Y2002" s="103" t="s">
        <v>138</v>
      </c>
      <c r="Z2002" s="103" t="s">
        <v>139</v>
      </c>
      <c r="AA2002" s="103" t="s">
        <v>47</v>
      </c>
      <c r="AB2002" s="103" t="s">
        <v>140</v>
      </c>
      <c r="AC2002" s="104" t="s">
        <v>141</v>
      </c>
    </row>
    <row r="2003" spans="1:29" ht="25.5" customHeight="1" x14ac:dyDescent="0.35">
      <c r="A2003" s="188"/>
      <c r="B2003" s="190"/>
      <c r="C2003" s="99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0"/>
      <c r="E2003" s="78" t="str">
        <f>IF(C2003="","",IFERROR(VLOOKUP(C2003,parametros!$A$11:$E$15,5,0),""))</f>
        <v/>
      </c>
      <c r="F2003" s="79" t="str">
        <f t="shared" si="157"/>
        <v/>
      </c>
      <c r="G2003" s="101"/>
      <c r="H2003" s="91">
        <f t="shared" si="158"/>
        <v>0</v>
      </c>
      <c r="I2003" s="91" t="str">
        <f t="shared" si="159"/>
        <v/>
      </c>
      <c r="J2003" s="91" t="str">
        <f t="shared" si="160"/>
        <v/>
      </c>
      <c r="K2003" s="92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2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58"/>
      <c r="U2003" s="217" t="str">
        <f t="shared" si="161"/>
        <v/>
      </c>
      <c r="V2003" s="215" t="s">
        <v>47</v>
      </c>
      <c r="W2003" s="102" t="s">
        <v>136</v>
      </c>
      <c r="X2003" s="102" t="s">
        <v>137</v>
      </c>
      <c r="Y2003" s="103" t="s">
        <v>138</v>
      </c>
      <c r="Z2003" s="103" t="s">
        <v>139</v>
      </c>
      <c r="AA2003" s="103" t="s">
        <v>47</v>
      </c>
      <c r="AB2003" s="103" t="s">
        <v>140</v>
      </c>
      <c r="AC2003" s="104" t="s">
        <v>141</v>
      </c>
    </row>
    <row r="2004" spans="1:29" ht="25.5" customHeight="1" x14ac:dyDescent="0.35">
      <c r="A2004" s="188"/>
      <c r="B2004" s="190"/>
      <c r="C2004" s="99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0"/>
      <c r="E2004" s="78" t="str">
        <f>IF(C2004="","",IFERROR(VLOOKUP(C2004,parametros!$A$11:$E$15,5,0),""))</f>
        <v/>
      </c>
      <c r="F2004" s="79" t="str">
        <f t="shared" si="157"/>
        <v/>
      </c>
      <c r="G2004" s="101"/>
      <c r="H2004" s="91">
        <f t="shared" si="158"/>
        <v>0</v>
      </c>
      <c r="I2004" s="91" t="str">
        <f t="shared" si="159"/>
        <v/>
      </c>
      <c r="J2004" s="91" t="str">
        <f t="shared" si="160"/>
        <v/>
      </c>
      <c r="K2004" s="92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2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58"/>
      <c r="U2004" s="217" t="str">
        <f t="shared" si="161"/>
        <v/>
      </c>
      <c r="V2004" s="215" t="s">
        <v>47</v>
      </c>
      <c r="W2004" s="102" t="s">
        <v>136</v>
      </c>
      <c r="X2004" s="102" t="s">
        <v>137</v>
      </c>
      <c r="Y2004" s="103" t="s">
        <v>138</v>
      </c>
      <c r="Z2004" s="103" t="s">
        <v>139</v>
      </c>
      <c r="AA2004" s="103" t="s">
        <v>47</v>
      </c>
      <c r="AB2004" s="103" t="s">
        <v>140</v>
      </c>
      <c r="AC2004" s="104" t="s">
        <v>141</v>
      </c>
    </row>
    <row r="2005" spans="1:29" ht="25.5" customHeight="1" x14ac:dyDescent="0.35">
      <c r="A2005" s="188"/>
      <c r="B2005" s="190"/>
      <c r="C2005" s="99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0"/>
      <c r="E2005" s="78" t="str">
        <f>IF(C2005="","",IFERROR(VLOOKUP(C2005,parametros!$A$11:$E$15,5,0),""))</f>
        <v/>
      </c>
      <c r="F2005" s="79" t="str">
        <f t="shared" si="157"/>
        <v/>
      </c>
      <c r="G2005" s="101"/>
      <c r="H2005" s="91">
        <f t="shared" si="158"/>
        <v>0</v>
      </c>
      <c r="I2005" s="91" t="str">
        <f t="shared" si="159"/>
        <v/>
      </c>
      <c r="J2005" s="91" t="str">
        <f t="shared" si="160"/>
        <v/>
      </c>
      <c r="K2005" s="92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2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58"/>
      <c r="U2005" s="217" t="str">
        <f t="shared" si="161"/>
        <v/>
      </c>
      <c r="V2005" s="215" t="s">
        <v>47</v>
      </c>
      <c r="W2005" s="102" t="s">
        <v>136</v>
      </c>
      <c r="X2005" s="102" t="s">
        <v>137</v>
      </c>
      <c r="Y2005" s="103" t="s">
        <v>138</v>
      </c>
      <c r="Z2005" s="103" t="s">
        <v>139</v>
      </c>
      <c r="AA2005" s="103" t="s">
        <v>47</v>
      </c>
      <c r="AB2005" s="103" t="s">
        <v>140</v>
      </c>
      <c r="AC2005" s="104" t="s">
        <v>141</v>
      </c>
    </row>
    <row r="2006" spans="1:29" ht="25.5" customHeight="1" x14ac:dyDescent="0.35">
      <c r="A2006" s="188"/>
      <c r="B2006" s="190"/>
      <c r="C2006" s="99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0"/>
      <c r="E2006" s="78" t="str">
        <f>IF(C2006="","",IFERROR(VLOOKUP(C2006,parametros!$A$11:$E$15,5,0),""))</f>
        <v/>
      </c>
      <c r="F2006" s="79" t="str">
        <f t="shared" si="157"/>
        <v/>
      </c>
      <c r="G2006" s="101"/>
      <c r="H2006" s="91">
        <f t="shared" si="158"/>
        <v>0</v>
      </c>
      <c r="I2006" s="91" t="str">
        <f t="shared" si="159"/>
        <v/>
      </c>
      <c r="J2006" s="91" t="str">
        <f t="shared" si="160"/>
        <v/>
      </c>
      <c r="K2006" s="92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2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58"/>
      <c r="U2006" s="217" t="str">
        <f t="shared" si="161"/>
        <v/>
      </c>
      <c r="V2006" s="215" t="s">
        <v>47</v>
      </c>
      <c r="W2006" s="102" t="s">
        <v>136</v>
      </c>
      <c r="X2006" s="102" t="s">
        <v>137</v>
      </c>
      <c r="Y2006" s="103" t="s">
        <v>138</v>
      </c>
      <c r="Z2006" s="103" t="s">
        <v>139</v>
      </c>
      <c r="AA2006" s="103" t="s">
        <v>47</v>
      </c>
      <c r="AB2006" s="103" t="s">
        <v>140</v>
      </c>
      <c r="AC2006" s="104" t="s">
        <v>141</v>
      </c>
    </row>
    <row r="2007" spans="1:29" ht="25.5" customHeight="1" x14ac:dyDescent="0.35">
      <c r="A2007" s="188"/>
      <c r="B2007" s="190"/>
      <c r="C2007" s="99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0"/>
      <c r="E2007" s="78" t="str">
        <f>IF(C2007="","",IFERROR(VLOOKUP(C2007,parametros!$A$11:$E$15,5,0),""))</f>
        <v/>
      </c>
      <c r="F2007" s="79" t="str">
        <f t="shared" si="157"/>
        <v/>
      </c>
      <c r="G2007" s="101"/>
      <c r="H2007" s="91">
        <f t="shared" si="158"/>
        <v>0</v>
      </c>
      <c r="I2007" s="91" t="str">
        <f t="shared" si="159"/>
        <v/>
      </c>
      <c r="J2007" s="91" t="str">
        <f t="shared" si="160"/>
        <v/>
      </c>
      <c r="K2007" s="92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2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58"/>
      <c r="U2007" s="217" t="str">
        <f t="shared" si="161"/>
        <v/>
      </c>
      <c r="V2007" s="215" t="s">
        <v>47</v>
      </c>
      <c r="W2007" s="102" t="s">
        <v>136</v>
      </c>
      <c r="X2007" s="102" t="s">
        <v>137</v>
      </c>
      <c r="Y2007" s="103" t="s">
        <v>138</v>
      </c>
      <c r="Z2007" s="103" t="s">
        <v>139</v>
      </c>
      <c r="AA2007" s="103" t="s">
        <v>47</v>
      </c>
      <c r="AB2007" s="103" t="s">
        <v>140</v>
      </c>
      <c r="AC2007" s="104" t="s">
        <v>141</v>
      </c>
    </row>
    <row r="2008" spans="1:29" ht="25.5" customHeight="1" x14ac:dyDescent="0.35">
      <c r="A2008" s="188"/>
      <c r="B2008" s="190"/>
      <c r="C2008" s="99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0"/>
      <c r="E2008" s="78" t="str">
        <f>IF(C2008="","",IFERROR(VLOOKUP(C2008,parametros!$A$11:$E$15,5,0),""))</f>
        <v/>
      </c>
      <c r="F2008" s="79" t="str">
        <f t="shared" si="157"/>
        <v/>
      </c>
      <c r="G2008" s="101"/>
      <c r="H2008" s="91">
        <f t="shared" si="158"/>
        <v>0</v>
      </c>
      <c r="I2008" s="91" t="str">
        <f t="shared" si="159"/>
        <v/>
      </c>
      <c r="J2008" s="91" t="str">
        <f t="shared" si="160"/>
        <v/>
      </c>
      <c r="K2008" s="92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2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58"/>
      <c r="U2008" s="217" t="str">
        <f t="shared" si="161"/>
        <v/>
      </c>
      <c r="V2008" s="215" t="s">
        <v>47</v>
      </c>
      <c r="W2008" s="102" t="s">
        <v>136</v>
      </c>
      <c r="X2008" s="102" t="s">
        <v>137</v>
      </c>
      <c r="Y2008" s="103" t="s">
        <v>138</v>
      </c>
      <c r="Z2008" s="103" t="s">
        <v>139</v>
      </c>
      <c r="AA2008" s="103" t="s">
        <v>47</v>
      </c>
      <c r="AB2008" s="103" t="s">
        <v>140</v>
      </c>
      <c r="AC2008" s="104" t="s">
        <v>141</v>
      </c>
    </row>
    <row r="2009" spans="1:29" ht="25.5" customHeight="1" x14ac:dyDescent="0.35">
      <c r="A2009" s="188"/>
      <c r="B2009" s="190"/>
      <c r="C2009" s="99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0"/>
      <c r="E2009" s="78" t="str">
        <f>IF(C2009="","",IFERROR(VLOOKUP(C2009,parametros!$A$11:$E$15,5,0),""))</f>
        <v/>
      </c>
      <c r="F2009" s="79" t="str">
        <f t="shared" si="157"/>
        <v/>
      </c>
      <c r="G2009" s="101"/>
      <c r="H2009" s="91">
        <f t="shared" si="158"/>
        <v>0</v>
      </c>
      <c r="I2009" s="91" t="str">
        <f t="shared" si="159"/>
        <v/>
      </c>
      <c r="J2009" s="91" t="str">
        <f t="shared" si="160"/>
        <v/>
      </c>
      <c r="K2009" s="92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2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58"/>
      <c r="U2009" s="217" t="str">
        <f t="shared" si="161"/>
        <v/>
      </c>
      <c r="V2009" s="215" t="s">
        <v>47</v>
      </c>
      <c r="W2009" s="102" t="s">
        <v>136</v>
      </c>
      <c r="X2009" s="102" t="s">
        <v>137</v>
      </c>
      <c r="Y2009" s="103" t="s">
        <v>138</v>
      </c>
      <c r="Z2009" s="103" t="s">
        <v>139</v>
      </c>
      <c r="AA2009" s="103" t="s">
        <v>47</v>
      </c>
      <c r="AB2009" s="103" t="s">
        <v>140</v>
      </c>
      <c r="AC2009" s="104" t="s">
        <v>141</v>
      </c>
    </row>
    <row r="2010" spans="1:29" ht="25.5" customHeight="1" x14ac:dyDescent="0.35">
      <c r="A2010" s="188"/>
      <c r="B2010" s="190"/>
      <c r="C2010" s="99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0"/>
      <c r="E2010" s="78" t="str">
        <f>IF(C2010="","",IFERROR(VLOOKUP(C2010,parametros!$A$11:$E$15,5,0),""))</f>
        <v/>
      </c>
      <c r="F2010" s="79" t="str">
        <f t="shared" si="157"/>
        <v/>
      </c>
      <c r="G2010" s="101"/>
      <c r="H2010" s="91">
        <f t="shared" si="158"/>
        <v>0</v>
      </c>
      <c r="I2010" s="91" t="str">
        <f t="shared" si="159"/>
        <v/>
      </c>
      <c r="J2010" s="91" t="str">
        <f t="shared" si="160"/>
        <v/>
      </c>
      <c r="K2010" s="92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2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58"/>
      <c r="U2010" s="217" t="str">
        <f t="shared" si="161"/>
        <v/>
      </c>
      <c r="V2010" s="215" t="s">
        <v>47</v>
      </c>
      <c r="W2010" s="102" t="s">
        <v>136</v>
      </c>
      <c r="X2010" s="102" t="s">
        <v>137</v>
      </c>
      <c r="Y2010" s="103" t="s">
        <v>138</v>
      </c>
      <c r="Z2010" s="103" t="s">
        <v>139</v>
      </c>
      <c r="AA2010" s="103" t="s">
        <v>47</v>
      </c>
      <c r="AB2010" s="103" t="s">
        <v>140</v>
      </c>
      <c r="AC2010" s="104" t="s">
        <v>141</v>
      </c>
    </row>
    <row r="2011" spans="1:29" ht="25.5" customHeight="1" x14ac:dyDescent="0.35">
      <c r="A2011" s="188"/>
      <c r="B2011" s="190"/>
      <c r="C2011" s="99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0"/>
      <c r="E2011" s="78" t="str">
        <f>IF(C2011="","",IFERROR(VLOOKUP(C2011,parametros!$A$11:$E$15,5,0),""))</f>
        <v/>
      </c>
      <c r="F2011" s="79" t="str">
        <f t="shared" si="157"/>
        <v/>
      </c>
      <c r="G2011" s="101"/>
      <c r="H2011" s="91">
        <f t="shared" si="158"/>
        <v>0</v>
      </c>
      <c r="I2011" s="91" t="str">
        <f t="shared" si="159"/>
        <v/>
      </c>
      <c r="J2011" s="91" t="str">
        <f t="shared" si="160"/>
        <v/>
      </c>
      <c r="K2011" s="92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2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58"/>
      <c r="U2011" s="217" t="str">
        <f t="shared" si="161"/>
        <v/>
      </c>
      <c r="V2011" s="215" t="s">
        <v>47</v>
      </c>
      <c r="W2011" s="102" t="s">
        <v>136</v>
      </c>
      <c r="X2011" s="102" t="s">
        <v>137</v>
      </c>
      <c r="Y2011" s="103" t="s">
        <v>138</v>
      </c>
      <c r="Z2011" s="103" t="s">
        <v>139</v>
      </c>
      <c r="AA2011" s="103" t="s">
        <v>47</v>
      </c>
      <c r="AB2011" s="103" t="s">
        <v>140</v>
      </c>
      <c r="AC2011" s="104" t="s">
        <v>141</v>
      </c>
    </row>
    <row r="2012" spans="1:29" ht="25.5" customHeight="1" x14ac:dyDescent="0.35">
      <c r="A2012" s="188"/>
      <c r="B2012" s="190"/>
      <c r="C2012" s="99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0"/>
      <c r="E2012" s="78" t="str">
        <f>IF(C2012="","",IFERROR(VLOOKUP(C2012,parametros!$A$11:$E$15,5,0),""))</f>
        <v/>
      </c>
      <c r="F2012" s="79" t="str">
        <f t="shared" si="157"/>
        <v/>
      </c>
      <c r="G2012" s="101"/>
      <c r="H2012" s="91">
        <f t="shared" si="158"/>
        <v>0</v>
      </c>
      <c r="I2012" s="91" t="str">
        <f t="shared" si="159"/>
        <v/>
      </c>
      <c r="J2012" s="91" t="str">
        <f t="shared" si="160"/>
        <v/>
      </c>
      <c r="K2012" s="92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2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58"/>
      <c r="U2012" s="217" t="str">
        <f t="shared" si="161"/>
        <v/>
      </c>
      <c r="V2012" s="215" t="s">
        <v>47</v>
      </c>
      <c r="W2012" s="102" t="s">
        <v>136</v>
      </c>
      <c r="X2012" s="102" t="s">
        <v>137</v>
      </c>
      <c r="Y2012" s="103" t="s">
        <v>138</v>
      </c>
      <c r="Z2012" s="103" t="s">
        <v>139</v>
      </c>
      <c r="AA2012" s="103" t="s">
        <v>47</v>
      </c>
      <c r="AB2012" s="103" t="s">
        <v>140</v>
      </c>
      <c r="AC2012" s="104" t="s">
        <v>141</v>
      </c>
    </row>
    <row r="2013" spans="1:29" ht="25.5" customHeight="1" x14ac:dyDescent="0.35">
      <c r="A2013" s="188"/>
      <c r="B2013" s="190"/>
      <c r="C2013" s="99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0"/>
      <c r="E2013" s="78" t="str">
        <f>IF(C2013="","",IFERROR(VLOOKUP(C2013,parametros!$A$11:$E$15,5,0),""))</f>
        <v/>
      </c>
      <c r="F2013" s="79" t="str">
        <f t="shared" si="157"/>
        <v/>
      </c>
      <c r="G2013" s="101"/>
      <c r="H2013" s="91">
        <f t="shared" si="158"/>
        <v>0</v>
      </c>
      <c r="I2013" s="91" t="str">
        <f t="shared" si="159"/>
        <v/>
      </c>
      <c r="J2013" s="91" t="str">
        <f t="shared" si="160"/>
        <v/>
      </c>
      <c r="K2013" s="92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2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58"/>
      <c r="U2013" s="217" t="str">
        <f t="shared" si="161"/>
        <v/>
      </c>
      <c r="V2013" s="215" t="s">
        <v>47</v>
      </c>
      <c r="W2013" s="102" t="s">
        <v>136</v>
      </c>
      <c r="X2013" s="102" t="s">
        <v>137</v>
      </c>
      <c r="Y2013" s="103" t="s">
        <v>138</v>
      </c>
      <c r="Z2013" s="103" t="s">
        <v>139</v>
      </c>
      <c r="AA2013" s="103" t="s">
        <v>47</v>
      </c>
      <c r="AB2013" s="103" t="s">
        <v>140</v>
      </c>
      <c r="AC2013" s="104" t="s">
        <v>141</v>
      </c>
    </row>
    <row r="2014" spans="1:29" ht="25.5" customHeight="1" x14ac:dyDescent="0.35">
      <c r="A2014" s="188"/>
      <c r="B2014" s="190"/>
      <c r="C2014" s="99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0"/>
      <c r="E2014" s="78" t="str">
        <f>IF(C2014="","",IFERROR(VLOOKUP(C2014,parametros!$A$11:$E$15,5,0),""))</f>
        <v/>
      </c>
      <c r="F2014" s="79" t="str">
        <f t="shared" si="157"/>
        <v/>
      </c>
      <c r="G2014" s="101"/>
      <c r="H2014" s="91">
        <f t="shared" si="158"/>
        <v>0</v>
      </c>
      <c r="I2014" s="91" t="str">
        <f t="shared" si="159"/>
        <v/>
      </c>
      <c r="J2014" s="91" t="str">
        <f t="shared" si="160"/>
        <v/>
      </c>
      <c r="K2014" s="92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2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58"/>
      <c r="U2014" s="217" t="str">
        <f t="shared" si="161"/>
        <v/>
      </c>
      <c r="V2014" s="215" t="s">
        <v>47</v>
      </c>
      <c r="W2014" s="102" t="s">
        <v>136</v>
      </c>
      <c r="X2014" s="102" t="s">
        <v>137</v>
      </c>
      <c r="Y2014" s="103" t="s">
        <v>138</v>
      </c>
      <c r="Z2014" s="103" t="s">
        <v>139</v>
      </c>
      <c r="AA2014" s="103" t="s">
        <v>47</v>
      </c>
      <c r="AB2014" s="103" t="s">
        <v>140</v>
      </c>
      <c r="AC2014" s="104" t="s">
        <v>141</v>
      </c>
    </row>
    <row r="2015" spans="1:29" ht="25.5" customHeight="1" x14ac:dyDescent="0.35">
      <c r="A2015" s="188"/>
      <c r="B2015" s="190"/>
      <c r="C2015" s="99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0"/>
      <c r="E2015" s="78" t="str">
        <f>IF(C2015="","",IFERROR(VLOOKUP(C2015,parametros!$A$11:$E$15,5,0),""))</f>
        <v/>
      </c>
      <c r="F2015" s="79" t="str">
        <f t="shared" si="157"/>
        <v/>
      </c>
      <c r="G2015" s="101"/>
      <c r="H2015" s="91">
        <f t="shared" si="158"/>
        <v>0</v>
      </c>
      <c r="I2015" s="91" t="str">
        <f t="shared" si="159"/>
        <v/>
      </c>
      <c r="J2015" s="91" t="str">
        <f t="shared" si="160"/>
        <v/>
      </c>
      <c r="K2015" s="92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2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58"/>
      <c r="U2015" s="217" t="str">
        <f t="shared" si="161"/>
        <v/>
      </c>
      <c r="V2015" s="215" t="s">
        <v>47</v>
      </c>
      <c r="W2015" s="102" t="s">
        <v>136</v>
      </c>
      <c r="X2015" s="102" t="s">
        <v>137</v>
      </c>
      <c r="Y2015" s="103" t="s">
        <v>138</v>
      </c>
      <c r="Z2015" s="103" t="s">
        <v>139</v>
      </c>
      <c r="AA2015" s="103" t="s">
        <v>47</v>
      </c>
      <c r="AB2015" s="103" t="s">
        <v>140</v>
      </c>
      <c r="AC2015" s="104" t="s">
        <v>141</v>
      </c>
    </row>
    <row r="2016" spans="1:29" ht="25.5" customHeight="1" x14ac:dyDescent="0.35">
      <c r="A2016" s="188"/>
      <c r="B2016" s="190"/>
      <c r="C2016" s="99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0"/>
      <c r="E2016" s="78" t="str">
        <f>IF(C2016="","",IFERROR(VLOOKUP(C2016,parametros!$A$11:$E$15,5,0),""))</f>
        <v/>
      </c>
      <c r="F2016" s="79" t="str">
        <f t="shared" si="157"/>
        <v/>
      </c>
      <c r="G2016" s="101"/>
      <c r="H2016" s="91">
        <f t="shared" si="158"/>
        <v>0</v>
      </c>
      <c r="I2016" s="91" t="str">
        <f t="shared" si="159"/>
        <v/>
      </c>
      <c r="J2016" s="91" t="str">
        <f t="shared" si="160"/>
        <v/>
      </c>
      <c r="K2016" s="92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2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58"/>
      <c r="U2016" s="217" t="str">
        <f t="shared" si="161"/>
        <v/>
      </c>
      <c r="V2016" s="215" t="s">
        <v>47</v>
      </c>
      <c r="W2016" s="102" t="s">
        <v>136</v>
      </c>
      <c r="X2016" s="102" t="s">
        <v>137</v>
      </c>
      <c r="Y2016" s="103" t="s">
        <v>138</v>
      </c>
      <c r="Z2016" s="103" t="s">
        <v>139</v>
      </c>
      <c r="AA2016" s="103" t="s">
        <v>47</v>
      </c>
      <c r="AB2016" s="103" t="s">
        <v>140</v>
      </c>
      <c r="AC2016" s="104" t="s">
        <v>141</v>
      </c>
    </row>
    <row r="2017" spans="1:29" ht="25.5" customHeight="1" x14ac:dyDescent="0.35">
      <c r="A2017" s="188"/>
      <c r="B2017" s="190"/>
      <c r="C2017" s="99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0"/>
      <c r="E2017" s="78" t="str">
        <f>IF(C2017="","",IFERROR(VLOOKUP(C2017,parametros!$A$11:$E$15,5,0),""))</f>
        <v/>
      </c>
      <c r="F2017" s="79" t="str">
        <f t="shared" si="157"/>
        <v/>
      </c>
      <c r="G2017" s="101"/>
      <c r="H2017" s="91">
        <f t="shared" si="158"/>
        <v>0</v>
      </c>
      <c r="I2017" s="91" t="str">
        <f t="shared" si="159"/>
        <v/>
      </c>
      <c r="J2017" s="91" t="str">
        <f t="shared" si="160"/>
        <v/>
      </c>
      <c r="K2017" s="92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2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58"/>
      <c r="U2017" s="217" t="str">
        <f t="shared" si="161"/>
        <v/>
      </c>
      <c r="V2017" s="215" t="s">
        <v>47</v>
      </c>
      <c r="W2017" s="102" t="s">
        <v>136</v>
      </c>
      <c r="X2017" s="102" t="s">
        <v>137</v>
      </c>
      <c r="Y2017" s="103" t="s">
        <v>138</v>
      </c>
      <c r="Z2017" s="103" t="s">
        <v>139</v>
      </c>
      <c r="AA2017" s="103" t="s">
        <v>47</v>
      </c>
      <c r="AB2017" s="103" t="s">
        <v>140</v>
      </c>
      <c r="AC2017" s="104" t="s">
        <v>141</v>
      </c>
    </row>
    <row r="2018" spans="1:29" ht="25.5" customHeight="1" x14ac:dyDescent="0.35">
      <c r="A2018" s="188"/>
      <c r="B2018" s="190"/>
      <c r="C2018" s="99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0"/>
      <c r="E2018" s="78" t="str">
        <f>IF(C2018="","",IFERROR(VLOOKUP(C2018,parametros!$A$11:$E$15,5,0),""))</f>
        <v/>
      </c>
      <c r="F2018" s="79" t="str">
        <f t="shared" si="157"/>
        <v/>
      </c>
      <c r="G2018" s="101"/>
      <c r="H2018" s="91">
        <f t="shared" si="158"/>
        <v>0</v>
      </c>
      <c r="I2018" s="91" t="str">
        <f t="shared" si="159"/>
        <v/>
      </c>
      <c r="J2018" s="91" t="str">
        <f t="shared" si="160"/>
        <v/>
      </c>
      <c r="K2018" s="92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2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58"/>
      <c r="U2018" s="217" t="str">
        <f t="shared" si="161"/>
        <v/>
      </c>
      <c r="V2018" s="215" t="s">
        <v>47</v>
      </c>
      <c r="W2018" s="102" t="s">
        <v>136</v>
      </c>
      <c r="X2018" s="102" t="s">
        <v>137</v>
      </c>
      <c r="Y2018" s="103" t="s">
        <v>138</v>
      </c>
      <c r="Z2018" s="103" t="s">
        <v>139</v>
      </c>
      <c r="AA2018" s="103" t="s">
        <v>47</v>
      </c>
      <c r="AB2018" s="103" t="s">
        <v>140</v>
      </c>
      <c r="AC2018" s="104" t="s">
        <v>141</v>
      </c>
    </row>
    <row r="2019" spans="1:29" ht="25.5" customHeight="1" x14ac:dyDescent="0.35">
      <c r="A2019" s="188"/>
      <c r="B2019" s="190"/>
      <c r="C2019" s="99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0"/>
      <c r="E2019" s="78" t="str">
        <f>IF(C2019="","",IFERROR(VLOOKUP(C2019,parametros!$A$11:$E$15,5,0),""))</f>
        <v/>
      </c>
      <c r="F2019" s="79" t="str">
        <f t="shared" si="157"/>
        <v/>
      </c>
      <c r="G2019" s="101"/>
      <c r="H2019" s="91">
        <f t="shared" si="158"/>
        <v>0</v>
      </c>
      <c r="I2019" s="91" t="str">
        <f t="shared" si="159"/>
        <v/>
      </c>
      <c r="J2019" s="91" t="str">
        <f t="shared" si="160"/>
        <v/>
      </c>
      <c r="K2019" s="92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2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58"/>
      <c r="U2019" s="217" t="str">
        <f t="shared" si="161"/>
        <v/>
      </c>
      <c r="V2019" s="215" t="s">
        <v>47</v>
      </c>
      <c r="W2019" s="102" t="s">
        <v>136</v>
      </c>
      <c r="X2019" s="102" t="s">
        <v>137</v>
      </c>
      <c r="Y2019" s="103" t="s">
        <v>138</v>
      </c>
      <c r="Z2019" s="103" t="s">
        <v>139</v>
      </c>
      <c r="AA2019" s="103" t="s">
        <v>47</v>
      </c>
      <c r="AB2019" s="103" t="s">
        <v>140</v>
      </c>
      <c r="AC2019" s="104" t="s">
        <v>141</v>
      </c>
    </row>
    <row r="2020" spans="1:29" ht="25.5" customHeight="1" x14ac:dyDescent="0.35">
      <c r="A2020" s="188"/>
      <c r="B2020" s="190"/>
      <c r="C2020" s="99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0"/>
      <c r="E2020" s="78" t="str">
        <f>IF(C2020="","",IFERROR(VLOOKUP(C2020,parametros!$A$11:$E$15,5,0),""))</f>
        <v/>
      </c>
      <c r="F2020" s="79" t="str">
        <f t="shared" si="157"/>
        <v/>
      </c>
      <c r="G2020" s="101"/>
      <c r="H2020" s="91">
        <f t="shared" si="158"/>
        <v>0</v>
      </c>
      <c r="I2020" s="91" t="str">
        <f t="shared" si="159"/>
        <v/>
      </c>
      <c r="J2020" s="91" t="str">
        <f t="shared" si="160"/>
        <v/>
      </c>
      <c r="K2020" s="92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2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58"/>
      <c r="U2020" s="217" t="str">
        <f t="shared" si="161"/>
        <v/>
      </c>
      <c r="V2020" s="215" t="s">
        <v>47</v>
      </c>
      <c r="W2020" s="102" t="s">
        <v>136</v>
      </c>
      <c r="X2020" s="102" t="s">
        <v>137</v>
      </c>
      <c r="Y2020" s="103" t="s">
        <v>138</v>
      </c>
      <c r="Z2020" s="103" t="s">
        <v>139</v>
      </c>
      <c r="AA2020" s="103" t="s">
        <v>47</v>
      </c>
      <c r="AB2020" s="103" t="s">
        <v>140</v>
      </c>
      <c r="AC2020" s="104" t="s">
        <v>141</v>
      </c>
    </row>
    <row r="2021" spans="1:29" ht="25.5" customHeight="1" x14ac:dyDescent="0.35">
      <c r="A2021" s="188"/>
      <c r="B2021" s="190"/>
      <c r="C2021" s="99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0"/>
      <c r="E2021" s="78" t="str">
        <f>IF(C2021="","",IFERROR(VLOOKUP(C2021,parametros!$A$11:$E$15,5,0),""))</f>
        <v/>
      </c>
      <c r="F2021" s="79" t="str">
        <f t="shared" si="157"/>
        <v/>
      </c>
      <c r="G2021" s="101"/>
      <c r="H2021" s="91">
        <f t="shared" si="158"/>
        <v>0</v>
      </c>
      <c r="I2021" s="91" t="str">
        <f t="shared" si="159"/>
        <v/>
      </c>
      <c r="J2021" s="91" t="str">
        <f t="shared" si="160"/>
        <v/>
      </c>
      <c r="K2021" s="92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2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58"/>
      <c r="U2021" s="217" t="str">
        <f t="shared" si="161"/>
        <v/>
      </c>
      <c r="V2021" s="215" t="s">
        <v>47</v>
      </c>
      <c r="W2021" s="102" t="s">
        <v>136</v>
      </c>
      <c r="X2021" s="102" t="s">
        <v>137</v>
      </c>
      <c r="Y2021" s="103" t="s">
        <v>138</v>
      </c>
      <c r="Z2021" s="103" t="s">
        <v>139</v>
      </c>
      <c r="AA2021" s="103" t="s">
        <v>47</v>
      </c>
      <c r="AB2021" s="103" t="s">
        <v>140</v>
      </c>
      <c r="AC2021" s="104" t="s">
        <v>141</v>
      </c>
    </row>
    <row r="2022" spans="1:29" ht="25.5" customHeight="1" x14ac:dyDescent="0.35">
      <c r="A2022" s="188"/>
      <c r="B2022" s="190"/>
      <c r="C2022" s="99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0"/>
      <c r="E2022" s="78" t="str">
        <f>IF(C2022="","",IFERROR(VLOOKUP(C2022,parametros!$A$11:$E$15,5,0),""))</f>
        <v/>
      </c>
      <c r="F2022" s="79" t="str">
        <f t="shared" si="157"/>
        <v/>
      </c>
      <c r="G2022" s="101"/>
      <c r="H2022" s="91">
        <f t="shared" si="158"/>
        <v>0</v>
      </c>
      <c r="I2022" s="91" t="str">
        <f t="shared" si="159"/>
        <v/>
      </c>
      <c r="J2022" s="91" t="str">
        <f t="shared" si="160"/>
        <v/>
      </c>
      <c r="K2022" s="92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2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58"/>
      <c r="U2022" s="217" t="str">
        <f t="shared" si="161"/>
        <v/>
      </c>
      <c r="V2022" s="215" t="s">
        <v>47</v>
      </c>
      <c r="W2022" s="102" t="s">
        <v>136</v>
      </c>
      <c r="X2022" s="102" t="s">
        <v>137</v>
      </c>
      <c r="Y2022" s="103" t="s">
        <v>138</v>
      </c>
      <c r="Z2022" s="103" t="s">
        <v>139</v>
      </c>
      <c r="AA2022" s="103" t="s">
        <v>47</v>
      </c>
      <c r="AB2022" s="103" t="s">
        <v>140</v>
      </c>
      <c r="AC2022" s="104" t="s">
        <v>141</v>
      </c>
    </row>
    <row r="2023" spans="1:29" ht="25.5" customHeight="1" x14ac:dyDescent="0.35">
      <c r="A2023" s="188"/>
      <c r="B2023" s="190"/>
      <c r="C2023" s="99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0"/>
      <c r="E2023" s="78" t="str">
        <f>IF(C2023="","",IFERROR(VLOOKUP(C2023,parametros!$A$11:$E$15,5,0),""))</f>
        <v/>
      </c>
      <c r="F2023" s="79" t="str">
        <f t="shared" si="157"/>
        <v/>
      </c>
      <c r="G2023" s="101"/>
      <c r="H2023" s="91">
        <f t="shared" si="158"/>
        <v>0</v>
      </c>
      <c r="I2023" s="91" t="str">
        <f t="shared" si="159"/>
        <v/>
      </c>
      <c r="J2023" s="91" t="str">
        <f t="shared" si="160"/>
        <v/>
      </c>
      <c r="K2023" s="92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2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58"/>
      <c r="U2023" s="217" t="str">
        <f t="shared" si="161"/>
        <v/>
      </c>
      <c r="V2023" s="215" t="s">
        <v>47</v>
      </c>
      <c r="W2023" s="102" t="s">
        <v>136</v>
      </c>
      <c r="X2023" s="102" t="s">
        <v>137</v>
      </c>
      <c r="Y2023" s="103" t="s">
        <v>138</v>
      </c>
      <c r="Z2023" s="103" t="s">
        <v>139</v>
      </c>
      <c r="AA2023" s="103" t="s">
        <v>47</v>
      </c>
      <c r="AB2023" s="103" t="s">
        <v>140</v>
      </c>
      <c r="AC2023" s="104" t="s">
        <v>141</v>
      </c>
    </row>
    <row r="2024" spans="1:29" ht="25.5" customHeight="1" x14ac:dyDescent="0.35">
      <c r="A2024" s="188"/>
      <c r="B2024" s="190"/>
      <c r="C2024" s="99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0"/>
      <c r="E2024" s="78" t="str">
        <f>IF(C2024="","",IFERROR(VLOOKUP(C2024,parametros!$A$11:$E$15,5,0),""))</f>
        <v/>
      </c>
      <c r="F2024" s="79" t="str">
        <f t="shared" si="157"/>
        <v/>
      </c>
      <c r="G2024" s="101"/>
      <c r="H2024" s="91">
        <f t="shared" si="158"/>
        <v>0</v>
      </c>
      <c r="I2024" s="91" t="str">
        <f t="shared" si="159"/>
        <v/>
      </c>
      <c r="J2024" s="91" t="str">
        <f t="shared" si="160"/>
        <v/>
      </c>
      <c r="K2024" s="92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2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58"/>
      <c r="U2024" s="217" t="str">
        <f t="shared" si="161"/>
        <v/>
      </c>
      <c r="V2024" s="215" t="s">
        <v>47</v>
      </c>
      <c r="W2024" s="102" t="s">
        <v>136</v>
      </c>
      <c r="X2024" s="102" t="s">
        <v>137</v>
      </c>
      <c r="Y2024" s="103" t="s">
        <v>138</v>
      </c>
      <c r="Z2024" s="103" t="s">
        <v>139</v>
      </c>
      <c r="AA2024" s="103" t="s">
        <v>47</v>
      </c>
      <c r="AB2024" s="103" t="s">
        <v>140</v>
      </c>
      <c r="AC2024" s="104" t="s">
        <v>141</v>
      </c>
    </row>
    <row r="2025" spans="1:29" ht="25.5" customHeight="1" x14ac:dyDescent="0.35">
      <c r="A2025" s="188"/>
      <c r="B2025" s="190"/>
      <c r="C2025" s="99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0"/>
      <c r="E2025" s="78" t="str">
        <f>IF(C2025="","",IFERROR(VLOOKUP(C2025,parametros!$A$11:$E$15,5,0),""))</f>
        <v/>
      </c>
      <c r="F2025" s="79" t="str">
        <f t="shared" si="157"/>
        <v/>
      </c>
      <c r="G2025" s="101"/>
      <c r="H2025" s="91">
        <f t="shared" si="158"/>
        <v>0</v>
      </c>
      <c r="I2025" s="91" t="str">
        <f t="shared" si="159"/>
        <v/>
      </c>
      <c r="J2025" s="91" t="str">
        <f t="shared" si="160"/>
        <v/>
      </c>
      <c r="K2025" s="92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2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58"/>
      <c r="U2025" s="217" t="str">
        <f t="shared" si="161"/>
        <v/>
      </c>
      <c r="V2025" s="215" t="s">
        <v>47</v>
      </c>
      <c r="W2025" s="102" t="s">
        <v>136</v>
      </c>
      <c r="X2025" s="102" t="s">
        <v>137</v>
      </c>
      <c r="Y2025" s="103" t="s">
        <v>138</v>
      </c>
      <c r="Z2025" s="103" t="s">
        <v>139</v>
      </c>
      <c r="AA2025" s="103" t="s">
        <v>47</v>
      </c>
      <c r="AB2025" s="103" t="s">
        <v>140</v>
      </c>
      <c r="AC2025" s="104" t="s">
        <v>141</v>
      </c>
    </row>
    <row r="2026" spans="1:29" ht="25.5" customHeight="1" x14ac:dyDescent="0.35">
      <c r="A2026" s="188"/>
      <c r="B2026" s="190"/>
      <c r="C2026" s="99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0"/>
      <c r="E2026" s="78" t="str">
        <f>IF(C2026="","",IFERROR(VLOOKUP(C2026,parametros!$A$11:$E$15,5,0),""))</f>
        <v/>
      </c>
      <c r="F2026" s="79" t="str">
        <f t="shared" si="157"/>
        <v/>
      </c>
      <c r="G2026" s="101"/>
      <c r="H2026" s="91">
        <f t="shared" si="158"/>
        <v>0</v>
      </c>
      <c r="I2026" s="91" t="str">
        <f t="shared" si="159"/>
        <v/>
      </c>
      <c r="J2026" s="91" t="str">
        <f t="shared" si="160"/>
        <v/>
      </c>
      <c r="K2026" s="92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2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58"/>
      <c r="U2026" s="217" t="str">
        <f t="shared" si="161"/>
        <v/>
      </c>
      <c r="V2026" s="215" t="s">
        <v>47</v>
      </c>
      <c r="W2026" s="102" t="s">
        <v>136</v>
      </c>
      <c r="X2026" s="102" t="s">
        <v>137</v>
      </c>
      <c r="Y2026" s="103" t="s">
        <v>138</v>
      </c>
      <c r="Z2026" s="103" t="s">
        <v>139</v>
      </c>
      <c r="AA2026" s="103" t="s">
        <v>47</v>
      </c>
      <c r="AB2026" s="103" t="s">
        <v>140</v>
      </c>
      <c r="AC2026" s="104" t="s">
        <v>141</v>
      </c>
    </row>
    <row r="2027" spans="1:29" ht="25.5" customHeight="1" x14ac:dyDescent="0.35">
      <c r="A2027" s="188"/>
      <c r="B2027" s="190"/>
      <c r="C2027" s="99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0"/>
      <c r="E2027" s="78" t="str">
        <f>IF(C2027="","",IFERROR(VLOOKUP(C2027,parametros!$A$11:$E$15,5,0),""))</f>
        <v/>
      </c>
      <c r="F2027" s="79" t="str">
        <f t="shared" si="157"/>
        <v/>
      </c>
      <c r="G2027" s="101"/>
      <c r="H2027" s="91">
        <f t="shared" si="158"/>
        <v>0</v>
      </c>
      <c r="I2027" s="91" t="str">
        <f t="shared" si="159"/>
        <v/>
      </c>
      <c r="J2027" s="91" t="str">
        <f t="shared" si="160"/>
        <v/>
      </c>
      <c r="K2027" s="92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2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58"/>
      <c r="U2027" s="217" t="str">
        <f t="shared" si="161"/>
        <v/>
      </c>
      <c r="V2027" s="215" t="s">
        <v>47</v>
      </c>
      <c r="W2027" s="102" t="s">
        <v>136</v>
      </c>
      <c r="X2027" s="102" t="s">
        <v>137</v>
      </c>
      <c r="Y2027" s="103" t="s">
        <v>138</v>
      </c>
      <c r="Z2027" s="103" t="s">
        <v>139</v>
      </c>
      <c r="AA2027" s="103" t="s">
        <v>47</v>
      </c>
      <c r="AB2027" s="103" t="s">
        <v>140</v>
      </c>
      <c r="AC2027" s="104" t="s">
        <v>141</v>
      </c>
    </row>
    <row r="2028" spans="1:29" ht="25.5" customHeight="1" x14ac:dyDescent="0.35">
      <c r="A2028" s="188"/>
      <c r="B2028" s="190"/>
      <c r="C2028" s="99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0"/>
      <c r="E2028" s="78" t="str">
        <f>IF(C2028="","",IFERROR(VLOOKUP(C2028,parametros!$A$11:$E$15,5,0),""))</f>
        <v/>
      </c>
      <c r="F2028" s="79" t="str">
        <f t="shared" si="157"/>
        <v/>
      </c>
      <c r="G2028" s="101"/>
      <c r="H2028" s="91">
        <f t="shared" si="158"/>
        <v>0</v>
      </c>
      <c r="I2028" s="91" t="str">
        <f t="shared" si="159"/>
        <v/>
      </c>
      <c r="J2028" s="91" t="str">
        <f t="shared" si="160"/>
        <v/>
      </c>
      <c r="K2028" s="92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2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58"/>
      <c r="U2028" s="217" t="str">
        <f t="shared" si="161"/>
        <v/>
      </c>
      <c r="V2028" s="215" t="s">
        <v>47</v>
      </c>
      <c r="W2028" s="102" t="s">
        <v>136</v>
      </c>
      <c r="X2028" s="102" t="s">
        <v>137</v>
      </c>
      <c r="Y2028" s="103" t="s">
        <v>138</v>
      </c>
      <c r="Z2028" s="103" t="s">
        <v>139</v>
      </c>
      <c r="AA2028" s="103" t="s">
        <v>47</v>
      </c>
      <c r="AB2028" s="103" t="s">
        <v>140</v>
      </c>
      <c r="AC2028" s="104" t="s">
        <v>141</v>
      </c>
    </row>
    <row r="2029" spans="1:29" ht="25.5" customHeight="1" x14ac:dyDescent="0.35">
      <c r="A2029" s="188"/>
      <c r="B2029" s="190"/>
      <c r="C2029" s="99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0"/>
      <c r="E2029" s="78" t="str">
        <f>IF(C2029="","",IFERROR(VLOOKUP(C2029,parametros!$A$11:$E$15,5,0),""))</f>
        <v/>
      </c>
      <c r="F2029" s="79" t="str">
        <f t="shared" si="157"/>
        <v/>
      </c>
      <c r="G2029" s="101"/>
      <c r="H2029" s="91">
        <f t="shared" si="158"/>
        <v>0</v>
      </c>
      <c r="I2029" s="91" t="str">
        <f t="shared" si="159"/>
        <v/>
      </c>
      <c r="J2029" s="91" t="str">
        <f t="shared" si="160"/>
        <v/>
      </c>
      <c r="K2029" s="92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2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58"/>
      <c r="U2029" s="217" t="str">
        <f t="shared" si="161"/>
        <v/>
      </c>
      <c r="V2029" s="215" t="s">
        <v>47</v>
      </c>
      <c r="W2029" s="102" t="s">
        <v>136</v>
      </c>
      <c r="X2029" s="102" t="s">
        <v>137</v>
      </c>
      <c r="Y2029" s="103" t="s">
        <v>138</v>
      </c>
      <c r="Z2029" s="103" t="s">
        <v>139</v>
      </c>
      <c r="AA2029" s="103" t="s">
        <v>47</v>
      </c>
      <c r="AB2029" s="103" t="s">
        <v>140</v>
      </c>
      <c r="AC2029" s="104" t="s">
        <v>141</v>
      </c>
    </row>
    <row r="2030" spans="1:29" ht="25.5" customHeight="1" x14ac:dyDescent="0.35">
      <c r="A2030" s="188"/>
      <c r="B2030" s="190"/>
      <c r="C2030" s="99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0"/>
      <c r="E2030" s="78" t="str">
        <f>IF(C2030="","",IFERROR(VLOOKUP(C2030,parametros!$A$11:$E$15,5,0),""))</f>
        <v/>
      </c>
      <c r="F2030" s="79" t="str">
        <f t="shared" si="157"/>
        <v/>
      </c>
      <c r="G2030" s="101"/>
      <c r="H2030" s="91">
        <f t="shared" si="158"/>
        <v>0</v>
      </c>
      <c r="I2030" s="91" t="str">
        <f t="shared" si="159"/>
        <v/>
      </c>
      <c r="J2030" s="91" t="str">
        <f t="shared" si="160"/>
        <v/>
      </c>
      <c r="K2030" s="92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2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58"/>
      <c r="U2030" s="217" t="str">
        <f t="shared" si="161"/>
        <v/>
      </c>
      <c r="V2030" s="215" t="s">
        <v>47</v>
      </c>
      <c r="W2030" s="102" t="s">
        <v>136</v>
      </c>
      <c r="X2030" s="102" t="s">
        <v>137</v>
      </c>
      <c r="Y2030" s="103" t="s">
        <v>138</v>
      </c>
      <c r="Z2030" s="103" t="s">
        <v>139</v>
      </c>
      <c r="AA2030" s="103" t="s">
        <v>47</v>
      </c>
      <c r="AB2030" s="103" t="s">
        <v>140</v>
      </c>
      <c r="AC2030" s="104" t="s">
        <v>141</v>
      </c>
    </row>
    <row r="2031" spans="1:29" ht="25.5" customHeight="1" x14ac:dyDescent="0.35">
      <c r="A2031" s="188"/>
      <c r="B2031" s="190"/>
      <c r="C2031" s="99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0"/>
      <c r="E2031" s="78" t="str">
        <f>IF(C2031="","",IFERROR(VLOOKUP(C2031,parametros!$A$11:$E$15,5,0),""))</f>
        <v/>
      </c>
      <c r="F2031" s="79" t="str">
        <f t="shared" si="157"/>
        <v/>
      </c>
      <c r="G2031" s="101"/>
      <c r="H2031" s="91">
        <f t="shared" si="158"/>
        <v>0</v>
      </c>
      <c r="I2031" s="91" t="str">
        <f t="shared" si="159"/>
        <v/>
      </c>
      <c r="J2031" s="91" t="str">
        <f t="shared" si="160"/>
        <v/>
      </c>
      <c r="K2031" s="92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2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58"/>
      <c r="U2031" s="217" t="str">
        <f t="shared" si="161"/>
        <v/>
      </c>
      <c r="V2031" s="215" t="s">
        <v>47</v>
      </c>
      <c r="W2031" s="102" t="s">
        <v>136</v>
      </c>
      <c r="X2031" s="102" t="s">
        <v>137</v>
      </c>
      <c r="Y2031" s="103" t="s">
        <v>138</v>
      </c>
      <c r="Z2031" s="103" t="s">
        <v>139</v>
      </c>
      <c r="AA2031" s="103" t="s">
        <v>47</v>
      </c>
      <c r="AB2031" s="103" t="s">
        <v>140</v>
      </c>
      <c r="AC2031" s="104" t="s">
        <v>141</v>
      </c>
    </row>
    <row r="2032" spans="1:29" ht="25.5" customHeight="1" x14ac:dyDescent="0.35">
      <c r="A2032" s="188"/>
      <c r="B2032" s="190"/>
      <c r="C2032" s="99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0"/>
      <c r="E2032" s="78" t="str">
        <f>IF(C2032="","",IFERROR(VLOOKUP(C2032,parametros!$A$11:$E$15,5,0),""))</f>
        <v/>
      </c>
      <c r="F2032" s="79" t="str">
        <f t="shared" si="157"/>
        <v/>
      </c>
      <c r="G2032" s="101"/>
      <c r="H2032" s="91">
        <f t="shared" si="158"/>
        <v>0</v>
      </c>
      <c r="I2032" s="91" t="str">
        <f t="shared" si="159"/>
        <v/>
      </c>
      <c r="J2032" s="91" t="str">
        <f t="shared" si="160"/>
        <v/>
      </c>
      <c r="K2032" s="92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2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58"/>
      <c r="U2032" s="217" t="str">
        <f t="shared" si="161"/>
        <v/>
      </c>
      <c r="V2032" s="215" t="s">
        <v>47</v>
      </c>
      <c r="W2032" s="102" t="s">
        <v>136</v>
      </c>
      <c r="X2032" s="102" t="s">
        <v>137</v>
      </c>
      <c r="Y2032" s="103" t="s">
        <v>138</v>
      </c>
      <c r="Z2032" s="103" t="s">
        <v>139</v>
      </c>
      <c r="AA2032" s="103" t="s">
        <v>47</v>
      </c>
      <c r="AB2032" s="103" t="s">
        <v>140</v>
      </c>
      <c r="AC2032" s="104" t="s">
        <v>141</v>
      </c>
    </row>
    <row r="2033" spans="1:29" ht="25.5" customHeight="1" x14ac:dyDescent="0.35">
      <c r="A2033" s="188"/>
      <c r="B2033" s="190"/>
      <c r="C2033" s="99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0"/>
      <c r="E2033" s="78" t="str">
        <f>IF(C2033="","",IFERROR(VLOOKUP(C2033,parametros!$A$11:$E$15,5,0),""))</f>
        <v/>
      </c>
      <c r="F2033" s="79" t="str">
        <f t="shared" si="157"/>
        <v/>
      </c>
      <c r="G2033" s="101"/>
      <c r="H2033" s="91">
        <f t="shared" si="158"/>
        <v>0</v>
      </c>
      <c r="I2033" s="91" t="str">
        <f t="shared" si="159"/>
        <v/>
      </c>
      <c r="J2033" s="91" t="str">
        <f t="shared" si="160"/>
        <v/>
      </c>
      <c r="K2033" s="92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2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58"/>
      <c r="U2033" s="217" t="str">
        <f t="shared" si="161"/>
        <v/>
      </c>
      <c r="V2033" s="215" t="s">
        <v>47</v>
      </c>
      <c r="W2033" s="102" t="s">
        <v>136</v>
      </c>
      <c r="X2033" s="102" t="s">
        <v>137</v>
      </c>
      <c r="Y2033" s="103" t="s">
        <v>138</v>
      </c>
      <c r="Z2033" s="103" t="s">
        <v>139</v>
      </c>
      <c r="AA2033" s="103" t="s">
        <v>47</v>
      </c>
      <c r="AB2033" s="103" t="s">
        <v>140</v>
      </c>
      <c r="AC2033" s="104" t="s">
        <v>141</v>
      </c>
    </row>
    <row r="2034" spans="1:29" ht="25.5" customHeight="1" x14ac:dyDescent="0.35">
      <c r="A2034" s="188"/>
      <c r="B2034" s="190"/>
      <c r="C2034" s="99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0"/>
      <c r="E2034" s="78" t="str">
        <f>IF(C2034="","",IFERROR(VLOOKUP(C2034,parametros!$A$11:$E$15,5,0),""))</f>
        <v/>
      </c>
      <c r="F2034" s="79" t="str">
        <f t="shared" si="157"/>
        <v/>
      </c>
      <c r="G2034" s="101"/>
      <c r="H2034" s="91">
        <f t="shared" si="158"/>
        <v>0</v>
      </c>
      <c r="I2034" s="91" t="str">
        <f t="shared" si="159"/>
        <v/>
      </c>
      <c r="J2034" s="91" t="str">
        <f t="shared" si="160"/>
        <v/>
      </c>
      <c r="K2034" s="92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2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58"/>
      <c r="U2034" s="217" t="str">
        <f t="shared" si="161"/>
        <v/>
      </c>
      <c r="V2034" s="215" t="s">
        <v>47</v>
      </c>
      <c r="W2034" s="102" t="s">
        <v>136</v>
      </c>
      <c r="X2034" s="102" t="s">
        <v>137</v>
      </c>
      <c r="Y2034" s="103" t="s">
        <v>138</v>
      </c>
      <c r="Z2034" s="103" t="s">
        <v>139</v>
      </c>
      <c r="AA2034" s="103" t="s">
        <v>47</v>
      </c>
      <c r="AB2034" s="103" t="s">
        <v>140</v>
      </c>
      <c r="AC2034" s="104" t="s">
        <v>141</v>
      </c>
    </row>
    <row r="2035" spans="1:29" ht="25.5" customHeight="1" x14ac:dyDescent="0.35">
      <c r="A2035" s="188"/>
      <c r="B2035" s="190"/>
      <c r="C2035" s="99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0"/>
      <c r="E2035" s="78" t="str">
        <f>IF(C2035="","",IFERROR(VLOOKUP(C2035,parametros!$A$11:$E$15,5,0),""))</f>
        <v/>
      </c>
      <c r="F2035" s="79" t="str">
        <f t="shared" si="157"/>
        <v/>
      </c>
      <c r="G2035" s="101"/>
      <c r="H2035" s="91">
        <f t="shared" si="158"/>
        <v>0</v>
      </c>
      <c r="I2035" s="91" t="str">
        <f t="shared" si="159"/>
        <v/>
      </c>
      <c r="J2035" s="91" t="str">
        <f t="shared" si="160"/>
        <v/>
      </c>
      <c r="K2035" s="92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2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58"/>
      <c r="U2035" s="217" t="str">
        <f t="shared" si="161"/>
        <v/>
      </c>
      <c r="V2035" s="215" t="s">
        <v>47</v>
      </c>
      <c r="W2035" s="102" t="s">
        <v>136</v>
      </c>
      <c r="X2035" s="102" t="s">
        <v>137</v>
      </c>
      <c r="Y2035" s="103" t="s">
        <v>138</v>
      </c>
      <c r="Z2035" s="103" t="s">
        <v>139</v>
      </c>
      <c r="AA2035" s="103" t="s">
        <v>47</v>
      </c>
      <c r="AB2035" s="103" t="s">
        <v>140</v>
      </c>
      <c r="AC2035" s="104" t="s">
        <v>141</v>
      </c>
    </row>
    <row r="2036" spans="1:29" ht="25.5" customHeight="1" x14ac:dyDescent="0.35">
      <c r="A2036" s="188"/>
      <c r="B2036" s="190"/>
      <c r="C2036" s="99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0"/>
      <c r="E2036" s="78" t="str">
        <f>IF(C2036="","",IFERROR(VLOOKUP(C2036,parametros!$A$11:$E$15,5,0),""))</f>
        <v/>
      </c>
      <c r="F2036" s="79" t="str">
        <f t="shared" si="157"/>
        <v/>
      </c>
      <c r="G2036" s="101"/>
      <c r="H2036" s="91">
        <f t="shared" si="158"/>
        <v>0</v>
      </c>
      <c r="I2036" s="91" t="str">
        <f t="shared" si="159"/>
        <v/>
      </c>
      <c r="J2036" s="91" t="str">
        <f t="shared" si="160"/>
        <v/>
      </c>
      <c r="K2036" s="92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2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58"/>
      <c r="U2036" s="217" t="str">
        <f t="shared" si="161"/>
        <v/>
      </c>
      <c r="V2036" s="215" t="s">
        <v>47</v>
      </c>
      <c r="W2036" s="102" t="s">
        <v>136</v>
      </c>
      <c r="X2036" s="102" t="s">
        <v>137</v>
      </c>
      <c r="Y2036" s="103" t="s">
        <v>138</v>
      </c>
      <c r="Z2036" s="103" t="s">
        <v>139</v>
      </c>
      <c r="AA2036" s="103" t="s">
        <v>47</v>
      </c>
      <c r="AB2036" s="103" t="s">
        <v>140</v>
      </c>
      <c r="AC2036" s="104" t="s">
        <v>141</v>
      </c>
    </row>
    <row r="2037" spans="1:29" ht="25.5" customHeight="1" x14ac:dyDescent="0.35">
      <c r="A2037" s="188"/>
      <c r="B2037" s="190"/>
      <c r="C2037" s="99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0"/>
      <c r="E2037" s="78" t="str">
        <f>IF(C2037="","",IFERROR(VLOOKUP(C2037,parametros!$A$11:$E$15,5,0),""))</f>
        <v/>
      </c>
      <c r="F2037" s="79" t="str">
        <f t="shared" si="157"/>
        <v/>
      </c>
      <c r="G2037" s="101"/>
      <c r="H2037" s="91">
        <f t="shared" si="158"/>
        <v>0</v>
      </c>
      <c r="I2037" s="91" t="str">
        <f t="shared" si="159"/>
        <v/>
      </c>
      <c r="J2037" s="91" t="str">
        <f t="shared" si="160"/>
        <v/>
      </c>
      <c r="K2037" s="92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2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58"/>
      <c r="U2037" s="217" t="str">
        <f t="shared" si="161"/>
        <v/>
      </c>
      <c r="V2037" s="215" t="s">
        <v>47</v>
      </c>
      <c r="W2037" s="102" t="s">
        <v>136</v>
      </c>
      <c r="X2037" s="102" t="s">
        <v>137</v>
      </c>
      <c r="Y2037" s="103" t="s">
        <v>138</v>
      </c>
      <c r="Z2037" s="103" t="s">
        <v>139</v>
      </c>
      <c r="AA2037" s="103" t="s">
        <v>47</v>
      </c>
      <c r="AB2037" s="103" t="s">
        <v>140</v>
      </c>
      <c r="AC2037" s="104" t="s">
        <v>141</v>
      </c>
    </row>
    <row r="2038" spans="1:29" ht="25.5" customHeight="1" x14ac:dyDescent="0.35">
      <c r="A2038" s="188"/>
      <c r="B2038" s="190"/>
      <c r="C2038" s="99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0"/>
      <c r="E2038" s="78" t="str">
        <f>IF(C2038="","",IFERROR(VLOOKUP(C2038,parametros!$A$11:$E$15,5,0),""))</f>
        <v/>
      </c>
      <c r="F2038" s="79" t="str">
        <f t="shared" si="157"/>
        <v/>
      </c>
      <c r="G2038" s="101"/>
      <c r="H2038" s="91">
        <f t="shared" si="158"/>
        <v>0</v>
      </c>
      <c r="I2038" s="91" t="str">
        <f t="shared" si="159"/>
        <v/>
      </c>
      <c r="J2038" s="91" t="str">
        <f t="shared" si="160"/>
        <v/>
      </c>
      <c r="K2038" s="92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2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58"/>
      <c r="U2038" s="217" t="str">
        <f t="shared" si="161"/>
        <v/>
      </c>
      <c r="V2038" s="215" t="s">
        <v>47</v>
      </c>
      <c r="W2038" s="102" t="s">
        <v>136</v>
      </c>
      <c r="X2038" s="102" t="s">
        <v>137</v>
      </c>
      <c r="Y2038" s="103" t="s">
        <v>138</v>
      </c>
      <c r="Z2038" s="103" t="s">
        <v>139</v>
      </c>
      <c r="AA2038" s="103" t="s">
        <v>47</v>
      </c>
      <c r="AB2038" s="103" t="s">
        <v>140</v>
      </c>
      <c r="AC2038" s="104" t="s">
        <v>141</v>
      </c>
    </row>
    <row r="2039" spans="1:29" ht="25.5" customHeight="1" x14ac:dyDescent="0.35">
      <c r="A2039" s="188"/>
      <c r="B2039" s="190"/>
      <c r="C2039" s="99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0"/>
      <c r="E2039" s="78" t="str">
        <f>IF(C2039="","",IFERROR(VLOOKUP(C2039,parametros!$A$11:$E$15,5,0),""))</f>
        <v/>
      </c>
      <c r="F2039" s="79" t="str">
        <f t="shared" si="157"/>
        <v/>
      </c>
      <c r="G2039" s="101"/>
      <c r="H2039" s="91">
        <f t="shared" si="158"/>
        <v>0</v>
      </c>
      <c r="I2039" s="91" t="str">
        <f t="shared" si="159"/>
        <v/>
      </c>
      <c r="J2039" s="91" t="str">
        <f t="shared" si="160"/>
        <v/>
      </c>
      <c r="K2039" s="92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2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58"/>
      <c r="U2039" s="217" t="str">
        <f t="shared" si="161"/>
        <v/>
      </c>
      <c r="V2039" s="215" t="s">
        <v>47</v>
      </c>
      <c r="W2039" s="102" t="s">
        <v>136</v>
      </c>
      <c r="X2039" s="102" t="s">
        <v>137</v>
      </c>
      <c r="Y2039" s="103" t="s">
        <v>138</v>
      </c>
      <c r="Z2039" s="103" t="s">
        <v>139</v>
      </c>
      <c r="AA2039" s="103" t="s">
        <v>47</v>
      </c>
      <c r="AB2039" s="103" t="s">
        <v>140</v>
      </c>
      <c r="AC2039" s="104" t="s">
        <v>141</v>
      </c>
    </row>
    <row r="2040" spans="1:29" ht="25.5" customHeight="1" x14ac:dyDescent="0.35">
      <c r="A2040" s="188"/>
      <c r="B2040" s="190"/>
      <c r="C2040" s="99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0"/>
      <c r="E2040" s="78" t="str">
        <f>IF(C2040="","",IFERROR(VLOOKUP(C2040,parametros!$A$11:$E$15,5,0),""))</f>
        <v/>
      </c>
      <c r="F2040" s="79" t="str">
        <f t="shared" si="157"/>
        <v/>
      </c>
      <c r="G2040" s="101"/>
      <c r="H2040" s="91">
        <f t="shared" si="158"/>
        <v>0</v>
      </c>
      <c r="I2040" s="91" t="str">
        <f t="shared" si="159"/>
        <v/>
      </c>
      <c r="J2040" s="91" t="str">
        <f t="shared" si="160"/>
        <v/>
      </c>
      <c r="K2040" s="92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2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58"/>
      <c r="U2040" s="217" t="str">
        <f t="shared" si="161"/>
        <v/>
      </c>
      <c r="V2040" s="215" t="s">
        <v>47</v>
      </c>
      <c r="W2040" s="102" t="s">
        <v>136</v>
      </c>
      <c r="X2040" s="102" t="s">
        <v>137</v>
      </c>
      <c r="Y2040" s="103" t="s">
        <v>138</v>
      </c>
      <c r="Z2040" s="103" t="s">
        <v>139</v>
      </c>
      <c r="AA2040" s="103" t="s">
        <v>47</v>
      </c>
      <c r="AB2040" s="103" t="s">
        <v>140</v>
      </c>
      <c r="AC2040" s="104" t="s">
        <v>141</v>
      </c>
    </row>
    <row r="2041" spans="1:29" ht="25.5" customHeight="1" x14ac:dyDescent="0.35">
      <c r="A2041" s="188"/>
      <c r="B2041" s="190"/>
      <c r="C2041" s="99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0"/>
      <c r="E2041" s="78" t="str">
        <f>IF(C2041="","",IFERROR(VLOOKUP(C2041,parametros!$A$11:$E$15,5,0),""))</f>
        <v/>
      </c>
      <c r="F2041" s="79" t="str">
        <f t="shared" si="157"/>
        <v/>
      </c>
      <c r="G2041" s="101"/>
      <c r="H2041" s="91">
        <f t="shared" si="158"/>
        <v>0</v>
      </c>
      <c r="I2041" s="91" t="str">
        <f t="shared" si="159"/>
        <v/>
      </c>
      <c r="J2041" s="91" t="str">
        <f t="shared" si="160"/>
        <v/>
      </c>
      <c r="K2041" s="92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2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58"/>
      <c r="U2041" s="217" t="str">
        <f t="shared" si="161"/>
        <v/>
      </c>
      <c r="V2041" s="215" t="s">
        <v>47</v>
      </c>
      <c r="W2041" s="102" t="s">
        <v>136</v>
      </c>
      <c r="X2041" s="102" t="s">
        <v>137</v>
      </c>
      <c r="Y2041" s="103" t="s">
        <v>138</v>
      </c>
      <c r="Z2041" s="103" t="s">
        <v>139</v>
      </c>
      <c r="AA2041" s="103" t="s">
        <v>47</v>
      </c>
      <c r="AB2041" s="103" t="s">
        <v>140</v>
      </c>
      <c r="AC2041" s="104" t="s">
        <v>141</v>
      </c>
    </row>
    <row r="2042" spans="1:29" ht="25.5" customHeight="1" x14ac:dyDescent="0.35">
      <c r="A2042" s="188"/>
      <c r="B2042" s="190"/>
      <c r="C2042" s="99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0"/>
      <c r="E2042" s="78" t="str">
        <f>IF(C2042="","",IFERROR(VLOOKUP(C2042,parametros!$A$11:$E$15,5,0),""))</f>
        <v/>
      </c>
      <c r="F2042" s="79" t="str">
        <f t="shared" si="157"/>
        <v/>
      </c>
      <c r="G2042" s="101"/>
      <c r="H2042" s="91">
        <f t="shared" si="158"/>
        <v>0</v>
      </c>
      <c r="I2042" s="91" t="str">
        <f t="shared" si="159"/>
        <v/>
      </c>
      <c r="J2042" s="91" t="str">
        <f t="shared" si="160"/>
        <v/>
      </c>
      <c r="K2042" s="92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2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58"/>
      <c r="U2042" s="217" t="str">
        <f t="shared" si="161"/>
        <v/>
      </c>
      <c r="V2042" s="215" t="s">
        <v>47</v>
      </c>
      <c r="W2042" s="102" t="s">
        <v>136</v>
      </c>
      <c r="X2042" s="102" t="s">
        <v>137</v>
      </c>
      <c r="Y2042" s="103" t="s">
        <v>138</v>
      </c>
      <c r="Z2042" s="103" t="s">
        <v>139</v>
      </c>
      <c r="AA2042" s="103" t="s">
        <v>47</v>
      </c>
      <c r="AB2042" s="103" t="s">
        <v>140</v>
      </c>
      <c r="AC2042" s="104" t="s">
        <v>141</v>
      </c>
    </row>
    <row r="2043" spans="1:29" ht="25.5" customHeight="1" x14ac:dyDescent="0.35">
      <c r="A2043" s="188"/>
      <c r="B2043" s="190"/>
      <c r="C2043" s="99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0"/>
      <c r="E2043" s="78" t="str">
        <f>IF(C2043="","",IFERROR(VLOOKUP(C2043,parametros!$A$11:$E$15,5,0),""))</f>
        <v/>
      </c>
      <c r="F2043" s="79" t="str">
        <f t="shared" si="157"/>
        <v/>
      </c>
      <c r="G2043" s="101"/>
      <c r="H2043" s="91">
        <f t="shared" si="158"/>
        <v>0</v>
      </c>
      <c r="I2043" s="91" t="str">
        <f t="shared" si="159"/>
        <v/>
      </c>
      <c r="J2043" s="91" t="str">
        <f t="shared" si="160"/>
        <v/>
      </c>
      <c r="K2043" s="92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2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58"/>
      <c r="U2043" s="217" t="str">
        <f t="shared" si="161"/>
        <v/>
      </c>
      <c r="V2043" s="215" t="s">
        <v>47</v>
      </c>
      <c r="W2043" s="102" t="s">
        <v>136</v>
      </c>
      <c r="X2043" s="102" t="s">
        <v>137</v>
      </c>
      <c r="Y2043" s="103" t="s">
        <v>138</v>
      </c>
      <c r="Z2043" s="103" t="s">
        <v>139</v>
      </c>
      <c r="AA2043" s="103" t="s">
        <v>47</v>
      </c>
      <c r="AB2043" s="103" t="s">
        <v>140</v>
      </c>
      <c r="AC2043" s="104" t="s">
        <v>141</v>
      </c>
    </row>
    <row r="2044" spans="1:29" ht="25.5" customHeight="1" x14ac:dyDescent="0.35">
      <c r="A2044" s="188"/>
      <c r="B2044" s="190"/>
      <c r="C2044" s="99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0"/>
      <c r="E2044" s="78" t="str">
        <f>IF(C2044="","",IFERROR(VLOOKUP(C2044,parametros!$A$11:$E$15,5,0),""))</f>
        <v/>
      </c>
      <c r="F2044" s="79" t="str">
        <f t="shared" si="157"/>
        <v/>
      </c>
      <c r="G2044" s="101"/>
      <c r="H2044" s="91">
        <f t="shared" si="158"/>
        <v>0</v>
      </c>
      <c r="I2044" s="91" t="str">
        <f t="shared" si="159"/>
        <v/>
      </c>
      <c r="J2044" s="91" t="str">
        <f t="shared" si="160"/>
        <v/>
      </c>
      <c r="K2044" s="92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2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58"/>
      <c r="U2044" s="217" t="str">
        <f t="shared" si="161"/>
        <v/>
      </c>
      <c r="V2044" s="215" t="s">
        <v>47</v>
      </c>
      <c r="W2044" s="102" t="s">
        <v>136</v>
      </c>
      <c r="X2044" s="102" t="s">
        <v>137</v>
      </c>
      <c r="Y2044" s="103" t="s">
        <v>138</v>
      </c>
      <c r="Z2044" s="103" t="s">
        <v>139</v>
      </c>
      <c r="AA2044" s="103" t="s">
        <v>47</v>
      </c>
      <c r="AB2044" s="103" t="s">
        <v>140</v>
      </c>
      <c r="AC2044" s="104" t="s">
        <v>141</v>
      </c>
    </row>
    <row r="2045" spans="1:29" ht="25.5" customHeight="1" x14ac:dyDescent="0.35">
      <c r="A2045" s="188"/>
      <c r="B2045" s="190"/>
      <c r="C2045" s="99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0"/>
      <c r="E2045" s="78" t="str">
        <f>IF(C2045="","",IFERROR(VLOOKUP(C2045,parametros!$A$11:$E$15,5,0),""))</f>
        <v/>
      </c>
      <c r="F2045" s="79" t="str">
        <f t="shared" si="157"/>
        <v/>
      </c>
      <c r="G2045" s="101"/>
      <c r="H2045" s="91">
        <f t="shared" si="158"/>
        <v>0</v>
      </c>
      <c r="I2045" s="91" t="str">
        <f t="shared" si="159"/>
        <v/>
      </c>
      <c r="J2045" s="91" t="str">
        <f t="shared" si="160"/>
        <v/>
      </c>
      <c r="K2045" s="92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2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58"/>
      <c r="U2045" s="217" t="str">
        <f t="shared" si="161"/>
        <v/>
      </c>
      <c r="V2045" s="215" t="s">
        <v>47</v>
      </c>
      <c r="W2045" s="102" t="s">
        <v>136</v>
      </c>
      <c r="X2045" s="102" t="s">
        <v>137</v>
      </c>
      <c r="Y2045" s="103" t="s">
        <v>138</v>
      </c>
      <c r="Z2045" s="103" t="s">
        <v>139</v>
      </c>
      <c r="AA2045" s="103" t="s">
        <v>47</v>
      </c>
      <c r="AB2045" s="103" t="s">
        <v>140</v>
      </c>
      <c r="AC2045" s="104" t="s">
        <v>141</v>
      </c>
    </row>
    <row r="2046" spans="1:29" ht="25.5" customHeight="1" x14ac:dyDescent="0.35">
      <c r="A2046" s="188"/>
      <c r="B2046" s="190"/>
      <c r="C2046" s="99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0"/>
      <c r="E2046" s="78" t="str">
        <f>IF(C2046="","",IFERROR(VLOOKUP(C2046,parametros!$A$11:$E$15,5,0),""))</f>
        <v/>
      </c>
      <c r="F2046" s="79" t="str">
        <f t="shared" si="157"/>
        <v/>
      </c>
      <c r="G2046" s="101"/>
      <c r="H2046" s="91">
        <f t="shared" si="158"/>
        <v>0</v>
      </c>
      <c r="I2046" s="91" t="str">
        <f t="shared" si="159"/>
        <v/>
      </c>
      <c r="J2046" s="91" t="str">
        <f t="shared" si="160"/>
        <v/>
      </c>
      <c r="K2046" s="92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2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58"/>
      <c r="U2046" s="217" t="str">
        <f t="shared" si="161"/>
        <v/>
      </c>
      <c r="V2046" s="215" t="s">
        <v>47</v>
      </c>
      <c r="W2046" s="102" t="s">
        <v>136</v>
      </c>
      <c r="X2046" s="102" t="s">
        <v>137</v>
      </c>
      <c r="Y2046" s="103" t="s">
        <v>138</v>
      </c>
      <c r="Z2046" s="103" t="s">
        <v>139</v>
      </c>
      <c r="AA2046" s="103" t="s">
        <v>47</v>
      </c>
      <c r="AB2046" s="103" t="s">
        <v>140</v>
      </c>
      <c r="AC2046" s="104" t="s">
        <v>141</v>
      </c>
    </row>
    <row r="2047" spans="1:29" ht="25.5" customHeight="1" x14ac:dyDescent="0.35">
      <c r="A2047" s="188"/>
      <c r="B2047" s="190"/>
      <c r="C2047" s="99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0"/>
      <c r="E2047" s="78" t="str">
        <f>IF(C2047="","",IFERROR(VLOOKUP(C2047,parametros!$A$11:$E$15,5,0),""))</f>
        <v/>
      </c>
      <c r="F2047" s="79" t="str">
        <f t="shared" si="157"/>
        <v/>
      </c>
      <c r="G2047" s="101"/>
      <c r="H2047" s="91">
        <f t="shared" si="158"/>
        <v>0</v>
      </c>
      <c r="I2047" s="91" t="str">
        <f t="shared" si="159"/>
        <v/>
      </c>
      <c r="J2047" s="91" t="str">
        <f t="shared" si="160"/>
        <v/>
      </c>
      <c r="K2047" s="92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2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58"/>
      <c r="U2047" s="217" t="str">
        <f t="shared" si="161"/>
        <v/>
      </c>
      <c r="V2047" s="215" t="s">
        <v>47</v>
      </c>
      <c r="W2047" s="102" t="s">
        <v>136</v>
      </c>
      <c r="X2047" s="102" t="s">
        <v>137</v>
      </c>
      <c r="Y2047" s="103" t="s">
        <v>138</v>
      </c>
      <c r="Z2047" s="103" t="s">
        <v>139</v>
      </c>
      <c r="AA2047" s="103" t="s">
        <v>47</v>
      </c>
      <c r="AB2047" s="103" t="s">
        <v>140</v>
      </c>
      <c r="AC2047" s="104" t="s">
        <v>141</v>
      </c>
    </row>
    <row r="2048" spans="1:29" ht="25.5" customHeight="1" x14ac:dyDescent="0.35">
      <c r="A2048" s="188"/>
      <c r="B2048" s="190"/>
      <c r="C2048" s="99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0"/>
      <c r="E2048" s="78" t="str">
        <f>IF(C2048="","",IFERROR(VLOOKUP(C2048,parametros!$A$11:$E$15,5,0),""))</f>
        <v/>
      </c>
      <c r="F2048" s="79" t="str">
        <f t="shared" si="157"/>
        <v/>
      </c>
      <c r="G2048" s="101"/>
      <c r="H2048" s="91">
        <f t="shared" si="158"/>
        <v>0</v>
      </c>
      <c r="I2048" s="91" t="str">
        <f t="shared" si="159"/>
        <v/>
      </c>
      <c r="J2048" s="91" t="str">
        <f t="shared" si="160"/>
        <v/>
      </c>
      <c r="K2048" s="92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2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58"/>
      <c r="U2048" s="217" t="str">
        <f t="shared" si="161"/>
        <v/>
      </c>
      <c r="V2048" s="215" t="s">
        <v>47</v>
      </c>
      <c r="W2048" s="102" t="s">
        <v>136</v>
      </c>
      <c r="X2048" s="102" t="s">
        <v>137</v>
      </c>
      <c r="Y2048" s="103" t="s">
        <v>138</v>
      </c>
      <c r="Z2048" s="103" t="s">
        <v>139</v>
      </c>
      <c r="AA2048" s="103" t="s">
        <v>47</v>
      </c>
      <c r="AB2048" s="103" t="s">
        <v>140</v>
      </c>
      <c r="AC2048" s="104" t="s">
        <v>141</v>
      </c>
    </row>
    <row r="2049" spans="1:29" ht="25.5" customHeight="1" x14ac:dyDescent="0.35">
      <c r="A2049" s="188"/>
      <c r="B2049" s="190"/>
      <c r="C2049" s="99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0"/>
      <c r="E2049" s="78" t="str">
        <f>IF(C2049="","",IFERROR(VLOOKUP(C2049,parametros!$A$11:$E$15,5,0),""))</f>
        <v/>
      </c>
      <c r="F2049" s="79" t="str">
        <f t="shared" si="157"/>
        <v/>
      </c>
      <c r="G2049" s="101"/>
      <c r="H2049" s="91">
        <f t="shared" si="158"/>
        <v>0</v>
      </c>
      <c r="I2049" s="91" t="str">
        <f t="shared" si="159"/>
        <v/>
      </c>
      <c r="J2049" s="91" t="str">
        <f t="shared" si="160"/>
        <v/>
      </c>
      <c r="K2049" s="92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2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58"/>
      <c r="U2049" s="217" t="str">
        <f t="shared" si="161"/>
        <v/>
      </c>
      <c r="V2049" s="215" t="s">
        <v>47</v>
      </c>
      <c r="W2049" s="102" t="s">
        <v>136</v>
      </c>
      <c r="X2049" s="102" t="s">
        <v>137</v>
      </c>
      <c r="Y2049" s="103" t="s">
        <v>138</v>
      </c>
      <c r="Z2049" s="103" t="s">
        <v>139</v>
      </c>
      <c r="AA2049" s="103" t="s">
        <v>47</v>
      </c>
      <c r="AB2049" s="103" t="s">
        <v>140</v>
      </c>
      <c r="AC2049" s="104" t="s">
        <v>141</v>
      </c>
    </row>
    <row r="2050" spans="1:29" ht="25.5" customHeight="1" x14ac:dyDescent="0.35">
      <c r="A2050" s="188"/>
      <c r="B2050" s="190"/>
      <c r="C2050" s="99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0"/>
      <c r="E2050" s="78" t="str">
        <f>IF(C2050="","",IFERROR(VLOOKUP(C2050,parametros!$A$11:$E$15,5,0),""))</f>
        <v/>
      </c>
      <c r="F2050" s="79" t="str">
        <f t="shared" ref="F2050:F2113" si="162">IF(OR(D2050="",E2050=""),"",ROUND(D2050*E2050,2))</f>
        <v/>
      </c>
      <c r="G2050" s="101"/>
      <c r="H2050" s="91">
        <f t="shared" ref="H2050:H2113" si="163">IF(G2050="Sim",IF(OR(F2050="",D2050="",L2050=""),"",IF(L2050="Sim",ROUND(F2050-D2050,2),0)),0)</f>
        <v>0</v>
      </c>
      <c r="I2050" s="91" t="str">
        <f t="shared" ref="I2050:I2113" si="164">IF(G2050="Sim",0,IF(OR(F2050="",L2050=""),"",F2050))</f>
        <v/>
      </c>
      <c r="J2050" s="91" t="str">
        <f t="shared" ref="J2050:J2113" si="165">IF(G2050="Sim",0,IF(OR(F2050="",D2050="",L2050=""),"",IF(L2050="Sim",ROUND(F2050-D2050,2),0)))</f>
        <v/>
      </c>
      <c r="K2050" s="92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2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58"/>
      <c r="U2050" s="217" t="str">
        <f t="shared" ref="U2050:U2113" si="166">IF(OR($D2050="",$H2050=""),"",ROUND($D2050+$H2050,2))</f>
        <v/>
      </c>
      <c r="V2050" s="215" t="s">
        <v>47</v>
      </c>
      <c r="W2050" s="102" t="s">
        <v>136</v>
      </c>
      <c r="X2050" s="102" t="s">
        <v>137</v>
      </c>
      <c r="Y2050" s="103" t="s">
        <v>138</v>
      </c>
      <c r="Z2050" s="103" t="s">
        <v>139</v>
      </c>
      <c r="AA2050" s="103" t="s">
        <v>47</v>
      </c>
      <c r="AB2050" s="103" t="s">
        <v>140</v>
      </c>
      <c r="AC2050" s="104" t="s">
        <v>141</v>
      </c>
    </row>
    <row r="2051" spans="1:29" ht="25.5" customHeight="1" x14ac:dyDescent="0.35">
      <c r="A2051" s="188"/>
      <c r="B2051" s="190"/>
      <c r="C2051" s="99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0"/>
      <c r="E2051" s="78" t="str">
        <f>IF(C2051="","",IFERROR(VLOOKUP(C2051,parametros!$A$11:$E$15,5,0),""))</f>
        <v/>
      </c>
      <c r="F2051" s="79" t="str">
        <f t="shared" si="162"/>
        <v/>
      </c>
      <c r="G2051" s="101"/>
      <c r="H2051" s="91">
        <f t="shared" si="163"/>
        <v>0</v>
      </c>
      <c r="I2051" s="91" t="str">
        <f t="shared" si="164"/>
        <v/>
      </c>
      <c r="J2051" s="91" t="str">
        <f t="shared" si="165"/>
        <v/>
      </c>
      <c r="K2051" s="92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2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58"/>
      <c r="U2051" s="217" t="str">
        <f t="shared" si="166"/>
        <v/>
      </c>
      <c r="V2051" s="215" t="s">
        <v>47</v>
      </c>
      <c r="W2051" s="102" t="s">
        <v>136</v>
      </c>
      <c r="X2051" s="102" t="s">
        <v>137</v>
      </c>
      <c r="Y2051" s="103" t="s">
        <v>138</v>
      </c>
      <c r="Z2051" s="103" t="s">
        <v>139</v>
      </c>
      <c r="AA2051" s="103" t="s">
        <v>47</v>
      </c>
      <c r="AB2051" s="103" t="s">
        <v>140</v>
      </c>
      <c r="AC2051" s="104" t="s">
        <v>141</v>
      </c>
    </row>
    <row r="2052" spans="1:29" ht="25.5" customHeight="1" x14ac:dyDescent="0.35">
      <c r="A2052" s="188"/>
      <c r="B2052" s="190"/>
      <c r="C2052" s="99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0"/>
      <c r="E2052" s="78" t="str">
        <f>IF(C2052="","",IFERROR(VLOOKUP(C2052,parametros!$A$11:$E$15,5,0),""))</f>
        <v/>
      </c>
      <c r="F2052" s="79" t="str">
        <f t="shared" si="162"/>
        <v/>
      </c>
      <c r="G2052" s="101"/>
      <c r="H2052" s="91">
        <f t="shared" si="163"/>
        <v>0</v>
      </c>
      <c r="I2052" s="91" t="str">
        <f t="shared" si="164"/>
        <v/>
      </c>
      <c r="J2052" s="91" t="str">
        <f t="shared" si="165"/>
        <v/>
      </c>
      <c r="K2052" s="92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2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58"/>
      <c r="U2052" s="217" t="str">
        <f t="shared" si="166"/>
        <v/>
      </c>
      <c r="V2052" s="215" t="s">
        <v>47</v>
      </c>
      <c r="W2052" s="102" t="s">
        <v>136</v>
      </c>
      <c r="X2052" s="102" t="s">
        <v>137</v>
      </c>
      <c r="Y2052" s="103" t="s">
        <v>138</v>
      </c>
      <c r="Z2052" s="103" t="s">
        <v>139</v>
      </c>
      <c r="AA2052" s="103" t="s">
        <v>47</v>
      </c>
      <c r="AB2052" s="103" t="s">
        <v>140</v>
      </c>
      <c r="AC2052" s="104" t="s">
        <v>141</v>
      </c>
    </row>
    <row r="2053" spans="1:29" ht="25.5" customHeight="1" x14ac:dyDescent="0.35">
      <c r="A2053" s="188"/>
      <c r="B2053" s="190"/>
      <c r="C2053" s="99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0"/>
      <c r="E2053" s="78" t="str">
        <f>IF(C2053="","",IFERROR(VLOOKUP(C2053,parametros!$A$11:$E$15,5,0),""))</f>
        <v/>
      </c>
      <c r="F2053" s="79" t="str">
        <f t="shared" si="162"/>
        <v/>
      </c>
      <c r="G2053" s="101"/>
      <c r="H2053" s="91">
        <f t="shared" si="163"/>
        <v>0</v>
      </c>
      <c r="I2053" s="91" t="str">
        <f t="shared" si="164"/>
        <v/>
      </c>
      <c r="J2053" s="91" t="str">
        <f t="shared" si="165"/>
        <v/>
      </c>
      <c r="K2053" s="92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2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58"/>
      <c r="U2053" s="217" t="str">
        <f t="shared" si="166"/>
        <v/>
      </c>
      <c r="V2053" s="215" t="s">
        <v>47</v>
      </c>
      <c r="W2053" s="102" t="s">
        <v>136</v>
      </c>
      <c r="X2053" s="102" t="s">
        <v>137</v>
      </c>
      <c r="Y2053" s="103" t="s">
        <v>138</v>
      </c>
      <c r="Z2053" s="103" t="s">
        <v>139</v>
      </c>
      <c r="AA2053" s="103" t="s">
        <v>47</v>
      </c>
      <c r="AB2053" s="103" t="s">
        <v>140</v>
      </c>
      <c r="AC2053" s="104" t="s">
        <v>141</v>
      </c>
    </row>
    <row r="2054" spans="1:29" ht="25.5" customHeight="1" x14ac:dyDescent="0.35">
      <c r="A2054" s="188"/>
      <c r="B2054" s="190"/>
      <c r="C2054" s="99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0"/>
      <c r="E2054" s="78" t="str">
        <f>IF(C2054="","",IFERROR(VLOOKUP(C2054,parametros!$A$11:$E$15,5,0),""))</f>
        <v/>
      </c>
      <c r="F2054" s="79" t="str">
        <f t="shared" si="162"/>
        <v/>
      </c>
      <c r="G2054" s="101"/>
      <c r="H2054" s="91">
        <f t="shared" si="163"/>
        <v>0</v>
      </c>
      <c r="I2054" s="91" t="str">
        <f t="shared" si="164"/>
        <v/>
      </c>
      <c r="J2054" s="91" t="str">
        <f t="shared" si="165"/>
        <v/>
      </c>
      <c r="K2054" s="92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2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58"/>
      <c r="U2054" s="217" t="str">
        <f t="shared" si="166"/>
        <v/>
      </c>
      <c r="V2054" s="215" t="s">
        <v>47</v>
      </c>
      <c r="W2054" s="102" t="s">
        <v>136</v>
      </c>
      <c r="X2054" s="102" t="s">
        <v>137</v>
      </c>
      <c r="Y2054" s="103" t="s">
        <v>138</v>
      </c>
      <c r="Z2054" s="103" t="s">
        <v>139</v>
      </c>
      <c r="AA2054" s="103" t="s">
        <v>47</v>
      </c>
      <c r="AB2054" s="103" t="s">
        <v>140</v>
      </c>
      <c r="AC2054" s="104" t="s">
        <v>141</v>
      </c>
    </row>
    <row r="2055" spans="1:29" ht="25.5" customHeight="1" x14ac:dyDescent="0.35">
      <c r="A2055" s="188"/>
      <c r="B2055" s="190"/>
      <c r="C2055" s="99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0"/>
      <c r="E2055" s="78" t="str">
        <f>IF(C2055="","",IFERROR(VLOOKUP(C2055,parametros!$A$11:$E$15,5,0),""))</f>
        <v/>
      </c>
      <c r="F2055" s="79" t="str">
        <f t="shared" si="162"/>
        <v/>
      </c>
      <c r="G2055" s="101"/>
      <c r="H2055" s="91">
        <f t="shared" si="163"/>
        <v>0</v>
      </c>
      <c r="I2055" s="91" t="str">
        <f t="shared" si="164"/>
        <v/>
      </c>
      <c r="J2055" s="91" t="str">
        <f t="shared" si="165"/>
        <v/>
      </c>
      <c r="K2055" s="92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2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58"/>
      <c r="U2055" s="217" t="str">
        <f t="shared" si="166"/>
        <v/>
      </c>
      <c r="V2055" s="215" t="s">
        <v>47</v>
      </c>
      <c r="W2055" s="102" t="s">
        <v>136</v>
      </c>
      <c r="X2055" s="102" t="s">
        <v>137</v>
      </c>
      <c r="Y2055" s="103" t="s">
        <v>138</v>
      </c>
      <c r="Z2055" s="103" t="s">
        <v>139</v>
      </c>
      <c r="AA2055" s="103" t="s">
        <v>47</v>
      </c>
      <c r="AB2055" s="103" t="s">
        <v>140</v>
      </c>
      <c r="AC2055" s="104" t="s">
        <v>141</v>
      </c>
    </row>
    <row r="2056" spans="1:29" ht="25.5" customHeight="1" x14ac:dyDescent="0.35">
      <c r="A2056" s="188"/>
      <c r="B2056" s="190"/>
      <c r="C2056" s="99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0"/>
      <c r="E2056" s="78" t="str">
        <f>IF(C2056="","",IFERROR(VLOOKUP(C2056,parametros!$A$11:$E$15,5,0),""))</f>
        <v/>
      </c>
      <c r="F2056" s="79" t="str">
        <f t="shared" si="162"/>
        <v/>
      </c>
      <c r="G2056" s="101"/>
      <c r="H2056" s="91">
        <f t="shared" si="163"/>
        <v>0</v>
      </c>
      <c r="I2056" s="91" t="str">
        <f t="shared" si="164"/>
        <v/>
      </c>
      <c r="J2056" s="91" t="str">
        <f t="shared" si="165"/>
        <v/>
      </c>
      <c r="K2056" s="92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2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58"/>
      <c r="U2056" s="217" t="str">
        <f t="shared" si="166"/>
        <v/>
      </c>
      <c r="V2056" s="215" t="s">
        <v>47</v>
      </c>
      <c r="W2056" s="102" t="s">
        <v>136</v>
      </c>
      <c r="X2056" s="102" t="s">
        <v>137</v>
      </c>
      <c r="Y2056" s="103" t="s">
        <v>138</v>
      </c>
      <c r="Z2056" s="103" t="s">
        <v>139</v>
      </c>
      <c r="AA2056" s="103" t="s">
        <v>47</v>
      </c>
      <c r="AB2056" s="103" t="s">
        <v>140</v>
      </c>
      <c r="AC2056" s="104" t="s">
        <v>141</v>
      </c>
    </row>
    <row r="2057" spans="1:29" ht="25.5" customHeight="1" x14ac:dyDescent="0.35">
      <c r="A2057" s="188"/>
      <c r="B2057" s="190"/>
      <c r="C2057" s="99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0"/>
      <c r="E2057" s="78" t="str">
        <f>IF(C2057="","",IFERROR(VLOOKUP(C2057,parametros!$A$11:$E$15,5,0),""))</f>
        <v/>
      </c>
      <c r="F2057" s="79" t="str">
        <f t="shared" si="162"/>
        <v/>
      </c>
      <c r="G2057" s="101"/>
      <c r="H2057" s="91">
        <f t="shared" si="163"/>
        <v>0</v>
      </c>
      <c r="I2057" s="91" t="str">
        <f t="shared" si="164"/>
        <v/>
      </c>
      <c r="J2057" s="91" t="str">
        <f t="shared" si="165"/>
        <v/>
      </c>
      <c r="K2057" s="92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2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58"/>
      <c r="U2057" s="217" t="str">
        <f t="shared" si="166"/>
        <v/>
      </c>
      <c r="V2057" s="215" t="s">
        <v>47</v>
      </c>
      <c r="W2057" s="102" t="s">
        <v>136</v>
      </c>
      <c r="X2057" s="102" t="s">
        <v>137</v>
      </c>
      <c r="Y2057" s="103" t="s">
        <v>138</v>
      </c>
      <c r="Z2057" s="103" t="s">
        <v>139</v>
      </c>
      <c r="AA2057" s="103" t="s">
        <v>47</v>
      </c>
      <c r="AB2057" s="103" t="s">
        <v>140</v>
      </c>
      <c r="AC2057" s="104" t="s">
        <v>141</v>
      </c>
    </row>
    <row r="2058" spans="1:29" ht="25.5" customHeight="1" x14ac:dyDescent="0.35">
      <c r="A2058" s="188"/>
      <c r="B2058" s="190"/>
      <c r="C2058" s="99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0"/>
      <c r="E2058" s="78" t="str">
        <f>IF(C2058="","",IFERROR(VLOOKUP(C2058,parametros!$A$11:$E$15,5,0),""))</f>
        <v/>
      </c>
      <c r="F2058" s="79" t="str">
        <f t="shared" si="162"/>
        <v/>
      </c>
      <c r="G2058" s="101"/>
      <c r="H2058" s="91">
        <f t="shared" si="163"/>
        <v>0</v>
      </c>
      <c r="I2058" s="91" t="str">
        <f t="shared" si="164"/>
        <v/>
      </c>
      <c r="J2058" s="91" t="str">
        <f t="shared" si="165"/>
        <v/>
      </c>
      <c r="K2058" s="92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2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58"/>
      <c r="U2058" s="217" t="str">
        <f t="shared" si="166"/>
        <v/>
      </c>
      <c r="V2058" s="215" t="s">
        <v>47</v>
      </c>
      <c r="W2058" s="102" t="s">
        <v>136</v>
      </c>
      <c r="X2058" s="102" t="s">
        <v>137</v>
      </c>
      <c r="Y2058" s="103" t="s">
        <v>138</v>
      </c>
      <c r="Z2058" s="103" t="s">
        <v>139</v>
      </c>
      <c r="AA2058" s="103" t="s">
        <v>47</v>
      </c>
      <c r="AB2058" s="103" t="s">
        <v>140</v>
      </c>
      <c r="AC2058" s="104" t="s">
        <v>141</v>
      </c>
    </row>
    <row r="2059" spans="1:29" ht="25.5" customHeight="1" x14ac:dyDescent="0.35">
      <c r="A2059" s="188"/>
      <c r="B2059" s="190"/>
      <c r="C2059" s="99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0"/>
      <c r="E2059" s="78" t="str">
        <f>IF(C2059="","",IFERROR(VLOOKUP(C2059,parametros!$A$11:$E$15,5,0),""))</f>
        <v/>
      </c>
      <c r="F2059" s="79" t="str">
        <f t="shared" si="162"/>
        <v/>
      </c>
      <c r="G2059" s="101"/>
      <c r="H2059" s="91">
        <f t="shared" si="163"/>
        <v>0</v>
      </c>
      <c r="I2059" s="91" t="str">
        <f t="shared" si="164"/>
        <v/>
      </c>
      <c r="J2059" s="91" t="str">
        <f t="shared" si="165"/>
        <v/>
      </c>
      <c r="K2059" s="92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2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58"/>
      <c r="U2059" s="217" t="str">
        <f t="shared" si="166"/>
        <v/>
      </c>
      <c r="V2059" s="215" t="s">
        <v>47</v>
      </c>
      <c r="W2059" s="102" t="s">
        <v>136</v>
      </c>
      <c r="X2059" s="102" t="s">
        <v>137</v>
      </c>
      <c r="Y2059" s="103" t="s">
        <v>138</v>
      </c>
      <c r="Z2059" s="103" t="s">
        <v>139</v>
      </c>
      <c r="AA2059" s="103" t="s">
        <v>47</v>
      </c>
      <c r="AB2059" s="103" t="s">
        <v>140</v>
      </c>
      <c r="AC2059" s="104" t="s">
        <v>141</v>
      </c>
    </row>
    <row r="2060" spans="1:29" ht="25.5" customHeight="1" x14ac:dyDescent="0.35">
      <c r="A2060" s="188"/>
      <c r="B2060" s="190"/>
      <c r="C2060" s="99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0"/>
      <c r="E2060" s="78" t="str">
        <f>IF(C2060="","",IFERROR(VLOOKUP(C2060,parametros!$A$11:$E$15,5,0),""))</f>
        <v/>
      </c>
      <c r="F2060" s="79" t="str">
        <f t="shared" si="162"/>
        <v/>
      </c>
      <c r="G2060" s="101"/>
      <c r="H2060" s="91">
        <f t="shared" si="163"/>
        <v>0</v>
      </c>
      <c r="I2060" s="91" t="str">
        <f t="shared" si="164"/>
        <v/>
      </c>
      <c r="J2060" s="91" t="str">
        <f t="shared" si="165"/>
        <v/>
      </c>
      <c r="K2060" s="92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2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58"/>
      <c r="U2060" s="217" t="str">
        <f t="shared" si="166"/>
        <v/>
      </c>
      <c r="V2060" s="215" t="s">
        <v>47</v>
      </c>
      <c r="W2060" s="102" t="s">
        <v>136</v>
      </c>
      <c r="X2060" s="102" t="s">
        <v>137</v>
      </c>
      <c r="Y2060" s="103" t="s">
        <v>138</v>
      </c>
      <c r="Z2060" s="103" t="s">
        <v>139</v>
      </c>
      <c r="AA2060" s="103" t="s">
        <v>47</v>
      </c>
      <c r="AB2060" s="103" t="s">
        <v>140</v>
      </c>
      <c r="AC2060" s="104" t="s">
        <v>141</v>
      </c>
    </row>
    <row r="2061" spans="1:29" ht="25.5" customHeight="1" x14ac:dyDescent="0.35">
      <c r="A2061" s="188"/>
      <c r="B2061" s="190"/>
      <c r="C2061" s="99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0"/>
      <c r="E2061" s="78" t="str">
        <f>IF(C2061="","",IFERROR(VLOOKUP(C2061,parametros!$A$11:$E$15,5,0),""))</f>
        <v/>
      </c>
      <c r="F2061" s="79" t="str">
        <f t="shared" si="162"/>
        <v/>
      </c>
      <c r="G2061" s="101"/>
      <c r="H2061" s="91">
        <f t="shared" si="163"/>
        <v>0</v>
      </c>
      <c r="I2061" s="91" t="str">
        <f t="shared" si="164"/>
        <v/>
      </c>
      <c r="J2061" s="91" t="str">
        <f t="shared" si="165"/>
        <v/>
      </c>
      <c r="K2061" s="92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2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58"/>
      <c r="U2061" s="217" t="str">
        <f t="shared" si="166"/>
        <v/>
      </c>
      <c r="V2061" s="215" t="s">
        <v>47</v>
      </c>
      <c r="W2061" s="102" t="s">
        <v>136</v>
      </c>
      <c r="X2061" s="102" t="s">
        <v>137</v>
      </c>
      <c r="Y2061" s="103" t="s">
        <v>138</v>
      </c>
      <c r="Z2061" s="103" t="s">
        <v>139</v>
      </c>
      <c r="AA2061" s="103" t="s">
        <v>47</v>
      </c>
      <c r="AB2061" s="103" t="s">
        <v>140</v>
      </c>
      <c r="AC2061" s="104" t="s">
        <v>141</v>
      </c>
    </row>
    <row r="2062" spans="1:29" ht="25.5" customHeight="1" x14ac:dyDescent="0.35">
      <c r="A2062" s="188"/>
      <c r="B2062" s="190"/>
      <c r="C2062" s="99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0"/>
      <c r="E2062" s="78" t="str">
        <f>IF(C2062="","",IFERROR(VLOOKUP(C2062,parametros!$A$11:$E$15,5,0),""))</f>
        <v/>
      </c>
      <c r="F2062" s="79" t="str">
        <f t="shared" si="162"/>
        <v/>
      </c>
      <c r="G2062" s="101"/>
      <c r="H2062" s="91">
        <f t="shared" si="163"/>
        <v>0</v>
      </c>
      <c r="I2062" s="91" t="str">
        <f t="shared" si="164"/>
        <v/>
      </c>
      <c r="J2062" s="91" t="str">
        <f t="shared" si="165"/>
        <v/>
      </c>
      <c r="K2062" s="92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2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58"/>
      <c r="U2062" s="217" t="str">
        <f t="shared" si="166"/>
        <v/>
      </c>
      <c r="V2062" s="215" t="s">
        <v>47</v>
      </c>
      <c r="W2062" s="102" t="s">
        <v>136</v>
      </c>
      <c r="X2062" s="102" t="s">
        <v>137</v>
      </c>
      <c r="Y2062" s="103" t="s">
        <v>138</v>
      </c>
      <c r="Z2062" s="103" t="s">
        <v>139</v>
      </c>
      <c r="AA2062" s="103" t="s">
        <v>47</v>
      </c>
      <c r="AB2062" s="103" t="s">
        <v>140</v>
      </c>
      <c r="AC2062" s="104" t="s">
        <v>141</v>
      </c>
    </row>
    <row r="2063" spans="1:29" ht="25.5" customHeight="1" x14ac:dyDescent="0.35">
      <c r="A2063" s="188"/>
      <c r="B2063" s="190"/>
      <c r="C2063" s="99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0"/>
      <c r="E2063" s="78" t="str">
        <f>IF(C2063="","",IFERROR(VLOOKUP(C2063,parametros!$A$11:$E$15,5,0),""))</f>
        <v/>
      </c>
      <c r="F2063" s="79" t="str">
        <f t="shared" si="162"/>
        <v/>
      </c>
      <c r="G2063" s="101"/>
      <c r="H2063" s="91">
        <f t="shared" si="163"/>
        <v>0</v>
      </c>
      <c r="I2063" s="91" t="str">
        <f t="shared" si="164"/>
        <v/>
      </c>
      <c r="J2063" s="91" t="str">
        <f t="shared" si="165"/>
        <v/>
      </c>
      <c r="K2063" s="92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2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58"/>
      <c r="U2063" s="217" t="str">
        <f t="shared" si="166"/>
        <v/>
      </c>
      <c r="V2063" s="215" t="s">
        <v>47</v>
      </c>
      <c r="W2063" s="102" t="s">
        <v>136</v>
      </c>
      <c r="X2063" s="102" t="s">
        <v>137</v>
      </c>
      <c r="Y2063" s="103" t="s">
        <v>138</v>
      </c>
      <c r="Z2063" s="103" t="s">
        <v>139</v>
      </c>
      <c r="AA2063" s="103" t="s">
        <v>47</v>
      </c>
      <c r="AB2063" s="103" t="s">
        <v>140</v>
      </c>
      <c r="AC2063" s="104" t="s">
        <v>141</v>
      </c>
    </row>
    <row r="2064" spans="1:29" ht="25.5" customHeight="1" x14ac:dyDescent="0.35">
      <c r="A2064" s="188"/>
      <c r="B2064" s="190"/>
      <c r="C2064" s="99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0"/>
      <c r="E2064" s="78" t="str">
        <f>IF(C2064="","",IFERROR(VLOOKUP(C2064,parametros!$A$11:$E$15,5,0),""))</f>
        <v/>
      </c>
      <c r="F2064" s="79" t="str">
        <f t="shared" si="162"/>
        <v/>
      </c>
      <c r="G2064" s="101"/>
      <c r="H2064" s="91">
        <f t="shared" si="163"/>
        <v>0</v>
      </c>
      <c r="I2064" s="91" t="str">
        <f t="shared" si="164"/>
        <v/>
      </c>
      <c r="J2064" s="91" t="str">
        <f t="shared" si="165"/>
        <v/>
      </c>
      <c r="K2064" s="92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2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58"/>
      <c r="U2064" s="217" t="str">
        <f t="shared" si="166"/>
        <v/>
      </c>
      <c r="V2064" s="215" t="s">
        <v>47</v>
      </c>
      <c r="W2064" s="102" t="s">
        <v>136</v>
      </c>
      <c r="X2064" s="102" t="s">
        <v>137</v>
      </c>
      <c r="Y2064" s="103" t="s">
        <v>138</v>
      </c>
      <c r="Z2064" s="103" t="s">
        <v>139</v>
      </c>
      <c r="AA2064" s="103" t="s">
        <v>47</v>
      </c>
      <c r="AB2064" s="103" t="s">
        <v>140</v>
      </c>
      <c r="AC2064" s="104" t="s">
        <v>141</v>
      </c>
    </row>
    <row r="2065" spans="1:29" ht="25.5" customHeight="1" x14ac:dyDescent="0.35">
      <c r="A2065" s="188"/>
      <c r="B2065" s="190"/>
      <c r="C2065" s="99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0"/>
      <c r="E2065" s="78" t="str">
        <f>IF(C2065="","",IFERROR(VLOOKUP(C2065,parametros!$A$11:$E$15,5,0),""))</f>
        <v/>
      </c>
      <c r="F2065" s="79" t="str">
        <f t="shared" si="162"/>
        <v/>
      </c>
      <c r="G2065" s="101"/>
      <c r="H2065" s="91">
        <f t="shared" si="163"/>
        <v>0</v>
      </c>
      <c r="I2065" s="91" t="str">
        <f t="shared" si="164"/>
        <v/>
      </c>
      <c r="J2065" s="91" t="str">
        <f t="shared" si="165"/>
        <v/>
      </c>
      <c r="K2065" s="92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2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58"/>
      <c r="U2065" s="217" t="str">
        <f t="shared" si="166"/>
        <v/>
      </c>
      <c r="V2065" s="215" t="s">
        <v>47</v>
      </c>
      <c r="W2065" s="102" t="s">
        <v>136</v>
      </c>
      <c r="X2065" s="102" t="s">
        <v>137</v>
      </c>
      <c r="Y2065" s="103" t="s">
        <v>138</v>
      </c>
      <c r="Z2065" s="103" t="s">
        <v>139</v>
      </c>
      <c r="AA2065" s="103" t="s">
        <v>47</v>
      </c>
      <c r="AB2065" s="103" t="s">
        <v>140</v>
      </c>
      <c r="AC2065" s="104" t="s">
        <v>141</v>
      </c>
    </row>
    <row r="2066" spans="1:29" ht="25.5" customHeight="1" x14ac:dyDescent="0.35">
      <c r="A2066" s="188"/>
      <c r="B2066" s="190"/>
      <c r="C2066" s="99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0"/>
      <c r="E2066" s="78" t="str">
        <f>IF(C2066="","",IFERROR(VLOOKUP(C2066,parametros!$A$11:$E$15,5,0),""))</f>
        <v/>
      </c>
      <c r="F2066" s="79" t="str">
        <f t="shared" si="162"/>
        <v/>
      </c>
      <c r="G2066" s="101"/>
      <c r="H2066" s="91">
        <f t="shared" si="163"/>
        <v>0</v>
      </c>
      <c r="I2066" s="91" t="str">
        <f t="shared" si="164"/>
        <v/>
      </c>
      <c r="J2066" s="91" t="str">
        <f t="shared" si="165"/>
        <v/>
      </c>
      <c r="K2066" s="92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2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58"/>
      <c r="U2066" s="217" t="str">
        <f t="shared" si="166"/>
        <v/>
      </c>
      <c r="V2066" s="215" t="s">
        <v>47</v>
      </c>
      <c r="W2066" s="102" t="s">
        <v>136</v>
      </c>
      <c r="X2066" s="102" t="s">
        <v>137</v>
      </c>
      <c r="Y2066" s="103" t="s">
        <v>138</v>
      </c>
      <c r="Z2066" s="103" t="s">
        <v>139</v>
      </c>
      <c r="AA2066" s="103" t="s">
        <v>47</v>
      </c>
      <c r="AB2066" s="103" t="s">
        <v>140</v>
      </c>
      <c r="AC2066" s="104" t="s">
        <v>141</v>
      </c>
    </row>
    <row r="2067" spans="1:29" ht="25.5" customHeight="1" x14ac:dyDescent="0.35">
      <c r="A2067" s="188"/>
      <c r="B2067" s="190"/>
      <c r="C2067" s="99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0"/>
      <c r="E2067" s="78" t="str">
        <f>IF(C2067="","",IFERROR(VLOOKUP(C2067,parametros!$A$11:$E$15,5,0),""))</f>
        <v/>
      </c>
      <c r="F2067" s="79" t="str">
        <f t="shared" si="162"/>
        <v/>
      </c>
      <c r="G2067" s="101"/>
      <c r="H2067" s="91">
        <f t="shared" si="163"/>
        <v>0</v>
      </c>
      <c r="I2067" s="91" t="str">
        <f t="shared" si="164"/>
        <v/>
      </c>
      <c r="J2067" s="91" t="str">
        <f t="shared" si="165"/>
        <v/>
      </c>
      <c r="K2067" s="92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2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58"/>
      <c r="U2067" s="217" t="str">
        <f t="shared" si="166"/>
        <v/>
      </c>
      <c r="V2067" s="215" t="s">
        <v>47</v>
      </c>
      <c r="W2067" s="102" t="s">
        <v>136</v>
      </c>
      <c r="X2067" s="102" t="s">
        <v>137</v>
      </c>
      <c r="Y2067" s="103" t="s">
        <v>138</v>
      </c>
      <c r="Z2067" s="103" t="s">
        <v>139</v>
      </c>
      <c r="AA2067" s="103" t="s">
        <v>47</v>
      </c>
      <c r="AB2067" s="103" t="s">
        <v>140</v>
      </c>
      <c r="AC2067" s="104" t="s">
        <v>141</v>
      </c>
    </row>
    <row r="2068" spans="1:29" ht="25.5" customHeight="1" x14ac:dyDescent="0.35">
      <c r="A2068" s="188"/>
      <c r="B2068" s="190"/>
      <c r="C2068" s="99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0"/>
      <c r="E2068" s="78" t="str">
        <f>IF(C2068="","",IFERROR(VLOOKUP(C2068,parametros!$A$11:$E$15,5,0),""))</f>
        <v/>
      </c>
      <c r="F2068" s="79" t="str">
        <f t="shared" si="162"/>
        <v/>
      </c>
      <c r="G2068" s="101"/>
      <c r="H2068" s="91">
        <f t="shared" si="163"/>
        <v>0</v>
      </c>
      <c r="I2068" s="91" t="str">
        <f t="shared" si="164"/>
        <v/>
      </c>
      <c r="J2068" s="91" t="str">
        <f t="shared" si="165"/>
        <v/>
      </c>
      <c r="K2068" s="92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2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58"/>
      <c r="U2068" s="217" t="str">
        <f t="shared" si="166"/>
        <v/>
      </c>
      <c r="V2068" s="215" t="s">
        <v>47</v>
      </c>
      <c r="W2068" s="102" t="s">
        <v>136</v>
      </c>
      <c r="X2068" s="102" t="s">
        <v>137</v>
      </c>
      <c r="Y2068" s="103" t="s">
        <v>138</v>
      </c>
      <c r="Z2068" s="103" t="s">
        <v>139</v>
      </c>
      <c r="AA2068" s="103" t="s">
        <v>47</v>
      </c>
      <c r="AB2068" s="103" t="s">
        <v>140</v>
      </c>
      <c r="AC2068" s="104" t="s">
        <v>141</v>
      </c>
    </row>
    <row r="2069" spans="1:29" ht="25.5" customHeight="1" x14ac:dyDescent="0.35">
      <c r="A2069" s="188"/>
      <c r="B2069" s="190"/>
      <c r="C2069" s="99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0"/>
      <c r="E2069" s="78" t="str">
        <f>IF(C2069="","",IFERROR(VLOOKUP(C2069,parametros!$A$11:$E$15,5,0),""))</f>
        <v/>
      </c>
      <c r="F2069" s="79" t="str">
        <f t="shared" si="162"/>
        <v/>
      </c>
      <c r="G2069" s="101"/>
      <c r="H2069" s="91">
        <f t="shared" si="163"/>
        <v>0</v>
      </c>
      <c r="I2069" s="91" t="str">
        <f t="shared" si="164"/>
        <v/>
      </c>
      <c r="J2069" s="91" t="str">
        <f t="shared" si="165"/>
        <v/>
      </c>
      <c r="K2069" s="92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2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58"/>
      <c r="U2069" s="217" t="str">
        <f t="shared" si="166"/>
        <v/>
      </c>
      <c r="V2069" s="215" t="s">
        <v>47</v>
      </c>
      <c r="W2069" s="102" t="s">
        <v>136</v>
      </c>
      <c r="X2069" s="102" t="s">
        <v>137</v>
      </c>
      <c r="Y2069" s="103" t="s">
        <v>138</v>
      </c>
      <c r="Z2069" s="103" t="s">
        <v>139</v>
      </c>
      <c r="AA2069" s="103" t="s">
        <v>47</v>
      </c>
      <c r="AB2069" s="103" t="s">
        <v>140</v>
      </c>
      <c r="AC2069" s="104" t="s">
        <v>141</v>
      </c>
    </row>
    <row r="2070" spans="1:29" ht="25.5" customHeight="1" x14ac:dyDescent="0.35">
      <c r="A2070" s="188"/>
      <c r="B2070" s="190"/>
      <c r="C2070" s="99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0"/>
      <c r="E2070" s="78" t="str">
        <f>IF(C2070="","",IFERROR(VLOOKUP(C2070,parametros!$A$11:$E$15,5,0),""))</f>
        <v/>
      </c>
      <c r="F2070" s="79" t="str">
        <f t="shared" si="162"/>
        <v/>
      </c>
      <c r="G2070" s="101"/>
      <c r="H2070" s="91">
        <f t="shared" si="163"/>
        <v>0</v>
      </c>
      <c r="I2070" s="91" t="str">
        <f t="shared" si="164"/>
        <v/>
      </c>
      <c r="J2070" s="91" t="str">
        <f t="shared" si="165"/>
        <v/>
      </c>
      <c r="K2070" s="92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2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58"/>
      <c r="U2070" s="217" t="str">
        <f t="shared" si="166"/>
        <v/>
      </c>
      <c r="V2070" s="215" t="s">
        <v>47</v>
      </c>
      <c r="W2070" s="102" t="s">
        <v>136</v>
      </c>
      <c r="X2070" s="102" t="s">
        <v>137</v>
      </c>
      <c r="Y2070" s="103" t="s">
        <v>138</v>
      </c>
      <c r="Z2070" s="103" t="s">
        <v>139</v>
      </c>
      <c r="AA2070" s="103" t="s">
        <v>47</v>
      </c>
      <c r="AB2070" s="103" t="s">
        <v>140</v>
      </c>
      <c r="AC2070" s="104" t="s">
        <v>141</v>
      </c>
    </row>
    <row r="2071" spans="1:29" ht="25.5" customHeight="1" x14ac:dyDescent="0.35">
      <c r="A2071" s="188"/>
      <c r="B2071" s="190"/>
      <c r="C2071" s="99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0"/>
      <c r="E2071" s="78" t="str">
        <f>IF(C2071="","",IFERROR(VLOOKUP(C2071,parametros!$A$11:$E$15,5,0),""))</f>
        <v/>
      </c>
      <c r="F2071" s="79" t="str">
        <f t="shared" si="162"/>
        <v/>
      </c>
      <c r="G2071" s="101"/>
      <c r="H2071" s="91">
        <f t="shared" si="163"/>
        <v>0</v>
      </c>
      <c r="I2071" s="91" t="str">
        <f t="shared" si="164"/>
        <v/>
      </c>
      <c r="J2071" s="91" t="str">
        <f t="shared" si="165"/>
        <v/>
      </c>
      <c r="K2071" s="92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2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58"/>
      <c r="U2071" s="217" t="str">
        <f t="shared" si="166"/>
        <v/>
      </c>
      <c r="V2071" s="215" t="s">
        <v>47</v>
      </c>
      <c r="W2071" s="102" t="s">
        <v>136</v>
      </c>
      <c r="X2071" s="102" t="s">
        <v>137</v>
      </c>
      <c r="Y2071" s="103" t="s">
        <v>138</v>
      </c>
      <c r="Z2071" s="103" t="s">
        <v>139</v>
      </c>
      <c r="AA2071" s="103" t="s">
        <v>47</v>
      </c>
      <c r="AB2071" s="103" t="s">
        <v>140</v>
      </c>
      <c r="AC2071" s="104" t="s">
        <v>141</v>
      </c>
    </row>
    <row r="2072" spans="1:29" ht="25.5" customHeight="1" x14ac:dyDescent="0.35">
      <c r="A2072" s="188"/>
      <c r="B2072" s="190"/>
      <c r="C2072" s="99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0"/>
      <c r="E2072" s="78" t="str">
        <f>IF(C2072="","",IFERROR(VLOOKUP(C2072,parametros!$A$11:$E$15,5,0),""))</f>
        <v/>
      </c>
      <c r="F2072" s="79" t="str">
        <f t="shared" si="162"/>
        <v/>
      </c>
      <c r="G2072" s="101"/>
      <c r="H2072" s="91">
        <f t="shared" si="163"/>
        <v>0</v>
      </c>
      <c r="I2072" s="91" t="str">
        <f t="shared" si="164"/>
        <v/>
      </c>
      <c r="J2072" s="91" t="str">
        <f t="shared" si="165"/>
        <v/>
      </c>
      <c r="K2072" s="92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2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58"/>
      <c r="U2072" s="217" t="str">
        <f t="shared" si="166"/>
        <v/>
      </c>
      <c r="V2072" s="215" t="s">
        <v>47</v>
      </c>
      <c r="W2072" s="102" t="s">
        <v>136</v>
      </c>
      <c r="X2072" s="102" t="s">
        <v>137</v>
      </c>
      <c r="Y2072" s="103" t="s">
        <v>138</v>
      </c>
      <c r="Z2072" s="103" t="s">
        <v>139</v>
      </c>
      <c r="AA2072" s="103" t="s">
        <v>47</v>
      </c>
      <c r="AB2072" s="103" t="s">
        <v>140</v>
      </c>
      <c r="AC2072" s="104" t="s">
        <v>141</v>
      </c>
    </row>
    <row r="2073" spans="1:29" ht="25.5" customHeight="1" x14ac:dyDescent="0.35">
      <c r="A2073" s="188"/>
      <c r="B2073" s="190"/>
      <c r="C2073" s="99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0"/>
      <c r="E2073" s="78" t="str">
        <f>IF(C2073="","",IFERROR(VLOOKUP(C2073,parametros!$A$11:$E$15,5,0),""))</f>
        <v/>
      </c>
      <c r="F2073" s="79" t="str">
        <f t="shared" si="162"/>
        <v/>
      </c>
      <c r="G2073" s="101"/>
      <c r="H2073" s="91">
        <f t="shared" si="163"/>
        <v>0</v>
      </c>
      <c r="I2073" s="91" t="str">
        <f t="shared" si="164"/>
        <v/>
      </c>
      <c r="J2073" s="91" t="str">
        <f t="shared" si="165"/>
        <v/>
      </c>
      <c r="K2073" s="92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2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58"/>
      <c r="U2073" s="217" t="str">
        <f t="shared" si="166"/>
        <v/>
      </c>
      <c r="V2073" s="215" t="s">
        <v>47</v>
      </c>
      <c r="W2073" s="102" t="s">
        <v>136</v>
      </c>
      <c r="X2073" s="102" t="s">
        <v>137</v>
      </c>
      <c r="Y2073" s="103" t="s">
        <v>138</v>
      </c>
      <c r="Z2073" s="103" t="s">
        <v>139</v>
      </c>
      <c r="AA2073" s="103" t="s">
        <v>47</v>
      </c>
      <c r="AB2073" s="103" t="s">
        <v>140</v>
      </c>
      <c r="AC2073" s="104" t="s">
        <v>141</v>
      </c>
    </row>
    <row r="2074" spans="1:29" ht="25.5" customHeight="1" x14ac:dyDescent="0.35">
      <c r="A2074" s="188"/>
      <c r="B2074" s="190"/>
      <c r="C2074" s="99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0"/>
      <c r="E2074" s="78" t="str">
        <f>IF(C2074="","",IFERROR(VLOOKUP(C2074,parametros!$A$11:$E$15,5,0),""))</f>
        <v/>
      </c>
      <c r="F2074" s="79" t="str">
        <f t="shared" si="162"/>
        <v/>
      </c>
      <c r="G2074" s="101"/>
      <c r="H2074" s="91">
        <f t="shared" si="163"/>
        <v>0</v>
      </c>
      <c r="I2074" s="91" t="str">
        <f t="shared" si="164"/>
        <v/>
      </c>
      <c r="J2074" s="91" t="str">
        <f t="shared" si="165"/>
        <v/>
      </c>
      <c r="K2074" s="92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2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58"/>
      <c r="U2074" s="217" t="str">
        <f t="shared" si="166"/>
        <v/>
      </c>
      <c r="V2074" s="215" t="s">
        <v>47</v>
      </c>
      <c r="W2074" s="102" t="s">
        <v>136</v>
      </c>
      <c r="X2074" s="102" t="s">
        <v>137</v>
      </c>
      <c r="Y2074" s="103" t="s">
        <v>138</v>
      </c>
      <c r="Z2074" s="103" t="s">
        <v>139</v>
      </c>
      <c r="AA2074" s="103" t="s">
        <v>47</v>
      </c>
      <c r="AB2074" s="103" t="s">
        <v>140</v>
      </c>
      <c r="AC2074" s="104" t="s">
        <v>141</v>
      </c>
    </row>
    <row r="2075" spans="1:29" ht="25.5" customHeight="1" x14ac:dyDescent="0.35">
      <c r="A2075" s="188"/>
      <c r="B2075" s="190"/>
      <c r="C2075" s="99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0"/>
      <c r="E2075" s="78" t="str">
        <f>IF(C2075="","",IFERROR(VLOOKUP(C2075,parametros!$A$11:$E$15,5,0),""))</f>
        <v/>
      </c>
      <c r="F2075" s="79" t="str">
        <f t="shared" si="162"/>
        <v/>
      </c>
      <c r="G2075" s="101"/>
      <c r="H2075" s="91">
        <f t="shared" si="163"/>
        <v>0</v>
      </c>
      <c r="I2075" s="91" t="str">
        <f t="shared" si="164"/>
        <v/>
      </c>
      <c r="J2075" s="91" t="str">
        <f t="shared" si="165"/>
        <v/>
      </c>
      <c r="K2075" s="92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2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58"/>
      <c r="U2075" s="217" t="str">
        <f t="shared" si="166"/>
        <v/>
      </c>
      <c r="V2075" s="215" t="s">
        <v>47</v>
      </c>
      <c r="W2075" s="102" t="s">
        <v>136</v>
      </c>
      <c r="X2075" s="102" t="s">
        <v>137</v>
      </c>
      <c r="Y2075" s="103" t="s">
        <v>138</v>
      </c>
      <c r="Z2075" s="103" t="s">
        <v>139</v>
      </c>
      <c r="AA2075" s="103" t="s">
        <v>47</v>
      </c>
      <c r="AB2075" s="103" t="s">
        <v>140</v>
      </c>
      <c r="AC2075" s="104" t="s">
        <v>141</v>
      </c>
    </row>
    <row r="2076" spans="1:29" ht="25.5" customHeight="1" x14ac:dyDescent="0.35">
      <c r="A2076" s="188"/>
      <c r="B2076" s="190"/>
      <c r="C2076" s="99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0"/>
      <c r="E2076" s="78" t="str">
        <f>IF(C2076="","",IFERROR(VLOOKUP(C2076,parametros!$A$11:$E$15,5,0),""))</f>
        <v/>
      </c>
      <c r="F2076" s="79" t="str">
        <f t="shared" si="162"/>
        <v/>
      </c>
      <c r="G2076" s="101"/>
      <c r="H2076" s="91">
        <f t="shared" si="163"/>
        <v>0</v>
      </c>
      <c r="I2076" s="91" t="str">
        <f t="shared" si="164"/>
        <v/>
      </c>
      <c r="J2076" s="91" t="str">
        <f t="shared" si="165"/>
        <v/>
      </c>
      <c r="K2076" s="92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2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58"/>
      <c r="U2076" s="217" t="str">
        <f t="shared" si="166"/>
        <v/>
      </c>
      <c r="V2076" s="215" t="s">
        <v>47</v>
      </c>
      <c r="W2076" s="102" t="s">
        <v>136</v>
      </c>
      <c r="X2076" s="102" t="s">
        <v>137</v>
      </c>
      <c r="Y2076" s="103" t="s">
        <v>138</v>
      </c>
      <c r="Z2076" s="103" t="s">
        <v>139</v>
      </c>
      <c r="AA2076" s="103" t="s">
        <v>47</v>
      </c>
      <c r="AB2076" s="103" t="s">
        <v>140</v>
      </c>
      <c r="AC2076" s="104" t="s">
        <v>141</v>
      </c>
    </row>
    <row r="2077" spans="1:29" ht="25.5" customHeight="1" x14ac:dyDescent="0.35">
      <c r="A2077" s="188"/>
      <c r="B2077" s="190"/>
      <c r="C2077" s="99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0"/>
      <c r="E2077" s="78" t="str">
        <f>IF(C2077="","",IFERROR(VLOOKUP(C2077,parametros!$A$11:$E$15,5,0),""))</f>
        <v/>
      </c>
      <c r="F2077" s="79" t="str">
        <f t="shared" si="162"/>
        <v/>
      </c>
      <c r="G2077" s="101"/>
      <c r="H2077" s="91">
        <f t="shared" si="163"/>
        <v>0</v>
      </c>
      <c r="I2077" s="91" t="str">
        <f t="shared" si="164"/>
        <v/>
      </c>
      <c r="J2077" s="91" t="str">
        <f t="shared" si="165"/>
        <v/>
      </c>
      <c r="K2077" s="92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2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58"/>
      <c r="U2077" s="217" t="str">
        <f t="shared" si="166"/>
        <v/>
      </c>
      <c r="V2077" s="215" t="s">
        <v>47</v>
      </c>
      <c r="W2077" s="102" t="s">
        <v>136</v>
      </c>
      <c r="X2077" s="102" t="s">
        <v>137</v>
      </c>
      <c r="Y2077" s="103" t="s">
        <v>138</v>
      </c>
      <c r="Z2077" s="103" t="s">
        <v>139</v>
      </c>
      <c r="AA2077" s="103" t="s">
        <v>47</v>
      </c>
      <c r="AB2077" s="103" t="s">
        <v>140</v>
      </c>
      <c r="AC2077" s="104" t="s">
        <v>141</v>
      </c>
    </row>
    <row r="2078" spans="1:29" ht="25.5" customHeight="1" x14ac:dyDescent="0.35">
      <c r="A2078" s="188"/>
      <c r="B2078" s="190"/>
      <c r="C2078" s="99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0"/>
      <c r="E2078" s="78" t="str">
        <f>IF(C2078="","",IFERROR(VLOOKUP(C2078,parametros!$A$11:$E$15,5,0),""))</f>
        <v/>
      </c>
      <c r="F2078" s="79" t="str">
        <f t="shared" si="162"/>
        <v/>
      </c>
      <c r="G2078" s="101"/>
      <c r="H2078" s="91">
        <f t="shared" si="163"/>
        <v>0</v>
      </c>
      <c r="I2078" s="91" t="str">
        <f t="shared" si="164"/>
        <v/>
      </c>
      <c r="J2078" s="91" t="str">
        <f t="shared" si="165"/>
        <v/>
      </c>
      <c r="K2078" s="92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2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58"/>
      <c r="U2078" s="217" t="str">
        <f t="shared" si="166"/>
        <v/>
      </c>
      <c r="V2078" s="215" t="s">
        <v>47</v>
      </c>
      <c r="W2078" s="102" t="s">
        <v>136</v>
      </c>
      <c r="X2078" s="102" t="s">
        <v>137</v>
      </c>
      <c r="Y2078" s="103" t="s">
        <v>138</v>
      </c>
      <c r="Z2078" s="103" t="s">
        <v>139</v>
      </c>
      <c r="AA2078" s="103" t="s">
        <v>47</v>
      </c>
      <c r="AB2078" s="103" t="s">
        <v>140</v>
      </c>
      <c r="AC2078" s="104" t="s">
        <v>141</v>
      </c>
    </row>
    <row r="2079" spans="1:29" ht="25.5" customHeight="1" x14ac:dyDescent="0.35">
      <c r="A2079" s="188"/>
      <c r="B2079" s="190"/>
      <c r="C2079" s="99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0"/>
      <c r="E2079" s="78" t="str">
        <f>IF(C2079="","",IFERROR(VLOOKUP(C2079,parametros!$A$11:$E$15,5,0),""))</f>
        <v/>
      </c>
      <c r="F2079" s="79" t="str">
        <f t="shared" si="162"/>
        <v/>
      </c>
      <c r="G2079" s="101"/>
      <c r="H2079" s="91">
        <f t="shared" si="163"/>
        <v>0</v>
      </c>
      <c r="I2079" s="91" t="str">
        <f t="shared" si="164"/>
        <v/>
      </c>
      <c r="J2079" s="91" t="str">
        <f t="shared" si="165"/>
        <v/>
      </c>
      <c r="K2079" s="92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2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58"/>
      <c r="U2079" s="217" t="str">
        <f t="shared" si="166"/>
        <v/>
      </c>
      <c r="V2079" s="215" t="s">
        <v>47</v>
      </c>
      <c r="W2079" s="102" t="s">
        <v>136</v>
      </c>
      <c r="X2079" s="102" t="s">
        <v>137</v>
      </c>
      <c r="Y2079" s="103" t="s">
        <v>138</v>
      </c>
      <c r="Z2079" s="103" t="s">
        <v>139</v>
      </c>
      <c r="AA2079" s="103" t="s">
        <v>47</v>
      </c>
      <c r="AB2079" s="103" t="s">
        <v>140</v>
      </c>
      <c r="AC2079" s="104" t="s">
        <v>141</v>
      </c>
    </row>
    <row r="2080" spans="1:29" ht="25.5" customHeight="1" x14ac:dyDescent="0.35">
      <c r="A2080" s="188"/>
      <c r="B2080" s="190"/>
      <c r="C2080" s="99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0"/>
      <c r="E2080" s="78" t="str">
        <f>IF(C2080="","",IFERROR(VLOOKUP(C2080,parametros!$A$11:$E$15,5,0),""))</f>
        <v/>
      </c>
      <c r="F2080" s="79" t="str">
        <f t="shared" si="162"/>
        <v/>
      </c>
      <c r="G2080" s="101"/>
      <c r="H2080" s="91">
        <f t="shared" si="163"/>
        <v>0</v>
      </c>
      <c r="I2080" s="91" t="str">
        <f t="shared" si="164"/>
        <v/>
      </c>
      <c r="J2080" s="91" t="str">
        <f t="shared" si="165"/>
        <v/>
      </c>
      <c r="K2080" s="92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2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58"/>
      <c r="U2080" s="217" t="str">
        <f t="shared" si="166"/>
        <v/>
      </c>
      <c r="V2080" s="215" t="s">
        <v>47</v>
      </c>
      <c r="W2080" s="102" t="s">
        <v>136</v>
      </c>
      <c r="X2080" s="102" t="s">
        <v>137</v>
      </c>
      <c r="Y2080" s="103" t="s">
        <v>138</v>
      </c>
      <c r="Z2080" s="103" t="s">
        <v>139</v>
      </c>
      <c r="AA2080" s="103" t="s">
        <v>47</v>
      </c>
      <c r="AB2080" s="103" t="s">
        <v>140</v>
      </c>
      <c r="AC2080" s="104" t="s">
        <v>141</v>
      </c>
    </row>
    <row r="2081" spans="1:29" ht="25.5" customHeight="1" x14ac:dyDescent="0.35">
      <c r="A2081" s="188"/>
      <c r="B2081" s="190"/>
      <c r="C2081" s="99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0"/>
      <c r="E2081" s="78" t="str">
        <f>IF(C2081="","",IFERROR(VLOOKUP(C2081,parametros!$A$11:$E$15,5,0),""))</f>
        <v/>
      </c>
      <c r="F2081" s="79" t="str">
        <f t="shared" si="162"/>
        <v/>
      </c>
      <c r="G2081" s="101"/>
      <c r="H2081" s="91">
        <f t="shared" si="163"/>
        <v>0</v>
      </c>
      <c r="I2081" s="91" t="str">
        <f t="shared" si="164"/>
        <v/>
      </c>
      <c r="J2081" s="91" t="str">
        <f t="shared" si="165"/>
        <v/>
      </c>
      <c r="K2081" s="92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2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58"/>
      <c r="U2081" s="217" t="str">
        <f t="shared" si="166"/>
        <v/>
      </c>
      <c r="V2081" s="215" t="s">
        <v>47</v>
      </c>
      <c r="W2081" s="102" t="s">
        <v>136</v>
      </c>
      <c r="X2081" s="102" t="s">
        <v>137</v>
      </c>
      <c r="Y2081" s="103" t="s">
        <v>138</v>
      </c>
      <c r="Z2081" s="103" t="s">
        <v>139</v>
      </c>
      <c r="AA2081" s="103" t="s">
        <v>47</v>
      </c>
      <c r="AB2081" s="103" t="s">
        <v>140</v>
      </c>
      <c r="AC2081" s="104" t="s">
        <v>141</v>
      </c>
    </row>
    <row r="2082" spans="1:29" ht="25.5" customHeight="1" x14ac:dyDescent="0.35">
      <c r="A2082" s="188"/>
      <c r="B2082" s="190"/>
      <c r="C2082" s="99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0"/>
      <c r="E2082" s="78" t="str">
        <f>IF(C2082="","",IFERROR(VLOOKUP(C2082,parametros!$A$11:$E$15,5,0),""))</f>
        <v/>
      </c>
      <c r="F2082" s="79" t="str">
        <f t="shared" si="162"/>
        <v/>
      </c>
      <c r="G2082" s="101"/>
      <c r="H2082" s="91">
        <f t="shared" si="163"/>
        <v>0</v>
      </c>
      <c r="I2082" s="91" t="str">
        <f t="shared" si="164"/>
        <v/>
      </c>
      <c r="J2082" s="91" t="str">
        <f t="shared" si="165"/>
        <v/>
      </c>
      <c r="K2082" s="92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2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58"/>
      <c r="U2082" s="217" t="str">
        <f t="shared" si="166"/>
        <v/>
      </c>
      <c r="V2082" s="215" t="s">
        <v>47</v>
      </c>
      <c r="W2082" s="102" t="s">
        <v>136</v>
      </c>
      <c r="X2082" s="102" t="s">
        <v>137</v>
      </c>
      <c r="Y2082" s="103" t="s">
        <v>138</v>
      </c>
      <c r="Z2082" s="103" t="s">
        <v>139</v>
      </c>
      <c r="AA2082" s="103" t="s">
        <v>47</v>
      </c>
      <c r="AB2082" s="103" t="s">
        <v>140</v>
      </c>
      <c r="AC2082" s="104" t="s">
        <v>141</v>
      </c>
    </row>
    <row r="2083" spans="1:29" ht="25.5" customHeight="1" x14ac:dyDescent="0.35">
      <c r="A2083" s="188"/>
      <c r="B2083" s="190"/>
      <c r="C2083" s="99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0"/>
      <c r="E2083" s="78" t="str">
        <f>IF(C2083="","",IFERROR(VLOOKUP(C2083,parametros!$A$11:$E$15,5,0),""))</f>
        <v/>
      </c>
      <c r="F2083" s="79" t="str">
        <f t="shared" si="162"/>
        <v/>
      </c>
      <c r="G2083" s="101"/>
      <c r="H2083" s="91">
        <f t="shared" si="163"/>
        <v>0</v>
      </c>
      <c r="I2083" s="91" t="str">
        <f t="shared" si="164"/>
        <v/>
      </c>
      <c r="J2083" s="91" t="str">
        <f t="shared" si="165"/>
        <v/>
      </c>
      <c r="K2083" s="92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2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58"/>
      <c r="U2083" s="217" t="str">
        <f t="shared" si="166"/>
        <v/>
      </c>
      <c r="V2083" s="215" t="s">
        <v>47</v>
      </c>
      <c r="W2083" s="102" t="s">
        <v>136</v>
      </c>
      <c r="X2083" s="102" t="s">
        <v>137</v>
      </c>
      <c r="Y2083" s="103" t="s">
        <v>138</v>
      </c>
      <c r="Z2083" s="103" t="s">
        <v>139</v>
      </c>
      <c r="AA2083" s="103" t="s">
        <v>47</v>
      </c>
      <c r="AB2083" s="103" t="s">
        <v>140</v>
      </c>
      <c r="AC2083" s="104" t="s">
        <v>141</v>
      </c>
    </row>
    <row r="2084" spans="1:29" ht="25.5" customHeight="1" x14ac:dyDescent="0.35">
      <c r="A2084" s="188"/>
      <c r="B2084" s="190"/>
      <c r="C2084" s="99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0"/>
      <c r="E2084" s="78" t="str">
        <f>IF(C2084="","",IFERROR(VLOOKUP(C2084,parametros!$A$11:$E$15,5,0),""))</f>
        <v/>
      </c>
      <c r="F2084" s="79" t="str">
        <f t="shared" si="162"/>
        <v/>
      </c>
      <c r="G2084" s="101"/>
      <c r="H2084" s="91">
        <f t="shared" si="163"/>
        <v>0</v>
      </c>
      <c r="I2084" s="91" t="str">
        <f t="shared" si="164"/>
        <v/>
      </c>
      <c r="J2084" s="91" t="str">
        <f t="shared" si="165"/>
        <v/>
      </c>
      <c r="K2084" s="92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2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58"/>
      <c r="U2084" s="217" t="str">
        <f t="shared" si="166"/>
        <v/>
      </c>
      <c r="V2084" s="215" t="s">
        <v>47</v>
      </c>
      <c r="W2084" s="102" t="s">
        <v>136</v>
      </c>
      <c r="X2084" s="102" t="s">
        <v>137</v>
      </c>
      <c r="Y2084" s="103" t="s">
        <v>138</v>
      </c>
      <c r="Z2084" s="103" t="s">
        <v>139</v>
      </c>
      <c r="AA2084" s="103" t="s">
        <v>47</v>
      </c>
      <c r="AB2084" s="103" t="s">
        <v>140</v>
      </c>
      <c r="AC2084" s="104" t="s">
        <v>141</v>
      </c>
    </row>
    <row r="2085" spans="1:29" ht="25.5" customHeight="1" x14ac:dyDescent="0.35">
      <c r="A2085" s="188"/>
      <c r="B2085" s="190"/>
      <c r="C2085" s="99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0"/>
      <c r="E2085" s="78" t="str">
        <f>IF(C2085="","",IFERROR(VLOOKUP(C2085,parametros!$A$11:$E$15,5,0),""))</f>
        <v/>
      </c>
      <c r="F2085" s="79" t="str">
        <f t="shared" si="162"/>
        <v/>
      </c>
      <c r="G2085" s="101"/>
      <c r="H2085" s="91">
        <f t="shared" si="163"/>
        <v>0</v>
      </c>
      <c r="I2085" s="91" t="str">
        <f t="shared" si="164"/>
        <v/>
      </c>
      <c r="J2085" s="91" t="str">
        <f t="shared" si="165"/>
        <v/>
      </c>
      <c r="K2085" s="92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2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58"/>
      <c r="U2085" s="217" t="str">
        <f t="shared" si="166"/>
        <v/>
      </c>
      <c r="V2085" s="215" t="s">
        <v>47</v>
      </c>
      <c r="W2085" s="102" t="s">
        <v>136</v>
      </c>
      <c r="X2085" s="102" t="s">
        <v>137</v>
      </c>
      <c r="Y2085" s="103" t="s">
        <v>138</v>
      </c>
      <c r="Z2085" s="103" t="s">
        <v>139</v>
      </c>
      <c r="AA2085" s="103" t="s">
        <v>47</v>
      </c>
      <c r="AB2085" s="103" t="s">
        <v>140</v>
      </c>
      <c r="AC2085" s="104" t="s">
        <v>141</v>
      </c>
    </row>
    <row r="2086" spans="1:29" ht="25.5" customHeight="1" x14ac:dyDescent="0.35">
      <c r="A2086" s="188"/>
      <c r="B2086" s="190"/>
      <c r="C2086" s="99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0"/>
      <c r="E2086" s="78" t="str">
        <f>IF(C2086="","",IFERROR(VLOOKUP(C2086,parametros!$A$11:$E$15,5,0),""))</f>
        <v/>
      </c>
      <c r="F2086" s="79" t="str">
        <f t="shared" si="162"/>
        <v/>
      </c>
      <c r="G2086" s="101"/>
      <c r="H2086" s="91">
        <f t="shared" si="163"/>
        <v>0</v>
      </c>
      <c r="I2086" s="91" t="str">
        <f t="shared" si="164"/>
        <v/>
      </c>
      <c r="J2086" s="91" t="str">
        <f t="shared" si="165"/>
        <v/>
      </c>
      <c r="K2086" s="92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2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58"/>
      <c r="U2086" s="217" t="str">
        <f t="shared" si="166"/>
        <v/>
      </c>
      <c r="V2086" s="215" t="s">
        <v>47</v>
      </c>
      <c r="W2086" s="102" t="s">
        <v>136</v>
      </c>
      <c r="X2086" s="102" t="s">
        <v>137</v>
      </c>
      <c r="Y2086" s="103" t="s">
        <v>138</v>
      </c>
      <c r="Z2086" s="103" t="s">
        <v>139</v>
      </c>
      <c r="AA2086" s="103" t="s">
        <v>47</v>
      </c>
      <c r="AB2086" s="103" t="s">
        <v>140</v>
      </c>
      <c r="AC2086" s="104" t="s">
        <v>141</v>
      </c>
    </row>
    <row r="2087" spans="1:29" ht="25.5" customHeight="1" x14ac:dyDescent="0.35">
      <c r="A2087" s="188"/>
      <c r="B2087" s="190"/>
      <c r="C2087" s="99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0"/>
      <c r="E2087" s="78" t="str">
        <f>IF(C2087="","",IFERROR(VLOOKUP(C2087,parametros!$A$11:$E$15,5,0),""))</f>
        <v/>
      </c>
      <c r="F2087" s="79" t="str">
        <f t="shared" si="162"/>
        <v/>
      </c>
      <c r="G2087" s="101"/>
      <c r="H2087" s="91">
        <f t="shared" si="163"/>
        <v>0</v>
      </c>
      <c r="I2087" s="91" t="str">
        <f t="shared" si="164"/>
        <v/>
      </c>
      <c r="J2087" s="91" t="str">
        <f t="shared" si="165"/>
        <v/>
      </c>
      <c r="K2087" s="92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2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58"/>
      <c r="U2087" s="217" t="str">
        <f t="shared" si="166"/>
        <v/>
      </c>
      <c r="V2087" s="215" t="s">
        <v>47</v>
      </c>
      <c r="W2087" s="102" t="s">
        <v>136</v>
      </c>
      <c r="X2087" s="102" t="s">
        <v>137</v>
      </c>
      <c r="Y2087" s="103" t="s">
        <v>138</v>
      </c>
      <c r="Z2087" s="103" t="s">
        <v>139</v>
      </c>
      <c r="AA2087" s="103" t="s">
        <v>47</v>
      </c>
      <c r="AB2087" s="103" t="s">
        <v>140</v>
      </c>
      <c r="AC2087" s="104" t="s">
        <v>141</v>
      </c>
    </row>
    <row r="2088" spans="1:29" ht="25.5" customHeight="1" x14ac:dyDescent="0.35">
      <c r="A2088" s="188"/>
      <c r="B2088" s="190"/>
      <c r="C2088" s="99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0"/>
      <c r="E2088" s="78" t="str">
        <f>IF(C2088="","",IFERROR(VLOOKUP(C2088,parametros!$A$11:$E$15,5,0),""))</f>
        <v/>
      </c>
      <c r="F2088" s="79" t="str">
        <f t="shared" si="162"/>
        <v/>
      </c>
      <c r="G2088" s="101"/>
      <c r="H2088" s="91">
        <f t="shared" si="163"/>
        <v>0</v>
      </c>
      <c r="I2088" s="91" t="str">
        <f t="shared" si="164"/>
        <v/>
      </c>
      <c r="J2088" s="91" t="str">
        <f t="shared" si="165"/>
        <v/>
      </c>
      <c r="K2088" s="92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2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58"/>
      <c r="U2088" s="217" t="str">
        <f t="shared" si="166"/>
        <v/>
      </c>
      <c r="V2088" s="215" t="s">
        <v>47</v>
      </c>
      <c r="W2088" s="102" t="s">
        <v>136</v>
      </c>
      <c r="X2088" s="102" t="s">
        <v>137</v>
      </c>
      <c r="Y2088" s="103" t="s">
        <v>138</v>
      </c>
      <c r="Z2088" s="103" t="s">
        <v>139</v>
      </c>
      <c r="AA2088" s="103" t="s">
        <v>47</v>
      </c>
      <c r="AB2088" s="103" t="s">
        <v>140</v>
      </c>
      <c r="AC2088" s="104" t="s">
        <v>141</v>
      </c>
    </row>
    <row r="2089" spans="1:29" ht="25.5" customHeight="1" x14ac:dyDescent="0.35">
      <c r="A2089" s="188"/>
      <c r="B2089" s="190"/>
      <c r="C2089" s="99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0"/>
      <c r="E2089" s="78" t="str">
        <f>IF(C2089="","",IFERROR(VLOOKUP(C2089,parametros!$A$11:$E$15,5,0),""))</f>
        <v/>
      </c>
      <c r="F2089" s="79" t="str">
        <f t="shared" si="162"/>
        <v/>
      </c>
      <c r="G2089" s="101"/>
      <c r="H2089" s="91">
        <f t="shared" si="163"/>
        <v>0</v>
      </c>
      <c r="I2089" s="91" t="str">
        <f t="shared" si="164"/>
        <v/>
      </c>
      <c r="J2089" s="91" t="str">
        <f t="shared" si="165"/>
        <v/>
      </c>
      <c r="K2089" s="92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2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58"/>
      <c r="U2089" s="217" t="str">
        <f t="shared" si="166"/>
        <v/>
      </c>
      <c r="V2089" s="215" t="s">
        <v>47</v>
      </c>
      <c r="W2089" s="102" t="s">
        <v>136</v>
      </c>
      <c r="X2089" s="102" t="s">
        <v>137</v>
      </c>
      <c r="Y2089" s="103" t="s">
        <v>138</v>
      </c>
      <c r="Z2089" s="103" t="s">
        <v>139</v>
      </c>
      <c r="AA2089" s="103" t="s">
        <v>47</v>
      </c>
      <c r="AB2089" s="103" t="s">
        <v>140</v>
      </c>
      <c r="AC2089" s="104" t="s">
        <v>141</v>
      </c>
    </row>
    <row r="2090" spans="1:29" ht="25.5" customHeight="1" x14ac:dyDescent="0.35">
      <c r="A2090" s="188"/>
      <c r="B2090" s="190"/>
      <c r="C2090" s="99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0"/>
      <c r="E2090" s="78" t="str">
        <f>IF(C2090="","",IFERROR(VLOOKUP(C2090,parametros!$A$11:$E$15,5,0),""))</f>
        <v/>
      </c>
      <c r="F2090" s="79" t="str">
        <f t="shared" si="162"/>
        <v/>
      </c>
      <c r="G2090" s="101"/>
      <c r="H2090" s="91">
        <f t="shared" si="163"/>
        <v>0</v>
      </c>
      <c r="I2090" s="91" t="str">
        <f t="shared" si="164"/>
        <v/>
      </c>
      <c r="J2090" s="91" t="str">
        <f t="shared" si="165"/>
        <v/>
      </c>
      <c r="K2090" s="92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2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58"/>
      <c r="U2090" s="217" t="str">
        <f t="shared" si="166"/>
        <v/>
      </c>
      <c r="V2090" s="215" t="s">
        <v>47</v>
      </c>
      <c r="W2090" s="102" t="s">
        <v>136</v>
      </c>
      <c r="X2090" s="102" t="s">
        <v>137</v>
      </c>
      <c r="Y2090" s="103" t="s">
        <v>138</v>
      </c>
      <c r="Z2090" s="103" t="s">
        <v>139</v>
      </c>
      <c r="AA2090" s="103" t="s">
        <v>47</v>
      </c>
      <c r="AB2090" s="103" t="s">
        <v>140</v>
      </c>
      <c r="AC2090" s="104" t="s">
        <v>141</v>
      </c>
    </row>
    <row r="2091" spans="1:29" ht="25.5" customHeight="1" x14ac:dyDescent="0.35">
      <c r="A2091" s="188"/>
      <c r="B2091" s="190"/>
      <c r="C2091" s="99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0"/>
      <c r="E2091" s="78" t="str">
        <f>IF(C2091="","",IFERROR(VLOOKUP(C2091,parametros!$A$11:$E$15,5,0),""))</f>
        <v/>
      </c>
      <c r="F2091" s="79" t="str">
        <f t="shared" si="162"/>
        <v/>
      </c>
      <c r="G2091" s="101"/>
      <c r="H2091" s="91">
        <f t="shared" si="163"/>
        <v>0</v>
      </c>
      <c r="I2091" s="91" t="str">
        <f t="shared" si="164"/>
        <v/>
      </c>
      <c r="J2091" s="91" t="str">
        <f t="shared" si="165"/>
        <v/>
      </c>
      <c r="K2091" s="92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2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58"/>
      <c r="U2091" s="217" t="str">
        <f t="shared" si="166"/>
        <v/>
      </c>
      <c r="V2091" s="215" t="s">
        <v>47</v>
      </c>
      <c r="W2091" s="102" t="s">
        <v>136</v>
      </c>
      <c r="X2091" s="102" t="s">
        <v>137</v>
      </c>
      <c r="Y2091" s="103" t="s">
        <v>138</v>
      </c>
      <c r="Z2091" s="103" t="s">
        <v>139</v>
      </c>
      <c r="AA2091" s="103" t="s">
        <v>47</v>
      </c>
      <c r="AB2091" s="103" t="s">
        <v>140</v>
      </c>
      <c r="AC2091" s="104" t="s">
        <v>141</v>
      </c>
    </row>
    <row r="2092" spans="1:29" ht="25.5" customHeight="1" x14ac:dyDescent="0.35">
      <c r="A2092" s="188"/>
      <c r="B2092" s="190"/>
      <c r="C2092" s="99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0"/>
      <c r="E2092" s="78" t="str">
        <f>IF(C2092="","",IFERROR(VLOOKUP(C2092,parametros!$A$11:$E$15,5,0),""))</f>
        <v/>
      </c>
      <c r="F2092" s="79" t="str">
        <f t="shared" si="162"/>
        <v/>
      </c>
      <c r="G2092" s="101"/>
      <c r="H2092" s="91">
        <f t="shared" si="163"/>
        <v>0</v>
      </c>
      <c r="I2092" s="91" t="str">
        <f t="shared" si="164"/>
        <v/>
      </c>
      <c r="J2092" s="91" t="str">
        <f t="shared" si="165"/>
        <v/>
      </c>
      <c r="K2092" s="92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2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58"/>
      <c r="U2092" s="217" t="str">
        <f t="shared" si="166"/>
        <v/>
      </c>
      <c r="V2092" s="215" t="s">
        <v>47</v>
      </c>
      <c r="W2092" s="102" t="s">
        <v>136</v>
      </c>
      <c r="X2092" s="102" t="s">
        <v>137</v>
      </c>
      <c r="Y2092" s="103" t="s">
        <v>138</v>
      </c>
      <c r="Z2092" s="103" t="s">
        <v>139</v>
      </c>
      <c r="AA2092" s="103" t="s">
        <v>47</v>
      </c>
      <c r="AB2092" s="103" t="s">
        <v>140</v>
      </c>
      <c r="AC2092" s="104" t="s">
        <v>141</v>
      </c>
    </row>
    <row r="2093" spans="1:29" ht="25.5" customHeight="1" x14ac:dyDescent="0.35">
      <c r="A2093" s="188"/>
      <c r="B2093" s="190"/>
      <c r="C2093" s="99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0"/>
      <c r="E2093" s="78" t="str">
        <f>IF(C2093="","",IFERROR(VLOOKUP(C2093,parametros!$A$11:$E$15,5,0),""))</f>
        <v/>
      </c>
      <c r="F2093" s="79" t="str">
        <f t="shared" si="162"/>
        <v/>
      </c>
      <c r="G2093" s="101"/>
      <c r="H2093" s="91">
        <f t="shared" si="163"/>
        <v>0</v>
      </c>
      <c r="I2093" s="91" t="str">
        <f t="shared" si="164"/>
        <v/>
      </c>
      <c r="J2093" s="91" t="str">
        <f t="shared" si="165"/>
        <v/>
      </c>
      <c r="K2093" s="92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2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58"/>
      <c r="U2093" s="217" t="str">
        <f t="shared" si="166"/>
        <v/>
      </c>
      <c r="V2093" s="215" t="s">
        <v>47</v>
      </c>
      <c r="W2093" s="102" t="s">
        <v>136</v>
      </c>
      <c r="X2093" s="102" t="s">
        <v>137</v>
      </c>
      <c r="Y2093" s="103" t="s">
        <v>138</v>
      </c>
      <c r="Z2093" s="103" t="s">
        <v>139</v>
      </c>
      <c r="AA2093" s="103" t="s">
        <v>47</v>
      </c>
      <c r="AB2093" s="103" t="s">
        <v>140</v>
      </c>
      <c r="AC2093" s="104" t="s">
        <v>141</v>
      </c>
    </row>
    <row r="2094" spans="1:29" ht="25.5" customHeight="1" x14ac:dyDescent="0.35">
      <c r="A2094" s="188"/>
      <c r="B2094" s="190"/>
      <c r="C2094" s="99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0"/>
      <c r="E2094" s="78" t="str">
        <f>IF(C2094="","",IFERROR(VLOOKUP(C2094,parametros!$A$11:$E$15,5,0),""))</f>
        <v/>
      </c>
      <c r="F2094" s="79" t="str">
        <f t="shared" si="162"/>
        <v/>
      </c>
      <c r="G2094" s="101"/>
      <c r="H2094" s="91">
        <f t="shared" si="163"/>
        <v>0</v>
      </c>
      <c r="I2094" s="91" t="str">
        <f t="shared" si="164"/>
        <v/>
      </c>
      <c r="J2094" s="91" t="str">
        <f t="shared" si="165"/>
        <v/>
      </c>
      <c r="K2094" s="92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2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58"/>
      <c r="U2094" s="217" t="str">
        <f t="shared" si="166"/>
        <v/>
      </c>
      <c r="V2094" s="215" t="s">
        <v>47</v>
      </c>
      <c r="W2094" s="102" t="s">
        <v>136</v>
      </c>
      <c r="X2094" s="102" t="s">
        <v>137</v>
      </c>
      <c r="Y2094" s="103" t="s">
        <v>138</v>
      </c>
      <c r="Z2094" s="103" t="s">
        <v>139</v>
      </c>
      <c r="AA2094" s="103" t="s">
        <v>47</v>
      </c>
      <c r="AB2094" s="103" t="s">
        <v>140</v>
      </c>
      <c r="AC2094" s="104" t="s">
        <v>141</v>
      </c>
    </row>
    <row r="2095" spans="1:29" ht="25.5" customHeight="1" x14ac:dyDescent="0.35">
      <c r="A2095" s="188"/>
      <c r="B2095" s="190"/>
      <c r="C2095" s="99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0"/>
      <c r="E2095" s="78" t="str">
        <f>IF(C2095="","",IFERROR(VLOOKUP(C2095,parametros!$A$11:$E$15,5,0),""))</f>
        <v/>
      </c>
      <c r="F2095" s="79" t="str">
        <f t="shared" si="162"/>
        <v/>
      </c>
      <c r="G2095" s="101"/>
      <c r="H2095" s="91">
        <f t="shared" si="163"/>
        <v>0</v>
      </c>
      <c r="I2095" s="91" t="str">
        <f t="shared" si="164"/>
        <v/>
      </c>
      <c r="J2095" s="91" t="str">
        <f t="shared" si="165"/>
        <v/>
      </c>
      <c r="K2095" s="92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2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58"/>
      <c r="U2095" s="217" t="str">
        <f t="shared" si="166"/>
        <v/>
      </c>
      <c r="V2095" s="215" t="s">
        <v>47</v>
      </c>
      <c r="W2095" s="102" t="s">
        <v>136</v>
      </c>
      <c r="X2095" s="102" t="s">
        <v>137</v>
      </c>
      <c r="Y2095" s="103" t="s">
        <v>138</v>
      </c>
      <c r="Z2095" s="103" t="s">
        <v>139</v>
      </c>
      <c r="AA2095" s="103" t="s">
        <v>47</v>
      </c>
      <c r="AB2095" s="103" t="s">
        <v>140</v>
      </c>
      <c r="AC2095" s="104" t="s">
        <v>141</v>
      </c>
    </row>
    <row r="2096" spans="1:29" ht="25.5" customHeight="1" x14ac:dyDescent="0.35">
      <c r="A2096" s="188"/>
      <c r="B2096" s="190"/>
      <c r="C2096" s="99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0"/>
      <c r="E2096" s="78" t="str">
        <f>IF(C2096="","",IFERROR(VLOOKUP(C2096,parametros!$A$11:$E$15,5,0),""))</f>
        <v/>
      </c>
      <c r="F2096" s="79" t="str">
        <f t="shared" si="162"/>
        <v/>
      </c>
      <c r="G2096" s="101"/>
      <c r="H2096" s="91">
        <f t="shared" si="163"/>
        <v>0</v>
      </c>
      <c r="I2096" s="91" t="str">
        <f t="shared" si="164"/>
        <v/>
      </c>
      <c r="J2096" s="91" t="str">
        <f t="shared" si="165"/>
        <v/>
      </c>
      <c r="K2096" s="92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2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58"/>
      <c r="U2096" s="217" t="str">
        <f t="shared" si="166"/>
        <v/>
      </c>
      <c r="V2096" s="215" t="s">
        <v>47</v>
      </c>
      <c r="W2096" s="102" t="s">
        <v>136</v>
      </c>
      <c r="X2096" s="102" t="s">
        <v>137</v>
      </c>
      <c r="Y2096" s="103" t="s">
        <v>138</v>
      </c>
      <c r="Z2096" s="103" t="s">
        <v>139</v>
      </c>
      <c r="AA2096" s="103" t="s">
        <v>47</v>
      </c>
      <c r="AB2096" s="103" t="s">
        <v>140</v>
      </c>
      <c r="AC2096" s="104" t="s">
        <v>141</v>
      </c>
    </row>
    <row r="2097" spans="1:29" ht="25.5" customHeight="1" x14ac:dyDescent="0.35">
      <c r="A2097" s="188"/>
      <c r="B2097" s="190"/>
      <c r="C2097" s="99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0"/>
      <c r="E2097" s="78" t="str">
        <f>IF(C2097="","",IFERROR(VLOOKUP(C2097,parametros!$A$11:$E$15,5,0),""))</f>
        <v/>
      </c>
      <c r="F2097" s="79" t="str">
        <f t="shared" si="162"/>
        <v/>
      </c>
      <c r="G2097" s="101"/>
      <c r="H2097" s="91">
        <f t="shared" si="163"/>
        <v>0</v>
      </c>
      <c r="I2097" s="91" t="str">
        <f t="shared" si="164"/>
        <v/>
      </c>
      <c r="J2097" s="91" t="str">
        <f t="shared" si="165"/>
        <v/>
      </c>
      <c r="K2097" s="92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2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58"/>
      <c r="U2097" s="217" t="str">
        <f t="shared" si="166"/>
        <v/>
      </c>
      <c r="V2097" s="215" t="s">
        <v>47</v>
      </c>
      <c r="W2097" s="102" t="s">
        <v>136</v>
      </c>
      <c r="X2097" s="102" t="s">
        <v>137</v>
      </c>
      <c r="Y2097" s="103" t="s">
        <v>138</v>
      </c>
      <c r="Z2097" s="103" t="s">
        <v>139</v>
      </c>
      <c r="AA2097" s="103" t="s">
        <v>47</v>
      </c>
      <c r="AB2097" s="103" t="s">
        <v>140</v>
      </c>
      <c r="AC2097" s="104" t="s">
        <v>141</v>
      </c>
    </row>
    <row r="2098" spans="1:29" ht="25.5" customHeight="1" x14ac:dyDescent="0.35">
      <c r="A2098" s="188"/>
      <c r="B2098" s="190"/>
      <c r="C2098" s="99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0"/>
      <c r="E2098" s="78" t="str">
        <f>IF(C2098="","",IFERROR(VLOOKUP(C2098,parametros!$A$11:$E$15,5,0),""))</f>
        <v/>
      </c>
      <c r="F2098" s="79" t="str">
        <f t="shared" si="162"/>
        <v/>
      </c>
      <c r="G2098" s="101"/>
      <c r="H2098" s="91">
        <f t="shared" si="163"/>
        <v>0</v>
      </c>
      <c r="I2098" s="91" t="str">
        <f t="shared" si="164"/>
        <v/>
      </c>
      <c r="J2098" s="91" t="str">
        <f t="shared" si="165"/>
        <v/>
      </c>
      <c r="K2098" s="92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2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58"/>
      <c r="U2098" s="217" t="str">
        <f t="shared" si="166"/>
        <v/>
      </c>
      <c r="V2098" s="215" t="s">
        <v>47</v>
      </c>
      <c r="W2098" s="102" t="s">
        <v>136</v>
      </c>
      <c r="X2098" s="102" t="s">
        <v>137</v>
      </c>
      <c r="Y2098" s="103" t="s">
        <v>138</v>
      </c>
      <c r="Z2098" s="103" t="s">
        <v>139</v>
      </c>
      <c r="AA2098" s="103" t="s">
        <v>47</v>
      </c>
      <c r="AB2098" s="103" t="s">
        <v>140</v>
      </c>
      <c r="AC2098" s="104" t="s">
        <v>141</v>
      </c>
    </row>
    <row r="2099" spans="1:29" ht="25.5" customHeight="1" x14ac:dyDescent="0.35">
      <c r="A2099" s="188"/>
      <c r="B2099" s="190"/>
      <c r="C2099" s="99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0"/>
      <c r="E2099" s="78" t="str">
        <f>IF(C2099="","",IFERROR(VLOOKUP(C2099,parametros!$A$11:$E$15,5,0),""))</f>
        <v/>
      </c>
      <c r="F2099" s="79" t="str">
        <f t="shared" si="162"/>
        <v/>
      </c>
      <c r="G2099" s="101"/>
      <c r="H2099" s="91">
        <f t="shared" si="163"/>
        <v>0</v>
      </c>
      <c r="I2099" s="91" t="str">
        <f t="shared" si="164"/>
        <v/>
      </c>
      <c r="J2099" s="91" t="str">
        <f t="shared" si="165"/>
        <v/>
      </c>
      <c r="K2099" s="92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2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58"/>
      <c r="U2099" s="217" t="str">
        <f t="shared" si="166"/>
        <v/>
      </c>
      <c r="V2099" s="215" t="s">
        <v>47</v>
      </c>
      <c r="W2099" s="102" t="s">
        <v>136</v>
      </c>
      <c r="X2099" s="102" t="s">
        <v>137</v>
      </c>
      <c r="Y2099" s="103" t="s">
        <v>138</v>
      </c>
      <c r="Z2099" s="103" t="s">
        <v>139</v>
      </c>
      <c r="AA2099" s="103" t="s">
        <v>47</v>
      </c>
      <c r="AB2099" s="103" t="s">
        <v>140</v>
      </c>
      <c r="AC2099" s="104" t="s">
        <v>141</v>
      </c>
    </row>
    <row r="2100" spans="1:29" ht="25.5" customHeight="1" x14ac:dyDescent="0.35">
      <c r="A2100" s="188"/>
      <c r="B2100" s="190"/>
      <c r="C2100" s="99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0"/>
      <c r="E2100" s="78" t="str">
        <f>IF(C2100="","",IFERROR(VLOOKUP(C2100,parametros!$A$11:$E$15,5,0),""))</f>
        <v/>
      </c>
      <c r="F2100" s="79" t="str">
        <f t="shared" si="162"/>
        <v/>
      </c>
      <c r="G2100" s="101"/>
      <c r="H2100" s="91">
        <f t="shared" si="163"/>
        <v>0</v>
      </c>
      <c r="I2100" s="91" t="str">
        <f t="shared" si="164"/>
        <v/>
      </c>
      <c r="J2100" s="91" t="str">
        <f t="shared" si="165"/>
        <v/>
      </c>
      <c r="K2100" s="92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2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58"/>
      <c r="U2100" s="217" t="str">
        <f t="shared" si="166"/>
        <v/>
      </c>
      <c r="V2100" s="215" t="s">
        <v>47</v>
      </c>
      <c r="W2100" s="102" t="s">
        <v>136</v>
      </c>
      <c r="X2100" s="102" t="s">
        <v>137</v>
      </c>
      <c r="Y2100" s="103" t="s">
        <v>138</v>
      </c>
      <c r="Z2100" s="103" t="s">
        <v>139</v>
      </c>
      <c r="AA2100" s="103" t="s">
        <v>47</v>
      </c>
      <c r="AB2100" s="103" t="s">
        <v>140</v>
      </c>
      <c r="AC2100" s="104" t="s">
        <v>141</v>
      </c>
    </row>
    <row r="2101" spans="1:29" ht="25.5" customHeight="1" x14ac:dyDescent="0.35">
      <c r="A2101" s="188"/>
      <c r="B2101" s="190"/>
      <c r="C2101" s="99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0"/>
      <c r="E2101" s="78" t="str">
        <f>IF(C2101="","",IFERROR(VLOOKUP(C2101,parametros!$A$11:$E$15,5,0),""))</f>
        <v/>
      </c>
      <c r="F2101" s="79" t="str">
        <f t="shared" si="162"/>
        <v/>
      </c>
      <c r="G2101" s="101"/>
      <c r="H2101" s="91">
        <f t="shared" si="163"/>
        <v>0</v>
      </c>
      <c r="I2101" s="91" t="str">
        <f t="shared" si="164"/>
        <v/>
      </c>
      <c r="J2101" s="91" t="str">
        <f t="shared" si="165"/>
        <v/>
      </c>
      <c r="K2101" s="92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2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58"/>
      <c r="U2101" s="217" t="str">
        <f t="shared" si="166"/>
        <v/>
      </c>
      <c r="V2101" s="215" t="s">
        <v>47</v>
      </c>
      <c r="W2101" s="102" t="s">
        <v>136</v>
      </c>
      <c r="X2101" s="102" t="s">
        <v>137</v>
      </c>
      <c r="Y2101" s="103" t="s">
        <v>138</v>
      </c>
      <c r="Z2101" s="103" t="s">
        <v>139</v>
      </c>
      <c r="AA2101" s="103" t="s">
        <v>47</v>
      </c>
      <c r="AB2101" s="103" t="s">
        <v>140</v>
      </c>
      <c r="AC2101" s="104" t="s">
        <v>141</v>
      </c>
    </row>
    <row r="2102" spans="1:29" ht="25.5" customHeight="1" x14ac:dyDescent="0.35">
      <c r="A2102" s="188"/>
      <c r="B2102" s="190"/>
      <c r="C2102" s="99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0"/>
      <c r="E2102" s="78" t="str">
        <f>IF(C2102="","",IFERROR(VLOOKUP(C2102,parametros!$A$11:$E$15,5,0),""))</f>
        <v/>
      </c>
      <c r="F2102" s="79" t="str">
        <f t="shared" si="162"/>
        <v/>
      </c>
      <c r="G2102" s="101"/>
      <c r="H2102" s="91">
        <f t="shared" si="163"/>
        <v>0</v>
      </c>
      <c r="I2102" s="91" t="str">
        <f t="shared" si="164"/>
        <v/>
      </c>
      <c r="J2102" s="91" t="str">
        <f t="shared" si="165"/>
        <v/>
      </c>
      <c r="K2102" s="92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2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58"/>
      <c r="U2102" s="217" t="str">
        <f t="shared" si="166"/>
        <v/>
      </c>
      <c r="V2102" s="215" t="s">
        <v>47</v>
      </c>
      <c r="W2102" s="102" t="s">
        <v>136</v>
      </c>
      <c r="X2102" s="102" t="s">
        <v>137</v>
      </c>
      <c r="Y2102" s="103" t="s">
        <v>138</v>
      </c>
      <c r="Z2102" s="103" t="s">
        <v>139</v>
      </c>
      <c r="AA2102" s="103" t="s">
        <v>47</v>
      </c>
      <c r="AB2102" s="103" t="s">
        <v>140</v>
      </c>
      <c r="AC2102" s="104" t="s">
        <v>141</v>
      </c>
    </row>
    <row r="2103" spans="1:29" ht="25.5" customHeight="1" x14ac:dyDescent="0.35">
      <c r="A2103" s="188"/>
      <c r="B2103" s="190"/>
      <c r="C2103" s="99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0"/>
      <c r="E2103" s="78" t="str">
        <f>IF(C2103="","",IFERROR(VLOOKUP(C2103,parametros!$A$11:$E$15,5,0),""))</f>
        <v/>
      </c>
      <c r="F2103" s="79" t="str">
        <f t="shared" si="162"/>
        <v/>
      </c>
      <c r="G2103" s="101"/>
      <c r="H2103" s="91">
        <f t="shared" si="163"/>
        <v>0</v>
      </c>
      <c r="I2103" s="91" t="str">
        <f t="shared" si="164"/>
        <v/>
      </c>
      <c r="J2103" s="91" t="str">
        <f t="shared" si="165"/>
        <v/>
      </c>
      <c r="K2103" s="92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2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58"/>
      <c r="U2103" s="217" t="str">
        <f t="shared" si="166"/>
        <v/>
      </c>
      <c r="V2103" s="215" t="s">
        <v>47</v>
      </c>
      <c r="W2103" s="102" t="s">
        <v>136</v>
      </c>
      <c r="X2103" s="102" t="s">
        <v>137</v>
      </c>
      <c r="Y2103" s="103" t="s">
        <v>138</v>
      </c>
      <c r="Z2103" s="103" t="s">
        <v>139</v>
      </c>
      <c r="AA2103" s="103" t="s">
        <v>47</v>
      </c>
      <c r="AB2103" s="103" t="s">
        <v>140</v>
      </c>
      <c r="AC2103" s="104" t="s">
        <v>141</v>
      </c>
    </row>
    <row r="2104" spans="1:29" ht="25.5" customHeight="1" x14ac:dyDescent="0.35">
      <c r="A2104" s="188"/>
      <c r="B2104" s="190"/>
      <c r="C2104" s="99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0"/>
      <c r="E2104" s="78" t="str">
        <f>IF(C2104="","",IFERROR(VLOOKUP(C2104,parametros!$A$11:$E$15,5,0),""))</f>
        <v/>
      </c>
      <c r="F2104" s="79" t="str">
        <f t="shared" si="162"/>
        <v/>
      </c>
      <c r="G2104" s="101"/>
      <c r="H2104" s="91">
        <f t="shared" si="163"/>
        <v>0</v>
      </c>
      <c r="I2104" s="91" t="str">
        <f t="shared" si="164"/>
        <v/>
      </c>
      <c r="J2104" s="91" t="str">
        <f t="shared" si="165"/>
        <v/>
      </c>
      <c r="K2104" s="92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2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58"/>
      <c r="U2104" s="217" t="str">
        <f t="shared" si="166"/>
        <v/>
      </c>
      <c r="V2104" s="215" t="s">
        <v>47</v>
      </c>
      <c r="W2104" s="102" t="s">
        <v>136</v>
      </c>
      <c r="X2104" s="102" t="s">
        <v>137</v>
      </c>
      <c r="Y2104" s="103" t="s">
        <v>138</v>
      </c>
      <c r="Z2104" s="103" t="s">
        <v>139</v>
      </c>
      <c r="AA2104" s="103" t="s">
        <v>47</v>
      </c>
      <c r="AB2104" s="103" t="s">
        <v>140</v>
      </c>
      <c r="AC2104" s="104" t="s">
        <v>141</v>
      </c>
    </row>
    <row r="2105" spans="1:29" ht="25.5" customHeight="1" x14ac:dyDescent="0.35">
      <c r="A2105" s="188"/>
      <c r="B2105" s="190"/>
      <c r="C2105" s="99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0"/>
      <c r="E2105" s="78" t="str">
        <f>IF(C2105="","",IFERROR(VLOOKUP(C2105,parametros!$A$11:$E$15,5,0),""))</f>
        <v/>
      </c>
      <c r="F2105" s="79" t="str">
        <f t="shared" si="162"/>
        <v/>
      </c>
      <c r="G2105" s="101"/>
      <c r="H2105" s="91">
        <f t="shared" si="163"/>
        <v>0</v>
      </c>
      <c r="I2105" s="91" t="str">
        <f t="shared" si="164"/>
        <v/>
      </c>
      <c r="J2105" s="91" t="str">
        <f t="shared" si="165"/>
        <v/>
      </c>
      <c r="K2105" s="92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2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58"/>
      <c r="U2105" s="217" t="str">
        <f t="shared" si="166"/>
        <v/>
      </c>
      <c r="V2105" s="215" t="s">
        <v>47</v>
      </c>
      <c r="W2105" s="102" t="s">
        <v>136</v>
      </c>
      <c r="X2105" s="102" t="s">
        <v>137</v>
      </c>
      <c r="Y2105" s="103" t="s">
        <v>138</v>
      </c>
      <c r="Z2105" s="103" t="s">
        <v>139</v>
      </c>
      <c r="AA2105" s="103" t="s">
        <v>47</v>
      </c>
      <c r="AB2105" s="103" t="s">
        <v>140</v>
      </c>
      <c r="AC2105" s="104" t="s">
        <v>141</v>
      </c>
    </row>
    <row r="2106" spans="1:29" ht="25.5" customHeight="1" x14ac:dyDescent="0.35">
      <c r="A2106" s="188"/>
      <c r="B2106" s="190"/>
      <c r="C2106" s="99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0"/>
      <c r="E2106" s="78" t="str">
        <f>IF(C2106="","",IFERROR(VLOOKUP(C2106,parametros!$A$11:$E$15,5,0),""))</f>
        <v/>
      </c>
      <c r="F2106" s="79" t="str">
        <f t="shared" si="162"/>
        <v/>
      </c>
      <c r="G2106" s="101"/>
      <c r="H2106" s="91">
        <f t="shared" si="163"/>
        <v>0</v>
      </c>
      <c r="I2106" s="91" t="str">
        <f t="shared" si="164"/>
        <v/>
      </c>
      <c r="J2106" s="91" t="str">
        <f t="shared" si="165"/>
        <v/>
      </c>
      <c r="K2106" s="92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2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58"/>
      <c r="U2106" s="217" t="str">
        <f t="shared" si="166"/>
        <v/>
      </c>
      <c r="V2106" s="215" t="s">
        <v>47</v>
      </c>
      <c r="W2106" s="102" t="s">
        <v>136</v>
      </c>
      <c r="X2106" s="102" t="s">
        <v>137</v>
      </c>
      <c r="Y2106" s="103" t="s">
        <v>138</v>
      </c>
      <c r="Z2106" s="103" t="s">
        <v>139</v>
      </c>
      <c r="AA2106" s="103" t="s">
        <v>47</v>
      </c>
      <c r="AB2106" s="103" t="s">
        <v>140</v>
      </c>
      <c r="AC2106" s="104" t="s">
        <v>141</v>
      </c>
    </row>
    <row r="2107" spans="1:29" ht="25.5" customHeight="1" x14ac:dyDescent="0.35">
      <c r="A2107" s="188"/>
      <c r="B2107" s="190"/>
      <c r="C2107" s="99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0"/>
      <c r="E2107" s="78" t="str">
        <f>IF(C2107="","",IFERROR(VLOOKUP(C2107,parametros!$A$11:$E$15,5,0),""))</f>
        <v/>
      </c>
      <c r="F2107" s="79" t="str">
        <f t="shared" si="162"/>
        <v/>
      </c>
      <c r="G2107" s="101"/>
      <c r="H2107" s="91">
        <f t="shared" si="163"/>
        <v>0</v>
      </c>
      <c r="I2107" s="91" t="str">
        <f t="shared" si="164"/>
        <v/>
      </c>
      <c r="J2107" s="91" t="str">
        <f t="shared" si="165"/>
        <v/>
      </c>
      <c r="K2107" s="92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2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58"/>
      <c r="U2107" s="217" t="str">
        <f t="shared" si="166"/>
        <v/>
      </c>
      <c r="V2107" s="215" t="s">
        <v>47</v>
      </c>
      <c r="W2107" s="102" t="s">
        <v>136</v>
      </c>
      <c r="X2107" s="102" t="s">
        <v>137</v>
      </c>
      <c r="Y2107" s="103" t="s">
        <v>138</v>
      </c>
      <c r="Z2107" s="103" t="s">
        <v>139</v>
      </c>
      <c r="AA2107" s="103" t="s">
        <v>47</v>
      </c>
      <c r="AB2107" s="103" t="s">
        <v>140</v>
      </c>
      <c r="AC2107" s="104" t="s">
        <v>141</v>
      </c>
    </row>
    <row r="2108" spans="1:29" ht="25.5" customHeight="1" x14ac:dyDescent="0.35">
      <c r="A2108" s="188"/>
      <c r="B2108" s="190"/>
      <c r="C2108" s="99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0"/>
      <c r="E2108" s="78" t="str">
        <f>IF(C2108="","",IFERROR(VLOOKUP(C2108,parametros!$A$11:$E$15,5,0),""))</f>
        <v/>
      </c>
      <c r="F2108" s="79" t="str">
        <f t="shared" si="162"/>
        <v/>
      </c>
      <c r="G2108" s="101"/>
      <c r="H2108" s="91">
        <f t="shared" si="163"/>
        <v>0</v>
      </c>
      <c r="I2108" s="91" t="str">
        <f t="shared" si="164"/>
        <v/>
      </c>
      <c r="J2108" s="91" t="str">
        <f t="shared" si="165"/>
        <v/>
      </c>
      <c r="K2108" s="92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2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58"/>
      <c r="U2108" s="217" t="str">
        <f t="shared" si="166"/>
        <v/>
      </c>
      <c r="V2108" s="215" t="s">
        <v>47</v>
      </c>
      <c r="W2108" s="102" t="s">
        <v>136</v>
      </c>
      <c r="X2108" s="102" t="s">
        <v>137</v>
      </c>
      <c r="Y2108" s="103" t="s">
        <v>138</v>
      </c>
      <c r="Z2108" s="103" t="s">
        <v>139</v>
      </c>
      <c r="AA2108" s="103" t="s">
        <v>47</v>
      </c>
      <c r="AB2108" s="103" t="s">
        <v>140</v>
      </c>
      <c r="AC2108" s="104" t="s">
        <v>141</v>
      </c>
    </row>
    <row r="2109" spans="1:29" ht="25.5" customHeight="1" x14ac:dyDescent="0.35">
      <c r="A2109" s="188"/>
      <c r="B2109" s="190"/>
      <c r="C2109" s="99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0"/>
      <c r="E2109" s="78" t="str">
        <f>IF(C2109="","",IFERROR(VLOOKUP(C2109,parametros!$A$11:$E$15,5,0),""))</f>
        <v/>
      </c>
      <c r="F2109" s="79" t="str">
        <f t="shared" si="162"/>
        <v/>
      </c>
      <c r="G2109" s="101"/>
      <c r="H2109" s="91">
        <f t="shared" si="163"/>
        <v>0</v>
      </c>
      <c r="I2109" s="91" t="str">
        <f t="shared" si="164"/>
        <v/>
      </c>
      <c r="J2109" s="91" t="str">
        <f t="shared" si="165"/>
        <v/>
      </c>
      <c r="K2109" s="92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2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58"/>
      <c r="U2109" s="217" t="str">
        <f t="shared" si="166"/>
        <v/>
      </c>
      <c r="V2109" s="215" t="s">
        <v>47</v>
      </c>
      <c r="W2109" s="102" t="s">
        <v>136</v>
      </c>
      <c r="X2109" s="102" t="s">
        <v>137</v>
      </c>
      <c r="Y2109" s="103" t="s">
        <v>138</v>
      </c>
      <c r="Z2109" s="103" t="s">
        <v>139</v>
      </c>
      <c r="AA2109" s="103" t="s">
        <v>47</v>
      </c>
      <c r="AB2109" s="103" t="s">
        <v>140</v>
      </c>
      <c r="AC2109" s="104" t="s">
        <v>141</v>
      </c>
    </row>
    <row r="2110" spans="1:29" ht="25.5" customHeight="1" x14ac:dyDescent="0.35">
      <c r="A2110" s="188"/>
      <c r="B2110" s="190"/>
      <c r="C2110" s="99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0"/>
      <c r="E2110" s="78" t="str">
        <f>IF(C2110="","",IFERROR(VLOOKUP(C2110,parametros!$A$11:$E$15,5,0),""))</f>
        <v/>
      </c>
      <c r="F2110" s="79" t="str">
        <f t="shared" si="162"/>
        <v/>
      </c>
      <c r="G2110" s="101"/>
      <c r="H2110" s="91">
        <f t="shared" si="163"/>
        <v>0</v>
      </c>
      <c r="I2110" s="91" t="str">
        <f t="shared" si="164"/>
        <v/>
      </c>
      <c r="J2110" s="91" t="str">
        <f t="shared" si="165"/>
        <v/>
      </c>
      <c r="K2110" s="92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2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58"/>
      <c r="U2110" s="217" t="str">
        <f t="shared" si="166"/>
        <v/>
      </c>
      <c r="V2110" s="215" t="s">
        <v>47</v>
      </c>
      <c r="W2110" s="102" t="s">
        <v>136</v>
      </c>
      <c r="X2110" s="102" t="s">
        <v>137</v>
      </c>
      <c r="Y2110" s="103" t="s">
        <v>138</v>
      </c>
      <c r="Z2110" s="103" t="s">
        <v>139</v>
      </c>
      <c r="AA2110" s="103" t="s">
        <v>47</v>
      </c>
      <c r="AB2110" s="103" t="s">
        <v>140</v>
      </c>
      <c r="AC2110" s="104" t="s">
        <v>141</v>
      </c>
    </row>
    <row r="2111" spans="1:29" ht="25.5" customHeight="1" x14ac:dyDescent="0.35">
      <c r="A2111" s="188"/>
      <c r="B2111" s="190"/>
      <c r="C2111" s="99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0"/>
      <c r="E2111" s="78" t="str">
        <f>IF(C2111="","",IFERROR(VLOOKUP(C2111,parametros!$A$11:$E$15,5,0),""))</f>
        <v/>
      </c>
      <c r="F2111" s="79" t="str">
        <f t="shared" si="162"/>
        <v/>
      </c>
      <c r="G2111" s="101"/>
      <c r="H2111" s="91">
        <f t="shared" si="163"/>
        <v>0</v>
      </c>
      <c r="I2111" s="91" t="str">
        <f t="shared" si="164"/>
        <v/>
      </c>
      <c r="J2111" s="91" t="str">
        <f t="shared" si="165"/>
        <v/>
      </c>
      <c r="K2111" s="92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2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58"/>
      <c r="U2111" s="217" t="str">
        <f t="shared" si="166"/>
        <v/>
      </c>
      <c r="V2111" s="215" t="s">
        <v>47</v>
      </c>
      <c r="W2111" s="102" t="s">
        <v>136</v>
      </c>
      <c r="X2111" s="102" t="s">
        <v>137</v>
      </c>
      <c r="Y2111" s="103" t="s">
        <v>138</v>
      </c>
      <c r="Z2111" s="103" t="s">
        <v>139</v>
      </c>
      <c r="AA2111" s="103" t="s">
        <v>47</v>
      </c>
      <c r="AB2111" s="103" t="s">
        <v>140</v>
      </c>
      <c r="AC2111" s="104" t="s">
        <v>141</v>
      </c>
    </row>
    <row r="2112" spans="1:29" ht="25.5" customHeight="1" x14ac:dyDescent="0.35">
      <c r="A2112" s="188"/>
      <c r="B2112" s="190"/>
      <c r="C2112" s="99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0"/>
      <c r="E2112" s="78" t="str">
        <f>IF(C2112="","",IFERROR(VLOOKUP(C2112,parametros!$A$11:$E$15,5,0),""))</f>
        <v/>
      </c>
      <c r="F2112" s="79" t="str">
        <f t="shared" si="162"/>
        <v/>
      </c>
      <c r="G2112" s="101"/>
      <c r="H2112" s="91">
        <f t="shared" si="163"/>
        <v>0</v>
      </c>
      <c r="I2112" s="91" t="str">
        <f t="shared" si="164"/>
        <v/>
      </c>
      <c r="J2112" s="91" t="str">
        <f t="shared" si="165"/>
        <v/>
      </c>
      <c r="K2112" s="92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2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58"/>
      <c r="U2112" s="217" t="str">
        <f t="shared" si="166"/>
        <v/>
      </c>
      <c r="V2112" s="215" t="s">
        <v>47</v>
      </c>
      <c r="W2112" s="102" t="s">
        <v>136</v>
      </c>
      <c r="X2112" s="102" t="s">
        <v>137</v>
      </c>
      <c r="Y2112" s="103" t="s">
        <v>138</v>
      </c>
      <c r="Z2112" s="103" t="s">
        <v>139</v>
      </c>
      <c r="AA2112" s="103" t="s">
        <v>47</v>
      </c>
      <c r="AB2112" s="103" t="s">
        <v>140</v>
      </c>
      <c r="AC2112" s="104" t="s">
        <v>141</v>
      </c>
    </row>
    <row r="2113" spans="1:29" ht="25.5" customHeight="1" x14ac:dyDescent="0.35">
      <c r="A2113" s="188"/>
      <c r="B2113" s="190"/>
      <c r="C2113" s="99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0"/>
      <c r="E2113" s="78" t="str">
        <f>IF(C2113="","",IFERROR(VLOOKUP(C2113,parametros!$A$11:$E$15,5,0),""))</f>
        <v/>
      </c>
      <c r="F2113" s="79" t="str">
        <f t="shared" si="162"/>
        <v/>
      </c>
      <c r="G2113" s="101"/>
      <c r="H2113" s="91">
        <f t="shared" si="163"/>
        <v>0</v>
      </c>
      <c r="I2113" s="91" t="str">
        <f t="shared" si="164"/>
        <v/>
      </c>
      <c r="J2113" s="91" t="str">
        <f t="shared" si="165"/>
        <v/>
      </c>
      <c r="K2113" s="92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2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58"/>
      <c r="U2113" s="217" t="str">
        <f t="shared" si="166"/>
        <v/>
      </c>
      <c r="V2113" s="215" t="s">
        <v>47</v>
      </c>
      <c r="W2113" s="102" t="s">
        <v>136</v>
      </c>
      <c r="X2113" s="102" t="s">
        <v>137</v>
      </c>
      <c r="Y2113" s="103" t="s">
        <v>138</v>
      </c>
      <c r="Z2113" s="103" t="s">
        <v>139</v>
      </c>
      <c r="AA2113" s="103" t="s">
        <v>47</v>
      </c>
      <c r="AB2113" s="103" t="s">
        <v>140</v>
      </c>
      <c r="AC2113" s="104" t="s">
        <v>141</v>
      </c>
    </row>
    <row r="2114" spans="1:29" ht="25.5" customHeight="1" x14ac:dyDescent="0.35">
      <c r="A2114" s="188"/>
      <c r="B2114" s="190"/>
      <c r="C2114" s="99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0"/>
      <c r="E2114" s="78" t="str">
        <f>IF(C2114="","",IFERROR(VLOOKUP(C2114,parametros!$A$11:$E$15,5,0),""))</f>
        <v/>
      </c>
      <c r="F2114" s="79" t="str">
        <f t="shared" ref="F2114:F2177" si="167">IF(OR(D2114="",E2114=""),"",ROUND(D2114*E2114,2))</f>
        <v/>
      </c>
      <c r="G2114" s="101"/>
      <c r="H2114" s="91">
        <f t="shared" ref="H2114:H2177" si="168">IF(G2114="Sim",IF(OR(F2114="",D2114="",L2114=""),"",IF(L2114="Sim",ROUND(F2114-D2114,2),0)),0)</f>
        <v>0</v>
      </c>
      <c r="I2114" s="91" t="str">
        <f t="shared" ref="I2114:I2177" si="169">IF(G2114="Sim",0,IF(OR(F2114="",L2114=""),"",F2114))</f>
        <v/>
      </c>
      <c r="J2114" s="91" t="str">
        <f t="shared" ref="J2114:J2177" si="170">IF(G2114="Sim",0,IF(OR(F2114="",D2114="",L2114=""),"",IF(L2114="Sim",ROUND(F2114-D2114,2),0)))</f>
        <v/>
      </c>
      <c r="K2114" s="92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2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58"/>
      <c r="U2114" s="217" t="str">
        <f t="shared" ref="U2114:U2177" si="171">IF(OR($D2114="",$H2114=""),"",ROUND($D2114+$H2114,2))</f>
        <v/>
      </c>
      <c r="V2114" s="215" t="s">
        <v>47</v>
      </c>
      <c r="W2114" s="102" t="s">
        <v>136</v>
      </c>
      <c r="X2114" s="102" t="s">
        <v>137</v>
      </c>
      <c r="Y2114" s="103" t="s">
        <v>138</v>
      </c>
      <c r="Z2114" s="103" t="s">
        <v>139</v>
      </c>
      <c r="AA2114" s="103" t="s">
        <v>47</v>
      </c>
      <c r="AB2114" s="103" t="s">
        <v>140</v>
      </c>
      <c r="AC2114" s="104" t="s">
        <v>141</v>
      </c>
    </row>
    <row r="2115" spans="1:29" ht="25.5" customHeight="1" x14ac:dyDescent="0.35">
      <c r="A2115" s="188"/>
      <c r="B2115" s="190"/>
      <c r="C2115" s="99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0"/>
      <c r="E2115" s="78" t="str">
        <f>IF(C2115="","",IFERROR(VLOOKUP(C2115,parametros!$A$11:$E$15,5,0),""))</f>
        <v/>
      </c>
      <c r="F2115" s="79" t="str">
        <f t="shared" si="167"/>
        <v/>
      </c>
      <c r="G2115" s="101"/>
      <c r="H2115" s="91">
        <f t="shared" si="168"/>
        <v>0</v>
      </c>
      <c r="I2115" s="91" t="str">
        <f t="shared" si="169"/>
        <v/>
      </c>
      <c r="J2115" s="91" t="str">
        <f t="shared" si="170"/>
        <v/>
      </c>
      <c r="K2115" s="92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2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58"/>
      <c r="U2115" s="217" t="str">
        <f t="shared" si="171"/>
        <v/>
      </c>
      <c r="V2115" s="215" t="s">
        <v>47</v>
      </c>
      <c r="W2115" s="102" t="s">
        <v>136</v>
      </c>
      <c r="X2115" s="102" t="s">
        <v>137</v>
      </c>
      <c r="Y2115" s="103" t="s">
        <v>138</v>
      </c>
      <c r="Z2115" s="103" t="s">
        <v>139</v>
      </c>
      <c r="AA2115" s="103" t="s">
        <v>47</v>
      </c>
      <c r="AB2115" s="103" t="s">
        <v>140</v>
      </c>
      <c r="AC2115" s="104" t="s">
        <v>141</v>
      </c>
    </row>
    <row r="2116" spans="1:29" ht="25.5" customHeight="1" x14ac:dyDescent="0.35">
      <c r="A2116" s="188"/>
      <c r="B2116" s="190"/>
      <c r="C2116" s="99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0"/>
      <c r="E2116" s="78" t="str">
        <f>IF(C2116="","",IFERROR(VLOOKUP(C2116,parametros!$A$11:$E$15,5,0),""))</f>
        <v/>
      </c>
      <c r="F2116" s="79" t="str">
        <f t="shared" si="167"/>
        <v/>
      </c>
      <c r="G2116" s="101"/>
      <c r="H2116" s="91">
        <f t="shared" si="168"/>
        <v>0</v>
      </c>
      <c r="I2116" s="91" t="str">
        <f t="shared" si="169"/>
        <v/>
      </c>
      <c r="J2116" s="91" t="str">
        <f t="shared" si="170"/>
        <v/>
      </c>
      <c r="K2116" s="92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2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58"/>
      <c r="U2116" s="217" t="str">
        <f t="shared" si="171"/>
        <v/>
      </c>
      <c r="V2116" s="215" t="s">
        <v>47</v>
      </c>
      <c r="W2116" s="102" t="s">
        <v>136</v>
      </c>
      <c r="X2116" s="102" t="s">
        <v>137</v>
      </c>
      <c r="Y2116" s="103" t="s">
        <v>138</v>
      </c>
      <c r="Z2116" s="103" t="s">
        <v>139</v>
      </c>
      <c r="AA2116" s="103" t="s">
        <v>47</v>
      </c>
      <c r="AB2116" s="103" t="s">
        <v>140</v>
      </c>
      <c r="AC2116" s="104" t="s">
        <v>141</v>
      </c>
    </row>
    <row r="2117" spans="1:29" ht="25.5" customHeight="1" x14ac:dyDescent="0.35">
      <c r="A2117" s="188"/>
      <c r="B2117" s="190"/>
      <c r="C2117" s="99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0"/>
      <c r="E2117" s="78" t="str">
        <f>IF(C2117="","",IFERROR(VLOOKUP(C2117,parametros!$A$11:$E$15,5,0),""))</f>
        <v/>
      </c>
      <c r="F2117" s="79" t="str">
        <f t="shared" si="167"/>
        <v/>
      </c>
      <c r="G2117" s="101"/>
      <c r="H2117" s="91">
        <f t="shared" si="168"/>
        <v>0</v>
      </c>
      <c r="I2117" s="91" t="str">
        <f t="shared" si="169"/>
        <v/>
      </c>
      <c r="J2117" s="91" t="str">
        <f t="shared" si="170"/>
        <v/>
      </c>
      <c r="K2117" s="92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2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58"/>
      <c r="U2117" s="217" t="str">
        <f t="shared" si="171"/>
        <v/>
      </c>
      <c r="V2117" s="215" t="s">
        <v>47</v>
      </c>
      <c r="W2117" s="102" t="s">
        <v>136</v>
      </c>
      <c r="X2117" s="102" t="s">
        <v>137</v>
      </c>
      <c r="Y2117" s="103" t="s">
        <v>138</v>
      </c>
      <c r="Z2117" s="103" t="s">
        <v>139</v>
      </c>
      <c r="AA2117" s="103" t="s">
        <v>47</v>
      </c>
      <c r="AB2117" s="103" t="s">
        <v>140</v>
      </c>
      <c r="AC2117" s="104" t="s">
        <v>141</v>
      </c>
    </row>
    <row r="2118" spans="1:29" ht="25.5" customHeight="1" x14ac:dyDescent="0.35">
      <c r="A2118" s="188"/>
      <c r="B2118" s="190"/>
      <c r="C2118" s="99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0"/>
      <c r="E2118" s="78" t="str">
        <f>IF(C2118="","",IFERROR(VLOOKUP(C2118,parametros!$A$11:$E$15,5,0),""))</f>
        <v/>
      </c>
      <c r="F2118" s="79" t="str">
        <f t="shared" si="167"/>
        <v/>
      </c>
      <c r="G2118" s="101"/>
      <c r="H2118" s="91">
        <f t="shared" si="168"/>
        <v>0</v>
      </c>
      <c r="I2118" s="91" t="str">
        <f t="shared" si="169"/>
        <v/>
      </c>
      <c r="J2118" s="91" t="str">
        <f t="shared" si="170"/>
        <v/>
      </c>
      <c r="K2118" s="92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2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58"/>
      <c r="U2118" s="217" t="str">
        <f t="shared" si="171"/>
        <v/>
      </c>
      <c r="V2118" s="215" t="s">
        <v>47</v>
      </c>
      <c r="W2118" s="102" t="s">
        <v>136</v>
      </c>
      <c r="X2118" s="102" t="s">
        <v>137</v>
      </c>
      <c r="Y2118" s="103" t="s">
        <v>138</v>
      </c>
      <c r="Z2118" s="103" t="s">
        <v>139</v>
      </c>
      <c r="AA2118" s="103" t="s">
        <v>47</v>
      </c>
      <c r="AB2118" s="103" t="s">
        <v>140</v>
      </c>
      <c r="AC2118" s="104" t="s">
        <v>141</v>
      </c>
    </row>
    <row r="2119" spans="1:29" ht="25.5" customHeight="1" x14ac:dyDescent="0.35">
      <c r="A2119" s="188"/>
      <c r="B2119" s="190"/>
      <c r="C2119" s="99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0"/>
      <c r="E2119" s="78" t="str">
        <f>IF(C2119="","",IFERROR(VLOOKUP(C2119,parametros!$A$11:$E$15,5,0),""))</f>
        <v/>
      </c>
      <c r="F2119" s="79" t="str">
        <f t="shared" si="167"/>
        <v/>
      </c>
      <c r="G2119" s="101"/>
      <c r="H2119" s="91">
        <f t="shared" si="168"/>
        <v>0</v>
      </c>
      <c r="I2119" s="91" t="str">
        <f t="shared" si="169"/>
        <v/>
      </c>
      <c r="J2119" s="91" t="str">
        <f t="shared" si="170"/>
        <v/>
      </c>
      <c r="K2119" s="92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2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58"/>
      <c r="U2119" s="217" t="str">
        <f t="shared" si="171"/>
        <v/>
      </c>
      <c r="V2119" s="215" t="s">
        <v>47</v>
      </c>
      <c r="W2119" s="102" t="s">
        <v>136</v>
      </c>
      <c r="X2119" s="102" t="s">
        <v>137</v>
      </c>
      <c r="Y2119" s="103" t="s">
        <v>138</v>
      </c>
      <c r="Z2119" s="103" t="s">
        <v>139</v>
      </c>
      <c r="AA2119" s="103" t="s">
        <v>47</v>
      </c>
      <c r="AB2119" s="103" t="s">
        <v>140</v>
      </c>
      <c r="AC2119" s="104" t="s">
        <v>141</v>
      </c>
    </row>
    <row r="2120" spans="1:29" ht="25.5" customHeight="1" x14ac:dyDescent="0.35">
      <c r="A2120" s="188"/>
      <c r="B2120" s="190"/>
      <c r="C2120" s="99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0"/>
      <c r="E2120" s="78" t="str">
        <f>IF(C2120="","",IFERROR(VLOOKUP(C2120,parametros!$A$11:$E$15,5,0),""))</f>
        <v/>
      </c>
      <c r="F2120" s="79" t="str">
        <f t="shared" si="167"/>
        <v/>
      </c>
      <c r="G2120" s="101"/>
      <c r="H2120" s="91">
        <f t="shared" si="168"/>
        <v>0</v>
      </c>
      <c r="I2120" s="91" t="str">
        <f t="shared" si="169"/>
        <v/>
      </c>
      <c r="J2120" s="91" t="str">
        <f t="shared" si="170"/>
        <v/>
      </c>
      <c r="K2120" s="92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2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58"/>
      <c r="U2120" s="217" t="str">
        <f t="shared" si="171"/>
        <v/>
      </c>
      <c r="V2120" s="215" t="s">
        <v>47</v>
      </c>
      <c r="W2120" s="102" t="s">
        <v>136</v>
      </c>
      <c r="X2120" s="102" t="s">
        <v>137</v>
      </c>
      <c r="Y2120" s="103" t="s">
        <v>138</v>
      </c>
      <c r="Z2120" s="103" t="s">
        <v>139</v>
      </c>
      <c r="AA2120" s="103" t="s">
        <v>47</v>
      </c>
      <c r="AB2120" s="103" t="s">
        <v>140</v>
      </c>
      <c r="AC2120" s="104" t="s">
        <v>141</v>
      </c>
    </row>
    <row r="2121" spans="1:29" ht="25.5" customHeight="1" x14ac:dyDescent="0.35">
      <c r="A2121" s="188"/>
      <c r="B2121" s="190"/>
      <c r="C2121" s="99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0"/>
      <c r="E2121" s="78" t="str">
        <f>IF(C2121="","",IFERROR(VLOOKUP(C2121,parametros!$A$11:$E$15,5,0),""))</f>
        <v/>
      </c>
      <c r="F2121" s="79" t="str">
        <f t="shared" si="167"/>
        <v/>
      </c>
      <c r="G2121" s="101"/>
      <c r="H2121" s="91">
        <f t="shared" si="168"/>
        <v>0</v>
      </c>
      <c r="I2121" s="91" t="str">
        <f t="shared" si="169"/>
        <v/>
      </c>
      <c r="J2121" s="91" t="str">
        <f t="shared" si="170"/>
        <v/>
      </c>
      <c r="K2121" s="92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2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58"/>
      <c r="U2121" s="217" t="str">
        <f t="shared" si="171"/>
        <v/>
      </c>
      <c r="V2121" s="215" t="s">
        <v>47</v>
      </c>
      <c r="W2121" s="102" t="s">
        <v>136</v>
      </c>
      <c r="X2121" s="102" t="s">
        <v>137</v>
      </c>
      <c r="Y2121" s="103" t="s">
        <v>138</v>
      </c>
      <c r="Z2121" s="103" t="s">
        <v>139</v>
      </c>
      <c r="AA2121" s="103" t="s">
        <v>47</v>
      </c>
      <c r="AB2121" s="103" t="s">
        <v>140</v>
      </c>
      <c r="AC2121" s="104" t="s">
        <v>141</v>
      </c>
    </row>
    <row r="2122" spans="1:29" ht="25.5" customHeight="1" x14ac:dyDescent="0.35">
      <c r="A2122" s="188"/>
      <c r="B2122" s="190"/>
      <c r="C2122" s="99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0"/>
      <c r="E2122" s="78" t="str">
        <f>IF(C2122="","",IFERROR(VLOOKUP(C2122,parametros!$A$11:$E$15,5,0),""))</f>
        <v/>
      </c>
      <c r="F2122" s="79" t="str">
        <f t="shared" si="167"/>
        <v/>
      </c>
      <c r="G2122" s="101"/>
      <c r="H2122" s="91">
        <f t="shared" si="168"/>
        <v>0</v>
      </c>
      <c r="I2122" s="91" t="str">
        <f t="shared" si="169"/>
        <v/>
      </c>
      <c r="J2122" s="91" t="str">
        <f t="shared" si="170"/>
        <v/>
      </c>
      <c r="K2122" s="92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2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58"/>
      <c r="U2122" s="217" t="str">
        <f t="shared" si="171"/>
        <v/>
      </c>
      <c r="V2122" s="215" t="s">
        <v>47</v>
      </c>
      <c r="W2122" s="102" t="s">
        <v>136</v>
      </c>
      <c r="X2122" s="102" t="s">
        <v>137</v>
      </c>
      <c r="Y2122" s="103" t="s">
        <v>138</v>
      </c>
      <c r="Z2122" s="103" t="s">
        <v>139</v>
      </c>
      <c r="AA2122" s="103" t="s">
        <v>47</v>
      </c>
      <c r="AB2122" s="103" t="s">
        <v>140</v>
      </c>
      <c r="AC2122" s="104" t="s">
        <v>141</v>
      </c>
    </row>
    <row r="2123" spans="1:29" ht="25.5" customHeight="1" x14ac:dyDescent="0.35">
      <c r="A2123" s="188"/>
      <c r="B2123" s="190"/>
      <c r="C2123" s="99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0"/>
      <c r="E2123" s="78" t="str">
        <f>IF(C2123="","",IFERROR(VLOOKUP(C2123,parametros!$A$11:$E$15,5,0),""))</f>
        <v/>
      </c>
      <c r="F2123" s="79" t="str">
        <f t="shared" si="167"/>
        <v/>
      </c>
      <c r="G2123" s="101"/>
      <c r="H2123" s="91">
        <f t="shared" si="168"/>
        <v>0</v>
      </c>
      <c r="I2123" s="91" t="str">
        <f t="shared" si="169"/>
        <v/>
      </c>
      <c r="J2123" s="91" t="str">
        <f t="shared" si="170"/>
        <v/>
      </c>
      <c r="K2123" s="92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2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58"/>
      <c r="U2123" s="217" t="str">
        <f t="shared" si="171"/>
        <v/>
      </c>
      <c r="V2123" s="215" t="s">
        <v>47</v>
      </c>
      <c r="W2123" s="102" t="s">
        <v>136</v>
      </c>
      <c r="X2123" s="102" t="s">
        <v>137</v>
      </c>
      <c r="Y2123" s="103" t="s">
        <v>138</v>
      </c>
      <c r="Z2123" s="103" t="s">
        <v>139</v>
      </c>
      <c r="AA2123" s="103" t="s">
        <v>47</v>
      </c>
      <c r="AB2123" s="103" t="s">
        <v>140</v>
      </c>
      <c r="AC2123" s="104" t="s">
        <v>141</v>
      </c>
    </row>
    <row r="2124" spans="1:29" ht="25.5" customHeight="1" x14ac:dyDescent="0.35">
      <c r="A2124" s="188"/>
      <c r="B2124" s="190"/>
      <c r="C2124" s="99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0"/>
      <c r="E2124" s="78" t="str">
        <f>IF(C2124="","",IFERROR(VLOOKUP(C2124,parametros!$A$11:$E$15,5,0),""))</f>
        <v/>
      </c>
      <c r="F2124" s="79" t="str">
        <f t="shared" si="167"/>
        <v/>
      </c>
      <c r="G2124" s="101"/>
      <c r="H2124" s="91">
        <f t="shared" si="168"/>
        <v>0</v>
      </c>
      <c r="I2124" s="91" t="str">
        <f t="shared" si="169"/>
        <v/>
      </c>
      <c r="J2124" s="91" t="str">
        <f t="shared" si="170"/>
        <v/>
      </c>
      <c r="K2124" s="92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2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58"/>
      <c r="U2124" s="217" t="str">
        <f t="shared" si="171"/>
        <v/>
      </c>
      <c r="V2124" s="215" t="s">
        <v>47</v>
      </c>
      <c r="W2124" s="102" t="s">
        <v>136</v>
      </c>
      <c r="X2124" s="102" t="s">
        <v>137</v>
      </c>
      <c r="Y2124" s="103" t="s">
        <v>138</v>
      </c>
      <c r="Z2124" s="103" t="s">
        <v>139</v>
      </c>
      <c r="AA2124" s="103" t="s">
        <v>47</v>
      </c>
      <c r="AB2124" s="103" t="s">
        <v>140</v>
      </c>
      <c r="AC2124" s="104" t="s">
        <v>141</v>
      </c>
    </row>
    <row r="2125" spans="1:29" ht="25.5" customHeight="1" x14ac:dyDescent="0.35">
      <c r="A2125" s="188"/>
      <c r="B2125" s="190"/>
      <c r="C2125" s="99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0"/>
      <c r="E2125" s="78" t="str">
        <f>IF(C2125="","",IFERROR(VLOOKUP(C2125,parametros!$A$11:$E$15,5,0),""))</f>
        <v/>
      </c>
      <c r="F2125" s="79" t="str">
        <f t="shared" si="167"/>
        <v/>
      </c>
      <c r="G2125" s="101"/>
      <c r="H2125" s="91">
        <f t="shared" si="168"/>
        <v>0</v>
      </c>
      <c r="I2125" s="91" t="str">
        <f t="shared" si="169"/>
        <v/>
      </c>
      <c r="J2125" s="91" t="str">
        <f t="shared" si="170"/>
        <v/>
      </c>
      <c r="K2125" s="92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2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58"/>
      <c r="U2125" s="217" t="str">
        <f t="shared" si="171"/>
        <v/>
      </c>
      <c r="V2125" s="215" t="s">
        <v>47</v>
      </c>
      <c r="W2125" s="102" t="s">
        <v>136</v>
      </c>
      <c r="X2125" s="102" t="s">
        <v>137</v>
      </c>
      <c r="Y2125" s="103" t="s">
        <v>138</v>
      </c>
      <c r="Z2125" s="103" t="s">
        <v>139</v>
      </c>
      <c r="AA2125" s="103" t="s">
        <v>47</v>
      </c>
      <c r="AB2125" s="103" t="s">
        <v>140</v>
      </c>
      <c r="AC2125" s="104" t="s">
        <v>141</v>
      </c>
    </row>
    <row r="2126" spans="1:29" ht="25.5" customHeight="1" x14ac:dyDescent="0.35">
      <c r="A2126" s="188"/>
      <c r="B2126" s="190"/>
      <c r="C2126" s="99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0"/>
      <c r="E2126" s="78" t="str">
        <f>IF(C2126="","",IFERROR(VLOOKUP(C2126,parametros!$A$11:$E$15,5,0),""))</f>
        <v/>
      </c>
      <c r="F2126" s="79" t="str">
        <f t="shared" si="167"/>
        <v/>
      </c>
      <c r="G2126" s="101"/>
      <c r="H2126" s="91">
        <f t="shared" si="168"/>
        <v>0</v>
      </c>
      <c r="I2126" s="91" t="str">
        <f t="shared" si="169"/>
        <v/>
      </c>
      <c r="J2126" s="91" t="str">
        <f t="shared" si="170"/>
        <v/>
      </c>
      <c r="K2126" s="92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2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58"/>
      <c r="U2126" s="217" t="str">
        <f t="shared" si="171"/>
        <v/>
      </c>
      <c r="V2126" s="215" t="s">
        <v>47</v>
      </c>
      <c r="W2126" s="102" t="s">
        <v>136</v>
      </c>
      <c r="X2126" s="102" t="s">
        <v>137</v>
      </c>
      <c r="Y2126" s="103" t="s">
        <v>138</v>
      </c>
      <c r="Z2126" s="103" t="s">
        <v>139</v>
      </c>
      <c r="AA2126" s="103" t="s">
        <v>47</v>
      </c>
      <c r="AB2126" s="103" t="s">
        <v>140</v>
      </c>
      <c r="AC2126" s="104" t="s">
        <v>141</v>
      </c>
    </row>
    <row r="2127" spans="1:29" ht="25.5" customHeight="1" x14ac:dyDescent="0.35">
      <c r="A2127" s="188"/>
      <c r="B2127" s="190"/>
      <c r="C2127" s="99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0"/>
      <c r="E2127" s="78" t="str">
        <f>IF(C2127="","",IFERROR(VLOOKUP(C2127,parametros!$A$11:$E$15,5,0),""))</f>
        <v/>
      </c>
      <c r="F2127" s="79" t="str">
        <f t="shared" si="167"/>
        <v/>
      </c>
      <c r="G2127" s="101"/>
      <c r="H2127" s="91">
        <f t="shared" si="168"/>
        <v>0</v>
      </c>
      <c r="I2127" s="91" t="str">
        <f t="shared" si="169"/>
        <v/>
      </c>
      <c r="J2127" s="91" t="str">
        <f t="shared" si="170"/>
        <v/>
      </c>
      <c r="K2127" s="92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2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58"/>
      <c r="U2127" s="217" t="str">
        <f t="shared" si="171"/>
        <v/>
      </c>
      <c r="V2127" s="215" t="s">
        <v>47</v>
      </c>
      <c r="W2127" s="102" t="s">
        <v>136</v>
      </c>
      <c r="X2127" s="102" t="s">
        <v>137</v>
      </c>
      <c r="Y2127" s="103" t="s">
        <v>138</v>
      </c>
      <c r="Z2127" s="103" t="s">
        <v>139</v>
      </c>
      <c r="AA2127" s="103" t="s">
        <v>47</v>
      </c>
      <c r="AB2127" s="103" t="s">
        <v>140</v>
      </c>
      <c r="AC2127" s="104" t="s">
        <v>141</v>
      </c>
    </row>
    <row r="2128" spans="1:29" ht="25.5" customHeight="1" x14ac:dyDescent="0.35">
      <c r="A2128" s="188"/>
      <c r="B2128" s="190"/>
      <c r="C2128" s="99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0"/>
      <c r="E2128" s="78" t="str">
        <f>IF(C2128="","",IFERROR(VLOOKUP(C2128,parametros!$A$11:$E$15,5,0),""))</f>
        <v/>
      </c>
      <c r="F2128" s="79" t="str">
        <f t="shared" si="167"/>
        <v/>
      </c>
      <c r="G2128" s="101"/>
      <c r="H2128" s="91">
        <f t="shared" si="168"/>
        <v>0</v>
      </c>
      <c r="I2128" s="91" t="str">
        <f t="shared" si="169"/>
        <v/>
      </c>
      <c r="J2128" s="91" t="str">
        <f t="shared" si="170"/>
        <v/>
      </c>
      <c r="K2128" s="92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2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58"/>
      <c r="U2128" s="217" t="str">
        <f t="shared" si="171"/>
        <v/>
      </c>
      <c r="V2128" s="215" t="s">
        <v>47</v>
      </c>
      <c r="W2128" s="102" t="s">
        <v>136</v>
      </c>
      <c r="X2128" s="102" t="s">
        <v>137</v>
      </c>
      <c r="Y2128" s="103" t="s">
        <v>138</v>
      </c>
      <c r="Z2128" s="103" t="s">
        <v>139</v>
      </c>
      <c r="AA2128" s="103" t="s">
        <v>47</v>
      </c>
      <c r="AB2128" s="103" t="s">
        <v>140</v>
      </c>
      <c r="AC2128" s="104" t="s">
        <v>141</v>
      </c>
    </row>
    <row r="2129" spans="1:29" ht="25.5" customHeight="1" x14ac:dyDescent="0.35">
      <c r="A2129" s="188"/>
      <c r="B2129" s="190"/>
      <c r="C2129" s="99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0"/>
      <c r="E2129" s="78" t="str">
        <f>IF(C2129="","",IFERROR(VLOOKUP(C2129,parametros!$A$11:$E$15,5,0),""))</f>
        <v/>
      </c>
      <c r="F2129" s="79" t="str">
        <f t="shared" si="167"/>
        <v/>
      </c>
      <c r="G2129" s="101"/>
      <c r="H2129" s="91">
        <f t="shared" si="168"/>
        <v>0</v>
      </c>
      <c r="I2129" s="91" t="str">
        <f t="shared" si="169"/>
        <v/>
      </c>
      <c r="J2129" s="91" t="str">
        <f t="shared" si="170"/>
        <v/>
      </c>
      <c r="K2129" s="92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2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58"/>
      <c r="U2129" s="217" t="str">
        <f t="shared" si="171"/>
        <v/>
      </c>
      <c r="V2129" s="215" t="s">
        <v>47</v>
      </c>
      <c r="W2129" s="102" t="s">
        <v>136</v>
      </c>
      <c r="X2129" s="102" t="s">
        <v>137</v>
      </c>
      <c r="Y2129" s="103" t="s">
        <v>138</v>
      </c>
      <c r="Z2129" s="103" t="s">
        <v>139</v>
      </c>
      <c r="AA2129" s="103" t="s">
        <v>47</v>
      </c>
      <c r="AB2129" s="103" t="s">
        <v>140</v>
      </c>
      <c r="AC2129" s="104" t="s">
        <v>141</v>
      </c>
    </row>
    <row r="2130" spans="1:29" ht="25.5" customHeight="1" x14ac:dyDescent="0.35">
      <c r="A2130" s="188"/>
      <c r="B2130" s="190"/>
      <c r="C2130" s="99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0"/>
      <c r="E2130" s="78" t="str">
        <f>IF(C2130="","",IFERROR(VLOOKUP(C2130,parametros!$A$11:$E$15,5,0),""))</f>
        <v/>
      </c>
      <c r="F2130" s="79" t="str">
        <f t="shared" si="167"/>
        <v/>
      </c>
      <c r="G2130" s="101"/>
      <c r="H2130" s="91">
        <f t="shared" si="168"/>
        <v>0</v>
      </c>
      <c r="I2130" s="91" t="str">
        <f t="shared" si="169"/>
        <v/>
      </c>
      <c r="J2130" s="91" t="str">
        <f t="shared" si="170"/>
        <v/>
      </c>
      <c r="K2130" s="92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2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58"/>
      <c r="U2130" s="217" t="str">
        <f t="shared" si="171"/>
        <v/>
      </c>
      <c r="V2130" s="215" t="s">
        <v>47</v>
      </c>
      <c r="W2130" s="102" t="s">
        <v>136</v>
      </c>
      <c r="X2130" s="102" t="s">
        <v>137</v>
      </c>
      <c r="Y2130" s="103" t="s">
        <v>138</v>
      </c>
      <c r="Z2130" s="103" t="s">
        <v>139</v>
      </c>
      <c r="AA2130" s="103" t="s">
        <v>47</v>
      </c>
      <c r="AB2130" s="103" t="s">
        <v>140</v>
      </c>
      <c r="AC2130" s="104" t="s">
        <v>141</v>
      </c>
    </row>
    <row r="2131" spans="1:29" ht="25.5" customHeight="1" x14ac:dyDescent="0.35">
      <c r="A2131" s="188"/>
      <c r="B2131" s="190"/>
      <c r="C2131" s="99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0"/>
      <c r="E2131" s="78" t="str">
        <f>IF(C2131="","",IFERROR(VLOOKUP(C2131,parametros!$A$11:$E$15,5,0),""))</f>
        <v/>
      </c>
      <c r="F2131" s="79" t="str">
        <f t="shared" si="167"/>
        <v/>
      </c>
      <c r="G2131" s="101"/>
      <c r="H2131" s="91">
        <f t="shared" si="168"/>
        <v>0</v>
      </c>
      <c r="I2131" s="91" t="str">
        <f t="shared" si="169"/>
        <v/>
      </c>
      <c r="J2131" s="91" t="str">
        <f t="shared" si="170"/>
        <v/>
      </c>
      <c r="K2131" s="92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2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58"/>
      <c r="U2131" s="217" t="str">
        <f t="shared" si="171"/>
        <v/>
      </c>
      <c r="V2131" s="215" t="s">
        <v>47</v>
      </c>
      <c r="W2131" s="102" t="s">
        <v>136</v>
      </c>
      <c r="X2131" s="102" t="s">
        <v>137</v>
      </c>
      <c r="Y2131" s="103" t="s">
        <v>138</v>
      </c>
      <c r="Z2131" s="103" t="s">
        <v>139</v>
      </c>
      <c r="AA2131" s="103" t="s">
        <v>47</v>
      </c>
      <c r="AB2131" s="103" t="s">
        <v>140</v>
      </c>
      <c r="AC2131" s="104" t="s">
        <v>141</v>
      </c>
    </row>
    <row r="2132" spans="1:29" ht="25.5" customHeight="1" x14ac:dyDescent="0.35">
      <c r="A2132" s="188"/>
      <c r="B2132" s="190"/>
      <c r="C2132" s="99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0"/>
      <c r="E2132" s="78" t="str">
        <f>IF(C2132="","",IFERROR(VLOOKUP(C2132,parametros!$A$11:$E$15,5,0),""))</f>
        <v/>
      </c>
      <c r="F2132" s="79" t="str">
        <f t="shared" si="167"/>
        <v/>
      </c>
      <c r="G2132" s="101"/>
      <c r="H2132" s="91">
        <f t="shared" si="168"/>
        <v>0</v>
      </c>
      <c r="I2132" s="91" t="str">
        <f t="shared" si="169"/>
        <v/>
      </c>
      <c r="J2132" s="91" t="str">
        <f t="shared" si="170"/>
        <v/>
      </c>
      <c r="K2132" s="92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2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58"/>
      <c r="U2132" s="217" t="str">
        <f t="shared" si="171"/>
        <v/>
      </c>
      <c r="V2132" s="215" t="s">
        <v>47</v>
      </c>
      <c r="W2132" s="102" t="s">
        <v>136</v>
      </c>
      <c r="X2132" s="102" t="s">
        <v>137</v>
      </c>
      <c r="Y2132" s="103" t="s">
        <v>138</v>
      </c>
      <c r="Z2132" s="103" t="s">
        <v>139</v>
      </c>
      <c r="AA2132" s="103" t="s">
        <v>47</v>
      </c>
      <c r="AB2132" s="103" t="s">
        <v>140</v>
      </c>
      <c r="AC2132" s="104" t="s">
        <v>141</v>
      </c>
    </row>
    <row r="2133" spans="1:29" ht="25.5" customHeight="1" x14ac:dyDescent="0.35">
      <c r="A2133" s="188"/>
      <c r="B2133" s="190"/>
      <c r="C2133" s="99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0"/>
      <c r="E2133" s="78" t="str">
        <f>IF(C2133="","",IFERROR(VLOOKUP(C2133,parametros!$A$11:$E$15,5,0),""))</f>
        <v/>
      </c>
      <c r="F2133" s="79" t="str">
        <f t="shared" si="167"/>
        <v/>
      </c>
      <c r="G2133" s="101"/>
      <c r="H2133" s="91">
        <f t="shared" si="168"/>
        <v>0</v>
      </c>
      <c r="I2133" s="91" t="str">
        <f t="shared" si="169"/>
        <v/>
      </c>
      <c r="J2133" s="91" t="str">
        <f t="shared" si="170"/>
        <v/>
      </c>
      <c r="K2133" s="92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2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58"/>
      <c r="U2133" s="217" t="str">
        <f t="shared" si="171"/>
        <v/>
      </c>
      <c r="V2133" s="215" t="s">
        <v>47</v>
      </c>
      <c r="W2133" s="102" t="s">
        <v>136</v>
      </c>
      <c r="X2133" s="102" t="s">
        <v>137</v>
      </c>
      <c r="Y2133" s="103" t="s">
        <v>138</v>
      </c>
      <c r="Z2133" s="103" t="s">
        <v>139</v>
      </c>
      <c r="AA2133" s="103" t="s">
        <v>47</v>
      </c>
      <c r="AB2133" s="103" t="s">
        <v>140</v>
      </c>
      <c r="AC2133" s="104" t="s">
        <v>141</v>
      </c>
    </row>
    <row r="2134" spans="1:29" ht="25.5" customHeight="1" x14ac:dyDescent="0.35">
      <c r="A2134" s="188"/>
      <c r="B2134" s="190"/>
      <c r="C2134" s="99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0"/>
      <c r="E2134" s="78" t="str">
        <f>IF(C2134="","",IFERROR(VLOOKUP(C2134,parametros!$A$11:$E$15,5,0),""))</f>
        <v/>
      </c>
      <c r="F2134" s="79" t="str">
        <f t="shared" si="167"/>
        <v/>
      </c>
      <c r="G2134" s="101"/>
      <c r="H2134" s="91">
        <f t="shared" si="168"/>
        <v>0</v>
      </c>
      <c r="I2134" s="91" t="str">
        <f t="shared" si="169"/>
        <v/>
      </c>
      <c r="J2134" s="91" t="str">
        <f t="shared" si="170"/>
        <v/>
      </c>
      <c r="K2134" s="92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2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58"/>
      <c r="U2134" s="217" t="str">
        <f t="shared" si="171"/>
        <v/>
      </c>
      <c r="V2134" s="215" t="s">
        <v>47</v>
      </c>
      <c r="W2134" s="102" t="s">
        <v>136</v>
      </c>
      <c r="X2134" s="102" t="s">
        <v>137</v>
      </c>
      <c r="Y2134" s="103" t="s">
        <v>138</v>
      </c>
      <c r="Z2134" s="103" t="s">
        <v>139</v>
      </c>
      <c r="AA2134" s="103" t="s">
        <v>47</v>
      </c>
      <c r="AB2134" s="103" t="s">
        <v>140</v>
      </c>
      <c r="AC2134" s="104" t="s">
        <v>141</v>
      </c>
    </row>
    <row r="2135" spans="1:29" ht="25.5" customHeight="1" x14ac:dyDescent="0.35">
      <c r="A2135" s="188"/>
      <c r="B2135" s="190"/>
      <c r="C2135" s="99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0"/>
      <c r="E2135" s="78" t="str">
        <f>IF(C2135="","",IFERROR(VLOOKUP(C2135,parametros!$A$11:$E$15,5,0),""))</f>
        <v/>
      </c>
      <c r="F2135" s="79" t="str">
        <f t="shared" si="167"/>
        <v/>
      </c>
      <c r="G2135" s="101"/>
      <c r="H2135" s="91">
        <f t="shared" si="168"/>
        <v>0</v>
      </c>
      <c r="I2135" s="91" t="str">
        <f t="shared" si="169"/>
        <v/>
      </c>
      <c r="J2135" s="91" t="str">
        <f t="shared" si="170"/>
        <v/>
      </c>
      <c r="K2135" s="92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2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58"/>
      <c r="U2135" s="217" t="str">
        <f t="shared" si="171"/>
        <v/>
      </c>
      <c r="V2135" s="215" t="s">
        <v>47</v>
      </c>
      <c r="W2135" s="102" t="s">
        <v>136</v>
      </c>
      <c r="X2135" s="102" t="s">
        <v>137</v>
      </c>
      <c r="Y2135" s="103" t="s">
        <v>138</v>
      </c>
      <c r="Z2135" s="103" t="s">
        <v>139</v>
      </c>
      <c r="AA2135" s="103" t="s">
        <v>47</v>
      </c>
      <c r="AB2135" s="103" t="s">
        <v>140</v>
      </c>
      <c r="AC2135" s="104" t="s">
        <v>141</v>
      </c>
    </row>
    <row r="2136" spans="1:29" ht="25.5" customHeight="1" x14ac:dyDescent="0.35">
      <c r="A2136" s="188"/>
      <c r="B2136" s="190"/>
      <c r="C2136" s="99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0"/>
      <c r="E2136" s="78" t="str">
        <f>IF(C2136="","",IFERROR(VLOOKUP(C2136,parametros!$A$11:$E$15,5,0),""))</f>
        <v/>
      </c>
      <c r="F2136" s="79" t="str">
        <f t="shared" si="167"/>
        <v/>
      </c>
      <c r="G2136" s="101"/>
      <c r="H2136" s="91">
        <f t="shared" si="168"/>
        <v>0</v>
      </c>
      <c r="I2136" s="91" t="str">
        <f t="shared" si="169"/>
        <v/>
      </c>
      <c r="J2136" s="91" t="str">
        <f t="shared" si="170"/>
        <v/>
      </c>
      <c r="K2136" s="92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2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58"/>
      <c r="U2136" s="217" t="str">
        <f t="shared" si="171"/>
        <v/>
      </c>
      <c r="V2136" s="215" t="s">
        <v>47</v>
      </c>
      <c r="W2136" s="102" t="s">
        <v>136</v>
      </c>
      <c r="X2136" s="102" t="s">
        <v>137</v>
      </c>
      <c r="Y2136" s="103" t="s">
        <v>138</v>
      </c>
      <c r="Z2136" s="103" t="s">
        <v>139</v>
      </c>
      <c r="AA2136" s="103" t="s">
        <v>47</v>
      </c>
      <c r="AB2136" s="103" t="s">
        <v>140</v>
      </c>
      <c r="AC2136" s="104" t="s">
        <v>141</v>
      </c>
    </row>
    <row r="2137" spans="1:29" ht="25.5" customHeight="1" x14ac:dyDescent="0.35">
      <c r="A2137" s="188"/>
      <c r="B2137" s="190"/>
      <c r="C2137" s="99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0"/>
      <c r="E2137" s="78" t="str">
        <f>IF(C2137="","",IFERROR(VLOOKUP(C2137,parametros!$A$11:$E$15,5,0),""))</f>
        <v/>
      </c>
      <c r="F2137" s="79" t="str">
        <f t="shared" si="167"/>
        <v/>
      </c>
      <c r="G2137" s="101"/>
      <c r="H2137" s="91">
        <f t="shared" si="168"/>
        <v>0</v>
      </c>
      <c r="I2137" s="91" t="str">
        <f t="shared" si="169"/>
        <v/>
      </c>
      <c r="J2137" s="91" t="str">
        <f t="shared" si="170"/>
        <v/>
      </c>
      <c r="K2137" s="92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2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58"/>
      <c r="U2137" s="217" t="str">
        <f t="shared" si="171"/>
        <v/>
      </c>
      <c r="V2137" s="215" t="s">
        <v>47</v>
      </c>
      <c r="W2137" s="102" t="s">
        <v>136</v>
      </c>
      <c r="X2137" s="102" t="s">
        <v>137</v>
      </c>
      <c r="Y2137" s="103" t="s">
        <v>138</v>
      </c>
      <c r="Z2137" s="103" t="s">
        <v>139</v>
      </c>
      <c r="AA2137" s="103" t="s">
        <v>47</v>
      </c>
      <c r="AB2137" s="103" t="s">
        <v>140</v>
      </c>
      <c r="AC2137" s="104" t="s">
        <v>141</v>
      </c>
    </row>
    <row r="2138" spans="1:29" ht="25.5" customHeight="1" x14ac:dyDescent="0.35">
      <c r="A2138" s="188"/>
      <c r="B2138" s="190"/>
      <c r="C2138" s="99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0"/>
      <c r="E2138" s="78" t="str">
        <f>IF(C2138="","",IFERROR(VLOOKUP(C2138,parametros!$A$11:$E$15,5,0),""))</f>
        <v/>
      </c>
      <c r="F2138" s="79" t="str">
        <f t="shared" si="167"/>
        <v/>
      </c>
      <c r="G2138" s="101"/>
      <c r="H2138" s="91">
        <f t="shared" si="168"/>
        <v>0</v>
      </c>
      <c r="I2138" s="91" t="str">
        <f t="shared" si="169"/>
        <v/>
      </c>
      <c r="J2138" s="91" t="str">
        <f t="shared" si="170"/>
        <v/>
      </c>
      <c r="K2138" s="92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2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58"/>
      <c r="U2138" s="217" t="str">
        <f t="shared" si="171"/>
        <v/>
      </c>
      <c r="V2138" s="215" t="s">
        <v>47</v>
      </c>
      <c r="W2138" s="102" t="s">
        <v>136</v>
      </c>
      <c r="X2138" s="102" t="s">
        <v>137</v>
      </c>
      <c r="Y2138" s="103" t="s">
        <v>138</v>
      </c>
      <c r="Z2138" s="103" t="s">
        <v>139</v>
      </c>
      <c r="AA2138" s="103" t="s">
        <v>47</v>
      </c>
      <c r="AB2138" s="103" t="s">
        <v>140</v>
      </c>
      <c r="AC2138" s="104" t="s">
        <v>141</v>
      </c>
    </row>
    <row r="2139" spans="1:29" ht="25.5" customHeight="1" x14ac:dyDescent="0.35">
      <c r="A2139" s="188"/>
      <c r="B2139" s="190"/>
      <c r="C2139" s="99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0"/>
      <c r="E2139" s="78" t="str">
        <f>IF(C2139="","",IFERROR(VLOOKUP(C2139,parametros!$A$11:$E$15,5,0),""))</f>
        <v/>
      </c>
      <c r="F2139" s="79" t="str">
        <f t="shared" si="167"/>
        <v/>
      </c>
      <c r="G2139" s="101"/>
      <c r="H2139" s="91">
        <f t="shared" si="168"/>
        <v>0</v>
      </c>
      <c r="I2139" s="91" t="str">
        <f t="shared" si="169"/>
        <v/>
      </c>
      <c r="J2139" s="91" t="str">
        <f t="shared" si="170"/>
        <v/>
      </c>
      <c r="K2139" s="92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2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58"/>
      <c r="U2139" s="217" t="str">
        <f t="shared" si="171"/>
        <v/>
      </c>
      <c r="V2139" s="215" t="s">
        <v>47</v>
      </c>
      <c r="W2139" s="102" t="s">
        <v>136</v>
      </c>
      <c r="X2139" s="102" t="s">
        <v>137</v>
      </c>
      <c r="Y2139" s="103" t="s">
        <v>138</v>
      </c>
      <c r="Z2139" s="103" t="s">
        <v>139</v>
      </c>
      <c r="AA2139" s="103" t="s">
        <v>47</v>
      </c>
      <c r="AB2139" s="103" t="s">
        <v>140</v>
      </c>
      <c r="AC2139" s="104" t="s">
        <v>141</v>
      </c>
    </row>
    <row r="2140" spans="1:29" ht="25.5" customHeight="1" x14ac:dyDescent="0.35">
      <c r="A2140" s="188"/>
      <c r="B2140" s="190"/>
      <c r="C2140" s="99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0"/>
      <c r="E2140" s="78" t="str">
        <f>IF(C2140="","",IFERROR(VLOOKUP(C2140,parametros!$A$11:$E$15,5,0),""))</f>
        <v/>
      </c>
      <c r="F2140" s="79" t="str">
        <f t="shared" si="167"/>
        <v/>
      </c>
      <c r="G2140" s="101"/>
      <c r="H2140" s="91">
        <f t="shared" si="168"/>
        <v>0</v>
      </c>
      <c r="I2140" s="91" t="str">
        <f t="shared" si="169"/>
        <v/>
      </c>
      <c r="J2140" s="91" t="str">
        <f t="shared" si="170"/>
        <v/>
      </c>
      <c r="K2140" s="92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2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58"/>
      <c r="U2140" s="217" t="str">
        <f t="shared" si="171"/>
        <v/>
      </c>
      <c r="V2140" s="215" t="s">
        <v>47</v>
      </c>
      <c r="W2140" s="102" t="s">
        <v>136</v>
      </c>
      <c r="X2140" s="102" t="s">
        <v>137</v>
      </c>
      <c r="Y2140" s="103" t="s">
        <v>138</v>
      </c>
      <c r="Z2140" s="103" t="s">
        <v>139</v>
      </c>
      <c r="AA2140" s="103" t="s">
        <v>47</v>
      </c>
      <c r="AB2140" s="103" t="s">
        <v>140</v>
      </c>
      <c r="AC2140" s="104" t="s">
        <v>141</v>
      </c>
    </row>
    <row r="2141" spans="1:29" ht="25.5" customHeight="1" x14ac:dyDescent="0.35">
      <c r="A2141" s="188"/>
      <c r="B2141" s="190"/>
      <c r="C2141" s="99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0"/>
      <c r="E2141" s="78" t="str">
        <f>IF(C2141="","",IFERROR(VLOOKUP(C2141,parametros!$A$11:$E$15,5,0),""))</f>
        <v/>
      </c>
      <c r="F2141" s="79" t="str">
        <f t="shared" si="167"/>
        <v/>
      </c>
      <c r="G2141" s="101"/>
      <c r="H2141" s="91">
        <f t="shared" si="168"/>
        <v>0</v>
      </c>
      <c r="I2141" s="91" t="str">
        <f t="shared" si="169"/>
        <v/>
      </c>
      <c r="J2141" s="91" t="str">
        <f t="shared" si="170"/>
        <v/>
      </c>
      <c r="K2141" s="92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2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58"/>
      <c r="U2141" s="217" t="str">
        <f t="shared" si="171"/>
        <v/>
      </c>
      <c r="V2141" s="215" t="s">
        <v>47</v>
      </c>
      <c r="W2141" s="102" t="s">
        <v>136</v>
      </c>
      <c r="X2141" s="102" t="s">
        <v>137</v>
      </c>
      <c r="Y2141" s="103" t="s">
        <v>138</v>
      </c>
      <c r="Z2141" s="103" t="s">
        <v>139</v>
      </c>
      <c r="AA2141" s="103" t="s">
        <v>47</v>
      </c>
      <c r="AB2141" s="103" t="s">
        <v>140</v>
      </c>
      <c r="AC2141" s="104" t="s">
        <v>141</v>
      </c>
    </row>
    <row r="2142" spans="1:29" ht="25.5" customHeight="1" x14ac:dyDescent="0.35">
      <c r="A2142" s="188"/>
      <c r="B2142" s="190"/>
      <c r="C2142" s="99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0"/>
      <c r="E2142" s="78" t="str">
        <f>IF(C2142="","",IFERROR(VLOOKUP(C2142,parametros!$A$11:$E$15,5,0),""))</f>
        <v/>
      </c>
      <c r="F2142" s="79" t="str">
        <f t="shared" si="167"/>
        <v/>
      </c>
      <c r="G2142" s="101"/>
      <c r="H2142" s="91">
        <f t="shared" si="168"/>
        <v>0</v>
      </c>
      <c r="I2142" s="91" t="str">
        <f t="shared" si="169"/>
        <v/>
      </c>
      <c r="J2142" s="91" t="str">
        <f t="shared" si="170"/>
        <v/>
      </c>
      <c r="K2142" s="92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2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58"/>
      <c r="U2142" s="217" t="str">
        <f t="shared" si="171"/>
        <v/>
      </c>
      <c r="V2142" s="215" t="s">
        <v>47</v>
      </c>
      <c r="W2142" s="102" t="s">
        <v>136</v>
      </c>
      <c r="X2142" s="102" t="s">
        <v>137</v>
      </c>
      <c r="Y2142" s="103" t="s">
        <v>138</v>
      </c>
      <c r="Z2142" s="103" t="s">
        <v>139</v>
      </c>
      <c r="AA2142" s="103" t="s">
        <v>47</v>
      </c>
      <c r="AB2142" s="103" t="s">
        <v>140</v>
      </c>
      <c r="AC2142" s="104" t="s">
        <v>141</v>
      </c>
    </row>
    <row r="2143" spans="1:29" ht="25.5" customHeight="1" x14ac:dyDescent="0.35">
      <c r="A2143" s="188"/>
      <c r="B2143" s="190"/>
      <c r="C2143" s="99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0"/>
      <c r="E2143" s="78" t="str">
        <f>IF(C2143="","",IFERROR(VLOOKUP(C2143,parametros!$A$11:$E$15,5,0),""))</f>
        <v/>
      </c>
      <c r="F2143" s="79" t="str">
        <f t="shared" si="167"/>
        <v/>
      </c>
      <c r="G2143" s="101"/>
      <c r="H2143" s="91">
        <f t="shared" si="168"/>
        <v>0</v>
      </c>
      <c r="I2143" s="91" t="str">
        <f t="shared" si="169"/>
        <v/>
      </c>
      <c r="J2143" s="91" t="str">
        <f t="shared" si="170"/>
        <v/>
      </c>
      <c r="K2143" s="92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2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58"/>
      <c r="U2143" s="217" t="str">
        <f t="shared" si="171"/>
        <v/>
      </c>
      <c r="V2143" s="215" t="s">
        <v>47</v>
      </c>
      <c r="W2143" s="102" t="s">
        <v>136</v>
      </c>
      <c r="X2143" s="102" t="s">
        <v>137</v>
      </c>
      <c r="Y2143" s="103" t="s">
        <v>138</v>
      </c>
      <c r="Z2143" s="103" t="s">
        <v>139</v>
      </c>
      <c r="AA2143" s="103" t="s">
        <v>47</v>
      </c>
      <c r="AB2143" s="103" t="s">
        <v>140</v>
      </c>
      <c r="AC2143" s="104" t="s">
        <v>141</v>
      </c>
    </row>
    <row r="2144" spans="1:29" ht="25.5" customHeight="1" x14ac:dyDescent="0.35">
      <c r="A2144" s="188"/>
      <c r="B2144" s="190"/>
      <c r="C2144" s="99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0"/>
      <c r="E2144" s="78" t="str">
        <f>IF(C2144="","",IFERROR(VLOOKUP(C2144,parametros!$A$11:$E$15,5,0),""))</f>
        <v/>
      </c>
      <c r="F2144" s="79" t="str">
        <f t="shared" si="167"/>
        <v/>
      </c>
      <c r="G2144" s="101"/>
      <c r="H2144" s="91">
        <f t="shared" si="168"/>
        <v>0</v>
      </c>
      <c r="I2144" s="91" t="str">
        <f t="shared" si="169"/>
        <v/>
      </c>
      <c r="J2144" s="91" t="str">
        <f t="shared" si="170"/>
        <v/>
      </c>
      <c r="K2144" s="92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2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58"/>
      <c r="U2144" s="217" t="str">
        <f t="shared" si="171"/>
        <v/>
      </c>
      <c r="V2144" s="215" t="s">
        <v>47</v>
      </c>
      <c r="W2144" s="102" t="s">
        <v>136</v>
      </c>
      <c r="X2144" s="102" t="s">
        <v>137</v>
      </c>
      <c r="Y2144" s="103" t="s">
        <v>138</v>
      </c>
      <c r="Z2144" s="103" t="s">
        <v>139</v>
      </c>
      <c r="AA2144" s="103" t="s">
        <v>47</v>
      </c>
      <c r="AB2144" s="103" t="s">
        <v>140</v>
      </c>
      <c r="AC2144" s="104" t="s">
        <v>141</v>
      </c>
    </row>
    <row r="2145" spans="1:29" ht="25.5" customHeight="1" x14ac:dyDescent="0.35">
      <c r="A2145" s="188"/>
      <c r="B2145" s="190"/>
      <c r="C2145" s="99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0"/>
      <c r="E2145" s="78" t="str">
        <f>IF(C2145="","",IFERROR(VLOOKUP(C2145,parametros!$A$11:$E$15,5,0),""))</f>
        <v/>
      </c>
      <c r="F2145" s="79" t="str">
        <f t="shared" si="167"/>
        <v/>
      </c>
      <c r="G2145" s="101"/>
      <c r="H2145" s="91">
        <f t="shared" si="168"/>
        <v>0</v>
      </c>
      <c r="I2145" s="91" t="str">
        <f t="shared" si="169"/>
        <v/>
      </c>
      <c r="J2145" s="91" t="str">
        <f t="shared" si="170"/>
        <v/>
      </c>
      <c r="K2145" s="92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2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58"/>
      <c r="U2145" s="217" t="str">
        <f t="shared" si="171"/>
        <v/>
      </c>
      <c r="V2145" s="215" t="s">
        <v>47</v>
      </c>
      <c r="W2145" s="102" t="s">
        <v>136</v>
      </c>
      <c r="X2145" s="102" t="s">
        <v>137</v>
      </c>
      <c r="Y2145" s="103" t="s">
        <v>138</v>
      </c>
      <c r="Z2145" s="103" t="s">
        <v>139</v>
      </c>
      <c r="AA2145" s="103" t="s">
        <v>47</v>
      </c>
      <c r="AB2145" s="103" t="s">
        <v>140</v>
      </c>
      <c r="AC2145" s="104" t="s">
        <v>141</v>
      </c>
    </row>
    <row r="2146" spans="1:29" ht="25.5" customHeight="1" x14ac:dyDescent="0.35">
      <c r="A2146" s="188"/>
      <c r="B2146" s="190"/>
      <c r="C2146" s="99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0"/>
      <c r="E2146" s="78" t="str">
        <f>IF(C2146="","",IFERROR(VLOOKUP(C2146,parametros!$A$11:$E$15,5,0),""))</f>
        <v/>
      </c>
      <c r="F2146" s="79" t="str">
        <f t="shared" si="167"/>
        <v/>
      </c>
      <c r="G2146" s="101"/>
      <c r="H2146" s="91">
        <f t="shared" si="168"/>
        <v>0</v>
      </c>
      <c r="I2146" s="91" t="str">
        <f t="shared" si="169"/>
        <v/>
      </c>
      <c r="J2146" s="91" t="str">
        <f t="shared" si="170"/>
        <v/>
      </c>
      <c r="K2146" s="92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2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58"/>
      <c r="U2146" s="217" t="str">
        <f t="shared" si="171"/>
        <v/>
      </c>
      <c r="V2146" s="215" t="s">
        <v>47</v>
      </c>
      <c r="W2146" s="102" t="s">
        <v>136</v>
      </c>
      <c r="X2146" s="102" t="s">
        <v>137</v>
      </c>
      <c r="Y2146" s="103" t="s">
        <v>138</v>
      </c>
      <c r="Z2146" s="103" t="s">
        <v>139</v>
      </c>
      <c r="AA2146" s="103" t="s">
        <v>47</v>
      </c>
      <c r="AB2146" s="103" t="s">
        <v>140</v>
      </c>
      <c r="AC2146" s="104" t="s">
        <v>141</v>
      </c>
    </row>
    <row r="2147" spans="1:29" ht="25.5" customHeight="1" x14ac:dyDescent="0.35">
      <c r="A2147" s="188"/>
      <c r="B2147" s="190"/>
      <c r="C2147" s="99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0"/>
      <c r="E2147" s="78" t="str">
        <f>IF(C2147="","",IFERROR(VLOOKUP(C2147,parametros!$A$11:$E$15,5,0),""))</f>
        <v/>
      </c>
      <c r="F2147" s="79" t="str">
        <f t="shared" si="167"/>
        <v/>
      </c>
      <c r="G2147" s="101"/>
      <c r="H2147" s="91">
        <f t="shared" si="168"/>
        <v>0</v>
      </c>
      <c r="I2147" s="91" t="str">
        <f t="shared" si="169"/>
        <v/>
      </c>
      <c r="J2147" s="91" t="str">
        <f t="shared" si="170"/>
        <v/>
      </c>
      <c r="K2147" s="92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2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58"/>
      <c r="U2147" s="217" t="str">
        <f t="shared" si="171"/>
        <v/>
      </c>
      <c r="V2147" s="215" t="s">
        <v>47</v>
      </c>
      <c r="W2147" s="102" t="s">
        <v>136</v>
      </c>
      <c r="X2147" s="102" t="s">
        <v>137</v>
      </c>
      <c r="Y2147" s="103" t="s">
        <v>138</v>
      </c>
      <c r="Z2147" s="103" t="s">
        <v>139</v>
      </c>
      <c r="AA2147" s="103" t="s">
        <v>47</v>
      </c>
      <c r="AB2147" s="103" t="s">
        <v>140</v>
      </c>
      <c r="AC2147" s="104" t="s">
        <v>141</v>
      </c>
    </row>
    <row r="2148" spans="1:29" ht="25.5" customHeight="1" x14ac:dyDescent="0.35">
      <c r="A2148" s="188"/>
      <c r="B2148" s="190"/>
      <c r="C2148" s="99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0"/>
      <c r="E2148" s="78" t="str">
        <f>IF(C2148="","",IFERROR(VLOOKUP(C2148,parametros!$A$11:$E$15,5,0),""))</f>
        <v/>
      </c>
      <c r="F2148" s="79" t="str">
        <f t="shared" si="167"/>
        <v/>
      </c>
      <c r="G2148" s="101"/>
      <c r="H2148" s="91">
        <f t="shared" si="168"/>
        <v>0</v>
      </c>
      <c r="I2148" s="91" t="str">
        <f t="shared" si="169"/>
        <v/>
      </c>
      <c r="J2148" s="91" t="str">
        <f t="shared" si="170"/>
        <v/>
      </c>
      <c r="K2148" s="92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2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58"/>
      <c r="U2148" s="217" t="str">
        <f t="shared" si="171"/>
        <v/>
      </c>
      <c r="V2148" s="215" t="s">
        <v>47</v>
      </c>
      <c r="W2148" s="102" t="s">
        <v>136</v>
      </c>
      <c r="X2148" s="102" t="s">
        <v>137</v>
      </c>
      <c r="Y2148" s="103" t="s">
        <v>138</v>
      </c>
      <c r="Z2148" s="103" t="s">
        <v>139</v>
      </c>
      <c r="AA2148" s="103" t="s">
        <v>47</v>
      </c>
      <c r="AB2148" s="103" t="s">
        <v>140</v>
      </c>
      <c r="AC2148" s="104" t="s">
        <v>141</v>
      </c>
    </row>
    <row r="2149" spans="1:29" ht="25.5" customHeight="1" x14ac:dyDescent="0.35">
      <c r="A2149" s="188"/>
      <c r="B2149" s="190"/>
      <c r="C2149" s="99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0"/>
      <c r="E2149" s="78" t="str">
        <f>IF(C2149="","",IFERROR(VLOOKUP(C2149,parametros!$A$11:$E$15,5,0),""))</f>
        <v/>
      </c>
      <c r="F2149" s="79" t="str">
        <f t="shared" si="167"/>
        <v/>
      </c>
      <c r="G2149" s="101"/>
      <c r="H2149" s="91">
        <f t="shared" si="168"/>
        <v>0</v>
      </c>
      <c r="I2149" s="91" t="str">
        <f t="shared" si="169"/>
        <v/>
      </c>
      <c r="J2149" s="91" t="str">
        <f t="shared" si="170"/>
        <v/>
      </c>
      <c r="K2149" s="92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2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58"/>
      <c r="U2149" s="217" t="str">
        <f t="shared" si="171"/>
        <v/>
      </c>
      <c r="V2149" s="215" t="s">
        <v>47</v>
      </c>
      <c r="W2149" s="102" t="s">
        <v>136</v>
      </c>
      <c r="X2149" s="102" t="s">
        <v>137</v>
      </c>
      <c r="Y2149" s="103" t="s">
        <v>138</v>
      </c>
      <c r="Z2149" s="103" t="s">
        <v>139</v>
      </c>
      <c r="AA2149" s="103" t="s">
        <v>47</v>
      </c>
      <c r="AB2149" s="103" t="s">
        <v>140</v>
      </c>
      <c r="AC2149" s="104" t="s">
        <v>141</v>
      </c>
    </row>
    <row r="2150" spans="1:29" ht="25.5" customHeight="1" x14ac:dyDescent="0.35">
      <c r="A2150" s="188"/>
      <c r="B2150" s="190"/>
      <c r="C2150" s="99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0"/>
      <c r="E2150" s="78" t="str">
        <f>IF(C2150="","",IFERROR(VLOOKUP(C2150,parametros!$A$11:$E$15,5,0),""))</f>
        <v/>
      </c>
      <c r="F2150" s="79" t="str">
        <f t="shared" si="167"/>
        <v/>
      </c>
      <c r="G2150" s="101"/>
      <c r="H2150" s="91">
        <f t="shared" si="168"/>
        <v>0</v>
      </c>
      <c r="I2150" s="91" t="str">
        <f t="shared" si="169"/>
        <v/>
      </c>
      <c r="J2150" s="91" t="str">
        <f t="shared" si="170"/>
        <v/>
      </c>
      <c r="K2150" s="92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2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58"/>
      <c r="U2150" s="217" t="str">
        <f t="shared" si="171"/>
        <v/>
      </c>
      <c r="V2150" s="215" t="s">
        <v>47</v>
      </c>
      <c r="W2150" s="102" t="s">
        <v>136</v>
      </c>
      <c r="X2150" s="102" t="s">
        <v>137</v>
      </c>
      <c r="Y2150" s="103" t="s">
        <v>138</v>
      </c>
      <c r="Z2150" s="103" t="s">
        <v>139</v>
      </c>
      <c r="AA2150" s="103" t="s">
        <v>47</v>
      </c>
      <c r="AB2150" s="103" t="s">
        <v>140</v>
      </c>
      <c r="AC2150" s="104" t="s">
        <v>141</v>
      </c>
    </row>
    <row r="2151" spans="1:29" ht="25.5" customHeight="1" x14ac:dyDescent="0.35">
      <c r="A2151" s="188"/>
      <c r="B2151" s="190"/>
      <c r="C2151" s="99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0"/>
      <c r="E2151" s="78" t="str">
        <f>IF(C2151="","",IFERROR(VLOOKUP(C2151,parametros!$A$11:$E$15,5,0),""))</f>
        <v/>
      </c>
      <c r="F2151" s="79" t="str">
        <f t="shared" si="167"/>
        <v/>
      </c>
      <c r="G2151" s="101"/>
      <c r="H2151" s="91">
        <f t="shared" si="168"/>
        <v>0</v>
      </c>
      <c r="I2151" s="91" t="str">
        <f t="shared" si="169"/>
        <v/>
      </c>
      <c r="J2151" s="91" t="str">
        <f t="shared" si="170"/>
        <v/>
      </c>
      <c r="K2151" s="92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2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58"/>
      <c r="U2151" s="217" t="str">
        <f t="shared" si="171"/>
        <v/>
      </c>
      <c r="V2151" s="215" t="s">
        <v>47</v>
      </c>
      <c r="W2151" s="102" t="s">
        <v>136</v>
      </c>
      <c r="X2151" s="102" t="s">
        <v>137</v>
      </c>
      <c r="Y2151" s="103" t="s">
        <v>138</v>
      </c>
      <c r="Z2151" s="103" t="s">
        <v>139</v>
      </c>
      <c r="AA2151" s="103" t="s">
        <v>47</v>
      </c>
      <c r="AB2151" s="103" t="s">
        <v>140</v>
      </c>
      <c r="AC2151" s="104" t="s">
        <v>141</v>
      </c>
    </row>
    <row r="2152" spans="1:29" ht="25.5" customHeight="1" x14ac:dyDescent="0.35">
      <c r="A2152" s="188"/>
      <c r="B2152" s="190"/>
      <c r="C2152" s="99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0"/>
      <c r="E2152" s="78" t="str">
        <f>IF(C2152="","",IFERROR(VLOOKUP(C2152,parametros!$A$11:$E$15,5,0),""))</f>
        <v/>
      </c>
      <c r="F2152" s="79" t="str">
        <f t="shared" si="167"/>
        <v/>
      </c>
      <c r="G2152" s="101"/>
      <c r="H2152" s="91">
        <f t="shared" si="168"/>
        <v>0</v>
      </c>
      <c r="I2152" s="91" t="str">
        <f t="shared" si="169"/>
        <v/>
      </c>
      <c r="J2152" s="91" t="str">
        <f t="shared" si="170"/>
        <v/>
      </c>
      <c r="K2152" s="92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2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58"/>
      <c r="U2152" s="217" t="str">
        <f t="shared" si="171"/>
        <v/>
      </c>
      <c r="V2152" s="215" t="s">
        <v>47</v>
      </c>
      <c r="W2152" s="102" t="s">
        <v>136</v>
      </c>
      <c r="X2152" s="102" t="s">
        <v>137</v>
      </c>
      <c r="Y2152" s="103" t="s">
        <v>138</v>
      </c>
      <c r="Z2152" s="103" t="s">
        <v>139</v>
      </c>
      <c r="AA2152" s="103" t="s">
        <v>47</v>
      </c>
      <c r="AB2152" s="103" t="s">
        <v>140</v>
      </c>
      <c r="AC2152" s="104" t="s">
        <v>141</v>
      </c>
    </row>
    <row r="2153" spans="1:29" ht="25.5" customHeight="1" x14ac:dyDescent="0.35">
      <c r="A2153" s="188"/>
      <c r="B2153" s="190"/>
      <c r="C2153" s="99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0"/>
      <c r="E2153" s="78" t="str">
        <f>IF(C2153="","",IFERROR(VLOOKUP(C2153,parametros!$A$11:$E$15,5,0),""))</f>
        <v/>
      </c>
      <c r="F2153" s="79" t="str">
        <f t="shared" si="167"/>
        <v/>
      </c>
      <c r="G2153" s="101"/>
      <c r="H2153" s="91">
        <f t="shared" si="168"/>
        <v>0</v>
      </c>
      <c r="I2153" s="91" t="str">
        <f t="shared" si="169"/>
        <v/>
      </c>
      <c r="J2153" s="91" t="str">
        <f t="shared" si="170"/>
        <v/>
      </c>
      <c r="K2153" s="92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2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58"/>
      <c r="U2153" s="217" t="str">
        <f t="shared" si="171"/>
        <v/>
      </c>
      <c r="V2153" s="215" t="s">
        <v>47</v>
      </c>
      <c r="W2153" s="102" t="s">
        <v>136</v>
      </c>
      <c r="X2153" s="102" t="s">
        <v>137</v>
      </c>
      <c r="Y2153" s="103" t="s">
        <v>138</v>
      </c>
      <c r="Z2153" s="103" t="s">
        <v>139</v>
      </c>
      <c r="AA2153" s="103" t="s">
        <v>47</v>
      </c>
      <c r="AB2153" s="103" t="s">
        <v>140</v>
      </c>
      <c r="AC2153" s="104" t="s">
        <v>141</v>
      </c>
    </row>
    <row r="2154" spans="1:29" ht="25.5" customHeight="1" x14ac:dyDescent="0.35">
      <c r="A2154" s="188"/>
      <c r="B2154" s="190"/>
      <c r="C2154" s="99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0"/>
      <c r="E2154" s="78" t="str">
        <f>IF(C2154="","",IFERROR(VLOOKUP(C2154,parametros!$A$11:$E$15,5,0),""))</f>
        <v/>
      </c>
      <c r="F2154" s="79" t="str">
        <f t="shared" si="167"/>
        <v/>
      </c>
      <c r="G2154" s="101"/>
      <c r="H2154" s="91">
        <f t="shared" si="168"/>
        <v>0</v>
      </c>
      <c r="I2154" s="91" t="str">
        <f t="shared" si="169"/>
        <v/>
      </c>
      <c r="J2154" s="91" t="str">
        <f t="shared" si="170"/>
        <v/>
      </c>
      <c r="K2154" s="92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2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58"/>
      <c r="U2154" s="217" t="str">
        <f t="shared" si="171"/>
        <v/>
      </c>
      <c r="V2154" s="215" t="s">
        <v>47</v>
      </c>
      <c r="W2154" s="102" t="s">
        <v>136</v>
      </c>
      <c r="X2154" s="102" t="s">
        <v>137</v>
      </c>
      <c r="Y2154" s="103" t="s">
        <v>138</v>
      </c>
      <c r="Z2154" s="103" t="s">
        <v>139</v>
      </c>
      <c r="AA2154" s="103" t="s">
        <v>47</v>
      </c>
      <c r="AB2154" s="103" t="s">
        <v>140</v>
      </c>
      <c r="AC2154" s="104" t="s">
        <v>141</v>
      </c>
    </row>
    <row r="2155" spans="1:29" ht="25.5" customHeight="1" x14ac:dyDescent="0.35">
      <c r="A2155" s="188"/>
      <c r="B2155" s="190"/>
      <c r="C2155" s="99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0"/>
      <c r="E2155" s="78" t="str">
        <f>IF(C2155="","",IFERROR(VLOOKUP(C2155,parametros!$A$11:$E$15,5,0),""))</f>
        <v/>
      </c>
      <c r="F2155" s="79" t="str">
        <f t="shared" si="167"/>
        <v/>
      </c>
      <c r="G2155" s="101"/>
      <c r="H2155" s="91">
        <f t="shared" si="168"/>
        <v>0</v>
      </c>
      <c r="I2155" s="91" t="str">
        <f t="shared" si="169"/>
        <v/>
      </c>
      <c r="J2155" s="91" t="str">
        <f t="shared" si="170"/>
        <v/>
      </c>
      <c r="K2155" s="92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2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58"/>
      <c r="U2155" s="217" t="str">
        <f t="shared" si="171"/>
        <v/>
      </c>
      <c r="V2155" s="215" t="s">
        <v>47</v>
      </c>
      <c r="W2155" s="102" t="s">
        <v>136</v>
      </c>
      <c r="X2155" s="102" t="s">
        <v>137</v>
      </c>
      <c r="Y2155" s="103" t="s">
        <v>138</v>
      </c>
      <c r="Z2155" s="103" t="s">
        <v>139</v>
      </c>
      <c r="AA2155" s="103" t="s">
        <v>47</v>
      </c>
      <c r="AB2155" s="103" t="s">
        <v>140</v>
      </c>
      <c r="AC2155" s="104" t="s">
        <v>141</v>
      </c>
    </row>
    <row r="2156" spans="1:29" ht="25.5" customHeight="1" x14ac:dyDescent="0.35">
      <c r="A2156" s="188"/>
      <c r="B2156" s="190"/>
      <c r="C2156" s="99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0"/>
      <c r="E2156" s="78" t="str">
        <f>IF(C2156="","",IFERROR(VLOOKUP(C2156,parametros!$A$11:$E$15,5,0),""))</f>
        <v/>
      </c>
      <c r="F2156" s="79" t="str">
        <f t="shared" si="167"/>
        <v/>
      </c>
      <c r="G2156" s="101"/>
      <c r="H2156" s="91">
        <f t="shared" si="168"/>
        <v>0</v>
      </c>
      <c r="I2156" s="91" t="str">
        <f t="shared" si="169"/>
        <v/>
      </c>
      <c r="J2156" s="91" t="str">
        <f t="shared" si="170"/>
        <v/>
      </c>
      <c r="K2156" s="92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2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58"/>
      <c r="U2156" s="217" t="str">
        <f t="shared" si="171"/>
        <v/>
      </c>
      <c r="V2156" s="215" t="s">
        <v>47</v>
      </c>
      <c r="W2156" s="102" t="s">
        <v>136</v>
      </c>
      <c r="X2156" s="102" t="s">
        <v>137</v>
      </c>
      <c r="Y2156" s="103" t="s">
        <v>138</v>
      </c>
      <c r="Z2156" s="103" t="s">
        <v>139</v>
      </c>
      <c r="AA2156" s="103" t="s">
        <v>47</v>
      </c>
      <c r="AB2156" s="103" t="s">
        <v>140</v>
      </c>
      <c r="AC2156" s="104" t="s">
        <v>141</v>
      </c>
    </row>
    <row r="2157" spans="1:29" ht="25.5" customHeight="1" x14ac:dyDescent="0.35">
      <c r="A2157" s="188"/>
      <c r="B2157" s="190"/>
      <c r="C2157" s="99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0"/>
      <c r="E2157" s="78" t="str">
        <f>IF(C2157="","",IFERROR(VLOOKUP(C2157,parametros!$A$11:$E$15,5,0),""))</f>
        <v/>
      </c>
      <c r="F2157" s="79" t="str">
        <f t="shared" si="167"/>
        <v/>
      </c>
      <c r="G2157" s="101"/>
      <c r="H2157" s="91">
        <f t="shared" si="168"/>
        <v>0</v>
      </c>
      <c r="I2157" s="91" t="str">
        <f t="shared" si="169"/>
        <v/>
      </c>
      <c r="J2157" s="91" t="str">
        <f t="shared" si="170"/>
        <v/>
      </c>
      <c r="K2157" s="92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2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58"/>
      <c r="U2157" s="217" t="str">
        <f t="shared" si="171"/>
        <v/>
      </c>
      <c r="V2157" s="215" t="s">
        <v>47</v>
      </c>
      <c r="W2157" s="102" t="s">
        <v>136</v>
      </c>
      <c r="X2157" s="102" t="s">
        <v>137</v>
      </c>
      <c r="Y2157" s="103" t="s">
        <v>138</v>
      </c>
      <c r="Z2157" s="103" t="s">
        <v>139</v>
      </c>
      <c r="AA2157" s="103" t="s">
        <v>47</v>
      </c>
      <c r="AB2157" s="103" t="s">
        <v>140</v>
      </c>
      <c r="AC2157" s="104" t="s">
        <v>141</v>
      </c>
    </row>
    <row r="2158" spans="1:29" ht="25.5" customHeight="1" x14ac:dyDescent="0.35">
      <c r="A2158" s="188"/>
      <c r="B2158" s="190"/>
      <c r="C2158" s="99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0"/>
      <c r="E2158" s="78" t="str">
        <f>IF(C2158="","",IFERROR(VLOOKUP(C2158,parametros!$A$11:$E$15,5,0),""))</f>
        <v/>
      </c>
      <c r="F2158" s="79" t="str">
        <f t="shared" si="167"/>
        <v/>
      </c>
      <c r="G2158" s="101"/>
      <c r="H2158" s="91">
        <f t="shared" si="168"/>
        <v>0</v>
      </c>
      <c r="I2158" s="91" t="str">
        <f t="shared" si="169"/>
        <v/>
      </c>
      <c r="J2158" s="91" t="str">
        <f t="shared" si="170"/>
        <v/>
      </c>
      <c r="K2158" s="92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2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58"/>
      <c r="U2158" s="217" t="str">
        <f t="shared" si="171"/>
        <v/>
      </c>
      <c r="V2158" s="215" t="s">
        <v>47</v>
      </c>
      <c r="W2158" s="102" t="s">
        <v>136</v>
      </c>
      <c r="X2158" s="102" t="s">
        <v>137</v>
      </c>
      <c r="Y2158" s="103" t="s">
        <v>138</v>
      </c>
      <c r="Z2158" s="103" t="s">
        <v>139</v>
      </c>
      <c r="AA2158" s="103" t="s">
        <v>47</v>
      </c>
      <c r="AB2158" s="103" t="s">
        <v>140</v>
      </c>
      <c r="AC2158" s="104" t="s">
        <v>141</v>
      </c>
    </row>
    <row r="2159" spans="1:29" ht="25.5" customHeight="1" x14ac:dyDescent="0.35">
      <c r="A2159" s="188"/>
      <c r="B2159" s="190"/>
      <c r="C2159" s="99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0"/>
      <c r="E2159" s="78" t="str">
        <f>IF(C2159="","",IFERROR(VLOOKUP(C2159,parametros!$A$11:$E$15,5,0),""))</f>
        <v/>
      </c>
      <c r="F2159" s="79" t="str">
        <f t="shared" si="167"/>
        <v/>
      </c>
      <c r="G2159" s="101"/>
      <c r="H2159" s="91">
        <f t="shared" si="168"/>
        <v>0</v>
      </c>
      <c r="I2159" s="91" t="str">
        <f t="shared" si="169"/>
        <v/>
      </c>
      <c r="J2159" s="91" t="str">
        <f t="shared" si="170"/>
        <v/>
      </c>
      <c r="K2159" s="92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2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58"/>
      <c r="U2159" s="217" t="str">
        <f t="shared" si="171"/>
        <v/>
      </c>
      <c r="V2159" s="215" t="s">
        <v>47</v>
      </c>
      <c r="W2159" s="102" t="s">
        <v>136</v>
      </c>
      <c r="X2159" s="102" t="s">
        <v>137</v>
      </c>
      <c r="Y2159" s="103" t="s">
        <v>138</v>
      </c>
      <c r="Z2159" s="103" t="s">
        <v>139</v>
      </c>
      <c r="AA2159" s="103" t="s">
        <v>47</v>
      </c>
      <c r="AB2159" s="103" t="s">
        <v>140</v>
      </c>
      <c r="AC2159" s="104" t="s">
        <v>141</v>
      </c>
    </row>
    <row r="2160" spans="1:29" ht="25.5" customHeight="1" x14ac:dyDescent="0.35">
      <c r="A2160" s="188"/>
      <c r="B2160" s="190"/>
      <c r="C2160" s="99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0"/>
      <c r="E2160" s="78" t="str">
        <f>IF(C2160="","",IFERROR(VLOOKUP(C2160,parametros!$A$11:$E$15,5,0),""))</f>
        <v/>
      </c>
      <c r="F2160" s="79" t="str">
        <f t="shared" si="167"/>
        <v/>
      </c>
      <c r="G2160" s="101"/>
      <c r="H2160" s="91">
        <f t="shared" si="168"/>
        <v>0</v>
      </c>
      <c r="I2160" s="91" t="str">
        <f t="shared" si="169"/>
        <v/>
      </c>
      <c r="J2160" s="91" t="str">
        <f t="shared" si="170"/>
        <v/>
      </c>
      <c r="K2160" s="92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2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58"/>
      <c r="U2160" s="217" t="str">
        <f t="shared" si="171"/>
        <v/>
      </c>
      <c r="V2160" s="215" t="s">
        <v>47</v>
      </c>
      <c r="W2160" s="102" t="s">
        <v>136</v>
      </c>
      <c r="X2160" s="102" t="s">
        <v>137</v>
      </c>
      <c r="Y2160" s="103" t="s">
        <v>138</v>
      </c>
      <c r="Z2160" s="103" t="s">
        <v>139</v>
      </c>
      <c r="AA2160" s="103" t="s">
        <v>47</v>
      </c>
      <c r="AB2160" s="103" t="s">
        <v>140</v>
      </c>
      <c r="AC2160" s="104" t="s">
        <v>141</v>
      </c>
    </row>
    <row r="2161" spans="1:29" ht="25.5" customHeight="1" x14ac:dyDescent="0.35">
      <c r="A2161" s="188"/>
      <c r="B2161" s="190"/>
      <c r="C2161" s="99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0"/>
      <c r="E2161" s="78" t="str">
        <f>IF(C2161="","",IFERROR(VLOOKUP(C2161,parametros!$A$11:$E$15,5,0),""))</f>
        <v/>
      </c>
      <c r="F2161" s="79" t="str">
        <f t="shared" si="167"/>
        <v/>
      </c>
      <c r="G2161" s="101"/>
      <c r="H2161" s="91">
        <f t="shared" si="168"/>
        <v>0</v>
      </c>
      <c r="I2161" s="91" t="str">
        <f t="shared" si="169"/>
        <v/>
      </c>
      <c r="J2161" s="91" t="str">
        <f t="shared" si="170"/>
        <v/>
      </c>
      <c r="K2161" s="92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2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58"/>
      <c r="U2161" s="217" t="str">
        <f t="shared" si="171"/>
        <v/>
      </c>
      <c r="V2161" s="215" t="s">
        <v>47</v>
      </c>
      <c r="W2161" s="102" t="s">
        <v>136</v>
      </c>
      <c r="X2161" s="102" t="s">
        <v>137</v>
      </c>
      <c r="Y2161" s="103" t="s">
        <v>138</v>
      </c>
      <c r="Z2161" s="103" t="s">
        <v>139</v>
      </c>
      <c r="AA2161" s="103" t="s">
        <v>47</v>
      </c>
      <c r="AB2161" s="103" t="s">
        <v>140</v>
      </c>
      <c r="AC2161" s="104" t="s">
        <v>141</v>
      </c>
    </row>
    <row r="2162" spans="1:29" ht="25.5" customHeight="1" x14ac:dyDescent="0.35">
      <c r="A2162" s="188"/>
      <c r="B2162" s="190"/>
      <c r="C2162" s="99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0"/>
      <c r="E2162" s="78" t="str">
        <f>IF(C2162="","",IFERROR(VLOOKUP(C2162,parametros!$A$11:$E$15,5,0),""))</f>
        <v/>
      </c>
      <c r="F2162" s="79" t="str">
        <f t="shared" si="167"/>
        <v/>
      </c>
      <c r="G2162" s="101"/>
      <c r="H2162" s="91">
        <f t="shared" si="168"/>
        <v>0</v>
      </c>
      <c r="I2162" s="91" t="str">
        <f t="shared" si="169"/>
        <v/>
      </c>
      <c r="J2162" s="91" t="str">
        <f t="shared" si="170"/>
        <v/>
      </c>
      <c r="K2162" s="92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2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58"/>
      <c r="U2162" s="217" t="str">
        <f t="shared" si="171"/>
        <v/>
      </c>
      <c r="V2162" s="215" t="s">
        <v>47</v>
      </c>
      <c r="W2162" s="102" t="s">
        <v>136</v>
      </c>
      <c r="X2162" s="102" t="s">
        <v>137</v>
      </c>
      <c r="Y2162" s="103" t="s">
        <v>138</v>
      </c>
      <c r="Z2162" s="103" t="s">
        <v>139</v>
      </c>
      <c r="AA2162" s="103" t="s">
        <v>47</v>
      </c>
      <c r="AB2162" s="103" t="s">
        <v>140</v>
      </c>
      <c r="AC2162" s="104" t="s">
        <v>141</v>
      </c>
    </row>
    <row r="2163" spans="1:29" ht="25.5" customHeight="1" x14ac:dyDescent="0.35">
      <c r="A2163" s="188"/>
      <c r="B2163" s="190"/>
      <c r="C2163" s="99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0"/>
      <c r="E2163" s="78" t="str">
        <f>IF(C2163="","",IFERROR(VLOOKUP(C2163,parametros!$A$11:$E$15,5,0),""))</f>
        <v/>
      </c>
      <c r="F2163" s="79" t="str">
        <f t="shared" si="167"/>
        <v/>
      </c>
      <c r="G2163" s="101"/>
      <c r="H2163" s="91">
        <f t="shared" si="168"/>
        <v>0</v>
      </c>
      <c r="I2163" s="91" t="str">
        <f t="shared" si="169"/>
        <v/>
      </c>
      <c r="J2163" s="91" t="str">
        <f t="shared" si="170"/>
        <v/>
      </c>
      <c r="K2163" s="92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2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58"/>
      <c r="U2163" s="217" t="str">
        <f t="shared" si="171"/>
        <v/>
      </c>
      <c r="V2163" s="215" t="s">
        <v>47</v>
      </c>
      <c r="W2163" s="102" t="s">
        <v>136</v>
      </c>
      <c r="X2163" s="102" t="s">
        <v>137</v>
      </c>
      <c r="Y2163" s="103" t="s">
        <v>138</v>
      </c>
      <c r="Z2163" s="103" t="s">
        <v>139</v>
      </c>
      <c r="AA2163" s="103" t="s">
        <v>47</v>
      </c>
      <c r="AB2163" s="103" t="s">
        <v>140</v>
      </c>
      <c r="AC2163" s="104" t="s">
        <v>141</v>
      </c>
    </row>
    <row r="2164" spans="1:29" ht="25.5" customHeight="1" x14ac:dyDescent="0.35">
      <c r="A2164" s="188"/>
      <c r="B2164" s="190"/>
      <c r="C2164" s="99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0"/>
      <c r="E2164" s="78" t="str">
        <f>IF(C2164="","",IFERROR(VLOOKUP(C2164,parametros!$A$11:$E$15,5,0),""))</f>
        <v/>
      </c>
      <c r="F2164" s="79" t="str">
        <f t="shared" si="167"/>
        <v/>
      </c>
      <c r="G2164" s="101"/>
      <c r="H2164" s="91">
        <f t="shared" si="168"/>
        <v>0</v>
      </c>
      <c r="I2164" s="91" t="str">
        <f t="shared" si="169"/>
        <v/>
      </c>
      <c r="J2164" s="91" t="str">
        <f t="shared" si="170"/>
        <v/>
      </c>
      <c r="K2164" s="92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2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58"/>
      <c r="U2164" s="217" t="str">
        <f t="shared" si="171"/>
        <v/>
      </c>
      <c r="V2164" s="215" t="s">
        <v>47</v>
      </c>
      <c r="W2164" s="102" t="s">
        <v>136</v>
      </c>
      <c r="X2164" s="102" t="s">
        <v>137</v>
      </c>
      <c r="Y2164" s="103" t="s">
        <v>138</v>
      </c>
      <c r="Z2164" s="103" t="s">
        <v>139</v>
      </c>
      <c r="AA2164" s="103" t="s">
        <v>47</v>
      </c>
      <c r="AB2164" s="103" t="s">
        <v>140</v>
      </c>
      <c r="AC2164" s="104" t="s">
        <v>141</v>
      </c>
    </row>
    <row r="2165" spans="1:29" ht="25.5" customHeight="1" x14ac:dyDescent="0.35">
      <c r="A2165" s="188"/>
      <c r="B2165" s="190"/>
      <c r="C2165" s="99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0"/>
      <c r="E2165" s="78" t="str">
        <f>IF(C2165="","",IFERROR(VLOOKUP(C2165,parametros!$A$11:$E$15,5,0),""))</f>
        <v/>
      </c>
      <c r="F2165" s="79" t="str">
        <f t="shared" si="167"/>
        <v/>
      </c>
      <c r="G2165" s="101"/>
      <c r="H2165" s="91">
        <f t="shared" si="168"/>
        <v>0</v>
      </c>
      <c r="I2165" s="91" t="str">
        <f t="shared" si="169"/>
        <v/>
      </c>
      <c r="J2165" s="91" t="str">
        <f t="shared" si="170"/>
        <v/>
      </c>
      <c r="K2165" s="92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2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58"/>
      <c r="U2165" s="217" t="str">
        <f t="shared" si="171"/>
        <v/>
      </c>
      <c r="V2165" s="215" t="s">
        <v>47</v>
      </c>
      <c r="W2165" s="102" t="s">
        <v>136</v>
      </c>
      <c r="X2165" s="102" t="s">
        <v>137</v>
      </c>
      <c r="Y2165" s="103" t="s">
        <v>138</v>
      </c>
      <c r="Z2165" s="103" t="s">
        <v>139</v>
      </c>
      <c r="AA2165" s="103" t="s">
        <v>47</v>
      </c>
      <c r="AB2165" s="103" t="s">
        <v>140</v>
      </c>
      <c r="AC2165" s="104" t="s">
        <v>141</v>
      </c>
    </row>
    <row r="2166" spans="1:29" ht="25.5" customHeight="1" x14ac:dyDescent="0.35">
      <c r="A2166" s="188"/>
      <c r="B2166" s="190"/>
      <c r="C2166" s="99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0"/>
      <c r="E2166" s="78" t="str">
        <f>IF(C2166="","",IFERROR(VLOOKUP(C2166,parametros!$A$11:$E$15,5,0),""))</f>
        <v/>
      </c>
      <c r="F2166" s="79" t="str">
        <f t="shared" si="167"/>
        <v/>
      </c>
      <c r="G2166" s="101"/>
      <c r="H2166" s="91">
        <f t="shared" si="168"/>
        <v>0</v>
      </c>
      <c r="I2166" s="91" t="str">
        <f t="shared" si="169"/>
        <v/>
      </c>
      <c r="J2166" s="91" t="str">
        <f t="shared" si="170"/>
        <v/>
      </c>
      <c r="K2166" s="92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2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58"/>
      <c r="U2166" s="217" t="str">
        <f t="shared" si="171"/>
        <v/>
      </c>
      <c r="V2166" s="215" t="s">
        <v>47</v>
      </c>
      <c r="W2166" s="102" t="s">
        <v>136</v>
      </c>
      <c r="X2166" s="102" t="s">
        <v>137</v>
      </c>
      <c r="Y2166" s="103" t="s">
        <v>138</v>
      </c>
      <c r="Z2166" s="103" t="s">
        <v>139</v>
      </c>
      <c r="AA2166" s="103" t="s">
        <v>47</v>
      </c>
      <c r="AB2166" s="103" t="s">
        <v>140</v>
      </c>
      <c r="AC2166" s="104" t="s">
        <v>141</v>
      </c>
    </row>
    <row r="2167" spans="1:29" ht="25.5" customHeight="1" x14ac:dyDescent="0.35">
      <c r="A2167" s="188"/>
      <c r="B2167" s="190"/>
      <c r="C2167" s="99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0"/>
      <c r="E2167" s="78" t="str">
        <f>IF(C2167="","",IFERROR(VLOOKUP(C2167,parametros!$A$11:$E$15,5,0),""))</f>
        <v/>
      </c>
      <c r="F2167" s="79" t="str">
        <f t="shared" si="167"/>
        <v/>
      </c>
      <c r="G2167" s="101"/>
      <c r="H2167" s="91">
        <f t="shared" si="168"/>
        <v>0</v>
      </c>
      <c r="I2167" s="91" t="str">
        <f t="shared" si="169"/>
        <v/>
      </c>
      <c r="J2167" s="91" t="str">
        <f t="shared" si="170"/>
        <v/>
      </c>
      <c r="K2167" s="92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2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58"/>
      <c r="U2167" s="217" t="str">
        <f t="shared" si="171"/>
        <v/>
      </c>
      <c r="V2167" s="215" t="s">
        <v>47</v>
      </c>
      <c r="W2167" s="102" t="s">
        <v>136</v>
      </c>
      <c r="X2167" s="102" t="s">
        <v>137</v>
      </c>
      <c r="Y2167" s="103" t="s">
        <v>138</v>
      </c>
      <c r="Z2167" s="103" t="s">
        <v>139</v>
      </c>
      <c r="AA2167" s="103" t="s">
        <v>47</v>
      </c>
      <c r="AB2167" s="103" t="s">
        <v>140</v>
      </c>
      <c r="AC2167" s="104" t="s">
        <v>141</v>
      </c>
    </row>
    <row r="2168" spans="1:29" ht="25.5" customHeight="1" x14ac:dyDescent="0.35">
      <c r="A2168" s="188"/>
      <c r="B2168" s="190"/>
      <c r="C2168" s="99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0"/>
      <c r="E2168" s="78" t="str">
        <f>IF(C2168="","",IFERROR(VLOOKUP(C2168,parametros!$A$11:$E$15,5,0),""))</f>
        <v/>
      </c>
      <c r="F2168" s="79" t="str">
        <f t="shared" si="167"/>
        <v/>
      </c>
      <c r="G2168" s="101"/>
      <c r="H2168" s="91">
        <f t="shared" si="168"/>
        <v>0</v>
      </c>
      <c r="I2168" s="91" t="str">
        <f t="shared" si="169"/>
        <v/>
      </c>
      <c r="J2168" s="91" t="str">
        <f t="shared" si="170"/>
        <v/>
      </c>
      <c r="K2168" s="92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2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58"/>
      <c r="U2168" s="217" t="str">
        <f t="shared" si="171"/>
        <v/>
      </c>
      <c r="V2168" s="215" t="s">
        <v>47</v>
      </c>
      <c r="W2168" s="102" t="s">
        <v>136</v>
      </c>
      <c r="X2168" s="102" t="s">
        <v>137</v>
      </c>
      <c r="Y2168" s="103" t="s">
        <v>138</v>
      </c>
      <c r="Z2168" s="103" t="s">
        <v>139</v>
      </c>
      <c r="AA2168" s="103" t="s">
        <v>47</v>
      </c>
      <c r="AB2168" s="103" t="s">
        <v>140</v>
      </c>
      <c r="AC2168" s="104" t="s">
        <v>141</v>
      </c>
    </row>
    <row r="2169" spans="1:29" ht="25.5" customHeight="1" x14ac:dyDescent="0.35">
      <c r="A2169" s="188"/>
      <c r="B2169" s="190"/>
      <c r="C2169" s="99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0"/>
      <c r="E2169" s="78" t="str">
        <f>IF(C2169="","",IFERROR(VLOOKUP(C2169,parametros!$A$11:$E$15,5,0),""))</f>
        <v/>
      </c>
      <c r="F2169" s="79" t="str">
        <f t="shared" si="167"/>
        <v/>
      </c>
      <c r="G2169" s="101"/>
      <c r="H2169" s="91">
        <f t="shared" si="168"/>
        <v>0</v>
      </c>
      <c r="I2169" s="91" t="str">
        <f t="shared" si="169"/>
        <v/>
      </c>
      <c r="J2169" s="91" t="str">
        <f t="shared" si="170"/>
        <v/>
      </c>
      <c r="K2169" s="92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2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58"/>
      <c r="U2169" s="217" t="str">
        <f t="shared" si="171"/>
        <v/>
      </c>
      <c r="V2169" s="215" t="s">
        <v>47</v>
      </c>
      <c r="W2169" s="102" t="s">
        <v>136</v>
      </c>
      <c r="X2169" s="102" t="s">
        <v>137</v>
      </c>
      <c r="Y2169" s="103" t="s">
        <v>138</v>
      </c>
      <c r="Z2169" s="103" t="s">
        <v>139</v>
      </c>
      <c r="AA2169" s="103" t="s">
        <v>47</v>
      </c>
      <c r="AB2169" s="103" t="s">
        <v>140</v>
      </c>
      <c r="AC2169" s="104" t="s">
        <v>141</v>
      </c>
    </row>
    <row r="2170" spans="1:29" ht="25.5" customHeight="1" x14ac:dyDescent="0.35">
      <c r="A2170" s="188"/>
      <c r="B2170" s="190"/>
      <c r="C2170" s="99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0"/>
      <c r="E2170" s="78" t="str">
        <f>IF(C2170="","",IFERROR(VLOOKUP(C2170,parametros!$A$11:$E$15,5,0),""))</f>
        <v/>
      </c>
      <c r="F2170" s="79" t="str">
        <f t="shared" si="167"/>
        <v/>
      </c>
      <c r="G2170" s="101"/>
      <c r="H2170" s="91">
        <f t="shared" si="168"/>
        <v>0</v>
      </c>
      <c r="I2170" s="91" t="str">
        <f t="shared" si="169"/>
        <v/>
      </c>
      <c r="J2170" s="91" t="str">
        <f t="shared" si="170"/>
        <v/>
      </c>
      <c r="K2170" s="92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2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58"/>
      <c r="U2170" s="217" t="str">
        <f t="shared" si="171"/>
        <v/>
      </c>
      <c r="V2170" s="215" t="s">
        <v>47</v>
      </c>
      <c r="W2170" s="102" t="s">
        <v>136</v>
      </c>
      <c r="X2170" s="102" t="s">
        <v>137</v>
      </c>
      <c r="Y2170" s="103" t="s">
        <v>138</v>
      </c>
      <c r="Z2170" s="103" t="s">
        <v>139</v>
      </c>
      <c r="AA2170" s="103" t="s">
        <v>47</v>
      </c>
      <c r="AB2170" s="103" t="s">
        <v>140</v>
      </c>
      <c r="AC2170" s="104" t="s">
        <v>141</v>
      </c>
    </row>
    <row r="2171" spans="1:29" ht="25.5" customHeight="1" x14ac:dyDescent="0.35">
      <c r="A2171" s="188"/>
      <c r="B2171" s="190"/>
      <c r="C2171" s="99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0"/>
      <c r="E2171" s="78" t="str">
        <f>IF(C2171="","",IFERROR(VLOOKUP(C2171,parametros!$A$11:$E$15,5,0),""))</f>
        <v/>
      </c>
      <c r="F2171" s="79" t="str">
        <f t="shared" si="167"/>
        <v/>
      </c>
      <c r="G2171" s="101"/>
      <c r="H2171" s="91">
        <f t="shared" si="168"/>
        <v>0</v>
      </c>
      <c r="I2171" s="91" t="str">
        <f t="shared" si="169"/>
        <v/>
      </c>
      <c r="J2171" s="91" t="str">
        <f t="shared" si="170"/>
        <v/>
      </c>
      <c r="K2171" s="92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2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58"/>
      <c r="U2171" s="217" t="str">
        <f t="shared" si="171"/>
        <v/>
      </c>
      <c r="V2171" s="215" t="s">
        <v>47</v>
      </c>
      <c r="W2171" s="102" t="s">
        <v>136</v>
      </c>
      <c r="X2171" s="102" t="s">
        <v>137</v>
      </c>
      <c r="Y2171" s="103" t="s">
        <v>138</v>
      </c>
      <c r="Z2171" s="103" t="s">
        <v>139</v>
      </c>
      <c r="AA2171" s="103" t="s">
        <v>47</v>
      </c>
      <c r="AB2171" s="103" t="s">
        <v>140</v>
      </c>
      <c r="AC2171" s="104" t="s">
        <v>141</v>
      </c>
    </row>
    <row r="2172" spans="1:29" ht="25.5" customHeight="1" x14ac:dyDescent="0.35">
      <c r="A2172" s="188"/>
      <c r="B2172" s="190"/>
      <c r="C2172" s="99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0"/>
      <c r="E2172" s="78" t="str">
        <f>IF(C2172="","",IFERROR(VLOOKUP(C2172,parametros!$A$11:$E$15,5,0),""))</f>
        <v/>
      </c>
      <c r="F2172" s="79" t="str">
        <f t="shared" si="167"/>
        <v/>
      </c>
      <c r="G2172" s="101"/>
      <c r="H2172" s="91">
        <f t="shared" si="168"/>
        <v>0</v>
      </c>
      <c r="I2172" s="91" t="str">
        <f t="shared" si="169"/>
        <v/>
      </c>
      <c r="J2172" s="91" t="str">
        <f t="shared" si="170"/>
        <v/>
      </c>
      <c r="K2172" s="92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2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58"/>
      <c r="U2172" s="217" t="str">
        <f t="shared" si="171"/>
        <v/>
      </c>
      <c r="V2172" s="215" t="s">
        <v>47</v>
      </c>
      <c r="W2172" s="102" t="s">
        <v>136</v>
      </c>
      <c r="X2172" s="102" t="s">
        <v>137</v>
      </c>
      <c r="Y2172" s="103" t="s">
        <v>138</v>
      </c>
      <c r="Z2172" s="103" t="s">
        <v>139</v>
      </c>
      <c r="AA2172" s="103" t="s">
        <v>47</v>
      </c>
      <c r="AB2172" s="103" t="s">
        <v>140</v>
      </c>
      <c r="AC2172" s="104" t="s">
        <v>141</v>
      </c>
    </row>
    <row r="2173" spans="1:29" ht="25.5" customHeight="1" x14ac:dyDescent="0.35">
      <c r="A2173" s="188"/>
      <c r="B2173" s="190"/>
      <c r="C2173" s="99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0"/>
      <c r="E2173" s="78" t="str">
        <f>IF(C2173="","",IFERROR(VLOOKUP(C2173,parametros!$A$11:$E$15,5,0),""))</f>
        <v/>
      </c>
      <c r="F2173" s="79" t="str">
        <f t="shared" si="167"/>
        <v/>
      </c>
      <c r="G2173" s="101"/>
      <c r="H2173" s="91">
        <f t="shared" si="168"/>
        <v>0</v>
      </c>
      <c r="I2173" s="91" t="str">
        <f t="shared" si="169"/>
        <v/>
      </c>
      <c r="J2173" s="91" t="str">
        <f t="shared" si="170"/>
        <v/>
      </c>
      <c r="K2173" s="92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2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58"/>
      <c r="U2173" s="217" t="str">
        <f t="shared" si="171"/>
        <v/>
      </c>
      <c r="V2173" s="215" t="s">
        <v>47</v>
      </c>
      <c r="W2173" s="102" t="s">
        <v>136</v>
      </c>
      <c r="X2173" s="102" t="s">
        <v>137</v>
      </c>
      <c r="Y2173" s="103" t="s">
        <v>138</v>
      </c>
      <c r="Z2173" s="103" t="s">
        <v>139</v>
      </c>
      <c r="AA2173" s="103" t="s">
        <v>47</v>
      </c>
      <c r="AB2173" s="103" t="s">
        <v>140</v>
      </c>
      <c r="AC2173" s="104" t="s">
        <v>141</v>
      </c>
    </row>
    <row r="2174" spans="1:29" ht="25.5" customHeight="1" x14ac:dyDescent="0.35">
      <c r="A2174" s="188"/>
      <c r="B2174" s="190"/>
      <c r="C2174" s="99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0"/>
      <c r="E2174" s="78" t="str">
        <f>IF(C2174="","",IFERROR(VLOOKUP(C2174,parametros!$A$11:$E$15,5,0),""))</f>
        <v/>
      </c>
      <c r="F2174" s="79" t="str">
        <f t="shared" si="167"/>
        <v/>
      </c>
      <c r="G2174" s="101"/>
      <c r="H2174" s="91">
        <f t="shared" si="168"/>
        <v>0</v>
      </c>
      <c r="I2174" s="91" t="str">
        <f t="shared" si="169"/>
        <v/>
      </c>
      <c r="J2174" s="91" t="str">
        <f t="shared" si="170"/>
        <v/>
      </c>
      <c r="K2174" s="92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2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58"/>
      <c r="U2174" s="217" t="str">
        <f t="shared" si="171"/>
        <v/>
      </c>
      <c r="V2174" s="215" t="s">
        <v>47</v>
      </c>
      <c r="W2174" s="102" t="s">
        <v>136</v>
      </c>
      <c r="X2174" s="102" t="s">
        <v>137</v>
      </c>
      <c r="Y2174" s="103" t="s">
        <v>138</v>
      </c>
      <c r="Z2174" s="103" t="s">
        <v>139</v>
      </c>
      <c r="AA2174" s="103" t="s">
        <v>47</v>
      </c>
      <c r="AB2174" s="103" t="s">
        <v>140</v>
      </c>
      <c r="AC2174" s="104" t="s">
        <v>141</v>
      </c>
    </row>
    <row r="2175" spans="1:29" ht="25.5" customHeight="1" x14ac:dyDescent="0.35">
      <c r="A2175" s="188"/>
      <c r="B2175" s="190"/>
      <c r="C2175" s="99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0"/>
      <c r="E2175" s="78" t="str">
        <f>IF(C2175="","",IFERROR(VLOOKUP(C2175,parametros!$A$11:$E$15,5,0),""))</f>
        <v/>
      </c>
      <c r="F2175" s="79" t="str">
        <f t="shared" si="167"/>
        <v/>
      </c>
      <c r="G2175" s="101"/>
      <c r="H2175" s="91">
        <f t="shared" si="168"/>
        <v>0</v>
      </c>
      <c r="I2175" s="91" t="str">
        <f t="shared" si="169"/>
        <v/>
      </c>
      <c r="J2175" s="91" t="str">
        <f t="shared" si="170"/>
        <v/>
      </c>
      <c r="K2175" s="92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2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58"/>
      <c r="U2175" s="217" t="str">
        <f t="shared" si="171"/>
        <v/>
      </c>
      <c r="V2175" s="215" t="s">
        <v>47</v>
      </c>
      <c r="W2175" s="102" t="s">
        <v>136</v>
      </c>
      <c r="X2175" s="102" t="s">
        <v>137</v>
      </c>
      <c r="Y2175" s="103" t="s">
        <v>138</v>
      </c>
      <c r="Z2175" s="103" t="s">
        <v>139</v>
      </c>
      <c r="AA2175" s="103" t="s">
        <v>47</v>
      </c>
      <c r="AB2175" s="103" t="s">
        <v>140</v>
      </c>
      <c r="AC2175" s="104" t="s">
        <v>141</v>
      </c>
    </row>
    <row r="2176" spans="1:29" ht="25.5" customHeight="1" x14ac:dyDescent="0.35">
      <c r="A2176" s="188"/>
      <c r="B2176" s="190"/>
      <c r="C2176" s="99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0"/>
      <c r="E2176" s="78" t="str">
        <f>IF(C2176="","",IFERROR(VLOOKUP(C2176,parametros!$A$11:$E$15,5,0),""))</f>
        <v/>
      </c>
      <c r="F2176" s="79" t="str">
        <f t="shared" si="167"/>
        <v/>
      </c>
      <c r="G2176" s="101"/>
      <c r="H2176" s="91">
        <f t="shared" si="168"/>
        <v>0</v>
      </c>
      <c r="I2176" s="91" t="str">
        <f t="shared" si="169"/>
        <v/>
      </c>
      <c r="J2176" s="91" t="str">
        <f t="shared" si="170"/>
        <v/>
      </c>
      <c r="K2176" s="92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2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58"/>
      <c r="U2176" s="217" t="str">
        <f t="shared" si="171"/>
        <v/>
      </c>
      <c r="V2176" s="215" t="s">
        <v>47</v>
      </c>
      <c r="W2176" s="102" t="s">
        <v>136</v>
      </c>
      <c r="X2176" s="102" t="s">
        <v>137</v>
      </c>
      <c r="Y2176" s="103" t="s">
        <v>138</v>
      </c>
      <c r="Z2176" s="103" t="s">
        <v>139</v>
      </c>
      <c r="AA2176" s="103" t="s">
        <v>47</v>
      </c>
      <c r="AB2176" s="103" t="s">
        <v>140</v>
      </c>
      <c r="AC2176" s="104" t="s">
        <v>141</v>
      </c>
    </row>
    <row r="2177" spans="1:29" ht="25.5" customHeight="1" x14ac:dyDescent="0.35">
      <c r="A2177" s="188"/>
      <c r="B2177" s="190"/>
      <c r="C2177" s="99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0"/>
      <c r="E2177" s="78" t="str">
        <f>IF(C2177="","",IFERROR(VLOOKUP(C2177,parametros!$A$11:$E$15,5,0),""))</f>
        <v/>
      </c>
      <c r="F2177" s="79" t="str">
        <f t="shared" si="167"/>
        <v/>
      </c>
      <c r="G2177" s="101"/>
      <c r="H2177" s="91">
        <f t="shared" si="168"/>
        <v>0</v>
      </c>
      <c r="I2177" s="91" t="str">
        <f t="shared" si="169"/>
        <v/>
      </c>
      <c r="J2177" s="91" t="str">
        <f t="shared" si="170"/>
        <v/>
      </c>
      <c r="K2177" s="92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2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58"/>
      <c r="U2177" s="217" t="str">
        <f t="shared" si="171"/>
        <v/>
      </c>
      <c r="V2177" s="215" t="s">
        <v>47</v>
      </c>
      <c r="W2177" s="102" t="s">
        <v>136</v>
      </c>
      <c r="X2177" s="102" t="s">
        <v>137</v>
      </c>
      <c r="Y2177" s="103" t="s">
        <v>138</v>
      </c>
      <c r="Z2177" s="103" t="s">
        <v>139</v>
      </c>
      <c r="AA2177" s="103" t="s">
        <v>47</v>
      </c>
      <c r="AB2177" s="103" t="s">
        <v>140</v>
      </c>
      <c r="AC2177" s="104" t="s">
        <v>141</v>
      </c>
    </row>
    <row r="2178" spans="1:29" ht="25.5" customHeight="1" x14ac:dyDescent="0.35">
      <c r="A2178" s="188"/>
      <c r="B2178" s="190"/>
      <c r="C2178" s="99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0"/>
      <c r="E2178" s="78" t="str">
        <f>IF(C2178="","",IFERROR(VLOOKUP(C2178,parametros!$A$11:$E$15,5,0),""))</f>
        <v/>
      </c>
      <c r="F2178" s="79" t="str">
        <f t="shared" ref="F2178:F2241" si="172">IF(OR(D2178="",E2178=""),"",ROUND(D2178*E2178,2))</f>
        <v/>
      </c>
      <c r="G2178" s="101"/>
      <c r="H2178" s="91">
        <f t="shared" ref="H2178:H2241" si="173">IF(G2178="Sim",IF(OR(F2178="",D2178="",L2178=""),"",IF(L2178="Sim",ROUND(F2178-D2178,2),0)),0)</f>
        <v>0</v>
      </c>
      <c r="I2178" s="91" t="str">
        <f t="shared" ref="I2178:I2241" si="174">IF(G2178="Sim",0,IF(OR(F2178="",L2178=""),"",F2178))</f>
        <v/>
      </c>
      <c r="J2178" s="91" t="str">
        <f t="shared" ref="J2178:J2241" si="175">IF(G2178="Sim",0,IF(OR(F2178="",D2178="",L2178=""),"",IF(L2178="Sim",ROUND(F2178-D2178,2),0)))</f>
        <v/>
      </c>
      <c r="K2178" s="92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2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58"/>
      <c r="U2178" s="217" t="str">
        <f t="shared" ref="U2178:U2241" si="176">IF(OR($D2178="",$H2178=""),"",ROUND($D2178+$H2178,2))</f>
        <v/>
      </c>
      <c r="V2178" s="215" t="s">
        <v>47</v>
      </c>
      <c r="W2178" s="102" t="s">
        <v>136</v>
      </c>
      <c r="X2178" s="102" t="s">
        <v>137</v>
      </c>
      <c r="Y2178" s="103" t="s">
        <v>138</v>
      </c>
      <c r="Z2178" s="103" t="s">
        <v>139</v>
      </c>
      <c r="AA2178" s="103" t="s">
        <v>47</v>
      </c>
      <c r="AB2178" s="103" t="s">
        <v>140</v>
      </c>
      <c r="AC2178" s="104" t="s">
        <v>141</v>
      </c>
    </row>
    <row r="2179" spans="1:29" ht="25.5" customHeight="1" x14ac:dyDescent="0.35">
      <c r="A2179" s="188"/>
      <c r="B2179" s="190"/>
      <c r="C2179" s="99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0"/>
      <c r="E2179" s="78" t="str">
        <f>IF(C2179="","",IFERROR(VLOOKUP(C2179,parametros!$A$11:$E$15,5,0),""))</f>
        <v/>
      </c>
      <c r="F2179" s="79" t="str">
        <f t="shared" si="172"/>
        <v/>
      </c>
      <c r="G2179" s="101"/>
      <c r="H2179" s="91">
        <f t="shared" si="173"/>
        <v>0</v>
      </c>
      <c r="I2179" s="91" t="str">
        <f t="shared" si="174"/>
        <v/>
      </c>
      <c r="J2179" s="91" t="str">
        <f t="shared" si="175"/>
        <v/>
      </c>
      <c r="K2179" s="92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2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58"/>
      <c r="U2179" s="217" t="str">
        <f t="shared" si="176"/>
        <v/>
      </c>
      <c r="V2179" s="215" t="s">
        <v>47</v>
      </c>
      <c r="W2179" s="102" t="s">
        <v>136</v>
      </c>
      <c r="X2179" s="102" t="s">
        <v>137</v>
      </c>
      <c r="Y2179" s="103" t="s">
        <v>138</v>
      </c>
      <c r="Z2179" s="103" t="s">
        <v>139</v>
      </c>
      <c r="AA2179" s="103" t="s">
        <v>47</v>
      </c>
      <c r="AB2179" s="103" t="s">
        <v>140</v>
      </c>
      <c r="AC2179" s="104" t="s">
        <v>141</v>
      </c>
    </row>
    <row r="2180" spans="1:29" ht="25.5" customHeight="1" x14ac:dyDescent="0.35">
      <c r="A2180" s="188"/>
      <c r="B2180" s="190"/>
      <c r="C2180" s="99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0"/>
      <c r="E2180" s="78" t="str">
        <f>IF(C2180="","",IFERROR(VLOOKUP(C2180,parametros!$A$11:$E$15,5,0),""))</f>
        <v/>
      </c>
      <c r="F2180" s="79" t="str">
        <f t="shared" si="172"/>
        <v/>
      </c>
      <c r="G2180" s="101"/>
      <c r="H2180" s="91">
        <f t="shared" si="173"/>
        <v>0</v>
      </c>
      <c r="I2180" s="91" t="str">
        <f t="shared" si="174"/>
        <v/>
      </c>
      <c r="J2180" s="91" t="str">
        <f t="shared" si="175"/>
        <v/>
      </c>
      <c r="K2180" s="92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2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58"/>
      <c r="U2180" s="217" t="str">
        <f t="shared" si="176"/>
        <v/>
      </c>
      <c r="V2180" s="215" t="s">
        <v>47</v>
      </c>
      <c r="W2180" s="102" t="s">
        <v>136</v>
      </c>
      <c r="X2180" s="102" t="s">
        <v>137</v>
      </c>
      <c r="Y2180" s="103" t="s">
        <v>138</v>
      </c>
      <c r="Z2180" s="103" t="s">
        <v>139</v>
      </c>
      <c r="AA2180" s="103" t="s">
        <v>47</v>
      </c>
      <c r="AB2180" s="103" t="s">
        <v>140</v>
      </c>
      <c r="AC2180" s="104" t="s">
        <v>141</v>
      </c>
    </row>
    <row r="2181" spans="1:29" ht="25.5" customHeight="1" x14ac:dyDescent="0.35">
      <c r="A2181" s="188"/>
      <c r="B2181" s="190"/>
      <c r="C2181" s="99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0"/>
      <c r="E2181" s="78" t="str">
        <f>IF(C2181="","",IFERROR(VLOOKUP(C2181,parametros!$A$11:$E$15,5,0),""))</f>
        <v/>
      </c>
      <c r="F2181" s="79" t="str">
        <f t="shared" si="172"/>
        <v/>
      </c>
      <c r="G2181" s="101"/>
      <c r="H2181" s="91">
        <f t="shared" si="173"/>
        <v>0</v>
      </c>
      <c r="I2181" s="91" t="str">
        <f t="shared" si="174"/>
        <v/>
      </c>
      <c r="J2181" s="91" t="str">
        <f t="shared" si="175"/>
        <v/>
      </c>
      <c r="K2181" s="92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2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58"/>
      <c r="U2181" s="217" t="str">
        <f t="shared" si="176"/>
        <v/>
      </c>
      <c r="V2181" s="215" t="s">
        <v>47</v>
      </c>
      <c r="W2181" s="102" t="s">
        <v>136</v>
      </c>
      <c r="X2181" s="102" t="s">
        <v>137</v>
      </c>
      <c r="Y2181" s="103" t="s">
        <v>138</v>
      </c>
      <c r="Z2181" s="103" t="s">
        <v>139</v>
      </c>
      <c r="AA2181" s="103" t="s">
        <v>47</v>
      </c>
      <c r="AB2181" s="103" t="s">
        <v>140</v>
      </c>
      <c r="AC2181" s="104" t="s">
        <v>141</v>
      </c>
    </row>
    <row r="2182" spans="1:29" ht="25.5" customHeight="1" x14ac:dyDescent="0.35">
      <c r="A2182" s="188"/>
      <c r="B2182" s="190"/>
      <c r="C2182" s="99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0"/>
      <c r="E2182" s="78" t="str">
        <f>IF(C2182="","",IFERROR(VLOOKUP(C2182,parametros!$A$11:$E$15,5,0),""))</f>
        <v/>
      </c>
      <c r="F2182" s="79" t="str">
        <f t="shared" si="172"/>
        <v/>
      </c>
      <c r="G2182" s="101"/>
      <c r="H2182" s="91">
        <f t="shared" si="173"/>
        <v>0</v>
      </c>
      <c r="I2182" s="91" t="str">
        <f t="shared" si="174"/>
        <v/>
      </c>
      <c r="J2182" s="91" t="str">
        <f t="shared" si="175"/>
        <v/>
      </c>
      <c r="K2182" s="92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2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58"/>
      <c r="U2182" s="217" t="str">
        <f t="shared" si="176"/>
        <v/>
      </c>
      <c r="V2182" s="215" t="s">
        <v>47</v>
      </c>
      <c r="W2182" s="102" t="s">
        <v>136</v>
      </c>
      <c r="X2182" s="102" t="s">
        <v>137</v>
      </c>
      <c r="Y2182" s="103" t="s">
        <v>138</v>
      </c>
      <c r="Z2182" s="103" t="s">
        <v>139</v>
      </c>
      <c r="AA2182" s="103" t="s">
        <v>47</v>
      </c>
      <c r="AB2182" s="103" t="s">
        <v>140</v>
      </c>
      <c r="AC2182" s="104" t="s">
        <v>141</v>
      </c>
    </row>
    <row r="2183" spans="1:29" ht="25.5" customHeight="1" x14ac:dyDescent="0.35">
      <c r="A2183" s="188"/>
      <c r="B2183" s="190"/>
      <c r="C2183" s="99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0"/>
      <c r="E2183" s="78" t="str">
        <f>IF(C2183="","",IFERROR(VLOOKUP(C2183,parametros!$A$11:$E$15,5,0),""))</f>
        <v/>
      </c>
      <c r="F2183" s="79" t="str">
        <f t="shared" si="172"/>
        <v/>
      </c>
      <c r="G2183" s="101"/>
      <c r="H2183" s="91">
        <f t="shared" si="173"/>
        <v>0</v>
      </c>
      <c r="I2183" s="91" t="str">
        <f t="shared" si="174"/>
        <v/>
      </c>
      <c r="J2183" s="91" t="str">
        <f t="shared" si="175"/>
        <v/>
      </c>
      <c r="K2183" s="92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2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58"/>
      <c r="U2183" s="217" t="str">
        <f t="shared" si="176"/>
        <v/>
      </c>
      <c r="V2183" s="215" t="s">
        <v>47</v>
      </c>
      <c r="W2183" s="102" t="s">
        <v>136</v>
      </c>
      <c r="X2183" s="102" t="s">
        <v>137</v>
      </c>
      <c r="Y2183" s="103" t="s">
        <v>138</v>
      </c>
      <c r="Z2183" s="103" t="s">
        <v>139</v>
      </c>
      <c r="AA2183" s="103" t="s">
        <v>47</v>
      </c>
      <c r="AB2183" s="103" t="s">
        <v>140</v>
      </c>
      <c r="AC2183" s="104" t="s">
        <v>141</v>
      </c>
    </row>
    <row r="2184" spans="1:29" ht="25.5" customHeight="1" x14ac:dyDescent="0.35">
      <c r="A2184" s="188"/>
      <c r="B2184" s="190"/>
      <c r="C2184" s="99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0"/>
      <c r="E2184" s="78" t="str">
        <f>IF(C2184="","",IFERROR(VLOOKUP(C2184,parametros!$A$11:$E$15,5,0),""))</f>
        <v/>
      </c>
      <c r="F2184" s="79" t="str">
        <f t="shared" si="172"/>
        <v/>
      </c>
      <c r="G2184" s="101"/>
      <c r="H2184" s="91">
        <f t="shared" si="173"/>
        <v>0</v>
      </c>
      <c r="I2184" s="91" t="str">
        <f t="shared" si="174"/>
        <v/>
      </c>
      <c r="J2184" s="91" t="str">
        <f t="shared" si="175"/>
        <v/>
      </c>
      <c r="K2184" s="92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2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58"/>
      <c r="U2184" s="217" t="str">
        <f t="shared" si="176"/>
        <v/>
      </c>
      <c r="V2184" s="215" t="s">
        <v>47</v>
      </c>
      <c r="W2184" s="102" t="s">
        <v>136</v>
      </c>
      <c r="X2184" s="102" t="s">
        <v>137</v>
      </c>
      <c r="Y2184" s="103" t="s">
        <v>138</v>
      </c>
      <c r="Z2184" s="103" t="s">
        <v>139</v>
      </c>
      <c r="AA2184" s="103" t="s">
        <v>47</v>
      </c>
      <c r="AB2184" s="103" t="s">
        <v>140</v>
      </c>
      <c r="AC2184" s="104" t="s">
        <v>141</v>
      </c>
    </row>
    <row r="2185" spans="1:29" ht="25.5" customHeight="1" x14ac:dyDescent="0.35">
      <c r="A2185" s="188"/>
      <c r="B2185" s="190"/>
      <c r="C2185" s="99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0"/>
      <c r="E2185" s="78" t="str">
        <f>IF(C2185="","",IFERROR(VLOOKUP(C2185,parametros!$A$11:$E$15,5,0),""))</f>
        <v/>
      </c>
      <c r="F2185" s="79" t="str">
        <f t="shared" si="172"/>
        <v/>
      </c>
      <c r="G2185" s="101"/>
      <c r="H2185" s="91">
        <f t="shared" si="173"/>
        <v>0</v>
      </c>
      <c r="I2185" s="91" t="str">
        <f t="shared" si="174"/>
        <v/>
      </c>
      <c r="J2185" s="91" t="str">
        <f t="shared" si="175"/>
        <v/>
      </c>
      <c r="K2185" s="92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2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58"/>
      <c r="U2185" s="217" t="str">
        <f t="shared" si="176"/>
        <v/>
      </c>
      <c r="V2185" s="215" t="s">
        <v>47</v>
      </c>
      <c r="W2185" s="102" t="s">
        <v>136</v>
      </c>
      <c r="X2185" s="102" t="s">
        <v>137</v>
      </c>
      <c r="Y2185" s="103" t="s">
        <v>138</v>
      </c>
      <c r="Z2185" s="103" t="s">
        <v>139</v>
      </c>
      <c r="AA2185" s="103" t="s">
        <v>47</v>
      </c>
      <c r="AB2185" s="103" t="s">
        <v>140</v>
      </c>
      <c r="AC2185" s="104" t="s">
        <v>141</v>
      </c>
    </row>
    <row r="2186" spans="1:29" ht="25.5" customHeight="1" x14ac:dyDescent="0.35">
      <c r="A2186" s="188"/>
      <c r="B2186" s="190"/>
      <c r="C2186" s="99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0"/>
      <c r="E2186" s="78" t="str">
        <f>IF(C2186="","",IFERROR(VLOOKUP(C2186,parametros!$A$11:$E$15,5,0),""))</f>
        <v/>
      </c>
      <c r="F2186" s="79" t="str">
        <f t="shared" si="172"/>
        <v/>
      </c>
      <c r="G2186" s="101"/>
      <c r="H2186" s="91">
        <f t="shared" si="173"/>
        <v>0</v>
      </c>
      <c r="I2186" s="91" t="str">
        <f t="shared" si="174"/>
        <v/>
      </c>
      <c r="J2186" s="91" t="str">
        <f t="shared" si="175"/>
        <v/>
      </c>
      <c r="K2186" s="92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2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58"/>
      <c r="U2186" s="217" t="str">
        <f t="shared" si="176"/>
        <v/>
      </c>
      <c r="V2186" s="215" t="s">
        <v>47</v>
      </c>
      <c r="W2186" s="102" t="s">
        <v>136</v>
      </c>
      <c r="X2186" s="102" t="s">
        <v>137</v>
      </c>
      <c r="Y2186" s="103" t="s">
        <v>138</v>
      </c>
      <c r="Z2186" s="103" t="s">
        <v>139</v>
      </c>
      <c r="AA2186" s="103" t="s">
        <v>47</v>
      </c>
      <c r="AB2186" s="103" t="s">
        <v>140</v>
      </c>
      <c r="AC2186" s="104" t="s">
        <v>141</v>
      </c>
    </row>
    <row r="2187" spans="1:29" ht="25.5" customHeight="1" x14ac:dyDescent="0.35">
      <c r="A2187" s="188"/>
      <c r="B2187" s="190"/>
      <c r="C2187" s="99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0"/>
      <c r="E2187" s="78" t="str">
        <f>IF(C2187="","",IFERROR(VLOOKUP(C2187,parametros!$A$11:$E$15,5,0),""))</f>
        <v/>
      </c>
      <c r="F2187" s="79" t="str">
        <f t="shared" si="172"/>
        <v/>
      </c>
      <c r="G2187" s="101"/>
      <c r="H2187" s="91">
        <f t="shared" si="173"/>
        <v>0</v>
      </c>
      <c r="I2187" s="91" t="str">
        <f t="shared" si="174"/>
        <v/>
      </c>
      <c r="J2187" s="91" t="str">
        <f t="shared" si="175"/>
        <v/>
      </c>
      <c r="K2187" s="92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2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58"/>
      <c r="U2187" s="217" t="str">
        <f t="shared" si="176"/>
        <v/>
      </c>
      <c r="V2187" s="215" t="s">
        <v>47</v>
      </c>
      <c r="W2187" s="102" t="s">
        <v>136</v>
      </c>
      <c r="X2187" s="102" t="s">
        <v>137</v>
      </c>
      <c r="Y2187" s="103" t="s">
        <v>138</v>
      </c>
      <c r="Z2187" s="103" t="s">
        <v>139</v>
      </c>
      <c r="AA2187" s="103" t="s">
        <v>47</v>
      </c>
      <c r="AB2187" s="103" t="s">
        <v>140</v>
      </c>
      <c r="AC2187" s="104" t="s">
        <v>141</v>
      </c>
    </row>
    <row r="2188" spans="1:29" ht="25.5" customHeight="1" x14ac:dyDescent="0.35">
      <c r="A2188" s="188"/>
      <c r="B2188" s="190"/>
      <c r="C2188" s="99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0"/>
      <c r="E2188" s="78" t="str">
        <f>IF(C2188="","",IFERROR(VLOOKUP(C2188,parametros!$A$11:$E$15,5,0),""))</f>
        <v/>
      </c>
      <c r="F2188" s="79" t="str">
        <f t="shared" si="172"/>
        <v/>
      </c>
      <c r="G2188" s="101"/>
      <c r="H2188" s="91">
        <f t="shared" si="173"/>
        <v>0</v>
      </c>
      <c r="I2188" s="91" t="str">
        <f t="shared" si="174"/>
        <v/>
      </c>
      <c r="J2188" s="91" t="str">
        <f t="shared" si="175"/>
        <v/>
      </c>
      <c r="K2188" s="92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2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58"/>
      <c r="U2188" s="217" t="str">
        <f t="shared" si="176"/>
        <v/>
      </c>
      <c r="V2188" s="215" t="s">
        <v>47</v>
      </c>
      <c r="W2188" s="102" t="s">
        <v>136</v>
      </c>
      <c r="X2188" s="102" t="s">
        <v>137</v>
      </c>
      <c r="Y2188" s="103" t="s">
        <v>138</v>
      </c>
      <c r="Z2188" s="103" t="s">
        <v>139</v>
      </c>
      <c r="AA2188" s="103" t="s">
        <v>47</v>
      </c>
      <c r="AB2188" s="103" t="s">
        <v>140</v>
      </c>
      <c r="AC2188" s="104" t="s">
        <v>141</v>
      </c>
    </row>
    <row r="2189" spans="1:29" ht="25.5" customHeight="1" x14ac:dyDescent="0.35">
      <c r="A2189" s="188"/>
      <c r="B2189" s="190"/>
      <c r="C2189" s="99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0"/>
      <c r="E2189" s="78" t="str">
        <f>IF(C2189="","",IFERROR(VLOOKUP(C2189,parametros!$A$11:$E$15,5,0),""))</f>
        <v/>
      </c>
      <c r="F2189" s="79" t="str">
        <f t="shared" si="172"/>
        <v/>
      </c>
      <c r="G2189" s="101"/>
      <c r="H2189" s="91">
        <f t="shared" si="173"/>
        <v>0</v>
      </c>
      <c r="I2189" s="91" t="str">
        <f t="shared" si="174"/>
        <v/>
      </c>
      <c r="J2189" s="91" t="str">
        <f t="shared" si="175"/>
        <v/>
      </c>
      <c r="K2189" s="92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2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58"/>
      <c r="U2189" s="217" t="str">
        <f t="shared" si="176"/>
        <v/>
      </c>
      <c r="V2189" s="215" t="s">
        <v>47</v>
      </c>
      <c r="W2189" s="102" t="s">
        <v>136</v>
      </c>
      <c r="X2189" s="102" t="s">
        <v>137</v>
      </c>
      <c r="Y2189" s="103" t="s">
        <v>138</v>
      </c>
      <c r="Z2189" s="103" t="s">
        <v>139</v>
      </c>
      <c r="AA2189" s="103" t="s">
        <v>47</v>
      </c>
      <c r="AB2189" s="103" t="s">
        <v>140</v>
      </c>
      <c r="AC2189" s="104" t="s">
        <v>141</v>
      </c>
    </row>
    <row r="2190" spans="1:29" ht="25.5" customHeight="1" x14ac:dyDescent="0.35">
      <c r="A2190" s="188"/>
      <c r="B2190" s="190"/>
      <c r="C2190" s="99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0"/>
      <c r="E2190" s="78" t="str">
        <f>IF(C2190="","",IFERROR(VLOOKUP(C2190,parametros!$A$11:$E$15,5,0),""))</f>
        <v/>
      </c>
      <c r="F2190" s="79" t="str">
        <f t="shared" si="172"/>
        <v/>
      </c>
      <c r="G2190" s="101"/>
      <c r="H2190" s="91">
        <f t="shared" si="173"/>
        <v>0</v>
      </c>
      <c r="I2190" s="91" t="str">
        <f t="shared" si="174"/>
        <v/>
      </c>
      <c r="J2190" s="91" t="str">
        <f t="shared" si="175"/>
        <v/>
      </c>
      <c r="K2190" s="92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2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58"/>
      <c r="U2190" s="217" t="str">
        <f t="shared" si="176"/>
        <v/>
      </c>
      <c r="V2190" s="215" t="s">
        <v>47</v>
      </c>
      <c r="W2190" s="102" t="s">
        <v>136</v>
      </c>
      <c r="X2190" s="102" t="s">
        <v>137</v>
      </c>
      <c r="Y2190" s="103" t="s">
        <v>138</v>
      </c>
      <c r="Z2190" s="103" t="s">
        <v>139</v>
      </c>
      <c r="AA2190" s="103" t="s">
        <v>47</v>
      </c>
      <c r="AB2190" s="103" t="s">
        <v>140</v>
      </c>
      <c r="AC2190" s="104" t="s">
        <v>141</v>
      </c>
    </row>
    <row r="2191" spans="1:29" ht="25.5" customHeight="1" x14ac:dyDescent="0.35">
      <c r="A2191" s="188"/>
      <c r="B2191" s="190"/>
      <c r="C2191" s="99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0"/>
      <c r="E2191" s="78" t="str">
        <f>IF(C2191="","",IFERROR(VLOOKUP(C2191,parametros!$A$11:$E$15,5,0),""))</f>
        <v/>
      </c>
      <c r="F2191" s="79" t="str">
        <f t="shared" si="172"/>
        <v/>
      </c>
      <c r="G2191" s="101"/>
      <c r="H2191" s="91">
        <f t="shared" si="173"/>
        <v>0</v>
      </c>
      <c r="I2191" s="91" t="str">
        <f t="shared" si="174"/>
        <v/>
      </c>
      <c r="J2191" s="91" t="str">
        <f t="shared" si="175"/>
        <v/>
      </c>
      <c r="K2191" s="92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2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58"/>
      <c r="U2191" s="217" t="str">
        <f t="shared" si="176"/>
        <v/>
      </c>
      <c r="V2191" s="215" t="s">
        <v>47</v>
      </c>
      <c r="W2191" s="102" t="s">
        <v>136</v>
      </c>
      <c r="X2191" s="102" t="s">
        <v>137</v>
      </c>
      <c r="Y2191" s="103" t="s">
        <v>138</v>
      </c>
      <c r="Z2191" s="103" t="s">
        <v>139</v>
      </c>
      <c r="AA2191" s="103" t="s">
        <v>47</v>
      </c>
      <c r="AB2191" s="103" t="s">
        <v>140</v>
      </c>
      <c r="AC2191" s="104" t="s">
        <v>141</v>
      </c>
    </row>
    <row r="2192" spans="1:29" ht="25.5" customHeight="1" x14ac:dyDescent="0.35">
      <c r="A2192" s="188"/>
      <c r="B2192" s="190"/>
      <c r="C2192" s="99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0"/>
      <c r="E2192" s="78" t="str">
        <f>IF(C2192="","",IFERROR(VLOOKUP(C2192,parametros!$A$11:$E$15,5,0),""))</f>
        <v/>
      </c>
      <c r="F2192" s="79" t="str">
        <f t="shared" si="172"/>
        <v/>
      </c>
      <c r="G2192" s="101"/>
      <c r="H2192" s="91">
        <f t="shared" si="173"/>
        <v>0</v>
      </c>
      <c r="I2192" s="91" t="str">
        <f t="shared" si="174"/>
        <v/>
      </c>
      <c r="J2192" s="91" t="str">
        <f t="shared" si="175"/>
        <v/>
      </c>
      <c r="K2192" s="92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2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58"/>
      <c r="U2192" s="217" t="str">
        <f t="shared" si="176"/>
        <v/>
      </c>
      <c r="V2192" s="215" t="s">
        <v>47</v>
      </c>
      <c r="W2192" s="102" t="s">
        <v>136</v>
      </c>
      <c r="X2192" s="102" t="s">
        <v>137</v>
      </c>
      <c r="Y2192" s="103" t="s">
        <v>138</v>
      </c>
      <c r="Z2192" s="103" t="s">
        <v>139</v>
      </c>
      <c r="AA2192" s="103" t="s">
        <v>47</v>
      </c>
      <c r="AB2192" s="103" t="s">
        <v>140</v>
      </c>
      <c r="AC2192" s="104" t="s">
        <v>141</v>
      </c>
    </row>
    <row r="2193" spans="1:29" ht="25.5" customHeight="1" x14ac:dyDescent="0.35">
      <c r="A2193" s="188"/>
      <c r="B2193" s="190"/>
      <c r="C2193" s="99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0"/>
      <c r="E2193" s="78" t="str">
        <f>IF(C2193="","",IFERROR(VLOOKUP(C2193,parametros!$A$11:$E$15,5,0),""))</f>
        <v/>
      </c>
      <c r="F2193" s="79" t="str">
        <f t="shared" si="172"/>
        <v/>
      </c>
      <c r="G2193" s="101"/>
      <c r="H2193" s="91">
        <f t="shared" si="173"/>
        <v>0</v>
      </c>
      <c r="I2193" s="91" t="str">
        <f t="shared" si="174"/>
        <v/>
      </c>
      <c r="J2193" s="91" t="str">
        <f t="shared" si="175"/>
        <v/>
      </c>
      <c r="K2193" s="92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2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58"/>
      <c r="U2193" s="217" t="str">
        <f t="shared" si="176"/>
        <v/>
      </c>
      <c r="V2193" s="215" t="s">
        <v>47</v>
      </c>
      <c r="W2193" s="102" t="s">
        <v>136</v>
      </c>
      <c r="X2193" s="102" t="s">
        <v>137</v>
      </c>
      <c r="Y2193" s="103" t="s">
        <v>138</v>
      </c>
      <c r="Z2193" s="103" t="s">
        <v>139</v>
      </c>
      <c r="AA2193" s="103" t="s">
        <v>47</v>
      </c>
      <c r="AB2193" s="103" t="s">
        <v>140</v>
      </c>
      <c r="AC2193" s="104" t="s">
        <v>141</v>
      </c>
    </row>
    <row r="2194" spans="1:29" ht="25.5" customHeight="1" x14ac:dyDescent="0.35">
      <c r="A2194" s="188"/>
      <c r="B2194" s="190"/>
      <c r="C2194" s="99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0"/>
      <c r="E2194" s="78" t="str">
        <f>IF(C2194="","",IFERROR(VLOOKUP(C2194,parametros!$A$11:$E$15,5,0),""))</f>
        <v/>
      </c>
      <c r="F2194" s="79" t="str">
        <f t="shared" si="172"/>
        <v/>
      </c>
      <c r="G2194" s="101"/>
      <c r="H2194" s="91">
        <f t="shared" si="173"/>
        <v>0</v>
      </c>
      <c r="I2194" s="91" t="str">
        <f t="shared" si="174"/>
        <v/>
      </c>
      <c r="J2194" s="91" t="str">
        <f t="shared" si="175"/>
        <v/>
      </c>
      <c r="K2194" s="92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2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58"/>
      <c r="U2194" s="217" t="str">
        <f t="shared" si="176"/>
        <v/>
      </c>
      <c r="V2194" s="215" t="s">
        <v>47</v>
      </c>
      <c r="W2194" s="102" t="s">
        <v>136</v>
      </c>
      <c r="X2194" s="102" t="s">
        <v>137</v>
      </c>
      <c r="Y2194" s="103" t="s">
        <v>138</v>
      </c>
      <c r="Z2194" s="103" t="s">
        <v>139</v>
      </c>
      <c r="AA2194" s="103" t="s">
        <v>47</v>
      </c>
      <c r="AB2194" s="103" t="s">
        <v>140</v>
      </c>
      <c r="AC2194" s="104" t="s">
        <v>141</v>
      </c>
    </row>
    <row r="2195" spans="1:29" ht="25.5" customHeight="1" x14ac:dyDescent="0.35">
      <c r="A2195" s="188"/>
      <c r="B2195" s="190"/>
      <c r="C2195" s="99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0"/>
      <c r="E2195" s="78" t="str">
        <f>IF(C2195="","",IFERROR(VLOOKUP(C2195,parametros!$A$11:$E$15,5,0),""))</f>
        <v/>
      </c>
      <c r="F2195" s="79" t="str">
        <f t="shared" si="172"/>
        <v/>
      </c>
      <c r="G2195" s="101"/>
      <c r="H2195" s="91">
        <f t="shared" si="173"/>
        <v>0</v>
      </c>
      <c r="I2195" s="91" t="str">
        <f t="shared" si="174"/>
        <v/>
      </c>
      <c r="J2195" s="91" t="str">
        <f t="shared" si="175"/>
        <v/>
      </c>
      <c r="K2195" s="92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2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58"/>
      <c r="U2195" s="217" t="str">
        <f t="shared" si="176"/>
        <v/>
      </c>
      <c r="V2195" s="215" t="s">
        <v>47</v>
      </c>
      <c r="W2195" s="102" t="s">
        <v>136</v>
      </c>
      <c r="X2195" s="102" t="s">
        <v>137</v>
      </c>
      <c r="Y2195" s="103" t="s">
        <v>138</v>
      </c>
      <c r="Z2195" s="103" t="s">
        <v>139</v>
      </c>
      <c r="AA2195" s="103" t="s">
        <v>47</v>
      </c>
      <c r="AB2195" s="103" t="s">
        <v>140</v>
      </c>
      <c r="AC2195" s="104" t="s">
        <v>141</v>
      </c>
    </row>
    <row r="2196" spans="1:29" ht="25.5" customHeight="1" x14ac:dyDescent="0.35">
      <c r="A2196" s="188"/>
      <c r="B2196" s="190"/>
      <c r="C2196" s="99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0"/>
      <c r="E2196" s="78" t="str">
        <f>IF(C2196="","",IFERROR(VLOOKUP(C2196,parametros!$A$11:$E$15,5,0),""))</f>
        <v/>
      </c>
      <c r="F2196" s="79" t="str">
        <f t="shared" si="172"/>
        <v/>
      </c>
      <c r="G2196" s="101"/>
      <c r="H2196" s="91">
        <f t="shared" si="173"/>
        <v>0</v>
      </c>
      <c r="I2196" s="91" t="str">
        <f t="shared" si="174"/>
        <v/>
      </c>
      <c r="J2196" s="91" t="str">
        <f t="shared" si="175"/>
        <v/>
      </c>
      <c r="K2196" s="92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2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58"/>
      <c r="U2196" s="217" t="str">
        <f t="shared" si="176"/>
        <v/>
      </c>
      <c r="V2196" s="215" t="s">
        <v>47</v>
      </c>
      <c r="W2196" s="102" t="s">
        <v>136</v>
      </c>
      <c r="X2196" s="102" t="s">
        <v>137</v>
      </c>
      <c r="Y2196" s="103" t="s">
        <v>138</v>
      </c>
      <c r="Z2196" s="103" t="s">
        <v>139</v>
      </c>
      <c r="AA2196" s="103" t="s">
        <v>47</v>
      </c>
      <c r="AB2196" s="103" t="s">
        <v>140</v>
      </c>
      <c r="AC2196" s="104" t="s">
        <v>141</v>
      </c>
    </row>
    <row r="2197" spans="1:29" ht="25.5" customHeight="1" x14ac:dyDescent="0.35">
      <c r="A2197" s="188"/>
      <c r="B2197" s="190"/>
      <c r="C2197" s="99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0"/>
      <c r="E2197" s="78" t="str">
        <f>IF(C2197="","",IFERROR(VLOOKUP(C2197,parametros!$A$11:$E$15,5,0),""))</f>
        <v/>
      </c>
      <c r="F2197" s="79" t="str">
        <f t="shared" si="172"/>
        <v/>
      </c>
      <c r="G2197" s="101"/>
      <c r="H2197" s="91">
        <f t="shared" si="173"/>
        <v>0</v>
      </c>
      <c r="I2197" s="91" t="str">
        <f t="shared" si="174"/>
        <v/>
      </c>
      <c r="J2197" s="91" t="str">
        <f t="shared" si="175"/>
        <v/>
      </c>
      <c r="K2197" s="92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2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58"/>
      <c r="U2197" s="217" t="str">
        <f t="shared" si="176"/>
        <v/>
      </c>
      <c r="V2197" s="215" t="s">
        <v>47</v>
      </c>
      <c r="W2197" s="102" t="s">
        <v>136</v>
      </c>
      <c r="X2197" s="102" t="s">
        <v>137</v>
      </c>
      <c r="Y2197" s="103" t="s">
        <v>138</v>
      </c>
      <c r="Z2197" s="103" t="s">
        <v>139</v>
      </c>
      <c r="AA2197" s="103" t="s">
        <v>47</v>
      </c>
      <c r="AB2197" s="103" t="s">
        <v>140</v>
      </c>
      <c r="AC2197" s="104" t="s">
        <v>141</v>
      </c>
    </row>
    <row r="2198" spans="1:29" ht="25.5" customHeight="1" x14ac:dyDescent="0.35">
      <c r="A2198" s="188"/>
      <c r="B2198" s="190"/>
      <c r="C2198" s="99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0"/>
      <c r="E2198" s="78" t="str">
        <f>IF(C2198="","",IFERROR(VLOOKUP(C2198,parametros!$A$11:$E$15,5,0),""))</f>
        <v/>
      </c>
      <c r="F2198" s="79" t="str">
        <f t="shared" si="172"/>
        <v/>
      </c>
      <c r="G2198" s="101"/>
      <c r="H2198" s="91">
        <f t="shared" si="173"/>
        <v>0</v>
      </c>
      <c r="I2198" s="91" t="str">
        <f t="shared" si="174"/>
        <v/>
      </c>
      <c r="J2198" s="91" t="str">
        <f t="shared" si="175"/>
        <v/>
      </c>
      <c r="K2198" s="92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2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58"/>
      <c r="U2198" s="217" t="str">
        <f t="shared" si="176"/>
        <v/>
      </c>
      <c r="V2198" s="215" t="s">
        <v>47</v>
      </c>
      <c r="W2198" s="102" t="s">
        <v>136</v>
      </c>
      <c r="X2198" s="102" t="s">
        <v>137</v>
      </c>
      <c r="Y2198" s="103" t="s">
        <v>138</v>
      </c>
      <c r="Z2198" s="103" t="s">
        <v>139</v>
      </c>
      <c r="AA2198" s="103" t="s">
        <v>47</v>
      </c>
      <c r="AB2198" s="103" t="s">
        <v>140</v>
      </c>
      <c r="AC2198" s="104" t="s">
        <v>141</v>
      </c>
    </row>
    <row r="2199" spans="1:29" ht="25.5" customHeight="1" x14ac:dyDescent="0.35">
      <c r="A2199" s="188"/>
      <c r="B2199" s="190"/>
      <c r="C2199" s="99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0"/>
      <c r="E2199" s="78" t="str">
        <f>IF(C2199="","",IFERROR(VLOOKUP(C2199,parametros!$A$11:$E$15,5,0),""))</f>
        <v/>
      </c>
      <c r="F2199" s="79" t="str">
        <f t="shared" si="172"/>
        <v/>
      </c>
      <c r="G2199" s="101"/>
      <c r="H2199" s="91">
        <f t="shared" si="173"/>
        <v>0</v>
      </c>
      <c r="I2199" s="91" t="str">
        <f t="shared" si="174"/>
        <v/>
      </c>
      <c r="J2199" s="91" t="str">
        <f t="shared" si="175"/>
        <v/>
      </c>
      <c r="K2199" s="92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2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58"/>
      <c r="U2199" s="217" t="str">
        <f t="shared" si="176"/>
        <v/>
      </c>
      <c r="V2199" s="215" t="s">
        <v>47</v>
      </c>
      <c r="W2199" s="102" t="s">
        <v>136</v>
      </c>
      <c r="X2199" s="102" t="s">
        <v>137</v>
      </c>
      <c r="Y2199" s="103" t="s">
        <v>138</v>
      </c>
      <c r="Z2199" s="103" t="s">
        <v>139</v>
      </c>
      <c r="AA2199" s="103" t="s">
        <v>47</v>
      </c>
      <c r="AB2199" s="103" t="s">
        <v>140</v>
      </c>
      <c r="AC2199" s="104" t="s">
        <v>141</v>
      </c>
    </row>
    <row r="2200" spans="1:29" ht="25.5" customHeight="1" x14ac:dyDescent="0.35">
      <c r="A2200" s="188"/>
      <c r="B2200" s="190"/>
      <c r="C2200" s="99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0"/>
      <c r="E2200" s="78" t="str">
        <f>IF(C2200="","",IFERROR(VLOOKUP(C2200,parametros!$A$11:$E$15,5,0),""))</f>
        <v/>
      </c>
      <c r="F2200" s="79" t="str">
        <f t="shared" si="172"/>
        <v/>
      </c>
      <c r="G2200" s="101"/>
      <c r="H2200" s="91">
        <f t="shared" si="173"/>
        <v>0</v>
      </c>
      <c r="I2200" s="91" t="str">
        <f t="shared" si="174"/>
        <v/>
      </c>
      <c r="J2200" s="91" t="str">
        <f t="shared" si="175"/>
        <v/>
      </c>
      <c r="K2200" s="92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2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58"/>
      <c r="U2200" s="217" t="str">
        <f t="shared" si="176"/>
        <v/>
      </c>
      <c r="V2200" s="215" t="s">
        <v>47</v>
      </c>
      <c r="W2200" s="102" t="s">
        <v>136</v>
      </c>
      <c r="X2200" s="102" t="s">
        <v>137</v>
      </c>
      <c r="Y2200" s="103" t="s">
        <v>138</v>
      </c>
      <c r="Z2200" s="103" t="s">
        <v>139</v>
      </c>
      <c r="AA2200" s="103" t="s">
        <v>47</v>
      </c>
      <c r="AB2200" s="103" t="s">
        <v>140</v>
      </c>
      <c r="AC2200" s="104" t="s">
        <v>141</v>
      </c>
    </row>
    <row r="2201" spans="1:29" ht="25.5" customHeight="1" x14ac:dyDescent="0.35">
      <c r="A2201" s="188"/>
      <c r="B2201" s="190"/>
      <c r="C2201" s="99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0"/>
      <c r="E2201" s="78" t="str">
        <f>IF(C2201="","",IFERROR(VLOOKUP(C2201,parametros!$A$11:$E$15,5,0),""))</f>
        <v/>
      </c>
      <c r="F2201" s="79" t="str">
        <f t="shared" si="172"/>
        <v/>
      </c>
      <c r="G2201" s="101"/>
      <c r="H2201" s="91">
        <f t="shared" si="173"/>
        <v>0</v>
      </c>
      <c r="I2201" s="91" t="str">
        <f t="shared" si="174"/>
        <v/>
      </c>
      <c r="J2201" s="91" t="str">
        <f t="shared" si="175"/>
        <v/>
      </c>
      <c r="K2201" s="92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2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58"/>
      <c r="U2201" s="217" t="str">
        <f t="shared" si="176"/>
        <v/>
      </c>
      <c r="V2201" s="215" t="s">
        <v>47</v>
      </c>
      <c r="W2201" s="102" t="s">
        <v>136</v>
      </c>
      <c r="X2201" s="102" t="s">
        <v>137</v>
      </c>
      <c r="Y2201" s="103" t="s">
        <v>138</v>
      </c>
      <c r="Z2201" s="103" t="s">
        <v>139</v>
      </c>
      <c r="AA2201" s="103" t="s">
        <v>47</v>
      </c>
      <c r="AB2201" s="103" t="s">
        <v>140</v>
      </c>
      <c r="AC2201" s="104" t="s">
        <v>141</v>
      </c>
    </row>
    <row r="2202" spans="1:29" ht="25.5" customHeight="1" x14ac:dyDescent="0.35">
      <c r="A2202" s="188"/>
      <c r="B2202" s="190"/>
      <c r="C2202" s="99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0"/>
      <c r="E2202" s="78" t="str">
        <f>IF(C2202="","",IFERROR(VLOOKUP(C2202,parametros!$A$11:$E$15,5,0),""))</f>
        <v/>
      </c>
      <c r="F2202" s="79" t="str">
        <f t="shared" si="172"/>
        <v/>
      </c>
      <c r="G2202" s="101"/>
      <c r="H2202" s="91">
        <f t="shared" si="173"/>
        <v>0</v>
      </c>
      <c r="I2202" s="91" t="str">
        <f t="shared" si="174"/>
        <v/>
      </c>
      <c r="J2202" s="91" t="str">
        <f t="shared" si="175"/>
        <v/>
      </c>
      <c r="K2202" s="92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2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58"/>
      <c r="U2202" s="217" t="str">
        <f t="shared" si="176"/>
        <v/>
      </c>
      <c r="V2202" s="215" t="s">
        <v>47</v>
      </c>
      <c r="W2202" s="102" t="s">
        <v>136</v>
      </c>
      <c r="X2202" s="102" t="s">
        <v>137</v>
      </c>
      <c r="Y2202" s="103" t="s">
        <v>138</v>
      </c>
      <c r="Z2202" s="103" t="s">
        <v>139</v>
      </c>
      <c r="AA2202" s="103" t="s">
        <v>47</v>
      </c>
      <c r="AB2202" s="103" t="s">
        <v>140</v>
      </c>
      <c r="AC2202" s="104" t="s">
        <v>141</v>
      </c>
    </row>
    <row r="2203" spans="1:29" ht="25.5" customHeight="1" x14ac:dyDescent="0.35">
      <c r="A2203" s="188"/>
      <c r="B2203" s="190"/>
      <c r="C2203" s="99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0"/>
      <c r="E2203" s="78" t="str">
        <f>IF(C2203="","",IFERROR(VLOOKUP(C2203,parametros!$A$11:$E$15,5,0),""))</f>
        <v/>
      </c>
      <c r="F2203" s="79" t="str">
        <f t="shared" si="172"/>
        <v/>
      </c>
      <c r="G2203" s="101"/>
      <c r="H2203" s="91">
        <f t="shared" si="173"/>
        <v>0</v>
      </c>
      <c r="I2203" s="91" t="str">
        <f t="shared" si="174"/>
        <v/>
      </c>
      <c r="J2203" s="91" t="str">
        <f t="shared" si="175"/>
        <v/>
      </c>
      <c r="K2203" s="92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2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58"/>
      <c r="U2203" s="217" t="str">
        <f t="shared" si="176"/>
        <v/>
      </c>
      <c r="V2203" s="215" t="s">
        <v>47</v>
      </c>
      <c r="W2203" s="102" t="s">
        <v>136</v>
      </c>
      <c r="X2203" s="102" t="s">
        <v>137</v>
      </c>
      <c r="Y2203" s="103" t="s">
        <v>138</v>
      </c>
      <c r="Z2203" s="103" t="s">
        <v>139</v>
      </c>
      <c r="AA2203" s="103" t="s">
        <v>47</v>
      </c>
      <c r="AB2203" s="103" t="s">
        <v>140</v>
      </c>
      <c r="AC2203" s="104" t="s">
        <v>141</v>
      </c>
    </row>
    <row r="2204" spans="1:29" ht="25.5" customHeight="1" x14ac:dyDescent="0.35">
      <c r="A2204" s="188"/>
      <c r="B2204" s="190"/>
      <c r="C2204" s="99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0"/>
      <c r="E2204" s="78" t="str">
        <f>IF(C2204="","",IFERROR(VLOOKUP(C2204,parametros!$A$11:$E$15,5,0),""))</f>
        <v/>
      </c>
      <c r="F2204" s="79" t="str">
        <f t="shared" si="172"/>
        <v/>
      </c>
      <c r="G2204" s="101"/>
      <c r="H2204" s="91">
        <f t="shared" si="173"/>
        <v>0</v>
      </c>
      <c r="I2204" s="91" t="str">
        <f t="shared" si="174"/>
        <v/>
      </c>
      <c r="J2204" s="91" t="str">
        <f t="shared" si="175"/>
        <v/>
      </c>
      <c r="K2204" s="92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2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58"/>
      <c r="U2204" s="217" t="str">
        <f t="shared" si="176"/>
        <v/>
      </c>
      <c r="V2204" s="215" t="s">
        <v>47</v>
      </c>
      <c r="W2204" s="102" t="s">
        <v>136</v>
      </c>
      <c r="X2204" s="102" t="s">
        <v>137</v>
      </c>
      <c r="Y2204" s="103" t="s">
        <v>138</v>
      </c>
      <c r="Z2204" s="103" t="s">
        <v>139</v>
      </c>
      <c r="AA2204" s="103" t="s">
        <v>47</v>
      </c>
      <c r="AB2204" s="103" t="s">
        <v>140</v>
      </c>
      <c r="AC2204" s="104" t="s">
        <v>141</v>
      </c>
    </row>
    <row r="2205" spans="1:29" ht="25.5" customHeight="1" x14ac:dyDescent="0.35">
      <c r="A2205" s="188"/>
      <c r="B2205" s="190"/>
      <c r="C2205" s="99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0"/>
      <c r="E2205" s="78" t="str">
        <f>IF(C2205="","",IFERROR(VLOOKUP(C2205,parametros!$A$11:$E$15,5,0),""))</f>
        <v/>
      </c>
      <c r="F2205" s="79" t="str">
        <f t="shared" si="172"/>
        <v/>
      </c>
      <c r="G2205" s="101"/>
      <c r="H2205" s="91">
        <f t="shared" si="173"/>
        <v>0</v>
      </c>
      <c r="I2205" s="91" t="str">
        <f t="shared" si="174"/>
        <v/>
      </c>
      <c r="J2205" s="91" t="str">
        <f t="shared" si="175"/>
        <v/>
      </c>
      <c r="K2205" s="92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2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58"/>
      <c r="U2205" s="217" t="str">
        <f t="shared" si="176"/>
        <v/>
      </c>
      <c r="V2205" s="215" t="s">
        <v>47</v>
      </c>
      <c r="W2205" s="102" t="s">
        <v>136</v>
      </c>
      <c r="X2205" s="102" t="s">
        <v>137</v>
      </c>
      <c r="Y2205" s="103" t="s">
        <v>138</v>
      </c>
      <c r="Z2205" s="103" t="s">
        <v>139</v>
      </c>
      <c r="AA2205" s="103" t="s">
        <v>47</v>
      </c>
      <c r="AB2205" s="103" t="s">
        <v>140</v>
      </c>
      <c r="AC2205" s="104" t="s">
        <v>141</v>
      </c>
    </row>
    <row r="2206" spans="1:29" ht="25.5" customHeight="1" x14ac:dyDescent="0.35">
      <c r="A2206" s="188"/>
      <c r="B2206" s="190"/>
      <c r="C2206" s="99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0"/>
      <c r="E2206" s="78" t="str">
        <f>IF(C2206="","",IFERROR(VLOOKUP(C2206,parametros!$A$11:$E$15,5,0),""))</f>
        <v/>
      </c>
      <c r="F2206" s="79" t="str">
        <f t="shared" si="172"/>
        <v/>
      </c>
      <c r="G2206" s="101"/>
      <c r="H2206" s="91">
        <f t="shared" si="173"/>
        <v>0</v>
      </c>
      <c r="I2206" s="91" t="str">
        <f t="shared" si="174"/>
        <v/>
      </c>
      <c r="J2206" s="91" t="str">
        <f t="shared" si="175"/>
        <v/>
      </c>
      <c r="K2206" s="92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2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58"/>
      <c r="U2206" s="217" t="str">
        <f t="shared" si="176"/>
        <v/>
      </c>
      <c r="V2206" s="215" t="s">
        <v>47</v>
      </c>
      <c r="W2206" s="102" t="s">
        <v>136</v>
      </c>
      <c r="X2206" s="102" t="s">
        <v>137</v>
      </c>
      <c r="Y2206" s="103" t="s">
        <v>138</v>
      </c>
      <c r="Z2206" s="103" t="s">
        <v>139</v>
      </c>
      <c r="AA2206" s="103" t="s">
        <v>47</v>
      </c>
      <c r="AB2206" s="103" t="s">
        <v>140</v>
      </c>
      <c r="AC2206" s="104" t="s">
        <v>141</v>
      </c>
    </row>
    <row r="2207" spans="1:29" ht="25.5" customHeight="1" x14ac:dyDescent="0.35">
      <c r="A2207" s="188"/>
      <c r="B2207" s="190"/>
      <c r="C2207" s="99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0"/>
      <c r="E2207" s="78" t="str">
        <f>IF(C2207="","",IFERROR(VLOOKUP(C2207,parametros!$A$11:$E$15,5,0),""))</f>
        <v/>
      </c>
      <c r="F2207" s="79" t="str">
        <f t="shared" si="172"/>
        <v/>
      </c>
      <c r="G2207" s="101"/>
      <c r="H2207" s="91">
        <f t="shared" si="173"/>
        <v>0</v>
      </c>
      <c r="I2207" s="91" t="str">
        <f t="shared" si="174"/>
        <v/>
      </c>
      <c r="J2207" s="91" t="str">
        <f t="shared" si="175"/>
        <v/>
      </c>
      <c r="K2207" s="92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2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58"/>
      <c r="U2207" s="217" t="str">
        <f t="shared" si="176"/>
        <v/>
      </c>
      <c r="V2207" s="215" t="s">
        <v>47</v>
      </c>
      <c r="W2207" s="102" t="s">
        <v>136</v>
      </c>
      <c r="X2207" s="102" t="s">
        <v>137</v>
      </c>
      <c r="Y2207" s="103" t="s">
        <v>138</v>
      </c>
      <c r="Z2207" s="103" t="s">
        <v>139</v>
      </c>
      <c r="AA2207" s="103" t="s">
        <v>47</v>
      </c>
      <c r="AB2207" s="103" t="s">
        <v>140</v>
      </c>
      <c r="AC2207" s="104" t="s">
        <v>141</v>
      </c>
    </row>
    <row r="2208" spans="1:29" ht="25.5" customHeight="1" x14ac:dyDescent="0.35">
      <c r="A2208" s="188"/>
      <c r="B2208" s="190"/>
      <c r="C2208" s="99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0"/>
      <c r="E2208" s="78" t="str">
        <f>IF(C2208="","",IFERROR(VLOOKUP(C2208,parametros!$A$11:$E$15,5,0),""))</f>
        <v/>
      </c>
      <c r="F2208" s="79" t="str">
        <f t="shared" si="172"/>
        <v/>
      </c>
      <c r="G2208" s="101"/>
      <c r="H2208" s="91">
        <f t="shared" si="173"/>
        <v>0</v>
      </c>
      <c r="I2208" s="91" t="str">
        <f t="shared" si="174"/>
        <v/>
      </c>
      <c r="J2208" s="91" t="str">
        <f t="shared" si="175"/>
        <v/>
      </c>
      <c r="K2208" s="92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2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58"/>
      <c r="U2208" s="217" t="str">
        <f t="shared" si="176"/>
        <v/>
      </c>
      <c r="V2208" s="215" t="s">
        <v>47</v>
      </c>
      <c r="W2208" s="102" t="s">
        <v>136</v>
      </c>
      <c r="X2208" s="102" t="s">
        <v>137</v>
      </c>
      <c r="Y2208" s="103" t="s">
        <v>138</v>
      </c>
      <c r="Z2208" s="103" t="s">
        <v>139</v>
      </c>
      <c r="AA2208" s="103" t="s">
        <v>47</v>
      </c>
      <c r="AB2208" s="103" t="s">
        <v>140</v>
      </c>
      <c r="AC2208" s="104" t="s">
        <v>141</v>
      </c>
    </row>
    <row r="2209" spans="1:29" ht="25.5" customHeight="1" x14ac:dyDescent="0.35">
      <c r="A2209" s="188"/>
      <c r="B2209" s="190"/>
      <c r="C2209" s="99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0"/>
      <c r="E2209" s="78" t="str">
        <f>IF(C2209="","",IFERROR(VLOOKUP(C2209,parametros!$A$11:$E$15,5,0),""))</f>
        <v/>
      </c>
      <c r="F2209" s="79" t="str">
        <f t="shared" si="172"/>
        <v/>
      </c>
      <c r="G2209" s="101"/>
      <c r="H2209" s="91">
        <f t="shared" si="173"/>
        <v>0</v>
      </c>
      <c r="I2209" s="91" t="str">
        <f t="shared" si="174"/>
        <v/>
      </c>
      <c r="J2209" s="91" t="str">
        <f t="shared" si="175"/>
        <v/>
      </c>
      <c r="K2209" s="92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2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58"/>
      <c r="U2209" s="217" t="str">
        <f t="shared" si="176"/>
        <v/>
      </c>
      <c r="V2209" s="215" t="s">
        <v>47</v>
      </c>
      <c r="W2209" s="102" t="s">
        <v>136</v>
      </c>
      <c r="X2209" s="102" t="s">
        <v>137</v>
      </c>
      <c r="Y2209" s="103" t="s">
        <v>138</v>
      </c>
      <c r="Z2209" s="103" t="s">
        <v>139</v>
      </c>
      <c r="AA2209" s="103" t="s">
        <v>47</v>
      </c>
      <c r="AB2209" s="103" t="s">
        <v>140</v>
      </c>
      <c r="AC2209" s="104" t="s">
        <v>141</v>
      </c>
    </row>
    <row r="2210" spans="1:29" ht="25.5" customHeight="1" x14ac:dyDescent="0.35">
      <c r="A2210" s="188"/>
      <c r="B2210" s="190"/>
      <c r="C2210" s="99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0"/>
      <c r="E2210" s="78" t="str">
        <f>IF(C2210="","",IFERROR(VLOOKUP(C2210,parametros!$A$11:$E$15,5,0),""))</f>
        <v/>
      </c>
      <c r="F2210" s="79" t="str">
        <f t="shared" si="172"/>
        <v/>
      </c>
      <c r="G2210" s="101"/>
      <c r="H2210" s="91">
        <f t="shared" si="173"/>
        <v>0</v>
      </c>
      <c r="I2210" s="91" t="str">
        <f t="shared" si="174"/>
        <v/>
      </c>
      <c r="J2210" s="91" t="str">
        <f t="shared" si="175"/>
        <v/>
      </c>
      <c r="K2210" s="92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2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58"/>
      <c r="U2210" s="217" t="str">
        <f t="shared" si="176"/>
        <v/>
      </c>
      <c r="V2210" s="215" t="s">
        <v>47</v>
      </c>
      <c r="W2210" s="102" t="s">
        <v>136</v>
      </c>
      <c r="X2210" s="102" t="s">
        <v>137</v>
      </c>
      <c r="Y2210" s="103" t="s">
        <v>138</v>
      </c>
      <c r="Z2210" s="103" t="s">
        <v>139</v>
      </c>
      <c r="AA2210" s="103" t="s">
        <v>47</v>
      </c>
      <c r="AB2210" s="103" t="s">
        <v>140</v>
      </c>
      <c r="AC2210" s="104" t="s">
        <v>141</v>
      </c>
    </row>
    <row r="2211" spans="1:29" ht="25.5" customHeight="1" x14ac:dyDescent="0.35">
      <c r="A2211" s="188"/>
      <c r="B2211" s="190"/>
      <c r="C2211" s="99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0"/>
      <c r="E2211" s="78" t="str">
        <f>IF(C2211="","",IFERROR(VLOOKUP(C2211,parametros!$A$11:$E$15,5,0),""))</f>
        <v/>
      </c>
      <c r="F2211" s="79" t="str">
        <f t="shared" si="172"/>
        <v/>
      </c>
      <c r="G2211" s="101"/>
      <c r="H2211" s="91">
        <f t="shared" si="173"/>
        <v>0</v>
      </c>
      <c r="I2211" s="91" t="str">
        <f t="shared" si="174"/>
        <v/>
      </c>
      <c r="J2211" s="91" t="str">
        <f t="shared" si="175"/>
        <v/>
      </c>
      <c r="K2211" s="92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2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58"/>
      <c r="U2211" s="217" t="str">
        <f t="shared" si="176"/>
        <v/>
      </c>
      <c r="V2211" s="215" t="s">
        <v>47</v>
      </c>
      <c r="W2211" s="102" t="s">
        <v>136</v>
      </c>
      <c r="X2211" s="102" t="s">
        <v>137</v>
      </c>
      <c r="Y2211" s="103" t="s">
        <v>138</v>
      </c>
      <c r="Z2211" s="103" t="s">
        <v>139</v>
      </c>
      <c r="AA2211" s="103" t="s">
        <v>47</v>
      </c>
      <c r="AB2211" s="103" t="s">
        <v>140</v>
      </c>
      <c r="AC2211" s="104" t="s">
        <v>141</v>
      </c>
    </row>
    <row r="2212" spans="1:29" ht="25.5" customHeight="1" x14ac:dyDescent="0.35">
      <c r="A2212" s="188"/>
      <c r="B2212" s="190"/>
      <c r="C2212" s="99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0"/>
      <c r="E2212" s="78" t="str">
        <f>IF(C2212="","",IFERROR(VLOOKUP(C2212,parametros!$A$11:$E$15,5,0),""))</f>
        <v/>
      </c>
      <c r="F2212" s="79" t="str">
        <f t="shared" si="172"/>
        <v/>
      </c>
      <c r="G2212" s="101"/>
      <c r="H2212" s="91">
        <f t="shared" si="173"/>
        <v>0</v>
      </c>
      <c r="I2212" s="91" t="str">
        <f t="shared" si="174"/>
        <v/>
      </c>
      <c r="J2212" s="91" t="str">
        <f t="shared" si="175"/>
        <v/>
      </c>
      <c r="K2212" s="92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2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58"/>
      <c r="U2212" s="217" t="str">
        <f t="shared" si="176"/>
        <v/>
      </c>
      <c r="V2212" s="215" t="s">
        <v>47</v>
      </c>
      <c r="W2212" s="102" t="s">
        <v>136</v>
      </c>
      <c r="X2212" s="102" t="s">
        <v>137</v>
      </c>
      <c r="Y2212" s="103" t="s">
        <v>138</v>
      </c>
      <c r="Z2212" s="103" t="s">
        <v>139</v>
      </c>
      <c r="AA2212" s="103" t="s">
        <v>47</v>
      </c>
      <c r="AB2212" s="103" t="s">
        <v>140</v>
      </c>
      <c r="AC2212" s="104" t="s">
        <v>141</v>
      </c>
    </row>
    <row r="2213" spans="1:29" ht="25.5" customHeight="1" x14ac:dyDescent="0.35">
      <c r="A2213" s="188"/>
      <c r="B2213" s="190"/>
      <c r="C2213" s="99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0"/>
      <c r="E2213" s="78" t="str">
        <f>IF(C2213="","",IFERROR(VLOOKUP(C2213,parametros!$A$11:$E$15,5,0),""))</f>
        <v/>
      </c>
      <c r="F2213" s="79" t="str">
        <f t="shared" si="172"/>
        <v/>
      </c>
      <c r="G2213" s="101"/>
      <c r="H2213" s="91">
        <f t="shared" si="173"/>
        <v>0</v>
      </c>
      <c r="I2213" s="91" t="str">
        <f t="shared" si="174"/>
        <v/>
      </c>
      <c r="J2213" s="91" t="str">
        <f t="shared" si="175"/>
        <v/>
      </c>
      <c r="K2213" s="92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2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58"/>
      <c r="U2213" s="217" t="str">
        <f t="shared" si="176"/>
        <v/>
      </c>
      <c r="V2213" s="215" t="s">
        <v>47</v>
      </c>
      <c r="W2213" s="102" t="s">
        <v>136</v>
      </c>
      <c r="X2213" s="102" t="s">
        <v>137</v>
      </c>
      <c r="Y2213" s="103" t="s">
        <v>138</v>
      </c>
      <c r="Z2213" s="103" t="s">
        <v>139</v>
      </c>
      <c r="AA2213" s="103" t="s">
        <v>47</v>
      </c>
      <c r="AB2213" s="103" t="s">
        <v>140</v>
      </c>
      <c r="AC2213" s="104" t="s">
        <v>141</v>
      </c>
    </row>
    <row r="2214" spans="1:29" ht="25.5" customHeight="1" x14ac:dyDescent="0.35">
      <c r="A2214" s="188"/>
      <c r="B2214" s="190"/>
      <c r="C2214" s="99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0"/>
      <c r="E2214" s="78" t="str">
        <f>IF(C2214="","",IFERROR(VLOOKUP(C2214,parametros!$A$11:$E$15,5,0),""))</f>
        <v/>
      </c>
      <c r="F2214" s="79" t="str">
        <f t="shared" si="172"/>
        <v/>
      </c>
      <c r="G2214" s="101"/>
      <c r="H2214" s="91">
        <f t="shared" si="173"/>
        <v>0</v>
      </c>
      <c r="I2214" s="91" t="str">
        <f t="shared" si="174"/>
        <v/>
      </c>
      <c r="J2214" s="91" t="str">
        <f t="shared" si="175"/>
        <v/>
      </c>
      <c r="K2214" s="92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2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58"/>
      <c r="U2214" s="217" t="str">
        <f t="shared" si="176"/>
        <v/>
      </c>
      <c r="V2214" s="215" t="s">
        <v>47</v>
      </c>
      <c r="W2214" s="102" t="s">
        <v>136</v>
      </c>
      <c r="X2214" s="102" t="s">
        <v>137</v>
      </c>
      <c r="Y2214" s="103" t="s">
        <v>138</v>
      </c>
      <c r="Z2214" s="103" t="s">
        <v>139</v>
      </c>
      <c r="AA2214" s="103" t="s">
        <v>47</v>
      </c>
      <c r="AB2214" s="103" t="s">
        <v>140</v>
      </c>
      <c r="AC2214" s="104" t="s">
        <v>141</v>
      </c>
    </row>
    <row r="2215" spans="1:29" ht="25.5" customHeight="1" x14ac:dyDescent="0.35">
      <c r="A2215" s="188"/>
      <c r="B2215" s="190"/>
      <c r="C2215" s="99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0"/>
      <c r="E2215" s="78" t="str">
        <f>IF(C2215="","",IFERROR(VLOOKUP(C2215,parametros!$A$11:$E$15,5,0),""))</f>
        <v/>
      </c>
      <c r="F2215" s="79" t="str">
        <f t="shared" si="172"/>
        <v/>
      </c>
      <c r="G2215" s="101"/>
      <c r="H2215" s="91">
        <f t="shared" si="173"/>
        <v>0</v>
      </c>
      <c r="I2215" s="91" t="str">
        <f t="shared" si="174"/>
        <v/>
      </c>
      <c r="J2215" s="91" t="str">
        <f t="shared" si="175"/>
        <v/>
      </c>
      <c r="K2215" s="92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2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58"/>
      <c r="U2215" s="217" t="str">
        <f t="shared" si="176"/>
        <v/>
      </c>
      <c r="V2215" s="215" t="s">
        <v>47</v>
      </c>
      <c r="W2215" s="102" t="s">
        <v>136</v>
      </c>
      <c r="X2215" s="102" t="s">
        <v>137</v>
      </c>
      <c r="Y2215" s="103" t="s">
        <v>138</v>
      </c>
      <c r="Z2215" s="103" t="s">
        <v>139</v>
      </c>
      <c r="AA2215" s="103" t="s">
        <v>47</v>
      </c>
      <c r="AB2215" s="103" t="s">
        <v>140</v>
      </c>
      <c r="AC2215" s="104" t="s">
        <v>141</v>
      </c>
    </row>
    <row r="2216" spans="1:29" ht="25.5" customHeight="1" x14ac:dyDescent="0.35">
      <c r="A2216" s="188"/>
      <c r="B2216" s="190"/>
      <c r="C2216" s="99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0"/>
      <c r="E2216" s="78" t="str">
        <f>IF(C2216="","",IFERROR(VLOOKUP(C2216,parametros!$A$11:$E$15,5,0),""))</f>
        <v/>
      </c>
      <c r="F2216" s="79" t="str">
        <f t="shared" si="172"/>
        <v/>
      </c>
      <c r="G2216" s="101"/>
      <c r="H2216" s="91">
        <f t="shared" si="173"/>
        <v>0</v>
      </c>
      <c r="I2216" s="91" t="str">
        <f t="shared" si="174"/>
        <v/>
      </c>
      <c r="J2216" s="91" t="str">
        <f t="shared" si="175"/>
        <v/>
      </c>
      <c r="K2216" s="92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2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58"/>
      <c r="U2216" s="217" t="str">
        <f t="shared" si="176"/>
        <v/>
      </c>
      <c r="V2216" s="215" t="s">
        <v>47</v>
      </c>
      <c r="W2216" s="102" t="s">
        <v>136</v>
      </c>
      <c r="X2216" s="102" t="s">
        <v>137</v>
      </c>
      <c r="Y2216" s="103" t="s">
        <v>138</v>
      </c>
      <c r="Z2216" s="103" t="s">
        <v>139</v>
      </c>
      <c r="AA2216" s="103" t="s">
        <v>47</v>
      </c>
      <c r="AB2216" s="103" t="s">
        <v>140</v>
      </c>
      <c r="AC2216" s="104" t="s">
        <v>141</v>
      </c>
    </row>
    <row r="2217" spans="1:29" ht="25.5" customHeight="1" x14ac:dyDescent="0.35">
      <c r="A2217" s="188"/>
      <c r="B2217" s="190"/>
      <c r="C2217" s="99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0"/>
      <c r="E2217" s="78" t="str">
        <f>IF(C2217="","",IFERROR(VLOOKUP(C2217,parametros!$A$11:$E$15,5,0),""))</f>
        <v/>
      </c>
      <c r="F2217" s="79" t="str">
        <f t="shared" si="172"/>
        <v/>
      </c>
      <c r="G2217" s="101"/>
      <c r="H2217" s="91">
        <f t="shared" si="173"/>
        <v>0</v>
      </c>
      <c r="I2217" s="91" t="str">
        <f t="shared" si="174"/>
        <v/>
      </c>
      <c r="J2217" s="91" t="str">
        <f t="shared" si="175"/>
        <v/>
      </c>
      <c r="K2217" s="92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2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58"/>
      <c r="U2217" s="217" t="str">
        <f t="shared" si="176"/>
        <v/>
      </c>
      <c r="V2217" s="215" t="s">
        <v>47</v>
      </c>
      <c r="W2217" s="102" t="s">
        <v>136</v>
      </c>
      <c r="X2217" s="102" t="s">
        <v>137</v>
      </c>
      <c r="Y2217" s="103" t="s">
        <v>138</v>
      </c>
      <c r="Z2217" s="103" t="s">
        <v>139</v>
      </c>
      <c r="AA2217" s="103" t="s">
        <v>47</v>
      </c>
      <c r="AB2217" s="103" t="s">
        <v>140</v>
      </c>
      <c r="AC2217" s="104" t="s">
        <v>141</v>
      </c>
    </row>
    <row r="2218" spans="1:29" ht="25.5" customHeight="1" x14ac:dyDescent="0.35">
      <c r="A2218" s="188"/>
      <c r="B2218" s="190"/>
      <c r="C2218" s="99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0"/>
      <c r="E2218" s="78" t="str">
        <f>IF(C2218="","",IFERROR(VLOOKUP(C2218,parametros!$A$11:$E$15,5,0),""))</f>
        <v/>
      </c>
      <c r="F2218" s="79" t="str">
        <f t="shared" si="172"/>
        <v/>
      </c>
      <c r="G2218" s="101"/>
      <c r="H2218" s="91">
        <f t="shared" si="173"/>
        <v>0</v>
      </c>
      <c r="I2218" s="91" t="str">
        <f t="shared" si="174"/>
        <v/>
      </c>
      <c r="J2218" s="91" t="str">
        <f t="shared" si="175"/>
        <v/>
      </c>
      <c r="K2218" s="92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2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58"/>
      <c r="U2218" s="217" t="str">
        <f t="shared" si="176"/>
        <v/>
      </c>
      <c r="V2218" s="215" t="s">
        <v>47</v>
      </c>
      <c r="W2218" s="102" t="s">
        <v>136</v>
      </c>
      <c r="X2218" s="102" t="s">
        <v>137</v>
      </c>
      <c r="Y2218" s="103" t="s">
        <v>138</v>
      </c>
      <c r="Z2218" s="103" t="s">
        <v>139</v>
      </c>
      <c r="AA2218" s="103" t="s">
        <v>47</v>
      </c>
      <c r="AB2218" s="103" t="s">
        <v>140</v>
      </c>
      <c r="AC2218" s="104" t="s">
        <v>141</v>
      </c>
    </row>
    <row r="2219" spans="1:29" ht="25.5" customHeight="1" x14ac:dyDescent="0.35">
      <c r="A2219" s="188"/>
      <c r="B2219" s="190"/>
      <c r="C2219" s="99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0"/>
      <c r="E2219" s="78" t="str">
        <f>IF(C2219="","",IFERROR(VLOOKUP(C2219,parametros!$A$11:$E$15,5,0),""))</f>
        <v/>
      </c>
      <c r="F2219" s="79" t="str">
        <f t="shared" si="172"/>
        <v/>
      </c>
      <c r="G2219" s="101"/>
      <c r="H2219" s="91">
        <f t="shared" si="173"/>
        <v>0</v>
      </c>
      <c r="I2219" s="91" t="str">
        <f t="shared" si="174"/>
        <v/>
      </c>
      <c r="J2219" s="91" t="str">
        <f t="shared" si="175"/>
        <v/>
      </c>
      <c r="K2219" s="92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2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58"/>
      <c r="U2219" s="217" t="str">
        <f t="shared" si="176"/>
        <v/>
      </c>
      <c r="V2219" s="215" t="s">
        <v>47</v>
      </c>
      <c r="W2219" s="102" t="s">
        <v>136</v>
      </c>
      <c r="X2219" s="102" t="s">
        <v>137</v>
      </c>
      <c r="Y2219" s="103" t="s">
        <v>138</v>
      </c>
      <c r="Z2219" s="103" t="s">
        <v>139</v>
      </c>
      <c r="AA2219" s="103" t="s">
        <v>47</v>
      </c>
      <c r="AB2219" s="103" t="s">
        <v>140</v>
      </c>
      <c r="AC2219" s="104" t="s">
        <v>141</v>
      </c>
    </row>
    <row r="2220" spans="1:29" ht="25.5" customHeight="1" x14ac:dyDescent="0.35">
      <c r="A2220" s="188"/>
      <c r="B2220" s="190"/>
      <c r="C2220" s="99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0"/>
      <c r="E2220" s="78" t="str">
        <f>IF(C2220="","",IFERROR(VLOOKUP(C2220,parametros!$A$11:$E$15,5,0),""))</f>
        <v/>
      </c>
      <c r="F2220" s="79" t="str">
        <f t="shared" si="172"/>
        <v/>
      </c>
      <c r="G2220" s="101"/>
      <c r="H2220" s="91">
        <f t="shared" si="173"/>
        <v>0</v>
      </c>
      <c r="I2220" s="91" t="str">
        <f t="shared" si="174"/>
        <v/>
      </c>
      <c r="J2220" s="91" t="str">
        <f t="shared" si="175"/>
        <v/>
      </c>
      <c r="K2220" s="92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2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58"/>
      <c r="U2220" s="217" t="str">
        <f t="shared" si="176"/>
        <v/>
      </c>
      <c r="V2220" s="215" t="s">
        <v>47</v>
      </c>
      <c r="W2220" s="102" t="s">
        <v>136</v>
      </c>
      <c r="X2220" s="102" t="s">
        <v>137</v>
      </c>
      <c r="Y2220" s="103" t="s">
        <v>138</v>
      </c>
      <c r="Z2220" s="103" t="s">
        <v>139</v>
      </c>
      <c r="AA2220" s="103" t="s">
        <v>47</v>
      </c>
      <c r="AB2220" s="103" t="s">
        <v>140</v>
      </c>
      <c r="AC2220" s="104" t="s">
        <v>141</v>
      </c>
    </row>
    <row r="2221" spans="1:29" ht="25.5" customHeight="1" x14ac:dyDescent="0.35">
      <c r="A2221" s="188"/>
      <c r="B2221" s="190"/>
      <c r="C2221" s="99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0"/>
      <c r="E2221" s="78" t="str">
        <f>IF(C2221="","",IFERROR(VLOOKUP(C2221,parametros!$A$11:$E$15,5,0),""))</f>
        <v/>
      </c>
      <c r="F2221" s="79" t="str">
        <f t="shared" si="172"/>
        <v/>
      </c>
      <c r="G2221" s="101"/>
      <c r="H2221" s="91">
        <f t="shared" si="173"/>
        <v>0</v>
      </c>
      <c r="I2221" s="91" t="str">
        <f t="shared" si="174"/>
        <v/>
      </c>
      <c r="J2221" s="91" t="str">
        <f t="shared" si="175"/>
        <v/>
      </c>
      <c r="K2221" s="92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2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58"/>
      <c r="U2221" s="217" t="str">
        <f t="shared" si="176"/>
        <v/>
      </c>
      <c r="V2221" s="215" t="s">
        <v>47</v>
      </c>
      <c r="W2221" s="102" t="s">
        <v>136</v>
      </c>
      <c r="X2221" s="102" t="s">
        <v>137</v>
      </c>
      <c r="Y2221" s="103" t="s">
        <v>138</v>
      </c>
      <c r="Z2221" s="103" t="s">
        <v>139</v>
      </c>
      <c r="AA2221" s="103" t="s">
        <v>47</v>
      </c>
      <c r="AB2221" s="103" t="s">
        <v>140</v>
      </c>
      <c r="AC2221" s="104" t="s">
        <v>141</v>
      </c>
    </row>
    <row r="2222" spans="1:29" ht="25.5" customHeight="1" x14ac:dyDescent="0.35">
      <c r="A2222" s="188"/>
      <c r="B2222" s="190"/>
      <c r="C2222" s="99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0"/>
      <c r="E2222" s="78" t="str">
        <f>IF(C2222="","",IFERROR(VLOOKUP(C2222,parametros!$A$11:$E$15,5,0),""))</f>
        <v/>
      </c>
      <c r="F2222" s="79" t="str">
        <f t="shared" si="172"/>
        <v/>
      </c>
      <c r="G2222" s="101"/>
      <c r="H2222" s="91">
        <f t="shared" si="173"/>
        <v>0</v>
      </c>
      <c r="I2222" s="91" t="str">
        <f t="shared" si="174"/>
        <v/>
      </c>
      <c r="J2222" s="91" t="str">
        <f t="shared" si="175"/>
        <v/>
      </c>
      <c r="K2222" s="92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2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58"/>
      <c r="U2222" s="217" t="str">
        <f t="shared" si="176"/>
        <v/>
      </c>
      <c r="V2222" s="215" t="s">
        <v>47</v>
      </c>
      <c r="W2222" s="102" t="s">
        <v>136</v>
      </c>
      <c r="X2222" s="102" t="s">
        <v>137</v>
      </c>
      <c r="Y2222" s="103" t="s">
        <v>138</v>
      </c>
      <c r="Z2222" s="103" t="s">
        <v>139</v>
      </c>
      <c r="AA2222" s="103" t="s">
        <v>47</v>
      </c>
      <c r="AB2222" s="103" t="s">
        <v>140</v>
      </c>
      <c r="AC2222" s="104" t="s">
        <v>141</v>
      </c>
    </row>
    <row r="2223" spans="1:29" ht="25.5" customHeight="1" x14ac:dyDescent="0.35">
      <c r="A2223" s="188"/>
      <c r="B2223" s="190"/>
      <c r="C2223" s="99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0"/>
      <c r="E2223" s="78" t="str">
        <f>IF(C2223="","",IFERROR(VLOOKUP(C2223,parametros!$A$11:$E$15,5,0),""))</f>
        <v/>
      </c>
      <c r="F2223" s="79" t="str">
        <f t="shared" si="172"/>
        <v/>
      </c>
      <c r="G2223" s="101"/>
      <c r="H2223" s="91">
        <f t="shared" si="173"/>
        <v>0</v>
      </c>
      <c r="I2223" s="91" t="str">
        <f t="shared" si="174"/>
        <v/>
      </c>
      <c r="J2223" s="91" t="str">
        <f t="shared" si="175"/>
        <v/>
      </c>
      <c r="K2223" s="92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2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58"/>
      <c r="U2223" s="217" t="str">
        <f t="shared" si="176"/>
        <v/>
      </c>
      <c r="V2223" s="215" t="s">
        <v>47</v>
      </c>
      <c r="W2223" s="102" t="s">
        <v>136</v>
      </c>
      <c r="X2223" s="102" t="s">
        <v>137</v>
      </c>
      <c r="Y2223" s="103" t="s">
        <v>138</v>
      </c>
      <c r="Z2223" s="103" t="s">
        <v>139</v>
      </c>
      <c r="AA2223" s="103" t="s">
        <v>47</v>
      </c>
      <c r="AB2223" s="103" t="s">
        <v>140</v>
      </c>
      <c r="AC2223" s="104" t="s">
        <v>141</v>
      </c>
    </row>
    <row r="2224" spans="1:29" ht="25.5" customHeight="1" x14ac:dyDescent="0.35">
      <c r="A2224" s="188"/>
      <c r="B2224" s="190"/>
      <c r="C2224" s="99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0"/>
      <c r="E2224" s="78" t="str">
        <f>IF(C2224="","",IFERROR(VLOOKUP(C2224,parametros!$A$11:$E$15,5,0),""))</f>
        <v/>
      </c>
      <c r="F2224" s="79" t="str">
        <f t="shared" si="172"/>
        <v/>
      </c>
      <c r="G2224" s="101"/>
      <c r="H2224" s="91">
        <f t="shared" si="173"/>
        <v>0</v>
      </c>
      <c r="I2224" s="91" t="str">
        <f t="shared" si="174"/>
        <v/>
      </c>
      <c r="J2224" s="91" t="str">
        <f t="shared" si="175"/>
        <v/>
      </c>
      <c r="K2224" s="92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2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58"/>
      <c r="U2224" s="217" t="str">
        <f t="shared" si="176"/>
        <v/>
      </c>
      <c r="V2224" s="215" t="s">
        <v>47</v>
      </c>
      <c r="W2224" s="102" t="s">
        <v>136</v>
      </c>
      <c r="X2224" s="102" t="s">
        <v>137</v>
      </c>
      <c r="Y2224" s="103" t="s">
        <v>138</v>
      </c>
      <c r="Z2224" s="103" t="s">
        <v>139</v>
      </c>
      <c r="AA2224" s="103" t="s">
        <v>47</v>
      </c>
      <c r="AB2224" s="103" t="s">
        <v>140</v>
      </c>
      <c r="AC2224" s="104" t="s">
        <v>141</v>
      </c>
    </row>
    <row r="2225" spans="1:29" ht="25.5" customHeight="1" x14ac:dyDescent="0.35">
      <c r="A2225" s="188"/>
      <c r="B2225" s="190"/>
      <c r="C2225" s="99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0"/>
      <c r="E2225" s="78" t="str">
        <f>IF(C2225="","",IFERROR(VLOOKUP(C2225,parametros!$A$11:$E$15,5,0),""))</f>
        <v/>
      </c>
      <c r="F2225" s="79" t="str">
        <f t="shared" si="172"/>
        <v/>
      </c>
      <c r="G2225" s="101"/>
      <c r="H2225" s="91">
        <f t="shared" si="173"/>
        <v>0</v>
      </c>
      <c r="I2225" s="91" t="str">
        <f t="shared" si="174"/>
        <v/>
      </c>
      <c r="J2225" s="91" t="str">
        <f t="shared" si="175"/>
        <v/>
      </c>
      <c r="K2225" s="92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2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58"/>
      <c r="U2225" s="217" t="str">
        <f t="shared" si="176"/>
        <v/>
      </c>
      <c r="V2225" s="215" t="s">
        <v>47</v>
      </c>
      <c r="W2225" s="102" t="s">
        <v>136</v>
      </c>
      <c r="X2225" s="102" t="s">
        <v>137</v>
      </c>
      <c r="Y2225" s="103" t="s">
        <v>138</v>
      </c>
      <c r="Z2225" s="103" t="s">
        <v>139</v>
      </c>
      <c r="AA2225" s="103" t="s">
        <v>47</v>
      </c>
      <c r="AB2225" s="103" t="s">
        <v>140</v>
      </c>
      <c r="AC2225" s="104" t="s">
        <v>141</v>
      </c>
    </row>
    <row r="2226" spans="1:29" ht="25.5" customHeight="1" x14ac:dyDescent="0.35">
      <c r="A2226" s="188"/>
      <c r="B2226" s="190"/>
      <c r="C2226" s="99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0"/>
      <c r="E2226" s="78" t="str">
        <f>IF(C2226="","",IFERROR(VLOOKUP(C2226,parametros!$A$11:$E$15,5,0),""))</f>
        <v/>
      </c>
      <c r="F2226" s="79" t="str">
        <f t="shared" si="172"/>
        <v/>
      </c>
      <c r="G2226" s="101"/>
      <c r="H2226" s="91">
        <f t="shared" si="173"/>
        <v>0</v>
      </c>
      <c r="I2226" s="91" t="str">
        <f t="shared" si="174"/>
        <v/>
      </c>
      <c r="J2226" s="91" t="str">
        <f t="shared" si="175"/>
        <v/>
      </c>
      <c r="K2226" s="92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2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58"/>
      <c r="U2226" s="217" t="str">
        <f t="shared" si="176"/>
        <v/>
      </c>
      <c r="V2226" s="215" t="s">
        <v>47</v>
      </c>
      <c r="W2226" s="102" t="s">
        <v>136</v>
      </c>
      <c r="X2226" s="102" t="s">
        <v>137</v>
      </c>
      <c r="Y2226" s="103" t="s">
        <v>138</v>
      </c>
      <c r="Z2226" s="103" t="s">
        <v>139</v>
      </c>
      <c r="AA2226" s="103" t="s">
        <v>47</v>
      </c>
      <c r="AB2226" s="103" t="s">
        <v>140</v>
      </c>
      <c r="AC2226" s="104" t="s">
        <v>141</v>
      </c>
    </row>
    <row r="2227" spans="1:29" ht="25.5" customHeight="1" x14ac:dyDescent="0.35">
      <c r="A2227" s="188"/>
      <c r="B2227" s="190"/>
      <c r="C2227" s="99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0"/>
      <c r="E2227" s="78" t="str">
        <f>IF(C2227="","",IFERROR(VLOOKUP(C2227,parametros!$A$11:$E$15,5,0),""))</f>
        <v/>
      </c>
      <c r="F2227" s="79" t="str">
        <f t="shared" si="172"/>
        <v/>
      </c>
      <c r="G2227" s="101"/>
      <c r="H2227" s="91">
        <f t="shared" si="173"/>
        <v>0</v>
      </c>
      <c r="I2227" s="91" t="str">
        <f t="shared" si="174"/>
        <v/>
      </c>
      <c r="J2227" s="91" t="str">
        <f t="shared" si="175"/>
        <v/>
      </c>
      <c r="K2227" s="92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2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58"/>
      <c r="U2227" s="217" t="str">
        <f t="shared" si="176"/>
        <v/>
      </c>
      <c r="V2227" s="215" t="s">
        <v>47</v>
      </c>
      <c r="W2227" s="102" t="s">
        <v>136</v>
      </c>
      <c r="X2227" s="102" t="s">
        <v>137</v>
      </c>
      <c r="Y2227" s="103" t="s">
        <v>138</v>
      </c>
      <c r="Z2227" s="103" t="s">
        <v>139</v>
      </c>
      <c r="AA2227" s="103" t="s">
        <v>47</v>
      </c>
      <c r="AB2227" s="103" t="s">
        <v>140</v>
      </c>
      <c r="AC2227" s="104" t="s">
        <v>141</v>
      </c>
    </row>
    <row r="2228" spans="1:29" ht="25.5" customHeight="1" x14ac:dyDescent="0.35">
      <c r="A2228" s="188"/>
      <c r="B2228" s="190"/>
      <c r="C2228" s="99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0"/>
      <c r="E2228" s="78" t="str">
        <f>IF(C2228="","",IFERROR(VLOOKUP(C2228,parametros!$A$11:$E$15,5,0),""))</f>
        <v/>
      </c>
      <c r="F2228" s="79" t="str">
        <f t="shared" si="172"/>
        <v/>
      </c>
      <c r="G2228" s="101"/>
      <c r="H2228" s="91">
        <f t="shared" si="173"/>
        <v>0</v>
      </c>
      <c r="I2228" s="91" t="str">
        <f t="shared" si="174"/>
        <v/>
      </c>
      <c r="J2228" s="91" t="str">
        <f t="shared" si="175"/>
        <v/>
      </c>
      <c r="K2228" s="92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2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58"/>
      <c r="U2228" s="217" t="str">
        <f t="shared" si="176"/>
        <v/>
      </c>
      <c r="V2228" s="215" t="s">
        <v>47</v>
      </c>
      <c r="W2228" s="102" t="s">
        <v>136</v>
      </c>
      <c r="X2228" s="102" t="s">
        <v>137</v>
      </c>
      <c r="Y2228" s="103" t="s">
        <v>138</v>
      </c>
      <c r="Z2228" s="103" t="s">
        <v>139</v>
      </c>
      <c r="AA2228" s="103" t="s">
        <v>47</v>
      </c>
      <c r="AB2228" s="103" t="s">
        <v>140</v>
      </c>
      <c r="AC2228" s="104" t="s">
        <v>141</v>
      </c>
    </row>
    <row r="2229" spans="1:29" ht="25.5" customHeight="1" x14ac:dyDescent="0.35">
      <c r="A2229" s="188"/>
      <c r="B2229" s="190"/>
      <c r="C2229" s="99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0"/>
      <c r="E2229" s="78" t="str">
        <f>IF(C2229="","",IFERROR(VLOOKUP(C2229,parametros!$A$11:$E$15,5,0),""))</f>
        <v/>
      </c>
      <c r="F2229" s="79" t="str">
        <f t="shared" si="172"/>
        <v/>
      </c>
      <c r="G2229" s="101"/>
      <c r="H2229" s="91">
        <f t="shared" si="173"/>
        <v>0</v>
      </c>
      <c r="I2229" s="91" t="str">
        <f t="shared" si="174"/>
        <v/>
      </c>
      <c r="J2229" s="91" t="str">
        <f t="shared" si="175"/>
        <v/>
      </c>
      <c r="K2229" s="92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2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58"/>
      <c r="U2229" s="217" t="str">
        <f t="shared" si="176"/>
        <v/>
      </c>
      <c r="V2229" s="215" t="s">
        <v>47</v>
      </c>
      <c r="W2229" s="102" t="s">
        <v>136</v>
      </c>
      <c r="X2229" s="102" t="s">
        <v>137</v>
      </c>
      <c r="Y2229" s="103" t="s">
        <v>138</v>
      </c>
      <c r="Z2229" s="103" t="s">
        <v>139</v>
      </c>
      <c r="AA2229" s="103" t="s">
        <v>47</v>
      </c>
      <c r="AB2229" s="103" t="s">
        <v>140</v>
      </c>
      <c r="AC2229" s="104" t="s">
        <v>141</v>
      </c>
    </row>
    <row r="2230" spans="1:29" ht="25.5" customHeight="1" x14ac:dyDescent="0.35">
      <c r="A2230" s="188"/>
      <c r="B2230" s="190"/>
      <c r="C2230" s="99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0"/>
      <c r="E2230" s="78" t="str">
        <f>IF(C2230="","",IFERROR(VLOOKUP(C2230,parametros!$A$11:$E$15,5,0),""))</f>
        <v/>
      </c>
      <c r="F2230" s="79" t="str">
        <f t="shared" si="172"/>
        <v/>
      </c>
      <c r="G2230" s="101"/>
      <c r="H2230" s="91">
        <f t="shared" si="173"/>
        <v>0</v>
      </c>
      <c r="I2230" s="91" t="str">
        <f t="shared" si="174"/>
        <v/>
      </c>
      <c r="J2230" s="91" t="str">
        <f t="shared" si="175"/>
        <v/>
      </c>
      <c r="K2230" s="92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2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58"/>
      <c r="U2230" s="217" t="str">
        <f t="shared" si="176"/>
        <v/>
      </c>
      <c r="V2230" s="215" t="s">
        <v>47</v>
      </c>
      <c r="W2230" s="102" t="s">
        <v>136</v>
      </c>
      <c r="X2230" s="102" t="s">
        <v>137</v>
      </c>
      <c r="Y2230" s="103" t="s">
        <v>138</v>
      </c>
      <c r="Z2230" s="103" t="s">
        <v>139</v>
      </c>
      <c r="AA2230" s="103" t="s">
        <v>47</v>
      </c>
      <c r="AB2230" s="103" t="s">
        <v>140</v>
      </c>
      <c r="AC2230" s="104" t="s">
        <v>141</v>
      </c>
    </row>
    <row r="2231" spans="1:29" ht="25.5" customHeight="1" x14ac:dyDescent="0.35">
      <c r="A2231" s="188"/>
      <c r="B2231" s="190"/>
      <c r="C2231" s="99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0"/>
      <c r="E2231" s="78" t="str">
        <f>IF(C2231="","",IFERROR(VLOOKUP(C2231,parametros!$A$11:$E$15,5,0),""))</f>
        <v/>
      </c>
      <c r="F2231" s="79" t="str">
        <f t="shared" si="172"/>
        <v/>
      </c>
      <c r="G2231" s="101"/>
      <c r="H2231" s="91">
        <f t="shared" si="173"/>
        <v>0</v>
      </c>
      <c r="I2231" s="91" t="str">
        <f t="shared" si="174"/>
        <v/>
      </c>
      <c r="J2231" s="91" t="str">
        <f t="shared" si="175"/>
        <v/>
      </c>
      <c r="K2231" s="92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2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58"/>
      <c r="U2231" s="217" t="str">
        <f t="shared" si="176"/>
        <v/>
      </c>
      <c r="V2231" s="215" t="s">
        <v>47</v>
      </c>
      <c r="W2231" s="102" t="s">
        <v>136</v>
      </c>
      <c r="X2231" s="102" t="s">
        <v>137</v>
      </c>
      <c r="Y2231" s="103" t="s">
        <v>138</v>
      </c>
      <c r="Z2231" s="103" t="s">
        <v>139</v>
      </c>
      <c r="AA2231" s="103" t="s">
        <v>47</v>
      </c>
      <c r="AB2231" s="103" t="s">
        <v>140</v>
      </c>
      <c r="AC2231" s="104" t="s">
        <v>141</v>
      </c>
    </row>
    <row r="2232" spans="1:29" ht="25.5" customHeight="1" x14ac:dyDescent="0.35">
      <c r="A2232" s="188"/>
      <c r="B2232" s="190"/>
      <c r="C2232" s="99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0"/>
      <c r="E2232" s="78" t="str">
        <f>IF(C2232="","",IFERROR(VLOOKUP(C2232,parametros!$A$11:$E$15,5,0),""))</f>
        <v/>
      </c>
      <c r="F2232" s="79" t="str">
        <f t="shared" si="172"/>
        <v/>
      </c>
      <c r="G2232" s="101"/>
      <c r="H2232" s="91">
        <f t="shared" si="173"/>
        <v>0</v>
      </c>
      <c r="I2232" s="91" t="str">
        <f t="shared" si="174"/>
        <v/>
      </c>
      <c r="J2232" s="91" t="str">
        <f t="shared" si="175"/>
        <v/>
      </c>
      <c r="K2232" s="92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2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58"/>
      <c r="U2232" s="217" t="str">
        <f t="shared" si="176"/>
        <v/>
      </c>
      <c r="V2232" s="215" t="s">
        <v>47</v>
      </c>
      <c r="W2232" s="102" t="s">
        <v>136</v>
      </c>
      <c r="X2232" s="102" t="s">
        <v>137</v>
      </c>
      <c r="Y2232" s="103" t="s">
        <v>138</v>
      </c>
      <c r="Z2232" s="103" t="s">
        <v>139</v>
      </c>
      <c r="AA2232" s="103" t="s">
        <v>47</v>
      </c>
      <c r="AB2232" s="103" t="s">
        <v>140</v>
      </c>
      <c r="AC2232" s="104" t="s">
        <v>141</v>
      </c>
    </row>
    <row r="2233" spans="1:29" ht="25.5" customHeight="1" x14ac:dyDescent="0.35">
      <c r="A2233" s="188"/>
      <c r="B2233" s="190"/>
      <c r="C2233" s="99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0"/>
      <c r="E2233" s="78" t="str">
        <f>IF(C2233="","",IFERROR(VLOOKUP(C2233,parametros!$A$11:$E$15,5,0),""))</f>
        <v/>
      </c>
      <c r="F2233" s="79" t="str">
        <f t="shared" si="172"/>
        <v/>
      </c>
      <c r="G2233" s="101"/>
      <c r="H2233" s="91">
        <f t="shared" si="173"/>
        <v>0</v>
      </c>
      <c r="I2233" s="91" t="str">
        <f t="shared" si="174"/>
        <v/>
      </c>
      <c r="J2233" s="91" t="str">
        <f t="shared" si="175"/>
        <v/>
      </c>
      <c r="K2233" s="92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2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58"/>
      <c r="U2233" s="217" t="str">
        <f t="shared" si="176"/>
        <v/>
      </c>
      <c r="V2233" s="215" t="s">
        <v>47</v>
      </c>
      <c r="W2233" s="102" t="s">
        <v>136</v>
      </c>
      <c r="X2233" s="102" t="s">
        <v>137</v>
      </c>
      <c r="Y2233" s="103" t="s">
        <v>138</v>
      </c>
      <c r="Z2233" s="103" t="s">
        <v>139</v>
      </c>
      <c r="AA2233" s="103" t="s">
        <v>47</v>
      </c>
      <c r="AB2233" s="103" t="s">
        <v>140</v>
      </c>
      <c r="AC2233" s="104" t="s">
        <v>141</v>
      </c>
    </row>
    <row r="2234" spans="1:29" ht="25.5" customHeight="1" x14ac:dyDescent="0.35">
      <c r="A2234" s="188"/>
      <c r="B2234" s="190"/>
      <c r="C2234" s="99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0"/>
      <c r="E2234" s="78" t="str">
        <f>IF(C2234="","",IFERROR(VLOOKUP(C2234,parametros!$A$11:$E$15,5,0),""))</f>
        <v/>
      </c>
      <c r="F2234" s="79" t="str">
        <f t="shared" si="172"/>
        <v/>
      </c>
      <c r="G2234" s="101"/>
      <c r="H2234" s="91">
        <f t="shared" si="173"/>
        <v>0</v>
      </c>
      <c r="I2234" s="91" t="str">
        <f t="shared" si="174"/>
        <v/>
      </c>
      <c r="J2234" s="91" t="str">
        <f t="shared" si="175"/>
        <v/>
      </c>
      <c r="K2234" s="92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2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58"/>
      <c r="U2234" s="217" t="str">
        <f t="shared" si="176"/>
        <v/>
      </c>
      <c r="V2234" s="215" t="s">
        <v>47</v>
      </c>
      <c r="W2234" s="102" t="s">
        <v>136</v>
      </c>
      <c r="X2234" s="102" t="s">
        <v>137</v>
      </c>
      <c r="Y2234" s="103" t="s">
        <v>138</v>
      </c>
      <c r="Z2234" s="103" t="s">
        <v>139</v>
      </c>
      <c r="AA2234" s="103" t="s">
        <v>47</v>
      </c>
      <c r="AB2234" s="103" t="s">
        <v>140</v>
      </c>
      <c r="AC2234" s="104" t="s">
        <v>141</v>
      </c>
    </row>
    <row r="2235" spans="1:29" ht="25.5" customHeight="1" x14ac:dyDescent="0.35">
      <c r="A2235" s="188"/>
      <c r="B2235" s="190"/>
      <c r="C2235" s="99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0"/>
      <c r="E2235" s="78" t="str">
        <f>IF(C2235="","",IFERROR(VLOOKUP(C2235,parametros!$A$11:$E$15,5,0),""))</f>
        <v/>
      </c>
      <c r="F2235" s="79" t="str">
        <f t="shared" si="172"/>
        <v/>
      </c>
      <c r="G2235" s="101"/>
      <c r="H2235" s="91">
        <f t="shared" si="173"/>
        <v>0</v>
      </c>
      <c r="I2235" s="91" t="str">
        <f t="shared" si="174"/>
        <v/>
      </c>
      <c r="J2235" s="91" t="str">
        <f t="shared" si="175"/>
        <v/>
      </c>
      <c r="K2235" s="92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2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58"/>
      <c r="U2235" s="217" t="str">
        <f t="shared" si="176"/>
        <v/>
      </c>
      <c r="V2235" s="215" t="s">
        <v>47</v>
      </c>
      <c r="W2235" s="102" t="s">
        <v>136</v>
      </c>
      <c r="X2235" s="102" t="s">
        <v>137</v>
      </c>
      <c r="Y2235" s="103" t="s">
        <v>138</v>
      </c>
      <c r="Z2235" s="103" t="s">
        <v>139</v>
      </c>
      <c r="AA2235" s="103" t="s">
        <v>47</v>
      </c>
      <c r="AB2235" s="103" t="s">
        <v>140</v>
      </c>
      <c r="AC2235" s="104" t="s">
        <v>141</v>
      </c>
    </row>
    <row r="2236" spans="1:29" ht="25.5" customHeight="1" x14ac:dyDescent="0.35">
      <c r="A2236" s="188"/>
      <c r="B2236" s="190"/>
      <c r="C2236" s="99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0"/>
      <c r="E2236" s="78" t="str">
        <f>IF(C2236="","",IFERROR(VLOOKUP(C2236,parametros!$A$11:$E$15,5,0),""))</f>
        <v/>
      </c>
      <c r="F2236" s="79" t="str">
        <f t="shared" si="172"/>
        <v/>
      </c>
      <c r="G2236" s="101"/>
      <c r="H2236" s="91">
        <f t="shared" si="173"/>
        <v>0</v>
      </c>
      <c r="I2236" s="91" t="str">
        <f t="shared" si="174"/>
        <v/>
      </c>
      <c r="J2236" s="91" t="str">
        <f t="shared" si="175"/>
        <v/>
      </c>
      <c r="K2236" s="92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2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58"/>
      <c r="U2236" s="217" t="str">
        <f t="shared" si="176"/>
        <v/>
      </c>
      <c r="V2236" s="215" t="s">
        <v>47</v>
      </c>
      <c r="W2236" s="102" t="s">
        <v>136</v>
      </c>
      <c r="X2236" s="102" t="s">
        <v>137</v>
      </c>
      <c r="Y2236" s="103" t="s">
        <v>138</v>
      </c>
      <c r="Z2236" s="103" t="s">
        <v>139</v>
      </c>
      <c r="AA2236" s="103" t="s">
        <v>47</v>
      </c>
      <c r="AB2236" s="103" t="s">
        <v>140</v>
      </c>
      <c r="AC2236" s="104" t="s">
        <v>141</v>
      </c>
    </row>
    <row r="2237" spans="1:29" ht="25.5" customHeight="1" x14ac:dyDescent="0.35">
      <c r="A2237" s="188"/>
      <c r="B2237" s="190"/>
      <c r="C2237" s="99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0"/>
      <c r="E2237" s="78" t="str">
        <f>IF(C2237="","",IFERROR(VLOOKUP(C2237,parametros!$A$11:$E$15,5,0),""))</f>
        <v/>
      </c>
      <c r="F2237" s="79" t="str">
        <f t="shared" si="172"/>
        <v/>
      </c>
      <c r="G2237" s="101"/>
      <c r="H2237" s="91">
        <f t="shared" si="173"/>
        <v>0</v>
      </c>
      <c r="I2237" s="91" t="str">
        <f t="shared" si="174"/>
        <v/>
      </c>
      <c r="J2237" s="91" t="str">
        <f t="shared" si="175"/>
        <v/>
      </c>
      <c r="K2237" s="92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2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58"/>
      <c r="U2237" s="217" t="str">
        <f t="shared" si="176"/>
        <v/>
      </c>
      <c r="V2237" s="215" t="s">
        <v>47</v>
      </c>
      <c r="W2237" s="102" t="s">
        <v>136</v>
      </c>
      <c r="X2237" s="102" t="s">
        <v>137</v>
      </c>
      <c r="Y2237" s="103" t="s">
        <v>138</v>
      </c>
      <c r="Z2237" s="103" t="s">
        <v>139</v>
      </c>
      <c r="AA2237" s="103" t="s">
        <v>47</v>
      </c>
      <c r="AB2237" s="103" t="s">
        <v>140</v>
      </c>
      <c r="AC2237" s="104" t="s">
        <v>141</v>
      </c>
    </row>
    <row r="2238" spans="1:29" ht="25.5" customHeight="1" x14ac:dyDescent="0.35">
      <c r="A2238" s="188"/>
      <c r="B2238" s="190"/>
      <c r="C2238" s="99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0"/>
      <c r="E2238" s="78" t="str">
        <f>IF(C2238="","",IFERROR(VLOOKUP(C2238,parametros!$A$11:$E$15,5,0),""))</f>
        <v/>
      </c>
      <c r="F2238" s="79" t="str">
        <f t="shared" si="172"/>
        <v/>
      </c>
      <c r="G2238" s="101"/>
      <c r="H2238" s="91">
        <f t="shared" si="173"/>
        <v>0</v>
      </c>
      <c r="I2238" s="91" t="str">
        <f t="shared" si="174"/>
        <v/>
      </c>
      <c r="J2238" s="91" t="str">
        <f t="shared" si="175"/>
        <v/>
      </c>
      <c r="K2238" s="92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2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58"/>
      <c r="U2238" s="217" t="str">
        <f t="shared" si="176"/>
        <v/>
      </c>
      <c r="V2238" s="215" t="s">
        <v>47</v>
      </c>
      <c r="W2238" s="102" t="s">
        <v>136</v>
      </c>
      <c r="X2238" s="102" t="s">
        <v>137</v>
      </c>
      <c r="Y2238" s="103" t="s">
        <v>138</v>
      </c>
      <c r="Z2238" s="103" t="s">
        <v>139</v>
      </c>
      <c r="AA2238" s="103" t="s">
        <v>47</v>
      </c>
      <c r="AB2238" s="103" t="s">
        <v>140</v>
      </c>
      <c r="AC2238" s="104" t="s">
        <v>141</v>
      </c>
    </row>
    <row r="2239" spans="1:29" ht="25.5" customHeight="1" x14ac:dyDescent="0.35">
      <c r="A2239" s="188"/>
      <c r="B2239" s="190"/>
      <c r="C2239" s="99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0"/>
      <c r="E2239" s="78" t="str">
        <f>IF(C2239="","",IFERROR(VLOOKUP(C2239,parametros!$A$11:$E$15,5,0),""))</f>
        <v/>
      </c>
      <c r="F2239" s="79" t="str">
        <f t="shared" si="172"/>
        <v/>
      </c>
      <c r="G2239" s="101"/>
      <c r="H2239" s="91">
        <f t="shared" si="173"/>
        <v>0</v>
      </c>
      <c r="I2239" s="91" t="str">
        <f t="shared" si="174"/>
        <v/>
      </c>
      <c r="J2239" s="91" t="str">
        <f t="shared" si="175"/>
        <v/>
      </c>
      <c r="K2239" s="92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2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58"/>
      <c r="U2239" s="217" t="str">
        <f t="shared" si="176"/>
        <v/>
      </c>
      <c r="V2239" s="215" t="s">
        <v>47</v>
      </c>
      <c r="W2239" s="102" t="s">
        <v>136</v>
      </c>
      <c r="X2239" s="102" t="s">
        <v>137</v>
      </c>
      <c r="Y2239" s="103" t="s">
        <v>138</v>
      </c>
      <c r="Z2239" s="103" t="s">
        <v>139</v>
      </c>
      <c r="AA2239" s="103" t="s">
        <v>47</v>
      </c>
      <c r="AB2239" s="103" t="s">
        <v>140</v>
      </c>
      <c r="AC2239" s="104" t="s">
        <v>141</v>
      </c>
    </row>
    <row r="2240" spans="1:29" ht="25.5" customHeight="1" x14ac:dyDescent="0.35">
      <c r="A2240" s="188"/>
      <c r="B2240" s="190"/>
      <c r="C2240" s="99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0"/>
      <c r="E2240" s="78" t="str">
        <f>IF(C2240="","",IFERROR(VLOOKUP(C2240,parametros!$A$11:$E$15,5,0),""))</f>
        <v/>
      </c>
      <c r="F2240" s="79" t="str">
        <f t="shared" si="172"/>
        <v/>
      </c>
      <c r="G2240" s="101"/>
      <c r="H2240" s="91">
        <f t="shared" si="173"/>
        <v>0</v>
      </c>
      <c r="I2240" s="91" t="str">
        <f t="shared" si="174"/>
        <v/>
      </c>
      <c r="J2240" s="91" t="str">
        <f t="shared" si="175"/>
        <v/>
      </c>
      <c r="K2240" s="92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2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58"/>
      <c r="U2240" s="217" t="str">
        <f t="shared" si="176"/>
        <v/>
      </c>
      <c r="V2240" s="215" t="s">
        <v>47</v>
      </c>
      <c r="W2240" s="102" t="s">
        <v>136</v>
      </c>
      <c r="X2240" s="102" t="s">
        <v>137</v>
      </c>
      <c r="Y2240" s="103" t="s">
        <v>138</v>
      </c>
      <c r="Z2240" s="103" t="s">
        <v>139</v>
      </c>
      <c r="AA2240" s="103" t="s">
        <v>47</v>
      </c>
      <c r="AB2240" s="103" t="s">
        <v>140</v>
      </c>
      <c r="AC2240" s="104" t="s">
        <v>141</v>
      </c>
    </row>
    <row r="2241" spans="1:29" ht="25.5" customHeight="1" x14ac:dyDescent="0.35">
      <c r="A2241" s="188"/>
      <c r="B2241" s="190"/>
      <c r="C2241" s="99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0"/>
      <c r="E2241" s="78" t="str">
        <f>IF(C2241="","",IFERROR(VLOOKUP(C2241,parametros!$A$11:$E$15,5,0),""))</f>
        <v/>
      </c>
      <c r="F2241" s="79" t="str">
        <f t="shared" si="172"/>
        <v/>
      </c>
      <c r="G2241" s="101"/>
      <c r="H2241" s="91">
        <f t="shared" si="173"/>
        <v>0</v>
      </c>
      <c r="I2241" s="91" t="str">
        <f t="shared" si="174"/>
        <v/>
      </c>
      <c r="J2241" s="91" t="str">
        <f t="shared" si="175"/>
        <v/>
      </c>
      <c r="K2241" s="92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2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58"/>
      <c r="U2241" s="217" t="str">
        <f t="shared" si="176"/>
        <v/>
      </c>
      <c r="V2241" s="215" t="s">
        <v>47</v>
      </c>
      <c r="W2241" s="102" t="s">
        <v>136</v>
      </c>
      <c r="X2241" s="102" t="s">
        <v>137</v>
      </c>
      <c r="Y2241" s="103" t="s">
        <v>138</v>
      </c>
      <c r="Z2241" s="103" t="s">
        <v>139</v>
      </c>
      <c r="AA2241" s="103" t="s">
        <v>47</v>
      </c>
      <c r="AB2241" s="103" t="s">
        <v>140</v>
      </c>
      <c r="AC2241" s="104" t="s">
        <v>141</v>
      </c>
    </row>
    <row r="2242" spans="1:29" ht="25.5" customHeight="1" x14ac:dyDescent="0.35">
      <c r="A2242" s="188"/>
      <c r="B2242" s="190"/>
      <c r="C2242" s="99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0"/>
      <c r="E2242" s="78" t="str">
        <f>IF(C2242="","",IFERROR(VLOOKUP(C2242,parametros!$A$11:$E$15,5,0),""))</f>
        <v/>
      </c>
      <c r="F2242" s="79" t="str">
        <f t="shared" ref="F2242:F2305" si="177">IF(OR(D2242="",E2242=""),"",ROUND(D2242*E2242,2))</f>
        <v/>
      </c>
      <c r="G2242" s="101"/>
      <c r="H2242" s="91">
        <f t="shared" ref="H2242:H2305" si="178">IF(G2242="Sim",IF(OR(F2242="",D2242="",L2242=""),"",IF(L2242="Sim",ROUND(F2242-D2242,2),0)),0)</f>
        <v>0</v>
      </c>
      <c r="I2242" s="91" t="str">
        <f t="shared" ref="I2242:I2305" si="179">IF(G2242="Sim",0,IF(OR(F2242="",L2242=""),"",F2242))</f>
        <v/>
      </c>
      <c r="J2242" s="91" t="str">
        <f t="shared" ref="J2242:J2305" si="180">IF(G2242="Sim",0,IF(OR(F2242="",D2242="",L2242=""),"",IF(L2242="Sim",ROUND(F2242-D2242,2),0)))</f>
        <v/>
      </c>
      <c r="K2242" s="92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2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58"/>
      <c r="U2242" s="217" t="str">
        <f t="shared" ref="U2242:U2305" si="181">IF(OR($D2242="",$H2242=""),"",ROUND($D2242+$H2242,2))</f>
        <v/>
      </c>
      <c r="V2242" s="215" t="s">
        <v>47</v>
      </c>
      <c r="W2242" s="102" t="s">
        <v>136</v>
      </c>
      <c r="X2242" s="102" t="s">
        <v>137</v>
      </c>
      <c r="Y2242" s="103" t="s">
        <v>138</v>
      </c>
      <c r="Z2242" s="103" t="s">
        <v>139</v>
      </c>
      <c r="AA2242" s="103" t="s">
        <v>47</v>
      </c>
      <c r="AB2242" s="103" t="s">
        <v>140</v>
      </c>
      <c r="AC2242" s="104" t="s">
        <v>141</v>
      </c>
    </row>
    <row r="2243" spans="1:29" ht="25.5" customHeight="1" x14ac:dyDescent="0.35">
      <c r="A2243" s="188"/>
      <c r="B2243" s="190"/>
      <c r="C2243" s="99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0"/>
      <c r="E2243" s="78" t="str">
        <f>IF(C2243="","",IFERROR(VLOOKUP(C2243,parametros!$A$11:$E$15,5,0),""))</f>
        <v/>
      </c>
      <c r="F2243" s="79" t="str">
        <f t="shared" si="177"/>
        <v/>
      </c>
      <c r="G2243" s="101"/>
      <c r="H2243" s="91">
        <f t="shared" si="178"/>
        <v>0</v>
      </c>
      <c r="I2243" s="91" t="str">
        <f t="shared" si="179"/>
        <v/>
      </c>
      <c r="J2243" s="91" t="str">
        <f t="shared" si="180"/>
        <v/>
      </c>
      <c r="K2243" s="92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2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58"/>
      <c r="U2243" s="217" t="str">
        <f t="shared" si="181"/>
        <v/>
      </c>
      <c r="V2243" s="215" t="s">
        <v>47</v>
      </c>
      <c r="W2243" s="102" t="s">
        <v>136</v>
      </c>
      <c r="X2243" s="102" t="s">
        <v>137</v>
      </c>
      <c r="Y2243" s="103" t="s">
        <v>138</v>
      </c>
      <c r="Z2243" s="103" t="s">
        <v>139</v>
      </c>
      <c r="AA2243" s="103" t="s">
        <v>47</v>
      </c>
      <c r="AB2243" s="103" t="s">
        <v>140</v>
      </c>
      <c r="AC2243" s="104" t="s">
        <v>141</v>
      </c>
    </row>
    <row r="2244" spans="1:29" ht="25.5" customHeight="1" x14ac:dyDescent="0.35">
      <c r="A2244" s="188"/>
      <c r="B2244" s="190"/>
      <c r="C2244" s="99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0"/>
      <c r="E2244" s="78" t="str">
        <f>IF(C2244="","",IFERROR(VLOOKUP(C2244,parametros!$A$11:$E$15,5,0),""))</f>
        <v/>
      </c>
      <c r="F2244" s="79" t="str">
        <f t="shared" si="177"/>
        <v/>
      </c>
      <c r="G2244" s="101"/>
      <c r="H2244" s="91">
        <f t="shared" si="178"/>
        <v>0</v>
      </c>
      <c r="I2244" s="91" t="str">
        <f t="shared" si="179"/>
        <v/>
      </c>
      <c r="J2244" s="91" t="str">
        <f t="shared" si="180"/>
        <v/>
      </c>
      <c r="K2244" s="92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2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58"/>
      <c r="U2244" s="217" t="str">
        <f t="shared" si="181"/>
        <v/>
      </c>
      <c r="V2244" s="215" t="s">
        <v>47</v>
      </c>
      <c r="W2244" s="102" t="s">
        <v>136</v>
      </c>
      <c r="X2244" s="102" t="s">
        <v>137</v>
      </c>
      <c r="Y2244" s="103" t="s">
        <v>138</v>
      </c>
      <c r="Z2244" s="103" t="s">
        <v>139</v>
      </c>
      <c r="AA2244" s="103" t="s">
        <v>47</v>
      </c>
      <c r="AB2244" s="103" t="s">
        <v>140</v>
      </c>
      <c r="AC2244" s="104" t="s">
        <v>141</v>
      </c>
    </row>
    <row r="2245" spans="1:29" ht="25.5" customHeight="1" x14ac:dyDescent="0.35">
      <c r="A2245" s="188"/>
      <c r="B2245" s="190"/>
      <c r="C2245" s="99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0"/>
      <c r="E2245" s="78" t="str">
        <f>IF(C2245="","",IFERROR(VLOOKUP(C2245,parametros!$A$11:$E$15,5,0),""))</f>
        <v/>
      </c>
      <c r="F2245" s="79" t="str">
        <f t="shared" si="177"/>
        <v/>
      </c>
      <c r="G2245" s="101"/>
      <c r="H2245" s="91">
        <f t="shared" si="178"/>
        <v>0</v>
      </c>
      <c r="I2245" s="91" t="str">
        <f t="shared" si="179"/>
        <v/>
      </c>
      <c r="J2245" s="91" t="str">
        <f t="shared" si="180"/>
        <v/>
      </c>
      <c r="K2245" s="92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2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58"/>
      <c r="U2245" s="217" t="str">
        <f t="shared" si="181"/>
        <v/>
      </c>
      <c r="V2245" s="215" t="s">
        <v>47</v>
      </c>
      <c r="W2245" s="102" t="s">
        <v>136</v>
      </c>
      <c r="X2245" s="102" t="s">
        <v>137</v>
      </c>
      <c r="Y2245" s="103" t="s">
        <v>138</v>
      </c>
      <c r="Z2245" s="103" t="s">
        <v>139</v>
      </c>
      <c r="AA2245" s="103" t="s">
        <v>47</v>
      </c>
      <c r="AB2245" s="103" t="s">
        <v>140</v>
      </c>
      <c r="AC2245" s="104" t="s">
        <v>141</v>
      </c>
    </row>
    <row r="2246" spans="1:29" ht="25.5" customHeight="1" x14ac:dyDescent="0.35">
      <c r="A2246" s="188"/>
      <c r="B2246" s="190"/>
      <c r="C2246" s="99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0"/>
      <c r="E2246" s="78" t="str">
        <f>IF(C2246="","",IFERROR(VLOOKUP(C2246,parametros!$A$11:$E$15,5,0),""))</f>
        <v/>
      </c>
      <c r="F2246" s="79" t="str">
        <f t="shared" si="177"/>
        <v/>
      </c>
      <c r="G2246" s="101"/>
      <c r="H2246" s="91">
        <f t="shared" si="178"/>
        <v>0</v>
      </c>
      <c r="I2246" s="91" t="str">
        <f t="shared" si="179"/>
        <v/>
      </c>
      <c r="J2246" s="91" t="str">
        <f t="shared" si="180"/>
        <v/>
      </c>
      <c r="K2246" s="92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2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58"/>
      <c r="U2246" s="217" t="str">
        <f t="shared" si="181"/>
        <v/>
      </c>
      <c r="V2246" s="215" t="s">
        <v>47</v>
      </c>
      <c r="W2246" s="102" t="s">
        <v>136</v>
      </c>
      <c r="X2246" s="102" t="s">
        <v>137</v>
      </c>
      <c r="Y2246" s="103" t="s">
        <v>138</v>
      </c>
      <c r="Z2246" s="103" t="s">
        <v>139</v>
      </c>
      <c r="AA2246" s="103" t="s">
        <v>47</v>
      </c>
      <c r="AB2246" s="103" t="s">
        <v>140</v>
      </c>
      <c r="AC2246" s="104" t="s">
        <v>141</v>
      </c>
    </row>
    <row r="2247" spans="1:29" ht="25.5" customHeight="1" x14ac:dyDescent="0.35">
      <c r="A2247" s="188"/>
      <c r="B2247" s="190"/>
      <c r="C2247" s="99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0"/>
      <c r="E2247" s="78" t="str">
        <f>IF(C2247="","",IFERROR(VLOOKUP(C2247,parametros!$A$11:$E$15,5,0),""))</f>
        <v/>
      </c>
      <c r="F2247" s="79" t="str">
        <f t="shared" si="177"/>
        <v/>
      </c>
      <c r="G2247" s="101"/>
      <c r="H2247" s="91">
        <f t="shared" si="178"/>
        <v>0</v>
      </c>
      <c r="I2247" s="91" t="str">
        <f t="shared" si="179"/>
        <v/>
      </c>
      <c r="J2247" s="91" t="str">
        <f t="shared" si="180"/>
        <v/>
      </c>
      <c r="K2247" s="92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2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58"/>
      <c r="U2247" s="217" t="str">
        <f t="shared" si="181"/>
        <v/>
      </c>
      <c r="V2247" s="215" t="s">
        <v>47</v>
      </c>
      <c r="W2247" s="102" t="s">
        <v>136</v>
      </c>
      <c r="X2247" s="102" t="s">
        <v>137</v>
      </c>
      <c r="Y2247" s="103" t="s">
        <v>138</v>
      </c>
      <c r="Z2247" s="103" t="s">
        <v>139</v>
      </c>
      <c r="AA2247" s="103" t="s">
        <v>47</v>
      </c>
      <c r="AB2247" s="103" t="s">
        <v>140</v>
      </c>
      <c r="AC2247" s="104" t="s">
        <v>141</v>
      </c>
    </row>
    <row r="2248" spans="1:29" ht="25.5" customHeight="1" x14ac:dyDescent="0.35">
      <c r="A2248" s="188"/>
      <c r="B2248" s="190"/>
      <c r="C2248" s="99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0"/>
      <c r="E2248" s="78" t="str">
        <f>IF(C2248="","",IFERROR(VLOOKUP(C2248,parametros!$A$11:$E$15,5,0),""))</f>
        <v/>
      </c>
      <c r="F2248" s="79" t="str">
        <f t="shared" si="177"/>
        <v/>
      </c>
      <c r="G2248" s="101"/>
      <c r="H2248" s="91">
        <f t="shared" si="178"/>
        <v>0</v>
      </c>
      <c r="I2248" s="91" t="str">
        <f t="shared" si="179"/>
        <v/>
      </c>
      <c r="J2248" s="91" t="str">
        <f t="shared" si="180"/>
        <v/>
      </c>
      <c r="K2248" s="92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2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58"/>
      <c r="U2248" s="217" t="str">
        <f t="shared" si="181"/>
        <v/>
      </c>
      <c r="V2248" s="215" t="s">
        <v>47</v>
      </c>
      <c r="W2248" s="102" t="s">
        <v>136</v>
      </c>
      <c r="X2248" s="102" t="s">
        <v>137</v>
      </c>
      <c r="Y2248" s="103" t="s">
        <v>138</v>
      </c>
      <c r="Z2248" s="103" t="s">
        <v>139</v>
      </c>
      <c r="AA2248" s="103" t="s">
        <v>47</v>
      </c>
      <c r="AB2248" s="103" t="s">
        <v>140</v>
      </c>
      <c r="AC2248" s="104" t="s">
        <v>141</v>
      </c>
    </row>
    <row r="2249" spans="1:29" ht="25.5" customHeight="1" x14ac:dyDescent="0.35">
      <c r="A2249" s="188"/>
      <c r="B2249" s="190"/>
      <c r="C2249" s="99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0"/>
      <c r="E2249" s="78" t="str">
        <f>IF(C2249="","",IFERROR(VLOOKUP(C2249,parametros!$A$11:$E$15,5,0),""))</f>
        <v/>
      </c>
      <c r="F2249" s="79" t="str">
        <f t="shared" si="177"/>
        <v/>
      </c>
      <c r="G2249" s="101"/>
      <c r="H2249" s="91">
        <f t="shared" si="178"/>
        <v>0</v>
      </c>
      <c r="I2249" s="91" t="str">
        <f t="shared" si="179"/>
        <v/>
      </c>
      <c r="J2249" s="91" t="str">
        <f t="shared" si="180"/>
        <v/>
      </c>
      <c r="K2249" s="92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2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58"/>
      <c r="U2249" s="217" t="str">
        <f t="shared" si="181"/>
        <v/>
      </c>
      <c r="V2249" s="215" t="s">
        <v>47</v>
      </c>
      <c r="W2249" s="102" t="s">
        <v>136</v>
      </c>
      <c r="X2249" s="102" t="s">
        <v>137</v>
      </c>
      <c r="Y2249" s="103" t="s">
        <v>138</v>
      </c>
      <c r="Z2249" s="103" t="s">
        <v>139</v>
      </c>
      <c r="AA2249" s="103" t="s">
        <v>47</v>
      </c>
      <c r="AB2249" s="103" t="s">
        <v>140</v>
      </c>
      <c r="AC2249" s="104" t="s">
        <v>141</v>
      </c>
    </row>
    <row r="2250" spans="1:29" ht="25.5" customHeight="1" x14ac:dyDescent="0.35">
      <c r="A2250" s="188"/>
      <c r="B2250" s="190"/>
      <c r="C2250" s="99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0"/>
      <c r="E2250" s="78" t="str">
        <f>IF(C2250="","",IFERROR(VLOOKUP(C2250,parametros!$A$11:$E$15,5,0),""))</f>
        <v/>
      </c>
      <c r="F2250" s="79" t="str">
        <f t="shared" si="177"/>
        <v/>
      </c>
      <c r="G2250" s="101"/>
      <c r="H2250" s="91">
        <f t="shared" si="178"/>
        <v>0</v>
      </c>
      <c r="I2250" s="91" t="str">
        <f t="shared" si="179"/>
        <v/>
      </c>
      <c r="J2250" s="91" t="str">
        <f t="shared" si="180"/>
        <v/>
      </c>
      <c r="K2250" s="92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2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58"/>
      <c r="U2250" s="217" t="str">
        <f t="shared" si="181"/>
        <v/>
      </c>
      <c r="V2250" s="215" t="s">
        <v>47</v>
      </c>
      <c r="W2250" s="102" t="s">
        <v>136</v>
      </c>
      <c r="X2250" s="102" t="s">
        <v>137</v>
      </c>
      <c r="Y2250" s="103" t="s">
        <v>138</v>
      </c>
      <c r="Z2250" s="103" t="s">
        <v>139</v>
      </c>
      <c r="AA2250" s="103" t="s">
        <v>47</v>
      </c>
      <c r="AB2250" s="103" t="s">
        <v>140</v>
      </c>
      <c r="AC2250" s="104" t="s">
        <v>141</v>
      </c>
    </row>
    <row r="2251" spans="1:29" ht="25.5" customHeight="1" x14ac:dyDescent="0.35">
      <c r="A2251" s="188"/>
      <c r="B2251" s="190"/>
      <c r="C2251" s="99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0"/>
      <c r="E2251" s="78" t="str">
        <f>IF(C2251="","",IFERROR(VLOOKUP(C2251,parametros!$A$11:$E$15,5,0),""))</f>
        <v/>
      </c>
      <c r="F2251" s="79" t="str">
        <f t="shared" si="177"/>
        <v/>
      </c>
      <c r="G2251" s="101"/>
      <c r="H2251" s="91">
        <f t="shared" si="178"/>
        <v>0</v>
      </c>
      <c r="I2251" s="91" t="str">
        <f t="shared" si="179"/>
        <v/>
      </c>
      <c r="J2251" s="91" t="str">
        <f t="shared" si="180"/>
        <v/>
      </c>
      <c r="K2251" s="92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2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58"/>
      <c r="U2251" s="217" t="str">
        <f t="shared" si="181"/>
        <v/>
      </c>
      <c r="V2251" s="215" t="s">
        <v>47</v>
      </c>
      <c r="W2251" s="102" t="s">
        <v>136</v>
      </c>
      <c r="X2251" s="102" t="s">
        <v>137</v>
      </c>
      <c r="Y2251" s="103" t="s">
        <v>138</v>
      </c>
      <c r="Z2251" s="103" t="s">
        <v>139</v>
      </c>
      <c r="AA2251" s="103" t="s">
        <v>47</v>
      </c>
      <c r="AB2251" s="103" t="s">
        <v>140</v>
      </c>
      <c r="AC2251" s="104" t="s">
        <v>141</v>
      </c>
    </row>
    <row r="2252" spans="1:29" ht="25.5" customHeight="1" x14ac:dyDescent="0.35">
      <c r="A2252" s="188"/>
      <c r="B2252" s="190"/>
      <c r="C2252" s="99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0"/>
      <c r="E2252" s="78" t="str">
        <f>IF(C2252="","",IFERROR(VLOOKUP(C2252,parametros!$A$11:$E$15,5,0),""))</f>
        <v/>
      </c>
      <c r="F2252" s="79" t="str">
        <f t="shared" si="177"/>
        <v/>
      </c>
      <c r="G2252" s="101"/>
      <c r="H2252" s="91">
        <f t="shared" si="178"/>
        <v>0</v>
      </c>
      <c r="I2252" s="91" t="str">
        <f t="shared" si="179"/>
        <v/>
      </c>
      <c r="J2252" s="91" t="str">
        <f t="shared" si="180"/>
        <v/>
      </c>
      <c r="K2252" s="92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2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58"/>
      <c r="U2252" s="217" t="str">
        <f t="shared" si="181"/>
        <v/>
      </c>
      <c r="V2252" s="215" t="s">
        <v>47</v>
      </c>
      <c r="W2252" s="102" t="s">
        <v>136</v>
      </c>
      <c r="X2252" s="102" t="s">
        <v>137</v>
      </c>
      <c r="Y2252" s="103" t="s">
        <v>138</v>
      </c>
      <c r="Z2252" s="103" t="s">
        <v>139</v>
      </c>
      <c r="AA2252" s="103" t="s">
        <v>47</v>
      </c>
      <c r="AB2252" s="103" t="s">
        <v>140</v>
      </c>
      <c r="AC2252" s="104" t="s">
        <v>141</v>
      </c>
    </row>
    <row r="2253" spans="1:29" ht="25.5" customHeight="1" x14ac:dyDescent="0.35">
      <c r="A2253" s="188"/>
      <c r="B2253" s="190"/>
      <c r="C2253" s="99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0"/>
      <c r="E2253" s="78" t="str">
        <f>IF(C2253="","",IFERROR(VLOOKUP(C2253,parametros!$A$11:$E$15,5,0),""))</f>
        <v/>
      </c>
      <c r="F2253" s="79" t="str">
        <f t="shared" si="177"/>
        <v/>
      </c>
      <c r="G2253" s="101"/>
      <c r="H2253" s="91">
        <f t="shared" si="178"/>
        <v>0</v>
      </c>
      <c r="I2253" s="91" t="str">
        <f t="shared" si="179"/>
        <v/>
      </c>
      <c r="J2253" s="91" t="str">
        <f t="shared" si="180"/>
        <v/>
      </c>
      <c r="K2253" s="92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2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58"/>
      <c r="U2253" s="217" t="str">
        <f t="shared" si="181"/>
        <v/>
      </c>
      <c r="V2253" s="215" t="s">
        <v>47</v>
      </c>
      <c r="W2253" s="102" t="s">
        <v>136</v>
      </c>
      <c r="X2253" s="102" t="s">
        <v>137</v>
      </c>
      <c r="Y2253" s="103" t="s">
        <v>138</v>
      </c>
      <c r="Z2253" s="103" t="s">
        <v>139</v>
      </c>
      <c r="AA2253" s="103" t="s">
        <v>47</v>
      </c>
      <c r="AB2253" s="103" t="s">
        <v>140</v>
      </c>
      <c r="AC2253" s="104" t="s">
        <v>141</v>
      </c>
    </row>
    <row r="2254" spans="1:29" ht="25.5" customHeight="1" x14ac:dyDescent="0.35">
      <c r="A2254" s="188"/>
      <c r="B2254" s="190"/>
      <c r="C2254" s="99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0"/>
      <c r="E2254" s="78" t="str">
        <f>IF(C2254="","",IFERROR(VLOOKUP(C2254,parametros!$A$11:$E$15,5,0),""))</f>
        <v/>
      </c>
      <c r="F2254" s="79" t="str">
        <f t="shared" si="177"/>
        <v/>
      </c>
      <c r="G2254" s="101"/>
      <c r="H2254" s="91">
        <f t="shared" si="178"/>
        <v>0</v>
      </c>
      <c r="I2254" s="91" t="str">
        <f t="shared" si="179"/>
        <v/>
      </c>
      <c r="J2254" s="91" t="str">
        <f t="shared" si="180"/>
        <v/>
      </c>
      <c r="K2254" s="92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2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58"/>
      <c r="U2254" s="217" t="str">
        <f t="shared" si="181"/>
        <v/>
      </c>
      <c r="V2254" s="215" t="s">
        <v>47</v>
      </c>
      <c r="W2254" s="102" t="s">
        <v>136</v>
      </c>
      <c r="X2254" s="102" t="s">
        <v>137</v>
      </c>
      <c r="Y2254" s="103" t="s">
        <v>138</v>
      </c>
      <c r="Z2254" s="103" t="s">
        <v>139</v>
      </c>
      <c r="AA2254" s="103" t="s">
        <v>47</v>
      </c>
      <c r="AB2254" s="103" t="s">
        <v>140</v>
      </c>
      <c r="AC2254" s="104" t="s">
        <v>141</v>
      </c>
    </row>
    <row r="2255" spans="1:29" ht="25.5" customHeight="1" x14ac:dyDescent="0.35">
      <c r="A2255" s="188"/>
      <c r="B2255" s="190"/>
      <c r="C2255" s="99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0"/>
      <c r="E2255" s="78" t="str">
        <f>IF(C2255="","",IFERROR(VLOOKUP(C2255,parametros!$A$11:$E$15,5,0),""))</f>
        <v/>
      </c>
      <c r="F2255" s="79" t="str">
        <f t="shared" si="177"/>
        <v/>
      </c>
      <c r="G2255" s="101"/>
      <c r="H2255" s="91">
        <f t="shared" si="178"/>
        <v>0</v>
      </c>
      <c r="I2255" s="91" t="str">
        <f t="shared" si="179"/>
        <v/>
      </c>
      <c r="J2255" s="91" t="str">
        <f t="shared" si="180"/>
        <v/>
      </c>
      <c r="K2255" s="92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2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58"/>
      <c r="U2255" s="217" t="str">
        <f t="shared" si="181"/>
        <v/>
      </c>
      <c r="V2255" s="215" t="s">
        <v>47</v>
      </c>
      <c r="W2255" s="102" t="s">
        <v>136</v>
      </c>
      <c r="X2255" s="102" t="s">
        <v>137</v>
      </c>
      <c r="Y2255" s="103" t="s">
        <v>138</v>
      </c>
      <c r="Z2255" s="103" t="s">
        <v>139</v>
      </c>
      <c r="AA2255" s="103" t="s">
        <v>47</v>
      </c>
      <c r="AB2255" s="103" t="s">
        <v>140</v>
      </c>
      <c r="AC2255" s="104" t="s">
        <v>141</v>
      </c>
    </row>
    <row r="2256" spans="1:29" ht="25.5" customHeight="1" x14ac:dyDescent="0.35">
      <c r="A2256" s="188"/>
      <c r="B2256" s="190"/>
      <c r="C2256" s="99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0"/>
      <c r="E2256" s="78" t="str">
        <f>IF(C2256="","",IFERROR(VLOOKUP(C2256,parametros!$A$11:$E$15,5,0),""))</f>
        <v/>
      </c>
      <c r="F2256" s="79" t="str">
        <f t="shared" si="177"/>
        <v/>
      </c>
      <c r="G2256" s="101"/>
      <c r="H2256" s="91">
        <f t="shared" si="178"/>
        <v>0</v>
      </c>
      <c r="I2256" s="91" t="str">
        <f t="shared" si="179"/>
        <v/>
      </c>
      <c r="J2256" s="91" t="str">
        <f t="shared" si="180"/>
        <v/>
      </c>
      <c r="K2256" s="92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2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58"/>
      <c r="U2256" s="217" t="str">
        <f t="shared" si="181"/>
        <v/>
      </c>
      <c r="V2256" s="215" t="s">
        <v>47</v>
      </c>
      <c r="W2256" s="102" t="s">
        <v>136</v>
      </c>
      <c r="X2256" s="102" t="s">
        <v>137</v>
      </c>
      <c r="Y2256" s="103" t="s">
        <v>138</v>
      </c>
      <c r="Z2256" s="103" t="s">
        <v>139</v>
      </c>
      <c r="AA2256" s="103" t="s">
        <v>47</v>
      </c>
      <c r="AB2256" s="103" t="s">
        <v>140</v>
      </c>
      <c r="AC2256" s="104" t="s">
        <v>141</v>
      </c>
    </row>
    <row r="2257" spans="1:29" ht="25.5" customHeight="1" x14ac:dyDescent="0.35">
      <c r="A2257" s="188"/>
      <c r="B2257" s="190"/>
      <c r="C2257" s="99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0"/>
      <c r="E2257" s="78" t="str">
        <f>IF(C2257="","",IFERROR(VLOOKUP(C2257,parametros!$A$11:$E$15,5,0),""))</f>
        <v/>
      </c>
      <c r="F2257" s="79" t="str">
        <f t="shared" si="177"/>
        <v/>
      </c>
      <c r="G2257" s="101"/>
      <c r="H2257" s="91">
        <f t="shared" si="178"/>
        <v>0</v>
      </c>
      <c r="I2257" s="91" t="str">
        <f t="shared" si="179"/>
        <v/>
      </c>
      <c r="J2257" s="91" t="str">
        <f t="shared" si="180"/>
        <v/>
      </c>
      <c r="K2257" s="92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2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58"/>
      <c r="U2257" s="217" t="str">
        <f t="shared" si="181"/>
        <v/>
      </c>
      <c r="V2257" s="215" t="s">
        <v>47</v>
      </c>
      <c r="W2257" s="102" t="s">
        <v>136</v>
      </c>
      <c r="X2257" s="102" t="s">
        <v>137</v>
      </c>
      <c r="Y2257" s="103" t="s">
        <v>138</v>
      </c>
      <c r="Z2257" s="103" t="s">
        <v>139</v>
      </c>
      <c r="AA2257" s="103" t="s">
        <v>47</v>
      </c>
      <c r="AB2257" s="103" t="s">
        <v>140</v>
      </c>
      <c r="AC2257" s="104" t="s">
        <v>141</v>
      </c>
    </row>
    <row r="2258" spans="1:29" ht="25.5" customHeight="1" x14ac:dyDescent="0.35">
      <c r="A2258" s="188"/>
      <c r="B2258" s="190"/>
      <c r="C2258" s="99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0"/>
      <c r="E2258" s="78" t="str">
        <f>IF(C2258="","",IFERROR(VLOOKUP(C2258,parametros!$A$11:$E$15,5,0),""))</f>
        <v/>
      </c>
      <c r="F2258" s="79" t="str">
        <f t="shared" si="177"/>
        <v/>
      </c>
      <c r="G2258" s="101"/>
      <c r="H2258" s="91">
        <f t="shared" si="178"/>
        <v>0</v>
      </c>
      <c r="I2258" s="91" t="str">
        <f t="shared" si="179"/>
        <v/>
      </c>
      <c r="J2258" s="91" t="str">
        <f t="shared" si="180"/>
        <v/>
      </c>
      <c r="K2258" s="92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2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58"/>
      <c r="U2258" s="217" t="str">
        <f t="shared" si="181"/>
        <v/>
      </c>
      <c r="V2258" s="215" t="s">
        <v>47</v>
      </c>
      <c r="W2258" s="102" t="s">
        <v>136</v>
      </c>
      <c r="X2258" s="102" t="s">
        <v>137</v>
      </c>
      <c r="Y2258" s="103" t="s">
        <v>138</v>
      </c>
      <c r="Z2258" s="103" t="s">
        <v>139</v>
      </c>
      <c r="AA2258" s="103" t="s">
        <v>47</v>
      </c>
      <c r="AB2258" s="103" t="s">
        <v>140</v>
      </c>
      <c r="AC2258" s="104" t="s">
        <v>141</v>
      </c>
    </row>
    <row r="2259" spans="1:29" ht="25.5" customHeight="1" x14ac:dyDescent="0.35">
      <c r="A2259" s="188"/>
      <c r="B2259" s="190"/>
      <c r="C2259" s="99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0"/>
      <c r="E2259" s="78" t="str">
        <f>IF(C2259="","",IFERROR(VLOOKUP(C2259,parametros!$A$11:$E$15,5,0),""))</f>
        <v/>
      </c>
      <c r="F2259" s="79" t="str">
        <f t="shared" si="177"/>
        <v/>
      </c>
      <c r="G2259" s="101"/>
      <c r="H2259" s="91">
        <f t="shared" si="178"/>
        <v>0</v>
      </c>
      <c r="I2259" s="91" t="str">
        <f t="shared" si="179"/>
        <v/>
      </c>
      <c r="J2259" s="91" t="str">
        <f t="shared" si="180"/>
        <v/>
      </c>
      <c r="K2259" s="92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2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58"/>
      <c r="U2259" s="217" t="str">
        <f t="shared" si="181"/>
        <v/>
      </c>
      <c r="V2259" s="215" t="s">
        <v>47</v>
      </c>
      <c r="W2259" s="102" t="s">
        <v>136</v>
      </c>
      <c r="X2259" s="102" t="s">
        <v>137</v>
      </c>
      <c r="Y2259" s="103" t="s">
        <v>138</v>
      </c>
      <c r="Z2259" s="103" t="s">
        <v>139</v>
      </c>
      <c r="AA2259" s="103" t="s">
        <v>47</v>
      </c>
      <c r="AB2259" s="103" t="s">
        <v>140</v>
      </c>
      <c r="AC2259" s="104" t="s">
        <v>141</v>
      </c>
    </row>
    <row r="2260" spans="1:29" ht="25.5" customHeight="1" x14ac:dyDescent="0.35">
      <c r="A2260" s="188"/>
      <c r="B2260" s="190"/>
      <c r="C2260" s="99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0"/>
      <c r="E2260" s="78" t="str">
        <f>IF(C2260="","",IFERROR(VLOOKUP(C2260,parametros!$A$11:$E$15,5,0),""))</f>
        <v/>
      </c>
      <c r="F2260" s="79" t="str">
        <f t="shared" si="177"/>
        <v/>
      </c>
      <c r="G2260" s="101"/>
      <c r="H2260" s="91">
        <f t="shared" si="178"/>
        <v>0</v>
      </c>
      <c r="I2260" s="91" t="str">
        <f t="shared" si="179"/>
        <v/>
      </c>
      <c r="J2260" s="91" t="str">
        <f t="shared" si="180"/>
        <v/>
      </c>
      <c r="K2260" s="92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2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58"/>
      <c r="U2260" s="217" t="str">
        <f t="shared" si="181"/>
        <v/>
      </c>
      <c r="V2260" s="215" t="s">
        <v>47</v>
      </c>
      <c r="W2260" s="102" t="s">
        <v>136</v>
      </c>
      <c r="X2260" s="102" t="s">
        <v>137</v>
      </c>
      <c r="Y2260" s="103" t="s">
        <v>138</v>
      </c>
      <c r="Z2260" s="103" t="s">
        <v>139</v>
      </c>
      <c r="AA2260" s="103" t="s">
        <v>47</v>
      </c>
      <c r="AB2260" s="103" t="s">
        <v>140</v>
      </c>
      <c r="AC2260" s="104" t="s">
        <v>141</v>
      </c>
    </row>
    <row r="2261" spans="1:29" ht="25.5" customHeight="1" x14ac:dyDescent="0.35">
      <c r="A2261" s="188"/>
      <c r="B2261" s="190"/>
      <c r="C2261" s="99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0"/>
      <c r="E2261" s="78" t="str">
        <f>IF(C2261="","",IFERROR(VLOOKUP(C2261,parametros!$A$11:$E$15,5,0),""))</f>
        <v/>
      </c>
      <c r="F2261" s="79" t="str">
        <f t="shared" si="177"/>
        <v/>
      </c>
      <c r="G2261" s="101"/>
      <c r="H2261" s="91">
        <f t="shared" si="178"/>
        <v>0</v>
      </c>
      <c r="I2261" s="91" t="str">
        <f t="shared" si="179"/>
        <v/>
      </c>
      <c r="J2261" s="91" t="str">
        <f t="shared" si="180"/>
        <v/>
      </c>
      <c r="K2261" s="92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2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58"/>
      <c r="U2261" s="217" t="str">
        <f t="shared" si="181"/>
        <v/>
      </c>
      <c r="V2261" s="215" t="s">
        <v>47</v>
      </c>
      <c r="W2261" s="102" t="s">
        <v>136</v>
      </c>
      <c r="X2261" s="102" t="s">
        <v>137</v>
      </c>
      <c r="Y2261" s="103" t="s">
        <v>138</v>
      </c>
      <c r="Z2261" s="103" t="s">
        <v>139</v>
      </c>
      <c r="AA2261" s="103" t="s">
        <v>47</v>
      </c>
      <c r="AB2261" s="103" t="s">
        <v>140</v>
      </c>
      <c r="AC2261" s="104" t="s">
        <v>141</v>
      </c>
    </row>
    <row r="2262" spans="1:29" ht="25.5" customHeight="1" x14ac:dyDescent="0.35">
      <c r="A2262" s="188"/>
      <c r="B2262" s="190"/>
      <c r="C2262" s="99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0"/>
      <c r="E2262" s="78" t="str">
        <f>IF(C2262="","",IFERROR(VLOOKUP(C2262,parametros!$A$11:$E$15,5,0),""))</f>
        <v/>
      </c>
      <c r="F2262" s="79" t="str">
        <f t="shared" si="177"/>
        <v/>
      </c>
      <c r="G2262" s="101"/>
      <c r="H2262" s="91">
        <f t="shared" si="178"/>
        <v>0</v>
      </c>
      <c r="I2262" s="91" t="str">
        <f t="shared" si="179"/>
        <v/>
      </c>
      <c r="J2262" s="91" t="str">
        <f t="shared" si="180"/>
        <v/>
      </c>
      <c r="K2262" s="92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2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58"/>
      <c r="U2262" s="217" t="str">
        <f t="shared" si="181"/>
        <v/>
      </c>
      <c r="V2262" s="215" t="s">
        <v>47</v>
      </c>
      <c r="W2262" s="102" t="s">
        <v>136</v>
      </c>
      <c r="X2262" s="102" t="s">
        <v>137</v>
      </c>
      <c r="Y2262" s="103" t="s">
        <v>138</v>
      </c>
      <c r="Z2262" s="103" t="s">
        <v>139</v>
      </c>
      <c r="AA2262" s="103" t="s">
        <v>47</v>
      </c>
      <c r="AB2262" s="103" t="s">
        <v>140</v>
      </c>
      <c r="AC2262" s="104" t="s">
        <v>141</v>
      </c>
    </row>
    <row r="2263" spans="1:29" ht="25.5" customHeight="1" x14ac:dyDescent="0.35">
      <c r="A2263" s="188"/>
      <c r="B2263" s="190"/>
      <c r="C2263" s="99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0"/>
      <c r="E2263" s="78" t="str">
        <f>IF(C2263="","",IFERROR(VLOOKUP(C2263,parametros!$A$11:$E$15,5,0),""))</f>
        <v/>
      </c>
      <c r="F2263" s="79" t="str">
        <f t="shared" si="177"/>
        <v/>
      </c>
      <c r="G2263" s="101"/>
      <c r="H2263" s="91">
        <f t="shared" si="178"/>
        <v>0</v>
      </c>
      <c r="I2263" s="91" t="str">
        <f t="shared" si="179"/>
        <v/>
      </c>
      <c r="J2263" s="91" t="str">
        <f t="shared" si="180"/>
        <v/>
      </c>
      <c r="K2263" s="92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2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58"/>
      <c r="U2263" s="217" t="str">
        <f t="shared" si="181"/>
        <v/>
      </c>
      <c r="V2263" s="215" t="s">
        <v>47</v>
      </c>
      <c r="W2263" s="102" t="s">
        <v>136</v>
      </c>
      <c r="X2263" s="102" t="s">
        <v>137</v>
      </c>
      <c r="Y2263" s="103" t="s">
        <v>138</v>
      </c>
      <c r="Z2263" s="103" t="s">
        <v>139</v>
      </c>
      <c r="AA2263" s="103" t="s">
        <v>47</v>
      </c>
      <c r="AB2263" s="103" t="s">
        <v>140</v>
      </c>
      <c r="AC2263" s="104" t="s">
        <v>141</v>
      </c>
    </row>
    <row r="2264" spans="1:29" ht="25.5" customHeight="1" x14ac:dyDescent="0.35">
      <c r="A2264" s="188"/>
      <c r="B2264" s="190"/>
      <c r="C2264" s="99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0"/>
      <c r="E2264" s="78" t="str">
        <f>IF(C2264="","",IFERROR(VLOOKUP(C2264,parametros!$A$11:$E$15,5,0),""))</f>
        <v/>
      </c>
      <c r="F2264" s="79" t="str">
        <f t="shared" si="177"/>
        <v/>
      </c>
      <c r="G2264" s="101"/>
      <c r="H2264" s="91">
        <f t="shared" si="178"/>
        <v>0</v>
      </c>
      <c r="I2264" s="91" t="str">
        <f t="shared" si="179"/>
        <v/>
      </c>
      <c r="J2264" s="91" t="str">
        <f t="shared" si="180"/>
        <v/>
      </c>
      <c r="K2264" s="92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2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58"/>
      <c r="U2264" s="217" t="str">
        <f t="shared" si="181"/>
        <v/>
      </c>
      <c r="V2264" s="215" t="s">
        <v>47</v>
      </c>
      <c r="W2264" s="102" t="s">
        <v>136</v>
      </c>
      <c r="X2264" s="102" t="s">
        <v>137</v>
      </c>
      <c r="Y2264" s="103" t="s">
        <v>138</v>
      </c>
      <c r="Z2264" s="103" t="s">
        <v>139</v>
      </c>
      <c r="AA2264" s="103" t="s">
        <v>47</v>
      </c>
      <c r="AB2264" s="103" t="s">
        <v>140</v>
      </c>
      <c r="AC2264" s="104" t="s">
        <v>141</v>
      </c>
    </row>
    <row r="2265" spans="1:29" ht="25.5" customHeight="1" x14ac:dyDescent="0.35">
      <c r="A2265" s="188"/>
      <c r="B2265" s="190"/>
      <c r="C2265" s="99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0"/>
      <c r="E2265" s="78" t="str">
        <f>IF(C2265="","",IFERROR(VLOOKUP(C2265,parametros!$A$11:$E$15,5,0),""))</f>
        <v/>
      </c>
      <c r="F2265" s="79" t="str">
        <f t="shared" si="177"/>
        <v/>
      </c>
      <c r="G2265" s="101"/>
      <c r="H2265" s="91">
        <f t="shared" si="178"/>
        <v>0</v>
      </c>
      <c r="I2265" s="91" t="str">
        <f t="shared" si="179"/>
        <v/>
      </c>
      <c r="J2265" s="91" t="str">
        <f t="shared" si="180"/>
        <v/>
      </c>
      <c r="K2265" s="92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2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58"/>
      <c r="U2265" s="217" t="str">
        <f t="shared" si="181"/>
        <v/>
      </c>
      <c r="V2265" s="215" t="s">
        <v>47</v>
      </c>
      <c r="W2265" s="102" t="s">
        <v>136</v>
      </c>
      <c r="X2265" s="102" t="s">
        <v>137</v>
      </c>
      <c r="Y2265" s="103" t="s">
        <v>138</v>
      </c>
      <c r="Z2265" s="103" t="s">
        <v>139</v>
      </c>
      <c r="AA2265" s="103" t="s">
        <v>47</v>
      </c>
      <c r="AB2265" s="103" t="s">
        <v>140</v>
      </c>
      <c r="AC2265" s="104" t="s">
        <v>141</v>
      </c>
    </row>
    <row r="2266" spans="1:29" ht="25.5" customHeight="1" x14ac:dyDescent="0.35">
      <c r="A2266" s="188"/>
      <c r="B2266" s="190"/>
      <c r="C2266" s="99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0"/>
      <c r="E2266" s="78" t="str">
        <f>IF(C2266="","",IFERROR(VLOOKUP(C2266,parametros!$A$11:$E$15,5,0),""))</f>
        <v/>
      </c>
      <c r="F2266" s="79" t="str">
        <f t="shared" si="177"/>
        <v/>
      </c>
      <c r="G2266" s="101"/>
      <c r="H2266" s="91">
        <f t="shared" si="178"/>
        <v>0</v>
      </c>
      <c r="I2266" s="91" t="str">
        <f t="shared" si="179"/>
        <v/>
      </c>
      <c r="J2266" s="91" t="str">
        <f t="shared" si="180"/>
        <v/>
      </c>
      <c r="K2266" s="92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2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58"/>
      <c r="U2266" s="217" t="str">
        <f t="shared" si="181"/>
        <v/>
      </c>
      <c r="V2266" s="215" t="s">
        <v>47</v>
      </c>
      <c r="W2266" s="102" t="s">
        <v>136</v>
      </c>
      <c r="X2266" s="102" t="s">
        <v>137</v>
      </c>
      <c r="Y2266" s="103" t="s">
        <v>138</v>
      </c>
      <c r="Z2266" s="103" t="s">
        <v>139</v>
      </c>
      <c r="AA2266" s="103" t="s">
        <v>47</v>
      </c>
      <c r="AB2266" s="103" t="s">
        <v>140</v>
      </c>
      <c r="AC2266" s="104" t="s">
        <v>141</v>
      </c>
    </row>
    <row r="2267" spans="1:29" ht="25.5" customHeight="1" x14ac:dyDescent="0.35">
      <c r="A2267" s="188"/>
      <c r="B2267" s="190"/>
      <c r="C2267" s="99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0"/>
      <c r="E2267" s="78" t="str">
        <f>IF(C2267="","",IFERROR(VLOOKUP(C2267,parametros!$A$11:$E$15,5,0),""))</f>
        <v/>
      </c>
      <c r="F2267" s="79" t="str">
        <f t="shared" si="177"/>
        <v/>
      </c>
      <c r="G2267" s="101"/>
      <c r="H2267" s="91">
        <f t="shared" si="178"/>
        <v>0</v>
      </c>
      <c r="I2267" s="91" t="str">
        <f t="shared" si="179"/>
        <v/>
      </c>
      <c r="J2267" s="91" t="str">
        <f t="shared" si="180"/>
        <v/>
      </c>
      <c r="K2267" s="92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2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58"/>
      <c r="U2267" s="217" t="str">
        <f t="shared" si="181"/>
        <v/>
      </c>
      <c r="V2267" s="215" t="s">
        <v>47</v>
      </c>
      <c r="W2267" s="102" t="s">
        <v>136</v>
      </c>
      <c r="X2267" s="102" t="s">
        <v>137</v>
      </c>
      <c r="Y2267" s="103" t="s">
        <v>138</v>
      </c>
      <c r="Z2267" s="103" t="s">
        <v>139</v>
      </c>
      <c r="AA2267" s="103" t="s">
        <v>47</v>
      </c>
      <c r="AB2267" s="103" t="s">
        <v>140</v>
      </c>
      <c r="AC2267" s="104" t="s">
        <v>141</v>
      </c>
    </row>
    <row r="2268" spans="1:29" ht="25.5" customHeight="1" x14ac:dyDescent="0.35">
      <c r="A2268" s="188"/>
      <c r="B2268" s="190"/>
      <c r="C2268" s="99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0"/>
      <c r="E2268" s="78" t="str">
        <f>IF(C2268="","",IFERROR(VLOOKUP(C2268,parametros!$A$11:$E$15,5,0),""))</f>
        <v/>
      </c>
      <c r="F2268" s="79" t="str">
        <f t="shared" si="177"/>
        <v/>
      </c>
      <c r="G2268" s="101"/>
      <c r="H2268" s="91">
        <f t="shared" si="178"/>
        <v>0</v>
      </c>
      <c r="I2268" s="91" t="str">
        <f t="shared" si="179"/>
        <v/>
      </c>
      <c r="J2268" s="91" t="str">
        <f t="shared" si="180"/>
        <v/>
      </c>
      <c r="K2268" s="92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2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58"/>
      <c r="U2268" s="217" t="str">
        <f t="shared" si="181"/>
        <v/>
      </c>
      <c r="V2268" s="215" t="s">
        <v>47</v>
      </c>
      <c r="W2268" s="102" t="s">
        <v>136</v>
      </c>
      <c r="X2268" s="102" t="s">
        <v>137</v>
      </c>
      <c r="Y2268" s="103" t="s">
        <v>138</v>
      </c>
      <c r="Z2268" s="103" t="s">
        <v>139</v>
      </c>
      <c r="AA2268" s="103" t="s">
        <v>47</v>
      </c>
      <c r="AB2268" s="103" t="s">
        <v>140</v>
      </c>
      <c r="AC2268" s="104" t="s">
        <v>141</v>
      </c>
    </row>
    <row r="2269" spans="1:29" ht="25.5" customHeight="1" x14ac:dyDescent="0.35">
      <c r="A2269" s="188"/>
      <c r="B2269" s="190"/>
      <c r="C2269" s="99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0"/>
      <c r="E2269" s="78" t="str">
        <f>IF(C2269="","",IFERROR(VLOOKUP(C2269,parametros!$A$11:$E$15,5,0),""))</f>
        <v/>
      </c>
      <c r="F2269" s="79" t="str">
        <f t="shared" si="177"/>
        <v/>
      </c>
      <c r="G2269" s="101"/>
      <c r="H2269" s="91">
        <f t="shared" si="178"/>
        <v>0</v>
      </c>
      <c r="I2269" s="91" t="str">
        <f t="shared" si="179"/>
        <v/>
      </c>
      <c r="J2269" s="91" t="str">
        <f t="shared" si="180"/>
        <v/>
      </c>
      <c r="K2269" s="92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2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58"/>
      <c r="U2269" s="217" t="str">
        <f t="shared" si="181"/>
        <v/>
      </c>
      <c r="V2269" s="215" t="s">
        <v>47</v>
      </c>
      <c r="W2269" s="102" t="s">
        <v>136</v>
      </c>
      <c r="X2269" s="102" t="s">
        <v>137</v>
      </c>
      <c r="Y2269" s="103" t="s">
        <v>138</v>
      </c>
      <c r="Z2269" s="103" t="s">
        <v>139</v>
      </c>
      <c r="AA2269" s="103" t="s">
        <v>47</v>
      </c>
      <c r="AB2269" s="103" t="s">
        <v>140</v>
      </c>
      <c r="AC2269" s="104" t="s">
        <v>141</v>
      </c>
    </row>
    <row r="2270" spans="1:29" ht="25.5" customHeight="1" x14ac:dyDescent="0.35">
      <c r="A2270" s="188"/>
      <c r="B2270" s="190"/>
      <c r="C2270" s="99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0"/>
      <c r="E2270" s="78" t="str">
        <f>IF(C2270="","",IFERROR(VLOOKUP(C2270,parametros!$A$11:$E$15,5,0),""))</f>
        <v/>
      </c>
      <c r="F2270" s="79" t="str">
        <f t="shared" si="177"/>
        <v/>
      </c>
      <c r="G2270" s="101"/>
      <c r="H2270" s="91">
        <f t="shared" si="178"/>
        <v>0</v>
      </c>
      <c r="I2270" s="91" t="str">
        <f t="shared" si="179"/>
        <v/>
      </c>
      <c r="J2270" s="91" t="str">
        <f t="shared" si="180"/>
        <v/>
      </c>
      <c r="K2270" s="92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2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58"/>
      <c r="U2270" s="217" t="str">
        <f t="shared" si="181"/>
        <v/>
      </c>
      <c r="V2270" s="215" t="s">
        <v>47</v>
      </c>
      <c r="W2270" s="102" t="s">
        <v>136</v>
      </c>
      <c r="X2270" s="102" t="s">
        <v>137</v>
      </c>
      <c r="Y2270" s="103" t="s">
        <v>138</v>
      </c>
      <c r="Z2270" s="103" t="s">
        <v>139</v>
      </c>
      <c r="AA2270" s="103" t="s">
        <v>47</v>
      </c>
      <c r="AB2270" s="103" t="s">
        <v>140</v>
      </c>
      <c r="AC2270" s="104" t="s">
        <v>141</v>
      </c>
    </row>
    <row r="2271" spans="1:29" ht="25.5" customHeight="1" x14ac:dyDescent="0.35">
      <c r="A2271" s="188"/>
      <c r="B2271" s="190"/>
      <c r="C2271" s="99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0"/>
      <c r="E2271" s="78" t="str">
        <f>IF(C2271="","",IFERROR(VLOOKUP(C2271,parametros!$A$11:$E$15,5,0),""))</f>
        <v/>
      </c>
      <c r="F2271" s="79" t="str">
        <f t="shared" si="177"/>
        <v/>
      </c>
      <c r="G2271" s="101"/>
      <c r="H2271" s="91">
        <f t="shared" si="178"/>
        <v>0</v>
      </c>
      <c r="I2271" s="91" t="str">
        <f t="shared" si="179"/>
        <v/>
      </c>
      <c r="J2271" s="91" t="str">
        <f t="shared" si="180"/>
        <v/>
      </c>
      <c r="K2271" s="92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2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58"/>
      <c r="U2271" s="217" t="str">
        <f t="shared" si="181"/>
        <v/>
      </c>
      <c r="V2271" s="215" t="s">
        <v>47</v>
      </c>
      <c r="W2271" s="102" t="s">
        <v>136</v>
      </c>
      <c r="X2271" s="102" t="s">
        <v>137</v>
      </c>
      <c r="Y2271" s="103" t="s">
        <v>138</v>
      </c>
      <c r="Z2271" s="103" t="s">
        <v>139</v>
      </c>
      <c r="AA2271" s="103" t="s">
        <v>47</v>
      </c>
      <c r="AB2271" s="103" t="s">
        <v>140</v>
      </c>
      <c r="AC2271" s="104" t="s">
        <v>141</v>
      </c>
    </row>
    <row r="2272" spans="1:29" ht="25.5" customHeight="1" x14ac:dyDescent="0.35">
      <c r="A2272" s="188"/>
      <c r="B2272" s="190"/>
      <c r="C2272" s="99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0"/>
      <c r="E2272" s="78" t="str">
        <f>IF(C2272="","",IFERROR(VLOOKUP(C2272,parametros!$A$11:$E$15,5,0),""))</f>
        <v/>
      </c>
      <c r="F2272" s="79" t="str">
        <f t="shared" si="177"/>
        <v/>
      </c>
      <c r="G2272" s="101"/>
      <c r="H2272" s="91">
        <f t="shared" si="178"/>
        <v>0</v>
      </c>
      <c r="I2272" s="91" t="str">
        <f t="shared" si="179"/>
        <v/>
      </c>
      <c r="J2272" s="91" t="str">
        <f t="shared" si="180"/>
        <v/>
      </c>
      <c r="K2272" s="92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2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58"/>
      <c r="U2272" s="217" t="str">
        <f t="shared" si="181"/>
        <v/>
      </c>
      <c r="V2272" s="215" t="s">
        <v>47</v>
      </c>
      <c r="W2272" s="102" t="s">
        <v>136</v>
      </c>
      <c r="X2272" s="102" t="s">
        <v>137</v>
      </c>
      <c r="Y2272" s="103" t="s">
        <v>138</v>
      </c>
      <c r="Z2272" s="103" t="s">
        <v>139</v>
      </c>
      <c r="AA2272" s="103" t="s">
        <v>47</v>
      </c>
      <c r="AB2272" s="103" t="s">
        <v>140</v>
      </c>
      <c r="AC2272" s="104" t="s">
        <v>141</v>
      </c>
    </row>
    <row r="2273" spans="1:29" ht="25.5" customHeight="1" x14ac:dyDescent="0.35">
      <c r="A2273" s="188"/>
      <c r="B2273" s="190"/>
      <c r="C2273" s="99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0"/>
      <c r="E2273" s="78" t="str">
        <f>IF(C2273="","",IFERROR(VLOOKUP(C2273,parametros!$A$11:$E$15,5,0),""))</f>
        <v/>
      </c>
      <c r="F2273" s="79" t="str">
        <f t="shared" si="177"/>
        <v/>
      </c>
      <c r="G2273" s="101"/>
      <c r="H2273" s="91">
        <f t="shared" si="178"/>
        <v>0</v>
      </c>
      <c r="I2273" s="91" t="str">
        <f t="shared" si="179"/>
        <v/>
      </c>
      <c r="J2273" s="91" t="str">
        <f t="shared" si="180"/>
        <v/>
      </c>
      <c r="K2273" s="92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2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58"/>
      <c r="U2273" s="217" t="str">
        <f t="shared" si="181"/>
        <v/>
      </c>
      <c r="V2273" s="215" t="s">
        <v>47</v>
      </c>
      <c r="W2273" s="102" t="s">
        <v>136</v>
      </c>
      <c r="X2273" s="102" t="s">
        <v>137</v>
      </c>
      <c r="Y2273" s="103" t="s">
        <v>138</v>
      </c>
      <c r="Z2273" s="103" t="s">
        <v>139</v>
      </c>
      <c r="AA2273" s="103" t="s">
        <v>47</v>
      </c>
      <c r="AB2273" s="103" t="s">
        <v>140</v>
      </c>
      <c r="AC2273" s="104" t="s">
        <v>141</v>
      </c>
    </row>
    <row r="2274" spans="1:29" ht="25.5" customHeight="1" x14ac:dyDescent="0.35">
      <c r="A2274" s="188"/>
      <c r="B2274" s="190"/>
      <c r="C2274" s="99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0"/>
      <c r="E2274" s="78" t="str">
        <f>IF(C2274="","",IFERROR(VLOOKUP(C2274,parametros!$A$11:$E$15,5,0),""))</f>
        <v/>
      </c>
      <c r="F2274" s="79" t="str">
        <f t="shared" si="177"/>
        <v/>
      </c>
      <c r="G2274" s="101"/>
      <c r="H2274" s="91">
        <f t="shared" si="178"/>
        <v>0</v>
      </c>
      <c r="I2274" s="91" t="str">
        <f t="shared" si="179"/>
        <v/>
      </c>
      <c r="J2274" s="91" t="str">
        <f t="shared" si="180"/>
        <v/>
      </c>
      <c r="K2274" s="92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2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58"/>
      <c r="U2274" s="217" t="str">
        <f t="shared" si="181"/>
        <v/>
      </c>
      <c r="V2274" s="215" t="s">
        <v>47</v>
      </c>
      <c r="W2274" s="102" t="s">
        <v>136</v>
      </c>
      <c r="X2274" s="102" t="s">
        <v>137</v>
      </c>
      <c r="Y2274" s="103" t="s">
        <v>138</v>
      </c>
      <c r="Z2274" s="103" t="s">
        <v>139</v>
      </c>
      <c r="AA2274" s="103" t="s">
        <v>47</v>
      </c>
      <c r="AB2274" s="103" t="s">
        <v>140</v>
      </c>
      <c r="AC2274" s="104" t="s">
        <v>141</v>
      </c>
    </row>
    <row r="2275" spans="1:29" ht="25.5" customHeight="1" x14ac:dyDescent="0.35">
      <c r="A2275" s="188"/>
      <c r="B2275" s="190"/>
      <c r="C2275" s="99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0"/>
      <c r="E2275" s="78" t="str">
        <f>IF(C2275="","",IFERROR(VLOOKUP(C2275,parametros!$A$11:$E$15,5,0),""))</f>
        <v/>
      </c>
      <c r="F2275" s="79" t="str">
        <f t="shared" si="177"/>
        <v/>
      </c>
      <c r="G2275" s="101"/>
      <c r="H2275" s="91">
        <f t="shared" si="178"/>
        <v>0</v>
      </c>
      <c r="I2275" s="91" t="str">
        <f t="shared" si="179"/>
        <v/>
      </c>
      <c r="J2275" s="91" t="str">
        <f t="shared" si="180"/>
        <v/>
      </c>
      <c r="K2275" s="92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2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58"/>
      <c r="U2275" s="217" t="str">
        <f t="shared" si="181"/>
        <v/>
      </c>
      <c r="V2275" s="215" t="s">
        <v>47</v>
      </c>
      <c r="W2275" s="102" t="s">
        <v>136</v>
      </c>
      <c r="X2275" s="102" t="s">
        <v>137</v>
      </c>
      <c r="Y2275" s="103" t="s">
        <v>138</v>
      </c>
      <c r="Z2275" s="103" t="s">
        <v>139</v>
      </c>
      <c r="AA2275" s="103" t="s">
        <v>47</v>
      </c>
      <c r="AB2275" s="103" t="s">
        <v>140</v>
      </c>
      <c r="AC2275" s="104" t="s">
        <v>141</v>
      </c>
    </row>
    <row r="2276" spans="1:29" ht="25.5" customHeight="1" x14ac:dyDescent="0.35">
      <c r="A2276" s="188"/>
      <c r="B2276" s="190"/>
      <c r="C2276" s="99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0"/>
      <c r="E2276" s="78" t="str">
        <f>IF(C2276="","",IFERROR(VLOOKUP(C2276,parametros!$A$11:$E$15,5,0),""))</f>
        <v/>
      </c>
      <c r="F2276" s="79" t="str">
        <f t="shared" si="177"/>
        <v/>
      </c>
      <c r="G2276" s="101"/>
      <c r="H2276" s="91">
        <f t="shared" si="178"/>
        <v>0</v>
      </c>
      <c r="I2276" s="91" t="str">
        <f t="shared" si="179"/>
        <v/>
      </c>
      <c r="J2276" s="91" t="str">
        <f t="shared" si="180"/>
        <v/>
      </c>
      <c r="K2276" s="92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2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58"/>
      <c r="U2276" s="217" t="str">
        <f t="shared" si="181"/>
        <v/>
      </c>
      <c r="V2276" s="215" t="s">
        <v>47</v>
      </c>
      <c r="W2276" s="102" t="s">
        <v>136</v>
      </c>
      <c r="X2276" s="102" t="s">
        <v>137</v>
      </c>
      <c r="Y2276" s="103" t="s">
        <v>138</v>
      </c>
      <c r="Z2276" s="103" t="s">
        <v>139</v>
      </c>
      <c r="AA2276" s="103" t="s">
        <v>47</v>
      </c>
      <c r="AB2276" s="103" t="s">
        <v>140</v>
      </c>
      <c r="AC2276" s="104" t="s">
        <v>141</v>
      </c>
    </row>
    <row r="2277" spans="1:29" ht="25.5" customHeight="1" x14ac:dyDescent="0.35">
      <c r="A2277" s="188"/>
      <c r="B2277" s="190"/>
      <c r="C2277" s="99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0"/>
      <c r="E2277" s="78" t="str">
        <f>IF(C2277="","",IFERROR(VLOOKUP(C2277,parametros!$A$11:$E$15,5,0),""))</f>
        <v/>
      </c>
      <c r="F2277" s="79" t="str">
        <f t="shared" si="177"/>
        <v/>
      </c>
      <c r="G2277" s="101"/>
      <c r="H2277" s="91">
        <f t="shared" si="178"/>
        <v>0</v>
      </c>
      <c r="I2277" s="91" t="str">
        <f t="shared" si="179"/>
        <v/>
      </c>
      <c r="J2277" s="91" t="str">
        <f t="shared" si="180"/>
        <v/>
      </c>
      <c r="K2277" s="92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2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58"/>
      <c r="U2277" s="217" t="str">
        <f t="shared" si="181"/>
        <v/>
      </c>
      <c r="V2277" s="215" t="s">
        <v>47</v>
      </c>
      <c r="W2277" s="102" t="s">
        <v>136</v>
      </c>
      <c r="X2277" s="102" t="s">
        <v>137</v>
      </c>
      <c r="Y2277" s="103" t="s">
        <v>138</v>
      </c>
      <c r="Z2277" s="103" t="s">
        <v>139</v>
      </c>
      <c r="AA2277" s="103" t="s">
        <v>47</v>
      </c>
      <c r="AB2277" s="103" t="s">
        <v>140</v>
      </c>
      <c r="AC2277" s="104" t="s">
        <v>141</v>
      </c>
    </row>
    <row r="2278" spans="1:29" ht="25.5" customHeight="1" x14ac:dyDescent="0.35">
      <c r="A2278" s="188"/>
      <c r="B2278" s="190"/>
      <c r="C2278" s="99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0"/>
      <c r="E2278" s="78" t="str">
        <f>IF(C2278="","",IFERROR(VLOOKUP(C2278,parametros!$A$11:$E$15,5,0),""))</f>
        <v/>
      </c>
      <c r="F2278" s="79" t="str">
        <f t="shared" si="177"/>
        <v/>
      </c>
      <c r="G2278" s="101"/>
      <c r="H2278" s="91">
        <f t="shared" si="178"/>
        <v>0</v>
      </c>
      <c r="I2278" s="91" t="str">
        <f t="shared" si="179"/>
        <v/>
      </c>
      <c r="J2278" s="91" t="str">
        <f t="shared" si="180"/>
        <v/>
      </c>
      <c r="K2278" s="92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2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58"/>
      <c r="U2278" s="217" t="str">
        <f t="shared" si="181"/>
        <v/>
      </c>
      <c r="V2278" s="215" t="s">
        <v>47</v>
      </c>
      <c r="W2278" s="102" t="s">
        <v>136</v>
      </c>
      <c r="X2278" s="102" t="s">
        <v>137</v>
      </c>
      <c r="Y2278" s="103" t="s">
        <v>138</v>
      </c>
      <c r="Z2278" s="103" t="s">
        <v>139</v>
      </c>
      <c r="AA2278" s="103" t="s">
        <v>47</v>
      </c>
      <c r="AB2278" s="103" t="s">
        <v>140</v>
      </c>
      <c r="AC2278" s="104" t="s">
        <v>141</v>
      </c>
    </row>
    <row r="2279" spans="1:29" ht="25.5" customHeight="1" x14ac:dyDescent="0.35">
      <c r="A2279" s="188"/>
      <c r="B2279" s="190"/>
      <c r="C2279" s="99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0"/>
      <c r="E2279" s="78" t="str">
        <f>IF(C2279="","",IFERROR(VLOOKUP(C2279,parametros!$A$11:$E$15,5,0),""))</f>
        <v/>
      </c>
      <c r="F2279" s="79" t="str">
        <f t="shared" si="177"/>
        <v/>
      </c>
      <c r="G2279" s="101"/>
      <c r="H2279" s="91">
        <f t="shared" si="178"/>
        <v>0</v>
      </c>
      <c r="I2279" s="91" t="str">
        <f t="shared" si="179"/>
        <v/>
      </c>
      <c r="J2279" s="91" t="str">
        <f t="shared" si="180"/>
        <v/>
      </c>
      <c r="K2279" s="92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2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58"/>
      <c r="U2279" s="217" t="str">
        <f t="shared" si="181"/>
        <v/>
      </c>
      <c r="V2279" s="215" t="s">
        <v>47</v>
      </c>
      <c r="W2279" s="102" t="s">
        <v>136</v>
      </c>
      <c r="X2279" s="102" t="s">
        <v>137</v>
      </c>
      <c r="Y2279" s="103" t="s">
        <v>138</v>
      </c>
      <c r="Z2279" s="103" t="s">
        <v>139</v>
      </c>
      <c r="AA2279" s="103" t="s">
        <v>47</v>
      </c>
      <c r="AB2279" s="103" t="s">
        <v>140</v>
      </c>
      <c r="AC2279" s="104" t="s">
        <v>141</v>
      </c>
    </row>
    <row r="2280" spans="1:29" ht="25.5" customHeight="1" x14ac:dyDescent="0.35">
      <c r="A2280" s="188"/>
      <c r="B2280" s="190"/>
      <c r="C2280" s="99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0"/>
      <c r="E2280" s="78" t="str">
        <f>IF(C2280="","",IFERROR(VLOOKUP(C2280,parametros!$A$11:$E$15,5,0),""))</f>
        <v/>
      </c>
      <c r="F2280" s="79" t="str">
        <f t="shared" si="177"/>
        <v/>
      </c>
      <c r="G2280" s="101"/>
      <c r="H2280" s="91">
        <f t="shared" si="178"/>
        <v>0</v>
      </c>
      <c r="I2280" s="91" t="str">
        <f t="shared" si="179"/>
        <v/>
      </c>
      <c r="J2280" s="91" t="str">
        <f t="shared" si="180"/>
        <v/>
      </c>
      <c r="K2280" s="92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2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58"/>
      <c r="U2280" s="217" t="str">
        <f t="shared" si="181"/>
        <v/>
      </c>
      <c r="V2280" s="215" t="s">
        <v>47</v>
      </c>
      <c r="W2280" s="102" t="s">
        <v>136</v>
      </c>
      <c r="X2280" s="102" t="s">
        <v>137</v>
      </c>
      <c r="Y2280" s="103" t="s">
        <v>138</v>
      </c>
      <c r="Z2280" s="103" t="s">
        <v>139</v>
      </c>
      <c r="AA2280" s="103" t="s">
        <v>47</v>
      </c>
      <c r="AB2280" s="103" t="s">
        <v>140</v>
      </c>
      <c r="AC2280" s="104" t="s">
        <v>141</v>
      </c>
    </row>
    <row r="2281" spans="1:29" ht="25.5" customHeight="1" x14ac:dyDescent="0.35">
      <c r="A2281" s="188"/>
      <c r="B2281" s="190"/>
      <c r="C2281" s="99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0"/>
      <c r="E2281" s="78" t="str">
        <f>IF(C2281="","",IFERROR(VLOOKUP(C2281,parametros!$A$11:$E$15,5,0),""))</f>
        <v/>
      </c>
      <c r="F2281" s="79" t="str">
        <f t="shared" si="177"/>
        <v/>
      </c>
      <c r="G2281" s="101"/>
      <c r="H2281" s="91">
        <f t="shared" si="178"/>
        <v>0</v>
      </c>
      <c r="I2281" s="91" t="str">
        <f t="shared" si="179"/>
        <v/>
      </c>
      <c r="J2281" s="91" t="str">
        <f t="shared" si="180"/>
        <v/>
      </c>
      <c r="K2281" s="92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2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58"/>
      <c r="U2281" s="217" t="str">
        <f t="shared" si="181"/>
        <v/>
      </c>
      <c r="V2281" s="215" t="s">
        <v>47</v>
      </c>
      <c r="W2281" s="102" t="s">
        <v>136</v>
      </c>
      <c r="X2281" s="102" t="s">
        <v>137</v>
      </c>
      <c r="Y2281" s="103" t="s">
        <v>138</v>
      </c>
      <c r="Z2281" s="103" t="s">
        <v>139</v>
      </c>
      <c r="AA2281" s="103" t="s">
        <v>47</v>
      </c>
      <c r="AB2281" s="103" t="s">
        <v>140</v>
      </c>
      <c r="AC2281" s="104" t="s">
        <v>141</v>
      </c>
    </row>
    <row r="2282" spans="1:29" ht="25.5" customHeight="1" x14ac:dyDescent="0.35">
      <c r="A2282" s="188"/>
      <c r="B2282" s="190"/>
      <c r="C2282" s="99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0"/>
      <c r="E2282" s="78" t="str">
        <f>IF(C2282="","",IFERROR(VLOOKUP(C2282,parametros!$A$11:$E$15,5,0),""))</f>
        <v/>
      </c>
      <c r="F2282" s="79" t="str">
        <f t="shared" si="177"/>
        <v/>
      </c>
      <c r="G2282" s="101"/>
      <c r="H2282" s="91">
        <f t="shared" si="178"/>
        <v>0</v>
      </c>
      <c r="I2282" s="91" t="str">
        <f t="shared" si="179"/>
        <v/>
      </c>
      <c r="J2282" s="91" t="str">
        <f t="shared" si="180"/>
        <v/>
      </c>
      <c r="K2282" s="92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2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58"/>
      <c r="U2282" s="217" t="str">
        <f t="shared" si="181"/>
        <v/>
      </c>
      <c r="V2282" s="215" t="s">
        <v>47</v>
      </c>
      <c r="W2282" s="102" t="s">
        <v>136</v>
      </c>
      <c r="X2282" s="102" t="s">
        <v>137</v>
      </c>
      <c r="Y2282" s="103" t="s">
        <v>138</v>
      </c>
      <c r="Z2282" s="103" t="s">
        <v>139</v>
      </c>
      <c r="AA2282" s="103" t="s">
        <v>47</v>
      </c>
      <c r="AB2282" s="103" t="s">
        <v>140</v>
      </c>
      <c r="AC2282" s="104" t="s">
        <v>141</v>
      </c>
    </row>
    <row r="2283" spans="1:29" ht="25.5" customHeight="1" x14ac:dyDescent="0.35">
      <c r="A2283" s="188"/>
      <c r="B2283" s="190"/>
      <c r="C2283" s="99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0"/>
      <c r="E2283" s="78" t="str">
        <f>IF(C2283="","",IFERROR(VLOOKUP(C2283,parametros!$A$11:$E$15,5,0),""))</f>
        <v/>
      </c>
      <c r="F2283" s="79" t="str">
        <f t="shared" si="177"/>
        <v/>
      </c>
      <c r="G2283" s="101"/>
      <c r="H2283" s="91">
        <f t="shared" si="178"/>
        <v>0</v>
      </c>
      <c r="I2283" s="91" t="str">
        <f t="shared" si="179"/>
        <v/>
      </c>
      <c r="J2283" s="91" t="str">
        <f t="shared" si="180"/>
        <v/>
      </c>
      <c r="K2283" s="92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2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58"/>
      <c r="U2283" s="217" t="str">
        <f t="shared" si="181"/>
        <v/>
      </c>
      <c r="V2283" s="215" t="s">
        <v>47</v>
      </c>
      <c r="W2283" s="102" t="s">
        <v>136</v>
      </c>
      <c r="X2283" s="102" t="s">
        <v>137</v>
      </c>
      <c r="Y2283" s="103" t="s">
        <v>138</v>
      </c>
      <c r="Z2283" s="103" t="s">
        <v>139</v>
      </c>
      <c r="AA2283" s="103" t="s">
        <v>47</v>
      </c>
      <c r="AB2283" s="103" t="s">
        <v>140</v>
      </c>
      <c r="AC2283" s="104" t="s">
        <v>141</v>
      </c>
    </row>
    <row r="2284" spans="1:29" ht="25.5" customHeight="1" x14ac:dyDescent="0.35">
      <c r="A2284" s="188"/>
      <c r="B2284" s="190"/>
      <c r="C2284" s="99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0"/>
      <c r="E2284" s="78" t="str">
        <f>IF(C2284="","",IFERROR(VLOOKUP(C2284,parametros!$A$11:$E$15,5,0),""))</f>
        <v/>
      </c>
      <c r="F2284" s="79" t="str">
        <f t="shared" si="177"/>
        <v/>
      </c>
      <c r="G2284" s="101"/>
      <c r="H2284" s="91">
        <f t="shared" si="178"/>
        <v>0</v>
      </c>
      <c r="I2284" s="91" t="str">
        <f t="shared" si="179"/>
        <v/>
      </c>
      <c r="J2284" s="91" t="str">
        <f t="shared" si="180"/>
        <v/>
      </c>
      <c r="K2284" s="92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2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58"/>
      <c r="U2284" s="217" t="str">
        <f t="shared" si="181"/>
        <v/>
      </c>
      <c r="V2284" s="215" t="s">
        <v>47</v>
      </c>
      <c r="W2284" s="102" t="s">
        <v>136</v>
      </c>
      <c r="X2284" s="102" t="s">
        <v>137</v>
      </c>
      <c r="Y2284" s="103" t="s">
        <v>138</v>
      </c>
      <c r="Z2284" s="103" t="s">
        <v>139</v>
      </c>
      <c r="AA2284" s="103" t="s">
        <v>47</v>
      </c>
      <c r="AB2284" s="103" t="s">
        <v>140</v>
      </c>
      <c r="AC2284" s="104" t="s">
        <v>141</v>
      </c>
    </row>
    <row r="2285" spans="1:29" ht="25.5" customHeight="1" x14ac:dyDescent="0.35">
      <c r="A2285" s="188"/>
      <c r="B2285" s="190"/>
      <c r="C2285" s="99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0"/>
      <c r="E2285" s="78" t="str">
        <f>IF(C2285="","",IFERROR(VLOOKUP(C2285,parametros!$A$11:$E$15,5,0),""))</f>
        <v/>
      </c>
      <c r="F2285" s="79" t="str">
        <f t="shared" si="177"/>
        <v/>
      </c>
      <c r="G2285" s="101"/>
      <c r="H2285" s="91">
        <f t="shared" si="178"/>
        <v>0</v>
      </c>
      <c r="I2285" s="91" t="str">
        <f t="shared" si="179"/>
        <v/>
      </c>
      <c r="J2285" s="91" t="str">
        <f t="shared" si="180"/>
        <v/>
      </c>
      <c r="K2285" s="92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2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58"/>
      <c r="U2285" s="217" t="str">
        <f t="shared" si="181"/>
        <v/>
      </c>
      <c r="V2285" s="215" t="s">
        <v>47</v>
      </c>
      <c r="W2285" s="102" t="s">
        <v>136</v>
      </c>
      <c r="X2285" s="102" t="s">
        <v>137</v>
      </c>
      <c r="Y2285" s="103" t="s">
        <v>138</v>
      </c>
      <c r="Z2285" s="103" t="s">
        <v>139</v>
      </c>
      <c r="AA2285" s="103" t="s">
        <v>47</v>
      </c>
      <c r="AB2285" s="103" t="s">
        <v>140</v>
      </c>
      <c r="AC2285" s="104" t="s">
        <v>141</v>
      </c>
    </row>
    <row r="2286" spans="1:29" ht="25.5" customHeight="1" x14ac:dyDescent="0.35">
      <c r="A2286" s="188"/>
      <c r="B2286" s="190"/>
      <c r="C2286" s="99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0"/>
      <c r="E2286" s="78" t="str">
        <f>IF(C2286="","",IFERROR(VLOOKUP(C2286,parametros!$A$11:$E$15,5,0),""))</f>
        <v/>
      </c>
      <c r="F2286" s="79" t="str">
        <f t="shared" si="177"/>
        <v/>
      </c>
      <c r="G2286" s="101"/>
      <c r="H2286" s="91">
        <f t="shared" si="178"/>
        <v>0</v>
      </c>
      <c r="I2286" s="91" t="str">
        <f t="shared" si="179"/>
        <v/>
      </c>
      <c r="J2286" s="91" t="str">
        <f t="shared" si="180"/>
        <v/>
      </c>
      <c r="K2286" s="92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2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58"/>
      <c r="U2286" s="217" t="str">
        <f t="shared" si="181"/>
        <v/>
      </c>
      <c r="V2286" s="215" t="s">
        <v>47</v>
      </c>
      <c r="W2286" s="102" t="s">
        <v>136</v>
      </c>
      <c r="X2286" s="102" t="s">
        <v>137</v>
      </c>
      <c r="Y2286" s="103" t="s">
        <v>138</v>
      </c>
      <c r="Z2286" s="103" t="s">
        <v>139</v>
      </c>
      <c r="AA2286" s="103" t="s">
        <v>47</v>
      </c>
      <c r="AB2286" s="103" t="s">
        <v>140</v>
      </c>
      <c r="AC2286" s="104" t="s">
        <v>141</v>
      </c>
    </row>
    <row r="2287" spans="1:29" ht="25.5" customHeight="1" x14ac:dyDescent="0.35">
      <c r="A2287" s="188"/>
      <c r="B2287" s="190"/>
      <c r="C2287" s="99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0"/>
      <c r="E2287" s="78" t="str">
        <f>IF(C2287="","",IFERROR(VLOOKUP(C2287,parametros!$A$11:$E$15,5,0),""))</f>
        <v/>
      </c>
      <c r="F2287" s="79" t="str">
        <f t="shared" si="177"/>
        <v/>
      </c>
      <c r="G2287" s="101"/>
      <c r="H2287" s="91">
        <f t="shared" si="178"/>
        <v>0</v>
      </c>
      <c r="I2287" s="91" t="str">
        <f t="shared" si="179"/>
        <v/>
      </c>
      <c r="J2287" s="91" t="str">
        <f t="shared" si="180"/>
        <v/>
      </c>
      <c r="K2287" s="92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2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58"/>
      <c r="U2287" s="217" t="str">
        <f t="shared" si="181"/>
        <v/>
      </c>
      <c r="V2287" s="215" t="s">
        <v>47</v>
      </c>
      <c r="W2287" s="102" t="s">
        <v>136</v>
      </c>
      <c r="X2287" s="102" t="s">
        <v>137</v>
      </c>
      <c r="Y2287" s="103" t="s">
        <v>138</v>
      </c>
      <c r="Z2287" s="103" t="s">
        <v>139</v>
      </c>
      <c r="AA2287" s="103" t="s">
        <v>47</v>
      </c>
      <c r="AB2287" s="103" t="s">
        <v>140</v>
      </c>
      <c r="AC2287" s="104" t="s">
        <v>141</v>
      </c>
    </row>
    <row r="2288" spans="1:29" ht="25.5" customHeight="1" x14ac:dyDescent="0.35">
      <c r="A2288" s="188"/>
      <c r="B2288" s="190"/>
      <c r="C2288" s="99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0"/>
      <c r="E2288" s="78" t="str">
        <f>IF(C2288="","",IFERROR(VLOOKUP(C2288,parametros!$A$11:$E$15,5,0),""))</f>
        <v/>
      </c>
      <c r="F2288" s="79" t="str">
        <f t="shared" si="177"/>
        <v/>
      </c>
      <c r="G2288" s="101"/>
      <c r="H2288" s="91">
        <f t="shared" si="178"/>
        <v>0</v>
      </c>
      <c r="I2288" s="91" t="str">
        <f t="shared" si="179"/>
        <v/>
      </c>
      <c r="J2288" s="91" t="str">
        <f t="shared" si="180"/>
        <v/>
      </c>
      <c r="K2288" s="92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2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58"/>
      <c r="U2288" s="217" t="str">
        <f t="shared" si="181"/>
        <v/>
      </c>
      <c r="V2288" s="215" t="s">
        <v>47</v>
      </c>
      <c r="W2288" s="102" t="s">
        <v>136</v>
      </c>
      <c r="X2288" s="102" t="s">
        <v>137</v>
      </c>
      <c r="Y2288" s="103" t="s">
        <v>138</v>
      </c>
      <c r="Z2288" s="103" t="s">
        <v>139</v>
      </c>
      <c r="AA2288" s="103" t="s">
        <v>47</v>
      </c>
      <c r="AB2288" s="103" t="s">
        <v>140</v>
      </c>
      <c r="AC2288" s="104" t="s">
        <v>141</v>
      </c>
    </row>
    <row r="2289" spans="1:29" ht="25.5" customHeight="1" x14ac:dyDescent="0.35">
      <c r="A2289" s="188"/>
      <c r="B2289" s="190"/>
      <c r="C2289" s="99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0"/>
      <c r="E2289" s="78" t="str">
        <f>IF(C2289="","",IFERROR(VLOOKUP(C2289,parametros!$A$11:$E$15,5,0),""))</f>
        <v/>
      </c>
      <c r="F2289" s="79" t="str">
        <f t="shared" si="177"/>
        <v/>
      </c>
      <c r="G2289" s="101"/>
      <c r="H2289" s="91">
        <f t="shared" si="178"/>
        <v>0</v>
      </c>
      <c r="I2289" s="91" t="str">
        <f t="shared" si="179"/>
        <v/>
      </c>
      <c r="J2289" s="91" t="str">
        <f t="shared" si="180"/>
        <v/>
      </c>
      <c r="K2289" s="92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2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58"/>
      <c r="U2289" s="217" t="str">
        <f t="shared" si="181"/>
        <v/>
      </c>
      <c r="V2289" s="215" t="s">
        <v>47</v>
      </c>
      <c r="W2289" s="102" t="s">
        <v>136</v>
      </c>
      <c r="X2289" s="102" t="s">
        <v>137</v>
      </c>
      <c r="Y2289" s="103" t="s">
        <v>138</v>
      </c>
      <c r="Z2289" s="103" t="s">
        <v>139</v>
      </c>
      <c r="AA2289" s="103" t="s">
        <v>47</v>
      </c>
      <c r="AB2289" s="103" t="s">
        <v>140</v>
      </c>
      <c r="AC2289" s="104" t="s">
        <v>141</v>
      </c>
    </row>
    <row r="2290" spans="1:29" ht="25.5" customHeight="1" x14ac:dyDescent="0.35">
      <c r="A2290" s="188"/>
      <c r="B2290" s="190"/>
      <c r="C2290" s="99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0"/>
      <c r="E2290" s="78" t="str">
        <f>IF(C2290="","",IFERROR(VLOOKUP(C2290,parametros!$A$11:$E$15,5,0),""))</f>
        <v/>
      </c>
      <c r="F2290" s="79" t="str">
        <f t="shared" si="177"/>
        <v/>
      </c>
      <c r="G2290" s="101"/>
      <c r="H2290" s="91">
        <f t="shared" si="178"/>
        <v>0</v>
      </c>
      <c r="I2290" s="91" t="str">
        <f t="shared" si="179"/>
        <v/>
      </c>
      <c r="J2290" s="91" t="str">
        <f t="shared" si="180"/>
        <v/>
      </c>
      <c r="K2290" s="92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2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58"/>
      <c r="U2290" s="217" t="str">
        <f t="shared" si="181"/>
        <v/>
      </c>
      <c r="V2290" s="215" t="s">
        <v>47</v>
      </c>
      <c r="W2290" s="102" t="s">
        <v>136</v>
      </c>
      <c r="X2290" s="102" t="s">
        <v>137</v>
      </c>
      <c r="Y2290" s="103" t="s">
        <v>138</v>
      </c>
      <c r="Z2290" s="103" t="s">
        <v>139</v>
      </c>
      <c r="AA2290" s="103" t="s">
        <v>47</v>
      </c>
      <c r="AB2290" s="103" t="s">
        <v>140</v>
      </c>
      <c r="AC2290" s="104" t="s">
        <v>141</v>
      </c>
    </row>
    <row r="2291" spans="1:29" ht="25.5" customHeight="1" x14ac:dyDescent="0.35">
      <c r="A2291" s="188"/>
      <c r="B2291" s="190"/>
      <c r="C2291" s="99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0"/>
      <c r="E2291" s="78" t="str">
        <f>IF(C2291="","",IFERROR(VLOOKUP(C2291,parametros!$A$11:$E$15,5,0),""))</f>
        <v/>
      </c>
      <c r="F2291" s="79" t="str">
        <f t="shared" si="177"/>
        <v/>
      </c>
      <c r="G2291" s="101"/>
      <c r="H2291" s="91">
        <f t="shared" si="178"/>
        <v>0</v>
      </c>
      <c r="I2291" s="91" t="str">
        <f t="shared" si="179"/>
        <v/>
      </c>
      <c r="J2291" s="91" t="str">
        <f t="shared" si="180"/>
        <v/>
      </c>
      <c r="K2291" s="92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2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58"/>
      <c r="U2291" s="217" t="str">
        <f t="shared" si="181"/>
        <v/>
      </c>
      <c r="V2291" s="215" t="s">
        <v>47</v>
      </c>
      <c r="W2291" s="102" t="s">
        <v>136</v>
      </c>
      <c r="X2291" s="102" t="s">
        <v>137</v>
      </c>
      <c r="Y2291" s="103" t="s">
        <v>138</v>
      </c>
      <c r="Z2291" s="103" t="s">
        <v>139</v>
      </c>
      <c r="AA2291" s="103" t="s">
        <v>47</v>
      </c>
      <c r="AB2291" s="103" t="s">
        <v>140</v>
      </c>
      <c r="AC2291" s="104" t="s">
        <v>141</v>
      </c>
    </row>
    <row r="2292" spans="1:29" ht="25.5" customHeight="1" x14ac:dyDescent="0.35">
      <c r="A2292" s="188"/>
      <c r="B2292" s="190"/>
      <c r="C2292" s="99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0"/>
      <c r="E2292" s="78" t="str">
        <f>IF(C2292="","",IFERROR(VLOOKUP(C2292,parametros!$A$11:$E$15,5,0),""))</f>
        <v/>
      </c>
      <c r="F2292" s="79" t="str">
        <f t="shared" si="177"/>
        <v/>
      </c>
      <c r="G2292" s="101"/>
      <c r="H2292" s="91">
        <f t="shared" si="178"/>
        <v>0</v>
      </c>
      <c r="I2292" s="91" t="str">
        <f t="shared" si="179"/>
        <v/>
      </c>
      <c r="J2292" s="91" t="str">
        <f t="shared" si="180"/>
        <v/>
      </c>
      <c r="K2292" s="92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2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58"/>
      <c r="U2292" s="217" t="str">
        <f t="shared" si="181"/>
        <v/>
      </c>
      <c r="V2292" s="215" t="s">
        <v>47</v>
      </c>
      <c r="W2292" s="102" t="s">
        <v>136</v>
      </c>
      <c r="X2292" s="102" t="s">
        <v>137</v>
      </c>
      <c r="Y2292" s="103" t="s">
        <v>138</v>
      </c>
      <c r="Z2292" s="103" t="s">
        <v>139</v>
      </c>
      <c r="AA2292" s="103" t="s">
        <v>47</v>
      </c>
      <c r="AB2292" s="103" t="s">
        <v>140</v>
      </c>
      <c r="AC2292" s="104" t="s">
        <v>141</v>
      </c>
    </row>
    <row r="2293" spans="1:29" ht="25.5" customHeight="1" x14ac:dyDescent="0.35">
      <c r="A2293" s="188"/>
      <c r="B2293" s="190"/>
      <c r="C2293" s="99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0"/>
      <c r="E2293" s="78" t="str">
        <f>IF(C2293="","",IFERROR(VLOOKUP(C2293,parametros!$A$11:$E$15,5,0),""))</f>
        <v/>
      </c>
      <c r="F2293" s="79" t="str">
        <f t="shared" si="177"/>
        <v/>
      </c>
      <c r="G2293" s="101"/>
      <c r="H2293" s="91">
        <f t="shared" si="178"/>
        <v>0</v>
      </c>
      <c r="I2293" s="91" t="str">
        <f t="shared" si="179"/>
        <v/>
      </c>
      <c r="J2293" s="91" t="str">
        <f t="shared" si="180"/>
        <v/>
      </c>
      <c r="K2293" s="92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2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58"/>
      <c r="U2293" s="217" t="str">
        <f t="shared" si="181"/>
        <v/>
      </c>
      <c r="V2293" s="215" t="s">
        <v>47</v>
      </c>
      <c r="W2293" s="102" t="s">
        <v>136</v>
      </c>
      <c r="X2293" s="102" t="s">
        <v>137</v>
      </c>
      <c r="Y2293" s="103" t="s">
        <v>138</v>
      </c>
      <c r="Z2293" s="103" t="s">
        <v>139</v>
      </c>
      <c r="AA2293" s="103" t="s">
        <v>47</v>
      </c>
      <c r="AB2293" s="103" t="s">
        <v>140</v>
      </c>
      <c r="AC2293" s="104" t="s">
        <v>141</v>
      </c>
    </row>
    <row r="2294" spans="1:29" ht="25.5" customHeight="1" x14ac:dyDescent="0.35">
      <c r="A2294" s="188"/>
      <c r="B2294" s="190"/>
      <c r="C2294" s="99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0"/>
      <c r="E2294" s="78" t="str">
        <f>IF(C2294="","",IFERROR(VLOOKUP(C2294,parametros!$A$11:$E$15,5,0),""))</f>
        <v/>
      </c>
      <c r="F2294" s="79" t="str">
        <f t="shared" si="177"/>
        <v/>
      </c>
      <c r="G2294" s="101"/>
      <c r="H2294" s="91">
        <f t="shared" si="178"/>
        <v>0</v>
      </c>
      <c r="I2294" s="91" t="str">
        <f t="shared" si="179"/>
        <v/>
      </c>
      <c r="J2294" s="91" t="str">
        <f t="shared" si="180"/>
        <v/>
      </c>
      <c r="K2294" s="92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2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58"/>
      <c r="U2294" s="217" t="str">
        <f t="shared" si="181"/>
        <v/>
      </c>
      <c r="V2294" s="215" t="s">
        <v>47</v>
      </c>
      <c r="W2294" s="102" t="s">
        <v>136</v>
      </c>
      <c r="X2294" s="102" t="s">
        <v>137</v>
      </c>
      <c r="Y2294" s="103" t="s">
        <v>138</v>
      </c>
      <c r="Z2294" s="103" t="s">
        <v>139</v>
      </c>
      <c r="AA2294" s="103" t="s">
        <v>47</v>
      </c>
      <c r="AB2294" s="103" t="s">
        <v>140</v>
      </c>
      <c r="AC2294" s="104" t="s">
        <v>141</v>
      </c>
    </row>
    <row r="2295" spans="1:29" ht="25.5" customHeight="1" x14ac:dyDescent="0.35">
      <c r="A2295" s="188"/>
      <c r="B2295" s="190"/>
      <c r="C2295" s="99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0"/>
      <c r="E2295" s="78" t="str">
        <f>IF(C2295="","",IFERROR(VLOOKUP(C2295,parametros!$A$11:$E$15,5,0),""))</f>
        <v/>
      </c>
      <c r="F2295" s="79" t="str">
        <f t="shared" si="177"/>
        <v/>
      </c>
      <c r="G2295" s="101"/>
      <c r="H2295" s="91">
        <f t="shared" si="178"/>
        <v>0</v>
      </c>
      <c r="I2295" s="91" t="str">
        <f t="shared" si="179"/>
        <v/>
      </c>
      <c r="J2295" s="91" t="str">
        <f t="shared" si="180"/>
        <v/>
      </c>
      <c r="K2295" s="92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2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58"/>
      <c r="U2295" s="217" t="str">
        <f t="shared" si="181"/>
        <v/>
      </c>
      <c r="V2295" s="215" t="s">
        <v>47</v>
      </c>
      <c r="W2295" s="102" t="s">
        <v>136</v>
      </c>
      <c r="X2295" s="102" t="s">
        <v>137</v>
      </c>
      <c r="Y2295" s="103" t="s">
        <v>138</v>
      </c>
      <c r="Z2295" s="103" t="s">
        <v>139</v>
      </c>
      <c r="AA2295" s="103" t="s">
        <v>47</v>
      </c>
      <c r="AB2295" s="103" t="s">
        <v>140</v>
      </c>
      <c r="AC2295" s="104" t="s">
        <v>141</v>
      </c>
    </row>
    <row r="2296" spans="1:29" ht="25.5" customHeight="1" x14ac:dyDescent="0.35">
      <c r="A2296" s="188"/>
      <c r="B2296" s="190"/>
      <c r="C2296" s="99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0"/>
      <c r="E2296" s="78" t="str">
        <f>IF(C2296="","",IFERROR(VLOOKUP(C2296,parametros!$A$11:$E$15,5,0),""))</f>
        <v/>
      </c>
      <c r="F2296" s="79" t="str">
        <f t="shared" si="177"/>
        <v/>
      </c>
      <c r="G2296" s="101"/>
      <c r="H2296" s="91">
        <f t="shared" si="178"/>
        <v>0</v>
      </c>
      <c r="I2296" s="91" t="str">
        <f t="shared" si="179"/>
        <v/>
      </c>
      <c r="J2296" s="91" t="str">
        <f t="shared" si="180"/>
        <v/>
      </c>
      <c r="K2296" s="92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2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58"/>
      <c r="U2296" s="217" t="str">
        <f t="shared" si="181"/>
        <v/>
      </c>
      <c r="V2296" s="215" t="s">
        <v>47</v>
      </c>
      <c r="W2296" s="102" t="s">
        <v>136</v>
      </c>
      <c r="X2296" s="102" t="s">
        <v>137</v>
      </c>
      <c r="Y2296" s="103" t="s">
        <v>138</v>
      </c>
      <c r="Z2296" s="103" t="s">
        <v>139</v>
      </c>
      <c r="AA2296" s="103" t="s">
        <v>47</v>
      </c>
      <c r="AB2296" s="103" t="s">
        <v>140</v>
      </c>
      <c r="AC2296" s="104" t="s">
        <v>141</v>
      </c>
    </row>
    <row r="2297" spans="1:29" ht="25.5" customHeight="1" x14ac:dyDescent="0.35">
      <c r="A2297" s="188"/>
      <c r="B2297" s="190"/>
      <c r="C2297" s="99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0"/>
      <c r="E2297" s="78" t="str">
        <f>IF(C2297="","",IFERROR(VLOOKUP(C2297,parametros!$A$11:$E$15,5,0),""))</f>
        <v/>
      </c>
      <c r="F2297" s="79" t="str">
        <f t="shared" si="177"/>
        <v/>
      </c>
      <c r="G2297" s="101"/>
      <c r="H2297" s="91">
        <f t="shared" si="178"/>
        <v>0</v>
      </c>
      <c r="I2297" s="91" t="str">
        <f t="shared" si="179"/>
        <v/>
      </c>
      <c r="J2297" s="91" t="str">
        <f t="shared" si="180"/>
        <v/>
      </c>
      <c r="K2297" s="92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2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58"/>
      <c r="U2297" s="217" t="str">
        <f t="shared" si="181"/>
        <v/>
      </c>
      <c r="V2297" s="215" t="s">
        <v>47</v>
      </c>
      <c r="W2297" s="102" t="s">
        <v>136</v>
      </c>
      <c r="X2297" s="102" t="s">
        <v>137</v>
      </c>
      <c r="Y2297" s="103" t="s">
        <v>138</v>
      </c>
      <c r="Z2297" s="103" t="s">
        <v>139</v>
      </c>
      <c r="AA2297" s="103" t="s">
        <v>47</v>
      </c>
      <c r="AB2297" s="103" t="s">
        <v>140</v>
      </c>
      <c r="AC2297" s="104" t="s">
        <v>141</v>
      </c>
    </row>
    <row r="2298" spans="1:29" ht="25.5" customHeight="1" x14ac:dyDescent="0.35">
      <c r="A2298" s="188"/>
      <c r="B2298" s="190"/>
      <c r="C2298" s="99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0"/>
      <c r="E2298" s="78" t="str">
        <f>IF(C2298="","",IFERROR(VLOOKUP(C2298,parametros!$A$11:$E$15,5,0),""))</f>
        <v/>
      </c>
      <c r="F2298" s="79" t="str">
        <f t="shared" si="177"/>
        <v/>
      </c>
      <c r="G2298" s="101"/>
      <c r="H2298" s="91">
        <f t="shared" si="178"/>
        <v>0</v>
      </c>
      <c r="I2298" s="91" t="str">
        <f t="shared" si="179"/>
        <v/>
      </c>
      <c r="J2298" s="91" t="str">
        <f t="shared" si="180"/>
        <v/>
      </c>
      <c r="K2298" s="92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2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58"/>
      <c r="U2298" s="217" t="str">
        <f t="shared" si="181"/>
        <v/>
      </c>
      <c r="V2298" s="215" t="s">
        <v>47</v>
      </c>
      <c r="W2298" s="102" t="s">
        <v>136</v>
      </c>
      <c r="X2298" s="102" t="s">
        <v>137</v>
      </c>
      <c r="Y2298" s="103" t="s">
        <v>138</v>
      </c>
      <c r="Z2298" s="103" t="s">
        <v>139</v>
      </c>
      <c r="AA2298" s="103" t="s">
        <v>47</v>
      </c>
      <c r="AB2298" s="103" t="s">
        <v>140</v>
      </c>
      <c r="AC2298" s="104" t="s">
        <v>141</v>
      </c>
    </row>
    <row r="2299" spans="1:29" ht="25.5" customHeight="1" x14ac:dyDescent="0.35">
      <c r="A2299" s="188"/>
      <c r="B2299" s="190"/>
      <c r="C2299" s="99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0"/>
      <c r="E2299" s="78" t="str">
        <f>IF(C2299="","",IFERROR(VLOOKUP(C2299,parametros!$A$11:$E$15,5,0),""))</f>
        <v/>
      </c>
      <c r="F2299" s="79" t="str">
        <f t="shared" si="177"/>
        <v/>
      </c>
      <c r="G2299" s="101"/>
      <c r="H2299" s="91">
        <f t="shared" si="178"/>
        <v>0</v>
      </c>
      <c r="I2299" s="91" t="str">
        <f t="shared" si="179"/>
        <v/>
      </c>
      <c r="J2299" s="91" t="str">
        <f t="shared" si="180"/>
        <v/>
      </c>
      <c r="K2299" s="92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2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58"/>
      <c r="U2299" s="217" t="str">
        <f t="shared" si="181"/>
        <v/>
      </c>
      <c r="V2299" s="215" t="s">
        <v>47</v>
      </c>
      <c r="W2299" s="102" t="s">
        <v>136</v>
      </c>
      <c r="X2299" s="102" t="s">
        <v>137</v>
      </c>
      <c r="Y2299" s="103" t="s">
        <v>138</v>
      </c>
      <c r="Z2299" s="103" t="s">
        <v>139</v>
      </c>
      <c r="AA2299" s="103" t="s">
        <v>47</v>
      </c>
      <c r="AB2299" s="103" t="s">
        <v>140</v>
      </c>
      <c r="AC2299" s="104" t="s">
        <v>141</v>
      </c>
    </row>
    <row r="2300" spans="1:29" ht="25.5" customHeight="1" x14ac:dyDescent="0.35">
      <c r="A2300" s="188"/>
      <c r="B2300" s="190"/>
      <c r="C2300" s="99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0"/>
      <c r="E2300" s="78" t="str">
        <f>IF(C2300="","",IFERROR(VLOOKUP(C2300,parametros!$A$11:$E$15,5,0),""))</f>
        <v/>
      </c>
      <c r="F2300" s="79" t="str">
        <f t="shared" si="177"/>
        <v/>
      </c>
      <c r="G2300" s="101"/>
      <c r="H2300" s="91">
        <f t="shared" si="178"/>
        <v>0</v>
      </c>
      <c r="I2300" s="91" t="str">
        <f t="shared" si="179"/>
        <v/>
      </c>
      <c r="J2300" s="91" t="str">
        <f t="shared" si="180"/>
        <v/>
      </c>
      <c r="K2300" s="92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2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58"/>
      <c r="U2300" s="217" t="str">
        <f t="shared" si="181"/>
        <v/>
      </c>
      <c r="V2300" s="215" t="s">
        <v>47</v>
      </c>
      <c r="W2300" s="102" t="s">
        <v>136</v>
      </c>
      <c r="X2300" s="102" t="s">
        <v>137</v>
      </c>
      <c r="Y2300" s="103" t="s">
        <v>138</v>
      </c>
      <c r="Z2300" s="103" t="s">
        <v>139</v>
      </c>
      <c r="AA2300" s="103" t="s">
        <v>47</v>
      </c>
      <c r="AB2300" s="103" t="s">
        <v>140</v>
      </c>
      <c r="AC2300" s="104" t="s">
        <v>141</v>
      </c>
    </row>
    <row r="2301" spans="1:29" ht="25.5" customHeight="1" x14ac:dyDescent="0.35">
      <c r="A2301" s="188"/>
      <c r="B2301" s="190"/>
      <c r="C2301" s="99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0"/>
      <c r="E2301" s="78" t="str">
        <f>IF(C2301="","",IFERROR(VLOOKUP(C2301,parametros!$A$11:$E$15,5,0),""))</f>
        <v/>
      </c>
      <c r="F2301" s="79" t="str">
        <f t="shared" si="177"/>
        <v/>
      </c>
      <c r="G2301" s="101"/>
      <c r="H2301" s="91">
        <f t="shared" si="178"/>
        <v>0</v>
      </c>
      <c r="I2301" s="91" t="str">
        <f t="shared" si="179"/>
        <v/>
      </c>
      <c r="J2301" s="91" t="str">
        <f t="shared" si="180"/>
        <v/>
      </c>
      <c r="K2301" s="92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2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58"/>
      <c r="U2301" s="217" t="str">
        <f t="shared" si="181"/>
        <v/>
      </c>
      <c r="V2301" s="215" t="s">
        <v>47</v>
      </c>
      <c r="W2301" s="102" t="s">
        <v>136</v>
      </c>
      <c r="X2301" s="102" t="s">
        <v>137</v>
      </c>
      <c r="Y2301" s="103" t="s">
        <v>138</v>
      </c>
      <c r="Z2301" s="103" t="s">
        <v>139</v>
      </c>
      <c r="AA2301" s="103" t="s">
        <v>47</v>
      </c>
      <c r="AB2301" s="103" t="s">
        <v>140</v>
      </c>
      <c r="AC2301" s="104" t="s">
        <v>141</v>
      </c>
    </row>
    <row r="2302" spans="1:29" ht="25.5" customHeight="1" x14ac:dyDescent="0.35">
      <c r="A2302" s="188"/>
      <c r="B2302" s="190"/>
      <c r="C2302" s="99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0"/>
      <c r="E2302" s="78" t="str">
        <f>IF(C2302="","",IFERROR(VLOOKUP(C2302,parametros!$A$11:$E$15,5,0),""))</f>
        <v/>
      </c>
      <c r="F2302" s="79" t="str">
        <f t="shared" si="177"/>
        <v/>
      </c>
      <c r="G2302" s="101"/>
      <c r="H2302" s="91">
        <f t="shared" si="178"/>
        <v>0</v>
      </c>
      <c r="I2302" s="91" t="str">
        <f t="shared" si="179"/>
        <v/>
      </c>
      <c r="J2302" s="91" t="str">
        <f t="shared" si="180"/>
        <v/>
      </c>
      <c r="K2302" s="92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2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58"/>
      <c r="U2302" s="217" t="str">
        <f t="shared" si="181"/>
        <v/>
      </c>
      <c r="V2302" s="215" t="s">
        <v>47</v>
      </c>
      <c r="W2302" s="102" t="s">
        <v>136</v>
      </c>
      <c r="X2302" s="102" t="s">
        <v>137</v>
      </c>
      <c r="Y2302" s="103" t="s">
        <v>138</v>
      </c>
      <c r="Z2302" s="103" t="s">
        <v>139</v>
      </c>
      <c r="AA2302" s="103" t="s">
        <v>47</v>
      </c>
      <c r="AB2302" s="103" t="s">
        <v>140</v>
      </c>
      <c r="AC2302" s="104" t="s">
        <v>141</v>
      </c>
    </row>
    <row r="2303" spans="1:29" ht="25.5" customHeight="1" x14ac:dyDescent="0.35">
      <c r="A2303" s="188"/>
      <c r="B2303" s="190"/>
      <c r="C2303" s="99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0"/>
      <c r="E2303" s="78" t="str">
        <f>IF(C2303="","",IFERROR(VLOOKUP(C2303,parametros!$A$11:$E$15,5,0),""))</f>
        <v/>
      </c>
      <c r="F2303" s="79" t="str">
        <f t="shared" si="177"/>
        <v/>
      </c>
      <c r="G2303" s="101"/>
      <c r="H2303" s="91">
        <f t="shared" si="178"/>
        <v>0</v>
      </c>
      <c r="I2303" s="91" t="str">
        <f t="shared" si="179"/>
        <v/>
      </c>
      <c r="J2303" s="91" t="str">
        <f t="shared" si="180"/>
        <v/>
      </c>
      <c r="K2303" s="92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2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58"/>
      <c r="U2303" s="217" t="str">
        <f t="shared" si="181"/>
        <v/>
      </c>
      <c r="V2303" s="215" t="s">
        <v>47</v>
      </c>
      <c r="W2303" s="102" t="s">
        <v>136</v>
      </c>
      <c r="X2303" s="102" t="s">
        <v>137</v>
      </c>
      <c r="Y2303" s="103" t="s">
        <v>138</v>
      </c>
      <c r="Z2303" s="103" t="s">
        <v>139</v>
      </c>
      <c r="AA2303" s="103" t="s">
        <v>47</v>
      </c>
      <c r="AB2303" s="103" t="s">
        <v>140</v>
      </c>
      <c r="AC2303" s="104" t="s">
        <v>141</v>
      </c>
    </row>
    <row r="2304" spans="1:29" ht="25.5" customHeight="1" x14ac:dyDescent="0.35">
      <c r="A2304" s="188"/>
      <c r="B2304" s="190"/>
      <c r="C2304" s="99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0"/>
      <c r="E2304" s="78" t="str">
        <f>IF(C2304="","",IFERROR(VLOOKUP(C2304,parametros!$A$11:$E$15,5,0),""))</f>
        <v/>
      </c>
      <c r="F2304" s="79" t="str">
        <f t="shared" si="177"/>
        <v/>
      </c>
      <c r="G2304" s="101"/>
      <c r="H2304" s="91">
        <f t="shared" si="178"/>
        <v>0</v>
      </c>
      <c r="I2304" s="91" t="str">
        <f t="shared" si="179"/>
        <v/>
      </c>
      <c r="J2304" s="91" t="str">
        <f t="shared" si="180"/>
        <v/>
      </c>
      <c r="K2304" s="92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2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58"/>
      <c r="U2304" s="217" t="str">
        <f t="shared" si="181"/>
        <v/>
      </c>
      <c r="V2304" s="215" t="s">
        <v>47</v>
      </c>
      <c r="W2304" s="102" t="s">
        <v>136</v>
      </c>
      <c r="X2304" s="102" t="s">
        <v>137</v>
      </c>
      <c r="Y2304" s="103" t="s">
        <v>138</v>
      </c>
      <c r="Z2304" s="103" t="s">
        <v>139</v>
      </c>
      <c r="AA2304" s="103" t="s">
        <v>47</v>
      </c>
      <c r="AB2304" s="103" t="s">
        <v>140</v>
      </c>
      <c r="AC2304" s="104" t="s">
        <v>141</v>
      </c>
    </row>
    <row r="2305" spans="1:29" ht="25.5" customHeight="1" x14ac:dyDescent="0.35">
      <c r="A2305" s="188"/>
      <c r="B2305" s="190"/>
      <c r="C2305" s="99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0"/>
      <c r="E2305" s="78" t="str">
        <f>IF(C2305="","",IFERROR(VLOOKUP(C2305,parametros!$A$11:$E$15,5,0),""))</f>
        <v/>
      </c>
      <c r="F2305" s="79" t="str">
        <f t="shared" si="177"/>
        <v/>
      </c>
      <c r="G2305" s="101"/>
      <c r="H2305" s="91">
        <f t="shared" si="178"/>
        <v>0</v>
      </c>
      <c r="I2305" s="91" t="str">
        <f t="shared" si="179"/>
        <v/>
      </c>
      <c r="J2305" s="91" t="str">
        <f t="shared" si="180"/>
        <v/>
      </c>
      <c r="K2305" s="92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2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58"/>
      <c r="U2305" s="217" t="str">
        <f t="shared" si="181"/>
        <v/>
      </c>
      <c r="V2305" s="215" t="s">
        <v>47</v>
      </c>
      <c r="W2305" s="102" t="s">
        <v>136</v>
      </c>
      <c r="X2305" s="102" t="s">
        <v>137</v>
      </c>
      <c r="Y2305" s="103" t="s">
        <v>138</v>
      </c>
      <c r="Z2305" s="103" t="s">
        <v>139</v>
      </c>
      <c r="AA2305" s="103" t="s">
        <v>47</v>
      </c>
      <c r="AB2305" s="103" t="s">
        <v>140</v>
      </c>
      <c r="AC2305" s="104" t="s">
        <v>141</v>
      </c>
    </row>
    <row r="2306" spans="1:29" ht="25.5" customHeight="1" x14ac:dyDescent="0.35">
      <c r="A2306" s="188"/>
      <c r="B2306" s="190"/>
      <c r="C2306" s="99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0"/>
      <c r="E2306" s="78" t="str">
        <f>IF(C2306="","",IFERROR(VLOOKUP(C2306,parametros!$A$11:$E$15,5,0),""))</f>
        <v/>
      </c>
      <c r="F2306" s="79" t="str">
        <f t="shared" ref="F2306:F2369" si="182">IF(OR(D2306="",E2306=""),"",ROUND(D2306*E2306,2))</f>
        <v/>
      </c>
      <c r="G2306" s="101"/>
      <c r="H2306" s="91">
        <f t="shared" ref="H2306:H2369" si="183">IF(G2306="Sim",IF(OR(F2306="",D2306="",L2306=""),"",IF(L2306="Sim",ROUND(F2306-D2306,2),0)),0)</f>
        <v>0</v>
      </c>
      <c r="I2306" s="91" t="str">
        <f t="shared" ref="I2306:I2369" si="184">IF(G2306="Sim",0,IF(OR(F2306="",L2306=""),"",F2306))</f>
        <v/>
      </c>
      <c r="J2306" s="91" t="str">
        <f t="shared" ref="J2306:J2369" si="185">IF(G2306="Sim",0,IF(OR(F2306="",D2306="",L2306=""),"",IF(L2306="Sim",ROUND(F2306-D2306,2),0)))</f>
        <v/>
      </c>
      <c r="K2306" s="92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2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58"/>
      <c r="U2306" s="217" t="str">
        <f t="shared" ref="U2306:U2369" si="186">IF(OR($D2306="",$H2306=""),"",ROUND($D2306+$H2306,2))</f>
        <v/>
      </c>
      <c r="V2306" s="215" t="s">
        <v>47</v>
      </c>
      <c r="W2306" s="102" t="s">
        <v>136</v>
      </c>
      <c r="X2306" s="102" t="s">
        <v>137</v>
      </c>
      <c r="Y2306" s="103" t="s">
        <v>138</v>
      </c>
      <c r="Z2306" s="103" t="s">
        <v>139</v>
      </c>
      <c r="AA2306" s="103" t="s">
        <v>47</v>
      </c>
      <c r="AB2306" s="103" t="s">
        <v>140</v>
      </c>
      <c r="AC2306" s="104" t="s">
        <v>141</v>
      </c>
    </row>
    <row r="2307" spans="1:29" ht="25.5" customHeight="1" x14ac:dyDescent="0.35">
      <c r="A2307" s="188"/>
      <c r="B2307" s="190"/>
      <c r="C2307" s="99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0"/>
      <c r="E2307" s="78" t="str">
        <f>IF(C2307="","",IFERROR(VLOOKUP(C2307,parametros!$A$11:$E$15,5,0),""))</f>
        <v/>
      </c>
      <c r="F2307" s="79" t="str">
        <f t="shared" si="182"/>
        <v/>
      </c>
      <c r="G2307" s="101"/>
      <c r="H2307" s="91">
        <f t="shared" si="183"/>
        <v>0</v>
      </c>
      <c r="I2307" s="91" t="str">
        <f t="shared" si="184"/>
        <v/>
      </c>
      <c r="J2307" s="91" t="str">
        <f t="shared" si="185"/>
        <v/>
      </c>
      <c r="K2307" s="92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2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58"/>
      <c r="U2307" s="217" t="str">
        <f t="shared" si="186"/>
        <v/>
      </c>
      <c r="V2307" s="215" t="s">
        <v>47</v>
      </c>
      <c r="W2307" s="102" t="s">
        <v>136</v>
      </c>
      <c r="X2307" s="102" t="s">
        <v>137</v>
      </c>
      <c r="Y2307" s="103" t="s">
        <v>138</v>
      </c>
      <c r="Z2307" s="103" t="s">
        <v>139</v>
      </c>
      <c r="AA2307" s="103" t="s">
        <v>47</v>
      </c>
      <c r="AB2307" s="103" t="s">
        <v>140</v>
      </c>
      <c r="AC2307" s="104" t="s">
        <v>141</v>
      </c>
    </row>
    <row r="2308" spans="1:29" ht="25.5" customHeight="1" x14ac:dyDescent="0.35">
      <c r="A2308" s="188"/>
      <c r="B2308" s="190"/>
      <c r="C2308" s="99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0"/>
      <c r="E2308" s="78" t="str">
        <f>IF(C2308="","",IFERROR(VLOOKUP(C2308,parametros!$A$11:$E$15,5,0),""))</f>
        <v/>
      </c>
      <c r="F2308" s="79" t="str">
        <f t="shared" si="182"/>
        <v/>
      </c>
      <c r="G2308" s="101"/>
      <c r="H2308" s="91">
        <f t="shared" si="183"/>
        <v>0</v>
      </c>
      <c r="I2308" s="91" t="str">
        <f t="shared" si="184"/>
        <v/>
      </c>
      <c r="J2308" s="91" t="str">
        <f t="shared" si="185"/>
        <v/>
      </c>
      <c r="K2308" s="92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2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58"/>
      <c r="U2308" s="217" t="str">
        <f t="shared" si="186"/>
        <v/>
      </c>
      <c r="V2308" s="215" t="s">
        <v>47</v>
      </c>
      <c r="W2308" s="102" t="s">
        <v>136</v>
      </c>
      <c r="X2308" s="102" t="s">
        <v>137</v>
      </c>
      <c r="Y2308" s="103" t="s">
        <v>138</v>
      </c>
      <c r="Z2308" s="103" t="s">
        <v>139</v>
      </c>
      <c r="AA2308" s="103" t="s">
        <v>47</v>
      </c>
      <c r="AB2308" s="103" t="s">
        <v>140</v>
      </c>
      <c r="AC2308" s="104" t="s">
        <v>141</v>
      </c>
    </row>
    <row r="2309" spans="1:29" ht="25.5" customHeight="1" x14ac:dyDescent="0.35">
      <c r="A2309" s="188"/>
      <c r="B2309" s="190"/>
      <c r="C2309" s="99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0"/>
      <c r="E2309" s="78" t="str">
        <f>IF(C2309="","",IFERROR(VLOOKUP(C2309,parametros!$A$11:$E$15,5,0),""))</f>
        <v/>
      </c>
      <c r="F2309" s="79" t="str">
        <f t="shared" si="182"/>
        <v/>
      </c>
      <c r="G2309" s="101"/>
      <c r="H2309" s="91">
        <f t="shared" si="183"/>
        <v>0</v>
      </c>
      <c r="I2309" s="91" t="str">
        <f t="shared" si="184"/>
        <v/>
      </c>
      <c r="J2309" s="91" t="str">
        <f t="shared" si="185"/>
        <v/>
      </c>
      <c r="K2309" s="92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2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58"/>
      <c r="U2309" s="217" t="str">
        <f t="shared" si="186"/>
        <v/>
      </c>
      <c r="V2309" s="215" t="s">
        <v>47</v>
      </c>
      <c r="W2309" s="102" t="s">
        <v>136</v>
      </c>
      <c r="X2309" s="102" t="s">
        <v>137</v>
      </c>
      <c r="Y2309" s="103" t="s">
        <v>138</v>
      </c>
      <c r="Z2309" s="103" t="s">
        <v>139</v>
      </c>
      <c r="AA2309" s="103" t="s">
        <v>47</v>
      </c>
      <c r="AB2309" s="103" t="s">
        <v>140</v>
      </c>
      <c r="AC2309" s="104" t="s">
        <v>141</v>
      </c>
    </row>
    <row r="2310" spans="1:29" ht="25.5" customHeight="1" x14ac:dyDescent="0.35">
      <c r="A2310" s="188"/>
      <c r="B2310" s="190"/>
      <c r="C2310" s="99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0"/>
      <c r="E2310" s="78" t="str">
        <f>IF(C2310="","",IFERROR(VLOOKUP(C2310,parametros!$A$11:$E$15,5,0),""))</f>
        <v/>
      </c>
      <c r="F2310" s="79" t="str">
        <f t="shared" si="182"/>
        <v/>
      </c>
      <c r="G2310" s="101"/>
      <c r="H2310" s="91">
        <f t="shared" si="183"/>
        <v>0</v>
      </c>
      <c r="I2310" s="91" t="str">
        <f t="shared" si="184"/>
        <v/>
      </c>
      <c r="J2310" s="91" t="str">
        <f t="shared" si="185"/>
        <v/>
      </c>
      <c r="K2310" s="92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2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58"/>
      <c r="U2310" s="217" t="str">
        <f t="shared" si="186"/>
        <v/>
      </c>
      <c r="V2310" s="215" t="s">
        <v>47</v>
      </c>
      <c r="W2310" s="102" t="s">
        <v>136</v>
      </c>
      <c r="X2310" s="102" t="s">
        <v>137</v>
      </c>
      <c r="Y2310" s="103" t="s">
        <v>138</v>
      </c>
      <c r="Z2310" s="103" t="s">
        <v>139</v>
      </c>
      <c r="AA2310" s="103" t="s">
        <v>47</v>
      </c>
      <c r="AB2310" s="103" t="s">
        <v>140</v>
      </c>
      <c r="AC2310" s="104" t="s">
        <v>141</v>
      </c>
    </row>
    <row r="2311" spans="1:29" ht="25.5" customHeight="1" x14ac:dyDescent="0.35">
      <c r="A2311" s="188"/>
      <c r="B2311" s="190"/>
      <c r="C2311" s="99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0"/>
      <c r="E2311" s="78" t="str">
        <f>IF(C2311="","",IFERROR(VLOOKUP(C2311,parametros!$A$11:$E$15,5,0),""))</f>
        <v/>
      </c>
      <c r="F2311" s="79" t="str">
        <f t="shared" si="182"/>
        <v/>
      </c>
      <c r="G2311" s="101"/>
      <c r="H2311" s="91">
        <f t="shared" si="183"/>
        <v>0</v>
      </c>
      <c r="I2311" s="91" t="str">
        <f t="shared" si="184"/>
        <v/>
      </c>
      <c r="J2311" s="91" t="str">
        <f t="shared" si="185"/>
        <v/>
      </c>
      <c r="K2311" s="92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2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58"/>
      <c r="U2311" s="217" t="str">
        <f t="shared" si="186"/>
        <v/>
      </c>
      <c r="V2311" s="215" t="s">
        <v>47</v>
      </c>
      <c r="W2311" s="102" t="s">
        <v>136</v>
      </c>
      <c r="X2311" s="102" t="s">
        <v>137</v>
      </c>
      <c r="Y2311" s="103" t="s">
        <v>138</v>
      </c>
      <c r="Z2311" s="103" t="s">
        <v>139</v>
      </c>
      <c r="AA2311" s="103" t="s">
        <v>47</v>
      </c>
      <c r="AB2311" s="103" t="s">
        <v>140</v>
      </c>
      <c r="AC2311" s="104" t="s">
        <v>141</v>
      </c>
    </row>
    <row r="2312" spans="1:29" ht="25.5" customHeight="1" x14ac:dyDescent="0.35">
      <c r="A2312" s="188"/>
      <c r="B2312" s="190"/>
      <c r="C2312" s="99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0"/>
      <c r="E2312" s="78" t="str">
        <f>IF(C2312="","",IFERROR(VLOOKUP(C2312,parametros!$A$11:$E$15,5,0),""))</f>
        <v/>
      </c>
      <c r="F2312" s="79" t="str">
        <f t="shared" si="182"/>
        <v/>
      </c>
      <c r="G2312" s="101"/>
      <c r="H2312" s="91">
        <f t="shared" si="183"/>
        <v>0</v>
      </c>
      <c r="I2312" s="91" t="str">
        <f t="shared" si="184"/>
        <v/>
      </c>
      <c r="J2312" s="91" t="str">
        <f t="shared" si="185"/>
        <v/>
      </c>
      <c r="K2312" s="92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2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58"/>
      <c r="U2312" s="217" t="str">
        <f t="shared" si="186"/>
        <v/>
      </c>
      <c r="V2312" s="215" t="s">
        <v>47</v>
      </c>
      <c r="W2312" s="102" t="s">
        <v>136</v>
      </c>
      <c r="X2312" s="102" t="s">
        <v>137</v>
      </c>
      <c r="Y2312" s="103" t="s">
        <v>138</v>
      </c>
      <c r="Z2312" s="103" t="s">
        <v>139</v>
      </c>
      <c r="AA2312" s="103" t="s">
        <v>47</v>
      </c>
      <c r="AB2312" s="103" t="s">
        <v>140</v>
      </c>
      <c r="AC2312" s="104" t="s">
        <v>141</v>
      </c>
    </row>
    <row r="2313" spans="1:29" ht="25.5" customHeight="1" x14ac:dyDescent="0.35">
      <c r="A2313" s="188"/>
      <c r="B2313" s="190"/>
      <c r="C2313" s="99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0"/>
      <c r="E2313" s="78" t="str">
        <f>IF(C2313="","",IFERROR(VLOOKUP(C2313,parametros!$A$11:$E$15,5,0),""))</f>
        <v/>
      </c>
      <c r="F2313" s="79" t="str">
        <f t="shared" si="182"/>
        <v/>
      </c>
      <c r="G2313" s="101"/>
      <c r="H2313" s="91">
        <f t="shared" si="183"/>
        <v>0</v>
      </c>
      <c r="I2313" s="91" t="str">
        <f t="shared" si="184"/>
        <v/>
      </c>
      <c r="J2313" s="91" t="str">
        <f t="shared" si="185"/>
        <v/>
      </c>
      <c r="K2313" s="92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2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58"/>
      <c r="U2313" s="217" t="str">
        <f t="shared" si="186"/>
        <v/>
      </c>
      <c r="V2313" s="215" t="s">
        <v>47</v>
      </c>
      <c r="W2313" s="102" t="s">
        <v>136</v>
      </c>
      <c r="X2313" s="102" t="s">
        <v>137</v>
      </c>
      <c r="Y2313" s="103" t="s">
        <v>138</v>
      </c>
      <c r="Z2313" s="103" t="s">
        <v>139</v>
      </c>
      <c r="AA2313" s="103" t="s">
        <v>47</v>
      </c>
      <c r="AB2313" s="103" t="s">
        <v>140</v>
      </c>
      <c r="AC2313" s="104" t="s">
        <v>141</v>
      </c>
    </row>
    <row r="2314" spans="1:29" ht="25.5" customHeight="1" x14ac:dyDescent="0.35">
      <c r="A2314" s="188"/>
      <c r="B2314" s="190"/>
      <c r="C2314" s="99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0"/>
      <c r="E2314" s="78" t="str">
        <f>IF(C2314="","",IFERROR(VLOOKUP(C2314,parametros!$A$11:$E$15,5,0),""))</f>
        <v/>
      </c>
      <c r="F2314" s="79" t="str">
        <f t="shared" si="182"/>
        <v/>
      </c>
      <c r="G2314" s="101"/>
      <c r="H2314" s="91">
        <f t="shared" si="183"/>
        <v>0</v>
      </c>
      <c r="I2314" s="91" t="str">
        <f t="shared" si="184"/>
        <v/>
      </c>
      <c r="J2314" s="91" t="str">
        <f t="shared" si="185"/>
        <v/>
      </c>
      <c r="K2314" s="92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2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58"/>
      <c r="U2314" s="217" t="str">
        <f t="shared" si="186"/>
        <v/>
      </c>
      <c r="V2314" s="215" t="s">
        <v>47</v>
      </c>
      <c r="W2314" s="102" t="s">
        <v>136</v>
      </c>
      <c r="X2314" s="102" t="s">
        <v>137</v>
      </c>
      <c r="Y2314" s="103" t="s">
        <v>138</v>
      </c>
      <c r="Z2314" s="103" t="s">
        <v>139</v>
      </c>
      <c r="AA2314" s="103" t="s">
        <v>47</v>
      </c>
      <c r="AB2314" s="103" t="s">
        <v>140</v>
      </c>
      <c r="AC2314" s="104" t="s">
        <v>141</v>
      </c>
    </row>
    <row r="2315" spans="1:29" ht="25.5" customHeight="1" x14ac:dyDescent="0.35">
      <c r="A2315" s="188"/>
      <c r="B2315" s="190"/>
      <c r="C2315" s="99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0"/>
      <c r="E2315" s="78" t="str">
        <f>IF(C2315="","",IFERROR(VLOOKUP(C2315,parametros!$A$11:$E$15,5,0),""))</f>
        <v/>
      </c>
      <c r="F2315" s="79" t="str">
        <f t="shared" si="182"/>
        <v/>
      </c>
      <c r="G2315" s="101"/>
      <c r="H2315" s="91">
        <f t="shared" si="183"/>
        <v>0</v>
      </c>
      <c r="I2315" s="91" t="str">
        <f t="shared" si="184"/>
        <v/>
      </c>
      <c r="J2315" s="91" t="str">
        <f t="shared" si="185"/>
        <v/>
      </c>
      <c r="K2315" s="92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2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58"/>
      <c r="U2315" s="217" t="str">
        <f t="shared" si="186"/>
        <v/>
      </c>
      <c r="V2315" s="215" t="s">
        <v>47</v>
      </c>
      <c r="W2315" s="102" t="s">
        <v>136</v>
      </c>
      <c r="X2315" s="102" t="s">
        <v>137</v>
      </c>
      <c r="Y2315" s="103" t="s">
        <v>138</v>
      </c>
      <c r="Z2315" s="103" t="s">
        <v>139</v>
      </c>
      <c r="AA2315" s="103" t="s">
        <v>47</v>
      </c>
      <c r="AB2315" s="103" t="s">
        <v>140</v>
      </c>
      <c r="AC2315" s="104" t="s">
        <v>141</v>
      </c>
    </row>
    <row r="2316" spans="1:29" ht="25.5" customHeight="1" x14ac:dyDescent="0.35">
      <c r="A2316" s="188"/>
      <c r="B2316" s="190"/>
      <c r="C2316" s="99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0"/>
      <c r="E2316" s="78" t="str">
        <f>IF(C2316="","",IFERROR(VLOOKUP(C2316,parametros!$A$11:$E$15,5,0),""))</f>
        <v/>
      </c>
      <c r="F2316" s="79" t="str">
        <f t="shared" si="182"/>
        <v/>
      </c>
      <c r="G2316" s="101"/>
      <c r="H2316" s="91">
        <f t="shared" si="183"/>
        <v>0</v>
      </c>
      <c r="I2316" s="91" t="str">
        <f t="shared" si="184"/>
        <v/>
      </c>
      <c r="J2316" s="91" t="str">
        <f t="shared" si="185"/>
        <v/>
      </c>
      <c r="K2316" s="92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2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58"/>
      <c r="U2316" s="217" t="str">
        <f t="shared" si="186"/>
        <v/>
      </c>
      <c r="V2316" s="215" t="s">
        <v>47</v>
      </c>
      <c r="W2316" s="102" t="s">
        <v>136</v>
      </c>
      <c r="X2316" s="102" t="s">
        <v>137</v>
      </c>
      <c r="Y2316" s="103" t="s">
        <v>138</v>
      </c>
      <c r="Z2316" s="103" t="s">
        <v>139</v>
      </c>
      <c r="AA2316" s="103" t="s">
        <v>47</v>
      </c>
      <c r="AB2316" s="103" t="s">
        <v>140</v>
      </c>
      <c r="AC2316" s="104" t="s">
        <v>141</v>
      </c>
    </row>
    <row r="2317" spans="1:29" ht="25.5" customHeight="1" x14ac:dyDescent="0.35">
      <c r="A2317" s="188"/>
      <c r="B2317" s="190"/>
      <c r="C2317" s="99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0"/>
      <c r="E2317" s="78" t="str">
        <f>IF(C2317="","",IFERROR(VLOOKUP(C2317,parametros!$A$11:$E$15,5,0),""))</f>
        <v/>
      </c>
      <c r="F2317" s="79" t="str">
        <f t="shared" si="182"/>
        <v/>
      </c>
      <c r="G2317" s="101"/>
      <c r="H2317" s="91">
        <f t="shared" si="183"/>
        <v>0</v>
      </c>
      <c r="I2317" s="91" t="str">
        <f t="shared" si="184"/>
        <v/>
      </c>
      <c r="J2317" s="91" t="str">
        <f t="shared" si="185"/>
        <v/>
      </c>
      <c r="K2317" s="92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2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58"/>
      <c r="U2317" s="217" t="str">
        <f t="shared" si="186"/>
        <v/>
      </c>
      <c r="V2317" s="215" t="s">
        <v>47</v>
      </c>
      <c r="W2317" s="102" t="s">
        <v>136</v>
      </c>
      <c r="X2317" s="102" t="s">
        <v>137</v>
      </c>
      <c r="Y2317" s="103" t="s">
        <v>138</v>
      </c>
      <c r="Z2317" s="103" t="s">
        <v>139</v>
      </c>
      <c r="AA2317" s="103" t="s">
        <v>47</v>
      </c>
      <c r="AB2317" s="103" t="s">
        <v>140</v>
      </c>
      <c r="AC2317" s="104" t="s">
        <v>141</v>
      </c>
    </row>
    <row r="2318" spans="1:29" ht="25.5" customHeight="1" x14ac:dyDescent="0.35">
      <c r="A2318" s="188"/>
      <c r="B2318" s="190"/>
      <c r="C2318" s="99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0"/>
      <c r="E2318" s="78" t="str">
        <f>IF(C2318="","",IFERROR(VLOOKUP(C2318,parametros!$A$11:$E$15,5,0),""))</f>
        <v/>
      </c>
      <c r="F2318" s="79" t="str">
        <f t="shared" si="182"/>
        <v/>
      </c>
      <c r="G2318" s="101"/>
      <c r="H2318" s="91">
        <f t="shared" si="183"/>
        <v>0</v>
      </c>
      <c r="I2318" s="91" t="str">
        <f t="shared" si="184"/>
        <v/>
      </c>
      <c r="J2318" s="91" t="str">
        <f t="shared" si="185"/>
        <v/>
      </c>
      <c r="K2318" s="92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2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58"/>
      <c r="U2318" s="217" t="str">
        <f t="shared" si="186"/>
        <v/>
      </c>
      <c r="V2318" s="215" t="s">
        <v>47</v>
      </c>
      <c r="W2318" s="102" t="s">
        <v>136</v>
      </c>
      <c r="X2318" s="102" t="s">
        <v>137</v>
      </c>
      <c r="Y2318" s="103" t="s">
        <v>138</v>
      </c>
      <c r="Z2318" s="103" t="s">
        <v>139</v>
      </c>
      <c r="AA2318" s="103" t="s">
        <v>47</v>
      </c>
      <c r="AB2318" s="103" t="s">
        <v>140</v>
      </c>
      <c r="AC2318" s="104" t="s">
        <v>141</v>
      </c>
    </row>
    <row r="2319" spans="1:29" ht="25.5" customHeight="1" x14ac:dyDescent="0.35">
      <c r="A2319" s="188"/>
      <c r="B2319" s="190"/>
      <c r="C2319" s="99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0"/>
      <c r="E2319" s="78" t="str">
        <f>IF(C2319="","",IFERROR(VLOOKUP(C2319,parametros!$A$11:$E$15,5,0),""))</f>
        <v/>
      </c>
      <c r="F2319" s="79" t="str">
        <f t="shared" si="182"/>
        <v/>
      </c>
      <c r="G2319" s="101"/>
      <c r="H2319" s="91">
        <f t="shared" si="183"/>
        <v>0</v>
      </c>
      <c r="I2319" s="91" t="str">
        <f t="shared" si="184"/>
        <v/>
      </c>
      <c r="J2319" s="91" t="str">
        <f t="shared" si="185"/>
        <v/>
      </c>
      <c r="K2319" s="92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2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58"/>
      <c r="U2319" s="217" t="str">
        <f t="shared" si="186"/>
        <v/>
      </c>
      <c r="V2319" s="215" t="s">
        <v>47</v>
      </c>
      <c r="W2319" s="102" t="s">
        <v>136</v>
      </c>
      <c r="X2319" s="102" t="s">
        <v>137</v>
      </c>
      <c r="Y2319" s="103" t="s">
        <v>138</v>
      </c>
      <c r="Z2319" s="103" t="s">
        <v>139</v>
      </c>
      <c r="AA2319" s="103" t="s">
        <v>47</v>
      </c>
      <c r="AB2319" s="103" t="s">
        <v>140</v>
      </c>
      <c r="AC2319" s="104" t="s">
        <v>141</v>
      </c>
    </row>
    <row r="2320" spans="1:29" ht="25.5" customHeight="1" x14ac:dyDescent="0.35">
      <c r="A2320" s="188"/>
      <c r="B2320" s="190"/>
      <c r="C2320" s="99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0"/>
      <c r="E2320" s="78" t="str">
        <f>IF(C2320="","",IFERROR(VLOOKUP(C2320,parametros!$A$11:$E$15,5,0),""))</f>
        <v/>
      </c>
      <c r="F2320" s="79" t="str">
        <f t="shared" si="182"/>
        <v/>
      </c>
      <c r="G2320" s="101"/>
      <c r="H2320" s="91">
        <f t="shared" si="183"/>
        <v>0</v>
      </c>
      <c r="I2320" s="91" t="str">
        <f t="shared" si="184"/>
        <v/>
      </c>
      <c r="J2320" s="91" t="str">
        <f t="shared" si="185"/>
        <v/>
      </c>
      <c r="K2320" s="92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2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58"/>
      <c r="U2320" s="217" t="str">
        <f t="shared" si="186"/>
        <v/>
      </c>
      <c r="V2320" s="215" t="s">
        <v>47</v>
      </c>
      <c r="W2320" s="102" t="s">
        <v>136</v>
      </c>
      <c r="X2320" s="102" t="s">
        <v>137</v>
      </c>
      <c r="Y2320" s="103" t="s">
        <v>138</v>
      </c>
      <c r="Z2320" s="103" t="s">
        <v>139</v>
      </c>
      <c r="AA2320" s="103" t="s">
        <v>47</v>
      </c>
      <c r="AB2320" s="103" t="s">
        <v>140</v>
      </c>
      <c r="AC2320" s="104" t="s">
        <v>141</v>
      </c>
    </row>
    <row r="2321" spans="1:29" ht="25.5" customHeight="1" x14ac:dyDescent="0.35">
      <c r="A2321" s="188"/>
      <c r="B2321" s="190"/>
      <c r="C2321" s="99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0"/>
      <c r="E2321" s="78" t="str">
        <f>IF(C2321="","",IFERROR(VLOOKUP(C2321,parametros!$A$11:$E$15,5,0),""))</f>
        <v/>
      </c>
      <c r="F2321" s="79" t="str">
        <f t="shared" si="182"/>
        <v/>
      </c>
      <c r="G2321" s="101"/>
      <c r="H2321" s="91">
        <f t="shared" si="183"/>
        <v>0</v>
      </c>
      <c r="I2321" s="91" t="str">
        <f t="shared" si="184"/>
        <v/>
      </c>
      <c r="J2321" s="91" t="str">
        <f t="shared" si="185"/>
        <v/>
      </c>
      <c r="K2321" s="92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2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58"/>
      <c r="U2321" s="217" t="str">
        <f t="shared" si="186"/>
        <v/>
      </c>
      <c r="V2321" s="215" t="s">
        <v>47</v>
      </c>
      <c r="W2321" s="102" t="s">
        <v>136</v>
      </c>
      <c r="X2321" s="102" t="s">
        <v>137</v>
      </c>
      <c r="Y2321" s="103" t="s">
        <v>138</v>
      </c>
      <c r="Z2321" s="103" t="s">
        <v>139</v>
      </c>
      <c r="AA2321" s="103" t="s">
        <v>47</v>
      </c>
      <c r="AB2321" s="103" t="s">
        <v>140</v>
      </c>
      <c r="AC2321" s="104" t="s">
        <v>141</v>
      </c>
    </row>
    <row r="2322" spans="1:29" ht="25.5" customHeight="1" x14ac:dyDescent="0.35">
      <c r="A2322" s="188"/>
      <c r="B2322" s="190"/>
      <c r="C2322" s="99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0"/>
      <c r="E2322" s="78" t="str">
        <f>IF(C2322="","",IFERROR(VLOOKUP(C2322,parametros!$A$11:$E$15,5,0),""))</f>
        <v/>
      </c>
      <c r="F2322" s="79" t="str">
        <f t="shared" si="182"/>
        <v/>
      </c>
      <c r="G2322" s="101"/>
      <c r="H2322" s="91">
        <f t="shared" si="183"/>
        <v>0</v>
      </c>
      <c r="I2322" s="91" t="str">
        <f t="shared" si="184"/>
        <v/>
      </c>
      <c r="J2322" s="91" t="str">
        <f t="shared" si="185"/>
        <v/>
      </c>
      <c r="K2322" s="92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2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58"/>
      <c r="U2322" s="217" t="str">
        <f t="shared" si="186"/>
        <v/>
      </c>
      <c r="V2322" s="215" t="s">
        <v>47</v>
      </c>
      <c r="W2322" s="102" t="s">
        <v>136</v>
      </c>
      <c r="X2322" s="102" t="s">
        <v>137</v>
      </c>
      <c r="Y2322" s="103" t="s">
        <v>138</v>
      </c>
      <c r="Z2322" s="103" t="s">
        <v>139</v>
      </c>
      <c r="AA2322" s="103" t="s">
        <v>47</v>
      </c>
      <c r="AB2322" s="103" t="s">
        <v>140</v>
      </c>
      <c r="AC2322" s="104" t="s">
        <v>141</v>
      </c>
    </row>
    <row r="2323" spans="1:29" ht="25.5" customHeight="1" x14ac:dyDescent="0.35">
      <c r="A2323" s="188"/>
      <c r="B2323" s="190"/>
      <c r="C2323" s="99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0"/>
      <c r="E2323" s="78" t="str">
        <f>IF(C2323="","",IFERROR(VLOOKUP(C2323,parametros!$A$11:$E$15,5,0),""))</f>
        <v/>
      </c>
      <c r="F2323" s="79" t="str">
        <f t="shared" si="182"/>
        <v/>
      </c>
      <c r="G2323" s="101"/>
      <c r="H2323" s="91">
        <f t="shared" si="183"/>
        <v>0</v>
      </c>
      <c r="I2323" s="91" t="str">
        <f t="shared" si="184"/>
        <v/>
      </c>
      <c r="J2323" s="91" t="str">
        <f t="shared" si="185"/>
        <v/>
      </c>
      <c r="K2323" s="92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2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58"/>
      <c r="U2323" s="217" t="str">
        <f t="shared" si="186"/>
        <v/>
      </c>
      <c r="V2323" s="215" t="s">
        <v>47</v>
      </c>
      <c r="W2323" s="102" t="s">
        <v>136</v>
      </c>
      <c r="X2323" s="102" t="s">
        <v>137</v>
      </c>
      <c r="Y2323" s="103" t="s">
        <v>138</v>
      </c>
      <c r="Z2323" s="103" t="s">
        <v>139</v>
      </c>
      <c r="AA2323" s="103" t="s">
        <v>47</v>
      </c>
      <c r="AB2323" s="103" t="s">
        <v>140</v>
      </c>
      <c r="AC2323" s="104" t="s">
        <v>141</v>
      </c>
    </row>
    <row r="2324" spans="1:29" ht="25.5" customHeight="1" x14ac:dyDescent="0.35">
      <c r="A2324" s="188"/>
      <c r="B2324" s="190"/>
      <c r="C2324" s="99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0"/>
      <c r="E2324" s="78" t="str">
        <f>IF(C2324="","",IFERROR(VLOOKUP(C2324,parametros!$A$11:$E$15,5,0),""))</f>
        <v/>
      </c>
      <c r="F2324" s="79" t="str">
        <f t="shared" si="182"/>
        <v/>
      </c>
      <c r="G2324" s="101"/>
      <c r="H2324" s="91">
        <f t="shared" si="183"/>
        <v>0</v>
      </c>
      <c r="I2324" s="91" t="str">
        <f t="shared" si="184"/>
        <v/>
      </c>
      <c r="J2324" s="91" t="str">
        <f t="shared" si="185"/>
        <v/>
      </c>
      <c r="K2324" s="92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2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58"/>
      <c r="U2324" s="217" t="str">
        <f t="shared" si="186"/>
        <v/>
      </c>
      <c r="V2324" s="215" t="s">
        <v>47</v>
      </c>
      <c r="W2324" s="102" t="s">
        <v>136</v>
      </c>
      <c r="X2324" s="102" t="s">
        <v>137</v>
      </c>
      <c r="Y2324" s="103" t="s">
        <v>138</v>
      </c>
      <c r="Z2324" s="103" t="s">
        <v>139</v>
      </c>
      <c r="AA2324" s="103" t="s">
        <v>47</v>
      </c>
      <c r="AB2324" s="103" t="s">
        <v>140</v>
      </c>
      <c r="AC2324" s="104" t="s">
        <v>141</v>
      </c>
    </row>
    <row r="2325" spans="1:29" ht="25.5" customHeight="1" x14ac:dyDescent="0.35">
      <c r="A2325" s="188"/>
      <c r="B2325" s="190"/>
      <c r="C2325" s="99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0"/>
      <c r="E2325" s="78" t="str">
        <f>IF(C2325="","",IFERROR(VLOOKUP(C2325,parametros!$A$11:$E$15,5,0),""))</f>
        <v/>
      </c>
      <c r="F2325" s="79" t="str">
        <f t="shared" si="182"/>
        <v/>
      </c>
      <c r="G2325" s="101"/>
      <c r="H2325" s="91">
        <f t="shared" si="183"/>
        <v>0</v>
      </c>
      <c r="I2325" s="91" t="str">
        <f t="shared" si="184"/>
        <v/>
      </c>
      <c r="J2325" s="91" t="str">
        <f t="shared" si="185"/>
        <v/>
      </c>
      <c r="K2325" s="92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2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58"/>
      <c r="U2325" s="217" t="str">
        <f t="shared" si="186"/>
        <v/>
      </c>
      <c r="V2325" s="215" t="s">
        <v>47</v>
      </c>
      <c r="W2325" s="102" t="s">
        <v>136</v>
      </c>
      <c r="X2325" s="102" t="s">
        <v>137</v>
      </c>
      <c r="Y2325" s="103" t="s">
        <v>138</v>
      </c>
      <c r="Z2325" s="103" t="s">
        <v>139</v>
      </c>
      <c r="AA2325" s="103" t="s">
        <v>47</v>
      </c>
      <c r="AB2325" s="103" t="s">
        <v>140</v>
      </c>
      <c r="AC2325" s="104" t="s">
        <v>141</v>
      </c>
    </row>
    <row r="2326" spans="1:29" ht="25.5" customHeight="1" x14ac:dyDescent="0.35">
      <c r="A2326" s="188"/>
      <c r="B2326" s="190"/>
      <c r="C2326" s="99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0"/>
      <c r="E2326" s="78" t="str">
        <f>IF(C2326="","",IFERROR(VLOOKUP(C2326,parametros!$A$11:$E$15,5,0),""))</f>
        <v/>
      </c>
      <c r="F2326" s="79" t="str">
        <f t="shared" si="182"/>
        <v/>
      </c>
      <c r="G2326" s="101"/>
      <c r="H2326" s="91">
        <f t="shared" si="183"/>
        <v>0</v>
      </c>
      <c r="I2326" s="91" t="str">
        <f t="shared" si="184"/>
        <v/>
      </c>
      <c r="J2326" s="91" t="str">
        <f t="shared" si="185"/>
        <v/>
      </c>
      <c r="K2326" s="92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2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58"/>
      <c r="U2326" s="217" t="str">
        <f t="shared" si="186"/>
        <v/>
      </c>
      <c r="V2326" s="215" t="s">
        <v>47</v>
      </c>
      <c r="W2326" s="102" t="s">
        <v>136</v>
      </c>
      <c r="X2326" s="102" t="s">
        <v>137</v>
      </c>
      <c r="Y2326" s="103" t="s">
        <v>138</v>
      </c>
      <c r="Z2326" s="103" t="s">
        <v>139</v>
      </c>
      <c r="AA2326" s="103" t="s">
        <v>47</v>
      </c>
      <c r="AB2326" s="103" t="s">
        <v>140</v>
      </c>
      <c r="AC2326" s="104" t="s">
        <v>141</v>
      </c>
    </row>
    <row r="2327" spans="1:29" ht="25.5" customHeight="1" x14ac:dyDescent="0.35">
      <c r="A2327" s="188"/>
      <c r="B2327" s="190"/>
      <c r="C2327" s="99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0"/>
      <c r="E2327" s="78" t="str">
        <f>IF(C2327="","",IFERROR(VLOOKUP(C2327,parametros!$A$11:$E$15,5,0),""))</f>
        <v/>
      </c>
      <c r="F2327" s="79" t="str">
        <f t="shared" si="182"/>
        <v/>
      </c>
      <c r="G2327" s="101"/>
      <c r="H2327" s="91">
        <f t="shared" si="183"/>
        <v>0</v>
      </c>
      <c r="I2327" s="91" t="str">
        <f t="shared" si="184"/>
        <v/>
      </c>
      <c r="J2327" s="91" t="str">
        <f t="shared" si="185"/>
        <v/>
      </c>
      <c r="K2327" s="92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2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58"/>
      <c r="U2327" s="217" t="str">
        <f t="shared" si="186"/>
        <v/>
      </c>
      <c r="V2327" s="215" t="s">
        <v>47</v>
      </c>
      <c r="W2327" s="102" t="s">
        <v>136</v>
      </c>
      <c r="X2327" s="102" t="s">
        <v>137</v>
      </c>
      <c r="Y2327" s="103" t="s">
        <v>138</v>
      </c>
      <c r="Z2327" s="103" t="s">
        <v>139</v>
      </c>
      <c r="AA2327" s="103" t="s">
        <v>47</v>
      </c>
      <c r="AB2327" s="103" t="s">
        <v>140</v>
      </c>
      <c r="AC2327" s="104" t="s">
        <v>141</v>
      </c>
    </row>
    <row r="2328" spans="1:29" ht="25.5" customHeight="1" x14ac:dyDescent="0.35">
      <c r="A2328" s="188"/>
      <c r="B2328" s="190"/>
      <c r="C2328" s="99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0"/>
      <c r="E2328" s="78" t="str">
        <f>IF(C2328="","",IFERROR(VLOOKUP(C2328,parametros!$A$11:$E$15,5,0),""))</f>
        <v/>
      </c>
      <c r="F2328" s="79" t="str">
        <f t="shared" si="182"/>
        <v/>
      </c>
      <c r="G2328" s="101"/>
      <c r="H2328" s="91">
        <f t="shared" si="183"/>
        <v>0</v>
      </c>
      <c r="I2328" s="91" t="str">
        <f t="shared" si="184"/>
        <v/>
      </c>
      <c r="J2328" s="91" t="str">
        <f t="shared" si="185"/>
        <v/>
      </c>
      <c r="K2328" s="92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2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58"/>
      <c r="U2328" s="217" t="str">
        <f t="shared" si="186"/>
        <v/>
      </c>
      <c r="V2328" s="215" t="s">
        <v>47</v>
      </c>
      <c r="W2328" s="102" t="s">
        <v>136</v>
      </c>
      <c r="X2328" s="102" t="s">
        <v>137</v>
      </c>
      <c r="Y2328" s="103" t="s">
        <v>138</v>
      </c>
      <c r="Z2328" s="103" t="s">
        <v>139</v>
      </c>
      <c r="AA2328" s="103" t="s">
        <v>47</v>
      </c>
      <c r="AB2328" s="103" t="s">
        <v>140</v>
      </c>
      <c r="AC2328" s="104" t="s">
        <v>141</v>
      </c>
    </row>
    <row r="2329" spans="1:29" ht="25.5" customHeight="1" x14ac:dyDescent="0.35">
      <c r="A2329" s="188"/>
      <c r="B2329" s="190"/>
      <c r="C2329" s="99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0"/>
      <c r="E2329" s="78" t="str">
        <f>IF(C2329="","",IFERROR(VLOOKUP(C2329,parametros!$A$11:$E$15,5,0),""))</f>
        <v/>
      </c>
      <c r="F2329" s="79" t="str">
        <f t="shared" si="182"/>
        <v/>
      </c>
      <c r="G2329" s="101"/>
      <c r="H2329" s="91">
        <f t="shared" si="183"/>
        <v>0</v>
      </c>
      <c r="I2329" s="91" t="str">
        <f t="shared" si="184"/>
        <v/>
      </c>
      <c r="J2329" s="91" t="str">
        <f t="shared" si="185"/>
        <v/>
      </c>
      <c r="K2329" s="92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2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58"/>
      <c r="U2329" s="217" t="str">
        <f t="shared" si="186"/>
        <v/>
      </c>
      <c r="V2329" s="215" t="s">
        <v>47</v>
      </c>
      <c r="W2329" s="102" t="s">
        <v>136</v>
      </c>
      <c r="X2329" s="102" t="s">
        <v>137</v>
      </c>
      <c r="Y2329" s="103" t="s">
        <v>138</v>
      </c>
      <c r="Z2329" s="103" t="s">
        <v>139</v>
      </c>
      <c r="AA2329" s="103" t="s">
        <v>47</v>
      </c>
      <c r="AB2329" s="103" t="s">
        <v>140</v>
      </c>
      <c r="AC2329" s="104" t="s">
        <v>141</v>
      </c>
    </row>
    <row r="2330" spans="1:29" ht="25.5" customHeight="1" x14ac:dyDescent="0.35">
      <c r="A2330" s="188"/>
      <c r="B2330" s="190"/>
      <c r="C2330" s="99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0"/>
      <c r="E2330" s="78" t="str">
        <f>IF(C2330="","",IFERROR(VLOOKUP(C2330,parametros!$A$11:$E$15,5,0),""))</f>
        <v/>
      </c>
      <c r="F2330" s="79" t="str">
        <f t="shared" si="182"/>
        <v/>
      </c>
      <c r="G2330" s="101"/>
      <c r="H2330" s="91">
        <f t="shared" si="183"/>
        <v>0</v>
      </c>
      <c r="I2330" s="91" t="str">
        <f t="shared" si="184"/>
        <v/>
      </c>
      <c r="J2330" s="91" t="str">
        <f t="shared" si="185"/>
        <v/>
      </c>
      <c r="K2330" s="92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2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58"/>
      <c r="U2330" s="217" t="str">
        <f t="shared" si="186"/>
        <v/>
      </c>
      <c r="V2330" s="215" t="s">
        <v>47</v>
      </c>
      <c r="W2330" s="102" t="s">
        <v>136</v>
      </c>
      <c r="X2330" s="102" t="s">
        <v>137</v>
      </c>
      <c r="Y2330" s="103" t="s">
        <v>138</v>
      </c>
      <c r="Z2330" s="103" t="s">
        <v>139</v>
      </c>
      <c r="AA2330" s="103" t="s">
        <v>47</v>
      </c>
      <c r="AB2330" s="103" t="s">
        <v>140</v>
      </c>
      <c r="AC2330" s="104" t="s">
        <v>141</v>
      </c>
    </row>
    <row r="2331" spans="1:29" ht="25.5" customHeight="1" x14ac:dyDescent="0.35">
      <c r="A2331" s="188"/>
      <c r="B2331" s="190"/>
      <c r="C2331" s="99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0"/>
      <c r="E2331" s="78" t="str">
        <f>IF(C2331="","",IFERROR(VLOOKUP(C2331,parametros!$A$11:$E$15,5,0),""))</f>
        <v/>
      </c>
      <c r="F2331" s="79" t="str">
        <f t="shared" si="182"/>
        <v/>
      </c>
      <c r="G2331" s="101"/>
      <c r="H2331" s="91">
        <f t="shared" si="183"/>
        <v>0</v>
      </c>
      <c r="I2331" s="91" t="str">
        <f t="shared" si="184"/>
        <v/>
      </c>
      <c r="J2331" s="91" t="str">
        <f t="shared" si="185"/>
        <v/>
      </c>
      <c r="K2331" s="92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2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58"/>
      <c r="U2331" s="217" t="str">
        <f t="shared" si="186"/>
        <v/>
      </c>
      <c r="V2331" s="215" t="s">
        <v>47</v>
      </c>
      <c r="W2331" s="102" t="s">
        <v>136</v>
      </c>
      <c r="X2331" s="102" t="s">
        <v>137</v>
      </c>
      <c r="Y2331" s="103" t="s">
        <v>138</v>
      </c>
      <c r="Z2331" s="103" t="s">
        <v>139</v>
      </c>
      <c r="AA2331" s="103" t="s">
        <v>47</v>
      </c>
      <c r="AB2331" s="103" t="s">
        <v>140</v>
      </c>
      <c r="AC2331" s="104" t="s">
        <v>141</v>
      </c>
    </row>
    <row r="2332" spans="1:29" ht="25.5" customHeight="1" x14ac:dyDescent="0.35">
      <c r="A2332" s="188"/>
      <c r="B2332" s="190"/>
      <c r="C2332" s="99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0"/>
      <c r="E2332" s="78" t="str">
        <f>IF(C2332="","",IFERROR(VLOOKUP(C2332,parametros!$A$11:$E$15,5,0),""))</f>
        <v/>
      </c>
      <c r="F2332" s="79" t="str">
        <f t="shared" si="182"/>
        <v/>
      </c>
      <c r="G2332" s="101"/>
      <c r="H2332" s="91">
        <f t="shared" si="183"/>
        <v>0</v>
      </c>
      <c r="I2332" s="91" t="str">
        <f t="shared" si="184"/>
        <v/>
      </c>
      <c r="J2332" s="91" t="str">
        <f t="shared" si="185"/>
        <v/>
      </c>
      <c r="K2332" s="92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2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58"/>
      <c r="U2332" s="217" t="str">
        <f t="shared" si="186"/>
        <v/>
      </c>
      <c r="V2332" s="215" t="s">
        <v>47</v>
      </c>
      <c r="W2332" s="102" t="s">
        <v>136</v>
      </c>
      <c r="X2332" s="102" t="s">
        <v>137</v>
      </c>
      <c r="Y2332" s="103" t="s">
        <v>138</v>
      </c>
      <c r="Z2332" s="103" t="s">
        <v>139</v>
      </c>
      <c r="AA2332" s="103" t="s">
        <v>47</v>
      </c>
      <c r="AB2332" s="103" t="s">
        <v>140</v>
      </c>
      <c r="AC2332" s="104" t="s">
        <v>141</v>
      </c>
    </row>
    <row r="2333" spans="1:29" ht="25.5" customHeight="1" x14ac:dyDescent="0.35">
      <c r="A2333" s="188"/>
      <c r="B2333" s="190"/>
      <c r="C2333" s="99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0"/>
      <c r="E2333" s="78" t="str">
        <f>IF(C2333="","",IFERROR(VLOOKUP(C2333,parametros!$A$11:$E$15,5,0),""))</f>
        <v/>
      </c>
      <c r="F2333" s="79" t="str">
        <f t="shared" si="182"/>
        <v/>
      </c>
      <c r="G2333" s="101"/>
      <c r="H2333" s="91">
        <f t="shared" si="183"/>
        <v>0</v>
      </c>
      <c r="I2333" s="91" t="str">
        <f t="shared" si="184"/>
        <v/>
      </c>
      <c r="J2333" s="91" t="str">
        <f t="shared" si="185"/>
        <v/>
      </c>
      <c r="K2333" s="92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2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58"/>
      <c r="U2333" s="217" t="str">
        <f t="shared" si="186"/>
        <v/>
      </c>
      <c r="V2333" s="215" t="s">
        <v>47</v>
      </c>
      <c r="W2333" s="102" t="s">
        <v>136</v>
      </c>
      <c r="X2333" s="102" t="s">
        <v>137</v>
      </c>
      <c r="Y2333" s="103" t="s">
        <v>138</v>
      </c>
      <c r="Z2333" s="103" t="s">
        <v>139</v>
      </c>
      <c r="AA2333" s="103" t="s">
        <v>47</v>
      </c>
      <c r="AB2333" s="103" t="s">
        <v>140</v>
      </c>
      <c r="AC2333" s="104" t="s">
        <v>141</v>
      </c>
    </row>
    <row r="2334" spans="1:29" ht="25.5" customHeight="1" x14ac:dyDescent="0.35">
      <c r="A2334" s="188"/>
      <c r="B2334" s="190"/>
      <c r="C2334" s="99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0"/>
      <c r="E2334" s="78" t="str">
        <f>IF(C2334="","",IFERROR(VLOOKUP(C2334,parametros!$A$11:$E$15,5,0),""))</f>
        <v/>
      </c>
      <c r="F2334" s="79" t="str">
        <f t="shared" si="182"/>
        <v/>
      </c>
      <c r="G2334" s="101"/>
      <c r="H2334" s="91">
        <f t="shared" si="183"/>
        <v>0</v>
      </c>
      <c r="I2334" s="91" t="str">
        <f t="shared" si="184"/>
        <v/>
      </c>
      <c r="J2334" s="91" t="str">
        <f t="shared" si="185"/>
        <v/>
      </c>
      <c r="K2334" s="92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2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58"/>
      <c r="U2334" s="217" t="str">
        <f t="shared" si="186"/>
        <v/>
      </c>
      <c r="V2334" s="215" t="s">
        <v>47</v>
      </c>
      <c r="W2334" s="102" t="s">
        <v>136</v>
      </c>
      <c r="X2334" s="102" t="s">
        <v>137</v>
      </c>
      <c r="Y2334" s="103" t="s">
        <v>138</v>
      </c>
      <c r="Z2334" s="103" t="s">
        <v>139</v>
      </c>
      <c r="AA2334" s="103" t="s">
        <v>47</v>
      </c>
      <c r="AB2334" s="103" t="s">
        <v>140</v>
      </c>
      <c r="AC2334" s="104" t="s">
        <v>141</v>
      </c>
    </row>
    <row r="2335" spans="1:29" ht="25.5" customHeight="1" x14ac:dyDescent="0.35">
      <c r="A2335" s="188"/>
      <c r="B2335" s="190"/>
      <c r="C2335" s="99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0"/>
      <c r="E2335" s="78" t="str">
        <f>IF(C2335="","",IFERROR(VLOOKUP(C2335,parametros!$A$11:$E$15,5,0),""))</f>
        <v/>
      </c>
      <c r="F2335" s="79" t="str">
        <f t="shared" si="182"/>
        <v/>
      </c>
      <c r="G2335" s="101"/>
      <c r="H2335" s="91">
        <f t="shared" si="183"/>
        <v>0</v>
      </c>
      <c r="I2335" s="91" t="str">
        <f t="shared" si="184"/>
        <v/>
      </c>
      <c r="J2335" s="91" t="str">
        <f t="shared" si="185"/>
        <v/>
      </c>
      <c r="K2335" s="92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2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58"/>
      <c r="U2335" s="217" t="str">
        <f t="shared" si="186"/>
        <v/>
      </c>
      <c r="V2335" s="215" t="s">
        <v>47</v>
      </c>
      <c r="W2335" s="102" t="s">
        <v>136</v>
      </c>
      <c r="X2335" s="102" t="s">
        <v>137</v>
      </c>
      <c r="Y2335" s="103" t="s">
        <v>138</v>
      </c>
      <c r="Z2335" s="103" t="s">
        <v>139</v>
      </c>
      <c r="AA2335" s="103" t="s">
        <v>47</v>
      </c>
      <c r="AB2335" s="103" t="s">
        <v>140</v>
      </c>
      <c r="AC2335" s="104" t="s">
        <v>141</v>
      </c>
    </row>
    <row r="2336" spans="1:29" ht="25.5" customHeight="1" x14ac:dyDescent="0.35">
      <c r="A2336" s="188"/>
      <c r="B2336" s="190"/>
      <c r="C2336" s="99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0"/>
      <c r="E2336" s="78" t="str">
        <f>IF(C2336="","",IFERROR(VLOOKUP(C2336,parametros!$A$11:$E$15,5,0),""))</f>
        <v/>
      </c>
      <c r="F2336" s="79" t="str">
        <f t="shared" si="182"/>
        <v/>
      </c>
      <c r="G2336" s="101"/>
      <c r="H2336" s="91">
        <f t="shared" si="183"/>
        <v>0</v>
      </c>
      <c r="I2336" s="91" t="str">
        <f t="shared" si="184"/>
        <v/>
      </c>
      <c r="J2336" s="91" t="str">
        <f t="shared" si="185"/>
        <v/>
      </c>
      <c r="K2336" s="92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2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58"/>
      <c r="U2336" s="217" t="str">
        <f t="shared" si="186"/>
        <v/>
      </c>
      <c r="V2336" s="215" t="s">
        <v>47</v>
      </c>
      <c r="W2336" s="102" t="s">
        <v>136</v>
      </c>
      <c r="X2336" s="102" t="s">
        <v>137</v>
      </c>
      <c r="Y2336" s="103" t="s">
        <v>138</v>
      </c>
      <c r="Z2336" s="103" t="s">
        <v>139</v>
      </c>
      <c r="AA2336" s="103" t="s">
        <v>47</v>
      </c>
      <c r="AB2336" s="103" t="s">
        <v>140</v>
      </c>
      <c r="AC2336" s="104" t="s">
        <v>141</v>
      </c>
    </row>
    <row r="2337" spans="1:29" ht="25.5" customHeight="1" x14ac:dyDescent="0.35">
      <c r="A2337" s="188"/>
      <c r="B2337" s="190"/>
      <c r="C2337" s="99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0"/>
      <c r="E2337" s="78" t="str">
        <f>IF(C2337="","",IFERROR(VLOOKUP(C2337,parametros!$A$11:$E$15,5,0),""))</f>
        <v/>
      </c>
      <c r="F2337" s="79" t="str">
        <f t="shared" si="182"/>
        <v/>
      </c>
      <c r="G2337" s="101"/>
      <c r="H2337" s="91">
        <f t="shared" si="183"/>
        <v>0</v>
      </c>
      <c r="I2337" s="91" t="str">
        <f t="shared" si="184"/>
        <v/>
      </c>
      <c r="J2337" s="91" t="str">
        <f t="shared" si="185"/>
        <v/>
      </c>
      <c r="K2337" s="92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2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58"/>
      <c r="U2337" s="217" t="str">
        <f t="shared" si="186"/>
        <v/>
      </c>
      <c r="V2337" s="215" t="s">
        <v>47</v>
      </c>
      <c r="W2337" s="102" t="s">
        <v>136</v>
      </c>
      <c r="X2337" s="102" t="s">
        <v>137</v>
      </c>
      <c r="Y2337" s="103" t="s">
        <v>138</v>
      </c>
      <c r="Z2337" s="103" t="s">
        <v>139</v>
      </c>
      <c r="AA2337" s="103" t="s">
        <v>47</v>
      </c>
      <c r="AB2337" s="103" t="s">
        <v>140</v>
      </c>
      <c r="AC2337" s="104" t="s">
        <v>141</v>
      </c>
    </row>
    <row r="2338" spans="1:29" ht="25.5" customHeight="1" x14ac:dyDescent="0.35">
      <c r="A2338" s="188"/>
      <c r="B2338" s="190"/>
      <c r="C2338" s="99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0"/>
      <c r="E2338" s="78" t="str">
        <f>IF(C2338="","",IFERROR(VLOOKUP(C2338,parametros!$A$11:$E$15,5,0),""))</f>
        <v/>
      </c>
      <c r="F2338" s="79" t="str">
        <f t="shared" si="182"/>
        <v/>
      </c>
      <c r="G2338" s="101"/>
      <c r="H2338" s="91">
        <f t="shared" si="183"/>
        <v>0</v>
      </c>
      <c r="I2338" s="91" t="str">
        <f t="shared" si="184"/>
        <v/>
      </c>
      <c r="J2338" s="91" t="str">
        <f t="shared" si="185"/>
        <v/>
      </c>
      <c r="K2338" s="92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2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58"/>
      <c r="U2338" s="217" t="str">
        <f t="shared" si="186"/>
        <v/>
      </c>
      <c r="V2338" s="215" t="s">
        <v>47</v>
      </c>
      <c r="W2338" s="102" t="s">
        <v>136</v>
      </c>
      <c r="X2338" s="102" t="s">
        <v>137</v>
      </c>
      <c r="Y2338" s="103" t="s">
        <v>138</v>
      </c>
      <c r="Z2338" s="103" t="s">
        <v>139</v>
      </c>
      <c r="AA2338" s="103" t="s">
        <v>47</v>
      </c>
      <c r="AB2338" s="103" t="s">
        <v>140</v>
      </c>
      <c r="AC2338" s="104" t="s">
        <v>141</v>
      </c>
    </row>
    <row r="2339" spans="1:29" ht="25.5" customHeight="1" x14ac:dyDescent="0.35">
      <c r="A2339" s="188"/>
      <c r="B2339" s="190"/>
      <c r="C2339" s="99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0"/>
      <c r="E2339" s="78" t="str">
        <f>IF(C2339="","",IFERROR(VLOOKUP(C2339,parametros!$A$11:$E$15,5,0),""))</f>
        <v/>
      </c>
      <c r="F2339" s="79" t="str">
        <f t="shared" si="182"/>
        <v/>
      </c>
      <c r="G2339" s="101"/>
      <c r="H2339" s="91">
        <f t="shared" si="183"/>
        <v>0</v>
      </c>
      <c r="I2339" s="91" t="str">
        <f t="shared" si="184"/>
        <v/>
      </c>
      <c r="J2339" s="91" t="str">
        <f t="shared" si="185"/>
        <v/>
      </c>
      <c r="K2339" s="92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2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58"/>
      <c r="U2339" s="217" t="str">
        <f t="shared" si="186"/>
        <v/>
      </c>
      <c r="V2339" s="215" t="s">
        <v>47</v>
      </c>
      <c r="W2339" s="102" t="s">
        <v>136</v>
      </c>
      <c r="X2339" s="102" t="s">
        <v>137</v>
      </c>
      <c r="Y2339" s="103" t="s">
        <v>138</v>
      </c>
      <c r="Z2339" s="103" t="s">
        <v>139</v>
      </c>
      <c r="AA2339" s="103" t="s">
        <v>47</v>
      </c>
      <c r="AB2339" s="103" t="s">
        <v>140</v>
      </c>
      <c r="AC2339" s="104" t="s">
        <v>141</v>
      </c>
    </row>
    <row r="2340" spans="1:29" ht="25.5" customHeight="1" x14ac:dyDescent="0.35">
      <c r="A2340" s="188"/>
      <c r="B2340" s="190"/>
      <c r="C2340" s="99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0"/>
      <c r="E2340" s="78" t="str">
        <f>IF(C2340="","",IFERROR(VLOOKUP(C2340,parametros!$A$11:$E$15,5,0),""))</f>
        <v/>
      </c>
      <c r="F2340" s="79" t="str">
        <f t="shared" si="182"/>
        <v/>
      </c>
      <c r="G2340" s="101"/>
      <c r="H2340" s="91">
        <f t="shared" si="183"/>
        <v>0</v>
      </c>
      <c r="I2340" s="91" t="str">
        <f t="shared" si="184"/>
        <v/>
      </c>
      <c r="J2340" s="91" t="str">
        <f t="shared" si="185"/>
        <v/>
      </c>
      <c r="K2340" s="92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2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58"/>
      <c r="U2340" s="217" t="str">
        <f t="shared" si="186"/>
        <v/>
      </c>
      <c r="V2340" s="215" t="s">
        <v>47</v>
      </c>
      <c r="W2340" s="102" t="s">
        <v>136</v>
      </c>
      <c r="X2340" s="102" t="s">
        <v>137</v>
      </c>
      <c r="Y2340" s="103" t="s">
        <v>138</v>
      </c>
      <c r="Z2340" s="103" t="s">
        <v>139</v>
      </c>
      <c r="AA2340" s="103" t="s">
        <v>47</v>
      </c>
      <c r="AB2340" s="103" t="s">
        <v>140</v>
      </c>
      <c r="AC2340" s="104" t="s">
        <v>141</v>
      </c>
    </row>
    <row r="2341" spans="1:29" ht="25.5" customHeight="1" x14ac:dyDescent="0.35">
      <c r="A2341" s="188"/>
      <c r="B2341" s="190"/>
      <c r="C2341" s="99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0"/>
      <c r="E2341" s="78" t="str">
        <f>IF(C2341="","",IFERROR(VLOOKUP(C2341,parametros!$A$11:$E$15,5,0),""))</f>
        <v/>
      </c>
      <c r="F2341" s="79" t="str">
        <f t="shared" si="182"/>
        <v/>
      </c>
      <c r="G2341" s="101"/>
      <c r="H2341" s="91">
        <f t="shared" si="183"/>
        <v>0</v>
      </c>
      <c r="I2341" s="91" t="str">
        <f t="shared" si="184"/>
        <v/>
      </c>
      <c r="J2341" s="91" t="str">
        <f t="shared" si="185"/>
        <v/>
      </c>
      <c r="K2341" s="92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2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58"/>
      <c r="U2341" s="217" t="str">
        <f t="shared" si="186"/>
        <v/>
      </c>
      <c r="V2341" s="215" t="s">
        <v>47</v>
      </c>
      <c r="W2341" s="102" t="s">
        <v>136</v>
      </c>
      <c r="X2341" s="102" t="s">
        <v>137</v>
      </c>
      <c r="Y2341" s="103" t="s">
        <v>138</v>
      </c>
      <c r="Z2341" s="103" t="s">
        <v>139</v>
      </c>
      <c r="AA2341" s="103" t="s">
        <v>47</v>
      </c>
      <c r="AB2341" s="103" t="s">
        <v>140</v>
      </c>
      <c r="AC2341" s="104" t="s">
        <v>141</v>
      </c>
    </row>
    <row r="2342" spans="1:29" ht="25.5" customHeight="1" x14ac:dyDescent="0.35">
      <c r="A2342" s="188"/>
      <c r="B2342" s="190"/>
      <c r="C2342" s="99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0"/>
      <c r="E2342" s="78" t="str">
        <f>IF(C2342="","",IFERROR(VLOOKUP(C2342,parametros!$A$11:$E$15,5,0),""))</f>
        <v/>
      </c>
      <c r="F2342" s="79" t="str">
        <f t="shared" si="182"/>
        <v/>
      </c>
      <c r="G2342" s="101"/>
      <c r="H2342" s="91">
        <f t="shared" si="183"/>
        <v>0</v>
      </c>
      <c r="I2342" s="91" t="str">
        <f t="shared" si="184"/>
        <v/>
      </c>
      <c r="J2342" s="91" t="str">
        <f t="shared" si="185"/>
        <v/>
      </c>
      <c r="K2342" s="92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2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58"/>
      <c r="U2342" s="217" t="str">
        <f t="shared" si="186"/>
        <v/>
      </c>
      <c r="V2342" s="215" t="s">
        <v>47</v>
      </c>
      <c r="W2342" s="102" t="s">
        <v>136</v>
      </c>
      <c r="X2342" s="102" t="s">
        <v>137</v>
      </c>
      <c r="Y2342" s="103" t="s">
        <v>138</v>
      </c>
      <c r="Z2342" s="103" t="s">
        <v>139</v>
      </c>
      <c r="AA2342" s="103" t="s">
        <v>47</v>
      </c>
      <c r="AB2342" s="103" t="s">
        <v>140</v>
      </c>
      <c r="AC2342" s="104" t="s">
        <v>141</v>
      </c>
    </row>
    <row r="2343" spans="1:29" ht="25.5" customHeight="1" x14ac:dyDescent="0.35">
      <c r="A2343" s="188"/>
      <c r="B2343" s="190"/>
      <c r="C2343" s="99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0"/>
      <c r="E2343" s="78" t="str">
        <f>IF(C2343="","",IFERROR(VLOOKUP(C2343,parametros!$A$11:$E$15,5,0),""))</f>
        <v/>
      </c>
      <c r="F2343" s="79" t="str">
        <f t="shared" si="182"/>
        <v/>
      </c>
      <c r="G2343" s="101"/>
      <c r="H2343" s="91">
        <f t="shared" si="183"/>
        <v>0</v>
      </c>
      <c r="I2343" s="91" t="str">
        <f t="shared" si="184"/>
        <v/>
      </c>
      <c r="J2343" s="91" t="str">
        <f t="shared" si="185"/>
        <v/>
      </c>
      <c r="K2343" s="92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2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58"/>
      <c r="U2343" s="217" t="str">
        <f t="shared" si="186"/>
        <v/>
      </c>
      <c r="V2343" s="215" t="s">
        <v>47</v>
      </c>
      <c r="W2343" s="102" t="s">
        <v>136</v>
      </c>
      <c r="X2343" s="102" t="s">
        <v>137</v>
      </c>
      <c r="Y2343" s="103" t="s">
        <v>138</v>
      </c>
      <c r="Z2343" s="103" t="s">
        <v>139</v>
      </c>
      <c r="AA2343" s="103" t="s">
        <v>47</v>
      </c>
      <c r="AB2343" s="103" t="s">
        <v>140</v>
      </c>
      <c r="AC2343" s="104" t="s">
        <v>141</v>
      </c>
    </row>
    <row r="2344" spans="1:29" ht="25.5" customHeight="1" x14ac:dyDescent="0.35">
      <c r="A2344" s="188"/>
      <c r="B2344" s="190"/>
      <c r="C2344" s="99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0"/>
      <c r="E2344" s="78" t="str">
        <f>IF(C2344="","",IFERROR(VLOOKUP(C2344,parametros!$A$11:$E$15,5,0),""))</f>
        <v/>
      </c>
      <c r="F2344" s="79" t="str">
        <f t="shared" si="182"/>
        <v/>
      </c>
      <c r="G2344" s="101"/>
      <c r="H2344" s="91">
        <f t="shared" si="183"/>
        <v>0</v>
      </c>
      <c r="I2344" s="91" t="str">
        <f t="shared" si="184"/>
        <v/>
      </c>
      <c r="J2344" s="91" t="str">
        <f t="shared" si="185"/>
        <v/>
      </c>
      <c r="K2344" s="92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2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58"/>
      <c r="U2344" s="217" t="str">
        <f t="shared" si="186"/>
        <v/>
      </c>
      <c r="V2344" s="215" t="s">
        <v>47</v>
      </c>
      <c r="W2344" s="102" t="s">
        <v>136</v>
      </c>
      <c r="X2344" s="102" t="s">
        <v>137</v>
      </c>
      <c r="Y2344" s="103" t="s">
        <v>138</v>
      </c>
      <c r="Z2344" s="103" t="s">
        <v>139</v>
      </c>
      <c r="AA2344" s="103" t="s">
        <v>47</v>
      </c>
      <c r="AB2344" s="103" t="s">
        <v>140</v>
      </c>
      <c r="AC2344" s="104" t="s">
        <v>141</v>
      </c>
    </row>
    <row r="2345" spans="1:29" ht="25.5" customHeight="1" x14ac:dyDescent="0.35">
      <c r="A2345" s="188"/>
      <c r="B2345" s="190"/>
      <c r="C2345" s="99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0"/>
      <c r="E2345" s="78" t="str">
        <f>IF(C2345="","",IFERROR(VLOOKUP(C2345,parametros!$A$11:$E$15,5,0),""))</f>
        <v/>
      </c>
      <c r="F2345" s="79" t="str">
        <f t="shared" si="182"/>
        <v/>
      </c>
      <c r="G2345" s="101"/>
      <c r="H2345" s="91">
        <f t="shared" si="183"/>
        <v>0</v>
      </c>
      <c r="I2345" s="91" t="str">
        <f t="shared" si="184"/>
        <v/>
      </c>
      <c r="J2345" s="91" t="str">
        <f t="shared" si="185"/>
        <v/>
      </c>
      <c r="K2345" s="92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2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58"/>
      <c r="U2345" s="217" t="str">
        <f t="shared" si="186"/>
        <v/>
      </c>
      <c r="V2345" s="215" t="s">
        <v>47</v>
      </c>
      <c r="W2345" s="102" t="s">
        <v>136</v>
      </c>
      <c r="X2345" s="102" t="s">
        <v>137</v>
      </c>
      <c r="Y2345" s="103" t="s">
        <v>138</v>
      </c>
      <c r="Z2345" s="103" t="s">
        <v>139</v>
      </c>
      <c r="AA2345" s="103" t="s">
        <v>47</v>
      </c>
      <c r="AB2345" s="103" t="s">
        <v>140</v>
      </c>
      <c r="AC2345" s="104" t="s">
        <v>141</v>
      </c>
    </row>
    <row r="2346" spans="1:29" ht="25.5" customHeight="1" x14ac:dyDescent="0.35">
      <c r="A2346" s="188"/>
      <c r="B2346" s="190"/>
      <c r="C2346" s="99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0"/>
      <c r="E2346" s="78" t="str">
        <f>IF(C2346="","",IFERROR(VLOOKUP(C2346,parametros!$A$11:$E$15,5,0),""))</f>
        <v/>
      </c>
      <c r="F2346" s="79" t="str">
        <f t="shared" si="182"/>
        <v/>
      </c>
      <c r="G2346" s="101"/>
      <c r="H2346" s="91">
        <f t="shared" si="183"/>
        <v>0</v>
      </c>
      <c r="I2346" s="91" t="str">
        <f t="shared" si="184"/>
        <v/>
      </c>
      <c r="J2346" s="91" t="str">
        <f t="shared" si="185"/>
        <v/>
      </c>
      <c r="K2346" s="92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2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58"/>
      <c r="U2346" s="217" t="str">
        <f t="shared" si="186"/>
        <v/>
      </c>
      <c r="V2346" s="215" t="s">
        <v>47</v>
      </c>
      <c r="W2346" s="102" t="s">
        <v>136</v>
      </c>
      <c r="X2346" s="102" t="s">
        <v>137</v>
      </c>
      <c r="Y2346" s="103" t="s">
        <v>138</v>
      </c>
      <c r="Z2346" s="103" t="s">
        <v>139</v>
      </c>
      <c r="AA2346" s="103" t="s">
        <v>47</v>
      </c>
      <c r="AB2346" s="103" t="s">
        <v>140</v>
      </c>
      <c r="AC2346" s="104" t="s">
        <v>141</v>
      </c>
    </row>
    <row r="2347" spans="1:29" ht="25.5" customHeight="1" x14ac:dyDescent="0.35">
      <c r="A2347" s="188"/>
      <c r="B2347" s="190"/>
      <c r="C2347" s="99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0"/>
      <c r="E2347" s="78" t="str">
        <f>IF(C2347="","",IFERROR(VLOOKUP(C2347,parametros!$A$11:$E$15,5,0),""))</f>
        <v/>
      </c>
      <c r="F2347" s="79" t="str">
        <f t="shared" si="182"/>
        <v/>
      </c>
      <c r="G2347" s="101"/>
      <c r="H2347" s="91">
        <f t="shared" si="183"/>
        <v>0</v>
      </c>
      <c r="I2347" s="91" t="str">
        <f t="shared" si="184"/>
        <v/>
      </c>
      <c r="J2347" s="91" t="str">
        <f t="shared" si="185"/>
        <v/>
      </c>
      <c r="K2347" s="92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2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58"/>
      <c r="U2347" s="217" t="str">
        <f t="shared" si="186"/>
        <v/>
      </c>
      <c r="V2347" s="215" t="s">
        <v>47</v>
      </c>
      <c r="W2347" s="102" t="s">
        <v>136</v>
      </c>
      <c r="X2347" s="102" t="s">
        <v>137</v>
      </c>
      <c r="Y2347" s="103" t="s">
        <v>138</v>
      </c>
      <c r="Z2347" s="103" t="s">
        <v>139</v>
      </c>
      <c r="AA2347" s="103" t="s">
        <v>47</v>
      </c>
      <c r="AB2347" s="103" t="s">
        <v>140</v>
      </c>
      <c r="AC2347" s="104" t="s">
        <v>141</v>
      </c>
    </row>
    <row r="2348" spans="1:29" ht="25.5" customHeight="1" x14ac:dyDescent="0.35">
      <c r="A2348" s="188"/>
      <c r="B2348" s="190"/>
      <c r="C2348" s="99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0"/>
      <c r="E2348" s="78" t="str">
        <f>IF(C2348="","",IFERROR(VLOOKUP(C2348,parametros!$A$11:$E$15,5,0),""))</f>
        <v/>
      </c>
      <c r="F2348" s="79" t="str">
        <f t="shared" si="182"/>
        <v/>
      </c>
      <c r="G2348" s="101"/>
      <c r="H2348" s="91">
        <f t="shared" si="183"/>
        <v>0</v>
      </c>
      <c r="I2348" s="91" t="str">
        <f t="shared" si="184"/>
        <v/>
      </c>
      <c r="J2348" s="91" t="str">
        <f t="shared" si="185"/>
        <v/>
      </c>
      <c r="K2348" s="92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2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58"/>
      <c r="U2348" s="217" t="str">
        <f t="shared" si="186"/>
        <v/>
      </c>
      <c r="V2348" s="215" t="s">
        <v>47</v>
      </c>
      <c r="W2348" s="102" t="s">
        <v>136</v>
      </c>
      <c r="X2348" s="102" t="s">
        <v>137</v>
      </c>
      <c r="Y2348" s="103" t="s">
        <v>138</v>
      </c>
      <c r="Z2348" s="103" t="s">
        <v>139</v>
      </c>
      <c r="AA2348" s="103" t="s">
        <v>47</v>
      </c>
      <c r="AB2348" s="103" t="s">
        <v>140</v>
      </c>
      <c r="AC2348" s="104" t="s">
        <v>141</v>
      </c>
    </row>
    <row r="2349" spans="1:29" ht="25.5" customHeight="1" x14ac:dyDescent="0.35">
      <c r="A2349" s="188"/>
      <c r="B2349" s="190"/>
      <c r="C2349" s="99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0"/>
      <c r="E2349" s="78" t="str">
        <f>IF(C2349="","",IFERROR(VLOOKUP(C2349,parametros!$A$11:$E$15,5,0),""))</f>
        <v/>
      </c>
      <c r="F2349" s="79" t="str">
        <f t="shared" si="182"/>
        <v/>
      </c>
      <c r="G2349" s="101"/>
      <c r="H2349" s="91">
        <f t="shared" si="183"/>
        <v>0</v>
      </c>
      <c r="I2349" s="91" t="str">
        <f t="shared" si="184"/>
        <v/>
      </c>
      <c r="J2349" s="91" t="str">
        <f t="shared" si="185"/>
        <v/>
      </c>
      <c r="K2349" s="92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2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58"/>
      <c r="U2349" s="217" t="str">
        <f t="shared" si="186"/>
        <v/>
      </c>
      <c r="V2349" s="215" t="s">
        <v>47</v>
      </c>
      <c r="W2349" s="102" t="s">
        <v>136</v>
      </c>
      <c r="X2349" s="102" t="s">
        <v>137</v>
      </c>
      <c r="Y2349" s="103" t="s">
        <v>138</v>
      </c>
      <c r="Z2349" s="103" t="s">
        <v>139</v>
      </c>
      <c r="AA2349" s="103" t="s">
        <v>47</v>
      </c>
      <c r="AB2349" s="103" t="s">
        <v>140</v>
      </c>
      <c r="AC2349" s="104" t="s">
        <v>141</v>
      </c>
    </row>
    <row r="2350" spans="1:29" ht="25.5" customHeight="1" x14ac:dyDescent="0.35">
      <c r="A2350" s="188"/>
      <c r="B2350" s="190"/>
      <c r="C2350" s="99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0"/>
      <c r="E2350" s="78" t="str">
        <f>IF(C2350="","",IFERROR(VLOOKUP(C2350,parametros!$A$11:$E$15,5,0),""))</f>
        <v/>
      </c>
      <c r="F2350" s="79" t="str">
        <f t="shared" si="182"/>
        <v/>
      </c>
      <c r="G2350" s="101"/>
      <c r="H2350" s="91">
        <f t="shared" si="183"/>
        <v>0</v>
      </c>
      <c r="I2350" s="91" t="str">
        <f t="shared" si="184"/>
        <v/>
      </c>
      <c r="J2350" s="91" t="str">
        <f t="shared" si="185"/>
        <v/>
      </c>
      <c r="K2350" s="92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2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58"/>
      <c r="U2350" s="217" t="str">
        <f t="shared" si="186"/>
        <v/>
      </c>
      <c r="V2350" s="215" t="s">
        <v>47</v>
      </c>
      <c r="W2350" s="102" t="s">
        <v>136</v>
      </c>
      <c r="X2350" s="102" t="s">
        <v>137</v>
      </c>
      <c r="Y2350" s="103" t="s">
        <v>138</v>
      </c>
      <c r="Z2350" s="103" t="s">
        <v>139</v>
      </c>
      <c r="AA2350" s="103" t="s">
        <v>47</v>
      </c>
      <c r="AB2350" s="103" t="s">
        <v>140</v>
      </c>
      <c r="AC2350" s="104" t="s">
        <v>141</v>
      </c>
    </row>
    <row r="2351" spans="1:29" ht="25.5" customHeight="1" x14ac:dyDescent="0.35">
      <c r="A2351" s="188"/>
      <c r="B2351" s="190"/>
      <c r="C2351" s="99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0"/>
      <c r="E2351" s="78" t="str">
        <f>IF(C2351="","",IFERROR(VLOOKUP(C2351,parametros!$A$11:$E$15,5,0),""))</f>
        <v/>
      </c>
      <c r="F2351" s="79" t="str">
        <f t="shared" si="182"/>
        <v/>
      </c>
      <c r="G2351" s="101"/>
      <c r="H2351" s="91">
        <f t="shared" si="183"/>
        <v>0</v>
      </c>
      <c r="I2351" s="91" t="str">
        <f t="shared" si="184"/>
        <v/>
      </c>
      <c r="J2351" s="91" t="str">
        <f t="shared" si="185"/>
        <v/>
      </c>
      <c r="K2351" s="92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2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58"/>
      <c r="U2351" s="217" t="str">
        <f t="shared" si="186"/>
        <v/>
      </c>
      <c r="V2351" s="215" t="s">
        <v>47</v>
      </c>
      <c r="W2351" s="102" t="s">
        <v>136</v>
      </c>
      <c r="X2351" s="102" t="s">
        <v>137</v>
      </c>
      <c r="Y2351" s="103" t="s">
        <v>138</v>
      </c>
      <c r="Z2351" s="103" t="s">
        <v>139</v>
      </c>
      <c r="AA2351" s="103" t="s">
        <v>47</v>
      </c>
      <c r="AB2351" s="103" t="s">
        <v>140</v>
      </c>
      <c r="AC2351" s="104" t="s">
        <v>141</v>
      </c>
    </row>
    <row r="2352" spans="1:29" ht="25.5" customHeight="1" x14ac:dyDescent="0.35">
      <c r="A2352" s="188"/>
      <c r="B2352" s="190"/>
      <c r="C2352" s="99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0"/>
      <c r="E2352" s="78" t="str">
        <f>IF(C2352="","",IFERROR(VLOOKUP(C2352,parametros!$A$11:$E$15,5,0),""))</f>
        <v/>
      </c>
      <c r="F2352" s="79" t="str">
        <f t="shared" si="182"/>
        <v/>
      </c>
      <c r="G2352" s="101"/>
      <c r="H2352" s="91">
        <f t="shared" si="183"/>
        <v>0</v>
      </c>
      <c r="I2352" s="91" t="str">
        <f t="shared" si="184"/>
        <v/>
      </c>
      <c r="J2352" s="91" t="str">
        <f t="shared" si="185"/>
        <v/>
      </c>
      <c r="K2352" s="92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2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58"/>
      <c r="U2352" s="217" t="str">
        <f t="shared" si="186"/>
        <v/>
      </c>
      <c r="V2352" s="215" t="s">
        <v>47</v>
      </c>
      <c r="W2352" s="102" t="s">
        <v>136</v>
      </c>
      <c r="X2352" s="102" t="s">
        <v>137</v>
      </c>
      <c r="Y2352" s="103" t="s">
        <v>138</v>
      </c>
      <c r="Z2352" s="103" t="s">
        <v>139</v>
      </c>
      <c r="AA2352" s="103" t="s">
        <v>47</v>
      </c>
      <c r="AB2352" s="103" t="s">
        <v>140</v>
      </c>
      <c r="AC2352" s="104" t="s">
        <v>141</v>
      </c>
    </row>
    <row r="2353" spans="1:29" ht="25.5" customHeight="1" x14ac:dyDescent="0.35">
      <c r="A2353" s="188"/>
      <c r="B2353" s="190"/>
      <c r="C2353" s="99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0"/>
      <c r="E2353" s="78" t="str">
        <f>IF(C2353="","",IFERROR(VLOOKUP(C2353,parametros!$A$11:$E$15,5,0),""))</f>
        <v/>
      </c>
      <c r="F2353" s="79" t="str">
        <f t="shared" si="182"/>
        <v/>
      </c>
      <c r="G2353" s="101"/>
      <c r="H2353" s="91">
        <f t="shared" si="183"/>
        <v>0</v>
      </c>
      <c r="I2353" s="91" t="str">
        <f t="shared" si="184"/>
        <v/>
      </c>
      <c r="J2353" s="91" t="str">
        <f t="shared" si="185"/>
        <v/>
      </c>
      <c r="K2353" s="92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2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58"/>
      <c r="U2353" s="217" t="str">
        <f t="shared" si="186"/>
        <v/>
      </c>
      <c r="V2353" s="215" t="s">
        <v>47</v>
      </c>
      <c r="W2353" s="102" t="s">
        <v>136</v>
      </c>
      <c r="X2353" s="102" t="s">
        <v>137</v>
      </c>
      <c r="Y2353" s="103" t="s">
        <v>138</v>
      </c>
      <c r="Z2353" s="103" t="s">
        <v>139</v>
      </c>
      <c r="AA2353" s="103" t="s">
        <v>47</v>
      </c>
      <c r="AB2353" s="103" t="s">
        <v>140</v>
      </c>
      <c r="AC2353" s="104" t="s">
        <v>141</v>
      </c>
    </row>
    <row r="2354" spans="1:29" ht="25.5" customHeight="1" x14ac:dyDescent="0.35">
      <c r="A2354" s="188"/>
      <c r="B2354" s="190"/>
      <c r="C2354" s="99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0"/>
      <c r="E2354" s="78" t="str">
        <f>IF(C2354="","",IFERROR(VLOOKUP(C2354,parametros!$A$11:$E$15,5,0),""))</f>
        <v/>
      </c>
      <c r="F2354" s="79" t="str">
        <f t="shared" si="182"/>
        <v/>
      </c>
      <c r="G2354" s="101"/>
      <c r="H2354" s="91">
        <f t="shared" si="183"/>
        <v>0</v>
      </c>
      <c r="I2354" s="91" t="str">
        <f t="shared" si="184"/>
        <v/>
      </c>
      <c r="J2354" s="91" t="str">
        <f t="shared" si="185"/>
        <v/>
      </c>
      <c r="K2354" s="92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2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58"/>
      <c r="U2354" s="217" t="str">
        <f t="shared" si="186"/>
        <v/>
      </c>
      <c r="V2354" s="215" t="s">
        <v>47</v>
      </c>
      <c r="W2354" s="102" t="s">
        <v>136</v>
      </c>
      <c r="X2354" s="102" t="s">
        <v>137</v>
      </c>
      <c r="Y2354" s="103" t="s">
        <v>138</v>
      </c>
      <c r="Z2354" s="103" t="s">
        <v>139</v>
      </c>
      <c r="AA2354" s="103" t="s">
        <v>47</v>
      </c>
      <c r="AB2354" s="103" t="s">
        <v>140</v>
      </c>
      <c r="AC2354" s="104" t="s">
        <v>141</v>
      </c>
    </row>
    <row r="2355" spans="1:29" ht="25.5" customHeight="1" x14ac:dyDescent="0.35">
      <c r="A2355" s="188"/>
      <c r="B2355" s="190"/>
      <c r="C2355" s="99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0"/>
      <c r="E2355" s="78" t="str">
        <f>IF(C2355="","",IFERROR(VLOOKUP(C2355,parametros!$A$11:$E$15,5,0),""))</f>
        <v/>
      </c>
      <c r="F2355" s="79" t="str">
        <f t="shared" si="182"/>
        <v/>
      </c>
      <c r="G2355" s="101"/>
      <c r="H2355" s="91">
        <f t="shared" si="183"/>
        <v>0</v>
      </c>
      <c r="I2355" s="91" t="str">
        <f t="shared" si="184"/>
        <v/>
      </c>
      <c r="J2355" s="91" t="str">
        <f t="shared" si="185"/>
        <v/>
      </c>
      <c r="K2355" s="92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2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58"/>
      <c r="U2355" s="217" t="str">
        <f t="shared" si="186"/>
        <v/>
      </c>
      <c r="V2355" s="215" t="s">
        <v>47</v>
      </c>
      <c r="W2355" s="102" t="s">
        <v>136</v>
      </c>
      <c r="X2355" s="102" t="s">
        <v>137</v>
      </c>
      <c r="Y2355" s="103" t="s">
        <v>138</v>
      </c>
      <c r="Z2355" s="103" t="s">
        <v>139</v>
      </c>
      <c r="AA2355" s="103" t="s">
        <v>47</v>
      </c>
      <c r="AB2355" s="103" t="s">
        <v>140</v>
      </c>
      <c r="AC2355" s="104" t="s">
        <v>141</v>
      </c>
    </row>
    <row r="2356" spans="1:29" ht="25.5" customHeight="1" x14ac:dyDescent="0.35">
      <c r="A2356" s="188"/>
      <c r="B2356" s="190"/>
      <c r="C2356" s="99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0"/>
      <c r="E2356" s="78" t="str">
        <f>IF(C2356="","",IFERROR(VLOOKUP(C2356,parametros!$A$11:$E$15,5,0),""))</f>
        <v/>
      </c>
      <c r="F2356" s="79" t="str">
        <f t="shared" si="182"/>
        <v/>
      </c>
      <c r="G2356" s="101"/>
      <c r="H2356" s="91">
        <f t="shared" si="183"/>
        <v>0</v>
      </c>
      <c r="I2356" s="91" t="str">
        <f t="shared" si="184"/>
        <v/>
      </c>
      <c r="J2356" s="91" t="str">
        <f t="shared" si="185"/>
        <v/>
      </c>
      <c r="K2356" s="92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2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58"/>
      <c r="U2356" s="217" t="str">
        <f t="shared" si="186"/>
        <v/>
      </c>
      <c r="V2356" s="215" t="s">
        <v>47</v>
      </c>
      <c r="W2356" s="102" t="s">
        <v>136</v>
      </c>
      <c r="X2356" s="102" t="s">
        <v>137</v>
      </c>
      <c r="Y2356" s="103" t="s">
        <v>138</v>
      </c>
      <c r="Z2356" s="103" t="s">
        <v>139</v>
      </c>
      <c r="AA2356" s="103" t="s">
        <v>47</v>
      </c>
      <c r="AB2356" s="103" t="s">
        <v>140</v>
      </c>
      <c r="AC2356" s="104" t="s">
        <v>141</v>
      </c>
    </row>
    <row r="2357" spans="1:29" ht="25.5" customHeight="1" x14ac:dyDescent="0.35">
      <c r="A2357" s="188"/>
      <c r="B2357" s="190"/>
      <c r="C2357" s="99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0"/>
      <c r="E2357" s="78" t="str">
        <f>IF(C2357="","",IFERROR(VLOOKUP(C2357,parametros!$A$11:$E$15,5,0),""))</f>
        <v/>
      </c>
      <c r="F2357" s="79" t="str">
        <f t="shared" si="182"/>
        <v/>
      </c>
      <c r="G2357" s="101"/>
      <c r="H2357" s="91">
        <f t="shared" si="183"/>
        <v>0</v>
      </c>
      <c r="I2357" s="91" t="str">
        <f t="shared" si="184"/>
        <v/>
      </c>
      <c r="J2357" s="91" t="str">
        <f t="shared" si="185"/>
        <v/>
      </c>
      <c r="K2357" s="92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2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58"/>
      <c r="U2357" s="217" t="str">
        <f t="shared" si="186"/>
        <v/>
      </c>
      <c r="V2357" s="215" t="s">
        <v>47</v>
      </c>
      <c r="W2357" s="102" t="s">
        <v>136</v>
      </c>
      <c r="X2357" s="102" t="s">
        <v>137</v>
      </c>
      <c r="Y2357" s="103" t="s">
        <v>138</v>
      </c>
      <c r="Z2357" s="103" t="s">
        <v>139</v>
      </c>
      <c r="AA2357" s="103" t="s">
        <v>47</v>
      </c>
      <c r="AB2357" s="103" t="s">
        <v>140</v>
      </c>
      <c r="AC2357" s="104" t="s">
        <v>141</v>
      </c>
    </row>
    <row r="2358" spans="1:29" ht="25.5" customHeight="1" x14ac:dyDescent="0.35">
      <c r="A2358" s="188"/>
      <c r="B2358" s="190"/>
      <c r="C2358" s="99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0"/>
      <c r="E2358" s="78" t="str">
        <f>IF(C2358="","",IFERROR(VLOOKUP(C2358,parametros!$A$11:$E$15,5,0),""))</f>
        <v/>
      </c>
      <c r="F2358" s="79" t="str">
        <f t="shared" si="182"/>
        <v/>
      </c>
      <c r="G2358" s="101"/>
      <c r="H2358" s="91">
        <f t="shared" si="183"/>
        <v>0</v>
      </c>
      <c r="I2358" s="91" t="str">
        <f t="shared" si="184"/>
        <v/>
      </c>
      <c r="J2358" s="91" t="str">
        <f t="shared" si="185"/>
        <v/>
      </c>
      <c r="K2358" s="92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2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58"/>
      <c r="U2358" s="217" t="str">
        <f t="shared" si="186"/>
        <v/>
      </c>
      <c r="V2358" s="215" t="s">
        <v>47</v>
      </c>
      <c r="W2358" s="102" t="s">
        <v>136</v>
      </c>
      <c r="X2358" s="102" t="s">
        <v>137</v>
      </c>
      <c r="Y2358" s="103" t="s">
        <v>138</v>
      </c>
      <c r="Z2358" s="103" t="s">
        <v>139</v>
      </c>
      <c r="AA2358" s="103" t="s">
        <v>47</v>
      </c>
      <c r="AB2358" s="103" t="s">
        <v>140</v>
      </c>
      <c r="AC2358" s="104" t="s">
        <v>141</v>
      </c>
    </row>
    <row r="2359" spans="1:29" ht="25.5" customHeight="1" x14ac:dyDescent="0.35">
      <c r="A2359" s="188"/>
      <c r="B2359" s="190"/>
      <c r="C2359" s="99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0"/>
      <c r="E2359" s="78" t="str">
        <f>IF(C2359="","",IFERROR(VLOOKUP(C2359,parametros!$A$11:$E$15,5,0),""))</f>
        <v/>
      </c>
      <c r="F2359" s="79" t="str">
        <f t="shared" si="182"/>
        <v/>
      </c>
      <c r="G2359" s="101"/>
      <c r="H2359" s="91">
        <f t="shared" si="183"/>
        <v>0</v>
      </c>
      <c r="I2359" s="91" t="str">
        <f t="shared" si="184"/>
        <v/>
      </c>
      <c r="J2359" s="91" t="str">
        <f t="shared" si="185"/>
        <v/>
      </c>
      <c r="K2359" s="92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2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58"/>
      <c r="U2359" s="217" t="str">
        <f t="shared" si="186"/>
        <v/>
      </c>
      <c r="V2359" s="215" t="s">
        <v>47</v>
      </c>
      <c r="W2359" s="102" t="s">
        <v>136</v>
      </c>
      <c r="X2359" s="102" t="s">
        <v>137</v>
      </c>
      <c r="Y2359" s="103" t="s">
        <v>138</v>
      </c>
      <c r="Z2359" s="103" t="s">
        <v>139</v>
      </c>
      <c r="AA2359" s="103" t="s">
        <v>47</v>
      </c>
      <c r="AB2359" s="103" t="s">
        <v>140</v>
      </c>
      <c r="AC2359" s="104" t="s">
        <v>141</v>
      </c>
    </row>
    <row r="2360" spans="1:29" ht="25.5" customHeight="1" x14ac:dyDescent="0.35">
      <c r="A2360" s="188"/>
      <c r="B2360" s="190"/>
      <c r="C2360" s="99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0"/>
      <c r="E2360" s="78" t="str">
        <f>IF(C2360="","",IFERROR(VLOOKUP(C2360,parametros!$A$11:$E$15,5,0),""))</f>
        <v/>
      </c>
      <c r="F2360" s="79" t="str">
        <f t="shared" si="182"/>
        <v/>
      </c>
      <c r="G2360" s="101"/>
      <c r="H2360" s="91">
        <f t="shared" si="183"/>
        <v>0</v>
      </c>
      <c r="I2360" s="91" t="str">
        <f t="shared" si="184"/>
        <v/>
      </c>
      <c r="J2360" s="91" t="str">
        <f t="shared" si="185"/>
        <v/>
      </c>
      <c r="K2360" s="92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2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58"/>
      <c r="U2360" s="217" t="str">
        <f t="shared" si="186"/>
        <v/>
      </c>
      <c r="V2360" s="215" t="s">
        <v>47</v>
      </c>
      <c r="W2360" s="102" t="s">
        <v>136</v>
      </c>
      <c r="X2360" s="102" t="s">
        <v>137</v>
      </c>
      <c r="Y2360" s="103" t="s">
        <v>138</v>
      </c>
      <c r="Z2360" s="103" t="s">
        <v>139</v>
      </c>
      <c r="AA2360" s="103" t="s">
        <v>47</v>
      </c>
      <c r="AB2360" s="103" t="s">
        <v>140</v>
      </c>
      <c r="AC2360" s="104" t="s">
        <v>141</v>
      </c>
    </row>
    <row r="2361" spans="1:29" ht="25.5" customHeight="1" x14ac:dyDescent="0.35">
      <c r="A2361" s="188"/>
      <c r="B2361" s="190"/>
      <c r="C2361" s="99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0"/>
      <c r="E2361" s="78" t="str">
        <f>IF(C2361="","",IFERROR(VLOOKUP(C2361,parametros!$A$11:$E$15,5,0),""))</f>
        <v/>
      </c>
      <c r="F2361" s="79" t="str">
        <f t="shared" si="182"/>
        <v/>
      </c>
      <c r="G2361" s="101"/>
      <c r="H2361" s="91">
        <f t="shared" si="183"/>
        <v>0</v>
      </c>
      <c r="I2361" s="91" t="str">
        <f t="shared" si="184"/>
        <v/>
      </c>
      <c r="J2361" s="91" t="str">
        <f t="shared" si="185"/>
        <v/>
      </c>
      <c r="K2361" s="92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2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58"/>
      <c r="U2361" s="217" t="str">
        <f t="shared" si="186"/>
        <v/>
      </c>
      <c r="V2361" s="215" t="s">
        <v>47</v>
      </c>
      <c r="W2361" s="102" t="s">
        <v>136</v>
      </c>
      <c r="X2361" s="102" t="s">
        <v>137</v>
      </c>
      <c r="Y2361" s="103" t="s">
        <v>138</v>
      </c>
      <c r="Z2361" s="103" t="s">
        <v>139</v>
      </c>
      <c r="AA2361" s="103" t="s">
        <v>47</v>
      </c>
      <c r="AB2361" s="103" t="s">
        <v>140</v>
      </c>
      <c r="AC2361" s="104" t="s">
        <v>141</v>
      </c>
    </row>
    <row r="2362" spans="1:29" ht="25.5" customHeight="1" x14ac:dyDescent="0.35">
      <c r="A2362" s="188"/>
      <c r="B2362" s="190"/>
      <c r="C2362" s="99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0"/>
      <c r="E2362" s="78" t="str">
        <f>IF(C2362="","",IFERROR(VLOOKUP(C2362,parametros!$A$11:$E$15,5,0),""))</f>
        <v/>
      </c>
      <c r="F2362" s="79" t="str">
        <f t="shared" si="182"/>
        <v/>
      </c>
      <c r="G2362" s="101"/>
      <c r="H2362" s="91">
        <f t="shared" si="183"/>
        <v>0</v>
      </c>
      <c r="I2362" s="91" t="str">
        <f t="shared" si="184"/>
        <v/>
      </c>
      <c r="J2362" s="91" t="str">
        <f t="shared" si="185"/>
        <v/>
      </c>
      <c r="K2362" s="92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2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58"/>
      <c r="U2362" s="217" t="str">
        <f t="shared" si="186"/>
        <v/>
      </c>
      <c r="V2362" s="215" t="s">
        <v>47</v>
      </c>
      <c r="W2362" s="102" t="s">
        <v>136</v>
      </c>
      <c r="X2362" s="102" t="s">
        <v>137</v>
      </c>
      <c r="Y2362" s="103" t="s">
        <v>138</v>
      </c>
      <c r="Z2362" s="103" t="s">
        <v>139</v>
      </c>
      <c r="AA2362" s="103" t="s">
        <v>47</v>
      </c>
      <c r="AB2362" s="103" t="s">
        <v>140</v>
      </c>
      <c r="AC2362" s="104" t="s">
        <v>141</v>
      </c>
    </row>
    <row r="2363" spans="1:29" ht="25.5" customHeight="1" x14ac:dyDescent="0.35">
      <c r="A2363" s="188"/>
      <c r="B2363" s="190"/>
      <c r="C2363" s="99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0"/>
      <c r="E2363" s="78" t="str">
        <f>IF(C2363="","",IFERROR(VLOOKUP(C2363,parametros!$A$11:$E$15,5,0),""))</f>
        <v/>
      </c>
      <c r="F2363" s="79" t="str">
        <f t="shared" si="182"/>
        <v/>
      </c>
      <c r="G2363" s="101"/>
      <c r="H2363" s="91">
        <f t="shared" si="183"/>
        <v>0</v>
      </c>
      <c r="I2363" s="91" t="str">
        <f t="shared" si="184"/>
        <v/>
      </c>
      <c r="J2363" s="91" t="str">
        <f t="shared" si="185"/>
        <v/>
      </c>
      <c r="K2363" s="92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2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58"/>
      <c r="U2363" s="217" t="str">
        <f t="shared" si="186"/>
        <v/>
      </c>
      <c r="V2363" s="215" t="s">
        <v>47</v>
      </c>
      <c r="W2363" s="102" t="s">
        <v>136</v>
      </c>
      <c r="X2363" s="102" t="s">
        <v>137</v>
      </c>
      <c r="Y2363" s="103" t="s">
        <v>138</v>
      </c>
      <c r="Z2363" s="103" t="s">
        <v>139</v>
      </c>
      <c r="AA2363" s="103" t="s">
        <v>47</v>
      </c>
      <c r="AB2363" s="103" t="s">
        <v>140</v>
      </c>
      <c r="AC2363" s="104" t="s">
        <v>141</v>
      </c>
    </row>
    <row r="2364" spans="1:29" ht="25.5" customHeight="1" x14ac:dyDescent="0.35">
      <c r="A2364" s="188"/>
      <c r="B2364" s="190"/>
      <c r="C2364" s="99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0"/>
      <c r="E2364" s="78" t="str">
        <f>IF(C2364="","",IFERROR(VLOOKUP(C2364,parametros!$A$11:$E$15,5,0),""))</f>
        <v/>
      </c>
      <c r="F2364" s="79" t="str">
        <f t="shared" si="182"/>
        <v/>
      </c>
      <c r="G2364" s="101"/>
      <c r="H2364" s="91">
        <f t="shared" si="183"/>
        <v>0</v>
      </c>
      <c r="I2364" s="91" t="str">
        <f t="shared" si="184"/>
        <v/>
      </c>
      <c r="J2364" s="91" t="str">
        <f t="shared" si="185"/>
        <v/>
      </c>
      <c r="K2364" s="92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2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58"/>
      <c r="U2364" s="217" t="str">
        <f t="shared" si="186"/>
        <v/>
      </c>
      <c r="V2364" s="215" t="s">
        <v>47</v>
      </c>
      <c r="W2364" s="102" t="s">
        <v>136</v>
      </c>
      <c r="X2364" s="102" t="s">
        <v>137</v>
      </c>
      <c r="Y2364" s="103" t="s">
        <v>138</v>
      </c>
      <c r="Z2364" s="103" t="s">
        <v>139</v>
      </c>
      <c r="AA2364" s="103" t="s">
        <v>47</v>
      </c>
      <c r="AB2364" s="103" t="s">
        <v>140</v>
      </c>
      <c r="AC2364" s="104" t="s">
        <v>141</v>
      </c>
    </row>
    <row r="2365" spans="1:29" ht="25.5" customHeight="1" x14ac:dyDescent="0.35">
      <c r="A2365" s="188"/>
      <c r="B2365" s="190"/>
      <c r="C2365" s="99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0"/>
      <c r="E2365" s="78" t="str">
        <f>IF(C2365="","",IFERROR(VLOOKUP(C2365,parametros!$A$11:$E$15,5,0),""))</f>
        <v/>
      </c>
      <c r="F2365" s="79" t="str">
        <f t="shared" si="182"/>
        <v/>
      </c>
      <c r="G2365" s="101"/>
      <c r="H2365" s="91">
        <f t="shared" si="183"/>
        <v>0</v>
      </c>
      <c r="I2365" s="91" t="str">
        <f t="shared" si="184"/>
        <v/>
      </c>
      <c r="J2365" s="91" t="str">
        <f t="shared" si="185"/>
        <v/>
      </c>
      <c r="K2365" s="92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2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58"/>
      <c r="U2365" s="217" t="str">
        <f t="shared" si="186"/>
        <v/>
      </c>
      <c r="V2365" s="215" t="s">
        <v>47</v>
      </c>
      <c r="W2365" s="102" t="s">
        <v>136</v>
      </c>
      <c r="X2365" s="102" t="s">
        <v>137</v>
      </c>
      <c r="Y2365" s="103" t="s">
        <v>138</v>
      </c>
      <c r="Z2365" s="103" t="s">
        <v>139</v>
      </c>
      <c r="AA2365" s="103" t="s">
        <v>47</v>
      </c>
      <c r="AB2365" s="103" t="s">
        <v>140</v>
      </c>
      <c r="AC2365" s="104" t="s">
        <v>141</v>
      </c>
    </row>
    <row r="2366" spans="1:29" ht="25.5" customHeight="1" x14ac:dyDescent="0.35">
      <c r="A2366" s="188"/>
      <c r="B2366" s="190"/>
      <c r="C2366" s="99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0"/>
      <c r="E2366" s="78" t="str">
        <f>IF(C2366="","",IFERROR(VLOOKUP(C2366,parametros!$A$11:$E$15,5,0),""))</f>
        <v/>
      </c>
      <c r="F2366" s="79" t="str">
        <f t="shared" si="182"/>
        <v/>
      </c>
      <c r="G2366" s="101"/>
      <c r="H2366" s="91">
        <f t="shared" si="183"/>
        <v>0</v>
      </c>
      <c r="I2366" s="91" t="str">
        <f t="shared" si="184"/>
        <v/>
      </c>
      <c r="J2366" s="91" t="str">
        <f t="shared" si="185"/>
        <v/>
      </c>
      <c r="K2366" s="92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2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58"/>
      <c r="U2366" s="217" t="str">
        <f t="shared" si="186"/>
        <v/>
      </c>
      <c r="V2366" s="215" t="s">
        <v>47</v>
      </c>
      <c r="W2366" s="102" t="s">
        <v>136</v>
      </c>
      <c r="X2366" s="102" t="s">
        <v>137</v>
      </c>
      <c r="Y2366" s="103" t="s">
        <v>138</v>
      </c>
      <c r="Z2366" s="103" t="s">
        <v>139</v>
      </c>
      <c r="AA2366" s="103" t="s">
        <v>47</v>
      </c>
      <c r="AB2366" s="103" t="s">
        <v>140</v>
      </c>
      <c r="AC2366" s="104" t="s">
        <v>141</v>
      </c>
    </row>
    <row r="2367" spans="1:29" ht="25.5" customHeight="1" x14ac:dyDescent="0.35">
      <c r="A2367" s="188"/>
      <c r="B2367" s="190"/>
      <c r="C2367" s="99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0"/>
      <c r="E2367" s="78" t="str">
        <f>IF(C2367="","",IFERROR(VLOOKUP(C2367,parametros!$A$11:$E$15,5,0),""))</f>
        <v/>
      </c>
      <c r="F2367" s="79" t="str">
        <f t="shared" si="182"/>
        <v/>
      </c>
      <c r="G2367" s="101"/>
      <c r="H2367" s="91">
        <f t="shared" si="183"/>
        <v>0</v>
      </c>
      <c r="I2367" s="91" t="str">
        <f t="shared" si="184"/>
        <v/>
      </c>
      <c r="J2367" s="91" t="str">
        <f t="shared" si="185"/>
        <v/>
      </c>
      <c r="K2367" s="92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2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58"/>
      <c r="U2367" s="217" t="str">
        <f t="shared" si="186"/>
        <v/>
      </c>
      <c r="V2367" s="215" t="s">
        <v>47</v>
      </c>
      <c r="W2367" s="102" t="s">
        <v>136</v>
      </c>
      <c r="X2367" s="102" t="s">
        <v>137</v>
      </c>
      <c r="Y2367" s="103" t="s">
        <v>138</v>
      </c>
      <c r="Z2367" s="103" t="s">
        <v>139</v>
      </c>
      <c r="AA2367" s="103" t="s">
        <v>47</v>
      </c>
      <c r="AB2367" s="103" t="s">
        <v>140</v>
      </c>
      <c r="AC2367" s="104" t="s">
        <v>141</v>
      </c>
    </row>
    <row r="2368" spans="1:29" ht="25.5" customHeight="1" x14ac:dyDescent="0.35">
      <c r="A2368" s="188"/>
      <c r="B2368" s="190"/>
      <c r="C2368" s="99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0"/>
      <c r="E2368" s="78" t="str">
        <f>IF(C2368="","",IFERROR(VLOOKUP(C2368,parametros!$A$11:$E$15,5,0),""))</f>
        <v/>
      </c>
      <c r="F2368" s="79" t="str">
        <f t="shared" si="182"/>
        <v/>
      </c>
      <c r="G2368" s="101"/>
      <c r="H2368" s="91">
        <f t="shared" si="183"/>
        <v>0</v>
      </c>
      <c r="I2368" s="91" t="str">
        <f t="shared" si="184"/>
        <v/>
      </c>
      <c r="J2368" s="91" t="str">
        <f t="shared" si="185"/>
        <v/>
      </c>
      <c r="K2368" s="92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2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58"/>
      <c r="U2368" s="217" t="str">
        <f t="shared" si="186"/>
        <v/>
      </c>
      <c r="V2368" s="215" t="s">
        <v>47</v>
      </c>
      <c r="W2368" s="102" t="s">
        <v>136</v>
      </c>
      <c r="X2368" s="102" t="s">
        <v>137</v>
      </c>
      <c r="Y2368" s="103" t="s">
        <v>138</v>
      </c>
      <c r="Z2368" s="103" t="s">
        <v>139</v>
      </c>
      <c r="AA2368" s="103" t="s">
        <v>47</v>
      </c>
      <c r="AB2368" s="103" t="s">
        <v>140</v>
      </c>
      <c r="AC2368" s="104" t="s">
        <v>141</v>
      </c>
    </row>
    <row r="2369" spans="1:29" ht="25.5" customHeight="1" x14ac:dyDescent="0.35">
      <c r="A2369" s="188"/>
      <c r="B2369" s="190"/>
      <c r="C2369" s="99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0"/>
      <c r="E2369" s="78" t="str">
        <f>IF(C2369="","",IFERROR(VLOOKUP(C2369,parametros!$A$11:$E$15,5,0),""))</f>
        <v/>
      </c>
      <c r="F2369" s="79" t="str">
        <f t="shared" si="182"/>
        <v/>
      </c>
      <c r="G2369" s="101"/>
      <c r="H2369" s="91">
        <f t="shared" si="183"/>
        <v>0</v>
      </c>
      <c r="I2369" s="91" t="str">
        <f t="shared" si="184"/>
        <v/>
      </c>
      <c r="J2369" s="91" t="str">
        <f t="shared" si="185"/>
        <v/>
      </c>
      <c r="K2369" s="92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2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58"/>
      <c r="U2369" s="217" t="str">
        <f t="shared" si="186"/>
        <v/>
      </c>
      <c r="V2369" s="215" t="s">
        <v>47</v>
      </c>
      <c r="W2369" s="102" t="s">
        <v>136</v>
      </c>
      <c r="X2369" s="102" t="s">
        <v>137</v>
      </c>
      <c r="Y2369" s="103" t="s">
        <v>138</v>
      </c>
      <c r="Z2369" s="103" t="s">
        <v>139</v>
      </c>
      <c r="AA2369" s="103" t="s">
        <v>47</v>
      </c>
      <c r="AB2369" s="103" t="s">
        <v>140</v>
      </c>
      <c r="AC2369" s="104" t="s">
        <v>141</v>
      </c>
    </row>
    <row r="2370" spans="1:29" ht="25.5" customHeight="1" x14ac:dyDescent="0.35">
      <c r="A2370" s="188"/>
      <c r="B2370" s="190"/>
      <c r="C2370" s="99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0"/>
      <c r="E2370" s="78" t="str">
        <f>IF(C2370="","",IFERROR(VLOOKUP(C2370,parametros!$A$11:$E$15,5,0),""))</f>
        <v/>
      </c>
      <c r="F2370" s="79" t="str">
        <f t="shared" ref="F2370:F2433" si="187">IF(OR(D2370="",E2370=""),"",ROUND(D2370*E2370,2))</f>
        <v/>
      </c>
      <c r="G2370" s="101"/>
      <c r="H2370" s="91">
        <f t="shared" ref="H2370:H2433" si="188">IF(G2370="Sim",IF(OR(F2370="",D2370="",L2370=""),"",IF(L2370="Sim",ROUND(F2370-D2370,2),0)),0)</f>
        <v>0</v>
      </c>
      <c r="I2370" s="91" t="str">
        <f t="shared" ref="I2370:I2433" si="189">IF(G2370="Sim",0,IF(OR(F2370="",L2370=""),"",F2370))</f>
        <v/>
      </c>
      <c r="J2370" s="91" t="str">
        <f t="shared" ref="J2370:J2433" si="190">IF(G2370="Sim",0,IF(OR(F2370="",D2370="",L2370=""),"",IF(L2370="Sim",ROUND(F2370-D2370,2),0)))</f>
        <v/>
      </c>
      <c r="K2370" s="92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2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58"/>
      <c r="U2370" s="217" t="str">
        <f t="shared" ref="U2370:U2433" si="191">IF(OR($D2370="",$H2370=""),"",ROUND($D2370+$H2370,2))</f>
        <v/>
      </c>
      <c r="V2370" s="215" t="s">
        <v>47</v>
      </c>
      <c r="W2370" s="102" t="s">
        <v>136</v>
      </c>
      <c r="X2370" s="102" t="s">
        <v>137</v>
      </c>
      <c r="Y2370" s="103" t="s">
        <v>138</v>
      </c>
      <c r="Z2370" s="103" t="s">
        <v>139</v>
      </c>
      <c r="AA2370" s="103" t="s">
        <v>47</v>
      </c>
      <c r="AB2370" s="103" t="s">
        <v>140</v>
      </c>
      <c r="AC2370" s="104" t="s">
        <v>141</v>
      </c>
    </row>
    <row r="2371" spans="1:29" ht="25.5" customHeight="1" x14ac:dyDescent="0.35">
      <c r="A2371" s="188"/>
      <c r="B2371" s="190"/>
      <c r="C2371" s="99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0"/>
      <c r="E2371" s="78" t="str">
        <f>IF(C2371="","",IFERROR(VLOOKUP(C2371,parametros!$A$11:$E$15,5,0),""))</f>
        <v/>
      </c>
      <c r="F2371" s="79" t="str">
        <f t="shared" si="187"/>
        <v/>
      </c>
      <c r="G2371" s="101"/>
      <c r="H2371" s="91">
        <f t="shared" si="188"/>
        <v>0</v>
      </c>
      <c r="I2371" s="91" t="str">
        <f t="shared" si="189"/>
        <v/>
      </c>
      <c r="J2371" s="91" t="str">
        <f t="shared" si="190"/>
        <v/>
      </c>
      <c r="K2371" s="92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2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58"/>
      <c r="U2371" s="217" t="str">
        <f t="shared" si="191"/>
        <v/>
      </c>
      <c r="V2371" s="215" t="s">
        <v>47</v>
      </c>
      <c r="W2371" s="102" t="s">
        <v>136</v>
      </c>
      <c r="X2371" s="102" t="s">
        <v>137</v>
      </c>
      <c r="Y2371" s="103" t="s">
        <v>138</v>
      </c>
      <c r="Z2371" s="103" t="s">
        <v>139</v>
      </c>
      <c r="AA2371" s="103" t="s">
        <v>47</v>
      </c>
      <c r="AB2371" s="103" t="s">
        <v>140</v>
      </c>
      <c r="AC2371" s="104" t="s">
        <v>141</v>
      </c>
    </row>
    <row r="2372" spans="1:29" ht="25.5" customHeight="1" x14ac:dyDescent="0.35">
      <c r="A2372" s="188"/>
      <c r="B2372" s="190"/>
      <c r="C2372" s="99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0"/>
      <c r="E2372" s="78" t="str">
        <f>IF(C2372="","",IFERROR(VLOOKUP(C2372,parametros!$A$11:$E$15,5,0),""))</f>
        <v/>
      </c>
      <c r="F2372" s="79" t="str">
        <f t="shared" si="187"/>
        <v/>
      </c>
      <c r="G2372" s="101"/>
      <c r="H2372" s="91">
        <f t="shared" si="188"/>
        <v>0</v>
      </c>
      <c r="I2372" s="91" t="str">
        <f t="shared" si="189"/>
        <v/>
      </c>
      <c r="J2372" s="91" t="str">
        <f t="shared" si="190"/>
        <v/>
      </c>
      <c r="K2372" s="92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2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58"/>
      <c r="U2372" s="217" t="str">
        <f t="shared" si="191"/>
        <v/>
      </c>
      <c r="V2372" s="215" t="s">
        <v>47</v>
      </c>
      <c r="W2372" s="102" t="s">
        <v>136</v>
      </c>
      <c r="X2372" s="102" t="s">
        <v>137</v>
      </c>
      <c r="Y2372" s="103" t="s">
        <v>138</v>
      </c>
      <c r="Z2372" s="103" t="s">
        <v>139</v>
      </c>
      <c r="AA2372" s="103" t="s">
        <v>47</v>
      </c>
      <c r="AB2372" s="103" t="s">
        <v>140</v>
      </c>
      <c r="AC2372" s="104" t="s">
        <v>141</v>
      </c>
    </row>
    <row r="2373" spans="1:29" ht="25.5" customHeight="1" x14ac:dyDescent="0.35">
      <c r="A2373" s="188"/>
      <c r="B2373" s="190"/>
      <c r="C2373" s="99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0"/>
      <c r="E2373" s="78" t="str">
        <f>IF(C2373="","",IFERROR(VLOOKUP(C2373,parametros!$A$11:$E$15,5,0),""))</f>
        <v/>
      </c>
      <c r="F2373" s="79" t="str">
        <f t="shared" si="187"/>
        <v/>
      </c>
      <c r="G2373" s="101"/>
      <c r="H2373" s="91">
        <f t="shared" si="188"/>
        <v>0</v>
      </c>
      <c r="I2373" s="91" t="str">
        <f t="shared" si="189"/>
        <v/>
      </c>
      <c r="J2373" s="91" t="str">
        <f t="shared" si="190"/>
        <v/>
      </c>
      <c r="K2373" s="92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2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58"/>
      <c r="U2373" s="217" t="str">
        <f t="shared" si="191"/>
        <v/>
      </c>
      <c r="V2373" s="215" t="s">
        <v>47</v>
      </c>
      <c r="W2373" s="102" t="s">
        <v>136</v>
      </c>
      <c r="X2373" s="102" t="s">
        <v>137</v>
      </c>
      <c r="Y2373" s="103" t="s">
        <v>138</v>
      </c>
      <c r="Z2373" s="103" t="s">
        <v>139</v>
      </c>
      <c r="AA2373" s="103" t="s">
        <v>47</v>
      </c>
      <c r="AB2373" s="103" t="s">
        <v>140</v>
      </c>
      <c r="AC2373" s="104" t="s">
        <v>141</v>
      </c>
    </row>
    <row r="2374" spans="1:29" ht="25.5" customHeight="1" x14ac:dyDescent="0.35">
      <c r="A2374" s="188"/>
      <c r="B2374" s="190"/>
      <c r="C2374" s="99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0"/>
      <c r="E2374" s="78" t="str">
        <f>IF(C2374="","",IFERROR(VLOOKUP(C2374,parametros!$A$11:$E$15,5,0),""))</f>
        <v/>
      </c>
      <c r="F2374" s="79" t="str">
        <f t="shared" si="187"/>
        <v/>
      </c>
      <c r="G2374" s="101"/>
      <c r="H2374" s="91">
        <f t="shared" si="188"/>
        <v>0</v>
      </c>
      <c r="I2374" s="91" t="str">
        <f t="shared" si="189"/>
        <v/>
      </c>
      <c r="J2374" s="91" t="str">
        <f t="shared" si="190"/>
        <v/>
      </c>
      <c r="K2374" s="92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2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58"/>
      <c r="U2374" s="217" t="str">
        <f t="shared" si="191"/>
        <v/>
      </c>
      <c r="V2374" s="215" t="s">
        <v>47</v>
      </c>
      <c r="W2374" s="102" t="s">
        <v>136</v>
      </c>
      <c r="X2374" s="102" t="s">
        <v>137</v>
      </c>
      <c r="Y2374" s="103" t="s">
        <v>138</v>
      </c>
      <c r="Z2374" s="103" t="s">
        <v>139</v>
      </c>
      <c r="AA2374" s="103" t="s">
        <v>47</v>
      </c>
      <c r="AB2374" s="103" t="s">
        <v>140</v>
      </c>
      <c r="AC2374" s="104" t="s">
        <v>141</v>
      </c>
    </row>
    <row r="2375" spans="1:29" ht="25.5" customHeight="1" x14ac:dyDescent="0.35">
      <c r="A2375" s="188"/>
      <c r="B2375" s="190"/>
      <c r="C2375" s="99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0"/>
      <c r="E2375" s="78" t="str">
        <f>IF(C2375="","",IFERROR(VLOOKUP(C2375,parametros!$A$11:$E$15,5,0),""))</f>
        <v/>
      </c>
      <c r="F2375" s="79" t="str">
        <f t="shared" si="187"/>
        <v/>
      </c>
      <c r="G2375" s="101"/>
      <c r="H2375" s="91">
        <f t="shared" si="188"/>
        <v>0</v>
      </c>
      <c r="I2375" s="91" t="str">
        <f t="shared" si="189"/>
        <v/>
      </c>
      <c r="J2375" s="91" t="str">
        <f t="shared" si="190"/>
        <v/>
      </c>
      <c r="K2375" s="92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2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58"/>
      <c r="U2375" s="217" t="str">
        <f t="shared" si="191"/>
        <v/>
      </c>
      <c r="V2375" s="215" t="s">
        <v>47</v>
      </c>
      <c r="W2375" s="102" t="s">
        <v>136</v>
      </c>
      <c r="X2375" s="102" t="s">
        <v>137</v>
      </c>
      <c r="Y2375" s="103" t="s">
        <v>138</v>
      </c>
      <c r="Z2375" s="103" t="s">
        <v>139</v>
      </c>
      <c r="AA2375" s="103" t="s">
        <v>47</v>
      </c>
      <c r="AB2375" s="103" t="s">
        <v>140</v>
      </c>
      <c r="AC2375" s="104" t="s">
        <v>141</v>
      </c>
    </row>
    <row r="2376" spans="1:29" ht="25.5" customHeight="1" x14ac:dyDescent="0.35">
      <c r="A2376" s="188"/>
      <c r="B2376" s="190"/>
      <c r="C2376" s="99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0"/>
      <c r="E2376" s="78" t="str">
        <f>IF(C2376="","",IFERROR(VLOOKUP(C2376,parametros!$A$11:$E$15,5,0),""))</f>
        <v/>
      </c>
      <c r="F2376" s="79" t="str">
        <f t="shared" si="187"/>
        <v/>
      </c>
      <c r="G2376" s="101"/>
      <c r="H2376" s="91">
        <f t="shared" si="188"/>
        <v>0</v>
      </c>
      <c r="I2376" s="91" t="str">
        <f t="shared" si="189"/>
        <v/>
      </c>
      <c r="J2376" s="91" t="str">
        <f t="shared" si="190"/>
        <v/>
      </c>
      <c r="K2376" s="92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2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58"/>
      <c r="U2376" s="217" t="str">
        <f t="shared" si="191"/>
        <v/>
      </c>
      <c r="V2376" s="215" t="s">
        <v>47</v>
      </c>
      <c r="W2376" s="102" t="s">
        <v>136</v>
      </c>
      <c r="X2376" s="102" t="s">
        <v>137</v>
      </c>
      <c r="Y2376" s="103" t="s">
        <v>138</v>
      </c>
      <c r="Z2376" s="103" t="s">
        <v>139</v>
      </c>
      <c r="AA2376" s="103" t="s">
        <v>47</v>
      </c>
      <c r="AB2376" s="103" t="s">
        <v>140</v>
      </c>
      <c r="AC2376" s="104" t="s">
        <v>141</v>
      </c>
    </row>
    <row r="2377" spans="1:29" ht="25.5" customHeight="1" x14ac:dyDescent="0.35">
      <c r="A2377" s="188"/>
      <c r="B2377" s="190"/>
      <c r="C2377" s="99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0"/>
      <c r="E2377" s="78" t="str">
        <f>IF(C2377="","",IFERROR(VLOOKUP(C2377,parametros!$A$11:$E$15,5,0),""))</f>
        <v/>
      </c>
      <c r="F2377" s="79" t="str">
        <f t="shared" si="187"/>
        <v/>
      </c>
      <c r="G2377" s="101"/>
      <c r="H2377" s="91">
        <f t="shared" si="188"/>
        <v>0</v>
      </c>
      <c r="I2377" s="91" t="str">
        <f t="shared" si="189"/>
        <v/>
      </c>
      <c r="J2377" s="91" t="str">
        <f t="shared" si="190"/>
        <v/>
      </c>
      <c r="K2377" s="92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2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58"/>
      <c r="U2377" s="217" t="str">
        <f t="shared" si="191"/>
        <v/>
      </c>
      <c r="V2377" s="215" t="s">
        <v>47</v>
      </c>
      <c r="W2377" s="102" t="s">
        <v>136</v>
      </c>
      <c r="X2377" s="102" t="s">
        <v>137</v>
      </c>
      <c r="Y2377" s="103" t="s">
        <v>138</v>
      </c>
      <c r="Z2377" s="103" t="s">
        <v>139</v>
      </c>
      <c r="AA2377" s="103" t="s">
        <v>47</v>
      </c>
      <c r="AB2377" s="103" t="s">
        <v>140</v>
      </c>
      <c r="AC2377" s="104" t="s">
        <v>141</v>
      </c>
    </row>
    <row r="2378" spans="1:29" ht="25.5" customHeight="1" x14ac:dyDescent="0.35">
      <c r="A2378" s="188"/>
      <c r="B2378" s="190"/>
      <c r="C2378" s="99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0"/>
      <c r="E2378" s="78" t="str">
        <f>IF(C2378="","",IFERROR(VLOOKUP(C2378,parametros!$A$11:$E$15,5,0),""))</f>
        <v/>
      </c>
      <c r="F2378" s="79" t="str">
        <f t="shared" si="187"/>
        <v/>
      </c>
      <c r="G2378" s="101"/>
      <c r="H2378" s="91">
        <f t="shared" si="188"/>
        <v>0</v>
      </c>
      <c r="I2378" s="91" t="str">
        <f t="shared" si="189"/>
        <v/>
      </c>
      <c r="J2378" s="91" t="str">
        <f t="shared" si="190"/>
        <v/>
      </c>
      <c r="K2378" s="92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2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58"/>
      <c r="U2378" s="217" t="str">
        <f t="shared" si="191"/>
        <v/>
      </c>
      <c r="V2378" s="215" t="s">
        <v>47</v>
      </c>
      <c r="W2378" s="102" t="s">
        <v>136</v>
      </c>
      <c r="X2378" s="102" t="s">
        <v>137</v>
      </c>
      <c r="Y2378" s="103" t="s">
        <v>138</v>
      </c>
      <c r="Z2378" s="103" t="s">
        <v>139</v>
      </c>
      <c r="AA2378" s="103" t="s">
        <v>47</v>
      </c>
      <c r="AB2378" s="103" t="s">
        <v>140</v>
      </c>
      <c r="AC2378" s="104" t="s">
        <v>141</v>
      </c>
    </row>
    <row r="2379" spans="1:29" ht="25.5" customHeight="1" x14ac:dyDescent="0.35">
      <c r="A2379" s="188"/>
      <c r="B2379" s="190"/>
      <c r="C2379" s="99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0"/>
      <c r="E2379" s="78" t="str">
        <f>IF(C2379="","",IFERROR(VLOOKUP(C2379,parametros!$A$11:$E$15,5,0),""))</f>
        <v/>
      </c>
      <c r="F2379" s="79" t="str">
        <f t="shared" si="187"/>
        <v/>
      </c>
      <c r="G2379" s="101"/>
      <c r="H2379" s="91">
        <f t="shared" si="188"/>
        <v>0</v>
      </c>
      <c r="I2379" s="91" t="str">
        <f t="shared" si="189"/>
        <v/>
      </c>
      <c r="J2379" s="91" t="str">
        <f t="shared" si="190"/>
        <v/>
      </c>
      <c r="K2379" s="92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2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58"/>
      <c r="U2379" s="217" t="str">
        <f t="shared" si="191"/>
        <v/>
      </c>
      <c r="V2379" s="215" t="s">
        <v>47</v>
      </c>
      <c r="W2379" s="102" t="s">
        <v>136</v>
      </c>
      <c r="X2379" s="102" t="s">
        <v>137</v>
      </c>
      <c r="Y2379" s="103" t="s">
        <v>138</v>
      </c>
      <c r="Z2379" s="103" t="s">
        <v>139</v>
      </c>
      <c r="AA2379" s="103" t="s">
        <v>47</v>
      </c>
      <c r="AB2379" s="103" t="s">
        <v>140</v>
      </c>
      <c r="AC2379" s="104" t="s">
        <v>141</v>
      </c>
    </row>
    <row r="2380" spans="1:29" ht="25.5" customHeight="1" x14ac:dyDescent="0.35">
      <c r="A2380" s="188"/>
      <c r="B2380" s="190"/>
      <c r="C2380" s="99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0"/>
      <c r="E2380" s="78" t="str">
        <f>IF(C2380="","",IFERROR(VLOOKUP(C2380,parametros!$A$11:$E$15,5,0),""))</f>
        <v/>
      </c>
      <c r="F2380" s="79" t="str">
        <f t="shared" si="187"/>
        <v/>
      </c>
      <c r="G2380" s="101"/>
      <c r="H2380" s="91">
        <f t="shared" si="188"/>
        <v>0</v>
      </c>
      <c r="I2380" s="91" t="str">
        <f t="shared" si="189"/>
        <v/>
      </c>
      <c r="J2380" s="91" t="str">
        <f t="shared" si="190"/>
        <v/>
      </c>
      <c r="K2380" s="92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2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58"/>
      <c r="U2380" s="217" t="str">
        <f t="shared" si="191"/>
        <v/>
      </c>
      <c r="V2380" s="215" t="s">
        <v>47</v>
      </c>
      <c r="W2380" s="102" t="s">
        <v>136</v>
      </c>
      <c r="X2380" s="102" t="s">
        <v>137</v>
      </c>
      <c r="Y2380" s="103" t="s">
        <v>138</v>
      </c>
      <c r="Z2380" s="103" t="s">
        <v>139</v>
      </c>
      <c r="AA2380" s="103" t="s">
        <v>47</v>
      </c>
      <c r="AB2380" s="103" t="s">
        <v>140</v>
      </c>
      <c r="AC2380" s="104" t="s">
        <v>141</v>
      </c>
    </row>
    <row r="2381" spans="1:29" ht="25.5" customHeight="1" x14ac:dyDescent="0.35">
      <c r="A2381" s="188"/>
      <c r="B2381" s="190"/>
      <c r="C2381" s="99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0"/>
      <c r="E2381" s="78" t="str">
        <f>IF(C2381="","",IFERROR(VLOOKUP(C2381,parametros!$A$11:$E$15,5,0),""))</f>
        <v/>
      </c>
      <c r="F2381" s="79" t="str">
        <f t="shared" si="187"/>
        <v/>
      </c>
      <c r="G2381" s="101"/>
      <c r="H2381" s="91">
        <f t="shared" si="188"/>
        <v>0</v>
      </c>
      <c r="I2381" s="91" t="str">
        <f t="shared" si="189"/>
        <v/>
      </c>
      <c r="J2381" s="91" t="str">
        <f t="shared" si="190"/>
        <v/>
      </c>
      <c r="K2381" s="92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2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58"/>
      <c r="U2381" s="217" t="str">
        <f t="shared" si="191"/>
        <v/>
      </c>
      <c r="V2381" s="215" t="s">
        <v>47</v>
      </c>
      <c r="W2381" s="102" t="s">
        <v>136</v>
      </c>
      <c r="X2381" s="102" t="s">
        <v>137</v>
      </c>
      <c r="Y2381" s="103" t="s">
        <v>138</v>
      </c>
      <c r="Z2381" s="103" t="s">
        <v>139</v>
      </c>
      <c r="AA2381" s="103" t="s">
        <v>47</v>
      </c>
      <c r="AB2381" s="103" t="s">
        <v>140</v>
      </c>
      <c r="AC2381" s="104" t="s">
        <v>141</v>
      </c>
    </row>
    <row r="2382" spans="1:29" ht="25.5" customHeight="1" x14ac:dyDescent="0.35">
      <c r="A2382" s="188"/>
      <c r="B2382" s="190"/>
      <c r="C2382" s="99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0"/>
      <c r="E2382" s="78" t="str">
        <f>IF(C2382="","",IFERROR(VLOOKUP(C2382,parametros!$A$11:$E$15,5,0),""))</f>
        <v/>
      </c>
      <c r="F2382" s="79" t="str">
        <f t="shared" si="187"/>
        <v/>
      </c>
      <c r="G2382" s="101"/>
      <c r="H2382" s="91">
        <f t="shared" si="188"/>
        <v>0</v>
      </c>
      <c r="I2382" s="91" t="str">
        <f t="shared" si="189"/>
        <v/>
      </c>
      <c r="J2382" s="91" t="str">
        <f t="shared" si="190"/>
        <v/>
      </c>
      <c r="K2382" s="92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2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58"/>
      <c r="U2382" s="217" t="str">
        <f t="shared" si="191"/>
        <v/>
      </c>
      <c r="V2382" s="215" t="s">
        <v>47</v>
      </c>
      <c r="W2382" s="102" t="s">
        <v>136</v>
      </c>
      <c r="X2382" s="102" t="s">
        <v>137</v>
      </c>
      <c r="Y2382" s="103" t="s">
        <v>138</v>
      </c>
      <c r="Z2382" s="103" t="s">
        <v>139</v>
      </c>
      <c r="AA2382" s="103" t="s">
        <v>47</v>
      </c>
      <c r="AB2382" s="103" t="s">
        <v>140</v>
      </c>
      <c r="AC2382" s="104" t="s">
        <v>141</v>
      </c>
    </row>
    <row r="2383" spans="1:29" ht="25.5" customHeight="1" x14ac:dyDescent="0.35">
      <c r="A2383" s="188"/>
      <c r="B2383" s="190"/>
      <c r="C2383" s="99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0"/>
      <c r="E2383" s="78" t="str">
        <f>IF(C2383="","",IFERROR(VLOOKUP(C2383,parametros!$A$11:$E$15,5,0),""))</f>
        <v/>
      </c>
      <c r="F2383" s="79" t="str">
        <f t="shared" si="187"/>
        <v/>
      </c>
      <c r="G2383" s="101"/>
      <c r="H2383" s="91">
        <f t="shared" si="188"/>
        <v>0</v>
      </c>
      <c r="I2383" s="91" t="str">
        <f t="shared" si="189"/>
        <v/>
      </c>
      <c r="J2383" s="91" t="str">
        <f t="shared" si="190"/>
        <v/>
      </c>
      <c r="K2383" s="92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2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58"/>
      <c r="U2383" s="217" t="str">
        <f t="shared" si="191"/>
        <v/>
      </c>
      <c r="V2383" s="215" t="s">
        <v>47</v>
      </c>
      <c r="W2383" s="102" t="s">
        <v>136</v>
      </c>
      <c r="X2383" s="102" t="s">
        <v>137</v>
      </c>
      <c r="Y2383" s="103" t="s">
        <v>138</v>
      </c>
      <c r="Z2383" s="103" t="s">
        <v>139</v>
      </c>
      <c r="AA2383" s="103" t="s">
        <v>47</v>
      </c>
      <c r="AB2383" s="103" t="s">
        <v>140</v>
      </c>
      <c r="AC2383" s="104" t="s">
        <v>141</v>
      </c>
    </row>
    <row r="2384" spans="1:29" ht="25.5" customHeight="1" x14ac:dyDescent="0.35">
      <c r="A2384" s="188"/>
      <c r="B2384" s="190"/>
      <c r="C2384" s="99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0"/>
      <c r="E2384" s="78" t="str">
        <f>IF(C2384="","",IFERROR(VLOOKUP(C2384,parametros!$A$11:$E$15,5,0),""))</f>
        <v/>
      </c>
      <c r="F2384" s="79" t="str">
        <f t="shared" si="187"/>
        <v/>
      </c>
      <c r="G2384" s="101"/>
      <c r="H2384" s="91">
        <f t="shared" si="188"/>
        <v>0</v>
      </c>
      <c r="I2384" s="91" t="str">
        <f t="shared" si="189"/>
        <v/>
      </c>
      <c r="J2384" s="91" t="str">
        <f t="shared" si="190"/>
        <v/>
      </c>
      <c r="K2384" s="92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2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58"/>
      <c r="U2384" s="217" t="str">
        <f t="shared" si="191"/>
        <v/>
      </c>
      <c r="V2384" s="215" t="s">
        <v>47</v>
      </c>
      <c r="W2384" s="102" t="s">
        <v>136</v>
      </c>
      <c r="X2384" s="102" t="s">
        <v>137</v>
      </c>
      <c r="Y2384" s="103" t="s">
        <v>138</v>
      </c>
      <c r="Z2384" s="103" t="s">
        <v>139</v>
      </c>
      <c r="AA2384" s="103" t="s">
        <v>47</v>
      </c>
      <c r="AB2384" s="103" t="s">
        <v>140</v>
      </c>
      <c r="AC2384" s="104" t="s">
        <v>141</v>
      </c>
    </row>
    <row r="2385" spans="1:29" ht="25.5" customHeight="1" x14ac:dyDescent="0.35">
      <c r="A2385" s="188"/>
      <c r="B2385" s="190"/>
      <c r="C2385" s="99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0"/>
      <c r="E2385" s="78" t="str">
        <f>IF(C2385="","",IFERROR(VLOOKUP(C2385,parametros!$A$11:$E$15,5,0),""))</f>
        <v/>
      </c>
      <c r="F2385" s="79" t="str">
        <f t="shared" si="187"/>
        <v/>
      </c>
      <c r="G2385" s="101"/>
      <c r="H2385" s="91">
        <f t="shared" si="188"/>
        <v>0</v>
      </c>
      <c r="I2385" s="91" t="str">
        <f t="shared" si="189"/>
        <v/>
      </c>
      <c r="J2385" s="91" t="str">
        <f t="shared" si="190"/>
        <v/>
      </c>
      <c r="K2385" s="92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2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58"/>
      <c r="U2385" s="217" t="str">
        <f t="shared" si="191"/>
        <v/>
      </c>
      <c r="V2385" s="215" t="s">
        <v>47</v>
      </c>
      <c r="W2385" s="102" t="s">
        <v>136</v>
      </c>
      <c r="X2385" s="102" t="s">
        <v>137</v>
      </c>
      <c r="Y2385" s="103" t="s">
        <v>138</v>
      </c>
      <c r="Z2385" s="103" t="s">
        <v>139</v>
      </c>
      <c r="AA2385" s="103" t="s">
        <v>47</v>
      </c>
      <c r="AB2385" s="103" t="s">
        <v>140</v>
      </c>
      <c r="AC2385" s="104" t="s">
        <v>141</v>
      </c>
    </row>
    <row r="2386" spans="1:29" ht="25.5" customHeight="1" x14ac:dyDescent="0.35">
      <c r="A2386" s="188"/>
      <c r="B2386" s="190"/>
      <c r="C2386" s="99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0"/>
      <c r="E2386" s="78" t="str">
        <f>IF(C2386="","",IFERROR(VLOOKUP(C2386,parametros!$A$11:$E$15,5,0),""))</f>
        <v/>
      </c>
      <c r="F2386" s="79" t="str">
        <f t="shared" si="187"/>
        <v/>
      </c>
      <c r="G2386" s="101"/>
      <c r="H2386" s="91">
        <f t="shared" si="188"/>
        <v>0</v>
      </c>
      <c r="I2386" s="91" t="str">
        <f t="shared" si="189"/>
        <v/>
      </c>
      <c r="J2386" s="91" t="str">
        <f t="shared" si="190"/>
        <v/>
      </c>
      <c r="K2386" s="92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2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58"/>
      <c r="U2386" s="217" t="str">
        <f t="shared" si="191"/>
        <v/>
      </c>
      <c r="V2386" s="215" t="s">
        <v>47</v>
      </c>
      <c r="W2386" s="102" t="s">
        <v>136</v>
      </c>
      <c r="X2386" s="102" t="s">
        <v>137</v>
      </c>
      <c r="Y2386" s="103" t="s">
        <v>138</v>
      </c>
      <c r="Z2386" s="103" t="s">
        <v>139</v>
      </c>
      <c r="AA2386" s="103" t="s">
        <v>47</v>
      </c>
      <c r="AB2386" s="103" t="s">
        <v>140</v>
      </c>
      <c r="AC2386" s="104" t="s">
        <v>141</v>
      </c>
    </row>
    <row r="2387" spans="1:29" ht="25.5" customHeight="1" x14ac:dyDescent="0.35">
      <c r="A2387" s="188"/>
      <c r="B2387" s="190"/>
      <c r="C2387" s="99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0"/>
      <c r="E2387" s="78" t="str">
        <f>IF(C2387="","",IFERROR(VLOOKUP(C2387,parametros!$A$11:$E$15,5,0),""))</f>
        <v/>
      </c>
      <c r="F2387" s="79" t="str">
        <f t="shared" si="187"/>
        <v/>
      </c>
      <c r="G2387" s="101"/>
      <c r="H2387" s="91">
        <f t="shared" si="188"/>
        <v>0</v>
      </c>
      <c r="I2387" s="91" t="str">
        <f t="shared" si="189"/>
        <v/>
      </c>
      <c r="J2387" s="91" t="str">
        <f t="shared" si="190"/>
        <v/>
      </c>
      <c r="K2387" s="92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2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58"/>
      <c r="U2387" s="217" t="str">
        <f t="shared" si="191"/>
        <v/>
      </c>
      <c r="V2387" s="215" t="s">
        <v>47</v>
      </c>
      <c r="W2387" s="102" t="s">
        <v>136</v>
      </c>
      <c r="X2387" s="102" t="s">
        <v>137</v>
      </c>
      <c r="Y2387" s="103" t="s">
        <v>138</v>
      </c>
      <c r="Z2387" s="103" t="s">
        <v>139</v>
      </c>
      <c r="AA2387" s="103" t="s">
        <v>47</v>
      </c>
      <c r="AB2387" s="103" t="s">
        <v>140</v>
      </c>
      <c r="AC2387" s="104" t="s">
        <v>141</v>
      </c>
    </row>
    <row r="2388" spans="1:29" ht="25.5" customHeight="1" x14ac:dyDescent="0.35">
      <c r="A2388" s="188"/>
      <c r="B2388" s="190"/>
      <c r="C2388" s="99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0"/>
      <c r="E2388" s="78" t="str">
        <f>IF(C2388="","",IFERROR(VLOOKUP(C2388,parametros!$A$11:$E$15,5,0),""))</f>
        <v/>
      </c>
      <c r="F2388" s="79" t="str">
        <f t="shared" si="187"/>
        <v/>
      </c>
      <c r="G2388" s="101"/>
      <c r="H2388" s="91">
        <f t="shared" si="188"/>
        <v>0</v>
      </c>
      <c r="I2388" s="91" t="str">
        <f t="shared" si="189"/>
        <v/>
      </c>
      <c r="J2388" s="91" t="str">
        <f t="shared" si="190"/>
        <v/>
      </c>
      <c r="K2388" s="92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2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58"/>
      <c r="U2388" s="217" t="str">
        <f t="shared" si="191"/>
        <v/>
      </c>
      <c r="V2388" s="215" t="s">
        <v>47</v>
      </c>
      <c r="W2388" s="102" t="s">
        <v>136</v>
      </c>
      <c r="X2388" s="102" t="s">
        <v>137</v>
      </c>
      <c r="Y2388" s="103" t="s">
        <v>138</v>
      </c>
      <c r="Z2388" s="103" t="s">
        <v>139</v>
      </c>
      <c r="AA2388" s="103" t="s">
        <v>47</v>
      </c>
      <c r="AB2388" s="103" t="s">
        <v>140</v>
      </c>
      <c r="AC2388" s="104" t="s">
        <v>141</v>
      </c>
    </row>
    <row r="2389" spans="1:29" ht="25.5" customHeight="1" x14ac:dyDescent="0.35">
      <c r="A2389" s="188"/>
      <c r="B2389" s="190"/>
      <c r="C2389" s="99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0"/>
      <c r="E2389" s="78" t="str">
        <f>IF(C2389="","",IFERROR(VLOOKUP(C2389,parametros!$A$11:$E$15,5,0),""))</f>
        <v/>
      </c>
      <c r="F2389" s="79" t="str">
        <f t="shared" si="187"/>
        <v/>
      </c>
      <c r="G2389" s="101"/>
      <c r="H2389" s="91">
        <f t="shared" si="188"/>
        <v>0</v>
      </c>
      <c r="I2389" s="91" t="str">
        <f t="shared" si="189"/>
        <v/>
      </c>
      <c r="J2389" s="91" t="str">
        <f t="shared" si="190"/>
        <v/>
      </c>
      <c r="K2389" s="92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2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58"/>
      <c r="U2389" s="217" t="str">
        <f t="shared" si="191"/>
        <v/>
      </c>
      <c r="V2389" s="215" t="s">
        <v>47</v>
      </c>
      <c r="W2389" s="102" t="s">
        <v>136</v>
      </c>
      <c r="X2389" s="102" t="s">
        <v>137</v>
      </c>
      <c r="Y2389" s="103" t="s">
        <v>138</v>
      </c>
      <c r="Z2389" s="103" t="s">
        <v>139</v>
      </c>
      <c r="AA2389" s="103" t="s">
        <v>47</v>
      </c>
      <c r="AB2389" s="103" t="s">
        <v>140</v>
      </c>
      <c r="AC2389" s="104" t="s">
        <v>141</v>
      </c>
    </row>
    <row r="2390" spans="1:29" ht="25.5" customHeight="1" x14ac:dyDescent="0.35">
      <c r="A2390" s="188"/>
      <c r="B2390" s="190"/>
      <c r="C2390" s="99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0"/>
      <c r="E2390" s="78" t="str">
        <f>IF(C2390="","",IFERROR(VLOOKUP(C2390,parametros!$A$11:$E$15,5,0),""))</f>
        <v/>
      </c>
      <c r="F2390" s="79" t="str">
        <f t="shared" si="187"/>
        <v/>
      </c>
      <c r="G2390" s="101"/>
      <c r="H2390" s="91">
        <f t="shared" si="188"/>
        <v>0</v>
      </c>
      <c r="I2390" s="91" t="str">
        <f t="shared" si="189"/>
        <v/>
      </c>
      <c r="J2390" s="91" t="str">
        <f t="shared" si="190"/>
        <v/>
      </c>
      <c r="K2390" s="92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2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58"/>
      <c r="U2390" s="217" t="str">
        <f t="shared" si="191"/>
        <v/>
      </c>
      <c r="V2390" s="215" t="s">
        <v>47</v>
      </c>
      <c r="W2390" s="102" t="s">
        <v>136</v>
      </c>
      <c r="X2390" s="102" t="s">
        <v>137</v>
      </c>
      <c r="Y2390" s="103" t="s">
        <v>138</v>
      </c>
      <c r="Z2390" s="103" t="s">
        <v>139</v>
      </c>
      <c r="AA2390" s="103" t="s">
        <v>47</v>
      </c>
      <c r="AB2390" s="103" t="s">
        <v>140</v>
      </c>
      <c r="AC2390" s="104" t="s">
        <v>141</v>
      </c>
    </row>
    <row r="2391" spans="1:29" ht="25.5" customHeight="1" x14ac:dyDescent="0.35">
      <c r="A2391" s="188"/>
      <c r="B2391" s="190"/>
      <c r="C2391" s="99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0"/>
      <c r="E2391" s="78" t="str">
        <f>IF(C2391="","",IFERROR(VLOOKUP(C2391,parametros!$A$11:$E$15,5,0),""))</f>
        <v/>
      </c>
      <c r="F2391" s="79" t="str">
        <f t="shared" si="187"/>
        <v/>
      </c>
      <c r="G2391" s="101"/>
      <c r="H2391" s="91">
        <f t="shared" si="188"/>
        <v>0</v>
      </c>
      <c r="I2391" s="91" t="str">
        <f t="shared" si="189"/>
        <v/>
      </c>
      <c r="J2391" s="91" t="str">
        <f t="shared" si="190"/>
        <v/>
      </c>
      <c r="K2391" s="92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2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58"/>
      <c r="U2391" s="217" t="str">
        <f t="shared" si="191"/>
        <v/>
      </c>
      <c r="V2391" s="215" t="s">
        <v>47</v>
      </c>
      <c r="W2391" s="102" t="s">
        <v>136</v>
      </c>
      <c r="X2391" s="102" t="s">
        <v>137</v>
      </c>
      <c r="Y2391" s="103" t="s">
        <v>138</v>
      </c>
      <c r="Z2391" s="103" t="s">
        <v>139</v>
      </c>
      <c r="AA2391" s="103" t="s">
        <v>47</v>
      </c>
      <c r="AB2391" s="103" t="s">
        <v>140</v>
      </c>
      <c r="AC2391" s="104" t="s">
        <v>141</v>
      </c>
    </row>
    <row r="2392" spans="1:29" ht="25.5" customHeight="1" x14ac:dyDescent="0.35">
      <c r="A2392" s="188"/>
      <c r="B2392" s="190"/>
      <c r="C2392" s="99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0"/>
      <c r="E2392" s="78" t="str">
        <f>IF(C2392="","",IFERROR(VLOOKUP(C2392,parametros!$A$11:$E$15,5,0),""))</f>
        <v/>
      </c>
      <c r="F2392" s="79" t="str">
        <f t="shared" si="187"/>
        <v/>
      </c>
      <c r="G2392" s="101"/>
      <c r="H2392" s="91">
        <f t="shared" si="188"/>
        <v>0</v>
      </c>
      <c r="I2392" s="91" t="str">
        <f t="shared" si="189"/>
        <v/>
      </c>
      <c r="J2392" s="91" t="str">
        <f t="shared" si="190"/>
        <v/>
      </c>
      <c r="K2392" s="92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2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58"/>
      <c r="U2392" s="217" t="str">
        <f t="shared" si="191"/>
        <v/>
      </c>
      <c r="V2392" s="215" t="s">
        <v>47</v>
      </c>
      <c r="W2392" s="102" t="s">
        <v>136</v>
      </c>
      <c r="X2392" s="102" t="s">
        <v>137</v>
      </c>
      <c r="Y2392" s="103" t="s">
        <v>138</v>
      </c>
      <c r="Z2392" s="103" t="s">
        <v>139</v>
      </c>
      <c r="AA2392" s="103" t="s">
        <v>47</v>
      </c>
      <c r="AB2392" s="103" t="s">
        <v>140</v>
      </c>
      <c r="AC2392" s="104" t="s">
        <v>141</v>
      </c>
    </row>
    <row r="2393" spans="1:29" ht="25.5" customHeight="1" x14ac:dyDescent="0.35">
      <c r="A2393" s="188"/>
      <c r="B2393" s="190"/>
      <c r="C2393" s="99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0"/>
      <c r="E2393" s="78" t="str">
        <f>IF(C2393="","",IFERROR(VLOOKUP(C2393,parametros!$A$11:$E$15,5,0),""))</f>
        <v/>
      </c>
      <c r="F2393" s="79" t="str">
        <f t="shared" si="187"/>
        <v/>
      </c>
      <c r="G2393" s="101"/>
      <c r="H2393" s="91">
        <f t="shared" si="188"/>
        <v>0</v>
      </c>
      <c r="I2393" s="91" t="str">
        <f t="shared" si="189"/>
        <v/>
      </c>
      <c r="J2393" s="91" t="str">
        <f t="shared" si="190"/>
        <v/>
      </c>
      <c r="K2393" s="92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2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58"/>
      <c r="U2393" s="217" t="str">
        <f t="shared" si="191"/>
        <v/>
      </c>
      <c r="V2393" s="215" t="s">
        <v>47</v>
      </c>
      <c r="W2393" s="102" t="s">
        <v>136</v>
      </c>
      <c r="X2393" s="102" t="s">
        <v>137</v>
      </c>
      <c r="Y2393" s="103" t="s">
        <v>138</v>
      </c>
      <c r="Z2393" s="103" t="s">
        <v>139</v>
      </c>
      <c r="AA2393" s="103" t="s">
        <v>47</v>
      </c>
      <c r="AB2393" s="103" t="s">
        <v>140</v>
      </c>
      <c r="AC2393" s="104" t="s">
        <v>141</v>
      </c>
    </row>
    <row r="2394" spans="1:29" ht="25.5" customHeight="1" x14ac:dyDescent="0.35">
      <c r="A2394" s="188"/>
      <c r="B2394" s="190"/>
      <c r="C2394" s="99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0"/>
      <c r="E2394" s="78" t="str">
        <f>IF(C2394="","",IFERROR(VLOOKUP(C2394,parametros!$A$11:$E$15,5,0),""))</f>
        <v/>
      </c>
      <c r="F2394" s="79" t="str">
        <f t="shared" si="187"/>
        <v/>
      </c>
      <c r="G2394" s="101"/>
      <c r="H2394" s="91">
        <f t="shared" si="188"/>
        <v>0</v>
      </c>
      <c r="I2394" s="91" t="str">
        <f t="shared" si="189"/>
        <v/>
      </c>
      <c r="J2394" s="91" t="str">
        <f t="shared" si="190"/>
        <v/>
      </c>
      <c r="K2394" s="92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2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58"/>
      <c r="U2394" s="217" t="str">
        <f t="shared" si="191"/>
        <v/>
      </c>
      <c r="V2394" s="215" t="s">
        <v>47</v>
      </c>
      <c r="W2394" s="102" t="s">
        <v>136</v>
      </c>
      <c r="X2394" s="102" t="s">
        <v>137</v>
      </c>
      <c r="Y2394" s="103" t="s">
        <v>138</v>
      </c>
      <c r="Z2394" s="103" t="s">
        <v>139</v>
      </c>
      <c r="AA2394" s="103" t="s">
        <v>47</v>
      </c>
      <c r="AB2394" s="103" t="s">
        <v>140</v>
      </c>
      <c r="AC2394" s="104" t="s">
        <v>141</v>
      </c>
    </row>
    <row r="2395" spans="1:29" ht="25.5" customHeight="1" x14ac:dyDescent="0.35">
      <c r="A2395" s="188"/>
      <c r="B2395" s="190"/>
      <c r="C2395" s="99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0"/>
      <c r="E2395" s="78" t="str">
        <f>IF(C2395="","",IFERROR(VLOOKUP(C2395,parametros!$A$11:$E$15,5,0),""))</f>
        <v/>
      </c>
      <c r="F2395" s="79" t="str">
        <f t="shared" si="187"/>
        <v/>
      </c>
      <c r="G2395" s="101"/>
      <c r="H2395" s="91">
        <f t="shared" si="188"/>
        <v>0</v>
      </c>
      <c r="I2395" s="91" t="str">
        <f t="shared" si="189"/>
        <v/>
      </c>
      <c r="J2395" s="91" t="str">
        <f t="shared" si="190"/>
        <v/>
      </c>
      <c r="K2395" s="92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2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58"/>
      <c r="U2395" s="217" t="str">
        <f t="shared" si="191"/>
        <v/>
      </c>
      <c r="V2395" s="215" t="s">
        <v>47</v>
      </c>
      <c r="W2395" s="102" t="s">
        <v>136</v>
      </c>
      <c r="X2395" s="102" t="s">
        <v>137</v>
      </c>
      <c r="Y2395" s="103" t="s">
        <v>138</v>
      </c>
      <c r="Z2395" s="103" t="s">
        <v>139</v>
      </c>
      <c r="AA2395" s="103" t="s">
        <v>47</v>
      </c>
      <c r="AB2395" s="103" t="s">
        <v>140</v>
      </c>
      <c r="AC2395" s="104" t="s">
        <v>141</v>
      </c>
    </row>
    <row r="2396" spans="1:29" ht="25.5" customHeight="1" x14ac:dyDescent="0.35">
      <c r="A2396" s="188"/>
      <c r="B2396" s="190"/>
      <c r="C2396" s="99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0"/>
      <c r="E2396" s="78" t="str">
        <f>IF(C2396="","",IFERROR(VLOOKUP(C2396,parametros!$A$11:$E$15,5,0),""))</f>
        <v/>
      </c>
      <c r="F2396" s="79" t="str">
        <f t="shared" si="187"/>
        <v/>
      </c>
      <c r="G2396" s="101"/>
      <c r="H2396" s="91">
        <f t="shared" si="188"/>
        <v>0</v>
      </c>
      <c r="I2396" s="91" t="str">
        <f t="shared" si="189"/>
        <v/>
      </c>
      <c r="J2396" s="91" t="str">
        <f t="shared" si="190"/>
        <v/>
      </c>
      <c r="K2396" s="92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2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58"/>
      <c r="U2396" s="217" t="str">
        <f t="shared" si="191"/>
        <v/>
      </c>
      <c r="V2396" s="215" t="s">
        <v>47</v>
      </c>
      <c r="W2396" s="102" t="s">
        <v>136</v>
      </c>
      <c r="X2396" s="102" t="s">
        <v>137</v>
      </c>
      <c r="Y2396" s="103" t="s">
        <v>138</v>
      </c>
      <c r="Z2396" s="103" t="s">
        <v>139</v>
      </c>
      <c r="AA2396" s="103" t="s">
        <v>47</v>
      </c>
      <c r="AB2396" s="103" t="s">
        <v>140</v>
      </c>
      <c r="AC2396" s="104" t="s">
        <v>141</v>
      </c>
    </row>
    <row r="2397" spans="1:29" ht="25.5" customHeight="1" x14ac:dyDescent="0.35">
      <c r="A2397" s="188"/>
      <c r="B2397" s="190"/>
      <c r="C2397" s="99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0"/>
      <c r="E2397" s="78" t="str">
        <f>IF(C2397="","",IFERROR(VLOOKUP(C2397,parametros!$A$11:$E$15,5,0),""))</f>
        <v/>
      </c>
      <c r="F2397" s="79" t="str">
        <f t="shared" si="187"/>
        <v/>
      </c>
      <c r="G2397" s="101"/>
      <c r="H2397" s="91">
        <f t="shared" si="188"/>
        <v>0</v>
      </c>
      <c r="I2397" s="91" t="str">
        <f t="shared" si="189"/>
        <v/>
      </c>
      <c r="J2397" s="91" t="str">
        <f t="shared" si="190"/>
        <v/>
      </c>
      <c r="K2397" s="92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2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58"/>
      <c r="U2397" s="217" t="str">
        <f t="shared" si="191"/>
        <v/>
      </c>
      <c r="V2397" s="215" t="s">
        <v>47</v>
      </c>
      <c r="W2397" s="102" t="s">
        <v>136</v>
      </c>
      <c r="X2397" s="102" t="s">
        <v>137</v>
      </c>
      <c r="Y2397" s="103" t="s">
        <v>138</v>
      </c>
      <c r="Z2397" s="103" t="s">
        <v>139</v>
      </c>
      <c r="AA2397" s="103" t="s">
        <v>47</v>
      </c>
      <c r="AB2397" s="103" t="s">
        <v>140</v>
      </c>
      <c r="AC2397" s="104" t="s">
        <v>141</v>
      </c>
    </row>
    <row r="2398" spans="1:29" ht="25.5" customHeight="1" x14ac:dyDescent="0.35">
      <c r="A2398" s="188"/>
      <c r="B2398" s="190"/>
      <c r="C2398" s="99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0"/>
      <c r="E2398" s="78" t="str">
        <f>IF(C2398="","",IFERROR(VLOOKUP(C2398,parametros!$A$11:$E$15,5,0),""))</f>
        <v/>
      </c>
      <c r="F2398" s="79" t="str">
        <f t="shared" si="187"/>
        <v/>
      </c>
      <c r="G2398" s="101"/>
      <c r="H2398" s="91">
        <f t="shared" si="188"/>
        <v>0</v>
      </c>
      <c r="I2398" s="91" t="str">
        <f t="shared" si="189"/>
        <v/>
      </c>
      <c r="J2398" s="91" t="str">
        <f t="shared" si="190"/>
        <v/>
      </c>
      <c r="K2398" s="92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2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58"/>
      <c r="U2398" s="217" t="str">
        <f t="shared" si="191"/>
        <v/>
      </c>
      <c r="V2398" s="215" t="s">
        <v>47</v>
      </c>
      <c r="W2398" s="102" t="s">
        <v>136</v>
      </c>
      <c r="X2398" s="102" t="s">
        <v>137</v>
      </c>
      <c r="Y2398" s="103" t="s">
        <v>138</v>
      </c>
      <c r="Z2398" s="103" t="s">
        <v>139</v>
      </c>
      <c r="AA2398" s="103" t="s">
        <v>47</v>
      </c>
      <c r="AB2398" s="103" t="s">
        <v>140</v>
      </c>
      <c r="AC2398" s="104" t="s">
        <v>141</v>
      </c>
    </row>
    <row r="2399" spans="1:29" ht="25.5" customHeight="1" x14ac:dyDescent="0.35">
      <c r="A2399" s="188"/>
      <c r="B2399" s="190"/>
      <c r="C2399" s="99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0"/>
      <c r="E2399" s="78" t="str">
        <f>IF(C2399="","",IFERROR(VLOOKUP(C2399,parametros!$A$11:$E$15,5,0),""))</f>
        <v/>
      </c>
      <c r="F2399" s="79" t="str">
        <f t="shared" si="187"/>
        <v/>
      </c>
      <c r="G2399" s="101"/>
      <c r="H2399" s="91">
        <f t="shared" si="188"/>
        <v>0</v>
      </c>
      <c r="I2399" s="91" t="str">
        <f t="shared" si="189"/>
        <v/>
      </c>
      <c r="J2399" s="91" t="str">
        <f t="shared" si="190"/>
        <v/>
      </c>
      <c r="K2399" s="92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2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58"/>
      <c r="U2399" s="217" t="str">
        <f t="shared" si="191"/>
        <v/>
      </c>
      <c r="V2399" s="215" t="s">
        <v>47</v>
      </c>
      <c r="W2399" s="102" t="s">
        <v>136</v>
      </c>
      <c r="X2399" s="102" t="s">
        <v>137</v>
      </c>
      <c r="Y2399" s="103" t="s">
        <v>138</v>
      </c>
      <c r="Z2399" s="103" t="s">
        <v>139</v>
      </c>
      <c r="AA2399" s="103" t="s">
        <v>47</v>
      </c>
      <c r="AB2399" s="103" t="s">
        <v>140</v>
      </c>
      <c r="AC2399" s="104" t="s">
        <v>141</v>
      </c>
    </row>
    <row r="2400" spans="1:29" ht="25.5" customHeight="1" x14ac:dyDescent="0.35">
      <c r="A2400" s="188"/>
      <c r="B2400" s="190"/>
      <c r="C2400" s="99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0"/>
      <c r="E2400" s="78" t="str">
        <f>IF(C2400="","",IFERROR(VLOOKUP(C2400,parametros!$A$11:$E$15,5,0),""))</f>
        <v/>
      </c>
      <c r="F2400" s="79" t="str">
        <f t="shared" si="187"/>
        <v/>
      </c>
      <c r="G2400" s="101"/>
      <c r="H2400" s="91">
        <f t="shared" si="188"/>
        <v>0</v>
      </c>
      <c r="I2400" s="91" t="str">
        <f t="shared" si="189"/>
        <v/>
      </c>
      <c r="J2400" s="91" t="str">
        <f t="shared" si="190"/>
        <v/>
      </c>
      <c r="K2400" s="92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2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58"/>
      <c r="U2400" s="217" t="str">
        <f t="shared" si="191"/>
        <v/>
      </c>
      <c r="V2400" s="215" t="s">
        <v>47</v>
      </c>
      <c r="W2400" s="102" t="s">
        <v>136</v>
      </c>
      <c r="X2400" s="102" t="s">
        <v>137</v>
      </c>
      <c r="Y2400" s="103" t="s">
        <v>138</v>
      </c>
      <c r="Z2400" s="103" t="s">
        <v>139</v>
      </c>
      <c r="AA2400" s="103" t="s">
        <v>47</v>
      </c>
      <c r="AB2400" s="103" t="s">
        <v>140</v>
      </c>
      <c r="AC2400" s="104" t="s">
        <v>141</v>
      </c>
    </row>
    <row r="2401" spans="1:29" ht="25.5" customHeight="1" x14ac:dyDescent="0.35">
      <c r="A2401" s="188"/>
      <c r="B2401" s="190"/>
      <c r="C2401" s="99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0"/>
      <c r="E2401" s="78" t="str">
        <f>IF(C2401="","",IFERROR(VLOOKUP(C2401,parametros!$A$11:$E$15,5,0),""))</f>
        <v/>
      </c>
      <c r="F2401" s="79" t="str">
        <f t="shared" si="187"/>
        <v/>
      </c>
      <c r="G2401" s="101"/>
      <c r="H2401" s="91">
        <f t="shared" si="188"/>
        <v>0</v>
      </c>
      <c r="I2401" s="91" t="str">
        <f t="shared" si="189"/>
        <v/>
      </c>
      <c r="J2401" s="91" t="str">
        <f t="shared" si="190"/>
        <v/>
      </c>
      <c r="K2401" s="92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2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58"/>
      <c r="U2401" s="217" t="str">
        <f t="shared" si="191"/>
        <v/>
      </c>
      <c r="V2401" s="215" t="s">
        <v>47</v>
      </c>
      <c r="W2401" s="102" t="s">
        <v>136</v>
      </c>
      <c r="X2401" s="102" t="s">
        <v>137</v>
      </c>
      <c r="Y2401" s="103" t="s">
        <v>138</v>
      </c>
      <c r="Z2401" s="103" t="s">
        <v>139</v>
      </c>
      <c r="AA2401" s="103" t="s">
        <v>47</v>
      </c>
      <c r="AB2401" s="103" t="s">
        <v>140</v>
      </c>
      <c r="AC2401" s="104" t="s">
        <v>141</v>
      </c>
    </row>
    <row r="2402" spans="1:29" ht="25.5" customHeight="1" x14ac:dyDescent="0.35">
      <c r="A2402" s="188"/>
      <c r="B2402" s="190"/>
      <c r="C2402" s="99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0"/>
      <c r="E2402" s="78" t="str">
        <f>IF(C2402="","",IFERROR(VLOOKUP(C2402,parametros!$A$11:$E$15,5,0),""))</f>
        <v/>
      </c>
      <c r="F2402" s="79" t="str">
        <f t="shared" si="187"/>
        <v/>
      </c>
      <c r="G2402" s="101"/>
      <c r="H2402" s="91">
        <f t="shared" si="188"/>
        <v>0</v>
      </c>
      <c r="I2402" s="91" t="str">
        <f t="shared" si="189"/>
        <v/>
      </c>
      <c r="J2402" s="91" t="str">
        <f t="shared" si="190"/>
        <v/>
      </c>
      <c r="K2402" s="92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2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58"/>
      <c r="U2402" s="217" t="str">
        <f t="shared" si="191"/>
        <v/>
      </c>
      <c r="V2402" s="215" t="s">
        <v>47</v>
      </c>
      <c r="W2402" s="102" t="s">
        <v>136</v>
      </c>
      <c r="X2402" s="102" t="s">
        <v>137</v>
      </c>
      <c r="Y2402" s="103" t="s">
        <v>138</v>
      </c>
      <c r="Z2402" s="103" t="s">
        <v>139</v>
      </c>
      <c r="AA2402" s="103" t="s">
        <v>47</v>
      </c>
      <c r="AB2402" s="103" t="s">
        <v>140</v>
      </c>
      <c r="AC2402" s="104" t="s">
        <v>141</v>
      </c>
    </row>
    <row r="2403" spans="1:29" ht="25.5" customHeight="1" x14ac:dyDescent="0.35">
      <c r="A2403" s="188"/>
      <c r="B2403" s="190"/>
      <c r="C2403" s="99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0"/>
      <c r="E2403" s="78" t="str">
        <f>IF(C2403="","",IFERROR(VLOOKUP(C2403,parametros!$A$11:$E$15,5,0),""))</f>
        <v/>
      </c>
      <c r="F2403" s="79" t="str">
        <f t="shared" si="187"/>
        <v/>
      </c>
      <c r="G2403" s="101"/>
      <c r="H2403" s="91">
        <f t="shared" si="188"/>
        <v>0</v>
      </c>
      <c r="I2403" s="91" t="str">
        <f t="shared" si="189"/>
        <v/>
      </c>
      <c r="J2403" s="91" t="str">
        <f t="shared" si="190"/>
        <v/>
      </c>
      <c r="K2403" s="92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2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58"/>
      <c r="U2403" s="217" t="str">
        <f t="shared" si="191"/>
        <v/>
      </c>
      <c r="V2403" s="215" t="s">
        <v>47</v>
      </c>
      <c r="W2403" s="102" t="s">
        <v>136</v>
      </c>
      <c r="X2403" s="102" t="s">
        <v>137</v>
      </c>
      <c r="Y2403" s="103" t="s">
        <v>138</v>
      </c>
      <c r="Z2403" s="103" t="s">
        <v>139</v>
      </c>
      <c r="AA2403" s="103" t="s">
        <v>47</v>
      </c>
      <c r="AB2403" s="103" t="s">
        <v>140</v>
      </c>
      <c r="AC2403" s="104" t="s">
        <v>141</v>
      </c>
    </row>
    <row r="2404" spans="1:29" ht="25.5" customHeight="1" x14ac:dyDescent="0.35">
      <c r="A2404" s="188"/>
      <c r="B2404" s="190"/>
      <c r="C2404" s="99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0"/>
      <c r="E2404" s="78" t="str">
        <f>IF(C2404="","",IFERROR(VLOOKUP(C2404,parametros!$A$11:$E$15,5,0),""))</f>
        <v/>
      </c>
      <c r="F2404" s="79" t="str">
        <f t="shared" si="187"/>
        <v/>
      </c>
      <c r="G2404" s="101"/>
      <c r="H2404" s="91">
        <f t="shared" si="188"/>
        <v>0</v>
      </c>
      <c r="I2404" s="91" t="str">
        <f t="shared" si="189"/>
        <v/>
      </c>
      <c r="J2404" s="91" t="str">
        <f t="shared" si="190"/>
        <v/>
      </c>
      <c r="K2404" s="92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2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58"/>
      <c r="U2404" s="217" t="str">
        <f t="shared" si="191"/>
        <v/>
      </c>
      <c r="V2404" s="215" t="s">
        <v>47</v>
      </c>
      <c r="W2404" s="102" t="s">
        <v>136</v>
      </c>
      <c r="X2404" s="102" t="s">
        <v>137</v>
      </c>
      <c r="Y2404" s="103" t="s">
        <v>138</v>
      </c>
      <c r="Z2404" s="103" t="s">
        <v>139</v>
      </c>
      <c r="AA2404" s="103" t="s">
        <v>47</v>
      </c>
      <c r="AB2404" s="103" t="s">
        <v>140</v>
      </c>
      <c r="AC2404" s="104" t="s">
        <v>141</v>
      </c>
    </row>
    <row r="2405" spans="1:29" ht="25.5" customHeight="1" x14ac:dyDescent="0.35">
      <c r="A2405" s="188"/>
      <c r="B2405" s="190"/>
      <c r="C2405" s="99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0"/>
      <c r="E2405" s="78" t="str">
        <f>IF(C2405="","",IFERROR(VLOOKUP(C2405,parametros!$A$11:$E$15,5,0),""))</f>
        <v/>
      </c>
      <c r="F2405" s="79" t="str">
        <f t="shared" si="187"/>
        <v/>
      </c>
      <c r="G2405" s="101"/>
      <c r="H2405" s="91">
        <f t="shared" si="188"/>
        <v>0</v>
      </c>
      <c r="I2405" s="91" t="str">
        <f t="shared" si="189"/>
        <v/>
      </c>
      <c r="J2405" s="91" t="str">
        <f t="shared" si="190"/>
        <v/>
      </c>
      <c r="K2405" s="92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2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58"/>
      <c r="U2405" s="217" t="str">
        <f t="shared" si="191"/>
        <v/>
      </c>
      <c r="V2405" s="215" t="s">
        <v>47</v>
      </c>
      <c r="W2405" s="102" t="s">
        <v>136</v>
      </c>
      <c r="X2405" s="102" t="s">
        <v>137</v>
      </c>
      <c r="Y2405" s="103" t="s">
        <v>138</v>
      </c>
      <c r="Z2405" s="103" t="s">
        <v>139</v>
      </c>
      <c r="AA2405" s="103" t="s">
        <v>47</v>
      </c>
      <c r="AB2405" s="103" t="s">
        <v>140</v>
      </c>
      <c r="AC2405" s="104" t="s">
        <v>141</v>
      </c>
    </row>
    <row r="2406" spans="1:29" ht="25.5" customHeight="1" x14ac:dyDescent="0.35">
      <c r="A2406" s="188"/>
      <c r="B2406" s="190"/>
      <c r="C2406" s="99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0"/>
      <c r="E2406" s="78" t="str">
        <f>IF(C2406="","",IFERROR(VLOOKUP(C2406,parametros!$A$11:$E$15,5,0),""))</f>
        <v/>
      </c>
      <c r="F2406" s="79" t="str">
        <f t="shared" si="187"/>
        <v/>
      </c>
      <c r="G2406" s="101"/>
      <c r="H2406" s="91">
        <f t="shared" si="188"/>
        <v>0</v>
      </c>
      <c r="I2406" s="91" t="str">
        <f t="shared" si="189"/>
        <v/>
      </c>
      <c r="J2406" s="91" t="str">
        <f t="shared" si="190"/>
        <v/>
      </c>
      <c r="K2406" s="92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2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58"/>
      <c r="U2406" s="217" t="str">
        <f t="shared" si="191"/>
        <v/>
      </c>
      <c r="V2406" s="215" t="s">
        <v>47</v>
      </c>
      <c r="W2406" s="102" t="s">
        <v>136</v>
      </c>
      <c r="X2406" s="102" t="s">
        <v>137</v>
      </c>
      <c r="Y2406" s="103" t="s">
        <v>138</v>
      </c>
      <c r="Z2406" s="103" t="s">
        <v>139</v>
      </c>
      <c r="AA2406" s="103" t="s">
        <v>47</v>
      </c>
      <c r="AB2406" s="103" t="s">
        <v>140</v>
      </c>
      <c r="AC2406" s="104" t="s">
        <v>141</v>
      </c>
    </row>
    <row r="2407" spans="1:29" ht="25.5" customHeight="1" x14ac:dyDescent="0.35">
      <c r="A2407" s="188"/>
      <c r="B2407" s="190"/>
      <c r="C2407" s="99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0"/>
      <c r="E2407" s="78" t="str">
        <f>IF(C2407="","",IFERROR(VLOOKUP(C2407,parametros!$A$11:$E$15,5,0),""))</f>
        <v/>
      </c>
      <c r="F2407" s="79" t="str">
        <f t="shared" si="187"/>
        <v/>
      </c>
      <c r="G2407" s="101"/>
      <c r="H2407" s="91">
        <f t="shared" si="188"/>
        <v>0</v>
      </c>
      <c r="I2407" s="91" t="str">
        <f t="shared" si="189"/>
        <v/>
      </c>
      <c r="J2407" s="91" t="str">
        <f t="shared" si="190"/>
        <v/>
      </c>
      <c r="K2407" s="92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2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58"/>
      <c r="U2407" s="217" t="str">
        <f t="shared" si="191"/>
        <v/>
      </c>
      <c r="V2407" s="215" t="s">
        <v>47</v>
      </c>
      <c r="W2407" s="102" t="s">
        <v>136</v>
      </c>
      <c r="X2407" s="102" t="s">
        <v>137</v>
      </c>
      <c r="Y2407" s="103" t="s">
        <v>138</v>
      </c>
      <c r="Z2407" s="103" t="s">
        <v>139</v>
      </c>
      <c r="AA2407" s="103" t="s">
        <v>47</v>
      </c>
      <c r="AB2407" s="103" t="s">
        <v>140</v>
      </c>
      <c r="AC2407" s="104" t="s">
        <v>141</v>
      </c>
    </row>
    <row r="2408" spans="1:29" ht="25.5" customHeight="1" x14ac:dyDescent="0.35">
      <c r="A2408" s="188"/>
      <c r="B2408" s="190"/>
      <c r="C2408" s="99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0"/>
      <c r="E2408" s="78" t="str">
        <f>IF(C2408="","",IFERROR(VLOOKUP(C2408,parametros!$A$11:$E$15,5,0),""))</f>
        <v/>
      </c>
      <c r="F2408" s="79" t="str">
        <f t="shared" si="187"/>
        <v/>
      </c>
      <c r="G2408" s="101"/>
      <c r="H2408" s="91">
        <f t="shared" si="188"/>
        <v>0</v>
      </c>
      <c r="I2408" s="91" t="str">
        <f t="shared" si="189"/>
        <v/>
      </c>
      <c r="J2408" s="91" t="str">
        <f t="shared" si="190"/>
        <v/>
      </c>
      <c r="K2408" s="92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2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58"/>
      <c r="U2408" s="217" t="str">
        <f t="shared" si="191"/>
        <v/>
      </c>
      <c r="V2408" s="215" t="s">
        <v>47</v>
      </c>
      <c r="W2408" s="102" t="s">
        <v>136</v>
      </c>
      <c r="X2408" s="102" t="s">
        <v>137</v>
      </c>
      <c r="Y2408" s="103" t="s">
        <v>138</v>
      </c>
      <c r="Z2408" s="103" t="s">
        <v>139</v>
      </c>
      <c r="AA2408" s="103" t="s">
        <v>47</v>
      </c>
      <c r="AB2408" s="103" t="s">
        <v>140</v>
      </c>
      <c r="AC2408" s="104" t="s">
        <v>141</v>
      </c>
    </row>
    <row r="2409" spans="1:29" ht="25.5" customHeight="1" x14ac:dyDescent="0.35">
      <c r="A2409" s="188"/>
      <c r="B2409" s="190"/>
      <c r="C2409" s="99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0"/>
      <c r="E2409" s="78" t="str">
        <f>IF(C2409="","",IFERROR(VLOOKUP(C2409,parametros!$A$11:$E$15,5,0),""))</f>
        <v/>
      </c>
      <c r="F2409" s="79" t="str">
        <f t="shared" si="187"/>
        <v/>
      </c>
      <c r="G2409" s="101"/>
      <c r="H2409" s="91">
        <f t="shared" si="188"/>
        <v>0</v>
      </c>
      <c r="I2409" s="91" t="str">
        <f t="shared" si="189"/>
        <v/>
      </c>
      <c r="J2409" s="91" t="str">
        <f t="shared" si="190"/>
        <v/>
      </c>
      <c r="K2409" s="92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2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58"/>
      <c r="U2409" s="217" t="str">
        <f t="shared" si="191"/>
        <v/>
      </c>
      <c r="V2409" s="215" t="s">
        <v>47</v>
      </c>
      <c r="W2409" s="102" t="s">
        <v>136</v>
      </c>
      <c r="X2409" s="102" t="s">
        <v>137</v>
      </c>
      <c r="Y2409" s="103" t="s">
        <v>138</v>
      </c>
      <c r="Z2409" s="103" t="s">
        <v>139</v>
      </c>
      <c r="AA2409" s="103" t="s">
        <v>47</v>
      </c>
      <c r="AB2409" s="103" t="s">
        <v>140</v>
      </c>
      <c r="AC2409" s="104" t="s">
        <v>141</v>
      </c>
    </row>
    <row r="2410" spans="1:29" ht="25.5" customHeight="1" x14ac:dyDescent="0.35">
      <c r="A2410" s="188"/>
      <c r="B2410" s="190"/>
      <c r="C2410" s="99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0"/>
      <c r="E2410" s="78" t="str">
        <f>IF(C2410="","",IFERROR(VLOOKUP(C2410,parametros!$A$11:$E$15,5,0),""))</f>
        <v/>
      </c>
      <c r="F2410" s="79" t="str">
        <f t="shared" si="187"/>
        <v/>
      </c>
      <c r="G2410" s="101"/>
      <c r="H2410" s="91">
        <f t="shared" si="188"/>
        <v>0</v>
      </c>
      <c r="I2410" s="91" t="str">
        <f t="shared" si="189"/>
        <v/>
      </c>
      <c r="J2410" s="91" t="str">
        <f t="shared" si="190"/>
        <v/>
      </c>
      <c r="K2410" s="92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2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58"/>
      <c r="U2410" s="217" t="str">
        <f t="shared" si="191"/>
        <v/>
      </c>
      <c r="V2410" s="215" t="s">
        <v>47</v>
      </c>
      <c r="W2410" s="102" t="s">
        <v>136</v>
      </c>
      <c r="X2410" s="102" t="s">
        <v>137</v>
      </c>
      <c r="Y2410" s="103" t="s">
        <v>138</v>
      </c>
      <c r="Z2410" s="103" t="s">
        <v>139</v>
      </c>
      <c r="AA2410" s="103" t="s">
        <v>47</v>
      </c>
      <c r="AB2410" s="103" t="s">
        <v>140</v>
      </c>
      <c r="AC2410" s="104" t="s">
        <v>141</v>
      </c>
    </row>
    <row r="2411" spans="1:29" ht="25.5" customHeight="1" x14ac:dyDescent="0.35">
      <c r="A2411" s="188"/>
      <c r="B2411" s="190"/>
      <c r="C2411" s="99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0"/>
      <c r="E2411" s="78" t="str">
        <f>IF(C2411="","",IFERROR(VLOOKUP(C2411,parametros!$A$11:$E$15,5,0),""))</f>
        <v/>
      </c>
      <c r="F2411" s="79" t="str">
        <f t="shared" si="187"/>
        <v/>
      </c>
      <c r="G2411" s="101"/>
      <c r="H2411" s="91">
        <f t="shared" si="188"/>
        <v>0</v>
      </c>
      <c r="I2411" s="91" t="str">
        <f t="shared" si="189"/>
        <v/>
      </c>
      <c r="J2411" s="91" t="str">
        <f t="shared" si="190"/>
        <v/>
      </c>
      <c r="K2411" s="92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2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58"/>
      <c r="U2411" s="217" t="str">
        <f t="shared" si="191"/>
        <v/>
      </c>
      <c r="V2411" s="215" t="s">
        <v>47</v>
      </c>
      <c r="W2411" s="102" t="s">
        <v>136</v>
      </c>
      <c r="X2411" s="102" t="s">
        <v>137</v>
      </c>
      <c r="Y2411" s="103" t="s">
        <v>138</v>
      </c>
      <c r="Z2411" s="103" t="s">
        <v>139</v>
      </c>
      <c r="AA2411" s="103" t="s">
        <v>47</v>
      </c>
      <c r="AB2411" s="103" t="s">
        <v>140</v>
      </c>
      <c r="AC2411" s="104" t="s">
        <v>141</v>
      </c>
    </row>
    <row r="2412" spans="1:29" ht="25.5" customHeight="1" x14ac:dyDescent="0.35">
      <c r="A2412" s="188"/>
      <c r="B2412" s="190"/>
      <c r="C2412" s="99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0"/>
      <c r="E2412" s="78" t="str">
        <f>IF(C2412="","",IFERROR(VLOOKUP(C2412,parametros!$A$11:$E$15,5,0),""))</f>
        <v/>
      </c>
      <c r="F2412" s="79" t="str">
        <f t="shared" si="187"/>
        <v/>
      </c>
      <c r="G2412" s="101"/>
      <c r="H2412" s="91">
        <f t="shared" si="188"/>
        <v>0</v>
      </c>
      <c r="I2412" s="91" t="str">
        <f t="shared" si="189"/>
        <v/>
      </c>
      <c r="J2412" s="91" t="str">
        <f t="shared" si="190"/>
        <v/>
      </c>
      <c r="K2412" s="92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2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58"/>
      <c r="U2412" s="217" t="str">
        <f t="shared" si="191"/>
        <v/>
      </c>
      <c r="V2412" s="215" t="s">
        <v>47</v>
      </c>
      <c r="W2412" s="102" t="s">
        <v>136</v>
      </c>
      <c r="X2412" s="102" t="s">
        <v>137</v>
      </c>
      <c r="Y2412" s="103" t="s">
        <v>138</v>
      </c>
      <c r="Z2412" s="103" t="s">
        <v>139</v>
      </c>
      <c r="AA2412" s="103" t="s">
        <v>47</v>
      </c>
      <c r="AB2412" s="103" t="s">
        <v>140</v>
      </c>
      <c r="AC2412" s="104" t="s">
        <v>141</v>
      </c>
    </row>
    <row r="2413" spans="1:29" ht="25.5" customHeight="1" x14ac:dyDescent="0.35">
      <c r="A2413" s="188"/>
      <c r="B2413" s="190"/>
      <c r="C2413" s="99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0"/>
      <c r="E2413" s="78" t="str">
        <f>IF(C2413="","",IFERROR(VLOOKUP(C2413,parametros!$A$11:$E$15,5,0),""))</f>
        <v/>
      </c>
      <c r="F2413" s="79" t="str">
        <f t="shared" si="187"/>
        <v/>
      </c>
      <c r="G2413" s="101"/>
      <c r="H2413" s="91">
        <f t="shared" si="188"/>
        <v>0</v>
      </c>
      <c r="I2413" s="91" t="str">
        <f t="shared" si="189"/>
        <v/>
      </c>
      <c r="J2413" s="91" t="str">
        <f t="shared" si="190"/>
        <v/>
      </c>
      <c r="K2413" s="92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2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58"/>
      <c r="U2413" s="217" t="str">
        <f t="shared" si="191"/>
        <v/>
      </c>
      <c r="V2413" s="215" t="s">
        <v>47</v>
      </c>
      <c r="W2413" s="102" t="s">
        <v>136</v>
      </c>
      <c r="X2413" s="102" t="s">
        <v>137</v>
      </c>
      <c r="Y2413" s="103" t="s">
        <v>138</v>
      </c>
      <c r="Z2413" s="103" t="s">
        <v>139</v>
      </c>
      <c r="AA2413" s="103" t="s">
        <v>47</v>
      </c>
      <c r="AB2413" s="103" t="s">
        <v>140</v>
      </c>
      <c r="AC2413" s="104" t="s">
        <v>141</v>
      </c>
    </row>
    <row r="2414" spans="1:29" ht="25.5" customHeight="1" x14ac:dyDescent="0.35">
      <c r="A2414" s="188"/>
      <c r="B2414" s="190"/>
      <c r="C2414" s="99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0"/>
      <c r="E2414" s="78" t="str">
        <f>IF(C2414="","",IFERROR(VLOOKUP(C2414,parametros!$A$11:$E$15,5,0),""))</f>
        <v/>
      </c>
      <c r="F2414" s="79" t="str">
        <f t="shared" si="187"/>
        <v/>
      </c>
      <c r="G2414" s="101"/>
      <c r="H2414" s="91">
        <f t="shared" si="188"/>
        <v>0</v>
      </c>
      <c r="I2414" s="91" t="str">
        <f t="shared" si="189"/>
        <v/>
      </c>
      <c r="J2414" s="91" t="str">
        <f t="shared" si="190"/>
        <v/>
      </c>
      <c r="K2414" s="92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2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58"/>
      <c r="U2414" s="217" t="str">
        <f t="shared" si="191"/>
        <v/>
      </c>
      <c r="V2414" s="215" t="s">
        <v>47</v>
      </c>
      <c r="W2414" s="102" t="s">
        <v>136</v>
      </c>
      <c r="X2414" s="102" t="s">
        <v>137</v>
      </c>
      <c r="Y2414" s="103" t="s">
        <v>138</v>
      </c>
      <c r="Z2414" s="103" t="s">
        <v>139</v>
      </c>
      <c r="AA2414" s="103" t="s">
        <v>47</v>
      </c>
      <c r="AB2414" s="103" t="s">
        <v>140</v>
      </c>
      <c r="AC2414" s="104" t="s">
        <v>141</v>
      </c>
    </row>
    <row r="2415" spans="1:29" ht="25.5" customHeight="1" x14ac:dyDescent="0.35">
      <c r="A2415" s="188"/>
      <c r="B2415" s="190"/>
      <c r="C2415" s="99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0"/>
      <c r="E2415" s="78" t="str">
        <f>IF(C2415="","",IFERROR(VLOOKUP(C2415,parametros!$A$11:$E$15,5,0),""))</f>
        <v/>
      </c>
      <c r="F2415" s="79" t="str">
        <f t="shared" si="187"/>
        <v/>
      </c>
      <c r="G2415" s="101"/>
      <c r="H2415" s="91">
        <f t="shared" si="188"/>
        <v>0</v>
      </c>
      <c r="I2415" s="91" t="str">
        <f t="shared" si="189"/>
        <v/>
      </c>
      <c r="J2415" s="91" t="str">
        <f t="shared" si="190"/>
        <v/>
      </c>
      <c r="K2415" s="92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2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58"/>
      <c r="U2415" s="217" t="str">
        <f t="shared" si="191"/>
        <v/>
      </c>
      <c r="V2415" s="215" t="s">
        <v>47</v>
      </c>
      <c r="W2415" s="102" t="s">
        <v>136</v>
      </c>
      <c r="X2415" s="102" t="s">
        <v>137</v>
      </c>
      <c r="Y2415" s="103" t="s">
        <v>138</v>
      </c>
      <c r="Z2415" s="103" t="s">
        <v>139</v>
      </c>
      <c r="AA2415" s="103" t="s">
        <v>47</v>
      </c>
      <c r="AB2415" s="103" t="s">
        <v>140</v>
      </c>
      <c r="AC2415" s="104" t="s">
        <v>141</v>
      </c>
    </row>
    <row r="2416" spans="1:29" ht="25.5" customHeight="1" x14ac:dyDescent="0.35">
      <c r="A2416" s="188"/>
      <c r="B2416" s="190"/>
      <c r="C2416" s="99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0"/>
      <c r="E2416" s="78" t="str">
        <f>IF(C2416="","",IFERROR(VLOOKUP(C2416,parametros!$A$11:$E$15,5,0),""))</f>
        <v/>
      </c>
      <c r="F2416" s="79" t="str">
        <f t="shared" si="187"/>
        <v/>
      </c>
      <c r="G2416" s="101"/>
      <c r="H2416" s="91">
        <f t="shared" si="188"/>
        <v>0</v>
      </c>
      <c r="I2416" s="91" t="str">
        <f t="shared" si="189"/>
        <v/>
      </c>
      <c r="J2416" s="91" t="str">
        <f t="shared" si="190"/>
        <v/>
      </c>
      <c r="K2416" s="92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2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58"/>
      <c r="U2416" s="217" t="str">
        <f t="shared" si="191"/>
        <v/>
      </c>
      <c r="V2416" s="215" t="s">
        <v>47</v>
      </c>
      <c r="W2416" s="102" t="s">
        <v>136</v>
      </c>
      <c r="X2416" s="102" t="s">
        <v>137</v>
      </c>
      <c r="Y2416" s="103" t="s">
        <v>138</v>
      </c>
      <c r="Z2416" s="103" t="s">
        <v>139</v>
      </c>
      <c r="AA2416" s="103" t="s">
        <v>47</v>
      </c>
      <c r="AB2416" s="103" t="s">
        <v>140</v>
      </c>
      <c r="AC2416" s="104" t="s">
        <v>141</v>
      </c>
    </row>
    <row r="2417" spans="1:29" ht="25.5" customHeight="1" x14ac:dyDescent="0.35">
      <c r="A2417" s="188"/>
      <c r="B2417" s="190"/>
      <c r="C2417" s="99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0"/>
      <c r="E2417" s="78" t="str">
        <f>IF(C2417="","",IFERROR(VLOOKUP(C2417,parametros!$A$11:$E$15,5,0),""))</f>
        <v/>
      </c>
      <c r="F2417" s="79" t="str">
        <f t="shared" si="187"/>
        <v/>
      </c>
      <c r="G2417" s="101"/>
      <c r="H2417" s="91">
        <f t="shared" si="188"/>
        <v>0</v>
      </c>
      <c r="I2417" s="91" t="str">
        <f t="shared" si="189"/>
        <v/>
      </c>
      <c r="J2417" s="91" t="str">
        <f t="shared" si="190"/>
        <v/>
      </c>
      <c r="K2417" s="92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2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58"/>
      <c r="U2417" s="217" t="str">
        <f t="shared" si="191"/>
        <v/>
      </c>
      <c r="V2417" s="215" t="s">
        <v>47</v>
      </c>
      <c r="W2417" s="102" t="s">
        <v>136</v>
      </c>
      <c r="X2417" s="102" t="s">
        <v>137</v>
      </c>
      <c r="Y2417" s="103" t="s">
        <v>138</v>
      </c>
      <c r="Z2417" s="103" t="s">
        <v>139</v>
      </c>
      <c r="AA2417" s="103" t="s">
        <v>47</v>
      </c>
      <c r="AB2417" s="103" t="s">
        <v>140</v>
      </c>
      <c r="AC2417" s="104" t="s">
        <v>141</v>
      </c>
    </row>
    <row r="2418" spans="1:29" ht="25.5" customHeight="1" x14ac:dyDescent="0.35">
      <c r="A2418" s="188"/>
      <c r="B2418" s="190"/>
      <c r="C2418" s="99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0"/>
      <c r="E2418" s="78" t="str">
        <f>IF(C2418="","",IFERROR(VLOOKUP(C2418,parametros!$A$11:$E$15,5,0),""))</f>
        <v/>
      </c>
      <c r="F2418" s="79" t="str">
        <f t="shared" si="187"/>
        <v/>
      </c>
      <c r="G2418" s="101"/>
      <c r="H2418" s="91">
        <f t="shared" si="188"/>
        <v>0</v>
      </c>
      <c r="I2418" s="91" t="str">
        <f t="shared" si="189"/>
        <v/>
      </c>
      <c r="J2418" s="91" t="str">
        <f t="shared" si="190"/>
        <v/>
      </c>
      <c r="K2418" s="92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2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58"/>
      <c r="U2418" s="217" t="str">
        <f t="shared" si="191"/>
        <v/>
      </c>
      <c r="V2418" s="215" t="s">
        <v>47</v>
      </c>
      <c r="W2418" s="102" t="s">
        <v>136</v>
      </c>
      <c r="X2418" s="102" t="s">
        <v>137</v>
      </c>
      <c r="Y2418" s="103" t="s">
        <v>138</v>
      </c>
      <c r="Z2418" s="103" t="s">
        <v>139</v>
      </c>
      <c r="AA2418" s="103" t="s">
        <v>47</v>
      </c>
      <c r="AB2418" s="103" t="s">
        <v>140</v>
      </c>
      <c r="AC2418" s="104" t="s">
        <v>141</v>
      </c>
    </row>
    <row r="2419" spans="1:29" ht="25.5" customHeight="1" x14ac:dyDescent="0.35">
      <c r="A2419" s="188"/>
      <c r="B2419" s="190"/>
      <c r="C2419" s="99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0"/>
      <c r="E2419" s="78" t="str">
        <f>IF(C2419="","",IFERROR(VLOOKUP(C2419,parametros!$A$11:$E$15,5,0),""))</f>
        <v/>
      </c>
      <c r="F2419" s="79" t="str">
        <f t="shared" si="187"/>
        <v/>
      </c>
      <c r="G2419" s="101"/>
      <c r="H2419" s="91">
        <f t="shared" si="188"/>
        <v>0</v>
      </c>
      <c r="I2419" s="91" t="str">
        <f t="shared" si="189"/>
        <v/>
      </c>
      <c r="J2419" s="91" t="str">
        <f t="shared" si="190"/>
        <v/>
      </c>
      <c r="K2419" s="92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2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58"/>
      <c r="U2419" s="217" t="str">
        <f t="shared" si="191"/>
        <v/>
      </c>
      <c r="V2419" s="215" t="s">
        <v>47</v>
      </c>
      <c r="W2419" s="102" t="s">
        <v>136</v>
      </c>
      <c r="X2419" s="102" t="s">
        <v>137</v>
      </c>
      <c r="Y2419" s="103" t="s">
        <v>138</v>
      </c>
      <c r="Z2419" s="103" t="s">
        <v>139</v>
      </c>
      <c r="AA2419" s="103" t="s">
        <v>47</v>
      </c>
      <c r="AB2419" s="103" t="s">
        <v>140</v>
      </c>
      <c r="AC2419" s="104" t="s">
        <v>141</v>
      </c>
    </row>
    <row r="2420" spans="1:29" ht="25.5" customHeight="1" x14ac:dyDescent="0.35">
      <c r="A2420" s="188"/>
      <c r="B2420" s="190"/>
      <c r="C2420" s="99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0"/>
      <c r="E2420" s="78" t="str">
        <f>IF(C2420="","",IFERROR(VLOOKUP(C2420,parametros!$A$11:$E$15,5,0),""))</f>
        <v/>
      </c>
      <c r="F2420" s="79" t="str">
        <f t="shared" si="187"/>
        <v/>
      </c>
      <c r="G2420" s="101"/>
      <c r="H2420" s="91">
        <f t="shared" si="188"/>
        <v>0</v>
      </c>
      <c r="I2420" s="91" t="str">
        <f t="shared" si="189"/>
        <v/>
      </c>
      <c r="J2420" s="91" t="str">
        <f t="shared" si="190"/>
        <v/>
      </c>
      <c r="K2420" s="92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2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58"/>
      <c r="U2420" s="217" t="str">
        <f t="shared" si="191"/>
        <v/>
      </c>
      <c r="V2420" s="215" t="s">
        <v>47</v>
      </c>
      <c r="W2420" s="102" t="s">
        <v>136</v>
      </c>
      <c r="X2420" s="102" t="s">
        <v>137</v>
      </c>
      <c r="Y2420" s="103" t="s">
        <v>138</v>
      </c>
      <c r="Z2420" s="103" t="s">
        <v>139</v>
      </c>
      <c r="AA2420" s="103" t="s">
        <v>47</v>
      </c>
      <c r="AB2420" s="103" t="s">
        <v>140</v>
      </c>
      <c r="AC2420" s="104" t="s">
        <v>141</v>
      </c>
    </row>
    <row r="2421" spans="1:29" ht="25.5" customHeight="1" x14ac:dyDescent="0.35">
      <c r="A2421" s="188"/>
      <c r="B2421" s="190"/>
      <c r="C2421" s="99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0"/>
      <c r="E2421" s="78" t="str">
        <f>IF(C2421="","",IFERROR(VLOOKUP(C2421,parametros!$A$11:$E$15,5,0),""))</f>
        <v/>
      </c>
      <c r="F2421" s="79" t="str">
        <f t="shared" si="187"/>
        <v/>
      </c>
      <c r="G2421" s="101"/>
      <c r="H2421" s="91">
        <f t="shared" si="188"/>
        <v>0</v>
      </c>
      <c r="I2421" s="91" t="str">
        <f t="shared" si="189"/>
        <v/>
      </c>
      <c r="J2421" s="91" t="str">
        <f t="shared" si="190"/>
        <v/>
      </c>
      <c r="K2421" s="92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2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58"/>
      <c r="U2421" s="217" t="str">
        <f t="shared" si="191"/>
        <v/>
      </c>
      <c r="V2421" s="215" t="s">
        <v>47</v>
      </c>
      <c r="W2421" s="102" t="s">
        <v>136</v>
      </c>
      <c r="X2421" s="102" t="s">
        <v>137</v>
      </c>
      <c r="Y2421" s="103" t="s">
        <v>138</v>
      </c>
      <c r="Z2421" s="103" t="s">
        <v>139</v>
      </c>
      <c r="AA2421" s="103" t="s">
        <v>47</v>
      </c>
      <c r="AB2421" s="103" t="s">
        <v>140</v>
      </c>
      <c r="AC2421" s="104" t="s">
        <v>141</v>
      </c>
    </row>
    <row r="2422" spans="1:29" ht="25.5" customHeight="1" x14ac:dyDescent="0.35">
      <c r="A2422" s="188"/>
      <c r="B2422" s="190"/>
      <c r="C2422" s="99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0"/>
      <c r="E2422" s="78" t="str">
        <f>IF(C2422="","",IFERROR(VLOOKUP(C2422,parametros!$A$11:$E$15,5,0),""))</f>
        <v/>
      </c>
      <c r="F2422" s="79" t="str">
        <f t="shared" si="187"/>
        <v/>
      </c>
      <c r="G2422" s="101"/>
      <c r="H2422" s="91">
        <f t="shared" si="188"/>
        <v>0</v>
      </c>
      <c r="I2422" s="91" t="str">
        <f t="shared" si="189"/>
        <v/>
      </c>
      <c r="J2422" s="91" t="str">
        <f t="shared" si="190"/>
        <v/>
      </c>
      <c r="K2422" s="92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2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58"/>
      <c r="U2422" s="217" t="str">
        <f t="shared" si="191"/>
        <v/>
      </c>
      <c r="V2422" s="215" t="s">
        <v>47</v>
      </c>
      <c r="W2422" s="102" t="s">
        <v>136</v>
      </c>
      <c r="X2422" s="102" t="s">
        <v>137</v>
      </c>
      <c r="Y2422" s="103" t="s">
        <v>138</v>
      </c>
      <c r="Z2422" s="103" t="s">
        <v>139</v>
      </c>
      <c r="AA2422" s="103" t="s">
        <v>47</v>
      </c>
      <c r="AB2422" s="103" t="s">
        <v>140</v>
      </c>
      <c r="AC2422" s="104" t="s">
        <v>141</v>
      </c>
    </row>
    <row r="2423" spans="1:29" ht="25.5" customHeight="1" x14ac:dyDescent="0.35">
      <c r="A2423" s="188"/>
      <c r="B2423" s="190"/>
      <c r="C2423" s="99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0"/>
      <c r="E2423" s="78" t="str">
        <f>IF(C2423="","",IFERROR(VLOOKUP(C2423,parametros!$A$11:$E$15,5,0),""))</f>
        <v/>
      </c>
      <c r="F2423" s="79" t="str">
        <f t="shared" si="187"/>
        <v/>
      </c>
      <c r="G2423" s="101"/>
      <c r="H2423" s="91">
        <f t="shared" si="188"/>
        <v>0</v>
      </c>
      <c r="I2423" s="91" t="str">
        <f t="shared" si="189"/>
        <v/>
      </c>
      <c r="J2423" s="91" t="str">
        <f t="shared" si="190"/>
        <v/>
      </c>
      <c r="K2423" s="92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2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58"/>
      <c r="U2423" s="217" t="str">
        <f t="shared" si="191"/>
        <v/>
      </c>
      <c r="V2423" s="215" t="s">
        <v>47</v>
      </c>
      <c r="W2423" s="102" t="s">
        <v>136</v>
      </c>
      <c r="X2423" s="102" t="s">
        <v>137</v>
      </c>
      <c r="Y2423" s="103" t="s">
        <v>138</v>
      </c>
      <c r="Z2423" s="103" t="s">
        <v>139</v>
      </c>
      <c r="AA2423" s="103" t="s">
        <v>47</v>
      </c>
      <c r="AB2423" s="103" t="s">
        <v>140</v>
      </c>
      <c r="AC2423" s="104" t="s">
        <v>141</v>
      </c>
    </row>
    <row r="2424" spans="1:29" ht="25.5" customHeight="1" x14ac:dyDescent="0.35">
      <c r="A2424" s="188"/>
      <c r="B2424" s="190"/>
      <c r="C2424" s="99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0"/>
      <c r="E2424" s="78" t="str">
        <f>IF(C2424="","",IFERROR(VLOOKUP(C2424,parametros!$A$11:$E$15,5,0),""))</f>
        <v/>
      </c>
      <c r="F2424" s="79" t="str">
        <f t="shared" si="187"/>
        <v/>
      </c>
      <c r="G2424" s="101"/>
      <c r="H2424" s="91">
        <f t="shared" si="188"/>
        <v>0</v>
      </c>
      <c r="I2424" s="91" t="str">
        <f t="shared" si="189"/>
        <v/>
      </c>
      <c r="J2424" s="91" t="str">
        <f t="shared" si="190"/>
        <v/>
      </c>
      <c r="K2424" s="92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2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58"/>
      <c r="U2424" s="217" t="str">
        <f t="shared" si="191"/>
        <v/>
      </c>
      <c r="V2424" s="215" t="s">
        <v>47</v>
      </c>
      <c r="W2424" s="102" t="s">
        <v>136</v>
      </c>
      <c r="X2424" s="102" t="s">
        <v>137</v>
      </c>
      <c r="Y2424" s="103" t="s">
        <v>138</v>
      </c>
      <c r="Z2424" s="103" t="s">
        <v>139</v>
      </c>
      <c r="AA2424" s="103" t="s">
        <v>47</v>
      </c>
      <c r="AB2424" s="103" t="s">
        <v>140</v>
      </c>
      <c r="AC2424" s="104" t="s">
        <v>141</v>
      </c>
    </row>
    <row r="2425" spans="1:29" ht="25.5" customHeight="1" x14ac:dyDescent="0.35">
      <c r="A2425" s="188"/>
      <c r="B2425" s="190"/>
      <c r="C2425" s="99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0"/>
      <c r="E2425" s="78" t="str">
        <f>IF(C2425="","",IFERROR(VLOOKUP(C2425,parametros!$A$11:$E$15,5,0),""))</f>
        <v/>
      </c>
      <c r="F2425" s="79" t="str">
        <f t="shared" si="187"/>
        <v/>
      </c>
      <c r="G2425" s="101"/>
      <c r="H2425" s="91">
        <f t="shared" si="188"/>
        <v>0</v>
      </c>
      <c r="I2425" s="91" t="str">
        <f t="shared" si="189"/>
        <v/>
      </c>
      <c r="J2425" s="91" t="str">
        <f t="shared" si="190"/>
        <v/>
      </c>
      <c r="K2425" s="92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2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58"/>
      <c r="U2425" s="217" t="str">
        <f t="shared" si="191"/>
        <v/>
      </c>
      <c r="V2425" s="215" t="s">
        <v>47</v>
      </c>
      <c r="W2425" s="102" t="s">
        <v>136</v>
      </c>
      <c r="X2425" s="102" t="s">
        <v>137</v>
      </c>
      <c r="Y2425" s="103" t="s">
        <v>138</v>
      </c>
      <c r="Z2425" s="103" t="s">
        <v>139</v>
      </c>
      <c r="AA2425" s="103" t="s">
        <v>47</v>
      </c>
      <c r="AB2425" s="103" t="s">
        <v>140</v>
      </c>
      <c r="AC2425" s="104" t="s">
        <v>141</v>
      </c>
    </row>
    <row r="2426" spans="1:29" ht="25.5" customHeight="1" x14ac:dyDescent="0.35">
      <c r="A2426" s="188"/>
      <c r="B2426" s="190"/>
      <c r="C2426" s="99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0"/>
      <c r="E2426" s="78" t="str">
        <f>IF(C2426="","",IFERROR(VLOOKUP(C2426,parametros!$A$11:$E$15,5,0),""))</f>
        <v/>
      </c>
      <c r="F2426" s="79" t="str">
        <f t="shared" si="187"/>
        <v/>
      </c>
      <c r="G2426" s="101"/>
      <c r="H2426" s="91">
        <f t="shared" si="188"/>
        <v>0</v>
      </c>
      <c r="I2426" s="91" t="str">
        <f t="shared" si="189"/>
        <v/>
      </c>
      <c r="J2426" s="91" t="str">
        <f t="shared" si="190"/>
        <v/>
      </c>
      <c r="K2426" s="92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2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58"/>
      <c r="U2426" s="217" t="str">
        <f t="shared" si="191"/>
        <v/>
      </c>
      <c r="V2426" s="215" t="s">
        <v>47</v>
      </c>
      <c r="W2426" s="102" t="s">
        <v>136</v>
      </c>
      <c r="X2426" s="102" t="s">
        <v>137</v>
      </c>
      <c r="Y2426" s="103" t="s">
        <v>138</v>
      </c>
      <c r="Z2426" s="103" t="s">
        <v>139</v>
      </c>
      <c r="AA2426" s="103" t="s">
        <v>47</v>
      </c>
      <c r="AB2426" s="103" t="s">
        <v>140</v>
      </c>
      <c r="AC2426" s="104" t="s">
        <v>141</v>
      </c>
    </row>
    <row r="2427" spans="1:29" ht="25.5" customHeight="1" x14ac:dyDescent="0.35">
      <c r="A2427" s="188"/>
      <c r="B2427" s="190"/>
      <c r="C2427" s="99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0"/>
      <c r="E2427" s="78" t="str">
        <f>IF(C2427="","",IFERROR(VLOOKUP(C2427,parametros!$A$11:$E$15,5,0),""))</f>
        <v/>
      </c>
      <c r="F2427" s="79" t="str">
        <f t="shared" si="187"/>
        <v/>
      </c>
      <c r="G2427" s="101"/>
      <c r="H2427" s="91">
        <f t="shared" si="188"/>
        <v>0</v>
      </c>
      <c r="I2427" s="91" t="str">
        <f t="shared" si="189"/>
        <v/>
      </c>
      <c r="J2427" s="91" t="str">
        <f t="shared" si="190"/>
        <v/>
      </c>
      <c r="K2427" s="92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2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58"/>
      <c r="U2427" s="217" t="str">
        <f t="shared" si="191"/>
        <v/>
      </c>
      <c r="V2427" s="215" t="s">
        <v>47</v>
      </c>
      <c r="W2427" s="102" t="s">
        <v>136</v>
      </c>
      <c r="X2427" s="102" t="s">
        <v>137</v>
      </c>
      <c r="Y2427" s="103" t="s">
        <v>138</v>
      </c>
      <c r="Z2427" s="103" t="s">
        <v>139</v>
      </c>
      <c r="AA2427" s="103" t="s">
        <v>47</v>
      </c>
      <c r="AB2427" s="103" t="s">
        <v>140</v>
      </c>
      <c r="AC2427" s="104" t="s">
        <v>141</v>
      </c>
    </row>
    <row r="2428" spans="1:29" ht="25.5" customHeight="1" x14ac:dyDescent="0.35">
      <c r="A2428" s="188"/>
      <c r="B2428" s="190"/>
      <c r="C2428" s="99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0"/>
      <c r="E2428" s="78" t="str">
        <f>IF(C2428="","",IFERROR(VLOOKUP(C2428,parametros!$A$11:$E$15,5,0),""))</f>
        <v/>
      </c>
      <c r="F2428" s="79" t="str">
        <f t="shared" si="187"/>
        <v/>
      </c>
      <c r="G2428" s="101"/>
      <c r="H2428" s="91">
        <f t="shared" si="188"/>
        <v>0</v>
      </c>
      <c r="I2428" s="91" t="str">
        <f t="shared" si="189"/>
        <v/>
      </c>
      <c r="J2428" s="91" t="str">
        <f t="shared" si="190"/>
        <v/>
      </c>
      <c r="K2428" s="92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2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58"/>
      <c r="U2428" s="217" t="str">
        <f t="shared" si="191"/>
        <v/>
      </c>
      <c r="V2428" s="215" t="s">
        <v>47</v>
      </c>
      <c r="W2428" s="102" t="s">
        <v>136</v>
      </c>
      <c r="X2428" s="102" t="s">
        <v>137</v>
      </c>
      <c r="Y2428" s="103" t="s">
        <v>138</v>
      </c>
      <c r="Z2428" s="103" t="s">
        <v>139</v>
      </c>
      <c r="AA2428" s="103" t="s">
        <v>47</v>
      </c>
      <c r="AB2428" s="103" t="s">
        <v>140</v>
      </c>
      <c r="AC2428" s="104" t="s">
        <v>141</v>
      </c>
    </row>
    <row r="2429" spans="1:29" ht="25.5" customHeight="1" x14ac:dyDescent="0.35">
      <c r="A2429" s="188"/>
      <c r="B2429" s="190"/>
      <c r="C2429" s="99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0"/>
      <c r="E2429" s="78" t="str">
        <f>IF(C2429="","",IFERROR(VLOOKUP(C2429,parametros!$A$11:$E$15,5,0),""))</f>
        <v/>
      </c>
      <c r="F2429" s="79" t="str">
        <f t="shared" si="187"/>
        <v/>
      </c>
      <c r="G2429" s="101"/>
      <c r="H2429" s="91">
        <f t="shared" si="188"/>
        <v>0</v>
      </c>
      <c r="I2429" s="91" t="str">
        <f t="shared" si="189"/>
        <v/>
      </c>
      <c r="J2429" s="91" t="str">
        <f t="shared" si="190"/>
        <v/>
      </c>
      <c r="K2429" s="92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2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58"/>
      <c r="U2429" s="217" t="str">
        <f t="shared" si="191"/>
        <v/>
      </c>
      <c r="V2429" s="215" t="s">
        <v>47</v>
      </c>
      <c r="W2429" s="102" t="s">
        <v>136</v>
      </c>
      <c r="X2429" s="102" t="s">
        <v>137</v>
      </c>
      <c r="Y2429" s="103" t="s">
        <v>138</v>
      </c>
      <c r="Z2429" s="103" t="s">
        <v>139</v>
      </c>
      <c r="AA2429" s="103" t="s">
        <v>47</v>
      </c>
      <c r="AB2429" s="103" t="s">
        <v>140</v>
      </c>
      <c r="AC2429" s="104" t="s">
        <v>141</v>
      </c>
    </row>
    <row r="2430" spans="1:29" ht="25.5" customHeight="1" x14ac:dyDescent="0.35">
      <c r="A2430" s="188"/>
      <c r="B2430" s="190"/>
      <c r="C2430" s="99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0"/>
      <c r="E2430" s="78" t="str">
        <f>IF(C2430="","",IFERROR(VLOOKUP(C2430,parametros!$A$11:$E$15,5,0),""))</f>
        <v/>
      </c>
      <c r="F2430" s="79" t="str">
        <f t="shared" si="187"/>
        <v/>
      </c>
      <c r="G2430" s="101"/>
      <c r="H2430" s="91">
        <f t="shared" si="188"/>
        <v>0</v>
      </c>
      <c r="I2430" s="91" t="str">
        <f t="shared" si="189"/>
        <v/>
      </c>
      <c r="J2430" s="91" t="str">
        <f t="shared" si="190"/>
        <v/>
      </c>
      <c r="K2430" s="92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2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58"/>
      <c r="U2430" s="217" t="str">
        <f t="shared" si="191"/>
        <v/>
      </c>
      <c r="V2430" s="215" t="s">
        <v>47</v>
      </c>
      <c r="W2430" s="102" t="s">
        <v>136</v>
      </c>
      <c r="X2430" s="102" t="s">
        <v>137</v>
      </c>
      <c r="Y2430" s="103" t="s">
        <v>138</v>
      </c>
      <c r="Z2430" s="103" t="s">
        <v>139</v>
      </c>
      <c r="AA2430" s="103" t="s">
        <v>47</v>
      </c>
      <c r="AB2430" s="103" t="s">
        <v>140</v>
      </c>
      <c r="AC2430" s="104" t="s">
        <v>141</v>
      </c>
    </row>
    <row r="2431" spans="1:29" ht="25.5" customHeight="1" x14ac:dyDescent="0.35">
      <c r="A2431" s="188"/>
      <c r="B2431" s="190"/>
      <c r="C2431" s="99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0"/>
      <c r="E2431" s="78" t="str">
        <f>IF(C2431="","",IFERROR(VLOOKUP(C2431,parametros!$A$11:$E$15,5,0),""))</f>
        <v/>
      </c>
      <c r="F2431" s="79" t="str">
        <f t="shared" si="187"/>
        <v/>
      </c>
      <c r="G2431" s="101"/>
      <c r="H2431" s="91">
        <f t="shared" si="188"/>
        <v>0</v>
      </c>
      <c r="I2431" s="91" t="str">
        <f t="shared" si="189"/>
        <v/>
      </c>
      <c r="J2431" s="91" t="str">
        <f t="shared" si="190"/>
        <v/>
      </c>
      <c r="K2431" s="92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2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58"/>
      <c r="U2431" s="217" t="str">
        <f t="shared" si="191"/>
        <v/>
      </c>
      <c r="V2431" s="215" t="s">
        <v>47</v>
      </c>
      <c r="W2431" s="102" t="s">
        <v>136</v>
      </c>
      <c r="X2431" s="102" t="s">
        <v>137</v>
      </c>
      <c r="Y2431" s="103" t="s">
        <v>138</v>
      </c>
      <c r="Z2431" s="103" t="s">
        <v>139</v>
      </c>
      <c r="AA2431" s="103" t="s">
        <v>47</v>
      </c>
      <c r="AB2431" s="103" t="s">
        <v>140</v>
      </c>
      <c r="AC2431" s="104" t="s">
        <v>141</v>
      </c>
    </row>
    <row r="2432" spans="1:29" ht="25.5" customHeight="1" x14ac:dyDescent="0.35">
      <c r="A2432" s="188"/>
      <c r="B2432" s="190"/>
      <c r="C2432" s="99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0"/>
      <c r="E2432" s="78" t="str">
        <f>IF(C2432="","",IFERROR(VLOOKUP(C2432,parametros!$A$11:$E$15,5,0),""))</f>
        <v/>
      </c>
      <c r="F2432" s="79" t="str">
        <f t="shared" si="187"/>
        <v/>
      </c>
      <c r="G2432" s="101"/>
      <c r="H2432" s="91">
        <f t="shared" si="188"/>
        <v>0</v>
      </c>
      <c r="I2432" s="91" t="str">
        <f t="shared" si="189"/>
        <v/>
      </c>
      <c r="J2432" s="91" t="str">
        <f t="shared" si="190"/>
        <v/>
      </c>
      <c r="K2432" s="92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2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58"/>
      <c r="U2432" s="217" t="str">
        <f t="shared" si="191"/>
        <v/>
      </c>
      <c r="V2432" s="215" t="s">
        <v>47</v>
      </c>
      <c r="W2432" s="102" t="s">
        <v>136</v>
      </c>
      <c r="X2432" s="102" t="s">
        <v>137</v>
      </c>
      <c r="Y2432" s="103" t="s">
        <v>138</v>
      </c>
      <c r="Z2432" s="103" t="s">
        <v>139</v>
      </c>
      <c r="AA2432" s="103" t="s">
        <v>47</v>
      </c>
      <c r="AB2432" s="103" t="s">
        <v>140</v>
      </c>
      <c r="AC2432" s="104" t="s">
        <v>141</v>
      </c>
    </row>
    <row r="2433" spans="1:29" ht="25.5" customHeight="1" x14ac:dyDescent="0.35">
      <c r="A2433" s="188"/>
      <c r="B2433" s="190"/>
      <c r="C2433" s="99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0"/>
      <c r="E2433" s="78" t="str">
        <f>IF(C2433="","",IFERROR(VLOOKUP(C2433,parametros!$A$11:$E$15,5,0),""))</f>
        <v/>
      </c>
      <c r="F2433" s="79" t="str">
        <f t="shared" si="187"/>
        <v/>
      </c>
      <c r="G2433" s="101"/>
      <c r="H2433" s="91">
        <f t="shared" si="188"/>
        <v>0</v>
      </c>
      <c r="I2433" s="91" t="str">
        <f t="shared" si="189"/>
        <v/>
      </c>
      <c r="J2433" s="91" t="str">
        <f t="shared" si="190"/>
        <v/>
      </c>
      <c r="K2433" s="92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2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58"/>
      <c r="U2433" s="217" t="str">
        <f t="shared" si="191"/>
        <v/>
      </c>
      <c r="V2433" s="215" t="s">
        <v>47</v>
      </c>
      <c r="W2433" s="102" t="s">
        <v>136</v>
      </c>
      <c r="X2433" s="102" t="s">
        <v>137</v>
      </c>
      <c r="Y2433" s="103" t="s">
        <v>138</v>
      </c>
      <c r="Z2433" s="103" t="s">
        <v>139</v>
      </c>
      <c r="AA2433" s="103" t="s">
        <v>47</v>
      </c>
      <c r="AB2433" s="103" t="s">
        <v>140</v>
      </c>
      <c r="AC2433" s="104" t="s">
        <v>141</v>
      </c>
    </row>
    <row r="2434" spans="1:29" ht="25.5" customHeight="1" x14ac:dyDescent="0.35">
      <c r="A2434" s="188"/>
      <c r="B2434" s="190"/>
      <c r="C2434" s="99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0"/>
      <c r="E2434" s="78" t="str">
        <f>IF(C2434="","",IFERROR(VLOOKUP(C2434,parametros!$A$11:$E$15,5,0),""))</f>
        <v/>
      </c>
      <c r="F2434" s="79" t="str">
        <f t="shared" ref="F2434:F2497" si="192">IF(OR(D2434="",E2434=""),"",ROUND(D2434*E2434,2))</f>
        <v/>
      </c>
      <c r="G2434" s="101"/>
      <c r="H2434" s="91">
        <f t="shared" ref="H2434:H2497" si="193">IF(G2434="Sim",IF(OR(F2434="",D2434="",L2434=""),"",IF(L2434="Sim",ROUND(F2434-D2434,2),0)),0)</f>
        <v>0</v>
      </c>
      <c r="I2434" s="91" t="str">
        <f t="shared" ref="I2434:I2497" si="194">IF(G2434="Sim",0,IF(OR(F2434="",L2434=""),"",F2434))</f>
        <v/>
      </c>
      <c r="J2434" s="91" t="str">
        <f t="shared" ref="J2434:J2497" si="195">IF(G2434="Sim",0,IF(OR(F2434="",D2434="",L2434=""),"",IF(L2434="Sim",ROUND(F2434-D2434,2),0)))</f>
        <v/>
      </c>
      <c r="K2434" s="92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2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58"/>
      <c r="U2434" s="217" t="str">
        <f t="shared" ref="U2434:U2497" si="196">IF(OR($D2434="",$H2434=""),"",ROUND($D2434+$H2434,2))</f>
        <v/>
      </c>
      <c r="V2434" s="215" t="s">
        <v>47</v>
      </c>
      <c r="W2434" s="102" t="s">
        <v>136</v>
      </c>
      <c r="X2434" s="102" t="s">
        <v>137</v>
      </c>
      <c r="Y2434" s="103" t="s">
        <v>138</v>
      </c>
      <c r="Z2434" s="103" t="s">
        <v>139</v>
      </c>
      <c r="AA2434" s="103" t="s">
        <v>47</v>
      </c>
      <c r="AB2434" s="103" t="s">
        <v>140</v>
      </c>
      <c r="AC2434" s="104" t="s">
        <v>141</v>
      </c>
    </row>
    <row r="2435" spans="1:29" ht="25.5" customHeight="1" x14ac:dyDescent="0.35">
      <c r="A2435" s="188"/>
      <c r="B2435" s="190"/>
      <c r="C2435" s="99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0"/>
      <c r="E2435" s="78" t="str">
        <f>IF(C2435="","",IFERROR(VLOOKUP(C2435,parametros!$A$11:$E$15,5,0),""))</f>
        <v/>
      </c>
      <c r="F2435" s="79" t="str">
        <f t="shared" si="192"/>
        <v/>
      </c>
      <c r="G2435" s="101"/>
      <c r="H2435" s="91">
        <f t="shared" si="193"/>
        <v>0</v>
      </c>
      <c r="I2435" s="91" t="str">
        <f t="shared" si="194"/>
        <v/>
      </c>
      <c r="J2435" s="91" t="str">
        <f t="shared" si="195"/>
        <v/>
      </c>
      <c r="K2435" s="92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2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58"/>
      <c r="U2435" s="217" t="str">
        <f t="shared" si="196"/>
        <v/>
      </c>
      <c r="V2435" s="215" t="s">
        <v>47</v>
      </c>
      <c r="W2435" s="102" t="s">
        <v>136</v>
      </c>
      <c r="X2435" s="102" t="s">
        <v>137</v>
      </c>
      <c r="Y2435" s="103" t="s">
        <v>138</v>
      </c>
      <c r="Z2435" s="103" t="s">
        <v>139</v>
      </c>
      <c r="AA2435" s="103" t="s">
        <v>47</v>
      </c>
      <c r="AB2435" s="103" t="s">
        <v>140</v>
      </c>
      <c r="AC2435" s="104" t="s">
        <v>141</v>
      </c>
    </row>
    <row r="2436" spans="1:29" ht="25.5" customHeight="1" x14ac:dyDescent="0.35">
      <c r="A2436" s="188"/>
      <c r="B2436" s="190"/>
      <c r="C2436" s="99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0"/>
      <c r="E2436" s="78" t="str">
        <f>IF(C2436="","",IFERROR(VLOOKUP(C2436,parametros!$A$11:$E$15,5,0),""))</f>
        <v/>
      </c>
      <c r="F2436" s="79" t="str">
        <f t="shared" si="192"/>
        <v/>
      </c>
      <c r="G2436" s="101"/>
      <c r="H2436" s="91">
        <f t="shared" si="193"/>
        <v>0</v>
      </c>
      <c r="I2436" s="91" t="str">
        <f t="shared" si="194"/>
        <v/>
      </c>
      <c r="J2436" s="91" t="str">
        <f t="shared" si="195"/>
        <v/>
      </c>
      <c r="K2436" s="92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2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58"/>
      <c r="U2436" s="217" t="str">
        <f t="shared" si="196"/>
        <v/>
      </c>
      <c r="V2436" s="215" t="s">
        <v>47</v>
      </c>
      <c r="W2436" s="102" t="s">
        <v>136</v>
      </c>
      <c r="X2436" s="102" t="s">
        <v>137</v>
      </c>
      <c r="Y2436" s="103" t="s">
        <v>138</v>
      </c>
      <c r="Z2436" s="103" t="s">
        <v>139</v>
      </c>
      <c r="AA2436" s="103" t="s">
        <v>47</v>
      </c>
      <c r="AB2436" s="103" t="s">
        <v>140</v>
      </c>
      <c r="AC2436" s="104" t="s">
        <v>141</v>
      </c>
    </row>
    <row r="2437" spans="1:29" ht="25.5" customHeight="1" x14ac:dyDescent="0.35">
      <c r="A2437" s="188"/>
      <c r="B2437" s="190"/>
      <c r="C2437" s="99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0"/>
      <c r="E2437" s="78" t="str">
        <f>IF(C2437="","",IFERROR(VLOOKUP(C2437,parametros!$A$11:$E$15,5,0),""))</f>
        <v/>
      </c>
      <c r="F2437" s="79" t="str">
        <f t="shared" si="192"/>
        <v/>
      </c>
      <c r="G2437" s="101"/>
      <c r="H2437" s="91">
        <f t="shared" si="193"/>
        <v>0</v>
      </c>
      <c r="I2437" s="91" t="str">
        <f t="shared" si="194"/>
        <v/>
      </c>
      <c r="J2437" s="91" t="str">
        <f t="shared" si="195"/>
        <v/>
      </c>
      <c r="K2437" s="92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2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58"/>
      <c r="U2437" s="217" t="str">
        <f t="shared" si="196"/>
        <v/>
      </c>
      <c r="V2437" s="215" t="s">
        <v>47</v>
      </c>
      <c r="W2437" s="102" t="s">
        <v>136</v>
      </c>
      <c r="X2437" s="102" t="s">
        <v>137</v>
      </c>
      <c r="Y2437" s="103" t="s">
        <v>138</v>
      </c>
      <c r="Z2437" s="103" t="s">
        <v>139</v>
      </c>
      <c r="AA2437" s="103" t="s">
        <v>47</v>
      </c>
      <c r="AB2437" s="103" t="s">
        <v>140</v>
      </c>
      <c r="AC2437" s="104" t="s">
        <v>141</v>
      </c>
    </row>
    <row r="2438" spans="1:29" ht="25.5" customHeight="1" x14ac:dyDescent="0.35">
      <c r="A2438" s="188"/>
      <c r="B2438" s="190"/>
      <c r="C2438" s="99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0"/>
      <c r="E2438" s="78" t="str">
        <f>IF(C2438="","",IFERROR(VLOOKUP(C2438,parametros!$A$11:$E$15,5,0),""))</f>
        <v/>
      </c>
      <c r="F2438" s="79" t="str">
        <f t="shared" si="192"/>
        <v/>
      </c>
      <c r="G2438" s="101"/>
      <c r="H2438" s="91">
        <f t="shared" si="193"/>
        <v>0</v>
      </c>
      <c r="I2438" s="91" t="str">
        <f t="shared" si="194"/>
        <v/>
      </c>
      <c r="J2438" s="91" t="str">
        <f t="shared" si="195"/>
        <v/>
      </c>
      <c r="K2438" s="92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2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58"/>
      <c r="U2438" s="217" t="str">
        <f t="shared" si="196"/>
        <v/>
      </c>
      <c r="V2438" s="215" t="s">
        <v>47</v>
      </c>
      <c r="W2438" s="102" t="s">
        <v>136</v>
      </c>
      <c r="X2438" s="102" t="s">
        <v>137</v>
      </c>
      <c r="Y2438" s="103" t="s">
        <v>138</v>
      </c>
      <c r="Z2438" s="103" t="s">
        <v>139</v>
      </c>
      <c r="AA2438" s="103" t="s">
        <v>47</v>
      </c>
      <c r="AB2438" s="103" t="s">
        <v>140</v>
      </c>
      <c r="AC2438" s="104" t="s">
        <v>141</v>
      </c>
    </row>
    <row r="2439" spans="1:29" ht="25.5" customHeight="1" x14ac:dyDescent="0.35">
      <c r="A2439" s="188"/>
      <c r="B2439" s="190"/>
      <c r="C2439" s="99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0"/>
      <c r="E2439" s="78" t="str">
        <f>IF(C2439="","",IFERROR(VLOOKUP(C2439,parametros!$A$11:$E$15,5,0),""))</f>
        <v/>
      </c>
      <c r="F2439" s="79" t="str">
        <f t="shared" si="192"/>
        <v/>
      </c>
      <c r="G2439" s="101"/>
      <c r="H2439" s="91">
        <f t="shared" si="193"/>
        <v>0</v>
      </c>
      <c r="I2439" s="91" t="str">
        <f t="shared" si="194"/>
        <v/>
      </c>
      <c r="J2439" s="91" t="str">
        <f t="shared" si="195"/>
        <v/>
      </c>
      <c r="K2439" s="92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2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58"/>
      <c r="U2439" s="217" t="str">
        <f t="shared" si="196"/>
        <v/>
      </c>
      <c r="V2439" s="215" t="s">
        <v>47</v>
      </c>
      <c r="W2439" s="102" t="s">
        <v>136</v>
      </c>
      <c r="X2439" s="102" t="s">
        <v>137</v>
      </c>
      <c r="Y2439" s="103" t="s">
        <v>138</v>
      </c>
      <c r="Z2439" s="103" t="s">
        <v>139</v>
      </c>
      <c r="AA2439" s="103" t="s">
        <v>47</v>
      </c>
      <c r="AB2439" s="103" t="s">
        <v>140</v>
      </c>
      <c r="AC2439" s="104" t="s">
        <v>141</v>
      </c>
    </row>
    <row r="2440" spans="1:29" ht="25.5" customHeight="1" x14ac:dyDescent="0.35">
      <c r="A2440" s="188"/>
      <c r="B2440" s="190"/>
      <c r="C2440" s="99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0"/>
      <c r="E2440" s="78" t="str">
        <f>IF(C2440="","",IFERROR(VLOOKUP(C2440,parametros!$A$11:$E$15,5,0),""))</f>
        <v/>
      </c>
      <c r="F2440" s="79" t="str">
        <f t="shared" si="192"/>
        <v/>
      </c>
      <c r="G2440" s="101"/>
      <c r="H2440" s="91">
        <f t="shared" si="193"/>
        <v>0</v>
      </c>
      <c r="I2440" s="91" t="str">
        <f t="shared" si="194"/>
        <v/>
      </c>
      <c r="J2440" s="91" t="str">
        <f t="shared" si="195"/>
        <v/>
      </c>
      <c r="K2440" s="92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2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58"/>
      <c r="U2440" s="217" t="str">
        <f t="shared" si="196"/>
        <v/>
      </c>
      <c r="V2440" s="215" t="s">
        <v>47</v>
      </c>
      <c r="W2440" s="102" t="s">
        <v>136</v>
      </c>
      <c r="X2440" s="102" t="s">
        <v>137</v>
      </c>
      <c r="Y2440" s="103" t="s">
        <v>138</v>
      </c>
      <c r="Z2440" s="103" t="s">
        <v>139</v>
      </c>
      <c r="AA2440" s="103" t="s">
        <v>47</v>
      </c>
      <c r="AB2440" s="103" t="s">
        <v>140</v>
      </c>
      <c r="AC2440" s="104" t="s">
        <v>141</v>
      </c>
    </row>
    <row r="2441" spans="1:29" ht="25.5" customHeight="1" x14ac:dyDescent="0.35">
      <c r="A2441" s="188"/>
      <c r="B2441" s="190"/>
      <c r="C2441" s="99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0"/>
      <c r="E2441" s="78" t="str">
        <f>IF(C2441="","",IFERROR(VLOOKUP(C2441,parametros!$A$11:$E$15,5,0),""))</f>
        <v/>
      </c>
      <c r="F2441" s="79" t="str">
        <f t="shared" si="192"/>
        <v/>
      </c>
      <c r="G2441" s="101"/>
      <c r="H2441" s="91">
        <f t="shared" si="193"/>
        <v>0</v>
      </c>
      <c r="I2441" s="91" t="str">
        <f t="shared" si="194"/>
        <v/>
      </c>
      <c r="J2441" s="91" t="str">
        <f t="shared" si="195"/>
        <v/>
      </c>
      <c r="K2441" s="92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2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58"/>
      <c r="U2441" s="217" t="str">
        <f t="shared" si="196"/>
        <v/>
      </c>
      <c r="V2441" s="215" t="s">
        <v>47</v>
      </c>
      <c r="W2441" s="102" t="s">
        <v>136</v>
      </c>
      <c r="X2441" s="102" t="s">
        <v>137</v>
      </c>
      <c r="Y2441" s="103" t="s">
        <v>138</v>
      </c>
      <c r="Z2441" s="103" t="s">
        <v>139</v>
      </c>
      <c r="AA2441" s="103" t="s">
        <v>47</v>
      </c>
      <c r="AB2441" s="103" t="s">
        <v>140</v>
      </c>
      <c r="AC2441" s="104" t="s">
        <v>141</v>
      </c>
    </row>
    <row r="2442" spans="1:29" ht="25.5" customHeight="1" x14ac:dyDescent="0.35">
      <c r="A2442" s="188"/>
      <c r="B2442" s="190"/>
      <c r="C2442" s="99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0"/>
      <c r="E2442" s="78" t="str">
        <f>IF(C2442="","",IFERROR(VLOOKUP(C2442,parametros!$A$11:$E$15,5,0),""))</f>
        <v/>
      </c>
      <c r="F2442" s="79" t="str">
        <f t="shared" si="192"/>
        <v/>
      </c>
      <c r="G2442" s="101"/>
      <c r="H2442" s="91">
        <f t="shared" si="193"/>
        <v>0</v>
      </c>
      <c r="I2442" s="91" t="str">
        <f t="shared" si="194"/>
        <v/>
      </c>
      <c r="J2442" s="91" t="str">
        <f t="shared" si="195"/>
        <v/>
      </c>
      <c r="K2442" s="92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2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58"/>
      <c r="U2442" s="217" t="str">
        <f t="shared" si="196"/>
        <v/>
      </c>
      <c r="V2442" s="215" t="s">
        <v>47</v>
      </c>
      <c r="W2442" s="102" t="s">
        <v>136</v>
      </c>
      <c r="X2442" s="102" t="s">
        <v>137</v>
      </c>
      <c r="Y2442" s="103" t="s">
        <v>138</v>
      </c>
      <c r="Z2442" s="103" t="s">
        <v>139</v>
      </c>
      <c r="AA2442" s="103" t="s">
        <v>47</v>
      </c>
      <c r="AB2442" s="103" t="s">
        <v>140</v>
      </c>
      <c r="AC2442" s="104" t="s">
        <v>141</v>
      </c>
    </row>
    <row r="2443" spans="1:29" ht="25.5" customHeight="1" x14ac:dyDescent="0.35">
      <c r="A2443" s="188"/>
      <c r="B2443" s="190"/>
      <c r="C2443" s="99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0"/>
      <c r="E2443" s="78" t="str">
        <f>IF(C2443="","",IFERROR(VLOOKUP(C2443,parametros!$A$11:$E$15,5,0),""))</f>
        <v/>
      </c>
      <c r="F2443" s="79" t="str">
        <f t="shared" si="192"/>
        <v/>
      </c>
      <c r="G2443" s="101"/>
      <c r="H2443" s="91">
        <f t="shared" si="193"/>
        <v>0</v>
      </c>
      <c r="I2443" s="91" t="str">
        <f t="shared" si="194"/>
        <v/>
      </c>
      <c r="J2443" s="91" t="str">
        <f t="shared" si="195"/>
        <v/>
      </c>
      <c r="K2443" s="92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2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58"/>
      <c r="U2443" s="217" t="str">
        <f t="shared" si="196"/>
        <v/>
      </c>
      <c r="V2443" s="215" t="s">
        <v>47</v>
      </c>
      <c r="W2443" s="102" t="s">
        <v>136</v>
      </c>
      <c r="X2443" s="102" t="s">
        <v>137</v>
      </c>
      <c r="Y2443" s="103" t="s">
        <v>138</v>
      </c>
      <c r="Z2443" s="103" t="s">
        <v>139</v>
      </c>
      <c r="AA2443" s="103" t="s">
        <v>47</v>
      </c>
      <c r="AB2443" s="103" t="s">
        <v>140</v>
      </c>
      <c r="AC2443" s="104" t="s">
        <v>141</v>
      </c>
    </row>
    <row r="2444" spans="1:29" ht="25.5" customHeight="1" x14ac:dyDescent="0.35">
      <c r="A2444" s="188"/>
      <c r="B2444" s="190"/>
      <c r="C2444" s="99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0"/>
      <c r="E2444" s="78" t="str">
        <f>IF(C2444="","",IFERROR(VLOOKUP(C2444,parametros!$A$11:$E$15,5,0),""))</f>
        <v/>
      </c>
      <c r="F2444" s="79" t="str">
        <f t="shared" si="192"/>
        <v/>
      </c>
      <c r="G2444" s="101"/>
      <c r="H2444" s="91">
        <f t="shared" si="193"/>
        <v>0</v>
      </c>
      <c r="I2444" s="91" t="str">
        <f t="shared" si="194"/>
        <v/>
      </c>
      <c r="J2444" s="91" t="str">
        <f t="shared" si="195"/>
        <v/>
      </c>
      <c r="K2444" s="92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2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58"/>
      <c r="U2444" s="217" t="str">
        <f t="shared" si="196"/>
        <v/>
      </c>
      <c r="V2444" s="215" t="s">
        <v>47</v>
      </c>
      <c r="W2444" s="102" t="s">
        <v>136</v>
      </c>
      <c r="X2444" s="102" t="s">
        <v>137</v>
      </c>
      <c r="Y2444" s="103" t="s">
        <v>138</v>
      </c>
      <c r="Z2444" s="103" t="s">
        <v>139</v>
      </c>
      <c r="AA2444" s="103" t="s">
        <v>47</v>
      </c>
      <c r="AB2444" s="103" t="s">
        <v>140</v>
      </c>
      <c r="AC2444" s="104" t="s">
        <v>141</v>
      </c>
    </row>
    <row r="2445" spans="1:29" ht="25.5" customHeight="1" x14ac:dyDescent="0.35">
      <c r="A2445" s="188"/>
      <c r="B2445" s="190"/>
      <c r="C2445" s="99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0"/>
      <c r="E2445" s="78" t="str">
        <f>IF(C2445="","",IFERROR(VLOOKUP(C2445,parametros!$A$11:$E$15,5,0),""))</f>
        <v/>
      </c>
      <c r="F2445" s="79" t="str">
        <f t="shared" si="192"/>
        <v/>
      </c>
      <c r="G2445" s="101"/>
      <c r="H2445" s="91">
        <f t="shared" si="193"/>
        <v>0</v>
      </c>
      <c r="I2445" s="91" t="str">
        <f t="shared" si="194"/>
        <v/>
      </c>
      <c r="J2445" s="91" t="str">
        <f t="shared" si="195"/>
        <v/>
      </c>
      <c r="K2445" s="92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2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58"/>
      <c r="U2445" s="217" t="str">
        <f t="shared" si="196"/>
        <v/>
      </c>
      <c r="V2445" s="215" t="s">
        <v>47</v>
      </c>
      <c r="W2445" s="102" t="s">
        <v>136</v>
      </c>
      <c r="X2445" s="102" t="s">
        <v>137</v>
      </c>
      <c r="Y2445" s="103" t="s">
        <v>138</v>
      </c>
      <c r="Z2445" s="103" t="s">
        <v>139</v>
      </c>
      <c r="AA2445" s="103" t="s">
        <v>47</v>
      </c>
      <c r="AB2445" s="103" t="s">
        <v>140</v>
      </c>
      <c r="AC2445" s="104" t="s">
        <v>141</v>
      </c>
    </row>
    <row r="2446" spans="1:29" ht="25.5" customHeight="1" x14ac:dyDescent="0.35">
      <c r="A2446" s="188"/>
      <c r="B2446" s="190"/>
      <c r="C2446" s="99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0"/>
      <c r="E2446" s="78" t="str">
        <f>IF(C2446="","",IFERROR(VLOOKUP(C2446,parametros!$A$11:$E$15,5,0),""))</f>
        <v/>
      </c>
      <c r="F2446" s="79" t="str">
        <f t="shared" si="192"/>
        <v/>
      </c>
      <c r="G2446" s="101"/>
      <c r="H2446" s="91">
        <f t="shared" si="193"/>
        <v>0</v>
      </c>
      <c r="I2446" s="91" t="str">
        <f t="shared" si="194"/>
        <v/>
      </c>
      <c r="J2446" s="91" t="str">
        <f t="shared" si="195"/>
        <v/>
      </c>
      <c r="K2446" s="92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2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58"/>
      <c r="U2446" s="217" t="str">
        <f t="shared" si="196"/>
        <v/>
      </c>
      <c r="V2446" s="215" t="s">
        <v>47</v>
      </c>
      <c r="W2446" s="102" t="s">
        <v>136</v>
      </c>
      <c r="X2446" s="102" t="s">
        <v>137</v>
      </c>
      <c r="Y2446" s="103" t="s">
        <v>138</v>
      </c>
      <c r="Z2446" s="103" t="s">
        <v>139</v>
      </c>
      <c r="AA2446" s="103" t="s">
        <v>47</v>
      </c>
      <c r="AB2446" s="103" t="s">
        <v>140</v>
      </c>
      <c r="AC2446" s="104" t="s">
        <v>141</v>
      </c>
    </row>
    <row r="2447" spans="1:29" ht="25.5" customHeight="1" x14ac:dyDescent="0.35">
      <c r="A2447" s="188"/>
      <c r="B2447" s="190"/>
      <c r="C2447" s="99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0"/>
      <c r="E2447" s="78" t="str">
        <f>IF(C2447="","",IFERROR(VLOOKUP(C2447,parametros!$A$11:$E$15,5,0),""))</f>
        <v/>
      </c>
      <c r="F2447" s="79" t="str">
        <f t="shared" si="192"/>
        <v/>
      </c>
      <c r="G2447" s="101"/>
      <c r="H2447" s="91">
        <f t="shared" si="193"/>
        <v>0</v>
      </c>
      <c r="I2447" s="91" t="str">
        <f t="shared" si="194"/>
        <v/>
      </c>
      <c r="J2447" s="91" t="str">
        <f t="shared" si="195"/>
        <v/>
      </c>
      <c r="K2447" s="92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2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58"/>
      <c r="U2447" s="217" t="str">
        <f t="shared" si="196"/>
        <v/>
      </c>
      <c r="V2447" s="215" t="s">
        <v>47</v>
      </c>
      <c r="W2447" s="102" t="s">
        <v>136</v>
      </c>
      <c r="X2447" s="102" t="s">
        <v>137</v>
      </c>
      <c r="Y2447" s="103" t="s">
        <v>138</v>
      </c>
      <c r="Z2447" s="103" t="s">
        <v>139</v>
      </c>
      <c r="AA2447" s="103" t="s">
        <v>47</v>
      </c>
      <c r="AB2447" s="103" t="s">
        <v>140</v>
      </c>
      <c r="AC2447" s="104" t="s">
        <v>141</v>
      </c>
    </row>
    <row r="2448" spans="1:29" ht="25.5" customHeight="1" x14ac:dyDescent="0.35">
      <c r="A2448" s="188"/>
      <c r="B2448" s="190"/>
      <c r="C2448" s="99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0"/>
      <c r="E2448" s="78" t="str">
        <f>IF(C2448="","",IFERROR(VLOOKUP(C2448,parametros!$A$11:$E$15,5,0),""))</f>
        <v/>
      </c>
      <c r="F2448" s="79" t="str">
        <f t="shared" si="192"/>
        <v/>
      </c>
      <c r="G2448" s="101"/>
      <c r="H2448" s="91">
        <f t="shared" si="193"/>
        <v>0</v>
      </c>
      <c r="I2448" s="91" t="str">
        <f t="shared" si="194"/>
        <v/>
      </c>
      <c r="J2448" s="91" t="str">
        <f t="shared" si="195"/>
        <v/>
      </c>
      <c r="K2448" s="92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2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58"/>
      <c r="U2448" s="217" t="str">
        <f t="shared" si="196"/>
        <v/>
      </c>
      <c r="V2448" s="215" t="s">
        <v>47</v>
      </c>
      <c r="W2448" s="102" t="s">
        <v>136</v>
      </c>
      <c r="X2448" s="102" t="s">
        <v>137</v>
      </c>
      <c r="Y2448" s="103" t="s">
        <v>138</v>
      </c>
      <c r="Z2448" s="103" t="s">
        <v>139</v>
      </c>
      <c r="AA2448" s="103" t="s">
        <v>47</v>
      </c>
      <c r="AB2448" s="103" t="s">
        <v>140</v>
      </c>
      <c r="AC2448" s="104" t="s">
        <v>141</v>
      </c>
    </row>
    <row r="2449" spans="1:29" ht="25.5" customHeight="1" x14ac:dyDescent="0.35">
      <c r="A2449" s="188"/>
      <c r="B2449" s="190"/>
      <c r="C2449" s="99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0"/>
      <c r="E2449" s="78" t="str">
        <f>IF(C2449="","",IFERROR(VLOOKUP(C2449,parametros!$A$11:$E$15,5,0),""))</f>
        <v/>
      </c>
      <c r="F2449" s="79" t="str">
        <f t="shared" si="192"/>
        <v/>
      </c>
      <c r="G2449" s="101"/>
      <c r="H2449" s="91">
        <f t="shared" si="193"/>
        <v>0</v>
      </c>
      <c r="I2449" s="91" t="str">
        <f t="shared" si="194"/>
        <v/>
      </c>
      <c r="J2449" s="91" t="str">
        <f t="shared" si="195"/>
        <v/>
      </c>
      <c r="K2449" s="92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2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58"/>
      <c r="U2449" s="217" t="str">
        <f t="shared" si="196"/>
        <v/>
      </c>
      <c r="V2449" s="215" t="s">
        <v>47</v>
      </c>
      <c r="W2449" s="102" t="s">
        <v>136</v>
      </c>
      <c r="X2449" s="102" t="s">
        <v>137</v>
      </c>
      <c r="Y2449" s="103" t="s">
        <v>138</v>
      </c>
      <c r="Z2449" s="103" t="s">
        <v>139</v>
      </c>
      <c r="AA2449" s="103" t="s">
        <v>47</v>
      </c>
      <c r="AB2449" s="103" t="s">
        <v>140</v>
      </c>
      <c r="AC2449" s="104" t="s">
        <v>141</v>
      </c>
    </row>
    <row r="2450" spans="1:29" ht="25.5" customHeight="1" x14ac:dyDescent="0.35">
      <c r="A2450" s="188"/>
      <c r="B2450" s="190"/>
      <c r="C2450" s="99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0"/>
      <c r="E2450" s="78" t="str">
        <f>IF(C2450="","",IFERROR(VLOOKUP(C2450,parametros!$A$11:$E$15,5,0),""))</f>
        <v/>
      </c>
      <c r="F2450" s="79" t="str">
        <f t="shared" si="192"/>
        <v/>
      </c>
      <c r="G2450" s="101"/>
      <c r="H2450" s="91">
        <f t="shared" si="193"/>
        <v>0</v>
      </c>
      <c r="I2450" s="91" t="str">
        <f t="shared" si="194"/>
        <v/>
      </c>
      <c r="J2450" s="91" t="str">
        <f t="shared" si="195"/>
        <v/>
      </c>
      <c r="K2450" s="92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2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58"/>
      <c r="U2450" s="217" t="str">
        <f t="shared" si="196"/>
        <v/>
      </c>
      <c r="V2450" s="215" t="s">
        <v>47</v>
      </c>
      <c r="W2450" s="102" t="s">
        <v>136</v>
      </c>
      <c r="X2450" s="102" t="s">
        <v>137</v>
      </c>
      <c r="Y2450" s="103" t="s">
        <v>138</v>
      </c>
      <c r="Z2450" s="103" t="s">
        <v>139</v>
      </c>
      <c r="AA2450" s="103" t="s">
        <v>47</v>
      </c>
      <c r="AB2450" s="103" t="s">
        <v>140</v>
      </c>
      <c r="AC2450" s="104" t="s">
        <v>141</v>
      </c>
    </row>
    <row r="2451" spans="1:29" ht="25.5" customHeight="1" x14ac:dyDescent="0.35">
      <c r="A2451" s="188"/>
      <c r="B2451" s="190"/>
      <c r="C2451" s="99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0"/>
      <c r="E2451" s="78" t="str">
        <f>IF(C2451="","",IFERROR(VLOOKUP(C2451,parametros!$A$11:$E$15,5,0),""))</f>
        <v/>
      </c>
      <c r="F2451" s="79" t="str">
        <f t="shared" si="192"/>
        <v/>
      </c>
      <c r="G2451" s="101"/>
      <c r="H2451" s="91">
        <f t="shared" si="193"/>
        <v>0</v>
      </c>
      <c r="I2451" s="91" t="str">
        <f t="shared" si="194"/>
        <v/>
      </c>
      <c r="J2451" s="91" t="str">
        <f t="shared" si="195"/>
        <v/>
      </c>
      <c r="K2451" s="92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2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58"/>
      <c r="U2451" s="217" t="str">
        <f t="shared" si="196"/>
        <v/>
      </c>
      <c r="V2451" s="215" t="s">
        <v>47</v>
      </c>
      <c r="W2451" s="102" t="s">
        <v>136</v>
      </c>
      <c r="X2451" s="102" t="s">
        <v>137</v>
      </c>
      <c r="Y2451" s="103" t="s">
        <v>138</v>
      </c>
      <c r="Z2451" s="103" t="s">
        <v>139</v>
      </c>
      <c r="AA2451" s="103" t="s">
        <v>47</v>
      </c>
      <c r="AB2451" s="103" t="s">
        <v>140</v>
      </c>
      <c r="AC2451" s="104" t="s">
        <v>141</v>
      </c>
    </row>
    <row r="2452" spans="1:29" ht="25.5" customHeight="1" x14ac:dyDescent="0.35">
      <c r="A2452" s="188"/>
      <c r="B2452" s="190"/>
      <c r="C2452" s="99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0"/>
      <c r="E2452" s="78" t="str">
        <f>IF(C2452="","",IFERROR(VLOOKUP(C2452,parametros!$A$11:$E$15,5,0),""))</f>
        <v/>
      </c>
      <c r="F2452" s="79" t="str">
        <f t="shared" si="192"/>
        <v/>
      </c>
      <c r="G2452" s="101"/>
      <c r="H2452" s="91">
        <f t="shared" si="193"/>
        <v>0</v>
      </c>
      <c r="I2452" s="91" t="str">
        <f t="shared" si="194"/>
        <v/>
      </c>
      <c r="J2452" s="91" t="str">
        <f t="shared" si="195"/>
        <v/>
      </c>
      <c r="K2452" s="92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2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58"/>
      <c r="U2452" s="217" t="str">
        <f t="shared" si="196"/>
        <v/>
      </c>
      <c r="V2452" s="215" t="s">
        <v>47</v>
      </c>
      <c r="W2452" s="102" t="s">
        <v>136</v>
      </c>
      <c r="X2452" s="102" t="s">
        <v>137</v>
      </c>
      <c r="Y2452" s="103" t="s">
        <v>138</v>
      </c>
      <c r="Z2452" s="103" t="s">
        <v>139</v>
      </c>
      <c r="AA2452" s="103" t="s">
        <v>47</v>
      </c>
      <c r="AB2452" s="103" t="s">
        <v>140</v>
      </c>
      <c r="AC2452" s="104" t="s">
        <v>141</v>
      </c>
    </row>
    <row r="2453" spans="1:29" ht="25.5" customHeight="1" x14ac:dyDescent="0.35">
      <c r="A2453" s="188"/>
      <c r="B2453" s="190"/>
      <c r="C2453" s="99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0"/>
      <c r="E2453" s="78" t="str">
        <f>IF(C2453="","",IFERROR(VLOOKUP(C2453,parametros!$A$11:$E$15,5,0),""))</f>
        <v/>
      </c>
      <c r="F2453" s="79" t="str">
        <f t="shared" si="192"/>
        <v/>
      </c>
      <c r="G2453" s="101"/>
      <c r="H2453" s="91">
        <f t="shared" si="193"/>
        <v>0</v>
      </c>
      <c r="I2453" s="91" t="str">
        <f t="shared" si="194"/>
        <v/>
      </c>
      <c r="J2453" s="91" t="str">
        <f t="shared" si="195"/>
        <v/>
      </c>
      <c r="K2453" s="92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2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58"/>
      <c r="U2453" s="217" t="str">
        <f t="shared" si="196"/>
        <v/>
      </c>
      <c r="V2453" s="215" t="s">
        <v>47</v>
      </c>
      <c r="W2453" s="102" t="s">
        <v>136</v>
      </c>
      <c r="X2453" s="102" t="s">
        <v>137</v>
      </c>
      <c r="Y2453" s="103" t="s">
        <v>138</v>
      </c>
      <c r="Z2453" s="103" t="s">
        <v>139</v>
      </c>
      <c r="AA2453" s="103" t="s">
        <v>47</v>
      </c>
      <c r="AB2453" s="103" t="s">
        <v>140</v>
      </c>
      <c r="AC2453" s="104" t="s">
        <v>141</v>
      </c>
    </row>
    <row r="2454" spans="1:29" ht="25.5" customHeight="1" x14ac:dyDescent="0.35">
      <c r="A2454" s="188"/>
      <c r="B2454" s="190"/>
      <c r="C2454" s="99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0"/>
      <c r="E2454" s="78" t="str">
        <f>IF(C2454="","",IFERROR(VLOOKUP(C2454,parametros!$A$11:$E$15,5,0),""))</f>
        <v/>
      </c>
      <c r="F2454" s="79" t="str">
        <f t="shared" si="192"/>
        <v/>
      </c>
      <c r="G2454" s="101"/>
      <c r="H2454" s="91">
        <f t="shared" si="193"/>
        <v>0</v>
      </c>
      <c r="I2454" s="91" t="str">
        <f t="shared" si="194"/>
        <v/>
      </c>
      <c r="J2454" s="91" t="str">
        <f t="shared" si="195"/>
        <v/>
      </c>
      <c r="K2454" s="92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2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58"/>
      <c r="U2454" s="217" t="str">
        <f t="shared" si="196"/>
        <v/>
      </c>
      <c r="V2454" s="215" t="s">
        <v>47</v>
      </c>
      <c r="W2454" s="102" t="s">
        <v>136</v>
      </c>
      <c r="X2454" s="102" t="s">
        <v>137</v>
      </c>
      <c r="Y2454" s="103" t="s">
        <v>138</v>
      </c>
      <c r="Z2454" s="103" t="s">
        <v>139</v>
      </c>
      <c r="AA2454" s="103" t="s">
        <v>47</v>
      </c>
      <c r="AB2454" s="103" t="s">
        <v>140</v>
      </c>
      <c r="AC2454" s="104" t="s">
        <v>141</v>
      </c>
    </row>
    <row r="2455" spans="1:29" ht="25.5" customHeight="1" x14ac:dyDescent="0.35">
      <c r="A2455" s="188"/>
      <c r="B2455" s="190"/>
      <c r="C2455" s="99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0"/>
      <c r="E2455" s="78" t="str">
        <f>IF(C2455="","",IFERROR(VLOOKUP(C2455,parametros!$A$11:$E$15,5,0),""))</f>
        <v/>
      </c>
      <c r="F2455" s="79" t="str">
        <f t="shared" si="192"/>
        <v/>
      </c>
      <c r="G2455" s="101"/>
      <c r="H2455" s="91">
        <f t="shared" si="193"/>
        <v>0</v>
      </c>
      <c r="I2455" s="91" t="str">
        <f t="shared" si="194"/>
        <v/>
      </c>
      <c r="J2455" s="91" t="str">
        <f t="shared" si="195"/>
        <v/>
      </c>
      <c r="K2455" s="92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2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58"/>
      <c r="U2455" s="217" t="str">
        <f t="shared" si="196"/>
        <v/>
      </c>
      <c r="V2455" s="215" t="s">
        <v>47</v>
      </c>
      <c r="W2455" s="102" t="s">
        <v>136</v>
      </c>
      <c r="X2455" s="102" t="s">
        <v>137</v>
      </c>
      <c r="Y2455" s="103" t="s">
        <v>138</v>
      </c>
      <c r="Z2455" s="103" t="s">
        <v>139</v>
      </c>
      <c r="AA2455" s="103" t="s">
        <v>47</v>
      </c>
      <c r="AB2455" s="103" t="s">
        <v>140</v>
      </c>
      <c r="AC2455" s="104" t="s">
        <v>141</v>
      </c>
    </row>
    <row r="2456" spans="1:29" ht="25.5" customHeight="1" x14ac:dyDescent="0.35">
      <c r="A2456" s="188"/>
      <c r="B2456" s="190"/>
      <c r="C2456" s="99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0"/>
      <c r="E2456" s="78" t="str">
        <f>IF(C2456="","",IFERROR(VLOOKUP(C2456,parametros!$A$11:$E$15,5,0),""))</f>
        <v/>
      </c>
      <c r="F2456" s="79" t="str">
        <f t="shared" si="192"/>
        <v/>
      </c>
      <c r="G2456" s="101"/>
      <c r="H2456" s="91">
        <f t="shared" si="193"/>
        <v>0</v>
      </c>
      <c r="I2456" s="91" t="str">
        <f t="shared" si="194"/>
        <v/>
      </c>
      <c r="J2456" s="91" t="str">
        <f t="shared" si="195"/>
        <v/>
      </c>
      <c r="K2456" s="92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2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58"/>
      <c r="U2456" s="217" t="str">
        <f t="shared" si="196"/>
        <v/>
      </c>
      <c r="V2456" s="215" t="s">
        <v>47</v>
      </c>
      <c r="W2456" s="102" t="s">
        <v>136</v>
      </c>
      <c r="X2456" s="102" t="s">
        <v>137</v>
      </c>
      <c r="Y2456" s="103" t="s">
        <v>138</v>
      </c>
      <c r="Z2456" s="103" t="s">
        <v>139</v>
      </c>
      <c r="AA2456" s="103" t="s">
        <v>47</v>
      </c>
      <c r="AB2456" s="103" t="s">
        <v>140</v>
      </c>
      <c r="AC2456" s="104" t="s">
        <v>141</v>
      </c>
    </row>
    <row r="2457" spans="1:29" ht="25.5" customHeight="1" x14ac:dyDescent="0.35">
      <c r="A2457" s="188"/>
      <c r="B2457" s="190"/>
      <c r="C2457" s="99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0"/>
      <c r="E2457" s="78" t="str">
        <f>IF(C2457="","",IFERROR(VLOOKUP(C2457,parametros!$A$11:$E$15,5,0),""))</f>
        <v/>
      </c>
      <c r="F2457" s="79" t="str">
        <f t="shared" si="192"/>
        <v/>
      </c>
      <c r="G2457" s="101"/>
      <c r="H2457" s="91">
        <f t="shared" si="193"/>
        <v>0</v>
      </c>
      <c r="I2457" s="91" t="str">
        <f t="shared" si="194"/>
        <v/>
      </c>
      <c r="J2457" s="91" t="str">
        <f t="shared" si="195"/>
        <v/>
      </c>
      <c r="K2457" s="92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2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58"/>
      <c r="U2457" s="217" t="str">
        <f t="shared" si="196"/>
        <v/>
      </c>
      <c r="V2457" s="215" t="s">
        <v>47</v>
      </c>
      <c r="W2457" s="102" t="s">
        <v>136</v>
      </c>
      <c r="X2457" s="102" t="s">
        <v>137</v>
      </c>
      <c r="Y2457" s="103" t="s">
        <v>138</v>
      </c>
      <c r="Z2457" s="103" t="s">
        <v>139</v>
      </c>
      <c r="AA2457" s="103" t="s">
        <v>47</v>
      </c>
      <c r="AB2457" s="103" t="s">
        <v>140</v>
      </c>
      <c r="AC2457" s="104" t="s">
        <v>141</v>
      </c>
    </row>
    <row r="2458" spans="1:29" ht="25.5" customHeight="1" x14ac:dyDescent="0.35">
      <c r="A2458" s="188"/>
      <c r="B2458" s="190"/>
      <c r="C2458" s="99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0"/>
      <c r="E2458" s="78" t="str">
        <f>IF(C2458="","",IFERROR(VLOOKUP(C2458,parametros!$A$11:$E$15,5,0),""))</f>
        <v/>
      </c>
      <c r="F2458" s="79" t="str">
        <f t="shared" si="192"/>
        <v/>
      </c>
      <c r="G2458" s="101"/>
      <c r="H2458" s="91">
        <f t="shared" si="193"/>
        <v>0</v>
      </c>
      <c r="I2458" s="91" t="str">
        <f t="shared" si="194"/>
        <v/>
      </c>
      <c r="J2458" s="91" t="str">
        <f t="shared" si="195"/>
        <v/>
      </c>
      <c r="K2458" s="92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2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58"/>
      <c r="U2458" s="217" t="str">
        <f t="shared" si="196"/>
        <v/>
      </c>
      <c r="V2458" s="215" t="s">
        <v>47</v>
      </c>
      <c r="W2458" s="102" t="s">
        <v>136</v>
      </c>
      <c r="X2458" s="102" t="s">
        <v>137</v>
      </c>
      <c r="Y2458" s="103" t="s">
        <v>138</v>
      </c>
      <c r="Z2458" s="103" t="s">
        <v>139</v>
      </c>
      <c r="AA2458" s="103" t="s">
        <v>47</v>
      </c>
      <c r="AB2458" s="103" t="s">
        <v>140</v>
      </c>
      <c r="AC2458" s="104" t="s">
        <v>141</v>
      </c>
    </row>
    <row r="2459" spans="1:29" ht="25.5" customHeight="1" x14ac:dyDescent="0.35">
      <c r="A2459" s="188"/>
      <c r="B2459" s="190"/>
      <c r="C2459" s="99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0"/>
      <c r="E2459" s="78" t="str">
        <f>IF(C2459="","",IFERROR(VLOOKUP(C2459,parametros!$A$11:$E$15,5,0),""))</f>
        <v/>
      </c>
      <c r="F2459" s="79" t="str">
        <f t="shared" si="192"/>
        <v/>
      </c>
      <c r="G2459" s="101"/>
      <c r="H2459" s="91">
        <f t="shared" si="193"/>
        <v>0</v>
      </c>
      <c r="I2459" s="91" t="str">
        <f t="shared" si="194"/>
        <v/>
      </c>
      <c r="J2459" s="91" t="str">
        <f t="shared" si="195"/>
        <v/>
      </c>
      <c r="K2459" s="92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2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58"/>
      <c r="U2459" s="217" t="str">
        <f t="shared" si="196"/>
        <v/>
      </c>
      <c r="V2459" s="215" t="s">
        <v>47</v>
      </c>
      <c r="W2459" s="102" t="s">
        <v>136</v>
      </c>
      <c r="X2459" s="102" t="s">
        <v>137</v>
      </c>
      <c r="Y2459" s="103" t="s">
        <v>138</v>
      </c>
      <c r="Z2459" s="103" t="s">
        <v>139</v>
      </c>
      <c r="AA2459" s="103" t="s">
        <v>47</v>
      </c>
      <c r="AB2459" s="103" t="s">
        <v>140</v>
      </c>
      <c r="AC2459" s="104" t="s">
        <v>141</v>
      </c>
    </row>
    <row r="2460" spans="1:29" ht="25.5" customHeight="1" x14ac:dyDescent="0.35">
      <c r="A2460" s="188"/>
      <c r="B2460" s="190"/>
      <c r="C2460" s="99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0"/>
      <c r="E2460" s="78" t="str">
        <f>IF(C2460="","",IFERROR(VLOOKUP(C2460,parametros!$A$11:$E$15,5,0),""))</f>
        <v/>
      </c>
      <c r="F2460" s="79" t="str">
        <f t="shared" si="192"/>
        <v/>
      </c>
      <c r="G2460" s="101"/>
      <c r="H2460" s="91">
        <f t="shared" si="193"/>
        <v>0</v>
      </c>
      <c r="I2460" s="91" t="str">
        <f t="shared" si="194"/>
        <v/>
      </c>
      <c r="J2460" s="91" t="str">
        <f t="shared" si="195"/>
        <v/>
      </c>
      <c r="K2460" s="92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2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58"/>
      <c r="U2460" s="217" t="str">
        <f t="shared" si="196"/>
        <v/>
      </c>
      <c r="V2460" s="215" t="s">
        <v>47</v>
      </c>
      <c r="W2460" s="102" t="s">
        <v>136</v>
      </c>
      <c r="X2460" s="102" t="s">
        <v>137</v>
      </c>
      <c r="Y2460" s="103" t="s">
        <v>138</v>
      </c>
      <c r="Z2460" s="103" t="s">
        <v>139</v>
      </c>
      <c r="AA2460" s="103" t="s">
        <v>47</v>
      </c>
      <c r="AB2460" s="103" t="s">
        <v>140</v>
      </c>
      <c r="AC2460" s="104" t="s">
        <v>141</v>
      </c>
    </row>
    <row r="2461" spans="1:29" ht="25.5" customHeight="1" x14ac:dyDescent="0.35">
      <c r="A2461" s="188"/>
      <c r="B2461" s="190"/>
      <c r="C2461" s="99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0"/>
      <c r="E2461" s="78" t="str">
        <f>IF(C2461="","",IFERROR(VLOOKUP(C2461,parametros!$A$11:$E$15,5,0),""))</f>
        <v/>
      </c>
      <c r="F2461" s="79" t="str">
        <f t="shared" si="192"/>
        <v/>
      </c>
      <c r="G2461" s="101"/>
      <c r="H2461" s="91">
        <f t="shared" si="193"/>
        <v>0</v>
      </c>
      <c r="I2461" s="91" t="str">
        <f t="shared" si="194"/>
        <v/>
      </c>
      <c r="J2461" s="91" t="str">
        <f t="shared" si="195"/>
        <v/>
      </c>
      <c r="K2461" s="92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2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58"/>
      <c r="U2461" s="217" t="str">
        <f t="shared" si="196"/>
        <v/>
      </c>
      <c r="V2461" s="215" t="s">
        <v>47</v>
      </c>
      <c r="W2461" s="102" t="s">
        <v>136</v>
      </c>
      <c r="X2461" s="102" t="s">
        <v>137</v>
      </c>
      <c r="Y2461" s="103" t="s">
        <v>138</v>
      </c>
      <c r="Z2461" s="103" t="s">
        <v>139</v>
      </c>
      <c r="AA2461" s="103" t="s">
        <v>47</v>
      </c>
      <c r="AB2461" s="103" t="s">
        <v>140</v>
      </c>
      <c r="AC2461" s="104" t="s">
        <v>141</v>
      </c>
    </row>
    <row r="2462" spans="1:29" ht="25.5" customHeight="1" x14ac:dyDescent="0.35">
      <c r="A2462" s="188"/>
      <c r="B2462" s="190"/>
      <c r="C2462" s="99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0"/>
      <c r="E2462" s="78" t="str">
        <f>IF(C2462="","",IFERROR(VLOOKUP(C2462,parametros!$A$11:$E$15,5,0),""))</f>
        <v/>
      </c>
      <c r="F2462" s="79" t="str">
        <f t="shared" si="192"/>
        <v/>
      </c>
      <c r="G2462" s="101"/>
      <c r="H2462" s="91">
        <f t="shared" si="193"/>
        <v>0</v>
      </c>
      <c r="I2462" s="91" t="str">
        <f t="shared" si="194"/>
        <v/>
      </c>
      <c r="J2462" s="91" t="str">
        <f t="shared" si="195"/>
        <v/>
      </c>
      <c r="K2462" s="92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2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58"/>
      <c r="U2462" s="217" t="str">
        <f t="shared" si="196"/>
        <v/>
      </c>
      <c r="V2462" s="215" t="s">
        <v>47</v>
      </c>
      <c r="W2462" s="102" t="s">
        <v>136</v>
      </c>
      <c r="X2462" s="102" t="s">
        <v>137</v>
      </c>
      <c r="Y2462" s="103" t="s">
        <v>138</v>
      </c>
      <c r="Z2462" s="103" t="s">
        <v>139</v>
      </c>
      <c r="AA2462" s="103" t="s">
        <v>47</v>
      </c>
      <c r="AB2462" s="103" t="s">
        <v>140</v>
      </c>
      <c r="AC2462" s="104" t="s">
        <v>141</v>
      </c>
    </row>
    <row r="2463" spans="1:29" ht="25.5" customHeight="1" x14ac:dyDescent="0.35">
      <c r="A2463" s="188"/>
      <c r="B2463" s="190"/>
      <c r="C2463" s="99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0"/>
      <c r="E2463" s="78" t="str">
        <f>IF(C2463="","",IFERROR(VLOOKUP(C2463,parametros!$A$11:$E$15,5,0),""))</f>
        <v/>
      </c>
      <c r="F2463" s="79" t="str">
        <f t="shared" si="192"/>
        <v/>
      </c>
      <c r="G2463" s="101"/>
      <c r="H2463" s="91">
        <f t="shared" si="193"/>
        <v>0</v>
      </c>
      <c r="I2463" s="91" t="str">
        <f t="shared" si="194"/>
        <v/>
      </c>
      <c r="J2463" s="91" t="str">
        <f t="shared" si="195"/>
        <v/>
      </c>
      <c r="K2463" s="92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2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58"/>
      <c r="U2463" s="217" t="str">
        <f t="shared" si="196"/>
        <v/>
      </c>
      <c r="V2463" s="215" t="s">
        <v>47</v>
      </c>
      <c r="W2463" s="102" t="s">
        <v>136</v>
      </c>
      <c r="X2463" s="102" t="s">
        <v>137</v>
      </c>
      <c r="Y2463" s="103" t="s">
        <v>138</v>
      </c>
      <c r="Z2463" s="103" t="s">
        <v>139</v>
      </c>
      <c r="AA2463" s="103" t="s">
        <v>47</v>
      </c>
      <c r="AB2463" s="103" t="s">
        <v>140</v>
      </c>
      <c r="AC2463" s="104" t="s">
        <v>141</v>
      </c>
    </row>
    <row r="2464" spans="1:29" ht="25.5" customHeight="1" x14ac:dyDescent="0.35">
      <c r="A2464" s="188"/>
      <c r="B2464" s="190"/>
      <c r="C2464" s="99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0"/>
      <c r="E2464" s="78" t="str">
        <f>IF(C2464="","",IFERROR(VLOOKUP(C2464,parametros!$A$11:$E$15,5,0),""))</f>
        <v/>
      </c>
      <c r="F2464" s="79" t="str">
        <f t="shared" si="192"/>
        <v/>
      </c>
      <c r="G2464" s="101"/>
      <c r="H2464" s="91">
        <f t="shared" si="193"/>
        <v>0</v>
      </c>
      <c r="I2464" s="91" t="str">
        <f t="shared" si="194"/>
        <v/>
      </c>
      <c r="J2464" s="91" t="str">
        <f t="shared" si="195"/>
        <v/>
      </c>
      <c r="K2464" s="92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2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58"/>
      <c r="U2464" s="217" t="str">
        <f t="shared" si="196"/>
        <v/>
      </c>
      <c r="V2464" s="215" t="s">
        <v>47</v>
      </c>
      <c r="W2464" s="102" t="s">
        <v>136</v>
      </c>
      <c r="X2464" s="102" t="s">
        <v>137</v>
      </c>
      <c r="Y2464" s="103" t="s">
        <v>138</v>
      </c>
      <c r="Z2464" s="103" t="s">
        <v>139</v>
      </c>
      <c r="AA2464" s="103" t="s">
        <v>47</v>
      </c>
      <c r="AB2464" s="103" t="s">
        <v>140</v>
      </c>
      <c r="AC2464" s="104" t="s">
        <v>141</v>
      </c>
    </row>
    <row r="2465" spans="1:29" ht="25.5" customHeight="1" x14ac:dyDescent="0.35">
      <c r="A2465" s="188"/>
      <c r="B2465" s="190"/>
      <c r="C2465" s="99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0"/>
      <c r="E2465" s="78" t="str">
        <f>IF(C2465="","",IFERROR(VLOOKUP(C2465,parametros!$A$11:$E$15,5,0),""))</f>
        <v/>
      </c>
      <c r="F2465" s="79" t="str">
        <f t="shared" si="192"/>
        <v/>
      </c>
      <c r="G2465" s="101"/>
      <c r="H2465" s="91">
        <f t="shared" si="193"/>
        <v>0</v>
      </c>
      <c r="I2465" s="91" t="str">
        <f t="shared" si="194"/>
        <v/>
      </c>
      <c r="J2465" s="91" t="str">
        <f t="shared" si="195"/>
        <v/>
      </c>
      <c r="K2465" s="92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2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58"/>
      <c r="U2465" s="217" t="str">
        <f t="shared" si="196"/>
        <v/>
      </c>
      <c r="V2465" s="215" t="s">
        <v>47</v>
      </c>
      <c r="W2465" s="102" t="s">
        <v>136</v>
      </c>
      <c r="X2465" s="102" t="s">
        <v>137</v>
      </c>
      <c r="Y2465" s="103" t="s">
        <v>138</v>
      </c>
      <c r="Z2465" s="103" t="s">
        <v>139</v>
      </c>
      <c r="AA2465" s="103" t="s">
        <v>47</v>
      </c>
      <c r="AB2465" s="103" t="s">
        <v>140</v>
      </c>
      <c r="AC2465" s="104" t="s">
        <v>141</v>
      </c>
    </row>
    <row r="2466" spans="1:29" ht="25.5" customHeight="1" x14ac:dyDescent="0.35">
      <c r="A2466" s="188"/>
      <c r="B2466" s="190"/>
      <c r="C2466" s="99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0"/>
      <c r="E2466" s="78" t="str">
        <f>IF(C2466="","",IFERROR(VLOOKUP(C2466,parametros!$A$11:$E$15,5,0),""))</f>
        <v/>
      </c>
      <c r="F2466" s="79" t="str">
        <f t="shared" si="192"/>
        <v/>
      </c>
      <c r="G2466" s="101"/>
      <c r="H2466" s="91">
        <f t="shared" si="193"/>
        <v>0</v>
      </c>
      <c r="I2466" s="91" t="str">
        <f t="shared" si="194"/>
        <v/>
      </c>
      <c r="J2466" s="91" t="str">
        <f t="shared" si="195"/>
        <v/>
      </c>
      <c r="K2466" s="92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2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58"/>
      <c r="U2466" s="217" t="str">
        <f t="shared" si="196"/>
        <v/>
      </c>
      <c r="V2466" s="215" t="s">
        <v>47</v>
      </c>
      <c r="W2466" s="102" t="s">
        <v>136</v>
      </c>
      <c r="X2466" s="102" t="s">
        <v>137</v>
      </c>
      <c r="Y2466" s="103" t="s">
        <v>138</v>
      </c>
      <c r="Z2466" s="103" t="s">
        <v>139</v>
      </c>
      <c r="AA2466" s="103" t="s">
        <v>47</v>
      </c>
      <c r="AB2466" s="103" t="s">
        <v>140</v>
      </c>
      <c r="AC2466" s="104" t="s">
        <v>141</v>
      </c>
    </row>
    <row r="2467" spans="1:29" ht="25.5" customHeight="1" x14ac:dyDescent="0.35">
      <c r="A2467" s="188"/>
      <c r="B2467" s="190"/>
      <c r="C2467" s="99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0"/>
      <c r="E2467" s="78" t="str">
        <f>IF(C2467="","",IFERROR(VLOOKUP(C2467,parametros!$A$11:$E$15,5,0),""))</f>
        <v/>
      </c>
      <c r="F2467" s="79" t="str">
        <f t="shared" si="192"/>
        <v/>
      </c>
      <c r="G2467" s="101"/>
      <c r="H2467" s="91">
        <f t="shared" si="193"/>
        <v>0</v>
      </c>
      <c r="I2467" s="91" t="str">
        <f t="shared" si="194"/>
        <v/>
      </c>
      <c r="J2467" s="91" t="str">
        <f t="shared" si="195"/>
        <v/>
      </c>
      <c r="K2467" s="92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2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58"/>
      <c r="U2467" s="217" t="str">
        <f t="shared" si="196"/>
        <v/>
      </c>
      <c r="V2467" s="215" t="s">
        <v>47</v>
      </c>
      <c r="W2467" s="102" t="s">
        <v>136</v>
      </c>
      <c r="X2467" s="102" t="s">
        <v>137</v>
      </c>
      <c r="Y2467" s="103" t="s">
        <v>138</v>
      </c>
      <c r="Z2467" s="103" t="s">
        <v>139</v>
      </c>
      <c r="AA2467" s="103" t="s">
        <v>47</v>
      </c>
      <c r="AB2467" s="103" t="s">
        <v>140</v>
      </c>
      <c r="AC2467" s="104" t="s">
        <v>141</v>
      </c>
    </row>
    <row r="2468" spans="1:29" ht="25.5" customHeight="1" x14ac:dyDescent="0.35">
      <c r="A2468" s="188"/>
      <c r="B2468" s="190"/>
      <c r="C2468" s="99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0"/>
      <c r="E2468" s="78" t="str">
        <f>IF(C2468="","",IFERROR(VLOOKUP(C2468,parametros!$A$11:$E$15,5,0),""))</f>
        <v/>
      </c>
      <c r="F2468" s="79" t="str">
        <f t="shared" si="192"/>
        <v/>
      </c>
      <c r="G2468" s="101"/>
      <c r="H2468" s="91">
        <f t="shared" si="193"/>
        <v>0</v>
      </c>
      <c r="I2468" s="91" t="str">
        <f t="shared" si="194"/>
        <v/>
      </c>
      <c r="J2468" s="91" t="str">
        <f t="shared" si="195"/>
        <v/>
      </c>
      <c r="K2468" s="92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2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58"/>
      <c r="U2468" s="217" t="str">
        <f t="shared" si="196"/>
        <v/>
      </c>
      <c r="V2468" s="215" t="s">
        <v>47</v>
      </c>
      <c r="W2468" s="102" t="s">
        <v>136</v>
      </c>
      <c r="X2468" s="102" t="s">
        <v>137</v>
      </c>
      <c r="Y2468" s="103" t="s">
        <v>138</v>
      </c>
      <c r="Z2468" s="103" t="s">
        <v>139</v>
      </c>
      <c r="AA2468" s="103" t="s">
        <v>47</v>
      </c>
      <c r="AB2468" s="103" t="s">
        <v>140</v>
      </c>
      <c r="AC2468" s="104" t="s">
        <v>141</v>
      </c>
    </row>
    <row r="2469" spans="1:29" ht="25.5" customHeight="1" x14ac:dyDescent="0.35">
      <c r="A2469" s="188"/>
      <c r="B2469" s="190"/>
      <c r="C2469" s="99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0"/>
      <c r="E2469" s="78" t="str">
        <f>IF(C2469="","",IFERROR(VLOOKUP(C2469,parametros!$A$11:$E$15,5,0),""))</f>
        <v/>
      </c>
      <c r="F2469" s="79" t="str">
        <f t="shared" si="192"/>
        <v/>
      </c>
      <c r="G2469" s="101"/>
      <c r="H2469" s="91">
        <f t="shared" si="193"/>
        <v>0</v>
      </c>
      <c r="I2469" s="91" t="str">
        <f t="shared" si="194"/>
        <v/>
      </c>
      <c r="J2469" s="91" t="str">
        <f t="shared" si="195"/>
        <v/>
      </c>
      <c r="K2469" s="92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2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58"/>
      <c r="U2469" s="217" t="str">
        <f t="shared" si="196"/>
        <v/>
      </c>
      <c r="V2469" s="215" t="s">
        <v>47</v>
      </c>
      <c r="W2469" s="102" t="s">
        <v>136</v>
      </c>
      <c r="X2469" s="102" t="s">
        <v>137</v>
      </c>
      <c r="Y2469" s="103" t="s">
        <v>138</v>
      </c>
      <c r="Z2469" s="103" t="s">
        <v>139</v>
      </c>
      <c r="AA2469" s="103" t="s">
        <v>47</v>
      </c>
      <c r="AB2469" s="103" t="s">
        <v>140</v>
      </c>
      <c r="AC2469" s="104" t="s">
        <v>141</v>
      </c>
    </row>
    <row r="2470" spans="1:29" ht="25.5" customHeight="1" x14ac:dyDescent="0.35">
      <c r="A2470" s="188"/>
      <c r="B2470" s="190"/>
      <c r="C2470" s="99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0"/>
      <c r="E2470" s="78" t="str">
        <f>IF(C2470="","",IFERROR(VLOOKUP(C2470,parametros!$A$11:$E$15,5,0),""))</f>
        <v/>
      </c>
      <c r="F2470" s="79" t="str">
        <f t="shared" si="192"/>
        <v/>
      </c>
      <c r="G2470" s="101"/>
      <c r="H2470" s="91">
        <f t="shared" si="193"/>
        <v>0</v>
      </c>
      <c r="I2470" s="91" t="str">
        <f t="shared" si="194"/>
        <v/>
      </c>
      <c r="J2470" s="91" t="str">
        <f t="shared" si="195"/>
        <v/>
      </c>
      <c r="K2470" s="92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2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58"/>
      <c r="U2470" s="217" t="str">
        <f t="shared" si="196"/>
        <v/>
      </c>
      <c r="V2470" s="215" t="s">
        <v>47</v>
      </c>
      <c r="W2470" s="102" t="s">
        <v>136</v>
      </c>
      <c r="X2470" s="102" t="s">
        <v>137</v>
      </c>
      <c r="Y2470" s="103" t="s">
        <v>138</v>
      </c>
      <c r="Z2470" s="103" t="s">
        <v>139</v>
      </c>
      <c r="AA2470" s="103" t="s">
        <v>47</v>
      </c>
      <c r="AB2470" s="103" t="s">
        <v>140</v>
      </c>
      <c r="AC2470" s="104" t="s">
        <v>141</v>
      </c>
    </row>
    <row r="2471" spans="1:29" ht="25.5" customHeight="1" x14ac:dyDescent="0.35">
      <c r="A2471" s="188"/>
      <c r="B2471" s="190"/>
      <c r="C2471" s="99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0"/>
      <c r="E2471" s="78" t="str">
        <f>IF(C2471="","",IFERROR(VLOOKUP(C2471,parametros!$A$11:$E$15,5,0),""))</f>
        <v/>
      </c>
      <c r="F2471" s="79" t="str">
        <f t="shared" si="192"/>
        <v/>
      </c>
      <c r="G2471" s="101"/>
      <c r="H2471" s="91">
        <f t="shared" si="193"/>
        <v>0</v>
      </c>
      <c r="I2471" s="91" t="str">
        <f t="shared" si="194"/>
        <v/>
      </c>
      <c r="J2471" s="91" t="str">
        <f t="shared" si="195"/>
        <v/>
      </c>
      <c r="K2471" s="92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2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58"/>
      <c r="U2471" s="217" t="str">
        <f t="shared" si="196"/>
        <v/>
      </c>
      <c r="V2471" s="215" t="s">
        <v>47</v>
      </c>
      <c r="W2471" s="102" t="s">
        <v>136</v>
      </c>
      <c r="X2471" s="102" t="s">
        <v>137</v>
      </c>
      <c r="Y2471" s="103" t="s">
        <v>138</v>
      </c>
      <c r="Z2471" s="103" t="s">
        <v>139</v>
      </c>
      <c r="AA2471" s="103" t="s">
        <v>47</v>
      </c>
      <c r="AB2471" s="103" t="s">
        <v>140</v>
      </c>
      <c r="AC2471" s="104" t="s">
        <v>141</v>
      </c>
    </row>
    <row r="2472" spans="1:29" ht="25.5" customHeight="1" x14ac:dyDescent="0.35">
      <c r="A2472" s="188"/>
      <c r="B2472" s="190"/>
      <c r="C2472" s="99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0"/>
      <c r="E2472" s="78" t="str">
        <f>IF(C2472="","",IFERROR(VLOOKUP(C2472,parametros!$A$11:$E$15,5,0),""))</f>
        <v/>
      </c>
      <c r="F2472" s="79" t="str">
        <f t="shared" si="192"/>
        <v/>
      </c>
      <c r="G2472" s="101"/>
      <c r="H2472" s="91">
        <f t="shared" si="193"/>
        <v>0</v>
      </c>
      <c r="I2472" s="91" t="str">
        <f t="shared" si="194"/>
        <v/>
      </c>
      <c r="J2472" s="91" t="str">
        <f t="shared" si="195"/>
        <v/>
      </c>
      <c r="K2472" s="92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2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58"/>
      <c r="U2472" s="217" t="str">
        <f t="shared" si="196"/>
        <v/>
      </c>
      <c r="V2472" s="215" t="s">
        <v>47</v>
      </c>
      <c r="W2472" s="102" t="s">
        <v>136</v>
      </c>
      <c r="X2472" s="102" t="s">
        <v>137</v>
      </c>
      <c r="Y2472" s="103" t="s">
        <v>138</v>
      </c>
      <c r="Z2472" s="103" t="s">
        <v>139</v>
      </c>
      <c r="AA2472" s="103" t="s">
        <v>47</v>
      </c>
      <c r="AB2472" s="103" t="s">
        <v>140</v>
      </c>
      <c r="AC2472" s="104" t="s">
        <v>141</v>
      </c>
    </row>
    <row r="2473" spans="1:29" ht="25.5" customHeight="1" x14ac:dyDescent="0.35">
      <c r="A2473" s="188"/>
      <c r="B2473" s="190"/>
      <c r="C2473" s="99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0"/>
      <c r="E2473" s="78" t="str">
        <f>IF(C2473="","",IFERROR(VLOOKUP(C2473,parametros!$A$11:$E$15,5,0),""))</f>
        <v/>
      </c>
      <c r="F2473" s="79" t="str">
        <f t="shared" si="192"/>
        <v/>
      </c>
      <c r="G2473" s="101"/>
      <c r="H2473" s="91">
        <f t="shared" si="193"/>
        <v>0</v>
      </c>
      <c r="I2473" s="91" t="str">
        <f t="shared" si="194"/>
        <v/>
      </c>
      <c r="J2473" s="91" t="str">
        <f t="shared" si="195"/>
        <v/>
      </c>
      <c r="K2473" s="92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2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58"/>
      <c r="U2473" s="217" t="str">
        <f t="shared" si="196"/>
        <v/>
      </c>
      <c r="V2473" s="215" t="s">
        <v>47</v>
      </c>
      <c r="W2473" s="102" t="s">
        <v>136</v>
      </c>
      <c r="X2473" s="102" t="s">
        <v>137</v>
      </c>
      <c r="Y2473" s="103" t="s">
        <v>138</v>
      </c>
      <c r="Z2473" s="103" t="s">
        <v>139</v>
      </c>
      <c r="AA2473" s="103" t="s">
        <v>47</v>
      </c>
      <c r="AB2473" s="103" t="s">
        <v>140</v>
      </c>
      <c r="AC2473" s="104" t="s">
        <v>141</v>
      </c>
    </row>
    <row r="2474" spans="1:29" ht="25.5" customHeight="1" x14ac:dyDescent="0.35">
      <c r="A2474" s="188"/>
      <c r="B2474" s="190"/>
      <c r="C2474" s="99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0"/>
      <c r="E2474" s="78" t="str">
        <f>IF(C2474="","",IFERROR(VLOOKUP(C2474,parametros!$A$11:$E$15,5,0),""))</f>
        <v/>
      </c>
      <c r="F2474" s="79" t="str">
        <f t="shared" si="192"/>
        <v/>
      </c>
      <c r="G2474" s="101"/>
      <c r="H2474" s="91">
        <f t="shared" si="193"/>
        <v>0</v>
      </c>
      <c r="I2474" s="91" t="str">
        <f t="shared" si="194"/>
        <v/>
      </c>
      <c r="J2474" s="91" t="str">
        <f t="shared" si="195"/>
        <v/>
      </c>
      <c r="K2474" s="92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2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58"/>
      <c r="U2474" s="217" t="str">
        <f t="shared" si="196"/>
        <v/>
      </c>
      <c r="V2474" s="215" t="s">
        <v>47</v>
      </c>
      <c r="W2474" s="102" t="s">
        <v>136</v>
      </c>
      <c r="X2474" s="102" t="s">
        <v>137</v>
      </c>
      <c r="Y2474" s="103" t="s">
        <v>138</v>
      </c>
      <c r="Z2474" s="103" t="s">
        <v>139</v>
      </c>
      <c r="AA2474" s="103" t="s">
        <v>47</v>
      </c>
      <c r="AB2474" s="103" t="s">
        <v>140</v>
      </c>
      <c r="AC2474" s="104" t="s">
        <v>141</v>
      </c>
    </row>
    <row r="2475" spans="1:29" ht="25.5" customHeight="1" x14ac:dyDescent="0.35">
      <c r="A2475" s="188"/>
      <c r="B2475" s="190"/>
      <c r="C2475" s="99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0"/>
      <c r="E2475" s="78" t="str">
        <f>IF(C2475="","",IFERROR(VLOOKUP(C2475,parametros!$A$11:$E$15,5,0),""))</f>
        <v/>
      </c>
      <c r="F2475" s="79" t="str">
        <f t="shared" si="192"/>
        <v/>
      </c>
      <c r="G2475" s="101"/>
      <c r="H2475" s="91">
        <f t="shared" si="193"/>
        <v>0</v>
      </c>
      <c r="I2475" s="91" t="str">
        <f t="shared" si="194"/>
        <v/>
      </c>
      <c r="J2475" s="91" t="str">
        <f t="shared" si="195"/>
        <v/>
      </c>
      <c r="K2475" s="92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2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58"/>
      <c r="U2475" s="217" t="str">
        <f t="shared" si="196"/>
        <v/>
      </c>
      <c r="V2475" s="215" t="s">
        <v>47</v>
      </c>
      <c r="W2475" s="102" t="s">
        <v>136</v>
      </c>
      <c r="X2475" s="102" t="s">
        <v>137</v>
      </c>
      <c r="Y2475" s="103" t="s">
        <v>138</v>
      </c>
      <c r="Z2475" s="103" t="s">
        <v>139</v>
      </c>
      <c r="AA2475" s="103" t="s">
        <v>47</v>
      </c>
      <c r="AB2475" s="103" t="s">
        <v>140</v>
      </c>
      <c r="AC2475" s="104" t="s">
        <v>141</v>
      </c>
    </row>
    <row r="2476" spans="1:29" ht="25.5" customHeight="1" x14ac:dyDescent="0.35">
      <c r="A2476" s="188"/>
      <c r="B2476" s="190"/>
      <c r="C2476" s="99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0"/>
      <c r="E2476" s="78" t="str">
        <f>IF(C2476="","",IFERROR(VLOOKUP(C2476,parametros!$A$11:$E$15,5,0),""))</f>
        <v/>
      </c>
      <c r="F2476" s="79" t="str">
        <f t="shared" si="192"/>
        <v/>
      </c>
      <c r="G2476" s="101"/>
      <c r="H2476" s="91">
        <f t="shared" si="193"/>
        <v>0</v>
      </c>
      <c r="I2476" s="91" t="str">
        <f t="shared" si="194"/>
        <v/>
      </c>
      <c r="J2476" s="91" t="str">
        <f t="shared" si="195"/>
        <v/>
      </c>
      <c r="K2476" s="92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2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58"/>
      <c r="U2476" s="217" t="str">
        <f t="shared" si="196"/>
        <v/>
      </c>
      <c r="V2476" s="215" t="s">
        <v>47</v>
      </c>
      <c r="W2476" s="102" t="s">
        <v>136</v>
      </c>
      <c r="X2476" s="102" t="s">
        <v>137</v>
      </c>
      <c r="Y2476" s="103" t="s">
        <v>138</v>
      </c>
      <c r="Z2476" s="103" t="s">
        <v>139</v>
      </c>
      <c r="AA2476" s="103" t="s">
        <v>47</v>
      </c>
      <c r="AB2476" s="103" t="s">
        <v>140</v>
      </c>
      <c r="AC2476" s="104" t="s">
        <v>141</v>
      </c>
    </row>
    <row r="2477" spans="1:29" ht="25.5" customHeight="1" x14ac:dyDescent="0.35">
      <c r="A2477" s="188"/>
      <c r="B2477" s="190"/>
      <c r="C2477" s="99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0"/>
      <c r="E2477" s="78" t="str">
        <f>IF(C2477="","",IFERROR(VLOOKUP(C2477,parametros!$A$11:$E$15,5,0),""))</f>
        <v/>
      </c>
      <c r="F2477" s="79" t="str">
        <f t="shared" si="192"/>
        <v/>
      </c>
      <c r="G2477" s="101"/>
      <c r="H2477" s="91">
        <f t="shared" si="193"/>
        <v>0</v>
      </c>
      <c r="I2477" s="91" t="str">
        <f t="shared" si="194"/>
        <v/>
      </c>
      <c r="J2477" s="91" t="str">
        <f t="shared" si="195"/>
        <v/>
      </c>
      <c r="K2477" s="92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2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58"/>
      <c r="U2477" s="217" t="str">
        <f t="shared" si="196"/>
        <v/>
      </c>
      <c r="V2477" s="215" t="s">
        <v>47</v>
      </c>
      <c r="W2477" s="102" t="s">
        <v>136</v>
      </c>
      <c r="X2477" s="102" t="s">
        <v>137</v>
      </c>
      <c r="Y2477" s="103" t="s">
        <v>138</v>
      </c>
      <c r="Z2477" s="103" t="s">
        <v>139</v>
      </c>
      <c r="AA2477" s="103" t="s">
        <v>47</v>
      </c>
      <c r="AB2477" s="103" t="s">
        <v>140</v>
      </c>
      <c r="AC2477" s="104" t="s">
        <v>141</v>
      </c>
    </row>
    <row r="2478" spans="1:29" ht="25.5" customHeight="1" x14ac:dyDescent="0.35">
      <c r="A2478" s="188"/>
      <c r="B2478" s="190"/>
      <c r="C2478" s="99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0"/>
      <c r="E2478" s="78" t="str">
        <f>IF(C2478="","",IFERROR(VLOOKUP(C2478,parametros!$A$11:$E$15,5,0),""))</f>
        <v/>
      </c>
      <c r="F2478" s="79" t="str">
        <f t="shared" si="192"/>
        <v/>
      </c>
      <c r="G2478" s="101"/>
      <c r="H2478" s="91">
        <f t="shared" si="193"/>
        <v>0</v>
      </c>
      <c r="I2478" s="91" t="str">
        <f t="shared" si="194"/>
        <v/>
      </c>
      <c r="J2478" s="91" t="str">
        <f t="shared" si="195"/>
        <v/>
      </c>
      <c r="K2478" s="92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2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58"/>
      <c r="U2478" s="217" t="str">
        <f t="shared" si="196"/>
        <v/>
      </c>
      <c r="V2478" s="215" t="s">
        <v>47</v>
      </c>
      <c r="W2478" s="102" t="s">
        <v>136</v>
      </c>
      <c r="X2478" s="102" t="s">
        <v>137</v>
      </c>
      <c r="Y2478" s="103" t="s">
        <v>138</v>
      </c>
      <c r="Z2478" s="103" t="s">
        <v>139</v>
      </c>
      <c r="AA2478" s="103" t="s">
        <v>47</v>
      </c>
      <c r="AB2478" s="103" t="s">
        <v>140</v>
      </c>
      <c r="AC2478" s="104" t="s">
        <v>141</v>
      </c>
    </row>
    <row r="2479" spans="1:29" ht="25.5" customHeight="1" x14ac:dyDescent="0.35">
      <c r="A2479" s="188"/>
      <c r="B2479" s="190"/>
      <c r="C2479" s="99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0"/>
      <c r="E2479" s="78" t="str">
        <f>IF(C2479="","",IFERROR(VLOOKUP(C2479,parametros!$A$11:$E$15,5,0),""))</f>
        <v/>
      </c>
      <c r="F2479" s="79" t="str">
        <f t="shared" si="192"/>
        <v/>
      </c>
      <c r="G2479" s="101"/>
      <c r="H2479" s="91">
        <f t="shared" si="193"/>
        <v>0</v>
      </c>
      <c r="I2479" s="91" t="str">
        <f t="shared" si="194"/>
        <v/>
      </c>
      <c r="J2479" s="91" t="str">
        <f t="shared" si="195"/>
        <v/>
      </c>
      <c r="K2479" s="92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2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58"/>
      <c r="U2479" s="217" t="str">
        <f t="shared" si="196"/>
        <v/>
      </c>
      <c r="V2479" s="215" t="s">
        <v>47</v>
      </c>
      <c r="W2479" s="102" t="s">
        <v>136</v>
      </c>
      <c r="X2479" s="102" t="s">
        <v>137</v>
      </c>
      <c r="Y2479" s="103" t="s">
        <v>138</v>
      </c>
      <c r="Z2479" s="103" t="s">
        <v>139</v>
      </c>
      <c r="AA2479" s="103" t="s">
        <v>47</v>
      </c>
      <c r="AB2479" s="103" t="s">
        <v>140</v>
      </c>
      <c r="AC2479" s="104" t="s">
        <v>141</v>
      </c>
    </row>
    <row r="2480" spans="1:29" ht="25.5" customHeight="1" x14ac:dyDescent="0.35">
      <c r="A2480" s="188"/>
      <c r="B2480" s="190"/>
      <c r="C2480" s="99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0"/>
      <c r="E2480" s="78" t="str">
        <f>IF(C2480="","",IFERROR(VLOOKUP(C2480,parametros!$A$11:$E$15,5,0),""))</f>
        <v/>
      </c>
      <c r="F2480" s="79" t="str">
        <f t="shared" si="192"/>
        <v/>
      </c>
      <c r="G2480" s="101"/>
      <c r="H2480" s="91">
        <f t="shared" si="193"/>
        <v>0</v>
      </c>
      <c r="I2480" s="91" t="str">
        <f t="shared" si="194"/>
        <v/>
      </c>
      <c r="J2480" s="91" t="str">
        <f t="shared" si="195"/>
        <v/>
      </c>
      <c r="K2480" s="92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2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58"/>
      <c r="U2480" s="217" t="str">
        <f t="shared" si="196"/>
        <v/>
      </c>
      <c r="V2480" s="215" t="s">
        <v>47</v>
      </c>
      <c r="W2480" s="102" t="s">
        <v>136</v>
      </c>
      <c r="X2480" s="102" t="s">
        <v>137</v>
      </c>
      <c r="Y2480" s="103" t="s">
        <v>138</v>
      </c>
      <c r="Z2480" s="103" t="s">
        <v>139</v>
      </c>
      <c r="AA2480" s="103" t="s">
        <v>47</v>
      </c>
      <c r="AB2480" s="103" t="s">
        <v>140</v>
      </c>
      <c r="AC2480" s="104" t="s">
        <v>141</v>
      </c>
    </row>
    <row r="2481" spans="1:29" ht="25.5" customHeight="1" x14ac:dyDescent="0.35">
      <c r="A2481" s="188"/>
      <c r="B2481" s="190"/>
      <c r="C2481" s="99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0"/>
      <c r="E2481" s="78" t="str">
        <f>IF(C2481="","",IFERROR(VLOOKUP(C2481,parametros!$A$11:$E$15,5,0),""))</f>
        <v/>
      </c>
      <c r="F2481" s="79" t="str">
        <f t="shared" si="192"/>
        <v/>
      </c>
      <c r="G2481" s="101"/>
      <c r="H2481" s="91">
        <f t="shared" si="193"/>
        <v>0</v>
      </c>
      <c r="I2481" s="91" t="str">
        <f t="shared" si="194"/>
        <v/>
      </c>
      <c r="J2481" s="91" t="str">
        <f t="shared" si="195"/>
        <v/>
      </c>
      <c r="K2481" s="92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2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58"/>
      <c r="U2481" s="217" t="str">
        <f t="shared" si="196"/>
        <v/>
      </c>
      <c r="V2481" s="215" t="s">
        <v>47</v>
      </c>
      <c r="W2481" s="102" t="s">
        <v>136</v>
      </c>
      <c r="X2481" s="102" t="s">
        <v>137</v>
      </c>
      <c r="Y2481" s="103" t="s">
        <v>138</v>
      </c>
      <c r="Z2481" s="103" t="s">
        <v>139</v>
      </c>
      <c r="AA2481" s="103" t="s">
        <v>47</v>
      </c>
      <c r="AB2481" s="103" t="s">
        <v>140</v>
      </c>
      <c r="AC2481" s="104" t="s">
        <v>141</v>
      </c>
    </row>
    <row r="2482" spans="1:29" ht="25.5" customHeight="1" x14ac:dyDescent="0.35">
      <c r="A2482" s="188"/>
      <c r="B2482" s="190"/>
      <c r="C2482" s="99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0"/>
      <c r="E2482" s="78" t="str">
        <f>IF(C2482="","",IFERROR(VLOOKUP(C2482,parametros!$A$11:$E$15,5,0),""))</f>
        <v/>
      </c>
      <c r="F2482" s="79" t="str">
        <f t="shared" si="192"/>
        <v/>
      </c>
      <c r="G2482" s="101"/>
      <c r="H2482" s="91">
        <f t="shared" si="193"/>
        <v>0</v>
      </c>
      <c r="I2482" s="91" t="str">
        <f t="shared" si="194"/>
        <v/>
      </c>
      <c r="J2482" s="91" t="str">
        <f t="shared" si="195"/>
        <v/>
      </c>
      <c r="K2482" s="92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2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58"/>
      <c r="U2482" s="217" t="str">
        <f t="shared" si="196"/>
        <v/>
      </c>
      <c r="V2482" s="215" t="s">
        <v>47</v>
      </c>
      <c r="W2482" s="102" t="s">
        <v>136</v>
      </c>
      <c r="X2482" s="102" t="s">
        <v>137</v>
      </c>
      <c r="Y2482" s="103" t="s">
        <v>138</v>
      </c>
      <c r="Z2482" s="103" t="s">
        <v>139</v>
      </c>
      <c r="AA2482" s="103" t="s">
        <v>47</v>
      </c>
      <c r="AB2482" s="103" t="s">
        <v>140</v>
      </c>
      <c r="AC2482" s="104" t="s">
        <v>141</v>
      </c>
    </row>
    <row r="2483" spans="1:29" ht="25.5" customHeight="1" x14ac:dyDescent="0.35">
      <c r="A2483" s="188"/>
      <c r="B2483" s="190"/>
      <c r="C2483" s="99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0"/>
      <c r="E2483" s="78" t="str">
        <f>IF(C2483="","",IFERROR(VLOOKUP(C2483,parametros!$A$11:$E$15,5,0),""))</f>
        <v/>
      </c>
      <c r="F2483" s="79" t="str">
        <f t="shared" si="192"/>
        <v/>
      </c>
      <c r="G2483" s="101"/>
      <c r="H2483" s="91">
        <f t="shared" si="193"/>
        <v>0</v>
      </c>
      <c r="I2483" s="91" t="str">
        <f t="shared" si="194"/>
        <v/>
      </c>
      <c r="J2483" s="91" t="str">
        <f t="shared" si="195"/>
        <v/>
      </c>
      <c r="K2483" s="92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2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58"/>
      <c r="U2483" s="217" t="str">
        <f t="shared" si="196"/>
        <v/>
      </c>
      <c r="V2483" s="215" t="s">
        <v>47</v>
      </c>
      <c r="W2483" s="102" t="s">
        <v>136</v>
      </c>
      <c r="X2483" s="102" t="s">
        <v>137</v>
      </c>
      <c r="Y2483" s="103" t="s">
        <v>138</v>
      </c>
      <c r="Z2483" s="103" t="s">
        <v>139</v>
      </c>
      <c r="AA2483" s="103" t="s">
        <v>47</v>
      </c>
      <c r="AB2483" s="103" t="s">
        <v>140</v>
      </c>
      <c r="AC2483" s="104" t="s">
        <v>141</v>
      </c>
    </row>
    <row r="2484" spans="1:29" ht="25.5" customHeight="1" x14ac:dyDescent="0.35">
      <c r="A2484" s="188"/>
      <c r="B2484" s="190"/>
      <c r="C2484" s="99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0"/>
      <c r="E2484" s="78" t="str">
        <f>IF(C2484="","",IFERROR(VLOOKUP(C2484,parametros!$A$11:$E$15,5,0),""))</f>
        <v/>
      </c>
      <c r="F2484" s="79" t="str">
        <f t="shared" si="192"/>
        <v/>
      </c>
      <c r="G2484" s="101"/>
      <c r="H2484" s="91">
        <f t="shared" si="193"/>
        <v>0</v>
      </c>
      <c r="I2484" s="91" t="str">
        <f t="shared" si="194"/>
        <v/>
      </c>
      <c r="J2484" s="91" t="str">
        <f t="shared" si="195"/>
        <v/>
      </c>
      <c r="K2484" s="92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2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58"/>
      <c r="U2484" s="217" t="str">
        <f t="shared" si="196"/>
        <v/>
      </c>
      <c r="V2484" s="215" t="s">
        <v>47</v>
      </c>
      <c r="W2484" s="102" t="s">
        <v>136</v>
      </c>
      <c r="X2484" s="102" t="s">
        <v>137</v>
      </c>
      <c r="Y2484" s="103" t="s">
        <v>138</v>
      </c>
      <c r="Z2484" s="103" t="s">
        <v>139</v>
      </c>
      <c r="AA2484" s="103" t="s">
        <v>47</v>
      </c>
      <c r="AB2484" s="103" t="s">
        <v>140</v>
      </c>
      <c r="AC2484" s="104" t="s">
        <v>141</v>
      </c>
    </row>
    <row r="2485" spans="1:29" ht="25.5" customHeight="1" x14ac:dyDescent="0.35">
      <c r="A2485" s="188"/>
      <c r="B2485" s="190"/>
      <c r="C2485" s="99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0"/>
      <c r="E2485" s="78" t="str">
        <f>IF(C2485="","",IFERROR(VLOOKUP(C2485,parametros!$A$11:$E$15,5,0),""))</f>
        <v/>
      </c>
      <c r="F2485" s="79" t="str">
        <f t="shared" si="192"/>
        <v/>
      </c>
      <c r="G2485" s="101"/>
      <c r="H2485" s="91">
        <f t="shared" si="193"/>
        <v>0</v>
      </c>
      <c r="I2485" s="91" t="str">
        <f t="shared" si="194"/>
        <v/>
      </c>
      <c r="J2485" s="91" t="str">
        <f t="shared" si="195"/>
        <v/>
      </c>
      <c r="K2485" s="92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2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58"/>
      <c r="U2485" s="217" t="str">
        <f t="shared" si="196"/>
        <v/>
      </c>
      <c r="V2485" s="215" t="s">
        <v>47</v>
      </c>
      <c r="W2485" s="102" t="s">
        <v>136</v>
      </c>
      <c r="X2485" s="102" t="s">
        <v>137</v>
      </c>
      <c r="Y2485" s="103" t="s">
        <v>138</v>
      </c>
      <c r="Z2485" s="103" t="s">
        <v>139</v>
      </c>
      <c r="AA2485" s="103" t="s">
        <v>47</v>
      </c>
      <c r="AB2485" s="103" t="s">
        <v>140</v>
      </c>
      <c r="AC2485" s="104" t="s">
        <v>141</v>
      </c>
    </row>
    <row r="2486" spans="1:29" ht="25.5" customHeight="1" x14ac:dyDescent="0.35">
      <c r="A2486" s="188"/>
      <c r="B2486" s="190"/>
      <c r="C2486" s="99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0"/>
      <c r="E2486" s="78" t="str">
        <f>IF(C2486="","",IFERROR(VLOOKUP(C2486,parametros!$A$11:$E$15,5,0),""))</f>
        <v/>
      </c>
      <c r="F2486" s="79" t="str">
        <f t="shared" si="192"/>
        <v/>
      </c>
      <c r="G2486" s="101"/>
      <c r="H2486" s="91">
        <f t="shared" si="193"/>
        <v>0</v>
      </c>
      <c r="I2486" s="91" t="str">
        <f t="shared" si="194"/>
        <v/>
      </c>
      <c r="J2486" s="91" t="str">
        <f t="shared" si="195"/>
        <v/>
      </c>
      <c r="K2486" s="92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2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58"/>
      <c r="U2486" s="217" t="str">
        <f t="shared" si="196"/>
        <v/>
      </c>
      <c r="V2486" s="215" t="s">
        <v>47</v>
      </c>
      <c r="W2486" s="102" t="s">
        <v>136</v>
      </c>
      <c r="X2486" s="102" t="s">
        <v>137</v>
      </c>
      <c r="Y2486" s="103" t="s">
        <v>138</v>
      </c>
      <c r="Z2486" s="103" t="s">
        <v>139</v>
      </c>
      <c r="AA2486" s="103" t="s">
        <v>47</v>
      </c>
      <c r="AB2486" s="103" t="s">
        <v>140</v>
      </c>
      <c r="AC2486" s="104" t="s">
        <v>141</v>
      </c>
    </row>
    <row r="2487" spans="1:29" ht="25.5" customHeight="1" x14ac:dyDescent="0.35">
      <c r="A2487" s="188"/>
      <c r="B2487" s="190"/>
      <c r="C2487" s="99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0"/>
      <c r="E2487" s="78" t="str">
        <f>IF(C2487="","",IFERROR(VLOOKUP(C2487,parametros!$A$11:$E$15,5,0),""))</f>
        <v/>
      </c>
      <c r="F2487" s="79" t="str">
        <f t="shared" si="192"/>
        <v/>
      </c>
      <c r="G2487" s="101"/>
      <c r="H2487" s="91">
        <f t="shared" si="193"/>
        <v>0</v>
      </c>
      <c r="I2487" s="91" t="str">
        <f t="shared" si="194"/>
        <v/>
      </c>
      <c r="J2487" s="91" t="str">
        <f t="shared" si="195"/>
        <v/>
      </c>
      <c r="K2487" s="92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2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58"/>
      <c r="U2487" s="217" t="str">
        <f t="shared" si="196"/>
        <v/>
      </c>
      <c r="V2487" s="215" t="s">
        <v>47</v>
      </c>
      <c r="W2487" s="102" t="s">
        <v>136</v>
      </c>
      <c r="X2487" s="102" t="s">
        <v>137</v>
      </c>
      <c r="Y2487" s="103" t="s">
        <v>138</v>
      </c>
      <c r="Z2487" s="103" t="s">
        <v>139</v>
      </c>
      <c r="AA2487" s="103" t="s">
        <v>47</v>
      </c>
      <c r="AB2487" s="103" t="s">
        <v>140</v>
      </c>
      <c r="AC2487" s="104" t="s">
        <v>141</v>
      </c>
    </row>
    <row r="2488" spans="1:29" ht="25.5" customHeight="1" x14ac:dyDescent="0.35">
      <c r="A2488" s="188"/>
      <c r="B2488" s="190"/>
      <c r="C2488" s="99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0"/>
      <c r="E2488" s="78" t="str">
        <f>IF(C2488="","",IFERROR(VLOOKUP(C2488,parametros!$A$11:$E$15,5,0),""))</f>
        <v/>
      </c>
      <c r="F2488" s="79" t="str">
        <f t="shared" si="192"/>
        <v/>
      </c>
      <c r="G2488" s="101"/>
      <c r="H2488" s="91">
        <f t="shared" si="193"/>
        <v>0</v>
      </c>
      <c r="I2488" s="91" t="str">
        <f t="shared" si="194"/>
        <v/>
      </c>
      <c r="J2488" s="91" t="str">
        <f t="shared" si="195"/>
        <v/>
      </c>
      <c r="K2488" s="92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2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58"/>
      <c r="U2488" s="217" t="str">
        <f t="shared" si="196"/>
        <v/>
      </c>
      <c r="V2488" s="215" t="s">
        <v>47</v>
      </c>
      <c r="W2488" s="102" t="s">
        <v>136</v>
      </c>
      <c r="X2488" s="102" t="s">
        <v>137</v>
      </c>
      <c r="Y2488" s="103" t="s">
        <v>138</v>
      </c>
      <c r="Z2488" s="103" t="s">
        <v>139</v>
      </c>
      <c r="AA2488" s="103" t="s">
        <v>47</v>
      </c>
      <c r="AB2488" s="103" t="s">
        <v>140</v>
      </c>
      <c r="AC2488" s="104" t="s">
        <v>141</v>
      </c>
    </row>
    <row r="2489" spans="1:29" ht="25.5" customHeight="1" x14ac:dyDescent="0.35">
      <c r="A2489" s="188"/>
      <c r="B2489" s="190"/>
      <c r="C2489" s="99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0"/>
      <c r="E2489" s="78" t="str">
        <f>IF(C2489="","",IFERROR(VLOOKUP(C2489,parametros!$A$11:$E$15,5,0),""))</f>
        <v/>
      </c>
      <c r="F2489" s="79" t="str">
        <f t="shared" si="192"/>
        <v/>
      </c>
      <c r="G2489" s="101"/>
      <c r="H2489" s="91">
        <f t="shared" si="193"/>
        <v>0</v>
      </c>
      <c r="I2489" s="91" t="str">
        <f t="shared" si="194"/>
        <v/>
      </c>
      <c r="J2489" s="91" t="str">
        <f t="shared" si="195"/>
        <v/>
      </c>
      <c r="K2489" s="92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2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58"/>
      <c r="U2489" s="217" t="str">
        <f t="shared" si="196"/>
        <v/>
      </c>
      <c r="V2489" s="215" t="s">
        <v>47</v>
      </c>
      <c r="W2489" s="102" t="s">
        <v>136</v>
      </c>
      <c r="X2489" s="102" t="s">
        <v>137</v>
      </c>
      <c r="Y2489" s="103" t="s">
        <v>138</v>
      </c>
      <c r="Z2489" s="103" t="s">
        <v>139</v>
      </c>
      <c r="AA2489" s="103" t="s">
        <v>47</v>
      </c>
      <c r="AB2489" s="103" t="s">
        <v>140</v>
      </c>
      <c r="AC2489" s="104" t="s">
        <v>141</v>
      </c>
    </row>
    <row r="2490" spans="1:29" ht="25.5" customHeight="1" x14ac:dyDescent="0.35">
      <c r="A2490" s="188"/>
      <c r="B2490" s="190"/>
      <c r="C2490" s="99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0"/>
      <c r="E2490" s="78" t="str">
        <f>IF(C2490="","",IFERROR(VLOOKUP(C2490,parametros!$A$11:$E$15,5,0),""))</f>
        <v/>
      </c>
      <c r="F2490" s="79" t="str">
        <f t="shared" si="192"/>
        <v/>
      </c>
      <c r="G2490" s="101"/>
      <c r="H2490" s="91">
        <f t="shared" si="193"/>
        <v>0</v>
      </c>
      <c r="I2490" s="91" t="str">
        <f t="shared" si="194"/>
        <v/>
      </c>
      <c r="J2490" s="91" t="str">
        <f t="shared" si="195"/>
        <v/>
      </c>
      <c r="K2490" s="92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2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58"/>
      <c r="U2490" s="217" t="str">
        <f t="shared" si="196"/>
        <v/>
      </c>
      <c r="V2490" s="215" t="s">
        <v>47</v>
      </c>
      <c r="W2490" s="102" t="s">
        <v>136</v>
      </c>
      <c r="X2490" s="102" t="s">
        <v>137</v>
      </c>
      <c r="Y2490" s="103" t="s">
        <v>138</v>
      </c>
      <c r="Z2490" s="103" t="s">
        <v>139</v>
      </c>
      <c r="AA2490" s="103" t="s">
        <v>47</v>
      </c>
      <c r="AB2490" s="103" t="s">
        <v>140</v>
      </c>
      <c r="AC2490" s="104" t="s">
        <v>141</v>
      </c>
    </row>
    <row r="2491" spans="1:29" ht="25.5" customHeight="1" x14ac:dyDescent="0.35">
      <c r="A2491" s="188"/>
      <c r="B2491" s="190"/>
      <c r="C2491" s="99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0"/>
      <c r="E2491" s="78" t="str">
        <f>IF(C2491="","",IFERROR(VLOOKUP(C2491,parametros!$A$11:$E$15,5,0),""))</f>
        <v/>
      </c>
      <c r="F2491" s="79" t="str">
        <f t="shared" si="192"/>
        <v/>
      </c>
      <c r="G2491" s="101"/>
      <c r="H2491" s="91">
        <f t="shared" si="193"/>
        <v>0</v>
      </c>
      <c r="I2491" s="91" t="str">
        <f t="shared" si="194"/>
        <v/>
      </c>
      <c r="J2491" s="91" t="str">
        <f t="shared" si="195"/>
        <v/>
      </c>
      <c r="K2491" s="92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2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58"/>
      <c r="U2491" s="217" t="str">
        <f t="shared" si="196"/>
        <v/>
      </c>
      <c r="V2491" s="215" t="s">
        <v>47</v>
      </c>
      <c r="W2491" s="102" t="s">
        <v>136</v>
      </c>
      <c r="X2491" s="102" t="s">
        <v>137</v>
      </c>
      <c r="Y2491" s="103" t="s">
        <v>138</v>
      </c>
      <c r="Z2491" s="103" t="s">
        <v>139</v>
      </c>
      <c r="AA2491" s="103" t="s">
        <v>47</v>
      </c>
      <c r="AB2491" s="103" t="s">
        <v>140</v>
      </c>
      <c r="AC2491" s="104" t="s">
        <v>141</v>
      </c>
    </row>
    <row r="2492" spans="1:29" ht="25.5" customHeight="1" x14ac:dyDescent="0.35">
      <c r="A2492" s="188"/>
      <c r="B2492" s="190"/>
      <c r="C2492" s="99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0"/>
      <c r="E2492" s="78" t="str">
        <f>IF(C2492="","",IFERROR(VLOOKUP(C2492,parametros!$A$11:$E$15,5,0),""))</f>
        <v/>
      </c>
      <c r="F2492" s="79" t="str">
        <f t="shared" si="192"/>
        <v/>
      </c>
      <c r="G2492" s="101"/>
      <c r="H2492" s="91">
        <f t="shared" si="193"/>
        <v>0</v>
      </c>
      <c r="I2492" s="91" t="str">
        <f t="shared" si="194"/>
        <v/>
      </c>
      <c r="J2492" s="91" t="str">
        <f t="shared" si="195"/>
        <v/>
      </c>
      <c r="K2492" s="92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2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58"/>
      <c r="U2492" s="217" t="str">
        <f t="shared" si="196"/>
        <v/>
      </c>
      <c r="V2492" s="215" t="s">
        <v>47</v>
      </c>
      <c r="W2492" s="102" t="s">
        <v>136</v>
      </c>
      <c r="X2492" s="102" t="s">
        <v>137</v>
      </c>
      <c r="Y2492" s="103" t="s">
        <v>138</v>
      </c>
      <c r="Z2492" s="103" t="s">
        <v>139</v>
      </c>
      <c r="AA2492" s="103" t="s">
        <v>47</v>
      </c>
      <c r="AB2492" s="103" t="s">
        <v>140</v>
      </c>
      <c r="AC2492" s="104" t="s">
        <v>141</v>
      </c>
    </row>
    <row r="2493" spans="1:29" ht="25.5" customHeight="1" x14ac:dyDescent="0.35">
      <c r="A2493" s="188"/>
      <c r="B2493" s="190"/>
      <c r="C2493" s="99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0"/>
      <c r="E2493" s="78" t="str">
        <f>IF(C2493="","",IFERROR(VLOOKUP(C2493,parametros!$A$11:$E$15,5,0),""))</f>
        <v/>
      </c>
      <c r="F2493" s="79" t="str">
        <f t="shared" si="192"/>
        <v/>
      </c>
      <c r="G2493" s="101"/>
      <c r="H2493" s="91">
        <f t="shared" si="193"/>
        <v>0</v>
      </c>
      <c r="I2493" s="91" t="str">
        <f t="shared" si="194"/>
        <v/>
      </c>
      <c r="J2493" s="91" t="str">
        <f t="shared" si="195"/>
        <v/>
      </c>
      <c r="K2493" s="92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2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58"/>
      <c r="U2493" s="217" t="str">
        <f t="shared" si="196"/>
        <v/>
      </c>
      <c r="V2493" s="215" t="s">
        <v>47</v>
      </c>
      <c r="W2493" s="102" t="s">
        <v>136</v>
      </c>
      <c r="X2493" s="102" t="s">
        <v>137</v>
      </c>
      <c r="Y2493" s="103" t="s">
        <v>138</v>
      </c>
      <c r="Z2493" s="103" t="s">
        <v>139</v>
      </c>
      <c r="AA2493" s="103" t="s">
        <v>47</v>
      </c>
      <c r="AB2493" s="103" t="s">
        <v>140</v>
      </c>
      <c r="AC2493" s="104" t="s">
        <v>141</v>
      </c>
    </row>
    <row r="2494" spans="1:29" ht="25.5" customHeight="1" x14ac:dyDescent="0.35">
      <c r="A2494" s="188"/>
      <c r="B2494" s="190"/>
      <c r="C2494" s="99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0"/>
      <c r="E2494" s="78" t="str">
        <f>IF(C2494="","",IFERROR(VLOOKUP(C2494,parametros!$A$11:$E$15,5,0),""))</f>
        <v/>
      </c>
      <c r="F2494" s="79" t="str">
        <f t="shared" si="192"/>
        <v/>
      </c>
      <c r="G2494" s="101"/>
      <c r="H2494" s="91">
        <f t="shared" si="193"/>
        <v>0</v>
      </c>
      <c r="I2494" s="91" t="str">
        <f t="shared" si="194"/>
        <v/>
      </c>
      <c r="J2494" s="91" t="str">
        <f t="shared" si="195"/>
        <v/>
      </c>
      <c r="K2494" s="92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2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58"/>
      <c r="U2494" s="217" t="str">
        <f t="shared" si="196"/>
        <v/>
      </c>
      <c r="V2494" s="215" t="s">
        <v>47</v>
      </c>
      <c r="W2494" s="102" t="s">
        <v>136</v>
      </c>
      <c r="X2494" s="102" t="s">
        <v>137</v>
      </c>
      <c r="Y2494" s="103" t="s">
        <v>138</v>
      </c>
      <c r="Z2494" s="103" t="s">
        <v>139</v>
      </c>
      <c r="AA2494" s="103" t="s">
        <v>47</v>
      </c>
      <c r="AB2494" s="103" t="s">
        <v>140</v>
      </c>
      <c r="AC2494" s="104" t="s">
        <v>141</v>
      </c>
    </row>
    <row r="2495" spans="1:29" ht="25.5" customHeight="1" x14ac:dyDescent="0.35">
      <c r="A2495" s="188"/>
      <c r="B2495" s="190"/>
      <c r="C2495" s="99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0"/>
      <c r="E2495" s="78" t="str">
        <f>IF(C2495="","",IFERROR(VLOOKUP(C2495,parametros!$A$11:$E$15,5,0),""))</f>
        <v/>
      </c>
      <c r="F2495" s="79" t="str">
        <f t="shared" si="192"/>
        <v/>
      </c>
      <c r="G2495" s="101"/>
      <c r="H2495" s="91">
        <f t="shared" si="193"/>
        <v>0</v>
      </c>
      <c r="I2495" s="91" t="str">
        <f t="shared" si="194"/>
        <v/>
      </c>
      <c r="J2495" s="91" t="str">
        <f t="shared" si="195"/>
        <v/>
      </c>
      <c r="K2495" s="92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2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58"/>
      <c r="U2495" s="217" t="str">
        <f t="shared" si="196"/>
        <v/>
      </c>
      <c r="V2495" s="215" t="s">
        <v>47</v>
      </c>
      <c r="W2495" s="102" t="s">
        <v>136</v>
      </c>
      <c r="X2495" s="102" t="s">
        <v>137</v>
      </c>
      <c r="Y2495" s="103" t="s">
        <v>138</v>
      </c>
      <c r="Z2495" s="103" t="s">
        <v>139</v>
      </c>
      <c r="AA2495" s="103" t="s">
        <v>47</v>
      </c>
      <c r="AB2495" s="103" t="s">
        <v>140</v>
      </c>
      <c r="AC2495" s="104" t="s">
        <v>141</v>
      </c>
    </row>
    <row r="2496" spans="1:29" ht="25.5" customHeight="1" x14ac:dyDescent="0.35">
      <c r="A2496" s="188"/>
      <c r="B2496" s="190"/>
      <c r="C2496" s="99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0"/>
      <c r="E2496" s="78" t="str">
        <f>IF(C2496="","",IFERROR(VLOOKUP(C2496,parametros!$A$11:$E$15,5,0),""))</f>
        <v/>
      </c>
      <c r="F2496" s="79" t="str">
        <f t="shared" si="192"/>
        <v/>
      </c>
      <c r="G2496" s="101"/>
      <c r="H2496" s="91">
        <f t="shared" si="193"/>
        <v>0</v>
      </c>
      <c r="I2496" s="91" t="str">
        <f t="shared" si="194"/>
        <v/>
      </c>
      <c r="J2496" s="91" t="str">
        <f t="shared" si="195"/>
        <v/>
      </c>
      <c r="K2496" s="92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2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58"/>
      <c r="U2496" s="217" t="str">
        <f t="shared" si="196"/>
        <v/>
      </c>
      <c r="V2496" s="215" t="s">
        <v>47</v>
      </c>
      <c r="W2496" s="102" t="s">
        <v>136</v>
      </c>
      <c r="X2496" s="102" t="s">
        <v>137</v>
      </c>
      <c r="Y2496" s="103" t="s">
        <v>138</v>
      </c>
      <c r="Z2496" s="103" t="s">
        <v>139</v>
      </c>
      <c r="AA2496" s="103" t="s">
        <v>47</v>
      </c>
      <c r="AB2496" s="103" t="s">
        <v>140</v>
      </c>
      <c r="AC2496" s="104" t="s">
        <v>141</v>
      </c>
    </row>
    <row r="2497" spans="1:29" ht="25.5" customHeight="1" x14ac:dyDescent="0.35">
      <c r="A2497" s="188"/>
      <c r="B2497" s="190"/>
      <c r="C2497" s="99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0"/>
      <c r="E2497" s="78" t="str">
        <f>IF(C2497="","",IFERROR(VLOOKUP(C2497,parametros!$A$11:$E$15,5,0),""))</f>
        <v/>
      </c>
      <c r="F2497" s="79" t="str">
        <f t="shared" si="192"/>
        <v/>
      </c>
      <c r="G2497" s="101"/>
      <c r="H2497" s="91">
        <f t="shared" si="193"/>
        <v>0</v>
      </c>
      <c r="I2497" s="91" t="str">
        <f t="shared" si="194"/>
        <v/>
      </c>
      <c r="J2497" s="91" t="str">
        <f t="shared" si="195"/>
        <v/>
      </c>
      <c r="K2497" s="92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2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58"/>
      <c r="U2497" s="217" t="str">
        <f t="shared" si="196"/>
        <v/>
      </c>
      <c r="V2497" s="215" t="s">
        <v>47</v>
      </c>
      <c r="W2497" s="102" t="s">
        <v>136</v>
      </c>
      <c r="X2497" s="102" t="s">
        <v>137</v>
      </c>
      <c r="Y2497" s="103" t="s">
        <v>138</v>
      </c>
      <c r="Z2497" s="103" t="s">
        <v>139</v>
      </c>
      <c r="AA2497" s="103" t="s">
        <v>47</v>
      </c>
      <c r="AB2497" s="103" t="s">
        <v>140</v>
      </c>
      <c r="AC2497" s="104" t="s">
        <v>141</v>
      </c>
    </row>
    <row r="2498" spans="1:29" ht="25.5" customHeight="1" x14ac:dyDescent="0.35">
      <c r="A2498" s="188"/>
      <c r="B2498" s="190"/>
      <c r="C2498" s="99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0"/>
      <c r="E2498" s="78" t="str">
        <f>IF(C2498="","",IFERROR(VLOOKUP(C2498,parametros!$A$11:$E$15,5,0),""))</f>
        <v/>
      </c>
      <c r="F2498" s="79" t="str">
        <f t="shared" ref="F2498:F2561" si="197">IF(OR(D2498="",E2498=""),"",ROUND(D2498*E2498,2))</f>
        <v/>
      </c>
      <c r="G2498" s="101"/>
      <c r="H2498" s="91">
        <f t="shared" ref="H2498:H2561" si="198">IF(G2498="Sim",IF(OR(F2498="",D2498="",L2498=""),"",IF(L2498="Sim",ROUND(F2498-D2498,2),0)),0)</f>
        <v>0</v>
      </c>
      <c r="I2498" s="91" t="str">
        <f t="shared" ref="I2498:I2561" si="199">IF(G2498="Sim",0,IF(OR(F2498="",L2498=""),"",F2498))</f>
        <v/>
      </c>
      <c r="J2498" s="91" t="str">
        <f t="shared" ref="J2498:J2561" si="200">IF(G2498="Sim",0,IF(OR(F2498="",D2498="",L2498=""),"",IF(L2498="Sim",ROUND(F2498-D2498,2),0)))</f>
        <v/>
      </c>
      <c r="K2498" s="92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2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58"/>
      <c r="U2498" s="217" t="str">
        <f t="shared" ref="U2498:U2561" si="201">IF(OR($D2498="",$H2498=""),"",ROUND($D2498+$H2498,2))</f>
        <v/>
      </c>
      <c r="V2498" s="215" t="s">
        <v>47</v>
      </c>
      <c r="W2498" s="102" t="s">
        <v>136</v>
      </c>
      <c r="X2498" s="102" t="s">
        <v>137</v>
      </c>
      <c r="Y2498" s="103" t="s">
        <v>138</v>
      </c>
      <c r="Z2498" s="103" t="s">
        <v>139</v>
      </c>
      <c r="AA2498" s="103" t="s">
        <v>47</v>
      </c>
      <c r="AB2498" s="103" t="s">
        <v>140</v>
      </c>
      <c r="AC2498" s="104" t="s">
        <v>141</v>
      </c>
    </row>
    <row r="2499" spans="1:29" ht="25.5" customHeight="1" x14ac:dyDescent="0.35">
      <c r="A2499" s="188"/>
      <c r="B2499" s="190"/>
      <c r="C2499" s="99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0"/>
      <c r="E2499" s="78" t="str">
        <f>IF(C2499="","",IFERROR(VLOOKUP(C2499,parametros!$A$11:$E$15,5,0),""))</f>
        <v/>
      </c>
      <c r="F2499" s="79" t="str">
        <f t="shared" si="197"/>
        <v/>
      </c>
      <c r="G2499" s="101"/>
      <c r="H2499" s="91">
        <f t="shared" si="198"/>
        <v>0</v>
      </c>
      <c r="I2499" s="91" t="str">
        <f t="shared" si="199"/>
        <v/>
      </c>
      <c r="J2499" s="91" t="str">
        <f t="shared" si="200"/>
        <v/>
      </c>
      <c r="K2499" s="92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2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58"/>
      <c r="U2499" s="217" t="str">
        <f t="shared" si="201"/>
        <v/>
      </c>
      <c r="V2499" s="215" t="s">
        <v>47</v>
      </c>
      <c r="W2499" s="102" t="s">
        <v>136</v>
      </c>
      <c r="X2499" s="102" t="s">
        <v>137</v>
      </c>
      <c r="Y2499" s="103" t="s">
        <v>138</v>
      </c>
      <c r="Z2499" s="103" t="s">
        <v>139</v>
      </c>
      <c r="AA2499" s="103" t="s">
        <v>47</v>
      </c>
      <c r="AB2499" s="103" t="s">
        <v>140</v>
      </c>
      <c r="AC2499" s="104" t="s">
        <v>141</v>
      </c>
    </row>
    <row r="2500" spans="1:29" ht="25.5" customHeight="1" x14ac:dyDescent="0.35">
      <c r="A2500" s="188"/>
      <c r="B2500" s="190"/>
      <c r="C2500" s="99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0"/>
      <c r="E2500" s="78" t="str">
        <f>IF(C2500="","",IFERROR(VLOOKUP(C2500,parametros!$A$11:$E$15,5,0),""))</f>
        <v/>
      </c>
      <c r="F2500" s="79" t="str">
        <f t="shared" si="197"/>
        <v/>
      </c>
      <c r="G2500" s="101"/>
      <c r="H2500" s="91">
        <f t="shared" si="198"/>
        <v>0</v>
      </c>
      <c r="I2500" s="91" t="str">
        <f t="shared" si="199"/>
        <v/>
      </c>
      <c r="J2500" s="91" t="str">
        <f t="shared" si="200"/>
        <v/>
      </c>
      <c r="K2500" s="92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2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58"/>
      <c r="U2500" s="217" t="str">
        <f t="shared" si="201"/>
        <v/>
      </c>
      <c r="V2500" s="215" t="s">
        <v>47</v>
      </c>
      <c r="W2500" s="102" t="s">
        <v>136</v>
      </c>
      <c r="X2500" s="102" t="s">
        <v>137</v>
      </c>
      <c r="Y2500" s="103" t="s">
        <v>138</v>
      </c>
      <c r="Z2500" s="103" t="s">
        <v>139</v>
      </c>
      <c r="AA2500" s="103" t="s">
        <v>47</v>
      </c>
      <c r="AB2500" s="103" t="s">
        <v>140</v>
      </c>
      <c r="AC2500" s="104" t="s">
        <v>141</v>
      </c>
    </row>
    <row r="2501" spans="1:29" ht="25.5" customHeight="1" x14ac:dyDescent="0.35">
      <c r="A2501" s="188"/>
      <c r="B2501" s="190"/>
      <c r="C2501" s="99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0"/>
      <c r="E2501" s="78" t="str">
        <f>IF(C2501="","",IFERROR(VLOOKUP(C2501,parametros!$A$11:$E$15,5,0),""))</f>
        <v/>
      </c>
      <c r="F2501" s="79" t="str">
        <f t="shared" si="197"/>
        <v/>
      </c>
      <c r="G2501" s="101"/>
      <c r="H2501" s="91">
        <f t="shared" si="198"/>
        <v>0</v>
      </c>
      <c r="I2501" s="91" t="str">
        <f t="shared" si="199"/>
        <v/>
      </c>
      <c r="J2501" s="91" t="str">
        <f t="shared" si="200"/>
        <v/>
      </c>
      <c r="K2501" s="92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2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58"/>
      <c r="U2501" s="217" t="str">
        <f t="shared" si="201"/>
        <v/>
      </c>
      <c r="V2501" s="215" t="s">
        <v>47</v>
      </c>
      <c r="W2501" s="102" t="s">
        <v>136</v>
      </c>
      <c r="X2501" s="102" t="s">
        <v>137</v>
      </c>
      <c r="Y2501" s="103" t="s">
        <v>138</v>
      </c>
      <c r="Z2501" s="103" t="s">
        <v>139</v>
      </c>
      <c r="AA2501" s="103" t="s">
        <v>47</v>
      </c>
      <c r="AB2501" s="103" t="s">
        <v>140</v>
      </c>
      <c r="AC2501" s="104" t="s">
        <v>141</v>
      </c>
    </row>
    <row r="2502" spans="1:29" ht="25.5" customHeight="1" x14ac:dyDescent="0.35">
      <c r="A2502" s="188"/>
      <c r="B2502" s="190"/>
      <c r="C2502" s="99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0"/>
      <c r="E2502" s="78" t="str">
        <f>IF(C2502="","",IFERROR(VLOOKUP(C2502,parametros!$A$11:$E$15,5,0),""))</f>
        <v/>
      </c>
      <c r="F2502" s="79" t="str">
        <f t="shared" si="197"/>
        <v/>
      </c>
      <c r="G2502" s="101"/>
      <c r="H2502" s="91">
        <f t="shared" si="198"/>
        <v>0</v>
      </c>
      <c r="I2502" s="91" t="str">
        <f t="shared" si="199"/>
        <v/>
      </c>
      <c r="J2502" s="91" t="str">
        <f t="shared" si="200"/>
        <v/>
      </c>
      <c r="K2502" s="92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2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58"/>
      <c r="U2502" s="217" t="str">
        <f t="shared" si="201"/>
        <v/>
      </c>
      <c r="V2502" s="215" t="s">
        <v>47</v>
      </c>
      <c r="W2502" s="102" t="s">
        <v>136</v>
      </c>
      <c r="X2502" s="102" t="s">
        <v>137</v>
      </c>
      <c r="Y2502" s="103" t="s">
        <v>138</v>
      </c>
      <c r="Z2502" s="103" t="s">
        <v>139</v>
      </c>
      <c r="AA2502" s="103" t="s">
        <v>47</v>
      </c>
      <c r="AB2502" s="103" t="s">
        <v>140</v>
      </c>
      <c r="AC2502" s="104" t="s">
        <v>141</v>
      </c>
    </row>
    <row r="2503" spans="1:29" ht="25.5" customHeight="1" x14ac:dyDescent="0.35">
      <c r="A2503" s="188"/>
      <c r="B2503" s="190"/>
      <c r="C2503" s="99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0"/>
      <c r="E2503" s="78" t="str">
        <f>IF(C2503="","",IFERROR(VLOOKUP(C2503,parametros!$A$11:$E$15,5,0),""))</f>
        <v/>
      </c>
      <c r="F2503" s="79" t="str">
        <f t="shared" si="197"/>
        <v/>
      </c>
      <c r="G2503" s="101"/>
      <c r="H2503" s="91">
        <f t="shared" si="198"/>
        <v>0</v>
      </c>
      <c r="I2503" s="91" t="str">
        <f t="shared" si="199"/>
        <v/>
      </c>
      <c r="J2503" s="91" t="str">
        <f t="shared" si="200"/>
        <v/>
      </c>
      <c r="K2503" s="92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2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58"/>
      <c r="U2503" s="217" t="str">
        <f t="shared" si="201"/>
        <v/>
      </c>
      <c r="V2503" s="215" t="s">
        <v>47</v>
      </c>
      <c r="W2503" s="102" t="s">
        <v>136</v>
      </c>
      <c r="X2503" s="102" t="s">
        <v>137</v>
      </c>
      <c r="Y2503" s="103" t="s">
        <v>138</v>
      </c>
      <c r="Z2503" s="103" t="s">
        <v>139</v>
      </c>
      <c r="AA2503" s="103" t="s">
        <v>47</v>
      </c>
      <c r="AB2503" s="103" t="s">
        <v>140</v>
      </c>
      <c r="AC2503" s="104" t="s">
        <v>141</v>
      </c>
    </row>
    <row r="2504" spans="1:29" ht="25.5" customHeight="1" x14ac:dyDescent="0.35">
      <c r="A2504" s="188"/>
      <c r="B2504" s="190"/>
      <c r="C2504" s="99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0"/>
      <c r="E2504" s="78" t="str">
        <f>IF(C2504="","",IFERROR(VLOOKUP(C2504,parametros!$A$11:$E$15,5,0),""))</f>
        <v/>
      </c>
      <c r="F2504" s="79" t="str">
        <f t="shared" si="197"/>
        <v/>
      </c>
      <c r="G2504" s="101"/>
      <c r="H2504" s="91">
        <f t="shared" si="198"/>
        <v>0</v>
      </c>
      <c r="I2504" s="91" t="str">
        <f t="shared" si="199"/>
        <v/>
      </c>
      <c r="J2504" s="91" t="str">
        <f t="shared" si="200"/>
        <v/>
      </c>
      <c r="K2504" s="92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2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58"/>
      <c r="U2504" s="217" t="str">
        <f t="shared" si="201"/>
        <v/>
      </c>
      <c r="V2504" s="215" t="s">
        <v>47</v>
      </c>
      <c r="W2504" s="102" t="s">
        <v>136</v>
      </c>
      <c r="X2504" s="102" t="s">
        <v>137</v>
      </c>
      <c r="Y2504" s="103" t="s">
        <v>138</v>
      </c>
      <c r="Z2504" s="103" t="s">
        <v>139</v>
      </c>
      <c r="AA2504" s="103" t="s">
        <v>47</v>
      </c>
      <c r="AB2504" s="103" t="s">
        <v>140</v>
      </c>
      <c r="AC2504" s="104" t="s">
        <v>141</v>
      </c>
    </row>
    <row r="2505" spans="1:29" ht="25.5" customHeight="1" x14ac:dyDescent="0.35">
      <c r="A2505" s="188"/>
      <c r="B2505" s="190"/>
      <c r="C2505" s="99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0"/>
      <c r="E2505" s="78" t="str">
        <f>IF(C2505="","",IFERROR(VLOOKUP(C2505,parametros!$A$11:$E$15,5,0),""))</f>
        <v/>
      </c>
      <c r="F2505" s="79" t="str">
        <f t="shared" si="197"/>
        <v/>
      </c>
      <c r="G2505" s="101"/>
      <c r="H2505" s="91">
        <f t="shared" si="198"/>
        <v>0</v>
      </c>
      <c r="I2505" s="91" t="str">
        <f t="shared" si="199"/>
        <v/>
      </c>
      <c r="J2505" s="91" t="str">
        <f t="shared" si="200"/>
        <v/>
      </c>
      <c r="K2505" s="92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2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58"/>
      <c r="U2505" s="217" t="str">
        <f t="shared" si="201"/>
        <v/>
      </c>
      <c r="V2505" s="215" t="s">
        <v>47</v>
      </c>
      <c r="W2505" s="102" t="s">
        <v>136</v>
      </c>
      <c r="X2505" s="102" t="s">
        <v>137</v>
      </c>
      <c r="Y2505" s="103" t="s">
        <v>138</v>
      </c>
      <c r="Z2505" s="103" t="s">
        <v>139</v>
      </c>
      <c r="AA2505" s="103" t="s">
        <v>47</v>
      </c>
      <c r="AB2505" s="103" t="s">
        <v>140</v>
      </c>
      <c r="AC2505" s="104" t="s">
        <v>141</v>
      </c>
    </row>
    <row r="2506" spans="1:29" ht="25.5" customHeight="1" x14ac:dyDescent="0.35">
      <c r="A2506" s="188"/>
      <c r="B2506" s="190"/>
      <c r="C2506" s="99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0"/>
      <c r="E2506" s="78" t="str">
        <f>IF(C2506="","",IFERROR(VLOOKUP(C2506,parametros!$A$11:$E$15,5,0),""))</f>
        <v/>
      </c>
      <c r="F2506" s="79" t="str">
        <f t="shared" si="197"/>
        <v/>
      </c>
      <c r="G2506" s="101"/>
      <c r="H2506" s="91">
        <f t="shared" si="198"/>
        <v>0</v>
      </c>
      <c r="I2506" s="91" t="str">
        <f t="shared" si="199"/>
        <v/>
      </c>
      <c r="J2506" s="91" t="str">
        <f t="shared" si="200"/>
        <v/>
      </c>
      <c r="K2506" s="92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2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58"/>
      <c r="U2506" s="217" t="str">
        <f t="shared" si="201"/>
        <v/>
      </c>
      <c r="V2506" s="215" t="s">
        <v>47</v>
      </c>
      <c r="W2506" s="102" t="s">
        <v>136</v>
      </c>
      <c r="X2506" s="102" t="s">
        <v>137</v>
      </c>
      <c r="Y2506" s="103" t="s">
        <v>138</v>
      </c>
      <c r="Z2506" s="103" t="s">
        <v>139</v>
      </c>
      <c r="AA2506" s="103" t="s">
        <v>47</v>
      </c>
      <c r="AB2506" s="103" t="s">
        <v>140</v>
      </c>
      <c r="AC2506" s="104" t="s">
        <v>141</v>
      </c>
    </row>
    <row r="2507" spans="1:29" ht="25.5" customHeight="1" x14ac:dyDescent="0.35">
      <c r="A2507" s="188"/>
      <c r="B2507" s="190"/>
      <c r="C2507" s="99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0"/>
      <c r="E2507" s="78" t="str">
        <f>IF(C2507="","",IFERROR(VLOOKUP(C2507,parametros!$A$11:$E$15,5,0),""))</f>
        <v/>
      </c>
      <c r="F2507" s="79" t="str">
        <f t="shared" si="197"/>
        <v/>
      </c>
      <c r="G2507" s="101"/>
      <c r="H2507" s="91">
        <f t="shared" si="198"/>
        <v>0</v>
      </c>
      <c r="I2507" s="91" t="str">
        <f t="shared" si="199"/>
        <v/>
      </c>
      <c r="J2507" s="91" t="str">
        <f t="shared" si="200"/>
        <v/>
      </c>
      <c r="K2507" s="92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2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58"/>
      <c r="U2507" s="217" t="str">
        <f t="shared" si="201"/>
        <v/>
      </c>
      <c r="V2507" s="215" t="s">
        <v>47</v>
      </c>
      <c r="W2507" s="102" t="s">
        <v>136</v>
      </c>
      <c r="X2507" s="102" t="s">
        <v>137</v>
      </c>
      <c r="Y2507" s="103" t="s">
        <v>138</v>
      </c>
      <c r="Z2507" s="103" t="s">
        <v>139</v>
      </c>
      <c r="AA2507" s="103" t="s">
        <v>47</v>
      </c>
      <c r="AB2507" s="103" t="s">
        <v>140</v>
      </c>
      <c r="AC2507" s="104" t="s">
        <v>141</v>
      </c>
    </row>
    <row r="2508" spans="1:29" ht="25.5" customHeight="1" x14ac:dyDescent="0.35">
      <c r="A2508" s="188"/>
      <c r="B2508" s="190"/>
      <c r="C2508" s="99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0"/>
      <c r="E2508" s="78" t="str">
        <f>IF(C2508="","",IFERROR(VLOOKUP(C2508,parametros!$A$11:$E$15,5,0),""))</f>
        <v/>
      </c>
      <c r="F2508" s="79" t="str">
        <f t="shared" si="197"/>
        <v/>
      </c>
      <c r="G2508" s="101"/>
      <c r="H2508" s="91">
        <f t="shared" si="198"/>
        <v>0</v>
      </c>
      <c r="I2508" s="91" t="str">
        <f t="shared" si="199"/>
        <v/>
      </c>
      <c r="J2508" s="91" t="str">
        <f t="shared" si="200"/>
        <v/>
      </c>
      <c r="K2508" s="92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2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58"/>
      <c r="U2508" s="217" t="str">
        <f t="shared" si="201"/>
        <v/>
      </c>
      <c r="V2508" s="215" t="s">
        <v>47</v>
      </c>
      <c r="W2508" s="102" t="s">
        <v>136</v>
      </c>
      <c r="X2508" s="102" t="s">
        <v>137</v>
      </c>
      <c r="Y2508" s="103" t="s">
        <v>138</v>
      </c>
      <c r="Z2508" s="103" t="s">
        <v>139</v>
      </c>
      <c r="AA2508" s="103" t="s">
        <v>47</v>
      </c>
      <c r="AB2508" s="103" t="s">
        <v>140</v>
      </c>
      <c r="AC2508" s="104" t="s">
        <v>141</v>
      </c>
    </row>
    <row r="2509" spans="1:29" ht="25.5" customHeight="1" x14ac:dyDescent="0.35">
      <c r="A2509" s="188"/>
      <c r="B2509" s="190"/>
      <c r="C2509" s="99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0"/>
      <c r="E2509" s="78" t="str">
        <f>IF(C2509="","",IFERROR(VLOOKUP(C2509,parametros!$A$11:$E$15,5,0),""))</f>
        <v/>
      </c>
      <c r="F2509" s="79" t="str">
        <f t="shared" si="197"/>
        <v/>
      </c>
      <c r="G2509" s="101"/>
      <c r="H2509" s="91">
        <f t="shared" si="198"/>
        <v>0</v>
      </c>
      <c r="I2509" s="91" t="str">
        <f t="shared" si="199"/>
        <v/>
      </c>
      <c r="J2509" s="91" t="str">
        <f t="shared" si="200"/>
        <v/>
      </c>
      <c r="K2509" s="92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2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58"/>
      <c r="U2509" s="217" t="str">
        <f t="shared" si="201"/>
        <v/>
      </c>
      <c r="V2509" s="215" t="s">
        <v>47</v>
      </c>
      <c r="W2509" s="102" t="s">
        <v>136</v>
      </c>
      <c r="X2509" s="102" t="s">
        <v>137</v>
      </c>
      <c r="Y2509" s="103" t="s">
        <v>138</v>
      </c>
      <c r="Z2509" s="103" t="s">
        <v>139</v>
      </c>
      <c r="AA2509" s="103" t="s">
        <v>47</v>
      </c>
      <c r="AB2509" s="103" t="s">
        <v>140</v>
      </c>
      <c r="AC2509" s="104" t="s">
        <v>141</v>
      </c>
    </row>
    <row r="2510" spans="1:29" ht="25.5" customHeight="1" x14ac:dyDescent="0.35">
      <c r="A2510" s="188"/>
      <c r="B2510" s="190"/>
      <c r="C2510" s="99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0"/>
      <c r="E2510" s="78" t="str">
        <f>IF(C2510="","",IFERROR(VLOOKUP(C2510,parametros!$A$11:$E$15,5,0),""))</f>
        <v/>
      </c>
      <c r="F2510" s="79" t="str">
        <f t="shared" si="197"/>
        <v/>
      </c>
      <c r="G2510" s="101"/>
      <c r="H2510" s="91">
        <f t="shared" si="198"/>
        <v>0</v>
      </c>
      <c r="I2510" s="91" t="str">
        <f t="shared" si="199"/>
        <v/>
      </c>
      <c r="J2510" s="91" t="str">
        <f t="shared" si="200"/>
        <v/>
      </c>
      <c r="K2510" s="92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2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58"/>
      <c r="U2510" s="217" t="str">
        <f t="shared" si="201"/>
        <v/>
      </c>
      <c r="V2510" s="215" t="s">
        <v>47</v>
      </c>
      <c r="W2510" s="102" t="s">
        <v>136</v>
      </c>
      <c r="X2510" s="102" t="s">
        <v>137</v>
      </c>
      <c r="Y2510" s="103" t="s">
        <v>138</v>
      </c>
      <c r="Z2510" s="103" t="s">
        <v>139</v>
      </c>
      <c r="AA2510" s="103" t="s">
        <v>47</v>
      </c>
      <c r="AB2510" s="103" t="s">
        <v>140</v>
      </c>
      <c r="AC2510" s="104" t="s">
        <v>141</v>
      </c>
    </row>
    <row r="2511" spans="1:29" ht="25.5" customHeight="1" x14ac:dyDescent="0.35">
      <c r="A2511" s="188"/>
      <c r="B2511" s="190"/>
      <c r="C2511" s="99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0"/>
      <c r="E2511" s="78" t="str">
        <f>IF(C2511="","",IFERROR(VLOOKUP(C2511,parametros!$A$11:$E$15,5,0),""))</f>
        <v/>
      </c>
      <c r="F2511" s="79" t="str">
        <f t="shared" si="197"/>
        <v/>
      </c>
      <c r="G2511" s="101"/>
      <c r="H2511" s="91">
        <f t="shared" si="198"/>
        <v>0</v>
      </c>
      <c r="I2511" s="91" t="str">
        <f t="shared" si="199"/>
        <v/>
      </c>
      <c r="J2511" s="91" t="str">
        <f t="shared" si="200"/>
        <v/>
      </c>
      <c r="K2511" s="92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2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58"/>
      <c r="U2511" s="217" t="str">
        <f t="shared" si="201"/>
        <v/>
      </c>
      <c r="V2511" s="215" t="s">
        <v>47</v>
      </c>
      <c r="W2511" s="102" t="s">
        <v>136</v>
      </c>
      <c r="X2511" s="102" t="s">
        <v>137</v>
      </c>
      <c r="Y2511" s="103" t="s">
        <v>138</v>
      </c>
      <c r="Z2511" s="103" t="s">
        <v>139</v>
      </c>
      <c r="AA2511" s="103" t="s">
        <v>47</v>
      </c>
      <c r="AB2511" s="103" t="s">
        <v>140</v>
      </c>
      <c r="AC2511" s="104" t="s">
        <v>141</v>
      </c>
    </row>
    <row r="2512" spans="1:29" ht="25.5" customHeight="1" x14ac:dyDescent="0.35">
      <c r="A2512" s="188"/>
      <c r="B2512" s="190"/>
      <c r="C2512" s="99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0"/>
      <c r="E2512" s="78" t="str">
        <f>IF(C2512="","",IFERROR(VLOOKUP(C2512,parametros!$A$11:$E$15,5,0),""))</f>
        <v/>
      </c>
      <c r="F2512" s="79" t="str">
        <f t="shared" si="197"/>
        <v/>
      </c>
      <c r="G2512" s="101"/>
      <c r="H2512" s="91">
        <f t="shared" si="198"/>
        <v>0</v>
      </c>
      <c r="I2512" s="91" t="str">
        <f t="shared" si="199"/>
        <v/>
      </c>
      <c r="J2512" s="91" t="str">
        <f t="shared" si="200"/>
        <v/>
      </c>
      <c r="K2512" s="92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2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58"/>
      <c r="U2512" s="217" t="str">
        <f t="shared" si="201"/>
        <v/>
      </c>
      <c r="V2512" s="215" t="s">
        <v>47</v>
      </c>
      <c r="W2512" s="102" t="s">
        <v>136</v>
      </c>
      <c r="X2512" s="102" t="s">
        <v>137</v>
      </c>
      <c r="Y2512" s="103" t="s">
        <v>138</v>
      </c>
      <c r="Z2512" s="103" t="s">
        <v>139</v>
      </c>
      <c r="AA2512" s="103" t="s">
        <v>47</v>
      </c>
      <c r="AB2512" s="103" t="s">
        <v>140</v>
      </c>
      <c r="AC2512" s="104" t="s">
        <v>141</v>
      </c>
    </row>
    <row r="2513" spans="1:29" ht="25.5" customHeight="1" x14ac:dyDescent="0.35">
      <c r="A2513" s="188"/>
      <c r="B2513" s="190"/>
      <c r="C2513" s="99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0"/>
      <c r="E2513" s="78" t="str">
        <f>IF(C2513="","",IFERROR(VLOOKUP(C2513,parametros!$A$11:$E$15,5,0),""))</f>
        <v/>
      </c>
      <c r="F2513" s="79" t="str">
        <f t="shared" si="197"/>
        <v/>
      </c>
      <c r="G2513" s="101"/>
      <c r="H2513" s="91">
        <f t="shared" si="198"/>
        <v>0</v>
      </c>
      <c r="I2513" s="91" t="str">
        <f t="shared" si="199"/>
        <v/>
      </c>
      <c r="J2513" s="91" t="str">
        <f t="shared" si="200"/>
        <v/>
      </c>
      <c r="K2513" s="92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2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58"/>
      <c r="U2513" s="217" t="str">
        <f t="shared" si="201"/>
        <v/>
      </c>
      <c r="V2513" s="215" t="s">
        <v>47</v>
      </c>
      <c r="W2513" s="102" t="s">
        <v>136</v>
      </c>
      <c r="X2513" s="102" t="s">
        <v>137</v>
      </c>
      <c r="Y2513" s="103" t="s">
        <v>138</v>
      </c>
      <c r="Z2513" s="103" t="s">
        <v>139</v>
      </c>
      <c r="AA2513" s="103" t="s">
        <v>47</v>
      </c>
      <c r="AB2513" s="103" t="s">
        <v>140</v>
      </c>
      <c r="AC2513" s="104" t="s">
        <v>141</v>
      </c>
    </row>
    <row r="2514" spans="1:29" ht="25.5" customHeight="1" x14ac:dyDescent="0.35">
      <c r="A2514" s="188"/>
      <c r="B2514" s="190"/>
      <c r="C2514" s="99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0"/>
      <c r="E2514" s="78" t="str">
        <f>IF(C2514="","",IFERROR(VLOOKUP(C2514,parametros!$A$11:$E$15,5,0),""))</f>
        <v/>
      </c>
      <c r="F2514" s="79" t="str">
        <f t="shared" si="197"/>
        <v/>
      </c>
      <c r="G2514" s="101"/>
      <c r="H2514" s="91">
        <f t="shared" si="198"/>
        <v>0</v>
      </c>
      <c r="I2514" s="91" t="str">
        <f t="shared" si="199"/>
        <v/>
      </c>
      <c r="J2514" s="91" t="str">
        <f t="shared" si="200"/>
        <v/>
      </c>
      <c r="K2514" s="92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2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58"/>
      <c r="U2514" s="217" t="str">
        <f t="shared" si="201"/>
        <v/>
      </c>
      <c r="V2514" s="215" t="s">
        <v>47</v>
      </c>
      <c r="W2514" s="102" t="s">
        <v>136</v>
      </c>
      <c r="X2514" s="102" t="s">
        <v>137</v>
      </c>
      <c r="Y2514" s="103" t="s">
        <v>138</v>
      </c>
      <c r="Z2514" s="103" t="s">
        <v>139</v>
      </c>
      <c r="AA2514" s="103" t="s">
        <v>47</v>
      </c>
      <c r="AB2514" s="103" t="s">
        <v>140</v>
      </c>
      <c r="AC2514" s="104" t="s">
        <v>141</v>
      </c>
    </row>
    <row r="2515" spans="1:29" ht="25.5" customHeight="1" x14ac:dyDescent="0.35">
      <c r="A2515" s="188"/>
      <c r="B2515" s="190"/>
      <c r="C2515" s="99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0"/>
      <c r="E2515" s="78" t="str">
        <f>IF(C2515="","",IFERROR(VLOOKUP(C2515,parametros!$A$11:$E$15,5,0),""))</f>
        <v/>
      </c>
      <c r="F2515" s="79" t="str">
        <f t="shared" si="197"/>
        <v/>
      </c>
      <c r="G2515" s="101"/>
      <c r="H2515" s="91">
        <f t="shared" si="198"/>
        <v>0</v>
      </c>
      <c r="I2515" s="91" t="str">
        <f t="shared" si="199"/>
        <v/>
      </c>
      <c r="J2515" s="91" t="str">
        <f t="shared" si="200"/>
        <v/>
      </c>
      <c r="K2515" s="92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2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58"/>
      <c r="U2515" s="217" t="str">
        <f t="shared" si="201"/>
        <v/>
      </c>
      <c r="V2515" s="215" t="s">
        <v>47</v>
      </c>
      <c r="W2515" s="102" t="s">
        <v>136</v>
      </c>
      <c r="X2515" s="102" t="s">
        <v>137</v>
      </c>
      <c r="Y2515" s="103" t="s">
        <v>138</v>
      </c>
      <c r="Z2515" s="103" t="s">
        <v>139</v>
      </c>
      <c r="AA2515" s="103" t="s">
        <v>47</v>
      </c>
      <c r="AB2515" s="103" t="s">
        <v>140</v>
      </c>
      <c r="AC2515" s="104" t="s">
        <v>141</v>
      </c>
    </row>
    <row r="2516" spans="1:29" ht="25.5" customHeight="1" x14ac:dyDescent="0.35">
      <c r="A2516" s="188"/>
      <c r="B2516" s="190"/>
      <c r="C2516" s="99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0"/>
      <c r="E2516" s="78" t="str">
        <f>IF(C2516="","",IFERROR(VLOOKUP(C2516,parametros!$A$11:$E$15,5,0),""))</f>
        <v/>
      </c>
      <c r="F2516" s="79" t="str">
        <f t="shared" si="197"/>
        <v/>
      </c>
      <c r="G2516" s="101"/>
      <c r="H2516" s="91">
        <f t="shared" si="198"/>
        <v>0</v>
      </c>
      <c r="I2516" s="91" t="str">
        <f t="shared" si="199"/>
        <v/>
      </c>
      <c r="J2516" s="91" t="str">
        <f t="shared" si="200"/>
        <v/>
      </c>
      <c r="K2516" s="92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2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58"/>
      <c r="U2516" s="217" t="str">
        <f t="shared" si="201"/>
        <v/>
      </c>
      <c r="V2516" s="215" t="s">
        <v>47</v>
      </c>
      <c r="W2516" s="102" t="s">
        <v>136</v>
      </c>
      <c r="X2516" s="102" t="s">
        <v>137</v>
      </c>
      <c r="Y2516" s="103" t="s">
        <v>138</v>
      </c>
      <c r="Z2516" s="103" t="s">
        <v>139</v>
      </c>
      <c r="AA2516" s="103" t="s">
        <v>47</v>
      </c>
      <c r="AB2516" s="103" t="s">
        <v>140</v>
      </c>
      <c r="AC2516" s="104" t="s">
        <v>141</v>
      </c>
    </row>
    <row r="2517" spans="1:29" ht="25.5" customHeight="1" x14ac:dyDescent="0.35">
      <c r="A2517" s="188"/>
      <c r="B2517" s="190"/>
      <c r="C2517" s="99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0"/>
      <c r="E2517" s="78" t="str">
        <f>IF(C2517="","",IFERROR(VLOOKUP(C2517,parametros!$A$11:$E$15,5,0),""))</f>
        <v/>
      </c>
      <c r="F2517" s="79" t="str">
        <f t="shared" si="197"/>
        <v/>
      </c>
      <c r="G2517" s="101"/>
      <c r="H2517" s="91">
        <f t="shared" si="198"/>
        <v>0</v>
      </c>
      <c r="I2517" s="91" t="str">
        <f t="shared" si="199"/>
        <v/>
      </c>
      <c r="J2517" s="91" t="str">
        <f t="shared" si="200"/>
        <v/>
      </c>
      <c r="K2517" s="92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2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58"/>
      <c r="U2517" s="217" t="str">
        <f t="shared" si="201"/>
        <v/>
      </c>
      <c r="V2517" s="215" t="s">
        <v>47</v>
      </c>
      <c r="W2517" s="102" t="s">
        <v>136</v>
      </c>
      <c r="X2517" s="102" t="s">
        <v>137</v>
      </c>
      <c r="Y2517" s="103" t="s">
        <v>138</v>
      </c>
      <c r="Z2517" s="103" t="s">
        <v>139</v>
      </c>
      <c r="AA2517" s="103" t="s">
        <v>47</v>
      </c>
      <c r="AB2517" s="103" t="s">
        <v>140</v>
      </c>
      <c r="AC2517" s="104" t="s">
        <v>141</v>
      </c>
    </row>
    <row r="2518" spans="1:29" ht="25.5" customHeight="1" x14ac:dyDescent="0.35">
      <c r="A2518" s="188"/>
      <c r="B2518" s="190"/>
      <c r="C2518" s="99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0"/>
      <c r="E2518" s="78" t="str">
        <f>IF(C2518="","",IFERROR(VLOOKUP(C2518,parametros!$A$11:$E$15,5,0),""))</f>
        <v/>
      </c>
      <c r="F2518" s="79" t="str">
        <f t="shared" si="197"/>
        <v/>
      </c>
      <c r="G2518" s="101"/>
      <c r="H2518" s="91">
        <f t="shared" si="198"/>
        <v>0</v>
      </c>
      <c r="I2518" s="91" t="str">
        <f t="shared" si="199"/>
        <v/>
      </c>
      <c r="J2518" s="91" t="str">
        <f t="shared" si="200"/>
        <v/>
      </c>
      <c r="K2518" s="92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2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58"/>
      <c r="U2518" s="217" t="str">
        <f t="shared" si="201"/>
        <v/>
      </c>
      <c r="V2518" s="215" t="s">
        <v>47</v>
      </c>
      <c r="W2518" s="102" t="s">
        <v>136</v>
      </c>
      <c r="X2518" s="102" t="s">
        <v>137</v>
      </c>
      <c r="Y2518" s="103" t="s">
        <v>138</v>
      </c>
      <c r="Z2518" s="103" t="s">
        <v>139</v>
      </c>
      <c r="AA2518" s="103" t="s">
        <v>47</v>
      </c>
      <c r="AB2518" s="103" t="s">
        <v>140</v>
      </c>
      <c r="AC2518" s="104" t="s">
        <v>141</v>
      </c>
    </row>
    <row r="2519" spans="1:29" ht="25.5" customHeight="1" x14ac:dyDescent="0.35">
      <c r="A2519" s="188"/>
      <c r="B2519" s="190"/>
      <c r="C2519" s="99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0"/>
      <c r="E2519" s="78" t="str">
        <f>IF(C2519="","",IFERROR(VLOOKUP(C2519,parametros!$A$11:$E$15,5,0),""))</f>
        <v/>
      </c>
      <c r="F2519" s="79" t="str">
        <f t="shared" si="197"/>
        <v/>
      </c>
      <c r="G2519" s="101"/>
      <c r="H2519" s="91">
        <f t="shared" si="198"/>
        <v>0</v>
      </c>
      <c r="I2519" s="91" t="str">
        <f t="shared" si="199"/>
        <v/>
      </c>
      <c r="J2519" s="91" t="str">
        <f t="shared" si="200"/>
        <v/>
      </c>
      <c r="K2519" s="92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2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58"/>
      <c r="U2519" s="217" t="str">
        <f t="shared" si="201"/>
        <v/>
      </c>
      <c r="V2519" s="215" t="s">
        <v>47</v>
      </c>
      <c r="W2519" s="102" t="s">
        <v>136</v>
      </c>
      <c r="X2519" s="102" t="s">
        <v>137</v>
      </c>
      <c r="Y2519" s="103" t="s">
        <v>138</v>
      </c>
      <c r="Z2519" s="103" t="s">
        <v>139</v>
      </c>
      <c r="AA2519" s="103" t="s">
        <v>47</v>
      </c>
      <c r="AB2519" s="103" t="s">
        <v>140</v>
      </c>
      <c r="AC2519" s="104" t="s">
        <v>141</v>
      </c>
    </row>
    <row r="2520" spans="1:29" ht="25.5" customHeight="1" x14ac:dyDescent="0.35">
      <c r="A2520" s="188"/>
      <c r="B2520" s="190"/>
      <c r="C2520" s="99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0"/>
      <c r="E2520" s="78" t="str">
        <f>IF(C2520="","",IFERROR(VLOOKUP(C2520,parametros!$A$11:$E$15,5,0),""))</f>
        <v/>
      </c>
      <c r="F2520" s="79" t="str">
        <f t="shared" si="197"/>
        <v/>
      </c>
      <c r="G2520" s="101"/>
      <c r="H2520" s="91">
        <f t="shared" si="198"/>
        <v>0</v>
      </c>
      <c r="I2520" s="91" t="str">
        <f t="shared" si="199"/>
        <v/>
      </c>
      <c r="J2520" s="91" t="str">
        <f t="shared" si="200"/>
        <v/>
      </c>
      <c r="K2520" s="92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2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58"/>
      <c r="U2520" s="217" t="str">
        <f t="shared" si="201"/>
        <v/>
      </c>
      <c r="V2520" s="215" t="s">
        <v>47</v>
      </c>
      <c r="W2520" s="102" t="s">
        <v>136</v>
      </c>
      <c r="X2520" s="102" t="s">
        <v>137</v>
      </c>
      <c r="Y2520" s="103" t="s">
        <v>138</v>
      </c>
      <c r="Z2520" s="103" t="s">
        <v>139</v>
      </c>
      <c r="AA2520" s="103" t="s">
        <v>47</v>
      </c>
      <c r="AB2520" s="103" t="s">
        <v>140</v>
      </c>
      <c r="AC2520" s="104" t="s">
        <v>141</v>
      </c>
    </row>
    <row r="2521" spans="1:29" ht="25.5" customHeight="1" x14ac:dyDescent="0.35">
      <c r="A2521" s="188"/>
      <c r="B2521" s="190"/>
      <c r="C2521" s="99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0"/>
      <c r="E2521" s="78" t="str">
        <f>IF(C2521="","",IFERROR(VLOOKUP(C2521,parametros!$A$11:$E$15,5,0),""))</f>
        <v/>
      </c>
      <c r="F2521" s="79" t="str">
        <f t="shared" si="197"/>
        <v/>
      </c>
      <c r="G2521" s="101"/>
      <c r="H2521" s="91">
        <f t="shared" si="198"/>
        <v>0</v>
      </c>
      <c r="I2521" s="91" t="str">
        <f t="shared" si="199"/>
        <v/>
      </c>
      <c r="J2521" s="91" t="str">
        <f t="shared" si="200"/>
        <v/>
      </c>
      <c r="K2521" s="92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2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58"/>
      <c r="U2521" s="217" t="str">
        <f t="shared" si="201"/>
        <v/>
      </c>
      <c r="V2521" s="215" t="s">
        <v>47</v>
      </c>
      <c r="W2521" s="102" t="s">
        <v>136</v>
      </c>
      <c r="X2521" s="102" t="s">
        <v>137</v>
      </c>
      <c r="Y2521" s="103" t="s">
        <v>138</v>
      </c>
      <c r="Z2521" s="103" t="s">
        <v>139</v>
      </c>
      <c r="AA2521" s="103" t="s">
        <v>47</v>
      </c>
      <c r="AB2521" s="103" t="s">
        <v>140</v>
      </c>
      <c r="AC2521" s="104" t="s">
        <v>141</v>
      </c>
    </row>
    <row r="2522" spans="1:29" ht="25.5" customHeight="1" x14ac:dyDescent="0.35">
      <c r="A2522" s="188"/>
      <c r="B2522" s="190"/>
      <c r="C2522" s="99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0"/>
      <c r="E2522" s="78" t="str">
        <f>IF(C2522="","",IFERROR(VLOOKUP(C2522,parametros!$A$11:$E$15,5,0),""))</f>
        <v/>
      </c>
      <c r="F2522" s="79" t="str">
        <f t="shared" si="197"/>
        <v/>
      </c>
      <c r="G2522" s="101"/>
      <c r="H2522" s="91">
        <f t="shared" si="198"/>
        <v>0</v>
      </c>
      <c r="I2522" s="91" t="str">
        <f t="shared" si="199"/>
        <v/>
      </c>
      <c r="J2522" s="91" t="str">
        <f t="shared" si="200"/>
        <v/>
      </c>
      <c r="K2522" s="92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2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58"/>
      <c r="U2522" s="217" t="str">
        <f t="shared" si="201"/>
        <v/>
      </c>
      <c r="V2522" s="215" t="s">
        <v>47</v>
      </c>
      <c r="W2522" s="102" t="s">
        <v>136</v>
      </c>
      <c r="X2522" s="102" t="s">
        <v>137</v>
      </c>
      <c r="Y2522" s="103" t="s">
        <v>138</v>
      </c>
      <c r="Z2522" s="103" t="s">
        <v>139</v>
      </c>
      <c r="AA2522" s="103" t="s">
        <v>47</v>
      </c>
      <c r="AB2522" s="103" t="s">
        <v>140</v>
      </c>
      <c r="AC2522" s="104" t="s">
        <v>141</v>
      </c>
    </row>
    <row r="2523" spans="1:29" ht="25.5" customHeight="1" x14ac:dyDescent="0.35">
      <c r="A2523" s="188"/>
      <c r="B2523" s="190"/>
      <c r="C2523" s="99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0"/>
      <c r="E2523" s="78" t="str">
        <f>IF(C2523="","",IFERROR(VLOOKUP(C2523,parametros!$A$11:$E$15,5,0),""))</f>
        <v/>
      </c>
      <c r="F2523" s="79" t="str">
        <f t="shared" si="197"/>
        <v/>
      </c>
      <c r="G2523" s="101"/>
      <c r="H2523" s="91">
        <f t="shared" si="198"/>
        <v>0</v>
      </c>
      <c r="I2523" s="91" t="str">
        <f t="shared" si="199"/>
        <v/>
      </c>
      <c r="J2523" s="91" t="str">
        <f t="shared" si="200"/>
        <v/>
      </c>
      <c r="K2523" s="92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2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58"/>
      <c r="U2523" s="217" t="str">
        <f t="shared" si="201"/>
        <v/>
      </c>
      <c r="V2523" s="215" t="s">
        <v>47</v>
      </c>
      <c r="W2523" s="102" t="s">
        <v>136</v>
      </c>
      <c r="X2523" s="102" t="s">
        <v>137</v>
      </c>
      <c r="Y2523" s="103" t="s">
        <v>138</v>
      </c>
      <c r="Z2523" s="103" t="s">
        <v>139</v>
      </c>
      <c r="AA2523" s="103" t="s">
        <v>47</v>
      </c>
      <c r="AB2523" s="103" t="s">
        <v>140</v>
      </c>
      <c r="AC2523" s="104" t="s">
        <v>141</v>
      </c>
    </row>
    <row r="2524" spans="1:29" ht="25.5" customHeight="1" x14ac:dyDescent="0.35">
      <c r="A2524" s="188"/>
      <c r="B2524" s="190"/>
      <c r="C2524" s="99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0"/>
      <c r="E2524" s="78" t="str">
        <f>IF(C2524="","",IFERROR(VLOOKUP(C2524,parametros!$A$11:$E$15,5,0),""))</f>
        <v/>
      </c>
      <c r="F2524" s="79" t="str">
        <f t="shared" si="197"/>
        <v/>
      </c>
      <c r="G2524" s="101"/>
      <c r="H2524" s="91">
        <f t="shared" si="198"/>
        <v>0</v>
      </c>
      <c r="I2524" s="91" t="str">
        <f t="shared" si="199"/>
        <v/>
      </c>
      <c r="J2524" s="91" t="str">
        <f t="shared" si="200"/>
        <v/>
      </c>
      <c r="K2524" s="92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2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58"/>
      <c r="U2524" s="217" t="str">
        <f t="shared" si="201"/>
        <v/>
      </c>
      <c r="V2524" s="215" t="s">
        <v>47</v>
      </c>
      <c r="W2524" s="102" t="s">
        <v>136</v>
      </c>
      <c r="X2524" s="102" t="s">
        <v>137</v>
      </c>
      <c r="Y2524" s="103" t="s">
        <v>138</v>
      </c>
      <c r="Z2524" s="103" t="s">
        <v>139</v>
      </c>
      <c r="AA2524" s="103" t="s">
        <v>47</v>
      </c>
      <c r="AB2524" s="103" t="s">
        <v>140</v>
      </c>
      <c r="AC2524" s="104" t="s">
        <v>141</v>
      </c>
    </row>
    <row r="2525" spans="1:29" ht="25.5" customHeight="1" x14ac:dyDescent="0.35">
      <c r="A2525" s="188"/>
      <c r="B2525" s="190"/>
      <c r="C2525" s="99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0"/>
      <c r="E2525" s="78" t="str">
        <f>IF(C2525="","",IFERROR(VLOOKUP(C2525,parametros!$A$11:$E$15,5,0),""))</f>
        <v/>
      </c>
      <c r="F2525" s="79" t="str">
        <f t="shared" si="197"/>
        <v/>
      </c>
      <c r="G2525" s="101"/>
      <c r="H2525" s="91">
        <f t="shared" si="198"/>
        <v>0</v>
      </c>
      <c r="I2525" s="91" t="str">
        <f t="shared" si="199"/>
        <v/>
      </c>
      <c r="J2525" s="91" t="str">
        <f t="shared" si="200"/>
        <v/>
      </c>
      <c r="K2525" s="92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2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58"/>
      <c r="U2525" s="217" t="str">
        <f t="shared" si="201"/>
        <v/>
      </c>
      <c r="V2525" s="215" t="s">
        <v>47</v>
      </c>
      <c r="W2525" s="102" t="s">
        <v>136</v>
      </c>
      <c r="X2525" s="102" t="s">
        <v>137</v>
      </c>
      <c r="Y2525" s="103" t="s">
        <v>138</v>
      </c>
      <c r="Z2525" s="103" t="s">
        <v>139</v>
      </c>
      <c r="AA2525" s="103" t="s">
        <v>47</v>
      </c>
      <c r="AB2525" s="103" t="s">
        <v>140</v>
      </c>
      <c r="AC2525" s="104" t="s">
        <v>141</v>
      </c>
    </row>
    <row r="2526" spans="1:29" ht="25.5" customHeight="1" x14ac:dyDescent="0.35">
      <c r="A2526" s="188"/>
      <c r="B2526" s="190"/>
      <c r="C2526" s="99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0"/>
      <c r="E2526" s="78" t="str">
        <f>IF(C2526="","",IFERROR(VLOOKUP(C2526,parametros!$A$11:$E$15,5,0),""))</f>
        <v/>
      </c>
      <c r="F2526" s="79" t="str">
        <f t="shared" si="197"/>
        <v/>
      </c>
      <c r="G2526" s="101"/>
      <c r="H2526" s="91">
        <f t="shared" si="198"/>
        <v>0</v>
      </c>
      <c r="I2526" s="91" t="str">
        <f t="shared" si="199"/>
        <v/>
      </c>
      <c r="J2526" s="91" t="str">
        <f t="shared" si="200"/>
        <v/>
      </c>
      <c r="K2526" s="92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2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58"/>
      <c r="U2526" s="217" t="str">
        <f t="shared" si="201"/>
        <v/>
      </c>
      <c r="V2526" s="215" t="s">
        <v>47</v>
      </c>
      <c r="W2526" s="102" t="s">
        <v>136</v>
      </c>
      <c r="X2526" s="102" t="s">
        <v>137</v>
      </c>
      <c r="Y2526" s="103" t="s">
        <v>138</v>
      </c>
      <c r="Z2526" s="103" t="s">
        <v>139</v>
      </c>
      <c r="AA2526" s="103" t="s">
        <v>47</v>
      </c>
      <c r="AB2526" s="103" t="s">
        <v>140</v>
      </c>
      <c r="AC2526" s="104" t="s">
        <v>141</v>
      </c>
    </row>
    <row r="2527" spans="1:29" ht="25.5" customHeight="1" x14ac:dyDescent="0.35">
      <c r="A2527" s="188"/>
      <c r="B2527" s="190"/>
      <c r="C2527" s="99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0"/>
      <c r="E2527" s="78" t="str">
        <f>IF(C2527="","",IFERROR(VLOOKUP(C2527,parametros!$A$11:$E$15,5,0),""))</f>
        <v/>
      </c>
      <c r="F2527" s="79" t="str">
        <f t="shared" si="197"/>
        <v/>
      </c>
      <c r="G2527" s="101"/>
      <c r="H2527" s="91">
        <f t="shared" si="198"/>
        <v>0</v>
      </c>
      <c r="I2527" s="91" t="str">
        <f t="shared" si="199"/>
        <v/>
      </c>
      <c r="J2527" s="91" t="str">
        <f t="shared" si="200"/>
        <v/>
      </c>
      <c r="K2527" s="92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2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58"/>
      <c r="U2527" s="217" t="str">
        <f t="shared" si="201"/>
        <v/>
      </c>
      <c r="V2527" s="215" t="s">
        <v>47</v>
      </c>
      <c r="W2527" s="102" t="s">
        <v>136</v>
      </c>
      <c r="X2527" s="102" t="s">
        <v>137</v>
      </c>
      <c r="Y2527" s="103" t="s">
        <v>138</v>
      </c>
      <c r="Z2527" s="103" t="s">
        <v>139</v>
      </c>
      <c r="AA2527" s="103" t="s">
        <v>47</v>
      </c>
      <c r="AB2527" s="103" t="s">
        <v>140</v>
      </c>
      <c r="AC2527" s="104" t="s">
        <v>141</v>
      </c>
    </row>
    <row r="2528" spans="1:29" ht="25.5" customHeight="1" x14ac:dyDescent="0.35">
      <c r="A2528" s="188"/>
      <c r="B2528" s="190"/>
      <c r="C2528" s="99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0"/>
      <c r="E2528" s="78" t="str">
        <f>IF(C2528="","",IFERROR(VLOOKUP(C2528,parametros!$A$11:$E$15,5,0),""))</f>
        <v/>
      </c>
      <c r="F2528" s="79" t="str">
        <f t="shared" si="197"/>
        <v/>
      </c>
      <c r="G2528" s="101"/>
      <c r="H2528" s="91">
        <f t="shared" si="198"/>
        <v>0</v>
      </c>
      <c r="I2528" s="91" t="str">
        <f t="shared" si="199"/>
        <v/>
      </c>
      <c r="J2528" s="91" t="str">
        <f t="shared" si="200"/>
        <v/>
      </c>
      <c r="K2528" s="92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2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58"/>
      <c r="U2528" s="217" t="str">
        <f t="shared" si="201"/>
        <v/>
      </c>
      <c r="V2528" s="215" t="s">
        <v>47</v>
      </c>
      <c r="W2528" s="102" t="s">
        <v>136</v>
      </c>
      <c r="X2528" s="102" t="s">
        <v>137</v>
      </c>
      <c r="Y2528" s="103" t="s">
        <v>138</v>
      </c>
      <c r="Z2528" s="103" t="s">
        <v>139</v>
      </c>
      <c r="AA2528" s="103" t="s">
        <v>47</v>
      </c>
      <c r="AB2528" s="103" t="s">
        <v>140</v>
      </c>
      <c r="AC2528" s="104" t="s">
        <v>141</v>
      </c>
    </row>
    <row r="2529" spans="1:29" ht="25.5" customHeight="1" x14ac:dyDescent="0.35">
      <c r="A2529" s="188"/>
      <c r="B2529" s="190"/>
      <c r="C2529" s="99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0"/>
      <c r="E2529" s="78" t="str">
        <f>IF(C2529="","",IFERROR(VLOOKUP(C2529,parametros!$A$11:$E$15,5,0),""))</f>
        <v/>
      </c>
      <c r="F2529" s="79" t="str">
        <f t="shared" si="197"/>
        <v/>
      </c>
      <c r="G2529" s="101"/>
      <c r="H2529" s="91">
        <f t="shared" si="198"/>
        <v>0</v>
      </c>
      <c r="I2529" s="91" t="str">
        <f t="shared" si="199"/>
        <v/>
      </c>
      <c r="J2529" s="91" t="str">
        <f t="shared" si="200"/>
        <v/>
      </c>
      <c r="K2529" s="92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2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58"/>
      <c r="U2529" s="217" t="str">
        <f t="shared" si="201"/>
        <v/>
      </c>
      <c r="V2529" s="215" t="s">
        <v>47</v>
      </c>
      <c r="W2529" s="102" t="s">
        <v>136</v>
      </c>
      <c r="X2529" s="102" t="s">
        <v>137</v>
      </c>
      <c r="Y2529" s="103" t="s">
        <v>138</v>
      </c>
      <c r="Z2529" s="103" t="s">
        <v>139</v>
      </c>
      <c r="AA2529" s="103" t="s">
        <v>47</v>
      </c>
      <c r="AB2529" s="103" t="s">
        <v>140</v>
      </c>
      <c r="AC2529" s="104" t="s">
        <v>141</v>
      </c>
    </row>
    <row r="2530" spans="1:29" ht="25.5" customHeight="1" x14ac:dyDescent="0.35">
      <c r="A2530" s="188"/>
      <c r="B2530" s="190"/>
      <c r="C2530" s="99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0"/>
      <c r="E2530" s="78" t="str">
        <f>IF(C2530="","",IFERROR(VLOOKUP(C2530,parametros!$A$11:$E$15,5,0),""))</f>
        <v/>
      </c>
      <c r="F2530" s="79" t="str">
        <f t="shared" si="197"/>
        <v/>
      </c>
      <c r="G2530" s="101"/>
      <c r="H2530" s="91">
        <f t="shared" si="198"/>
        <v>0</v>
      </c>
      <c r="I2530" s="91" t="str">
        <f t="shared" si="199"/>
        <v/>
      </c>
      <c r="J2530" s="91" t="str">
        <f t="shared" si="200"/>
        <v/>
      </c>
      <c r="K2530" s="92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2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58"/>
      <c r="U2530" s="217" t="str">
        <f t="shared" si="201"/>
        <v/>
      </c>
      <c r="V2530" s="215" t="s">
        <v>47</v>
      </c>
      <c r="W2530" s="102" t="s">
        <v>136</v>
      </c>
      <c r="X2530" s="102" t="s">
        <v>137</v>
      </c>
      <c r="Y2530" s="103" t="s">
        <v>138</v>
      </c>
      <c r="Z2530" s="103" t="s">
        <v>139</v>
      </c>
      <c r="AA2530" s="103" t="s">
        <v>47</v>
      </c>
      <c r="AB2530" s="103" t="s">
        <v>140</v>
      </c>
      <c r="AC2530" s="104" t="s">
        <v>141</v>
      </c>
    </row>
    <row r="2531" spans="1:29" ht="25.5" customHeight="1" x14ac:dyDescent="0.35">
      <c r="A2531" s="188"/>
      <c r="B2531" s="190"/>
      <c r="C2531" s="99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0"/>
      <c r="E2531" s="78" t="str">
        <f>IF(C2531="","",IFERROR(VLOOKUP(C2531,parametros!$A$11:$E$15,5,0),""))</f>
        <v/>
      </c>
      <c r="F2531" s="79" t="str">
        <f t="shared" si="197"/>
        <v/>
      </c>
      <c r="G2531" s="101"/>
      <c r="H2531" s="91">
        <f t="shared" si="198"/>
        <v>0</v>
      </c>
      <c r="I2531" s="91" t="str">
        <f t="shared" si="199"/>
        <v/>
      </c>
      <c r="J2531" s="91" t="str">
        <f t="shared" si="200"/>
        <v/>
      </c>
      <c r="K2531" s="92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2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58"/>
      <c r="U2531" s="217" t="str">
        <f t="shared" si="201"/>
        <v/>
      </c>
      <c r="V2531" s="215" t="s">
        <v>47</v>
      </c>
      <c r="W2531" s="102" t="s">
        <v>136</v>
      </c>
      <c r="X2531" s="102" t="s">
        <v>137</v>
      </c>
      <c r="Y2531" s="103" t="s">
        <v>138</v>
      </c>
      <c r="Z2531" s="103" t="s">
        <v>139</v>
      </c>
      <c r="AA2531" s="103" t="s">
        <v>47</v>
      </c>
      <c r="AB2531" s="103" t="s">
        <v>140</v>
      </c>
      <c r="AC2531" s="104" t="s">
        <v>141</v>
      </c>
    </row>
    <row r="2532" spans="1:29" ht="25.5" customHeight="1" x14ac:dyDescent="0.35">
      <c r="A2532" s="188"/>
      <c r="B2532" s="190"/>
      <c r="C2532" s="99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0"/>
      <c r="E2532" s="78" t="str">
        <f>IF(C2532="","",IFERROR(VLOOKUP(C2532,parametros!$A$11:$E$15,5,0),""))</f>
        <v/>
      </c>
      <c r="F2532" s="79" t="str">
        <f t="shared" si="197"/>
        <v/>
      </c>
      <c r="G2532" s="101"/>
      <c r="H2532" s="91">
        <f t="shared" si="198"/>
        <v>0</v>
      </c>
      <c r="I2532" s="91" t="str">
        <f t="shared" si="199"/>
        <v/>
      </c>
      <c r="J2532" s="91" t="str">
        <f t="shared" si="200"/>
        <v/>
      </c>
      <c r="K2532" s="92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2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58"/>
      <c r="U2532" s="217" t="str">
        <f t="shared" si="201"/>
        <v/>
      </c>
      <c r="V2532" s="215" t="s">
        <v>47</v>
      </c>
      <c r="W2532" s="102" t="s">
        <v>136</v>
      </c>
      <c r="X2532" s="102" t="s">
        <v>137</v>
      </c>
      <c r="Y2532" s="103" t="s">
        <v>138</v>
      </c>
      <c r="Z2532" s="103" t="s">
        <v>139</v>
      </c>
      <c r="AA2532" s="103" t="s">
        <v>47</v>
      </c>
      <c r="AB2532" s="103" t="s">
        <v>140</v>
      </c>
      <c r="AC2532" s="104" t="s">
        <v>141</v>
      </c>
    </row>
    <row r="2533" spans="1:29" ht="25.5" customHeight="1" x14ac:dyDescent="0.35">
      <c r="A2533" s="188"/>
      <c r="B2533" s="190"/>
      <c r="C2533" s="99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0"/>
      <c r="E2533" s="78" t="str">
        <f>IF(C2533="","",IFERROR(VLOOKUP(C2533,parametros!$A$11:$E$15,5,0),""))</f>
        <v/>
      </c>
      <c r="F2533" s="79" t="str">
        <f t="shared" si="197"/>
        <v/>
      </c>
      <c r="G2533" s="101"/>
      <c r="H2533" s="91">
        <f t="shared" si="198"/>
        <v>0</v>
      </c>
      <c r="I2533" s="91" t="str">
        <f t="shared" si="199"/>
        <v/>
      </c>
      <c r="J2533" s="91" t="str">
        <f t="shared" si="200"/>
        <v/>
      </c>
      <c r="K2533" s="92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2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58"/>
      <c r="U2533" s="217" t="str">
        <f t="shared" si="201"/>
        <v/>
      </c>
      <c r="V2533" s="215" t="s">
        <v>47</v>
      </c>
      <c r="W2533" s="102" t="s">
        <v>136</v>
      </c>
      <c r="X2533" s="102" t="s">
        <v>137</v>
      </c>
      <c r="Y2533" s="103" t="s">
        <v>138</v>
      </c>
      <c r="Z2533" s="103" t="s">
        <v>139</v>
      </c>
      <c r="AA2533" s="103" t="s">
        <v>47</v>
      </c>
      <c r="AB2533" s="103" t="s">
        <v>140</v>
      </c>
      <c r="AC2533" s="104" t="s">
        <v>141</v>
      </c>
    </row>
    <row r="2534" spans="1:29" ht="25.5" customHeight="1" x14ac:dyDescent="0.35">
      <c r="A2534" s="188"/>
      <c r="B2534" s="190"/>
      <c r="C2534" s="99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0"/>
      <c r="E2534" s="78" t="str">
        <f>IF(C2534="","",IFERROR(VLOOKUP(C2534,parametros!$A$11:$E$15,5,0),""))</f>
        <v/>
      </c>
      <c r="F2534" s="79" t="str">
        <f t="shared" si="197"/>
        <v/>
      </c>
      <c r="G2534" s="101"/>
      <c r="H2534" s="91">
        <f t="shared" si="198"/>
        <v>0</v>
      </c>
      <c r="I2534" s="91" t="str">
        <f t="shared" si="199"/>
        <v/>
      </c>
      <c r="J2534" s="91" t="str">
        <f t="shared" si="200"/>
        <v/>
      </c>
      <c r="K2534" s="92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2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58"/>
      <c r="U2534" s="217" t="str">
        <f t="shared" si="201"/>
        <v/>
      </c>
      <c r="V2534" s="215" t="s">
        <v>47</v>
      </c>
      <c r="W2534" s="102" t="s">
        <v>136</v>
      </c>
      <c r="X2534" s="102" t="s">
        <v>137</v>
      </c>
      <c r="Y2534" s="103" t="s">
        <v>138</v>
      </c>
      <c r="Z2534" s="103" t="s">
        <v>139</v>
      </c>
      <c r="AA2534" s="103" t="s">
        <v>47</v>
      </c>
      <c r="AB2534" s="103" t="s">
        <v>140</v>
      </c>
      <c r="AC2534" s="104" t="s">
        <v>141</v>
      </c>
    </row>
    <row r="2535" spans="1:29" ht="25.5" customHeight="1" x14ac:dyDescent="0.35">
      <c r="A2535" s="188"/>
      <c r="B2535" s="190"/>
      <c r="C2535" s="99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0"/>
      <c r="E2535" s="78" t="str">
        <f>IF(C2535="","",IFERROR(VLOOKUP(C2535,parametros!$A$11:$E$15,5,0),""))</f>
        <v/>
      </c>
      <c r="F2535" s="79" t="str">
        <f t="shared" si="197"/>
        <v/>
      </c>
      <c r="G2535" s="101"/>
      <c r="H2535" s="91">
        <f t="shared" si="198"/>
        <v>0</v>
      </c>
      <c r="I2535" s="91" t="str">
        <f t="shared" si="199"/>
        <v/>
      </c>
      <c r="J2535" s="91" t="str">
        <f t="shared" si="200"/>
        <v/>
      </c>
      <c r="K2535" s="92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2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58"/>
      <c r="U2535" s="217" t="str">
        <f t="shared" si="201"/>
        <v/>
      </c>
      <c r="V2535" s="215" t="s">
        <v>47</v>
      </c>
      <c r="W2535" s="102" t="s">
        <v>136</v>
      </c>
      <c r="X2535" s="102" t="s">
        <v>137</v>
      </c>
      <c r="Y2535" s="103" t="s">
        <v>138</v>
      </c>
      <c r="Z2535" s="103" t="s">
        <v>139</v>
      </c>
      <c r="AA2535" s="103" t="s">
        <v>47</v>
      </c>
      <c r="AB2535" s="103" t="s">
        <v>140</v>
      </c>
      <c r="AC2535" s="104" t="s">
        <v>141</v>
      </c>
    </row>
    <row r="2536" spans="1:29" ht="25.5" customHeight="1" x14ac:dyDescent="0.35">
      <c r="A2536" s="188"/>
      <c r="B2536" s="190"/>
      <c r="C2536" s="99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0"/>
      <c r="E2536" s="78" t="str">
        <f>IF(C2536="","",IFERROR(VLOOKUP(C2536,parametros!$A$11:$E$15,5,0),""))</f>
        <v/>
      </c>
      <c r="F2536" s="79" t="str">
        <f t="shared" si="197"/>
        <v/>
      </c>
      <c r="G2536" s="101"/>
      <c r="H2536" s="91">
        <f t="shared" si="198"/>
        <v>0</v>
      </c>
      <c r="I2536" s="91" t="str">
        <f t="shared" si="199"/>
        <v/>
      </c>
      <c r="J2536" s="91" t="str">
        <f t="shared" si="200"/>
        <v/>
      </c>
      <c r="K2536" s="92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2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58"/>
      <c r="U2536" s="217" t="str">
        <f t="shared" si="201"/>
        <v/>
      </c>
      <c r="V2536" s="215" t="s">
        <v>47</v>
      </c>
      <c r="W2536" s="102" t="s">
        <v>136</v>
      </c>
      <c r="X2536" s="102" t="s">
        <v>137</v>
      </c>
      <c r="Y2536" s="103" t="s">
        <v>138</v>
      </c>
      <c r="Z2536" s="103" t="s">
        <v>139</v>
      </c>
      <c r="AA2536" s="103" t="s">
        <v>47</v>
      </c>
      <c r="AB2536" s="103" t="s">
        <v>140</v>
      </c>
      <c r="AC2536" s="104" t="s">
        <v>141</v>
      </c>
    </row>
    <row r="2537" spans="1:29" ht="25.5" customHeight="1" x14ac:dyDescent="0.35">
      <c r="A2537" s="188"/>
      <c r="B2537" s="190"/>
      <c r="C2537" s="99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0"/>
      <c r="E2537" s="78" t="str">
        <f>IF(C2537="","",IFERROR(VLOOKUP(C2537,parametros!$A$11:$E$15,5,0),""))</f>
        <v/>
      </c>
      <c r="F2537" s="79" t="str">
        <f t="shared" si="197"/>
        <v/>
      </c>
      <c r="G2537" s="101"/>
      <c r="H2537" s="91">
        <f t="shared" si="198"/>
        <v>0</v>
      </c>
      <c r="I2537" s="91" t="str">
        <f t="shared" si="199"/>
        <v/>
      </c>
      <c r="J2537" s="91" t="str">
        <f t="shared" si="200"/>
        <v/>
      </c>
      <c r="K2537" s="92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2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58"/>
      <c r="U2537" s="217" t="str">
        <f t="shared" si="201"/>
        <v/>
      </c>
      <c r="V2537" s="215" t="s">
        <v>47</v>
      </c>
      <c r="W2537" s="102" t="s">
        <v>136</v>
      </c>
      <c r="X2537" s="102" t="s">
        <v>137</v>
      </c>
      <c r="Y2537" s="103" t="s">
        <v>138</v>
      </c>
      <c r="Z2537" s="103" t="s">
        <v>139</v>
      </c>
      <c r="AA2537" s="103" t="s">
        <v>47</v>
      </c>
      <c r="AB2537" s="103" t="s">
        <v>140</v>
      </c>
      <c r="AC2537" s="104" t="s">
        <v>141</v>
      </c>
    </row>
    <row r="2538" spans="1:29" ht="25.5" customHeight="1" x14ac:dyDescent="0.35">
      <c r="A2538" s="188"/>
      <c r="B2538" s="190"/>
      <c r="C2538" s="99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0"/>
      <c r="E2538" s="78" t="str">
        <f>IF(C2538="","",IFERROR(VLOOKUP(C2538,parametros!$A$11:$E$15,5,0),""))</f>
        <v/>
      </c>
      <c r="F2538" s="79" t="str">
        <f t="shared" si="197"/>
        <v/>
      </c>
      <c r="G2538" s="101"/>
      <c r="H2538" s="91">
        <f t="shared" si="198"/>
        <v>0</v>
      </c>
      <c r="I2538" s="91" t="str">
        <f t="shared" si="199"/>
        <v/>
      </c>
      <c r="J2538" s="91" t="str">
        <f t="shared" si="200"/>
        <v/>
      </c>
      <c r="K2538" s="92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2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58"/>
      <c r="U2538" s="217" t="str">
        <f t="shared" si="201"/>
        <v/>
      </c>
      <c r="V2538" s="215" t="s">
        <v>47</v>
      </c>
      <c r="W2538" s="102" t="s">
        <v>136</v>
      </c>
      <c r="X2538" s="102" t="s">
        <v>137</v>
      </c>
      <c r="Y2538" s="103" t="s">
        <v>138</v>
      </c>
      <c r="Z2538" s="103" t="s">
        <v>139</v>
      </c>
      <c r="AA2538" s="103" t="s">
        <v>47</v>
      </c>
      <c r="AB2538" s="103" t="s">
        <v>140</v>
      </c>
      <c r="AC2538" s="104" t="s">
        <v>141</v>
      </c>
    </row>
    <row r="2539" spans="1:29" ht="25.5" customHeight="1" x14ac:dyDescent="0.35">
      <c r="A2539" s="188"/>
      <c r="B2539" s="190"/>
      <c r="C2539" s="99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0"/>
      <c r="E2539" s="78" t="str">
        <f>IF(C2539="","",IFERROR(VLOOKUP(C2539,parametros!$A$11:$E$15,5,0),""))</f>
        <v/>
      </c>
      <c r="F2539" s="79" t="str">
        <f t="shared" si="197"/>
        <v/>
      </c>
      <c r="G2539" s="101"/>
      <c r="H2539" s="91">
        <f t="shared" si="198"/>
        <v>0</v>
      </c>
      <c r="I2539" s="91" t="str">
        <f t="shared" si="199"/>
        <v/>
      </c>
      <c r="J2539" s="91" t="str">
        <f t="shared" si="200"/>
        <v/>
      </c>
      <c r="K2539" s="92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2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58"/>
      <c r="U2539" s="217" t="str">
        <f t="shared" si="201"/>
        <v/>
      </c>
      <c r="V2539" s="215" t="s">
        <v>47</v>
      </c>
      <c r="W2539" s="102" t="s">
        <v>136</v>
      </c>
      <c r="X2539" s="102" t="s">
        <v>137</v>
      </c>
      <c r="Y2539" s="103" t="s">
        <v>138</v>
      </c>
      <c r="Z2539" s="103" t="s">
        <v>139</v>
      </c>
      <c r="AA2539" s="103" t="s">
        <v>47</v>
      </c>
      <c r="AB2539" s="103" t="s">
        <v>140</v>
      </c>
      <c r="AC2539" s="104" t="s">
        <v>141</v>
      </c>
    </row>
    <row r="2540" spans="1:29" ht="25.5" customHeight="1" x14ac:dyDescent="0.35">
      <c r="A2540" s="188"/>
      <c r="B2540" s="190"/>
      <c r="C2540" s="99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0"/>
      <c r="E2540" s="78" t="str">
        <f>IF(C2540="","",IFERROR(VLOOKUP(C2540,parametros!$A$11:$E$15,5,0),""))</f>
        <v/>
      </c>
      <c r="F2540" s="79" t="str">
        <f t="shared" si="197"/>
        <v/>
      </c>
      <c r="G2540" s="101"/>
      <c r="H2540" s="91">
        <f t="shared" si="198"/>
        <v>0</v>
      </c>
      <c r="I2540" s="91" t="str">
        <f t="shared" si="199"/>
        <v/>
      </c>
      <c r="J2540" s="91" t="str">
        <f t="shared" si="200"/>
        <v/>
      </c>
      <c r="K2540" s="92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2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58"/>
      <c r="U2540" s="217" t="str">
        <f t="shared" si="201"/>
        <v/>
      </c>
      <c r="V2540" s="215" t="s">
        <v>47</v>
      </c>
      <c r="W2540" s="102" t="s">
        <v>136</v>
      </c>
      <c r="X2540" s="102" t="s">
        <v>137</v>
      </c>
      <c r="Y2540" s="103" t="s">
        <v>138</v>
      </c>
      <c r="Z2540" s="103" t="s">
        <v>139</v>
      </c>
      <c r="AA2540" s="103" t="s">
        <v>47</v>
      </c>
      <c r="AB2540" s="103" t="s">
        <v>140</v>
      </c>
      <c r="AC2540" s="104" t="s">
        <v>141</v>
      </c>
    </row>
    <row r="2541" spans="1:29" ht="25.5" customHeight="1" x14ac:dyDescent="0.35">
      <c r="A2541" s="188"/>
      <c r="B2541" s="190"/>
      <c r="C2541" s="99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0"/>
      <c r="E2541" s="78" t="str">
        <f>IF(C2541="","",IFERROR(VLOOKUP(C2541,parametros!$A$11:$E$15,5,0),""))</f>
        <v/>
      </c>
      <c r="F2541" s="79" t="str">
        <f t="shared" si="197"/>
        <v/>
      </c>
      <c r="G2541" s="101"/>
      <c r="H2541" s="91">
        <f t="shared" si="198"/>
        <v>0</v>
      </c>
      <c r="I2541" s="91" t="str">
        <f t="shared" si="199"/>
        <v/>
      </c>
      <c r="J2541" s="91" t="str">
        <f t="shared" si="200"/>
        <v/>
      </c>
      <c r="K2541" s="92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2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58"/>
      <c r="U2541" s="217" t="str">
        <f t="shared" si="201"/>
        <v/>
      </c>
      <c r="V2541" s="215" t="s">
        <v>47</v>
      </c>
      <c r="W2541" s="102" t="s">
        <v>136</v>
      </c>
      <c r="X2541" s="102" t="s">
        <v>137</v>
      </c>
      <c r="Y2541" s="103" t="s">
        <v>138</v>
      </c>
      <c r="Z2541" s="103" t="s">
        <v>139</v>
      </c>
      <c r="AA2541" s="103" t="s">
        <v>47</v>
      </c>
      <c r="AB2541" s="103" t="s">
        <v>140</v>
      </c>
      <c r="AC2541" s="104" t="s">
        <v>141</v>
      </c>
    </row>
    <row r="2542" spans="1:29" ht="25.5" customHeight="1" x14ac:dyDescent="0.35">
      <c r="A2542" s="188"/>
      <c r="B2542" s="190"/>
      <c r="C2542" s="99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0"/>
      <c r="E2542" s="78" t="str">
        <f>IF(C2542="","",IFERROR(VLOOKUP(C2542,parametros!$A$11:$E$15,5,0),""))</f>
        <v/>
      </c>
      <c r="F2542" s="79" t="str">
        <f t="shared" si="197"/>
        <v/>
      </c>
      <c r="G2542" s="101"/>
      <c r="H2542" s="91">
        <f t="shared" si="198"/>
        <v>0</v>
      </c>
      <c r="I2542" s="91" t="str">
        <f t="shared" si="199"/>
        <v/>
      </c>
      <c r="J2542" s="91" t="str">
        <f t="shared" si="200"/>
        <v/>
      </c>
      <c r="K2542" s="92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2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58"/>
      <c r="U2542" s="217" t="str">
        <f t="shared" si="201"/>
        <v/>
      </c>
      <c r="V2542" s="215" t="s">
        <v>47</v>
      </c>
      <c r="W2542" s="102" t="s">
        <v>136</v>
      </c>
      <c r="X2542" s="102" t="s">
        <v>137</v>
      </c>
      <c r="Y2542" s="103" t="s">
        <v>138</v>
      </c>
      <c r="Z2542" s="103" t="s">
        <v>139</v>
      </c>
      <c r="AA2542" s="103" t="s">
        <v>47</v>
      </c>
      <c r="AB2542" s="103" t="s">
        <v>140</v>
      </c>
      <c r="AC2542" s="104" t="s">
        <v>141</v>
      </c>
    </row>
    <row r="2543" spans="1:29" ht="25.5" customHeight="1" x14ac:dyDescent="0.35">
      <c r="A2543" s="188"/>
      <c r="B2543" s="190"/>
      <c r="C2543" s="99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0"/>
      <c r="E2543" s="78" t="str">
        <f>IF(C2543="","",IFERROR(VLOOKUP(C2543,parametros!$A$11:$E$15,5,0),""))</f>
        <v/>
      </c>
      <c r="F2543" s="79" t="str">
        <f t="shared" si="197"/>
        <v/>
      </c>
      <c r="G2543" s="101"/>
      <c r="H2543" s="91">
        <f t="shared" si="198"/>
        <v>0</v>
      </c>
      <c r="I2543" s="91" t="str">
        <f t="shared" si="199"/>
        <v/>
      </c>
      <c r="J2543" s="91" t="str">
        <f t="shared" si="200"/>
        <v/>
      </c>
      <c r="K2543" s="92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2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58"/>
      <c r="U2543" s="217" t="str">
        <f t="shared" si="201"/>
        <v/>
      </c>
      <c r="V2543" s="215" t="s">
        <v>47</v>
      </c>
      <c r="W2543" s="102" t="s">
        <v>136</v>
      </c>
      <c r="X2543" s="102" t="s">
        <v>137</v>
      </c>
      <c r="Y2543" s="103" t="s">
        <v>138</v>
      </c>
      <c r="Z2543" s="103" t="s">
        <v>139</v>
      </c>
      <c r="AA2543" s="103" t="s">
        <v>47</v>
      </c>
      <c r="AB2543" s="103" t="s">
        <v>140</v>
      </c>
      <c r="AC2543" s="104" t="s">
        <v>141</v>
      </c>
    </row>
    <row r="2544" spans="1:29" ht="25.5" customHeight="1" x14ac:dyDescent="0.35">
      <c r="A2544" s="188"/>
      <c r="B2544" s="190"/>
      <c r="C2544" s="99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0"/>
      <c r="E2544" s="78" t="str">
        <f>IF(C2544="","",IFERROR(VLOOKUP(C2544,parametros!$A$11:$E$15,5,0),""))</f>
        <v/>
      </c>
      <c r="F2544" s="79" t="str">
        <f t="shared" si="197"/>
        <v/>
      </c>
      <c r="G2544" s="101"/>
      <c r="H2544" s="91">
        <f t="shared" si="198"/>
        <v>0</v>
      </c>
      <c r="I2544" s="91" t="str">
        <f t="shared" si="199"/>
        <v/>
      </c>
      <c r="J2544" s="91" t="str">
        <f t="shared" si="200"/>
        <v/>
      </c>
      <c r="K2544" s="92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2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58"/>
      <c r="U2544" s="217" t="str">
        <f t="shared" si="201"/>
        <v/>
      </c>
      <c r="V2544" s="215" t="s">
        <v>47</v>
      </c>
      <c r="W2544" s="102" t="s">
        <v>136</v>
      </c>
      <c r="X2544" s="102" t="s">
        <v>137</v>
      </c>
      <c r="Y2544" s="103" t="s">
        <v>138</v>
      </c>
      <c r="Z2544" s="103" t="s">
        <v>139</v>
      </c>
      <c r="AA2544" s="103" t="s">
        <v>47</v>
      </c>
      <c r="AB2544" s="103" t="s">
        <v>140</v>
      </c>
      <c r="AC2544" s="104" t="s">
        <v>141</v>
      </c>
    </row>
    <row r="2545" spans="1:29" ht="25.5" customHeight="1" x14ac:dyDescent="0.35">
      <c r="A2545" s="188"/>
      <c r="B2545" s="190"/>
      <c r="C2545" s="99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0"/>
      <c r="E2545" s="78" t="str">
        <f>IF(C2545="","",IFERROR(VLOOKUP(C2545,parametros!$A$11:$E$15,5,0),""))</f>
        <v/>
      </c>
      <c r="F2545" s="79" t="str">
        <f t="shared" si="197"/>
        <v/>
      </c>
      <c r="G2545" s="101"/>
      <c r="H2545" s="91">
        <f t="shared" si="198"/>
        <v>0</v>
      </c>
      <c r="I2545" s="91" t="str">
        <f t="shared" si="199"/>
        <v/>
      </c>
      <c r="J2545" s="91" t="str">
        <f t="shared" si="200"/>
        <v/>
      </c>
      <c r="K2545" s="92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2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58"/>
      <c r="U2545" s="217" t="str">
        <f t="shared" si="201"/>
        <v/>
      </c>
      <c r="V2545" s="215" t="s">
        <v>47</v>
      </c>
      <c r="W2545" s="102" t="s">
        <v>136</v>
      </c>
      <c r="X2545" s="102" t="s">
        <v>137</v>
      </c>
      <c r="Y2545" s="103" t="s">
        <v>138</v>
      </c>
      <c r="Z2545" s="103" t="s">
        <v>139</v>
      </c>
      <c r="AA2545" s="103" t="s">
        <v>47</v>
      </c>
      <c r="AB2545" s="103" t="s">
        <v>140</v>
      </c>
      <c r="AC2545" s="104" t="s">
        <v>141</v>
      </c>
    </row>
    <row r="2546" spans="1:29" ht="25.5" customHeight="1" x14ac:dyDescent="0.35">
      <c r="A2546" s="188"/>
      <c r="B2546" s="190"/>
      <c r="C2546" s="99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0"/>
      <c r="E2546" s="78" t="str">
        <f>IF(C2546="","",IFERROR(VLOOKUP(C2546,parametros!$A$11:$E$15,5,0),""))</f>
        <v/>
      </c>
      <c r="F2546" s="79" t="str">
        <f t="shared" si="197"/>
        <v/>
      </c>
      <c r="G2546" s="101"/>
      <c r="H2546" s="91">
        <f t="shared" si="198"/>
        <v>0</v>
      </c>
      <c r="I2546" s="91" t="str">
        <f t="shared" si="199"/>
        <v/>
      </c>
      <c r="J2546" s="91" t="str">
        <f t="shared" si="200"/>
        <v/>
      </c>
      <c r="K2546" s="92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2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58"/>
      <c r="U2546" s="217" t="str">
        <f t="shared" si="201"/>
        <v/>
      </c>
      <c r="V2546" s="215" t="s">
        <v>47</v>
      </c>
      <c r="W2546" s="102" t="s">
        <v>136</v>
      </c>
      <c r="X2546" s="102" t="s">
        <v>137</v>
      </c>
      <c r="Y2546" s="103" t="s">
        <v>138</v>
      </c>
      <c r="Z2546" s="103" t="s">
        <v>139</v>
      </c>
      <c r="AA2546" s="103" t="s">
        <v>47</v>
      </c>
      <c r="AB2546" s="103" t="s">
        <v>140</v>
      </c>
      <c r="AC2546" s="104" t="s">
        <v>141</v>
      </c>
    </row>
    <row r="2547" spans="1:29" ht="25.5" customHeight="1" x14ac:dyDescent="0.35">
      <c r="A2547" s="188"/>
      <c r="B2547" s="190"/>
      <c r="C2547" s="99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0"/>
      <c r="E2547" s="78" t="str">
        <f>IF(C2547="","",IFERROR(VLOOKUP(C2547,parametros!$A$11:$E$15,5,0),""))</f>
        <v/>
      </c>
      <c r="F2547" s="79" t="str">
        <f t="shared" si="197"/>
        <v/>
      </c>
      <c r="G2547" s="101"/>
      <c r="H2547" s="91">
        <f t="shared" si="198"/>
        <v>0</v>
      </c>
      <c r="I2547" s="91" t="str">
        <f t="shared" si="199"/>
        <v/>
      </c>
      <c r="J2547" s="91" t="str">
        <f t="shared" si="200"/>
        <v/>
      </c>
      <c r="K2547" s="92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2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58"/>
      <c r="U2547" s="217" t="str">
        <f t="shared" si="201"/>
        <v/>
      </c>
      <c r="V2547" s="215" t="s">
        <v>47</v>
      </c>
      <c r="W2547" s="102" t="s">
        <v>136</v>
      </c>
      <c r="X2547" s="102" t="s">
        <v>137</v>
      </c>
      <c r="Y2547" s="103" t="s">
        <v>138</v>
      </c>
      <c r="Z2547" s="103" t="s">
        <v>139</v>
      </c>
      <c r="AA2547" s="103" t="s">
        <v>47</v>
      </c>
      <c r="AB2547" s="103" t="s">
        <v>140</v>
      </c>
      <c r="AC2547" s="104" t="s">
        <v>141</v>
      </c>
    </row>
    <row r="2548" spans="1:29" ht="25.5" customHeight="1" x14ac:dyDescent="0.35">
      <c r="A2548" s="188"/>
      <c r="B2548" s="190"/>
      <c r="C2548" s="99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0"/>
      <c r="E2548" s="78" t="str">
        <f>IF(C2548="","",IFERROR(VLOOKUP(C2548,parametros!$A$11:$E$15,5,0),""))</f>
        <v/>
      </c>
      <c r="F2548" s="79" t="str">
        <f t="shared" si="197"/>
        <v/>
      </c>
      <c r="G2548" s="101"/>
      <c r="H2548" s="91">
        <f t="shared" si="198"/>
        <v>0</v>
      </c>
      <c r="I2548" s="91" t="str">
        <f t="shared" si="199"/>
        <v/>
      </c>
      <c r="J2548" s="91" t="str">
        <f t="shared" si="200"/>
        <v/>
      </c>
      <c r="K2548" s="92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2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58"/>
      <c r="U2548" s="217" t="str">
        <f t="shared" si="201"/>
        <v/>
      </c>
      <c r="V2548" s="215" t="s">
        <v>47</v>
      </c>
      <c r="W2548" s="102" t="s">
        <v>136</v>
      </c>
      <c r="X2548" s="102" t="s">
        <v>137</v>
      </c>
      <c r="Y2548" s="103" t="s">
        <v>138</v>
      </c>
      <c r="Z2548" s="103" t="s">
        <v>139</v>
      </c>
      <c r="AA2548" s="103" t="s">
        <v>47</v>
      </c>
      <c r="AB2548" s="103" t="s">
        <v>140</v>
      </c>
      <c r="AC2548" s="104" t="s">
        <v>141</v>
      </c>
    </row>
    <row r="2549" spans="1:29" ht="25.5" customHeight="1" x14ac:dyDescent="0.35">
      <c r="A2549" s="188"/>
      <c r="B2549" s="190"/>
      <c r="C2549" s="99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0"/>
      <c r="E2549" s="78" t="str">
        <f>IF(C2549="","",IFERROR(VLOOKUP(C2549,parametros!$A$11:$E$15,5,0),""))</f>
        <v/>
      </c>
      <c r="F2549" s="79" t="str">
        <f t="shared" si="197"/>
        <v/>
      </c>
      <c r="G2549" s="101"/>
      <c r="H2549" s="91">
        <f t="shared" si="198"/>
        <v>0</v>
      </c>
      <c r="I2549" s="91" t="str">
        <f t="shared" si="199"/>
        <v/>
      </c>
      <c r="J2549" s="91" t="str">
        <f t="shared" si="200"/>
        <v/>
      </c>
      <c r="K2549" s="92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2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58"/>
      <c r="U2549" s="217" t="str">
        <f t="shared" si="201"/>
        <v/>
      </c>
      <c r="V2549" s="215" t="s">
        <v>47</v>
      </c>
      <c r="W2549" s="102" t="s">
        <v>136</v>
      </c>
      <c r="X2549" s="102" t="s">
        <v>137</v>
      </c>
      <c r="Y2549" s="103" t="s">
        <v>138</v>
      </c>
      <c r="Z2549" s="103" t="s">
        <v>139</v>
      </c>
      <c r="AA2549" s="103" t="s">
        <v>47</v>
      </c>
      <c r="AB2549" s="103" t="s">
        <v>140</v>
      </c>
      <c r="AC2549" s="104" t="s">
        <v>141</v>
      </c>
    </row>
    <row r="2550" spans="1:29" ht="25.5" customHeight="1" x14ac:dyDescent="0.35">
      <c r="A2550" s="188"/>
      <c r="B2550" s="190"/>
      <c r="C2550" s="99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0"/>
      <c r="E2550" s="78" t="str">
        <f>IF(C2550="","",IFERROR(VLOOKUP(C2550,parametros!$A$11:$E$15,5,0),""))</f>
        <v/>
      </c>
      <c r="F2550" s="79" t="str">
        <f t="shared" si="197"/>
        <v/>
      </c>
      <c r="G2550" s="101"/>
      <c r="H2550" s="91">
        <f t="shared" si="198"/>
        <v>0</v>
      </c>
      <c r="I2550" s="91" t="str">
        <f t="shared" si="199"/>
        <v/>
      </c>
      <c r="J2550" s="91" t="str">
        <f t="shared" si="200"/>
        <v/>
      </c>
      <c r="K2550" s="92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2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58"/>
      <c r="U2550" s="217" t="str">
        <f t="shared" si="201"/>
        <v/>
      </c>
      <c r="V2550" s="215" t="s">
        <v>47</v>
      </c>
      <c r="W2550" s="102" t="s">
        <v>136</v>
      </c>
      <c r="X2550" s="102" t="s">
        <v>137</v>
      </c>
      <c r="Y2550" s="103" t="s">
        <v>138</v>
      </c>
      <c r="Z2550" s="103" t="s">
        <v>139</v>
      </c>
      <c r="AA2550" s="103" t="s">
        <v>47</v>
      </c>
      <c r="AB2550" s="103" t="s">
        <v>140</v>
      </c>
      <c r="AC2550" s="104" t="s">
        <v>141</v>
      </c>
    </row>
    <row r="2551" spans="1:29" ht="25.5" customHeight="1" x14ac:dyDescent="0.35">
      <c r="A2551" s="188"/>
      <c r="B2551" s="190"/>
      <c r="C2551" s="99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0"/>
      <c r="E2551" s="78" t="str">
        <f>IF(C2551="","",IFERROR(VLOOKUP(C2551,parametros!$A$11:$E$15,5,0),""))</f>
        <v/>
      </c>
      <c r="F2551" s="79" t="str">
        <f t="shared" si="197"/>
        <v/>
      </c>
      <c r="G2551" s="101"/>
      <c r="H2551" s="91">
        <f t="shared" si="198"/>
        <v>0</v>
      </c>
      <c r="I2551" s="91" t="str">
        <f t="shared" si="199"/>
        <v/>
      </c>
      <c r="J2551" s="91" t="str">
        <f t="shared" si="200"/>
        <v/>
      </c>
      <c r="K2551" s="92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2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58"/>
      <c r="U2551" s="217" t="str">
        <f t="shared" si="201"/>
        <v/>
      </c>
      <c r="V2551" s="215" t="s">
        <v>47</v>
      </c>
      <c r="W2551" s="102" t="s">
        <v>136</v>
      </c>
      <c r="X2551" s="102" t="s">
        <v>137</v>
      </c>
      <c r="Y2551" s="103" t="s">
        <v>138</v>
      </c>
      <c r="Z2551" s="103" t="s">
        <v>139</v>
      </c>
      <c r="AA2551" s="103" t="s">
        <v>47</v>
      </c>
      <c r="AB2551" s="103" t="s">
        <v>140</v>
      </c>
      <c r="AC2551" s="104" t="s">
        <v>141</v>
      </c>
    </row>
    <row r="2552" spans="1:29" ht="25.5" customHeight="1" x14ac:dyDescent="0.35">
      <c r="A2552" s="188"/>
      <c r="B2552" s="190"/>
      <c r="C2552" s="99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0"/>
      <c r="E2552" s="78" t="str">
        <f>IF(C2552="","",IFERROR(VLOOKUP(C2552,parametros!$A$11:$E$15,5,0),""))</f>
        <v/>
      </c>
      <c r="F2552" s="79" t="str">
        <f t="shared" si="197"/>
        <v/>
      </c>
      <c r="G2552" s="101"/>
      <c r="H2552" s="91">
        <f t="shared" si="198"/>
        <v>0</v>
      </c>
      <c r="I2552" s="91" t="str">
        <f t="shared" si="199"/>
        <v/>
      </c>
      <c r="J2552" s="91" t="str">
        <f t="shared" si="200"/>
        <v/>
      </c>
      <c r="K2552" s="92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2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58"/>
      <c r="U2552" s="217" t="str">
        <f t="shared" si="201"/>
        <v/>
      </c>
      <c r="V2552" s="215" t="s">
        <v>47</v>
      </c>
      <c r="W2552" s="102" t="s">
        <v>136</v>
      </c>
      <c r="X2552" s="102" t="s">
        <v>137</v>
      </c>
      <c r="Y2552" s="103" t="s">
        <v>138</v>
      </c>
      <c r="Z2552" s="103" t="s">
        <v>139</v>
      </c>
      <c r="AA2552" s="103" t="s">
        <v>47</v>
      </c>
      <c r="AB2552" s="103" t="s">
        <v>140</v>
      </c>
      <c r="AC2552" s="104" t="s">
        <v>141</v>
      </c>
    </row>
    <row r="2553" spans="1:29" ht="25.5" customHeight="1" x14ac:dyDescent="0.35">
      <c r="A2553" s="188"/>
      <c r="B2553" s="190"/>
      <c r="C2553" s="99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0"/>
      <c r="E2553" s="78" t="str">
        <f>IF(C2553="","",IFERROR(VLOOKUP(C2553,parametros!$A$11:$E$15,5,0),""))</f>
        <v/>
      </c>
      <c r="F2553" s="79" t="str">
        <f t="shared" si="197"/>
        <v/>
      </c>
      <c r="G2553" s="101"/>
      <c r="H2553" s="91">
        <f t="shared" si="198"/>
        <v>0</v>
      </c>
      <c r="I2553" s="91" t="str">
        <f t="shared" si="199"/>
        <v/>
      </c>
      <c r="J2553" s="91" t="str">
        <f t="shared" si="200"/>
        <v/>
      </c>
      <c r="K2553" s="92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2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58"/>
      <c r="U2553" s="217" t="str">
        <f t="shared" si="201"/>
        <v/>
      </c>
      <c r="V2553" s="215" t="s">
        <v>47</v>
      </c>
      <c r="W2553" s="102" t="s">
        <v>136</v>
      </c>
      <c r="X2553" s="102" t="s">
        <v>137</v>
      </c>
      <c r="Y2553" s="103" t="s">
        <v>138</v>
      </c>
      <c r="Z2553" s="103" t="s">
        <v>139</v>
      </c>
      <c r="AA2553" s="103" t="s">
        <v>47</v>
      </c>
      <c r="AB2553" s="103" t="s">
        <v>140</v>
      </c>
      <c r="AC2553" s="104" t="s">
        <v>141</v>
      </c>
    </row>
    <row r="2554" spans="1:29" ht="25.5" customHeight="1" x14ac:dyDescent="0.35">
      <c r="A2554" s="188"/>
      <c r="B2554" s="190"/>
      <c r="C2554" s="99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0"/>
      <c r="E2554" s="78" t="str">
        <f>IF(C2554="","",IFERROR(VLOOKUP(C2554,parametros!$A$11:$E$15,5,0),""))</f>
        <v/>
      </c>
      <c r="F2554" s="79" t="str">
        <f t="shared" si="197"/>
        <v/>
      </c>
      <c r="G2554" s="101"/>
      <c r="H2554" s="91">
        <f t="shared" si="198"/>
        <v>0</v>
      </c>
      <c r="I2554" s="91" t="str">
        <f t="shared" si="199"/>
        <v/>
      </c>
      <c r="J2554" s="91" t="str">
        <f t="shared" si="200"/>
        <v/>
      </c>
      <c r="K2554" s="92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2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58"/>
      <c r="U2554" s="217" t="str">
        <f t="shared" si="201"/>
        <v/>
      </c>
      <c r="V2554" s="215" t="s">
        <v>47</v>
      </c>
      <c r="W2554" s="102" t="s">
        <v>136</v>
      </c>
      <c r="X2554" s="102" t="s">
        <v>137</v>
      </c>
      <c r="Y2554" s="103" t="s">
        <v>138</v>
      </c>
      <c r="Z2554" s="103" t="s">
        <v>139</v>
      </c>
      <c r="AA2554" s="103" t="s">
        <v>47</v>
      </c>
      <c r="AB2554" s="103" t="s">
        <v>140</v>
      </c>
      <c r="AC2554" s="104" t="s">
        <v>141</v>
      </c>
    </row>
    <row r="2555" spans="1:29" ht="25.5" customHeight="1" x14ac:dyDescent="0.35">
      <c r="A2555" s="188"/>
      <c r="B2555" s="190"/>
      <c r="C2555" s="99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0"/>
      <c r="E2555" s="78" t="str">
        <f>IF(C2555="","",IFERROR(VLOOKUP(C2555,parametros!$A$11:$E$15,5,0),""))</f>
        <v/>
      </c>
      <c r="F2555" s="79" t="str">
        <f t="shared" si="197"/>
        <v/>
      </c>
      <c r="G2555" s="101"/>
      <c r="H2555" s="91">
        <f t="shared" si="198"/>
        <v>0</v>
      </c>
      <c r="I2555" s="91" t="str">
        <f t="shared" si="199"/>
        <v/>
      </c>
      <c r="J2555" s="91" t="str">
        <f t="shared" si="200"/>
        <v/>
      </c>
      <c r="K2555" s="92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2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58"/>
      <c r="U2555" s="217" t="str">
        <f t="shared" si="201"/>
        <v/>
      </c>
      <c r="V2555" s="215" t="s">
        <v>47</v>
      </c>
      <c r="W2555" s="102" t="s">
        <v>136</v>
      </c>
      <c r="X2555" s="102" t="s">
        <v>137</v>
      </c>
      <c r="Y2555" s="103" t="s">
        <v>138</v>
      </c>
      <c r="Z2555" s="103" t="s">
        <v>139</v>
      </c>
      <c r="AA2555" s="103" t="s">
        <v>47</v>
      </c>
      <c r="AB2555" s="103" t="s">
        <v>140</v>
      </c>
      <c r="AC2555" s="104" t="s">
        <v>141</v>
      </c>
    </row>
    <row r="2556" spans="1:29" ht="25.5" customHeight="1" x14ac:dyDescent="0.35">
      <c r="A2556" s="188"/>
      <c r="B2556" s="190"/>
      <c r="C2556" s="99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0"/>
      <c r="E2556" s="78" t="str">
        <f>IF(C2556="","",IFERROR(VLOOKUP(C2556,parametros!$A$11:$E$15,5,0),""))</f>
        <v/>
      </c>
      <c r="F2556" s="79" t="str">
        <f t="shared" si="197"/>
        <v/>
      </c>
      <c r="G2556" s="101"/>
      <c r="H2556" s="91">
        <f t="shared" si="198"/>
        <v>0</v>
      </c>
      <c r="I2556" s="91" t="str">
        <f t="shared" si="199"/>
        <v/>
      </c>
      <c r="J2556" s="91" t="str">
        <f t="shared" si="200"/>
        <v/>
      </c>
      <c r="K2556" s="92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2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58"/>
      <c r="U2556" s="217" t="str">
        <f t="shared" si="201"/>
        <v/>
      </c>
      <c r="V2556" s="215" t="s">
        <v>47</v>
      </c>
      <c r="W2556" s="102" t="s">
        <v>136</v>
      </c>
      <c r="X2556" s="102" t="s">
        <v>137</v>
      </c>
      <c r="Y2556" s="103" t="s">
        <v>138</v>
      </c>
      <c r="Z2556" s="103" t="s">
        <v>139</v>
      </c>
      <c r="AA2556" s="103" t="s">
        <v>47</v>
      </c>
      <c r="AB2556" s="103" t="s">
        <v>140</v>
      </c>
      <c r="AC2556" s="104" t="s">
        <v>141</v>
      </c>
    </row>
    <row r="2557" spans="1:29" ht="25.5" customHeight="1" x14ac:dyDescent="0.35">
      <c r="A2557" s="188"/>
      <c r="B2557" s="190"/>
      <c r="C2557" s="99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0"/>
      <c r="E2557" s="78" t="str">
        <f>IF(C2557="","",IFERROR(VLOOKUP(C2557,parametros!$A$11:$E$15,5,0),""))</f>
        <v/>
      </c>
      <c r="F2557" s="79" t="str">
        <f t="shared" si="197"/>
        <v/>
      </c>
      <c r="G2557" s="101"/>
      <c r="H2557" s="91">
        <f t="shared" si="198"/>
        <v>0</v>
      </c>
      <c r="I2557" s="91" t="str">
        <f t="shared" si="199"/>
        <v/>
      </c>
      <c r="J2557" s="91" t="str">
        <f t="shared" si="200"/>
        <v/>
      </c>
      <c r="K2557" s="92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2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58"/>
      <c r="U2557" s="217" t="str">
        <f t="shared" si="201"/>
        <v/>
      </c>
      <c r="V2557" s="215" t="s">
        <v>47</v>
      </c>
      <c r="W2557" s="102" t="s">
        <v>136</v>
      </c>
      <c r="X2557" s="102" t="s">
        <v>137</v>
      </c>
      <c r="Y2557" s="103" t="s">
        <v>138</v>
      </c>
      <c r="Z2557" s="103" t="s">
        <v>139</v>
      </c>
      <c r="AA2557" s="103" t="s">
        <v>47</v>
      </c>
      <c r="AB2557" s="103" t="s">
        <v>140</v>
      </c>
      <c r="AC2557" s="104" t="s">
        <v>141</v>
      </c>
    </row>
    <row r="2558" spans="1:29" ht="25.5" customHeight="1" x14ac:dyDescent="0.35">
      <c r="A2558" s="188"/>
      <c r="B2558" s="190"/>
      <c r="C2558" s="99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0"/>
      <c r="E2558" s="78" t="str">
        <f>IF(C2558="","",IFERROR(VLOOKUP(C2558,parametros!$A$11:$E$15,5,0),""))</f>
        <v/>
      </c>
      <c r="F2558" s="79" t="str">
        <f t="shared" si="197"/>
        <v/>
      </c>
      <c r="G2558" s="101"/>
      <c r="H2558" s="91">
        <f t="shared" si="198"/>
        <v>0</v>
      </c>
      <c r="I2558" s="91" t="str">
        <f t="shared" si="199"/>
        <v/>
      </c>
      <c r="J2558" s="91" t="str">
        <f t="shared" si="200"/>
        <v/>
      </c>
      <c r="K2558" s="92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2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58"/>
      <c r="U2558" s="217" t="str">
        <f t="shared" si="201"/>
        <v/>
      </c>
      <c r="V2558" s="215" t="s">
        <v>47</v>
      </c>
      <c r="W2558" s="102" t="s">
        <v>136</v>
      </c>
      <c r="X2558" s="102" t="s">
        <v>137</v>
      </c>
      <c r="Y2558" s="103" t="s">
        <v>138</v>
      </c>
      <c r="Z2558" s="103" t="s">
        <v>139</v>
      </c>
      <c r="AA2558" s="103" t="s">
        <v>47</v>
      </c>
      <c r="AB2558" s="103" t="s">
        <v>140</v>
      </c>
      <c r="AC2558" s="104" t="s">
        <v>141</v>
      </c>
    </row>
    <row r="2559" spans="1:29" ht="25.5" customHeight="1" x14ac:dyDescent="0.35">
      <c r="A2559" s="188"/>
      <c r="B2559" s="190"/>
      <c r="C2559" s="99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0"/>
      <c r="E2559" s="78" t="str">
        <f>IF(C2559="","",IFERROR(VLOOKUP(C2559,parametros!$A$11:$E$15,5,0),""))</f>
        <v/>
      </c>
      <c r="F2559" s="79" t="str">
        <f t="shared" si="197"/>
        <v/>
      </c>
      <c r="G2559" s="101"/>
      <c r="H2559" s="91">
        <f t="shared" si="198"/>
        <v>0</v>
      </c>
      <c r="I2559" s="91" t="str">
        <f t="shared" si="199"/>
        <v/>
      </c>
      <c r="J2559" s="91" t="str">
        <f t="shared" si="200"/>
        <v/>
      </c>
      <c r="K2559" s="92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2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58"/>
      <c r="U2559" s="217" t="str">
        <f t="shared" si="201"/>
        <v/>
      </c>
      <c r="V2559" s="215" t="s">
        <v>47</v>
      </c>
      <c r="W2559" s="102" t="s">
        <v>136</v>
      </c>
      <c r="X2559" s="102" t="s">
        <v>137</v>
      </c>
      <c r="Y2559" s="103" t="s">
        <v>138</v>
      </c>
      <c r="Z2559" s="103" t="s">
        <v>139</v>
      </c>
      <c r="AA2559" s="103" t="s">
        <v>47</v>
      </c>
      <c r="AB2559" s="103" t="s">
        <v>140</v>
      </c>
      <c r="AC2559" s="104" t="s">
        <v>141</v>
      </c>
    </row>
    <row r="2560" spans="1:29" ht="25.5" customHeight="1" x14ac:dyDescent="0.35">
      <c r="A2560" s="188"/>
      <c r="B2560" s="190"/>
      <c r="C2560" s="99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0"/>
      <c r="E2560" s="78" t="str">
        <f>IF(C2560="","",IFERROR(VLOOKUP(C2560,parametros!$A$11:$E$15,5,0),""))</f>
        <v/>
      </c>
      <c r="F2560" s="79" t="str">
        <f t="shared" si="197"/>
        <v/>
      </c>
      <c r="G2560" s="101"/>
      <c r="H2560" s="91">
        <f t="shared" si="198"/>
        <v>0</v>
      </c>
      <c r="I2560" s="91" t="str">
        <f t="shared" si="199"/>
        <v/>
      </c>
      <c r="J2560" s="91" t="str">
        <f t="shared" si="200"/>
        <v/>
      </c>
      <c r="K2560" s="92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2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58"/>
      <c r="U2560" s="217" t="str">
        <f t="shared" si="201"/>
        <v/>
      </c>
      <c r="V2560" s="215" t="s">
        <v>47</v>
      </c>
      <c r="W2560" s="102" t="s">
        <v>136</v>
      </c>
      <c r="X2560" s="102" t="s">
        <v>137</v>
      </c>
      <c r="Y2560" s="103" t="s">
        <v>138</v>
      </c>
      <c r="Z2560" s="103" t="s">
        <v>139</v>
      </c>
      <c r="AA2560" s="103" t="s">
        <v>47</v>
      </c>
      <c r="AB2560" s="103" t="s">
        <v>140</v>
      </c>
      <c r="AC2560" s="104" t="s">
        <v>141</v>
      </c>
    </row>
    <row r="2561" spans="1:29" ht="25.5" customHeight="1" x14ac:dyDescent="0.35">
      <c r="A2561" s="188"/>
      <c r="B2561" s="190"/>
      <c r="C2561" s="99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0"/>
      <c r="E2561" s="78" t="str">
        <f>IF(C2561="","",IFERROR(VLOOKUP(C2561,parametros!$A$11:$E$15,5,0),""))</f>
        <v/>
      </c>
      <c r="F2561" s="79" t="str">
        <f t="shared" si="197"/>
        <v/>
      </c>
      <c r="G2561" s="101"/>
      <c r="H2561" s="91">
        <f t="shared" si="198"/>
        <v>0</v>
      </c>
      <c r="I2561" s="91" t="str">
        <f t="shared" si="199"/>
        <v/>
      </c>
      <c r="J2561" s="91" t="str">
        <f t="shared" si="200"/>
        <v/>
      </c>
      <c r="K2561" s="92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2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58"/>
      <c r="U2561" s="217" t="str">
        <f t="shared" si="201"/>
        <v/>
      </c>
      <c r="V2561" s="215" t="s">
        <v>47</v>
      </c>
      <c r="W2561" s="102" t="s">
        <v>136</v>
      </c>
      <c r="X2561" s="102" t="s">
        <v>137</v>
      </c>
      <c r="Y2561" s="103" t="s">
        <v>138</v>
      </c>
      <c r="Z2561" s="103" t="s">
        <v>139</v>
      </c>
      <c r="AA2561" s="103" t="s">
        <v>47</v>
      </c>
      <c r="AB2561" s="103" t="s">
        <v>140</v>
      </c>
      <c r="AC2561" s="104" t="s">
        <v>141</v>
      </c>
    </row>
    <row r="2562" spans="1:29" ht="25.5" customHeight="1" x14ac:dyDescent="0.35">
      <c r="A2562" s="188"/>
      <c r="B2562" s="190"/>
      <c r="C2562" s="99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0"/>
      <c r="E2562" s="78" t="str">
        <f>IF(C2562="","",IFERROR(VLOOKUP(C2562,parametros!$A$11:$E$15,5,0),""))</f>
        <v/>
      </c>
      <c r="F2562" s="79" t="str">
        <f t="shared" ref="F2562:F2625" si="202">IF(OR(D2562="",E2562=""),"",ROUND(D2562*E2562,2))</f>
        <v/>
      </c>
      <c r="G2562" s="101"/>
      <c r="H2562" s="91">
        <f t="shared" ref="H2562:H2625" si="203">IF(G2562="Sim",IF(OR(F2562="",D2562="",L2562=""),"",IF(L2562="Sim",ROUND(F2562-D2562,2),0)),0)</f>
        <v>0</v>
      </c>
      <c r="I2562" s="91" t="str">
        <f t="shared" ref="I2562:I2625" si="204">IF(G2562="Sim",0,IF(OR(F2562="",L2562=""),"",F2562))</f>
        <v/>
      </c>
      <c r="J2562" s="91" t="str">
        <f t="shared" ref="J2562:J2625" si="205">IF(G2562="Sim",0,IF(OR(F2562="",D2562="",L2562=""),"",IF(L2562="Sim",ROUND(F2562-D2562,2),0)))</f>
        <v/>
      </c>
      <c r="K2562" s="92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2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58"/>
      <c r="U2562" s="217" t="str">
        <f t="shared" ref="U2562:U2625" si="206">IF(OR($D2562="",$H2562=""),"",ROUND($D2562+$H2562,2))</f>
        <v/>
      </c>
      <c r="V2562" s="215" t="s">
        <v>47</v>
      </c>
      <c r="W2562" s="102" t="s">
        <v>136</v>
      </c>
      <c r="X2562" s="102" t="s">
        <v>137</v>
      </c>
      <c r="Y2562" s="103" t="s">
        <v>138</v>
      </c>
      <c r="Z2562" s="103" t="s">
        <v>139</v>
      </c>
      <c r="AA2562" s="103" t="s">
        <v>47</v>
      </c>
      <c r="AB2562" s="103" t="s">
        <v>140</v>
      </c>
      <c r="AC2562" s="104" t="s">
        <v>141</v>
      </c>
    </row>
    <row r="2563" spans="1:29" ht="25.5" customHeight="1" x14ac:dyDescent="0.35">
      <c r="A2563" s="188"/>
      <c r="B2563" s="190"/>
      <c r="C2563" s="99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0"/>
      <c r="E2563" s="78" t="str">
        <f>IF(C2563="","",IFERROR(VLOOKUP(C2563,parametros!$A$11:$E$15,5,0),""))</f>
        <v/>
      </c>
      <c r="F2563" s="79" t="str">
        <f t="shared" si="202"/>
        <v/>
      </c>
      <c r="G2563" s="101"/>
      <c r="H2563" s="91">
        <f t="shared" si="203"/>
        <v>0</v>
      </c>
      <c r="I2563" s="91" t="str">
        <f t="shared" si="204"/>
        <v/>
      </c>
      <c r="J2563" s="91" t="str">
        <f t="shared" si="205"/>
        <v/>
      </c>
      <c r="K2563" s="92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2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58"/>
      <c r="U2563" s="217" t="str">
        <f t="shared" si="206"/>
        <v/>
      </c>
      <c r="V2563" s="215" t="s">
        <v>47</v>
      </c>
      <c r="W2563" s="102" t="s">
        <v>136</v>
      </c>
      <c r="X2563" s="102" t="s">
        <v>137</v>
      </c>
      <c r="Y2563" s="103" t="s">
        <v>138</v>
      </c>
      <c r="Z2563" s="103" t="s">
        <v>139</v>
      </c>
      <c r="AA2563" s="103" t="s">
        <v>47</v>
      </c>
      <c r="AB2563" s="103" t="s">
        <v>140</v>
      </c>
      <c r="AC2563" s="104" t="s">
        <v>141</v>
      </c>
    </row>
    <row r="2564" spans="1:29" ht="25.5" customHeight="1" x14ac:dyDescent="0.35">
      <c r="A2564" s="188"/>
      <c r="B2564" s="190"/>
      <c r="C2564" s="99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0"/>
      <c r="E2564" s="78" t="str">
        <f>IF(C2564="","",IFERROR(VLOOKUP(C2564,parametros!$A$11:$E$15,5,0),""))</f>
        <v/>
      </c>
      <c r="F2564" s="79" t="str">
        <f t="shared" si="202"/>
        <v/>
      </c>
      <c r="G2564" s="101"/>
      <c r="H2564" s="91">
        <f t="shared" si="203"/>
        <v>0</v>
      </c>
      <c r="I2564" s="91" t="str">
        <f t="shared" si="204"/>
        <v/>
      </c>
      <c r="J2564" s="91" t="str">
        <f t="shared" si="205"/>
        <v/>
      </c>
      <c r="K2564" s="92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2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58"/>
      <c r="U2564" s="217" t="str">
        <f t="shared" si="206"/>
        <v/>
      </c>
      <c r="V2564" s="215" t="s">
        <v>47</v>
      </c>
      <c r="W2564" s="102" t="s">
        <v>136</v>
      </c>
      <c r="X2564" s="102" t="s">
        <v>137</v>
      </c>
      <c r="Y2564" s="103" t="s">
        <v>138</v>
      </c>
      <c r="Z2564" s="103" t="s">
        <v>139</v>
      </c>
      <c r="AA2564" s="103" t="s">
        <v>47</v>
      </c>
      <c r="AB2564" s="103" t="s">
        <v>140</v>
      </c>
      <c r="AC2564" s="104" t="s">
        <v>141</v>
      </c>
    </row>
    <row r="2565" spans="1:29" ht="25.5" customHeight="1" x14ac:dyDescent="0.35">
      <c r="A2565" s="188"/>
      <c r="B2565" s="190"/>
      <c r="C2565" s="99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0"/>
      <c r="E2565" s="78" t="str">
        <f>IF(C2565="","",IFERROR(VLOOKUP(C2565,parametros!$A$11:$E$15,5,0),""))</f>
        <v/>
      </c>
      <c r="F2565" s="79" t="str">
        <f t="shared" si="202"/>
        <v/>
      </c>
      <c r="G2565" s="101"/>
      <c r="H2565" s="91">
        <f t="shared" si="203"/>
        <v>0</v>
      </c>
      <c r="I2565" s="91" t="str">
        <f t="shared" si="204"/>
        <v/>
      </c>
      <c r="J2565" s="91" t="str">
        <f t="shared" si="205"/>
        <v/>
      </c>
      <c r="K2565" s="92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2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58"/>
      <c r="U2565" s="217" t="str">
        <f t="shared" si="206"/>
        <v/>
      </c>
      <c r="V2565" s="215" t="s">
        <v>47</v>
      </c>
      <c r="W2565" s="102" t="s">
        <v>136</v>
      </c>
      <c r="X2565" s="102" t="s">
        <v>137</v>
      </c>
      <c r="Y2565" s="103" t="s">
        <v>138</v>
      </c>
      <c r="Z2565" s="103" t="s">
        <v>139</v>
      </c>
      <c r="AA2565" s="103" t="s">
        <v>47</v>
      </c>
      <c r="AB2565" s="103" t="s">
        <v>140</v>
      </c>
      <c r="AC2565" s="104" t="s">
        <v>141</v>
      </c>
    </row>
    <row r="2566" spans="1:29" ht="25.5" customHeight="1" x14ac:dyDescent="0.35">
      <c r="A2566" s="188"/>
      <c r="B2566" s="190"/>
      <c r="C2566" s="99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0"/>
      <c r="E2566" s="78" t="str">
        <f>IF(C2566="","",IFERROR(VLOOKUP(C2566,parametros!$A$11:$E$15,5,0),""))</f>
        <v/>
      </c>
      <c r="F2566" s="79" t="str">
        <f t="shared" si="202"/>
        <v/>
      </c>
      <c r="G2566" s="101"/>
      <c r="H2566" s="91">
        <f t="shared" si="203"/>
        <v>0</v>
      </c>
      <c r="I2566" s="91" t="str">
        <f t="shared" si="204"/>
        <v/>
      </c>
      <c r="J2566" s="91" t="str">
        <f t="shared" si="205"/>
        <v/>
      </c>
      <c r="K2566" s="92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2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58"/>
      <c r="U2566" s="217" t="str">
        <f t="shared" si="206"/>
        <v/>
      </c>
      <c r="V2566" s="215" t="s">
        <v>47</v>
      </c>
      <c r="W2566" s="102" t="s">
        <v>136</v>
      </c>
      <c r="X2566" s="102" t="s">
        <v>137</v>
      </c>
      <c r="Y2566" s="103" t="s">
        <v>138</v>
      </c>
      <c r="Z2566" s="103" t="s">
        <v>139</v>
      </c>
      <c r="AA2566" s="103" t="s">
        <v>47</v>
      </c>
      <c r="AB2566" s="103" t="s">
        <v>140</v>
      </c>
      <c r="AC2566" s="104" t="s">
        <v>141</v>
      </c>
    </row>
    <row r="2567" spans="1:29" ht="25.5" customHeight="1" x14ac:dyDescent="0.35">
      <c r="A2567" s="188"/>
      <c r="B2567" s="190"/>
      <c r="C2567" s="99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0"/>
      <c r="E2567" s="78" t="str">
        <f>IF(C2567="","",IFERROR(VLOOKUP(C2567,parametros!$A$11:$E$15,5,0),""))</f>
        <v/>
      </c>
      <c r="F2567" s="79" t="str">
        <f t="shared" si="202"/>
        <v/>
      </c>
      <c r="G2567" s="101"/>
      <c r="H2567" s="91">
        <f t="shared" si="203"/>
        <v>0</v>
      </c>
      <c r="I2567" s="91" t="str">
        <f t="shared" si="204"/>
        <v/>
      </c>
      <c r="J2567" s="91" t="str">
        <f t="shared" si="205"/>
        <v/>
      </c>
      <c r="K2567" s="92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2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58"/>
      <c r="U2567" s="217" t="str">
        <f t="shared" si="206"/>
        <v/>
      </c>
      <c r="V2567" s="215" t="s">
        <v>47</v>
      </c>
      <c r="W2567" s="102" t="s">
        <v>136</v>
      </c>
      <c r="X2567" s="102" t="s">
        <v>137</v>
      </c>
      <c r="Y2567" s="103" t="s">
        <v>138</v>
      </c>
      <c r="Z2567" s="103" t="s">
        <v>139</v>
      </c>
      <c r="AA2567" s="103" t="s">
        <v>47</v>
      </c>
      <c r="AB2567" s="103" t="s">
        <v>140</v>
      </c>
      <c r="AC2567" s="104" t="s">
        <v>141</v>
      </c>
    </row>
    <row r="2568" spans="1:29" ht="25.5" customHeight="1" x14ac:dyDescent="0.35">
      <c r="A2568" s="188"/>
      <c r="B2568" s="190"/>
      <c r="C2568" s="99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0"/>
      <c r="E2568" s="78" t="str">
        <f>IF(C2568="","",IFERROR(VLOOKUP(C2568,parametros!$A$11:$E$15,5,0),""))</f>
        <v/>
      </c>
      <c r="F2568" s="79" t="str">
        <f t="shared" si="202"/>
        <v/>
      </c>
      <c r="G2568" s="101"/>
      <c r="H2568" s="91">
        <f t="shared" si="203"/>
        <v>0</v>
      </c>
      <c r="I2568" s="91" t="str">
        <f t="shared" si="204"/>
        <v/>
      </c>
      <c r="J2568" s="91" t="str">
        <f t="shared" si="205"/>
        <v/>
      </c>
      <c r="K2568" s="92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2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58"/>
      <c r="U2568" s="217" t="str">
        <f t="shared" si="206"/>
        <v/>
      </c>
      <c r="V2568" s="215" t="s">
        <v>47</v>
      </c>
      <c r="W2568" s="102" t="s">
        <v>136</v>
      </c>
      <c r="X2568" s="102" t="s">
        <v>137</v>
      </c>
      <c r="Y2568" s="103" t="s">
        <v>138</v>
      </c>
      <c r="Z2568" s="103" t="s">
        <v>139</v>
      </c>
      <c r="AA2568" s="103" t="s">
        <v>47</v>
      </c>
      <c r="AB2568" s="103" t="s">
        <v>140</v>
      </c>
      <c r="AC2568" s="104" t="s">
        <v>141</v>
      </c>
    </row>
    <row r="2569" spans="1:29" ht="25.5" customHeight="1" x14ac:dyDescent="0.35">
      <c r="A2569" s="188"/>
      <c r="B2569" s="190"/>
      <c r="C2569" s="99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0"/>
      <c r="E2569" s="78" t="str">
        <f>IF(C2569="","",IFERROR(VLOOKUP(C2569,parametros!$A$11:$E$15,5,0),""))</f>
        <v/>
      </c>
      <c r="F2569" s="79" t="str">
        <f t="shared" si="202"/>
        <v/>
      </c>
      <c r="G2569" s="101"/>
      <c r="H2569" s="91">
        <f t="shared" si="203"/>
        <v>0</v>
      </c>
      <c r="I2569" s="91" t="str">
        <f t="shared" si="204"/>
        <v/>
      </c>
      <c r="J2569" s="91" t="str">
        <f t="shared" si="205"/>
        <v/>
      </c>
      <c r="K2569" s="92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2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58"/>
      <c r="U2569" s="217" t="str">
        <f t="shared" si="206"/>
        <v/>
      </c>
      <c r="V2569" s="215" t="s">
        <v>47</v>
      </c>
      <c r="W2569" s="102" t="s">
        <v>136</v>
      </c>
      <c r="X2569" s="102" t="s">
        <v>137</v>
      </c>
      <c r="Y2569" s="103" t="s">
        <v>138</v>
      </c>
      <c r="Z2569" s="103" t="s">
        <v>139</v>
      </c>
      <c r="AA2569" s="103" t="s">
        <v>47</v>
      </c>
      <c r="AB2569" s="103" t="s">
        <v>140</v>
      </c>
      <c r="AC2569" s="104" t="s">
        <v>141</v>
      </c>
    </row>
    <row r="2570" spans="1:29" ht="25.5" customHeight="1" x14ac:dyDescent="0.35">
      <c r="A2570" s="188"/>
      <c r="B2570" s="190"/>
      <c r="C2570" s="99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0"/>
      <c r="E2570" s="78" t="str">
        <f>IF(C2570="","",IFERROR(VLOOKUP(C2570,parametros!$A$11:$E$15,5,0),""))</f>
        <v/>
      </c>
      <c r="F2570" s="79" t="str">
        <f t="shared" si="202"/>
        <v/>
      </c>
      <c r="G2570" s="101"/>
      <c r="H2570" s="91">
        <f t="shared" si="203"/>
        <v>0</v>
      </c>
      <c r="I2570" s="91" t="str">
        <f t="shared" si="204"/>
        <v/>
      </c>
      <c r="J2570" s="91" t="str">
        <f t="shared" si="205"/>
        <v/>
      </c>
      <c r="K2570" s="92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2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58"/>
      <c r="U2570" s="217" t="str">
        <f t="shared" si="206"/>
        <v/>
      </c>
      <c r="V2570" s="215" t="s">
        <v>47</v>
      </c>
      <c r="W2570" s="102" t="s">
        <v>136</v>
      </c>
      <c r="X2570" s="102" t="s">
        <v>137</v>
      </c>
      <c r="Y2570" s="103" t="s">
        <v>138</v>
      </c>
      <c r="Z2570" s="103" t="s">
        <v>139</v>
      </c>
      <c r="AA2570" s="103" t="s">
        <v>47</v>
      </c>
      <c r="AB2570" s="103" t="s">
        <v>140</v>
      </c>
      <c r="AC2570" s="104" t="s">
        <v>141</v>
      </c>
    </row>
    <row r="2571" spans="1:29" ht="25.5" customHeight="1" x14ac:dyDescent="0.35">
      <c r="A2571" s="188"/>
      <c r="B2571" s="190"/>
      <c r="C2571" s="99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0"/>
      <c r="E2571" s="78" t="str">
        <f>IF(C2571="","",IFERROR(VLOOKUP(C2571,parametros!$A$11:$E$15,5,0),""))</f>
        <v/>
      </c>
      <c r="F2571" s="79" t="str">
        <f t="shared" si="202"/>
        <v/>
      </c>
      <c r="G2571" s="101"/>
      <c r="H2571" s="91">
        <f t="shared" si="203"/>
        <v>0</v>
      </c>
      <c r="I2571" s="91" t="str">
        <f t="shared" si="204"/>
        <v/>
      </c>
      <c r="J2571" s="91" t="str">
        <f t="shared" si="205"/>
        <v/>
      </c>
      <c r="K2571" s="92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2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58"/>
      <c r="U2571" s="217" t="str">
        <f t="shared" si="206"/>
        <v/>
      </c>
      <c r="V2571" s="215" t="s">
        <v>47</v>
      </c>
      <c r="W2571" s="102" t="s">
        <v>136</v>
      </c>
      <c r="X2571" s="102" t="s">
        <v>137</v>
      </c>
      <c r="Y2571" s="103" t="s">
        <v>138</v>
      </c>
      <c r="Z2571" s="103" t="s">
        <v>139</v>
      </c>
      <c r="AA2571" s="103" t="s">
        <v>47</v>
      </c>
      <c r="AB2571" s="103" t="s">
        <v>140</v>
      </c>
      <c r="AC2571" s="104" t="s">
        <v>141</v>
      </c>
    </row>
    <row r="2572" spans="1:29" ht="25.5" customHeight="1" x14ac:dyDescent="0.35">
      <c r="A2572" s="188"/>
      <c r="B2572" s="190"/>
      <c r="C2572" s="99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0"/>
      <c r="E2572" s="78" t="str">
        <f>IF(C2572="","",IFERROR(VLOOKUP(C2572,parametros!$A$11:$E$15,5,0),""))</f>
        <v/>
      </c>
      <c r="F2572" s="79" t="str">
        <f t="shared" si="202"/>
        <v/>
      </c>
      <c r="G2572" s="101"/>
      <c r="H2572" s="91">
        <f t="shared" si="203"/>
        <v>0</v>
      </c>
      <c r="I2572" s="91" t="str">
        <f t="shared" si="204"/>
        <v/>
      </c>
      <c r="J2572" s="91" t="str">
        <f t="shared" si="205"/>
        <v/>
      </c>
      <c r="K2572" s="92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2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58"/>
      <c r="U2572" s="217" t="str">
        <f t="shared" si="206"/>
        <v/>
      </c>
      <c r="V2572" s="215" t="s">
        <v>47</v>
      </c>
      <c r="W2572" s="102" t="s">
        <v>136</v>
      </c>
      <c r="X2572" s="102" t="s">
        <v>137</v>
      </c>
      <c r="Y2572" s="103" t="s">
        <v>138</v>
      </c>
      <c r="Z2572" s="103" t="s">
        <v>139</v>
      </c>
      <c r="AA2572" s="103" t="s">
        <v>47</v>
      </c>
      <c r="AB2572" s="103" t="s">
        <v>140</v>
      </c>
      <c r="AC2572" s="104" t="s">
        <v>141</v>
      </c>
    </row>
    <row r="2573" spans="1:29" ht="25.5" customHeight="1" x14ac:dyDescent="0.35">
      <c r="A2573" s="188"/>
      <c r="B2573" s="190"/>
      <c r="C2573" s="99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0"/>
      <c r="E2573" s="78" t="str">
        <f>IF(C2573="","",IFERROR(VLOOKUP(C2573,parametros!$A$11:$E$15,5,0),""))</f>
        <v/>
      </c>
      <c r="F2573" s="79" t="str">
        <f t="shared" si="202"/>
        <v/>
      </c>
      <c r="G2573" s="101"/>
      <c r="H2573" s="91">
        <f t="shared" si="203"/>
        <v>0</v>
      </c>
      <c r="I2573" s="91" t="str">
        <f t="shared" si="204"/>
        <v/>
      </c>
      <c r="J2573" s="91" t="str">
        <f t="shared" si="205"/>
        <v/>
      </c>
      <c r="K2573" s="92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2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58"/>
      <c r="U2573" s="217" t="str">
        <f t="shared" si="206"/>
        <v/>
      </c>
      <c r="V2573" s="215" t="s">
        <v>47</v>
      </c>
      <c r="W2573" s="102" t="s">
        <v>136</v>
      </c>
      <c r="X2573" s="102" t="s">
        <v>137</v>
      </c>
      <c r="Y2573" s="103" t="s">
        <v>138</v>
      </c>
      <c r="Z2573" s="103" t="s">
        <v>139</v>
      </c>
      <c r="AA2573" s="103" t="s">
        <v>47</v>
      </c>
      <c r="AB2573" s="103" t="s">
        <v>140</v>
      </c>
      <c r="AC2573" s="104" t="s">
        <v>141</v>
      </c>
    </row>
    <row r="2574" spans="1:29" ht="25.5" customHeight="1" x14ac:dyDescent="0.35">
      <c r="A2574" s="188"/>
      <c r="B2574" s="190"/>
      <c r="C2574" s="99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0"/>
      <c r="E2574" s="78" t="str">
        <f>IF(C2574="","",IFERROR(VLOOKUP(C2574,parametros!$A$11:$E$15,5,0),""))</f>
        <v/>
      </c>
      <c r="F2574" s="79" t="str">
        <f t="shared" si="202"/>
        <v/>
      </c>
      <c r="G2574" s="101"/>
      <c r="H2574" s="91">
        <f t="shared" si="203"/>
        <v>0</v>
      </c>
      <c r="I2574" s="91" t="str">
        <f t="shared" si="204"/>
        <v/>
      </c>
      <c r="J2574" s="91" t="str">
        <f t="shared" si="205"/>
        <v/>
      </c>
      <c r="K2574" s="92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2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58"/>
      <c r="U2574" s="217" t="str">
        <f t="shared" si="206"/>
        <v/>
      </c>
      <c r="V2574" s="215" t="s">
        <v>47</v>
      </c>
      <c r="W2574" s="102" t="s">
        <v>136</v>
      </c>
      <c r="X2574" s="102" t="s">
        <v>137</v>
      </c>
      <c r="Y2574" s="103" t="s">
        <v>138</v>
      </c>
      <c r="Z2574" s="103" t="s">
        <v>139</v>
      </c>
      <c r="AA2574" s="103" t="s">
        <v>47</v>
      </c>
      <c r="AB2574" s="103" t="s">
        <v>140</v>
      </c>
      <c r="AC2574" s="104" t="s">
        <v>141</v>
      </c>
    </row>
    <row r="2575" spans="1:29" ht="25.5" customHeight="1" x14ac:dyDescent="0.35">
      <c r="A2575" s="188"/>
      <c r="B2575" s="190"/>
      <c r="C2575" s="99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0"/>
      <c r="E2575" s="78" t="str">
        <f>IF(C2575="","",IFERROR(VLOOKUP(C2575,parametros!$A$11:$E$15,5,0),""))</f>
        <v/>
      </c>
      <c r="F2575" s="79" t="str">
        <f t="shared" si="202"/>
        <v/>
      </c>
      <c r="G2575" s="101"/>
      <c r="H2575" s="91">
        <f t="shared" si="203"/>
        <v>0</v>
      </c>
      <c r="I2575" s="91" t="str">
        <f t="shared" si="204"/>
        <v/>
      </c>
      <c r="J2575" s="91" t="str">
        <f t="shared" si="205"/>
        <v/>
      </c>
      <c r="K2575" s="92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2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58"/>
      <c r="U2575" s="217" t="str">
        <f t="shared" si="206"/>
        <v/>
      </c>
      <c r="V2575" s="215" t="s">
        <v>47</v>
      </c>
      <c r="W2575" s="102" t="s">
        <v>136</v>
      </c>
      <c r="X2575" s="102" t="s">
        <v>137</v>
      </c>
      <c r="Y2575" s="103" t="s">
        <v>138</v>
      </c>
      <c r="Z2575" s="103" t="s">
        <v>139</v>
      </c>
      <c r="AA2575" s="103" t="s">
        <v>47</v>
      </c>
      <c r="AB2575" s="103" t="s">
        <v>140</v>
      </c>
      <c r="AC2575" s="104" t="s">
        <v>141</v>
      </c>
    </row>
    <row r="2576" spans="1:29" ht="25.5" customHeight="1" x14ac:dyDescent="0.35">
      <c r="A2576" s="188"/>
      <c r="B2576" s="190"/>
      <c r="C2576" s="99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0"/>
      <c r="E2576" s="78" t="str">
        <f>IF(C2576="","",IFERROR(VLOOKUP(C2576,parametros!$A$11:$E$15,5,0),""))</f>
        <v/>
      </c>
      <c r="F2576" s="79" t="str">
        <f t="shared" si="202"/>
        <v/>
      </c>
      <c r="G2576" s="101"/>
      <c r="H2576" s="91">
        <f t="shared" si="203"/>
        <v>0</v>
      </c>
      <c r="I2576" s="91" t="str">
        <f t="shared" si="204"/>
        <v/>
      </c>
      <c r="J2576" s="91" t="str">
        <f t="shared" si="205"/>
        <v/>
      </c>
      <c r="K2576" s="92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2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58"/>
      <c r="U2576" s="217" t="str">
        <f t="shared" si="206"/>
        <v/>
      </c>
      <c r="V2576" s="215" t="s">
        <v>47</v>
      </c>
      <c r="W2576" s="102" t="s">
        <v>136</v>
      </c>
      <c r="X2576" s="102" t="s">
        <v>137</v>
      </c>
      <c r="Y2576" s="103" t="s">
        <v>138</v>
      </c>
      <c r="Z2576" s="103" t="s">
        <v>139</v>
      </c>
      <c r="AA2576" s="103" t="s">
        <v>47</v>
      </c>
      <c r="AB2576" s="103" t="s">
        <v>140</v>
      </c>
      <c r="AC2576" s="104" t="s">
        <v>141</v>
      </c>
    </row>
    <row r="2577" spans="1:29" ht="25.5" customHeight="1" x14ac:dyDescent="0.35">
      <c r="A2577" s="188"/>
      <c r="B2577" s="190"/>
      <c r="C2577" s="99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0"/>
      <c r="E2577" s="78" t="str">
        <f>IF(C2577="","",IFERROR(VLOOKUP(C2577,parametros!$A$11:$E$15,5,0),""))</f>
        <v/>
      </c>
      <c r="F2577" s="79" t="str">
        <f t="shared" si="202"/>
        <v/>
      </c>
      <c r="G2577" s="101"/>
      <c r="H2577" s="91">
        <f t="shared" si="203"/>
        <v>0</v>
      </c>
      <c r="I2577" s="91" t="str">
        <f t="shared" si="204"/>
        <v/>
      </c>
      <c r="J2577" s="91" t="str">
        <f t="shared" si="205"/>
        <v/>
      </c>
      <c r="K2577" s="92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2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58"/>
      <c r="U2577" s="217" t="str">
        <f t="shared" si="206"/>
        <v/>
      </c>
      <c r="V2577" s="215" t="s">
        <v>47</v>
      </c>
      <c r="W2577" s="102" t="s">
        <v>136</v>
      </c>
      <c r="X2577" s="102" t="s">
        <v>137</v>
      </c>
      <c r="Y2577" s="103" t="s">
        <v>138</v>
      </c>
      <c r="Z2577" s="103" t="s">
        <v>139</v>
      </c>
      <c r="AA2577" s="103" t="s">
        <v>47</v>
      </c>
      <c r="AB2577" s="103" t="s">
        <v>140</v>
      </c>
      <c r="AC2577" s="104" t="s">
        <v>141</v>
      </c>
    </row>
    <row r="2578" spans="1:29" ht="25.5" customHeight="1" x14ac:dyDescent="0.35">
      <c r="A2578" s="188"/>
      <c r="B2578" s="190"/>
      <c r="C2578" s="99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0"/>
      <c r="E2578" s="78" t="str">
        <f>IF(C2578="","",IFERROR(VLOOKUP(C2578,parametros!$A$11:$E$15,5,0),""))</f>
        <v/>
      </c>
      <c r="F2578" s="79" t="str">
        <f t="shared" si="202"/>
        <v/>
      </c>
      <c r="G2578" s="101"/>
      <c r="H2578" s="91">
        <f t="shared" si="203"/>
        <v>0</v>
      </c>
      <c r="I2578" s="91" t="str">
        <f t="shared" si="204"/>
        <v/>
      </c>
      <c r="J2578" s="91" t="str">
        <f t="shared" si="205"/>
        <v/>
      </c>
      <c r="K2578" s="92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2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58"/>
      <c r="U2578" s="217" t="str">
        <f t="shared" si="206"/>
        <v/>
      </c>
      <c r="V2578" s="215" t="s">
        <v>47</v>
      </c>
      <c r="W2578" s="102" t="s">
        <v>136</v>
      </c>
      <c r="X2578" s="102" t="s">
        <v>137</v>
      </c>
      <c r="Y2578" s="103" t="s">
        <v>138</v>
      </c>
      <c r="Z2578" s="103" t="s">
        <v>139</v>
      </c>
      <c r="AA2578" s="103" t="s">
        <v>47</v>
      </c>
      <c r="AB2578" s="103" t="s">
        <v>140</v>
      </c>
      <c r="AC2578" s="104" t="s">
        <v>141</v>
      </c>
    </row>
    <row r="2579" spans="1:29" ht="25.5" customHeight="1" x14ac:dyDescent="0.35">
      <c r="A2579" s="188"/>
      <c r="B2579" s="190"/>
      <c r="C2579" s="99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0"/>
      <c r="E2579" s="78" t="str">
        <f>IF(C2579="","",IFERROR(VLOOKUP(C2579,parametros!$A$11:$E$15,5,0),""))</f>
        <v/>
      </c>
      <c r="F2579" s="79" t="str">
        <f t="shared" si="202"/>
        <v/>
      </c>
      <c r="G2579" s="101"/>
      <c r="H2579" s="91">
        <f t="shared" si="203"/>
        <v>0</v>
      </c>
      <c r="I2579" s="91" t="str">
        <f t="shared" si="204"/>
        <v/>
      </c>
      <c r="J2579" s="91" t="str">
        <f t="shared" si="205"/>
        <v/>
      </c>
      <c r="K2579" s="92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2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58"/>
      <c r="U2579" s="217" t="str">
        <f t="shared" si="206"/>
        <v/>
      </c>
      <c r="V2579" s="215" t="s">
        <v>47</v>
      </c>
      <c r="W2579" s="102" t="s">
        <v>136</v>
      </c>
      <c r="X2579" s="102" t="s">
        <v>137</v>
      </c>
      <c r="Y2579" s="103" t="s">
        <v>138</v>
      </c>
      <c r="Z2579" s="103" t="s">
        <v>139</v>
      </c>
      <c r="AA2579" s="103" t="s">
        <v>47</v>
      </c>
      <c r="AB2579" s="103" t="s">
        <v>140</v>
      </c>
      <c r="AC2579" s="104" t="s">
        <v>141</v>
      </c>
    </row>
    <row r="2580" spans="1:29" ht="25.5" customHeight="1" x14ac:dyDescent="0.35">
      <c r="A2580" s="188"/>
      <c r="B2580" s="190"/>
      <c r="C2580" s="99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0"/>
      <c r="E2580" s="78" t="str">
        <f>IF(C2580="","",IFERROR(VLOOKUP(C2580,parametros!$A$11:$E$15,5,0),""))</f>
        <v/>
      </c>
      <c r="F2580" s="79" t="str">
        <f t="shared" si="202"/>
        <v/>
      </c>
      <c r="G2580" s="101"/>
      <c r="H2580" s="91">
        <f t="shared" si="203"/>
        <v>0</v>
      </c>
      <c r="I2580" s="91" t="str">
        <f t="shared" si="204"/>
        <v/>
      </c>
      <c r="J2580" s="91" t="str">
        <f t="shared" si="205"/>
        <v/>
      </c>
      <c r="K2580" s="92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2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58"/>
      <c r="U2580" s="217" t="str">
        <f t="shared" si="206"/>
        <v/>
      </c>
      <c r="V2580" s="215" t="s">
        <v>47</v>
      </c>
      <c r="W2580" s="102" t="s">
        <v>136</v>
      </c>
      <c r="X2580" s="102" t="s">
        <v>137</v>
      </c>
      <c r="Y2580" s="103" t="s">
        <v>138</v>
      </c>
      <c r="Z2580" s="103" t="s">
        <v>139</v>
      </c>
      <c r="AA2580" s="103" t="s">
        <v>47</v>
      </c>
      <c r="AB2580" s="103" t="s">
        <v>140</v>
      </c>
      <c r="AC2580" s="104" t="s">
        <v>141</v>
      </c>
    </row>
    <row r="2581" spans="1:29" ht="25.5" customHeight="1" x14ac:dyDescent="0.35">
      <c r="A2581" s="188"/>
      <c r="B2581" s="190"/>
      <c r="C2581" s="99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0"/>
      <c r="E2581" s="78" t="str">
        <f>IF(C2581="","",IFERROR(VLOOKUP(C2581,parametros!$A$11:$E$15,5,0),""))</f>
        <v/>
      </c>
      <c r="F2581" s="79" t="str">
        <f t="shared" si="202"/>
        <v/>
      </c>
      <c r="G2581" s="101"/>
      <c r="H2581" s="91">
        <f t="shared" si="203"/>
        <v>0</v>
      </c>
      <c r="I2581" s="91" t="str">
        <f t="shared" si="204"/>
        <v/>
      </c>
      <c r="J2581" s="91" t="str">
        <f t="shared" si="205"/>
        <v/>
      </c>
      <c r="K2581" s="92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2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58"/>
      <c r="U2581" s="217" t="str">
        <f t="shared" si="206"/>
        <v/>
      </c>
      <c r="V2581" s="215" t="s">
        <v>47</v>
      </c>
      <c r="W2581" s="102" t="s">
        <v>136</v>
      </c>
      <c r="X2581" s="102" t="s">
        <v>137</v>
      </c>
      <c r="Y2581" s="103" t="s">
        <v>138</v>
      </c>
      <c r="Z2581" s="103" t="s">
        <v>139</v>
      </c>
      <c r="AA2581" s="103" t="s">
        <v>47</v>
      </c>
      <c r="AB2581" s="103" t="s">
        <v>140</v>
      </c>
      <c r="AC2581" s="104" t="s">
        <v>141</v>
      </c>
    </row>
    <row r="2582" spans="1:29" ht="25.5" customHeight="1" x14ac:dyDescent="0.35">
      <c r="A2582" s="188"/>
      <c r="B2582" s="190"/>
      <c r="C2582" s="99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0"/>
      <c r="E2582" s="78" t="str">
        <f>IF(C2582="","",IFERROR(VLOOKUP(C2582,parametros!$A$11:$E$15,5,0),""))</f>
        <v/>
      </c>
      <c r="F2582" s="79" t="str">
        <f t="shared" si="202"/>
        <v/>
      </c>
      <c r="G2582" s="101"/>
      <c r="H2582" s="91">
        <f t="shared" si="203"/>
        <v>0</v>
      </c>
      <c r="I2582" s="91" t="str">
        <f t="shared" si="204"/>
        <v/>
      </c>
      <c r="J2582" s="91" t="str">
        <f t="shared" si="205"/>
        <v/>
      </c>
      <c r="K2582" s="92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2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58"/>
      <c r="U2582" s="217" t="str">
        <f t="shared" si="206"/>
        <v/>
      </c>
      <c r="V2582" s="215" t="s">
        <v>47</v>
      </c>
      <c r="W2582" s="102" t="s">
        <v>136</v>
      </c>
      <c r="X2582" s="102" t="s">
        <v>137</v>
      </c>
      <c r="Y2582" s="103" t="s">
        <v>138</v>
      </c>
      <c r="Z2582" s="103" t="s">
        <v>139</v>
      </c>
      <c r="AA2582" s="103" t="s">
        <v>47</v>
      </c>
      <c r="AB2582" s="103" t="s">
        <v>140</v>
      </c>
      <c r="AC2582" s="104" t="s">
        <v>141</v>
      </c>
    </row>
    <row r="2583" spans="1:29" ht="25.5" customHeight="1" x14ac:dyDescent="0.35">
      <c r="A2583" s="188"/>
      <c r="B2583" s="190"/>
      <c r="C2583" s="99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0"/>
      <c r="E2583" s="78" t="str">
        <f>IF(C2583="","",IFERROR(VLOOKUP(C2583,parametros!$A$11:$E$15,5,0),""))</f>
        <v/>
      </c>
      <c r="F2583" s="79" t="str">
        <f t="shared" si="202"/>
        <v/>
      </c>
      <c r="G2583" s="101"/>
      <c r="H2583" s="91">
        <f t="shared" si="203"/>
        <v>0</v>
      </c>
      <c r="I2583" s="91" t="str">
        <f t="shared" si="204"/>
        <v/>
      </c>
      <c r="J2583" s="91" t="str">
        <f t="shared" si="205"/>
        <v/>
      </c>
      <c r="K2583" s="92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2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58"/>
      <c r="U2583" s="217" t="str">
        <f t="shared" si="206"/>
        <v/>
      </c>
      <c r="V2583" s="215" t="s">
        <v>47</v>
      </c>
      <c r="W2583" s="102" t="s">
        <v>136</v>
      </c>
      <c r="X2583" s="102" t="s">
        <v>137</v>
      </c>
      <c r="Y2583" s="103" t="s">
        <v>138</v>
      </c>
      <c r="Z2583" s="103" t="s">
        <v>139</v>
      </c>
      <c r="AA2583" s="103" t="s">
        <v>47</v>
      </c>
      <c r="AB2583" s="103" t="s">
        <v>140</v>
      </c>
      <c r="AC2583" s="104" t="s">
        <v>141</v>
      </c>
    </row>
    <row r="2584" spans="1:29" ht="25.5" customHeight="1" x14ac:dyDescent="0.35">
      <c r="A2584" s="188"/>
      <c r="B2584" s="190"/>
      <c r="C2584" s="99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0"/>
      <c r="E2584" s="78" t="str">
        <f>IF(C2584="","",IFERROR(VLOOKUP(C2584,parametros!$A$11:$E$15,5,0),""))</f>
        <v/>
      </c>
      <c r="F2584" s="79" t="str">
        <f t="shared" si="202"/>
        <v/>
      </c>
      <c r="G2584" s="101"/>
      <c r="H2584" s="91">
        <f t="shared" si="203"/>
        <v>0</v>
      </c>
      <c r="I2584" s="91" t="str">
        <f t="shared" si="204"/>
        <v/>
      </c>
      <c r="J2584" s="91" t="str">
        <f t="shared" si="205"/>
        <v/>
      </c>
      <c r="K2584" s="92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2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58"/>
      <c r="U2584" s="217" t="str">
        <f t="shared" si="206"/>
        <v/>
      </c>
      <c r="V2584" s="215" t="s">
        <v>47</v>
      </c>
      <c r="W2584" s="102" t="s">
        <v>136</v>
      </c>
      <c r="X2584" s="102" t="s">
        <v>137</v>
      </c>
      <c r="Y2584" s="103" t="s">
        <v>138</v>
      </c>
      <c r="Z2584" s="103" t="s">
        <v>139</v>
      </c>
      <c r="AA2584" s="103" t="s">
        <v>47</v>
      </c>
      <c r="AB2584" s="103" t="s">
        <v>140</v>
      </c>
      <c r="AC2584" s="104" t="s">
        <v>141</v>
      </c>
    </row>
    <row r="2585" spans="1:29" ht="25.5" customHeight="1" x14ac:dyDescent="0.35">
      <c r="A2585" s="188"/>
      <c r="B2585" s="190"/>
      <c r="C2585" s="99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0"/>
      <c r="E2585" s="78" t="str">
        <f>IF(C2585="","",IFERROR(VLOOKUP(C2585,parametros!$A$11:$E$15,5,0),""))</f>
        <v/>
      </c>
      <c r="F2585" s="79" t="str">
        <f t="shared" si="202"/>
        <v/>
      </c>
      <c r="G2585" s="101"/>
      <c r="H2585" s="91">
        <f t="shared" si="203"/>
        <v>0</v>
      </c>
      <c r="I2585" s="91" t="str">
        <f t="shared" si="204"/>
        <v/>
      </c>
      <c r="J2585" s="91" t="str">
        <f t="shared" si="205"/>
        <v/>
      </c>
      <c r="K2585" s="92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2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58"/>
      <c r="U2585" s="217" t="str">
        <f t="shared" si="206"/>
        <v/>
      </c>
      <c r="V2585" s="215" t="s">
        <v>47</v>
      </c>
      <c r="W2585" s="102" t="s">
        <v>136</v>
      </c>
      <c r="X2585" s="102" t="s">
        <v>137</v>
      </c>
      <c r="Y2585" s="103" t="s">
        <v>138</v>
      </c>
      <c r="Z2585" s="103" t="s">
        <v>139</v>
      </c>
      <c r="AA2585" s="103" t="s">
        <v>47</v>
      </c>
      <c r="AB2585" s="103" t="s">
        <v>140</v>
      </c>
      <c r="AC2585" s="104" t="s">
        <v>141</v>
      </c>
    </row>
    <row r="2586" spans="1:29" ht="25.5" customHeight="1" x14ac:dyDescent="0.35">
      <c r="A2586" s="188"/>
      <c r="B2586" s="190"/>
      <c r="C2586" s="99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0"/>
      <c r="E2586" s="78" t="str">
        <f>IF(C2586="","",IFERROR(VLOOKUP(C2586,parametros!$A$11:$E$15,5,0),""))</f>
        <v/>
      </c>
      <c r="F2586" s="79" t="str">
        <f t="shared" si="202"/>
        <v/>
      </c>
      <c r="G2586" s="101"/>
      <c r="H2586" s="91">
        <f t="shared" si="203"/>
        <v>0</v>
      </c>
      <c r="I2586" s="91" t="str">
        <f t="shared" si="204"/>
        <v/>
      </c>
      <c r="J2586" s="91" t="str">
        <f t="shared" si="205"/>
        <v/>
      </c>
      <c r="K2586" s="92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2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58"/>
      <c r="U2586" s="217" t="str">
        <f t="shared" si="206"/>
        <v/>
      </c>
      <c r="V2586" s="215" t="s">
        <v>47</v>
      </c>
      <c r="W2586" s="102" t="s">
        <v>136</v>
      </c>
      <c r="X2586" s="102" t="s">
        <v>137</v>
      </c>
      <c r="Y2586" s="103" t="s">
        <v>138</v>
      </c>
      <c r="Z2586" s="103" t="s">
        <v>139</v>
      </c>
      <c r="AA2586" s="103" t="s">
        <v>47</v>
      </c>
      <c r="AB2586" s="103" t="s">
        <v>140</v>
      </c>
      <c r="AC2586" s="104" t="s">
        <v>141</v>
      </c>
    </row>
    <row r="2587" spans="1:29" ht="25.5" customHeight="1" x14ac:dyDescent="0.35">
      <c r="A2587" s="188"/>
      <c r="B2587" s="190"/>
      <c r="C2587" s="99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0"/>
      <c r="E2587" s="78" t="str">
        <f>IF(C2587="","",IFERROR(VLOOKUP(C2587,parametros!$A$11:$E$15,5,0),""))</f>
        <v/>
      </c>
      <c r="F2587" s="79" t="str">
        <f t="shared" si="202"/>
        <v/>
      </c>
      <c r="G2587" s="101"/>
      <c r="H2587" s="91">
        <f t="shared" si="203"/>
        <v>0</v>
      </c>
      <c r="I2587" s="91" t="str">
        <f t="shared" si="204"/>
        <v/>
      </c>
      <c r="J2587" s="91" t="str">
        <f t="shared" si="205"/>
        <v/>
      </c>
      <c r="K2587" s="92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2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58"/>
      <c r="U2587" s="217" t="str">
        <f t="shared" si="206"/>
        <v/>
      </c>
      <c r="V2587" s="215" t="s">
        <v>47</v>
      </c>
      <c r="W2587" s="102" t="s">
        <v>136</v>
      </c>
      <c r="X2587" s="102" t="s">
        <v>137</v>
      </c>
      <c r="Y2587" s="103" t="s">
        <v>138</v>
      </c>
      <c r="Z2587" s="103" t="s">
        <v>139</v>
      </c>
      <c r="AA2587" s="103" t="s">
        <v>47</v>
      </c>
      <c r="AB2587" s="103" t="s">
        <v>140</v>
      </c>
      <c r="AC2587" s="104" t="s">
        <v>141</v>
      </c>
    </row>
    <row r="2588" spans="1:29" ht="25.5" customHeight="1" x14ac:dyDescent="0.35">
      <c r="A2588" s="188"/>
      <c r="B2588" s="190"/>
      <c r="C2588" s="99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0"/>
      <c r="E2588" s="78" t="str">
        <f>IF(C2588="","",IFERROR(VLOOKUP(C2588,parametros!$A$11:$E$15,5,0),""))</f>
        <v/>
      </c>
      <c r="F2588" s="79" t="str">
        <f t="shared" si="202"/>
        <v/>
      </c>
      <c r="G2588" s="101"/>
      <c r="H2588" s="91">
        <f t="shared" si="203"/>
        <v>0</v>
      </c>
      <c r="I2588" s="91" t="str">
        <f t="shared" si="204"/>
        <v/>
      </c>
      <c r="J2588" s="91" t="str">
        <f t="shared" si="205"/>
        <v/>
      </c>
      <c r="K2588" s="92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2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58"/>
      <c r="U2588" s="217" t="str">
        <f t="shared" si="206"/>
        <v/>
      </c>
      <c r="V2588" s="215" t="s">
        <v>47</v>
      </c>
      <c r="W2588" s="102" t="s">
        <v>136</v>
      </c>
      <c r="X2588" s="102" t="s">
        <v>137</v>
      </c>
      <c r="Y2588" s="103" t="s">
        <v>138</v>
      </c>
      <c r="Z2588" s="103" t="s">
        <v>139</v>
      </c>
      <c r="AA2588" s="103" t="s">
        <v>47</v>
      </c>
      <c r="AB2588" s="103" t="s">
        <v>140</v>
      </c>
      <c r="AC2588" s="104" t="s">
        <v>141</v>
      </c>
    </row>
    <row r="2589" spans="1:29" ht="25.5" customHeight="1" x14ac:dyDescent="0.35">
      <c r="A2589" s="188"/>
      <c r="B2589" s="190"/>
      <c r="C2589" s="99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0"/>
      <c r="E2589" s="78" t="str">
        <f>IF(C2589="","",IFERROR(VLOOKUP(C2589,parametros!$A$11:$E$15,5,0),""))</f>
        <v/>
      </c>
      <c r="F2589" s="79" t="str">
        <f t="shared" si="202"/>
        <v/>
      </c>
      <c r="G2589" s="101"/>
      <c r="H2589" s="91">
        <f t="shared" si="203"/>
        <v>0</v>
      </c>
      <c r="I2589" s="91" t="str">
        <f t="shared" si="204"/>
        <v/>
      </c>
      <c r="J2589" s="91" t="str">
        <f t="shared" si="205"/>
        <v/>
      </c>
      <c r="K2589" s="92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2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58"/>
      <c r="U2589" s="217" t="str">
        <f t="shared" si="206"/>
        <v/>
      </c>
      <c r="V2589" s="215" t="s">
        <v>47</v>
      </c>
      <c r="W2589" s="102" t="s">
        <v>136</v>
      </c>
      <c r="X2589" s="102" t="s">
        <v>137</v>
      </c>
      <c r="Y2589" s="103" t="s">
        <v>138</v>
      </c>
      <c r="Z2589" s="103" t="s">
        <v>139</v>
      </c>
      <c r="AA2589" s="103" t="s">
        <v>47</v>
      </c>
      <c r="AB2589" s="103" t="s">
        <v>140</v>
      </c>
      <c r="AC2589" s="104" t="s">
        <v>141</v>
      </c>
    </row>
    <row r="2590" spans="1:29" ht="25.5" customHeight="1" x14ac:dyDescent="0.35">
      <c r="A2590" s="188"/>
      <c r="B2590" s="190"/>
      <c r="C2590" s="99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0"/>
      <c r="E2590" s="78" t="str">
        <f>IF(C2590="","",IFERROR(VLOOKUP(C2590,parametros!$A$11:$E$15,5,0),""))</f>
        <v/>
      </c>
      <c r="F2590" s="79" t="str">
        <f t="shared" si="202"/>
        <v/>
      </c>
      <c r="G2590" s="101"/>
      <c r="H2590" s="91">
        <f t="shared" si="203"/>
        <v>0</v>
      </c>
      <c r="I2590" s="91" t="str">
        <f t="shared" si="204"/>
        <v/>
      </c>
      <c r="J2590" s="91" t="str">
        <f t="shared" si="205"/>
        <v/>
      </c>
      <c r="K2590" s="92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2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58"/>
      <c r="U2590" s="217" t="str">
        <f t="shared" si="206"/>
        <v/>
      </c>
      <c r="V2590" s="215" t="s">
        <v>47</v>
      </c>
      <c r="W2590" s="102" t="s">
        <v>136</v>
      </c>
      <c r="X2590" s="102" t="s">
        <v>137</v>
      </c>
      <c r="Y2590" s="103" t="s">
        <v>138</v>
      </c>
      <c r="Z2590" s="103" t="s">
        <v>139</v>
      </c>
      <c r="AA2590" s="103" t="s">
        <v>47</v>
      </c>
      <c r="AB2590" s="103" t="s">
        <v>140</v>
      </c>
      <c r="AC2590" s="104" t="s">
        <v>141</v>
      </c>
    </row>
    <row r="2591" spans="1:29" ht="25.5" customHeight="1" x14ac:dyDescent="0.35">
      <c r="A2591" s="188"/>
      <c r="B2591" s="190"/>
      <c r="C2591" s="99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0"/>
      <c r="E2591" s="78" t="str">
        <f>IF(C2591="","",IFERROR(VLOOKUP(C2591,parametros!$A$11:$E$15,5,0),""))</f>
        <v/>
      </c>
      <c r="F2591" s="79" t="str">
        <f t="shared" si="202"/>
        <v/>
      </c>
      <c r="G2591" s="101"/>
      <c r="H2591" s="91">
        <f t="shared" si="203"/>
        <v>0</v>
      </c>
      <c r="I2591" s="91" t="str">
        <f t="shared" si="204"/>
        <v/>
      </c>
      <c r="J2591" s="91" t="str">
        <f t="shared" si="205"/>
        <v/>
      </c>
      <c r="K2591" s="92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2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58"/>
      <c r="U2591" s="217" t="str">
        <f t="shared" si="206"/>
        <v/>
      </c>
      <c r="V2591" s="215" t="s">
        <v>47</v>
      </c>
      <c r="W2591" s="102" t="s">
        <v>136</v>
      </c>
      <c r="X2591" s="102" t="s">
        <v>137</v>
      </c>
      <c r="Y2591" s="103" t="s">
        <v>138</v>
      </c>
      <c r="Z2591" s="103" t="s">
        <v>139</v>
      </c>
      <c r="AA2591" s="103" t="s">
        <v>47</v>
      </c>
      <c r="AB2591" s="103" t="s">
        <v>140</v>
      </c>
      <c r="AC2591" s="104" t="s">
        <v>141</v>
      </c>
    </row>
    <row r="2592" spans="1:29" ht="25.5" customHeight="1" x14ac:dyDescent="0.35">
      <c r="A2592" s="188"/>
      <c r="B2592" s="190"/>
      <c r="C2592" s="99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0"/>
      <c r="E2592" s="78" t="str">
        <f>IF(C2592="","",IFERROR(VLOOKUP(C2592,parametros!$A$11:$E$15,5,0),""))</f>
        <v/>
      </c>
      <c r="F2592" s="79" t="str">
        <f t="shared" si="202"/>
        <v/>
      </c>
      <c r="G2592" s="101"/>
      <c r="H2592" s="91">
        <f t="shared" si="203"/>
        <v>0</v>
      </c>
      <c r="I2592" s="91" t="str">
        <f t="shared" si="204"/>
        <v/>
      </c>
      <c r="J2592" s="91" t="str">
        <f t="shared" si="205"/>
        <v/>
      </c>
      <c r="K2592" s="92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2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58"/>
      <c r="U2592" s="217" t="str">
        <f t="shared" si="206"/>
        <v/>
      </c>
      <c r="V2592" s="215" t="s">
        <v>47</v>
      </c>
      <c r="W2592" s="102" t="s">
        <v>136</v>
      </c>
      <c r="X2592" s="102" t="s">
        <v>137</v>
      </c>
      <c r="Y2592" s="103" t="s">
        <v>138</v>
      </c>
      <c r="Z2592" s="103" t="s">
        <v>139</v>
      </c>
      <c r="AA2592" s="103" t="s">
        <v>47</v>
      </c>
      <c r="AB2592" s="103" t="s">
        <v>140</v>
      </c>
      <c r="AC2592" s="104" t="s">
        <v>141</v>
      </c>
    </row>
    <row r="2593" spans="1:29" ht="25.5" customHeight="1" x14ac:dyDescent="0.35">
      <c r="A2593" s="188"/>
      <c r="B2593" s="190"/>
      <c r="C2593" s="99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0"/>
      <c r="E2593" s="78" t="str">
        <f>IF(C2593="","",IFERROR(VLOOKUP(C2593,parametros!$A$11:$E$15,5,0),""))</f>
        <v/>
      </c>
      <c r="F2593" s="79" t="str">
        <f t="shared" si="202"/>
        <v/>
      </c>
      <c r="G2593" s="101"/>
      <c r="H2593" s="91">
        <f t="shared" si="203"/>
        <v>0</v>
      </c>
      <c r="I2593" s="91" t="str">
        <f t="shared" si="204"/>
        <v/>
      </c>
      <c r="J2593" s="91" t="str">
        <f t="shared" si="205"/>
        <v/>
      </c>
      <c r="K2593" s="92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2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58"/>
      <c r="U2593" s="217" t="str">
        <f t="shared" si="206"/>
        <v/>
      </c>
      <c r="V2593" s="215" t="s">
        <v>47</v>
      </c>
      <c r="W2593" s="102" t="s">
        <v>136</v>
      </c>
      <c r="X2593" s="102" t="s">
        <v>137</v>
      </c>
      <c r="Y2593" s="103" t="s">
        <v>138</v>
      </c>
      <c r="Z2593" s="103" t="s">
        <v>139</v>
      </c>
      <c r="AA2593" s="103" t="s">
        <v>47</v>
      </c>
      <c r="AB2593" s="103" t="s">
        <v>140</v>
      </c>
      <c r="AC2593" s="104" t="s">
        <v>141</v>
      </c>
    </row>
    <row r="2594" spans="1:29" ht="25.5" customHeight="1" x14ac:dyDescent="0.35">
      <c r="A2594" s="188"/>
      <c r="B2594" s="190"/>
      <c r="C2594" s="99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0"/>
      <c r="E2594" s="78" t="str">
        <f>IF(C2594="","",IFERROR(VLOOKUP(C2594,parametros!$A$11:$E$15,5,0),""))</f>
        <v/>
      </c>
      <c r="F2594" s="79" t="str">
        <f t="shared" si="202"/>
        <v/>
      </c>
      <c r="G2594" s="101"/>
      <c r="H2594" s="91">
        <f t="shared" si="203"/>
        <v>0</v>
      </c>
      <c r="I2594" s="91" t="str">
        <f t="shared" si="204"/>
        <v/>
      </c>
      <c r="J2594" s="91" t="str">
        <f t="shared" si="205"/>
        <v/>
      </c>
      <c r="K2594" s="92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2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58"/>
      <c r="U2594" s="217" t="str">
        <f t="shared" si="206"/>
        <v/>
      </c>
      <c r="V2594" s="215" t="s">
        <v>47</v>
      </c>
      <c r="W2594" s="102" t="s">
        <v>136</v>
      </c>
      <c r="X2594" s="102" t="s">
        <v>137</v>
      </c>
      <c r="Y2594" s="103" t="s">
        <v>138</v>
      </c>
      <c r="Z2594" s="103" t="s">
        <v>139</v>
      </c>
      <c r="AA2594" s="103" t="s">
        <v>47</v>
      </c>
      <c r="AB2594" s="103" t="s">
        <v>140</v>
      </c>
      <c r="AC2594" s="104" t="s">
        <v>141</v>
      </c>
    </row>
    <row r="2595" spans="1:29" ht="25.5" customHeight="1" x14ac:dyDescent="0.35">
      <c r="A2595" s="188"/>
      <c r="B2595" s="190"/>
      <c r="C2595" s="99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0"/>
      <c r="E2595" s="78" t="str">
        <f>IF(C2595="","",IFERROR(VLOOKUP(C2595,parametros!$A$11:$E$15,5,0),""))</f>
        <v/>
      </c>
      <c r="F2595" s="79" t="str">
        <f t="shared" si="202"/>
        <v/>
      </c>
      <c r="G2595" s="101"/>
      <c r="H2595" s="91">
        <f t="shared" si="203"/>
        <v>0</v>
      </c>
      <c r="I2595" s="91" t="str">
        <f t="shared" si="204"/>
        <v/>
      </c>
      <c r="J2595" s="91" t="str">
        <f t="shared" si="205"/>
        <v/>
      </c>
      <c r="K2595" s="92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2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58"/>
      <c r="U2595" s="217" t="str">
        <f t="shared" si="206"/>
        <v/>
      </c>
      <c r="V2595" s="215" t="s">
        <v>47</v>
      </c>
      <c r="W2595" s="102" t="s">
        <v>136</v>
      </c>
      <c r="X2595" s="102" t="s">
        <v>137</v>
      </c>
      <c r="Y2595" s="103" t="s">
        <v>138</v>
      </c>
      <c r="Z2595" s="103" t="s">
        <v>139</v>
      </c>
      <c r="AA2595" s="103" t="s">
        <v>47</v>
      </c>
      <c r="AB2595" s="103" t="s">
        <v>140</v>
      </c>
      <c r="AC2595" s="104" t="s">
        <v>141</v>
      </c>
    </row>
    <row r="2596" spans="1:29" ht="25.5" customHeight="1" x14ac:dyDescent="0.35">
      <c r="A2596" s="188"/>
      <c r="B2596" s="190"/>
      <c r="C2596" s="99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0"/>
      <c r="E2596" s="78" t="str">
        <f>IF(C2596="","",IFERROR(VLOOKUP(C2596,parametros!$A$11:$E$15,5,0),""))</f>
        <v/>
      </c>
      <c r="F2596" s="79" t="str">
        <f t="shared" si="202"/>
        <v/>
      </c>
      <c r="G2596" s="101"/>
      <c r="H2596" s="91">
        <f t="shared" si="203"/>
        <v>0</v>
      </c>
      <c r="I2596" s="91" t="str">
        <f t="shared" si="204"/>
        <v/>
      </c>
      <c r="J2596" s="91" t="str">
        <f t="shared" si="205"/>
        <v/>
      </c>
      <c r="K2596" s="92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2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58"/>
      <c r="U2596" s="217" t="str">
        <f t="shared" si="206"/>
        <v/>
      </c>
      <c r="V2596" s="215" t="s">
        <v>47</v>
      </c>
      <c r="W2596" s="102" t="s">
        <v>136</v>
      </c>
      <c r="X2596" s="102" t="s">
        <v>137</v>
      </c>
      <c r="Y2596" s="103" t="s">
        <v>138</v>
      </c>
      <c r="Z2596" s="103" t="s">
        <v>139</v>
      </c>
      <c r="AA2596" s="103" t="s">
        <v>47</v>
      </c>
      <c r="AB2596" s="103" t="s">
        <v>140</v>
      </c>
      <c r="AC2596" s="104" t="s">
        <v>141</v>
      </c>
    </row>
    <row r="2597" spans="1:29" ht="25.5" customHeight="1" x14ac:dyDescent="0.35">
      <c r="A2597" s="188"/>
      <c r="B2597" s="190"/>
      <c r="C2597" s="99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0"/>
      <c r="E2597" s="78" t="str">
        <f>IF(C2597="","",IFERROR(VLOOKUP(C2597,parametros!$A$11:$E$15,5,0),""))</f>
        <v/>
      </c>
      <c r="F2597" s="79" t="str">
        <f t="shared" si="202"/>
        <v/>
      </c>
      <c r="G2597" s="101"/>
      <c r="H2597" s="91">
        <f t="shared" si="203"/>
        <v>0</v>
      </c>
      <c r="I2597" s="91" t="str">
        <f t="shared" si="204"/>
        <v/>
      </c>
      <c r="J2597" s="91" t="str">
        <f t="shared" si="205"/>
        <v/>
      </c>
      <c r="K2597" s="92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2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58"/>
      <c r="U2597" s="217" t="str">
        <f t="shared" si="206"/>
        <v/>
      </c>
      <c r="V2597" s="215" t="s">
        <v>47</v>
      </c>
      <c r="W2597" s="102" t="s">
        <v>136</v>
      </c>
      <c r="X2597" s="102" t="s">
        <v>137</v>
      </c>
      <c r="Y2597" s="103" t="s">
        <v>138</v>
      </c>
      <c r="Z2597" s="103" t="s">
        <v>139</v>
      </c>
      <c r="AA2597" s="103" t="s">
        <v>47</v>
      </c>
      <c r="AB2597" s="103" t="s">
        <v>140</v>
      </c>
      <c r="AC2597" s="104" t="s">
        <v>141</v>
      </c>
    </row>
    <row r="2598" spans="1:29" ht="25.5" customHeight="1" x14ac:dyDescent="0.35">
      <c r="A2598" s="188"/>
      <c r="B2598" s="190"/>
      <c r="C2598" s="99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0"/>
      <c r="E2598" s="78" t="str">
        <f>IF(C2598="","",IFERROR(VLOOKUP(C2598,parametros!$A$11:$E$15,5,0),""))</f>
        <v/>
      </c>
      <c r="F2598" s="79" t="str">
        <f t="shared" si="202"/>
        <v/>
      </c>
      <c r="G2598" s="101"/>
      <c r="H2598" s="91">
        <f t="shared" si="203"/>
        <v>0</v>
      </c>
      <c r="I2598" s="91" t="str">
        <f t="shared" si="204"/>
        <v/>
      </c>
      <c r="J2598" s="91" t="str">
        <f t="shared" si="205"/>
        <v/>
      </c>
      <c r="K2598" s="92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2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58"/>
      <c r="U2598" s="217" t="str">
        <f t="shared" si="206"/>
        <v/>
      </c>
      <c r="V2598" s="215" t="s">
        <v>47</v>
      </c>
      <c r="W2598" s="102" t="s">
        <v>136</v>
      </c>
      <c r="X2598" s="102" t="s">
        <v>137</v>
      </c>
      <c r="Y2598" s="103" t="s">
        <v>138</v>
      </c>
      <c r="Z2598" s="103" t="s">
        <v>139</v>
      </c>
      <c r="AA2598" s="103" t="s">
        <v>47</v>
      </c>
      <c r="AB2598" s="103" t="s">
        <v>140</v>
      </c>
      <c r="AC2598" s="104" t="s">
        <v>141</v>
      </c>
    </row>
    <row r="2599" spans="1:29" ht="25.5" customHeight="1" x14ac:dyDescent="0.35">
      <c r="A2599" s="188"/>
      <c r="B2599" s="190"/>
      <c r="C2599" s="99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0"/>
      <c r="E2599" s="78" t="str">
        <f>IF(C2599="","",IFERROR(VLOOKUP(C2599,parametros!$A$11:$E$15,5,0),""))</f>
        <v/>
      </c>
      <c r="F2599" s="79" t="str">
        <f t="shared" si="202"/>
        <v/>
      </c>
      <c r="G2599" s="101"/>
      <c r="H2599" s="91">
        <f t="shared" si="203"/>
        <v>0</v>
      </c>
      <c r="I2599" s="91" t="str">
        <f t="shared" si="204"/>
        <v/>
      </c>
      <c r="J2599" s="91" t="str">
        <f t="shared" si="205"/>
        <v/>
      </c>
      <c r="K2599" s="92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2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58"/>
      <c r="U2599" s="217" t="str">
        <f t="shared" si="206"/>
        <v/>
      </c>
      <c r="V2599" s="215" t="s">
        <v>47</v>
      </c>
      <c r="W2599" s="102" t="s">
        <v>136</v>
      </c>
      <c r="X2599" s="102" t="s">
        <v>137</v>
      </c>
      <c r="Y2599" s="103" t="s">
        <v>138</v>
      </c>
      <c r="Z2599" s="103" t="s">
        <v>139</v>
      </c>
      <c r="AA2599" s="103" t="s">
        <v>47</v>
      </c>
      <c r="AB2599" s="103" t="s">
        <v>140</v>
      </c>
      <c r="AC2599" s="104" t="s">
        <v>141</v>
      </c>
    </row>
    <row r="2600" spans="1:29" ht="25.5" customHeight="1" x14ac:dyDescent="0.35">
      <c r="A2600" s="188"/>
      <c r="B2600" s="190"/>
      <c r="C2600" s="99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0"/>
      <c r="E2600" s="78" t="str">
        <f>IF(C2600="","",IFERROR(VLOOKUP(C2600,parametros!$A$11:$E$15,5,0),""))</f>
        <v/>
      </c>
      <c r="F2600" s="79" t="str">
        <f t="shared" si="202"/>
        <v/>
      </c>
      <c r="G2600" s="101"/>
      <c r="H2600" s="91">
        <f t="shared" si="203"/>
        <v>0</v>
      </c>
      <c r="I2600" s="91" t="str">
        <f t="shared" si="204"/>
        <v/>
      </c>
      <c r="J2600" s="91" t="str">
        <f t="shared" si="205"/>
        <v/>
      </c>
      <c r="K2600" s="92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2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58"/>
      <c r="U2600" s="217" t="str">
        <f t="shared" si="206"/>
        <v/>
      </c>
      <c r="V2600" s="215" t="s">
        <v>47</v>
      </c>
      <c r="W2600" s="102" t="s">
        <v>136</v>
      </c>
      <c r="X2600" s="102" t="s">
        <v>137</v>
      </c>
      <c r="Y2600" s="103" t="s">
        <v>138</v>
      </c>
      <c r="Z2600" s="103" t="s">
        <v>139</v>
      </c>
      <c r="AA2600" s="103" t="s">
        <v>47</v>
      </c>
      <c r="AB2600" s="103" t="s">
        <v>140</v>
      </c>
      <c r="AC2600" s="104" t="s">
        <v>141</v>
      </c>
    </row>
    <row r="2601" spans="1:29" ht="25.5" customHeight="1" x14ac:dyDescent="0.35">
      <c r="A2601" s="188"/>
      <c r="B2601" s="190"/>
      <c r="C2601" s="99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0"/>
      <c r="E2601" s="78" t="str">
        <f>IF(C2601="","",IFERROR(VLOOKUP(C2601,parametros!$A$11:$E$15,5,0),""))</f>
        <v/>
      </c>
      <c r="F2601" s="79" t="str">
        <f t="shared" si="202"/>
        <v/>
      </c>
      <c r="G2601" s="101"/>
      <c r="H2601" s="91">
        <f t="shared" si="203"/>
        <v>0</v>
      </c>
      <c r="I2601" s="91" t="str">
        <f t="shared" si="204"/>
        <v/>
      </c>
      <c r="J2601" s="91" t="str">
        <f t="shared" si="205"/>
        <v/>
      </c>
      <c r="K2601" s="92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2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58"/>
      <c r="U2601" s="217" t="str">
        <f t="shared" si="206"/>
        <v/>
      </c>
      <c r="V2601" s="215" t="s">
        <v>47</v>
      </c>
      <c r="W2601" s="102" t="s">
        <v>136</v>
      </c>
      <c r="X2601" s="102" t="s">
        <v>137</v>
      </c>
      <c r="Y2601" s="103" t="s">
        <v>138</v>
      </c>
      <c r="Z2601" s="103" t="s">
        <v>139</v>
      </c>
      <c r="AA2601" s="103" t="s">
        <v>47</v>
      </c>
      <c r="AB2601" s="103" t="s">
        <v>140</v>
      </c>
      <c r="AC2601" s="104" t="s">
        <v>141</v>
      </c>
    </row>
    <row r="2602" spans="1:29" ht="25.5" customHeight="1" x14ac:dyDescent="0.35">
      <c r="A2602" s="188"/>
      <c r="B2602" s="190"/>
      <c r="C2602" s="99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0"/>
      <c r="E2602" s="78" t="str">
        <f>IF(C2602="","",IFERROR(VLOOKUP(C2602,parametros!$A$11:$E$15,5,0),""))</f>
        <v/>
      </c>
      <c r="F2602" s="79" t="str">
        <f t="shared" si="202"/>
        <v/>
      </c>
      <c r="G2602" s="101"/>
      <c r="H2602" s="91">
        <f t="shared" si="203"/>
        <v>0</v>
      </c>
      <c r="I2602" s="91" t="str">
        <f t="shared" si="204"/>
        <v/>
      </c>
      <c r="J2602" s="91" t="str">
        <f t="shared" si="205"/>
        <v/>
      </c>
      <c r="K2602" s="92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2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58"/>
      <c r="U2602" s="217" t="str">
        <f t="shared" si="206"/>
        <v/>
      </c>
      <c r="V2602" s="215" t="s">
        <v>47</v>
      </c>
      <c r="W2602" s="102" t="s">
        <v>136</v>
      </c>
      <c r="X2602" s="102" t="s">
        <v>137</v>
      </c>
      <c r="Y2602" s="103" t="s">
        <v>138</v>
      </c>
      <c r="Z2602" s="103" t="s">
        <v>139</v>
      </c>
      <c r="AA2602" s="103" t="s">
        <v>47</v>
      </c>
      <c r="AB2602" s="103" t="s">
        <v>140</v>
      </c>
      <c r="AC2602" s="104" t="s">
        <v>141</v>
      </c>
    </row>
    <row r="2603" spans="1:29" ht="25.5" customHeight="1" x14ac:dyDescent="0.35">
      <c r="A2603" s="188"/>
      <c r="B2603" s="190"/>
      <c r="C2603" s="99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0"/>
      <c r="E2603" s="78" t="str">
        <f>IF(C2603="","",IFERROR(VLOOKUP(C2603,parametros!$A$11:$E$15,5,0),""))</f>
        <v/>
      </c>
      <c r="F2603" s="79" t="str">
        <f t="shared" si="202"/>
        <v/>
      </c>
      <c r="G2603" s="101"/>
      <c r="H2603" s="91">
        <f t="shared" si="203"/>
        <v>0</v>
      </c>
      <c r="I2603" s="91" t="str">
        <f t="shared" si="204"/>
        <v/>
      </c>
      <c r="J2603" s="91" t="str">
        <f t="shared" si="205"/>
        <v/>
      </c>
      <c r="K2603" s="92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2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58"/>
      <c r="U2603" s="217" t="str">
        <f t="shared" si="206"/>
        <v/>
      </c>
      <c r="V2603" s="215" t="s">
        <v>47</v>
      </c>
      <c r="W2603" s="102" t="s">
        <v>136</v>
      </c>
      <c r="X2603" s="102" t="s">
        <v>137</v>
      </c>
      <c r="Y2603" s="103" t="s">
        <v>138</v>
      </c>
      <c r="Z2603" s="103" t="s">
        <v>139</v>
      </c>
      <c r="AA2603" s="103" t="s">
        <v>47</v>
      </c>
      <c r="AB2603" s="103" t="s">
        <v>140</v>
      </c>
      <c r="AC2603" s="104" t="s">
        <v>141</v>
      </c>
    </row>
    <row r="2604" spans="1:29" ht="25.5" customHeight="1" x14ac:dyDescent="0.35">
      <c r="A2604" s="188"/>
      <c r="B2604" s="190"/>
      <c r="C2604" s="99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0"/>
      <c r="E2604" s="78" t="str">
        <f>IF(C2604="","",IFERROR(VLOOKUP(C2604,parametros!$A$11:$E$15,5,0),""))</f>
        <v/>
      </c>
      <c r="F2604" s="79" t="str">
        <f t="shared" si="202"/>
        <v/>
      </c>
      <c r="G2604" s="101"/>
      <c r="H2604" s="91">
        <f t="shared" si="203"/>
        <v>0</v>
      </c>
      <c r="I2604" s="91" t="str">
        <f t="shared" si="204"/>
        <v/>
      </c>
      <c r="J2604" s="91" t="str">
        <f t="shared" si="205"/>
        <v/>
      </c>
      <c r="K2604" s="92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2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58"/>
      <c r="U2604" s="217" t="str">
        <f t="shared" si="206"/>
        <v/>
      </c>
      <c r="V2604" s="215" t="s">
        <v>47</v>
      </c>
      <c r="W2604" s="102" t="s">
        <v>136</v>
      </c>
      <c r="X2604" s="102" t="s">
        <v>137</v>
      </c>
      <c r="Y2604" s="103" t="s">
        <v>138</v>
      </c>
      <c r="Z2604" s="103" t="s">
        <v>139</v>
      </c>
      <c r="AA2604" s="103" t="s">
        <v>47</v>
      </c>
      <c r="AB2604" s="103" t="s">
        <v>140</v>
      </c>
      <c r="AC2604" s="104" t="s">
        <v>141</v>
      </c>
    </row>
    <row r="2605" spans="1:29" ht="25.5" customHeight="1" x14ac:dyDescent="0.35">
      <c r="A2605" s="188"/>
      <c r="B2605" s="190"/>
      <c r="C2605" s="99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0"/>
      <c r="E2605" s="78" t="str">
        <f>IF(C2605="","",IFERROR(VLOOKUP(C2605,parametros!$A$11:$E$15,5,0),""))</f>
        <v/>
      </c>
      <c r="F2605" s="79" t="str">
        <f t="shared" si="202"/>
        <v/>
      </c>
      <c r="G2605" s="101"/>
      <c r="H2605" s="91">
        <f t="shared" si="203"/>
        <v>0</v>
      </c>
      <c r="I2605" s="91" t="str">
        <f t="shared" si="204"/>
        <v/>
      </c>
      <c r="J2605" s="91" t="str">
        <f t="shared" si="205"/>
        <v/>
      </c>
      <c r="K2605" s="92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2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58"/>
      <c r="U2605" s="217" t="str">
        <f t="shared" si="206"/>
        <v/>
      </c>
      <c r="V2605" s="215" t="s">
        <v>47</v>
      </c>
      <c r="W2605" s="102" t="s">
        <v>136</v>
      </c>
      <c r="X2605" s="102" t="s">
        <v>137</v>
      </c>
      <c r="Y2605" s="103" t="s">
        <v>138</v>
      </c>
      <c r="Z2605" s="103" t="s">
        <v>139</v>
      </c>
      <c r="AA2605" s="103" t="s">
        <v>47</v>
      </c>
      <c r="AB2605" s="103" t="s">
        <v>140</v>
      </c>
      <c r="AC2605" s="104" t="s">
        <v>141</v>
      </c>
    </row>
    <row r="2606" spans="1:29" ht="25.5" customHeight="1" x14ac:dyDescent="0.35">
      <c r="A2606" s="188"/>
      <c r="B2606" s="190"/>
      <c r="C2606" s="99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0"/>
      <c r="E2606" s="78" t="str">
        <f>IF(C2606="","",IFERROR(VLOOKUP(C2606,parametros!$A$11:$E$15,5,0),""))</f>
        <v/>
      </c>
      <c r="F2606" s="79" t="str">
        <f t="shared" si="202"/>
        <v/>
      </c>
      <c r="G2606" s="101"/>
      <c r="H2606" s="91">
        <f t="shared" si="203"/>
        <v>0</v>
      </c>
      <c r="I2606" s="91" t="str">
        <f t="shared" si="204"/>
        <v/>
      </c>
      <c r="J2606" s="91" t="str">
        <f t="shared" si="205"/>
        <v/>
      </c>
      <c r="K2606" s="92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2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58"/>
      <c r="U2606" s="217" t="str">
        <f t="shared" si="206"/>
        <v/>
      </c>
      <c r="V2606" s="215" t="s">
        <v>47</v>
      </c>
      <c r="W2606" s="102" t="s">
        <v>136</v>
      </c>
      <c r="X2606" s="102" t="s">
        <v>137</v>
      </c>
      <c r="Y2606" s="103" t="s">
        <v>138</v>
      </c>
      <c r="Z2606" s="103" t="s">
        <v>139</v>
      </c>
      <c r="AA2606" s="103" t="s">
        <v>47</v>
      </c>
      <c r="AB2606" s="103" t="s">
        <v>140</v>
      </c>
      <c r="AC2606" s="104" t="s">
        <v>141</v>
      </c>
    </row>
    <row r="2607" spans="1:29" ht="25.5" customHeight="1" x14ac:dyDescent="0.35">
      <c r="A2607" s="188"/>
      <c r="B2607" s="190"/>
      <c r="C2607" s="99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0"/>
      <c r="E2607" s="78" t="str">
        <f>IF(C2607="","",IFERROR(VLOOKUP(C2607,parametros!$A$11:$E$15,5,0),""))</f>
        <v/>
      </c>
      <c r="F2607" s="79" t="str">
        <f t="shared" si="202"/>
        <v/>
      </c>
      <c r="G2607" s="101"/>
      <c r="H2607" s="91">
        <f t="shared" si="203"/>
        <v>0</v>
      </c>
      <c r="I2607" s="91" t="str">
        <f t="shared" si="204"/>
        <v/>
      </c>
      <c r="J2607" s="91" t="str">
        <f t="shared" si="205"/>
        <v/>
      </c>
      <c r="K2607" s="92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2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58"/>
      <c r="U2607" s="217" t="str">
        <f t="shared" si="206"/>
        <v/>
      </c>
      <c r="V2607" s="215" t="s">
        <v>47</v>
      </c>
      <c r="W2607" s="102" t="s">
        <v>136</v>
      </c>
      <c r="X2607" s="102" t="s">
        <v>137</v>
      </c>
      <c r="Y2607" s="103" t="s">
        <v>138</v>
      </c>
      <c r="Z2607" s="103" t="s">
        <v>139</v>
      </c>
      <c r="AA2607" s="103" t="s">
        <v>47</v>
      </c>
      <c r="AB2607" s="103" t="s">
        <v>140</v>
      </c>
      <c r="AC2607" s="104" t="s">
        <v>141</v>
      </c>
    </row>
    <row r="2608" spans="1:29" ht="25.5" customHeight="1" x14ac:dyDescent="0.35">
      <c r="A2608" s="188"/>
      <c r="B2608" s="190"/>
      <c r="C2608" s="99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0"/>
      <c r="E2608" s="78" t="str">
        <f>IF(C2608="","",IFERROR(VLOOKUP(C2608,parametros!$A$11:$E$15,5,0),""))</f>
        <v/>
      </c>
      <c r="F2608" s="79" t="str">
        <f t="shared" si="202"/>
        <v/>
      </c>
      <c r="G2608" s="101"/>
      <c r="H2608" s="91">
        <f t="shared" si="203"/>
        <v>0</v>
      </c>
      <c r="I2608" s="91" t="str">
        <f t="shared" si="204"/>
        <v/>
      </c>
      <c r="J2608" s="91" t="str">
        <f t="shared" si="205"/>
        <v/>
      </c>
      <c r="K2608" s="92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2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58"/>
      <c r="U2608" s="217" t="str">
        <f t="shared" si="206"/>
        <v/>
      </c>
      <c r="V2608" s="215" t="s">
        <v>47</v>
      </c>
      <c r="W2608" s="102" t="s">
        <v>136</v>
      </c>
      <c r="X2608" s="102" t="s">
        <v>137</v>
      </c>
      <c r="Y2608" s="103" t="s">
        <v>138</v>
      </c>
      <c r="Z2608" s="103" t="s">
        <v>139</v>
      </c>
      <c r="AA2608" s="103" t="s">
        <v>47</v>
      </c>
      <c r="AB2608" s="103" t="s">
        <v>140</v>
      </c>
      <c r="AC2608" s="104" t="s">
        <v>141</v>
      </c>
    </row>
    <row r="2609" spans="1:29" ht="25.5" customHeight="1" x14ac:dyDescent="0.35">
      <c r="A2609" s="188"/>
      <c r="B2609" s="190"/>
      <c r="C2609" s="99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0"/>
      <c r="E2609" s="78" t="str">
        <f>IF(C2609="","",IFERROR(VLOOKUP(C2609,parametros!$A$11:$E$15,5,0),""))</f>
        <v/>
      </c>
      <c r="F2609" s="79" t="str">
        <f t="shared" si="202"/>
        <v/>
      </c>
      <c r="G2609" s="101"/>
      <c r="H2609" s="91">
        <f t="shared" si="203"/>
        <v>0</v>
      </c>
      <c r="I2609" s="91" t="str">
        <f t="shared" si="204"/>
        <v/>
      </c>
      <c r="J2609" s="91" t="str">
        <f t="shared" si="205"/>
        <v/>
      </c>
      <c r="K2609" s="92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2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58"/>
      <c r="U2609" s="217" t="str">
        <f t="shared" si="206"/>
        <v/>
      </c>
      <c r="V2609" s="215" t="s">
        <v>47</v>
      </c>
      <c r="W2609" s="102" t="s">
        <v>136</v>
      </c>
      <c r="X2609" s="102" t="s">
        <v>137</v>
      </c>
      <c r="Y2609" s="103" t="s">
        <v>138</v>
      </c>
      <c r="Z2609" s="103" t="s">
        <v>139</v>
      </c>
      <c r="AA2609" s="103" t="s">
        <v>47</v>
      </c>
      <c r="AB2609" s="103" t="s">
        <v>140</v>
      </c>
      <c r="AC2609" s="104" t="s">
        <v>141</v>
      </c>
    </row>
    <row r="2610" spans="1:29" ht="25.5" customHeight="1" x14ac:dyDescent="0.35">
      <c r="A2610" s="188"/>
      <c r="B2610" s="190"/>
      <c r="C2610" s="99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0"/>
      <c r="E2610" s="78" t="str">
        <f>IF(C2610="","",IFERROR(VLOOKUP(C2610,parametros!$A$11:$E$15,5,0),""))</f>
        <v/>
      </c>
      <c r="F2610" s="79" t="str">
        <f t="shared" si="202"/>
        <v/>
      </c>
      <c r="G2610" s="101"/>
      <c r="H2610" s="91">
        <f t="shared" si="203"/>
        <v>0</v>
      </c>
      <c r="I2610" s="91" t="str">
        <f t="shared" si="204"/>
        <v/>
      </c>
      <c r="J2610" s="91" t="str">
        <f t="shared" si="205"/>
        <v/>
      </c>
      <c r="K2610" s="92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2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58"/>
      <c r="U2610" s="217" t="str">
        <f t="shared" si="206"/>
        <v/>
      </c>
      <c r="V2610" s="215" t="s">
        <v>47</v>
      </c>
      <c r="W2610" s="102" t="s">
        <v>136</v>
      </c>
      <c r="X2610" s="102" t="s">
        <v>137</v>
      </c>
      <c r="Y2610" s="103" t="s">
        <v>138</v>
      </c>
      <c r="Z2610" s="103" t="s">
        <v>139</v>
      </c>
      <c r="AA2610" s="103" t="s">
        <v>47</v>
      </c>
      <c r="AB2610" s="103" t="s">
        <v>140</v>
      </c>
      <c r="AC2610" s="104" t="s">
        <v>141</v>
      </c>
    </row>
    <row r="2611" spans="1:29" ht="25.5" customHeight="1" x14ac:dyDescent="0.35">
      <c r="A2611" s="188"/>
      <c r="B2611" s="190"/>
      <c r="C2611" s="99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0"/>
      <c r="E2611" s="78" t="str">
        <f>IF(C2611="","",IFERROR(VLOOKUP(C2611,parametros!$A$11:$E$15,5,0),""))</f>
        <v/>
      </c>
      <c r="F2611" s="79" t="str">
        <f t="shared" si="202"/>
        <v/>
      </c>
      <c r="G2611" s="101"/>
      <c r="H2611" s="91">
        <f t="shared" si="203"/>
        <v>0</v>
      </c>
      <c r="I2611" s="91" t="str">
        <f t="shared" si="204"/>
        <v/>
      </c>
      <c r="J2611" s="91" t="str">
        <f t="shared" si="205"/>
        <v/>
      </c>
      <c r="K2611" s="92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2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58"/>
      <c r="U2611" s="217" t="str">
        <f t="shared" si="206"/>
        <v/>
      </c>
      <c r="V2611" s="215" t="s">
        <v>47</v>
      </c>
      <c r="W2611" s="102" t="s">
        <v>136</v>
      </c>
      <c r="X2611" s="102" t="s">
        <v>137</v>
      </c>
      <c r="Y2611" s="103" t="s">
        <v>138</v>
      </c>
      <c r="Z2611" s="103" t="s">
        <v>139</v>
      </c>
      <c r="AA2611" s="103" t="s">
        <v>47</v>
      </c>
      <c r="AB2611" s="103" t="s">
        <v>140</v>
      </c>
      <c r="AC2611" s="104" t="s">
        <v>141</v>
      </c>
    </row>
    <row r="2612" spans="1:29" ht="25.5" customHeight="1" x14ac:dyDescent="0.35">
      <c r="A2612" s="188"/>
      <c r="B2612" s="190"/>
      <c r="C2612" s="99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0"/>
      <c r="E2612" s="78" t="str">
        <f>IF(C2612="","",IFERROR(VLOOKUP(C2612,parametros!$A$11:$E$15,5,0),""))</f>
        <v/>
      </c>
      <c r="F2612" s="79" t="str">
        <f t="shared" si="202"/>
        <v/>
      </c>
      <c r="G2612" s="101"/>
      <c r="H2612" s="91">
        <f t="shared" si="203"/>
        <v>0</v>
      </c>
      <c r="I2612" s="91" t="str">
        <f t="shared" si="204"/>
        <v/>
      </c>
      <c r="J2612" s="91" t="str">
        <f t="shared" si="205"/>
        <v/>
      </c>
      <c r="K2612" s="92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2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58"/>
      <c r="U2612" s="217" t="str">
        <f t="shared" si="206"/>
        <v/>
      </c>
      <c r="V2612" s="215" t="s">
        <v>47</v>
      </c>
      <c r="W2612" s="102" t="s">
        <v>136</v>
      </c>
      <c r="X2612" s="102" t="s">
        <v>137</v>
      </c>
      <c r="Y2612" s="103" t="s">
        <v>138</v>
      </c>
      <c r="Z2612" s="103" t="s">
        <v>139</v>
      </c>
      <c r="AA2612" s="103" t="s">
        <v>47</v>
      </c>
      <c r="AB2612" s="103" t="s">
        <v>140</v>
      </c>
      <c r="AC2612" s="104" t="s">
        <v>141</v>
      </c>
    </row>
    <row r="2613" spans="1:29" ht="25.5" customHeight="1" x14ac:dyDescent="0.35">
      <c r="A2613" s="188"/>
      <c r="B2613" s="190"/>
      <c r="C2613" s="99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0"/>
      <c r="E2613" s="78" t="str">
        <f>IF(C2613="","",IFERROR(VLOOKUP(C2613,parametros!$A$11:$E$15,5,0),""))</f>
        <v/>
      </c>
      <c r="F2613" s="79" t="str">
        <f t="shared" si="202"/>
        <v/>
      </c>
      <c r="G2613" s="101"/>
      <c r="H2613" s="91">
        <f t="shared" si="203"/>
        <v>0</v>
      </c>
      <c r="I2613" s="91" t="str">
        <f t="shared" si="204"/>
        <v/>
      </c>
      <c r="J2613" s="91" t="str">
        <f t="shared" si="205"/>
        <v/>
      </c>
      <c r="K2613" s="92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2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58"/>
      <c r="U2613" s="217" t="str">
        <f t="shared" si="206"/>
        <v/>
      </c>
      <c r="V2613" s="215" t="s">
        <v>47</v>
      </c>
      <c r="W2613" s="102" t="s">
        <v>136</v>
      </c>
      <c r="X2613" s="102" t="s">
        <v>137</v>
      </c>
      <c r="Y2613" s="103" t="s">
        <v>138</v>
      </c>
      <c r="Z2613" s="103" t="s">
        <v>139</v>
      </c>
      <c r="AA2613" s="103" t="s">
        <v>47</v>
      </c>
      <c r="AB2613" s="103" t="s">
        <v>140</v>
      </c>
      <c r="AC2613" s="104" t="s">
        <v>141</v>
      </c>
    </row>
    <row r="2614" spans="1:29" ht="25.5" customHeight="1" x14ac:dyDescent="0.35">
      <c r="A2614" s="188"/>
      <c r="B2614" s="190"/>
      <c r="C2614" s="99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0"/>
      <c r="E2614" s="78" t="str">
        <f>IF(C2614="","",IFERROR(VLOOKUP(C2614,parametros!$A$11:$E$15,5,0),""))</f>
        <v/>
      </c>
      <c r="F2614" s="79" t="str">
        <f t="shared" si="202"/>
        <v/>
      </c>
      <c r="G2614" s="101"/>
      <c r="H2614" s="91">
        <f t="shared" si="203"/>
        <v>0</v>
      </c>
      <c r="I2614" s="91" t="str">
        <f t="shared" si="204"/>
        <v/>
      </c>
      <c r="J2614" s="91" t="str">
        <f t="shared" si="205"/>
        <v/>
      </c>
      <c r="K2614" s="92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2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58"/>
      <c r="U2614" s="217" t="str">
        <f t="shared" si="206"/>
        <v/>
      </c>
      <c r="V2614" s="215" t="s">
        <v>47</v>
      </c>
      <c r="W2614" s="102" t="s">
        <v>136</v>
      </c>
      <c r="X2614" s="102" t="s">
        <v>137</v>
      </c>
      <c r="Y2614" s="103" t="s">
        <v>138</v>
      </c>
      <c r="Z2614" s="103" t="s">
        <v>139</v>
      </c>
      <c r="AA2614" s="103" t="s">
        <v>47</v>
      </c>
      <c r="AB2614" s="103" t="s">
        <v>140</v>
      </c>
      <c r="AC2614" s="104" t="s">
        <v>141</v>
      </c>
    </row>
    <row r="2615" spans="1:29" ht="25.5" customHeight="1" x14ac:dyDescent="0.35">
      <c r="A2615" s="188"/>
      <c r="B2615" s="190"/>
      <c r="C2615" s="99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0"/>
      <c r="E2615" s="78" t="str">
        <f>IF(C2615="","",IFERROR(VLOOKUP(C2615,parametros!$A$11:$E$15,5,0),""))</f>
        <v/>
      </c>
      <c r="F2615" s="79" t="str">
        <f t="shared" si="202"/>
        <v/>
      </c>
      <c r="G2615" s="101"/>
      <c r="H2615" s="91">
        <f t="shared" si="203"/>
        <v>0</v>
      </c>
      <c r="I2615" s="91" t="str">
        <f t="shared" si="204"/>
        <v/>
      </c>
      <c r="J2615" s="91" t="str">
        <f t="shared" si="205"/>
        <v/>
      </c>
      <c r="K2615" s="92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2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58"/>
      <c r="U2615" s="217" t="str">
        <f t="shared" si="206"/>
        <v/>
      </c>
      <c r="V2615" s="215" t="s">
        <v>47</v>
      </c>
      <c r="W2615" s="102" t="s">
        <v>136</v>
      </c>
      <c r="X2615" s="102" t="s">
        <v>137</v>
      </c>
      <c r="Y2615" s="103" t="s">
        <v>138</v>
      </c>
      <c r="Z2615" s="103" t="s">
        <v>139</v>
      </c>
      <c r="AA2615" s="103" t="s">
        <v>47</v>
      </c>
      <c r="AB2615" s="103" t="s">
        <v>140</v>
      </c>
      <c r="AC2615" s="104" t="s">
        <v>141</v>
      </c>
    </row>
    <row r="2616" spans="1:29" ht="25.5" customHeight="1" x14ac:dyDescent="0.35">
      <c r="A2616" s="188"/>
      <c r="B2616" s="190"/>
      <c r="C2616" s="99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0"/>
      <c r="E2616" s="78" t="str">
        <f>IF(C2616="","",IFERROR(VLOOKUP(C2616,parametros!$A$11:$E$15,5,0),""))</f>
        <v/>
      </c>
      <c r="F2616" s="79" t="str">
        <f t="shared" si="202"/>
        <v/>
      </c>
      <c r="G2616" s="101"/>
      <c r="H2616" s="91">
        <f t="shared" si="203"/>
        <v>0</v>
      </c>
      <c r="I2616" s="91" t="str">
        <f t="shared" si="204"/>
        <v/>
      </c>
      <c r="J2616" s="91" t="str">
        <f t="shared" si="205"/>
        <v/>
      </c>
      <c r="K2616" s="92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2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58"/>
      <c r="U2616" s="217" t="str">
        <f t="shared" si="206"/>
        <v/>
      </c>
      <c r="V2616" s="215" t="s">
        <v>47</v>
      </c>
      <c r="W2616" s="102" t="s">
        <v>136</v>
      </c>
      <c r="X2616" s="102" t="s">
        <v>137</v>
      </c>
      <c r="Y2616" s="103" t="s">
        <v>138</v>
      </c>
      <c r="Z2616" s="103" t="s">
        <v>139</v>
      </c>
      <c r="AA2616" s="103" t="s">
        <v>47</v>
      </c>
      <c r="AB2616" s="103" t="s">
        <v>140</v>
      </c>
      <c r="AC2616" s="104" t="s">
        <v>141</v>
      </c>
    </row>
    <row r="2617" spans="1:29" ht="25.5" customHeight="1" x14ac:dyDescent="0.35">
      <c r="A2617" s="188"/>
      <c r="B2617" s="190"/>
      <c r="C2617" s="99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0"/>
      <c r="E2617" s="78" t="str">
        <f>IF(C2617="","",IFERROR(VLOOKUP(C2617,parametros!$A$11:$E$15,5,0),""))</f>
        <v/>
      </c>
      <c r="F2617" s="79" t="str">
        <f t="shared" si="202"/>
        <v/>
      </c>
      <c r="G2617" s="101"/>
      <c r="H2617" s="91">
        <f t="shared" si="203"/>
        <v>0</v>
      </c>
      <c r="I2617" s="91" t="str">
        <f t="shared" si="204"/>
        <v/>
      </c>
      <c r="J2617" s="91" t="str">
        <f t="shared" si="205"/>
        <v/>
      </c>
      <c r="K2617" s="92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2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58"/>
      <c r="U2617" s="217" t="str">
        <f t="shared" si="206"/>
        <v/>
      </c>
      <c r="V2617" s="215" t="s">
        <v>47</v>
      </c>
      <c r="W2617" s="102" t="s">
        <v>136</v>
      </c>
      <c r="X2617" s="102" t="s">
        <v>137</v>
      </c>
      <c r="Y2617" s="103" t="s">
        <v>138</v>
      </c>
      <c r="Z2617" s="103" t="s">
        <v>139</v>
      </c>
      <c r="AA2617" s="103" t="s">
        <v>47</v>
      </c>
      <c r="AB2617" s="103" t="s">
        <v>140</v>
      </c>
      <c r="AC2617" s="104" t="s">
        <v>141</v>
      </c>
    </row>
    <row r="2618" spans="1:29" ht="25.5" customHeight="1" x14ac:dyDescent="0.35">
      <c r="A2618" s="188"/>
      <c r="B2618" s="190"/>
      <c r="C2618" s="99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0"/>
      <c r="E2618" s="78" t="str">
        <f>IF(C2618="","",IFERROR(VLOOKUP(C2618,parametros!$A$11:$E$15,5,0),""))</f>
        <v/>
      </c>
      <c r="F2618" s="79" t="str">
        <f t="shared" si="202"/>
        <v/>
      </c>
      <c r="G2618" s="101"/>
      <c r="H2618" s="91">
        <f t="shared" si="203"/>
        <v>0</v>
      </c>
      <c r="I2618" s="91" t="str">
        <f t="shared" si="204"/>
        <v/>
      </c>
      <c r="J2618" s="91" t="str">
        <f t="shared" si="205"/>
        <v/>
      </c>
      <c r="K2618" s="92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2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58"/>
      <c r="U2618" s="217" t="str">
        <f t="shared" si="206"/>
        <v/>
      </c>
      <c r="V2618" s="215" t="s">
        <v>47</v>
      </c>
      <c r="W2618" s="102" t="s">
        <v>136</v>
      </c>
      <c r="X2618" s="102" t="s">
        <v>137</v>
      </c>
      <c r="Y2618" s="103" t="s">
        <v>138</v>
      </c>
      <c r="Z2618" s="103" t="s">
        <v>139</v>
      </c>
      <c r="AA2618" s="103" t="s">
        <v>47</v>
      </c>
      <c r="AB2618" s="103" t="s">
        <v>140</v>
      </c>
      <c r="AC2618" s="104" t="s">
        <v>141</v>
      </c>
    </row>
    <row r="2619" spans="1:29" ht="25.5" customHeight="1" x14ac:dyDescent="0.35">
      <c r="A2619" s="188"/>
      <c r="B2619" s="190"/>
      <c r="C2619" s="99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0"/>
      <c r="E2619" s="78" t="str">
        <f>IF(C2619="","",IFERROR(VLOOKUP(C2619,parametros!$A$11:$E$15,5,0),""))</f>
        <v/>
      </c>
      <c r="F2619" s="79" t="str">
        <f t="shared" si="202"/>
        <v/>
      </c>
      <c r="G2619" s="101"/>
      <c r="H2619" s="91">
        <f t="shared" si="203"/>
        <v>0</v>
      </c>
      <c r="I2619" s="91" t="str">
        <f t="shared" si="204"/>
        <v/>
      </c>
      <c r="J2619" s="91" t="str">
        <f t="shared" si="205"/>
        <v/>
      </c>
      <c r="K2619" s="92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2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58"/>
      <c r="U2619" s="217" t="str">
        <f t="shared" si="206"/>
        <v/>
      </c>
      <c r="V2619" s="215" t="s">
        <v>47</v>
      </c>
      <c r="W2619" s="102" t="s">
        <v>136</v>
      </c>
      <c r="X2619" s="102" t="s">
        <v>137</v>
      </c>
      <c r="Y2619" s="103" t="s">
        <v>138</v>
      </c>
      <c r="Z2619" s="103" t="s">
        <v>139</v>
      </c>
      <c r="AA2619" s="103" t="s">
        <v>47</v>
      </c>
      <c r="AB2619" s="103" t="s">
        <v>140</v>
      </c>
      <c r="AC2619" s="104" t="s">
        <v>141</v>
      </c>
    </row>
    <row r="2620" spans="1:29" ht="25.5" customHeight="1" x14ac:dyDescent="0.35">
      <c r="A2620" s="188"/>
      <c r="B2620" s="190"/>
      <c r="C2620" s="99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0"/>
      <c r="E2620" s="78" t="str">
        <f>IF(C2620="","",IFERROR(VLOOKUP(C2620,parametros!$A$11:$E$15,5,0),""))</f>
        <v/>
      </c>
      <c r="F2620" s="79" t="str">
        <f t="shared" si="202"/>
        <v/>
      </c>
      <c r="G2620" s="101"/>
      <c r="H2620" s="91">
        <f t="shared" si="203"/>
        <v>0</v>
      </c>
      <c r="I2620" s="91" t="str">
        <f t="shared" si="204"/>
        <v/>
      </c>
      <c r="J2620" s="91" t="str">
        <f t="shared" si="205"/>
        <v/>
      </c>
      <c r="K2620" s="92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2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58"/>
      <c r="U2620" s="217" t="str">
        <f t="shared" si="206"/>
        <v/>
      </c>
      <c r="V2620" s="215" t="s">
        <v>47</v>
      </c>
      <c r="W2620" s="102" t="s">
        <v>136</v>
      </c>
      <c r="X2620" s="102" t="s">
        <v>137</v>
      </c>
      <c r="Y2620" s="103" t="s">
        <v>138</v>
      </c>
      <c r="Z2620" s="103" t="s">
        <v>139</v>
      </c>
      <c r="AA2620" s="103" t="s">
        <v>47</v>
      </c>
      <c r="AB2620" s="103" t="s">
        <v>140</v>
      </c>
      <c r="AC2620" s="104" t="s">
        <v>141</v>
      </c>
    </row>
    <row r="2621" spans="1:29" ht="25.5" customHeight="1" x14ac:dyDescent="0.35">
      <c r="A2621" s="188"/>
      <c r="B2621" s="190"/>
      <c r="C2621" s="99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0"/>
      <c r="E2621" s="78" t="str">
        <f>IF(C2621="","",IFERROR(VLOOKUP(C2621,parametros!$A$11:$E$15,5,0),""))</f>
        <v/>
      </c>
      <c r="F2621" s="79" t="str">
        <f t="shared" si="202"/>
        <v/>
      </c>
      <c r="G2621" s="101"/>
      <c r="H2621" s="91">
        <f t="shared" si="203"/>
        <v>0</v>
      </c>
      <c r="I2621" s="91" t="str">
        <f t="shared" si="204"/>
        <v/>
      </c>
      <c r="J2621" s="91" t="str">
        <f t="shared" si="205"/>
        <v/>
      </c>
      <c r="K2621" s="92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2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58"/>
      <c r="U2621" s="217" t="str">
        <f t="shared" si="206"/>
        <v/>
      </c>
      <c r="V2621" s="215" t="s">
        <v>47</v>
      </c>
      <c r="W2621" s="102" t="s">
        <v>136</v>
      </c>
      <c r="X2621" s="102" t="s">
        <v>137</v>
      </c>
      <c r="Y2621" s="103" t="s">
        <v>138</v>
      </c>
      <c r="Z2621" s="103" t="s">
        <v>139</v>
      </c>
      <c r="AA2621" s="103" t="s">
        <v>47</v>
      </c>
      <c r="AB2621" s="103" t="s">
        <v>140</v>
      </c>
      <c r="AC2621" s="104" t="s">
        <v>141</v>
      </c>
    </row>
    <row r="2622" spans="1:29" ht="25.5" customHeight="1" x14ac:dyDescent="0.35">
      <c r="A2622" s="188"/>
      <c r="B2622" s="190"/>
      <c r="C2622" s="99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0"/>
      <c r="E2622" s="78" t="str">
        <f>IF(C2622="","",IFERROR(VLOOKUP(C2622,parametros!$A$11:$E$15,5,0),""))</f>
        <v/>
      </c>
      <c r="F2622" s="79" t="str">
        <f t="shared" si="202"/>
        <v/>
      </c>
      <c r="G2622" s="101"/>
      <c r="H2622" s="91">
        <f t="shared" si="203"/>
        <v>0</v>
      </c>
      <c r="I2622" s="91" t="str">
        <f t="shared" si="204"/>
        <v/>
      </c>
      <c r="J2622" s="91" t="str">
        <f t="shared" si="205"/>
        <v/>
      </c>
      <c r="K2622" s="92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2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58"/>
      <c r="U2622" s="217" t="str">
        <f t="shared" si="206"/>
        <v/>
      </c>
      <c r="V2622" s="215" t="s">
        <v>47</v>
      </c>
      <c r="W2622" s="102" t="s">
        <v>136</v>
      </c>
      <c r="X2622" s="102" t="s">
        <v>137</v>
      </c>
      <c r="Y2622" s="103" t="s">
        <v>138</v>
      </c>
      <c r="Z2622" s="103" t="s">
        <v>139</v>
      </c>
      <c r="AA2622" s="103" t="s">
        <v>47</v>
      </c>
      <c r="AB2622" s="103" t="s">
        <v>140</v>
      </c>
      <c r="AC2622" s="104" t="s">
        <v>141</v>
      </c>
    </row>
    <row r="2623" spans="1:29" ht="25.5" customHeight="1" x14ac:dyDescent="0.35">
      <c r="A2623" s="188"/>
      <c r="B2623" s="190"/>
      <c r="C2623" s="99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0"/>
      <c r="E2623" s="78" t="str">
        <f>IF(C2623="","",IFERROR(VLOOKUP(C2623,parametros!$A$11:$E$15,5,0),""))</f>
        <v/>
      </c>
      <c r="F2623" s="79" t="str">
        <f t="shared" si="202"/>
        <v/>
      </c>
      <c r="G2623" s="101"/>
      <c r="H2623" s="91">
        <f t="shared" si="203"/>
        <v>0</v>
      </c>
      <c r="I2623" s="91" t="str">
        <f t="shared" si="204"/>
        <v/>
      </c>
      <c r="J2623" s="91" t="str">
        <f t="shared" si="205"/>
        <v/>
      </c>
      <c r="K2623" s="92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2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58"/>
      <c r="U2623" s="217" t="str">
        <f t="shared" si="206"/>
        <v/>
      </c>
      <c r="V2623" s="215" t="s">
        <v>47</v>
      </c>
      <c r="W2623" s="102" t="s">
        <v>136</v>
      </c>
      <c r="X2623" s="102" t="s">
        <v>137</v>
      </c>
      <c r="Y2623" s="103" t="s">
        <v>138</v>
      </c>
      <c r="Z2623" s="103" t="s">
        <v>139</v>
      </c>
      <c r="AA2623" s="103" t="s">
        <v>47</v>
      </c>
      <c r="AB2623" s="103" t="s">
        <v>140</v>
      </c>
      <c r="AC2623" s="104" t="s">
        <v>141</v>
      </c>
    </row>
    <row r="2624" spans="1:29" ht="25.5" customHeight="1" x14ac:dyDescent="0.35">
      <c r="A2624" s="188"/>
      <c r="B2624" s="190"/>
      <c r="C2624" s="99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0"/>
      <c r="E2624" s="78" t="str">
        <f>IF(C2624="","",IFERROR(VLOOKUP(C2624,parametros!$A$11:$E$15,5,0),""))</f>
        <v/>
      </c>
      <c r="F2624" s="79" t="str">
        <f t="shared" si="202"/>
        <v/>
      </c>
      <c r="G2624" s="101"/>
      <c r="H2624" s="91">
        <f t="shared" si="203"/>
        <v>0</v>
      </c>
      <c r="I2624" s="91" t="str">
        <f t="shared" si="204"/>
        <v/>
      </c>
      <c r="J2624" s="91" t="str">
        <f t="shared" si="205"/>
        <v/>
      </c>
      <c r="K2624" s="92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2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58"/>
      <c r="U2624" s="217" t="str">
        <f t="shared" si="206"/>
        <v/>
      </c>
      <c r="V2624" s="215" t="s">
        <v>47</v>
      </c>
      <c r="W2624" s="102" t="s">
        <v>136</v>
      </c>
      <c r="X2624" s="102" t="s">
        <v>137</v>
      </c>
      <c r="Y2624" s="103" t="s">
        <v>138</v>
      </c>
      <c r="Z2624" s="103" t="s">
        <v>139</v>
      </c>
      <c r="AA2624" s="103" t="s">
        <v>47</v>
      </c>
      <c r="AB2624" s="103" t="s">
        <v>140</v>
      </c>
      <c r="AC2624" s="104" t="s">
        <v>141</v>
      </c>
    </row>
    <row r="2625" spans="1:29" ht="25.5" customHeight="1" x14ac:dyDescent="0.35">
      <c r="A2625" s="188"/>
      <c r="B2625" s="190"/>
      <c r="C2625" s="99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0"/>
      <c r="E2625" s="78" t="str">
        <f>IF(C2625="","",IFERROR(VLOOKUP(C2625,parametros!$A$11:$E$15,5,0),""))</f>
        <v/>
      </c>
      <c r="F2625" s="79" t="str">
        <f t="shared" si="202"/>
        <v/>
      </c>
      <c r="G2625" s="101"/>
      <c r="H2625" s="91">
        <f t="shared" si="203"/>
        <v>0</v>
      </c>
      <c r="I2625" s="91" t="str">
        <f t="shared" si="204"/>
        <v/>
      </c>
      <c r="J2625" s="91" t="str">
        <f t="shared" si="205"/>
        <v/>
      </c>
      <c r="K2625" s="92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2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58"/>
      <c r="U2625" s="217" t="str">
        <f t="shared" si="206"/>
        <v/>
      </c>
      <c r="V2625" s="215" t="s">
        <v>47</v>
      </c>
      <c r="W2625" s="102" t="s">
        <v>136</v>
      </c>
      <c r="X2625" s="102" t="s">
        <v>137</v>
      </c>
      <c r="Y2625" s="103" t="s">
        <v>138</v>
      </c>
      <c r="Z2625" s="103" t="s">
        <v>139</v>
      </c>
      <c r="AA2625" s="103" t="s">
        <v>47</v>
      </c>
      <c r="AB2625" s="103" t="s">
        <v>140</v>
      </c>
      <c r="AC2625" s="104" t="s">
        <v>141</v>
      </c>
    </row>
    <row r="2626" spans="1:29" ht="25.5" customHeight="1" x14ac:dyDescent="0.35">
      <c r="A2626" s="188"/>
      <c r="B2626" s="190"/>
      <c r="C2626" s="99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0"/>
      <c r="E2626" s="78" t="str">
        <f>IF(C2626="","",IFERROR(VLOOKUP(C2626,parametros!$A$11:$E$15,5,0),""))</f>
        <v/>
      </c>
      <c r="F2626" s="79" t="str">
        <f t="shared" ref="F2626:F2689" si="207">IF(OR(D2626="",E2626=""),"",ROUND(D2626*E2626,2))</f>
        <v/>
      </c>
      <c r="G2626" s="101"/>
      <c r="H2626" s="91">
        <f t="shared" ref="H2626:H2689" si="208">IF(G2626="Sim",IF(OR(F2626="",D2626="",L2626=""),"",IF(L2626="Sim",ROUND(F2626-D2626,2),0)),0)</f>
        <v>0</v>
      </c>
      <c r="I2626" s="91" t="str">
        <f t="shared" ref="I2626:I2689" si="209">IF(G2626="Sim",0,IF(OR(F2626="",L2626=""),"",F2626))</f>
        <v/>
      </c>
      <c r="J2626" s="91" t="str">
        <f t="shared" ref="J2626:J2689" si="210">IF(G2626="Sim",0,IF(OR(F2626="",D2626="",L2626=""),"",IF(L2626="Sim",ROUND(F2626-D2626,2),0)))</f>
        <v/>
      </c>
      <c r="K2626" s="92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2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58"/>
      <c r="U2626" s="217" t="str">
        <f t="shared" ref="U2626:U2689" si="211">IF(OR($D2626="",$H2626=""),"",ROUND($D2626+$H2626,2))</f>
        <v/>
      </c>
      <c r="V2626" s="215" t="s">
        <v>47</v>
      </c>
      <c r="W2626" s="102" t="s">
        <v>136</v>
      </c>
      <c r="X2626" s="102" t="s">
        <v>137</v>
      </c>
      <c r="Y2626" s="103" t="s">
        <v>138</v>
      </c>
      <c r="Z2626" s="103" t="s">
        <v>139</v>
      </c>
      <c r="AA2626" s="103" t="s">
        <v>47</v>
      </c>
      <c r="AB2626" s="103" t="s">
        <v>140</v>
      </c>
      <c r="AC2626" s="104" t="s">
        <v>141</v>
      </c>
    </row>
    <row r="2627" spans="1:29" ht="25.5" customHeight="1" x14ac:dyDescent="0.35">
      <c r="A2627" s="188"/>
      <c r="B2627" s="190"/>
      <c r="C2627" s="99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0"/>
      <c r="E2627" s="78" t="str">
        <f>IF(C2627="","",IFERROR(VLOOKUP(C2627,parametros!$A$11:$E$15,5,0),""))</f>
        <v/>
      </c>
      <c r="F2627" s="79" t="str">
        <f t="shared" si="207"/>
        <v/>
      </c>
      <c r="G2627" s="101"/>
      <c r="H2627" s="91">
        <f t="shared" si="208"/>
        <v>0</v>
      </c>
      <c r="I2627" s="91" t="str">
        <f t="shared" si="209"/>
        <v/>
      </c>
      <c r="J2627" s="91" t="str">
        <f t="shared" si="210"/>
        <v/>
      </c>
      <c r="K2627" s="92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2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58"/>
      <c r="U2627" s="217" t="str">
        <f t="shared" si="211"/>
        <v/>
      </c>
      <c r="V2627" s="215" t="s">
        <v>47</v>
      </c>
      <c r="W2627" s="102" t="s">
        <v>136</v>
      </c>
      <c r="X2627" s="102" t="s">
        <v>137</v>
      </c>
      <c r="Y2627" s="103" t="s">
        <v>138</v>
      </c>
      <c r="Z2627" s="103" t="s">
        <v>139</v>
      </c>
      <c r="AA2627" s="103" t="s">
        <v>47</v>
      </c>
      <c r="AB2627" s="103" t="s">
        <v>140</v>
      </c>
      <c r="AC2627" s="104" t="s">
        <v>141</v>
      </c>
    </row>
    <row r="2628" spans="1:29" ht="25.5" customHeight="1" x14ac:dyDescent="0.35">
      <c r="A2628" s="188"/>
      <c r="B2628" s="190"/>
      <c r="C2628" s="99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0"/>
      <c r="E2628" s="78" t="str">
        <f>IF(C2628="","",IFERROR(VLOOKUP(C2628,parametros!$A$11:$E$15,5,0),""))</f>
        <v/>
      </c>
      <c r="F2628" s="79" t="str">
        <f t="shared" si="207"/>
        <v/>
      </c>
      <c r="G2628" s="101"/>
      <c r="H2628" s="91">
        <f t="shared" si="208"/>
        <v>0</v>
      </c>
      <c r="I2628" s="91" t="str">
        <f t="shared" si="209"/>
        <v/>
      </c>
      <c r="J2628" s="91" t="str">
        <f t="shared" si="210"/>
        <v/>
      </c>
      <c r="K2628" s="92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2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58"/>
      <c r="U2628" s="217" t="str">
        <f t="shared" si="211"/>
        <v/>
      </c>
      <c r="V2628" s="215" t="s">
        <v>47</v>
      </c>
      <c r="W2628" s="102" t="s">
        <v>136</v>
      </c>
      <c r="X2628" s="102" t="s">
        <v>137</v>
      </c>
      <c r="Y2628" s="103" t="s">
        <v>138</v>
      </c>
      <c r="Z2628" s="103" t="s">
        <v>139</v>
      </c>
      <c r="AA2628" s="103" t="s">
        <v>47</v>
      </c>
      <c r="AB2628" s="103" t="s">
        <v>140</v>
      </c>
      <c r="AC2628" s="104" t="s">
        <v>141</v>
      </c>
    </row>
    <row r="2629" spans="1:29" ht="25.5" customHeight="1" x14ac:dyDescent="0.35">
      <c r="A2629" s="188"/>
      <c r="B2629" s="190"/>
      <c r="C2629" s="99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0"/>
      <c r="E2629" s="78" t="str">
        <f>IF(C2629="","",IFERROR(VLOOKUP(C2629,parametros!$A$11:$E$15,5,0),""))</f>
        <v/>
      </c>
      <c r="F2629" s="79" t="str">
        <f t="shared" si="207"/>
        <v/>
      </c>
      <c r="G2629" s="101"/>
      <c r="H2629" s="91">
        <f t="shared" si="208"/>
        <v>0</v>
      </c>
      <c r="I2629" s="91" t="str">
        <f t="shared" si="209"/>
        <v/>
      </c>
      <c r="J2629" s="91" t="str">
        <f t="shared" si="210"/>
        <v/>
      </c>
      <c r="K2629" s="92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2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58"/>
      <c r="U2629" s="217" t="str">
        <f t="shared" si="211"/>
        <v/>
      </c>
      <c r="V2629" s="215" t="s">
        <v>47</v>
      </c>
      <c r="W2629" s="102" t="s">
        <v>136</v>
      </c>
      <c r="X2629" s="102" t="s">
        <v>137</v>
      </c>
      <c r="Y2629" s="103" t="s">
        <v>138</v>
      </c>
      <c r="Z2629" s="103" t="s">
        <v>139</v>
      </c>
      <c r="AA2629" s="103" t="s">
        <v>47</v>
      </c>
      <c r="AB2629" s="103" t="s">
        <v>140</v>
      </c>
      <c r="AC2629" s="104" t="s">
        <v>141</v>
      </c>
    </row>
    <row r="2630" spans="1:29" ht="25.5" customHeight="1" x14ac:dyDescent="0.35">
      <c r="A2630" s="188"/>
      <c r="B2630" s="190"/>
      <c r="C2630" s="99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0"/>
      <c r="E2630" s="78" t="str">
        <f>IF(C2630="","",IFERROR(VLOOKUP(C2630,parametros!$A$11:$E$15,5,0),""))</f>
        <v/>
      </c>
      <c r="F2630" s="79" t="str">
        <f t="shared" si="207"/>
        <v/>
      </c>
      <c r="G2630" s="101"/>
      <c r="H2630" s="91">
        <f t="shared" si="208"/>
        <v>0</v>
      </c>
      <c r="I2630" s="91" t="str">
        <f t="shared" si="209"/>
        <v/>
      </c>
      <c r="J2630" s="91" t="str">
        <f t="shared" si="210"/>
        <v/>
      </c>
      <c r="K2630" s="92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2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58"/>
      <c r="U2630" s="217" t="str">
        <f t="shared" si="211"/>
        <v/>
      </c>
      <c r="V2630" s="215" t="s">
        <v>47</v>
      </c>
      <c r="W2630" s="102" t="s">
        <v>136</v>
      </c>
      <c r="X2630" s="102" t="s">
        <v>137</v>
      </c>
      <c r="Y2630" s="103" t="s">
        <v>138</v>
      </c>
      <c r="Z2630" s="103" t="s">
        <v>139</v>
      </c>
      <c r="AA2630" s="103" t="s">
        <v>47</v>
      </c>
      <c r="AB2630" s="103" t="s">
        <v>140</v>
      </c>
      <c r="AC2630" s="104" t="s">
        <v>141</v>
      </c>
    </row>
    <row r="2631" spans="1:29" ht="25.5" customHeight="1" x14ac:dyDescent="0.35">
      <c r="A2631" s="188"/>
      <c r="B2631" s="190"/>
      <c r="C2631" s="99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0"/>
      <c r="E2631" s="78" t="str">
        <f>IF(C2631="","",IFERROR(VLOOKUP(C2631,parametros!$A$11:$E$15,5,0),""))</f>
        <v/>
      </c>
      <c r="F2631" s="79" t="str">
        <f t="shared" si="207"/>
        <v/>
      </c>
      <c r="G2631" s="101"/>
      <c r="H2631" s="91">
        <f t="shared" si="208"/>
        <v>0</v>
      </c>
      <c r="I2631" s="91" t="str">
        <f t="shared" si="209"/>
        <v/>
      </c>
      <c r="J2631" s="91" t="str">
        <f t="shared" si="210"/>
        <v/>
      </c>
      <c r="K2631" s="92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2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58"/>
      <c r="U2631" s="217" t="str">
        <f t="shared" si="211"/>
        <v/>
      </c>
      <c r="V2631" s="215" t="s">
        <v>47</v>
      </c>
      <c r="W2631" s="102" t="s">
        <v>136</v>
      </c>
      <c r="X2631" s="102" t="s">
        <v>137</v>
      </c>
      <c r="Y2631" s="103" t="s">
        <v>138</v>
      </c>
      <c r="Z2631" s="103" t="s">
        <v>139</v>
      </c>
      <c r="AA2631" s="103" t="s">
        <v>47</v>
      </c>
      <c r="AB2631" s="103" t="s">
        <v>140</v>
      </c>
      <c r="AC2631" s="104" t="s">
        <v>141</v>
      </c>
    </row>
    <row r="2632" spans="1:29" ht="25.5" customHeight="1" x14ac:dyDescent="0.35">
      <c r="A2632" s="188"/>
      <c r="B2632" s="190"/>
      <c r="C2632" s="99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0"/>
      <c r="E2632" s="78" t="str">
        <f>IF(C2632="","",IFERROR(VLOOKUP(C2632,parametros!$A$11:$E$15,5,0),""))</f>
        <v/>
      </c>
      <c r="F2632" s="79" t="str">
        <f t="shared" si="207"/>
        <v/>
      </c>
      <c r="G2632" s="101"/>
      <c r="H2632" s="91">
        <f t="shared" si="208"/>
        <v>0</v>
      </c>
      <c r="I2632" s="91" t="str">
        <f t="shared" si="209"/>
        <v/>
      </c>
      <c r="J2632" s="91" t="str">
        <f t="shared" si="210"/>
        <v/>
      </c>
      <c r="K2632" s="92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2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58"/>
      <c r="U2632" s="217" t="str">
        <f t="shared" si="211"/>
        <v/>
      </c>
      <c r="V2632" s="215" t="s">
        <v>47</v>
      </c>
      <c r="W2632" s="102" t="s">
        <v>136</v>
      </c>
      <c r="X2632" s="102" t="s">
        <v>137</v>
      </c>
      <c r="Y2632" s="103" t="s">
        <v>138</v>
      </c>
      <c r="Z2632" s="103" t="s">
        <v>139</v>
      </c>
      <c r="AA2632" s="103" t="s">
        <v>47</v>
      </c>
      <c r="AB2632" s="103" t="s">
        <v>140</v>
      </c>
      <c r="AC2632" s="104" t="s">
        <v>141</v>
      </c>
    </row>
    <row r="2633" spans="1:29" ht="25.5" customHeight="1" x14ac:dyDescent="0.35">
      <c r="A2633" s="188"/>
      <c r="B2633" s="190"/>
      <c r="C2633" s="99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0"/>
      <c r="E2633" s="78" t="str">
        <f>IF(C2633="","",IFERROR(VLOOKUP(C2633,parametros!$A$11:$E$15,5,0),""))</f>
        <v/>
      </c>
      <c r="F2633" s="79" t="str">
        <f t="shared" si="207"/>
        <v/>
      </c>
      <c r="G2633" s="101"/>
      <c r="H2633" s="91">
        <f t="shared" si="208"/>
        <v>0</v>
      </c>
      <c r="I2633" s="91" t="str">
        <f t="shared" si="209"/>
        <v/>
      </c>
      <c r="J2633" s="91" t="str">
        <f t="shared" si="210"/>
        <v/>
      </c>
      <c r="K2633" s="92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2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58"/>
      <c r="U2633" s="217" t="str">
        <f t="shared" si="211"/>
        <v/>
      </c>
      <c r="V2633" s="215" t="s">
        <v>47</v>
      </c>
      <c r="W2633" s="102" t="s">
        <v>136</v>
      </c>
      <c r="X2633" s="102" t="s">
        <v>137</v>
      </c>
      <c r="Y2633" s="103" t="s">
        <v>138</v>
      </c>
      <c r="Z2633" s="103" t="s">
        <v>139</v>
      </c>
      <c r="AA2633" s="103" t="s">
        <v>47</v>
      </c>
      <c r="AB2633" s="103" t="s">
        <v>140</v>
      </c>
      <c r="AC2633" s="104" t="s">
        <v>141</v>
      </c>
    </row>
    <row r="2634" spans="1:29" ht="25.5" customHeight="1" x14ac:dyDescent="0.35">
      <c r="A2634" s="188"/>
      <c r="B2634" s="190"/>
      <c r="C2634" s="99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0"/>
      <c r="E2634" s="78" t="str">
        <f>IF(C2634="","",IFERROR(VLOOKUP(C2634,parametros!$A$11:$E$15,5,0),""))</f>
        <v/>
      </c>
      <c r="F2634" s="79" t="str">
        <f t="shared" si="207"/>
        <v/>
      </c>
      <c r="G2634" s="101"/>
      <c r="H2634" s="91">
        <f t="shared" si="208"/>
        <v>0</v>
      </c>
      <c r="I2634" s="91" t="str">
        <f t="shared" si="209"/>
        <v/>
      </c>
      <c r="J2634" s="91" t="str">
        <f t="shared" si="210"/>
        <v/>
      </c>
      <c r="K2634" s="92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2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58"/>
      <c r="U2634" s="217" t="str">
        <f t="shared" si="211"/>
        <v/>
      </c>
      <c r="V2634" s="215" t="s">
        <v>47</v>
      </c>
      <c r="W2634" s="102" t="s">
        <v>136</v>
      </c>
      <c r="X2634" s="102" t="s">
        <v>137</v>
      </c>
      <c r="Y2634" s="103" t="s">
        <v>138</v>
      </c>
      <c r="Z2634" s="103" t="s">
        <v>139</v>
      </c>
      <c r="AA2634" s="103" t="s">
        <v>47</v>
      </c>
      <c r="AB2634" s="103" t="s">
        <v>140</v>
      </c>
      <c r="AC2634" s="104" t="s">
        <v>141</v>
      </c>
    </row>
    <row r="2635" spans="1:29" ht="25.5" customHeight="1" x14ac:dyDescent="0.35">
      <c r="A2635" s="188"/>
      <c r="B2635" s="190"/>
      <c r="C2635" s="99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0"/>
      <c r="E2635" s="78" t="str">
        <f>IF(C2635="","",IFERROR(VLOOKUP(C2635,parametros!$A$11:$E$15,5,0),""))</f>
        <v/>
      </c>
      <c r="F2635" s="79" t="str">
        <f t="shared" si="207"/>
        <v/>
      </c>
      <c r="G2635" s="101"/>
      <c r="H2635" s="91">
        <f t="shared" si="208"/>
        <v>0</v>
      </c>
      <c r="I2635" s="91" t="str">
        <f t="shared" si="209"/>
        <v/>
      </c>
      <c r="J2635" s="91" t="str">
        <f t="shared" si="210"/>
        <v/>
      </c>
      <c r="K2635" s="92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2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58"/>
      <c r="U2635" s="217" t="str">
        <f t="shared" si="211"/>
        <v/>
      </c>
      <c r="V2635" s="215" t="s">
        <v>47</v>
      </c>
      <c r="W2635" s="102" t="s">
        <v>136</v>
      </c>
      <c r="X2635" s="102" t="s">
        <v>137</v>
      </c>
      <c r="Y2635" s="103" t="s">
        <v>138</v>
      </c>
      <c r="Z2635" s="103" t="s">
        <v>139</v>
      </c>
      <c r="AA2635" s="103" t="s">
        <v>47</v>
      </c>
      <c r="AB2635" s="103" t="s">
        <v>140</v>
      </c>
      <c r="AC2635" s="104" t="s">
        <v>141</v>
      </c>
    </row>
    <row r="2636" spans="1:29" ht="25.5" customHeight="1" x14ac:dyDescent="0.35">
      <c r="A2636" s="188"/>
      <c r="B2636" s="190"/>
      <c r="C2636" s="99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0"/>
      <c r="E2636" s="78" t="str">
        <f>IF(C2636="","",IFERROR(VLOOKUP(C2636,parametros!$A$11:$E$15,5,0),""))</f>
        <v/>
      </c>
      <c r="F2636" s="79" t="str">
        <f t="shared" si="207"/>
        <v/>
      </c>
      <c r="G2636" s="101"/>
      <c r="H2636" s="91">
        <f t="shared" si="208"/>
        <v>0</v>
      </c>
      <c r="I2636" s="91" t="str">
        <f t="shared" si="209"/>
        <v/>
      </c>
      <c r="J2636" s="91" t="str">
        <f t="shared" si="210"/>
        <v/>
      </c>
      <c r="K2636" s="92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2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58"/>
      <c r="U2636" s="217" t="str">
        <f t="shared" si="211"/>
        <v/>
      </c>
      <c r="V2636" s="215" t="s">
        <v>47</v>
      </c>
      <c r="W2636" s="102" t="s">
        <v>136</v>
      </c>
      <c r="X2636" s="102" t="s">
        <v>137</v>
      </c>
      <c r="Y2636" s="103" t="s">
        <v>138</v>
      </c>
      <c r="Z2636" s="103" t="s">
        <v>139</v>
      </c>
      <c r="AA2636" s="103" t="s">
        <v>47</v>
      </c>
      <c r="AB2636" s="103" t="s">
        <v>140</v>
      </c>
      <c r="AC2636" s="104" t="s">
        <v>141</v>
      </c>
    </row>
    <row r="2637" spans="1:29" ht="25.5" customHeight="1" x14ac:dyDescent="0.35">
      <c r="A2637" s="188"/>
      <c r="B2637" s="190"/>
      <c r="C2637" s="99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0"/>
      <c r="E2637" s="78" t="str">
        <f>IF(C2637="","",IFERROR(VLOOKUP(C2637,parametros!$A$11:$E$15,5,0),""))</f>
        <v/>
      </c>
      <c r="F2637" s="79" t="str">
        <f t="shared" si="207"/>
        <v/>
      </c>
      <c r="G2637" s="101"/>
      <c r="H2637" s="91">
        <f t="shared" si="208"/>
        <v>0</v>
      </c>
      <c r="I2637" s="91" t="str">
        <f t="shared" si="209"/>
        <v/>
      </c>
      <c r="J2637" s="91" t="str">
        <f t="shared" si="210"/>
        <v/>
      </c>
      <c r="K2637" s="92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2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58"/>
      <c r="U2637" s="217" t="str">
        <f t="shared" si="211"/>
        <v/>
      </c>
      <c r="V2637" s="215" t="s">
        <v>47</v>
      </c>
      <c r="W2637" s="102" t="s">
        <v>136</v>
      </c>
      <c r="X2637" s="102" t="s">
        <v>137</v>
      </c>
      <c r="Y2637" s="103" t="s">
        <v>138</v>
      </c>
      <c r="Z2637" s="103" t="s">
        <v>139</v>
      </c>
      <c r="AA2637" s="103" t="s">
        <v>47</v>
      </c>
      <c r="AB2637" s="103" t="s">
        <v>140</v>
      </c>
      <c r="AC2637" s="104" t="s">
        <v>141</v>
      </c>
    </row>
    <row r="2638" spans="1:29" ht="25.5" customHeight="1" x14ac:dyDescent="0.35">
      <c r="A2638" s="188"/>
      <c r="B2638" s="190"/>
      <c r="C2638" s="99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0"/>
      <c r="E2638" s="78" t="str">
        <f>IF(C2638="","",IFERROR(VLOOKUP(C2638,parametros!$A$11:$E$15,5,0),""))</f>
        <v/>
      </c>
      <c r="F2638" s="79" t="str">
        <f t="shared" si="207"/>
        <v/>
      </c>
      <c r="G2638" s="101"/>
      <c r="H2638" s="91">
        <f t="shared" si="208"/>
        <v>0</v>
      </c>
      <c r="I2638" s="91" t="str">
        <f t="shared" si="209"/>
        <v/>
      </c>
      <c r="J2638" s="91" t="str">
        <f t="shared" si="210"/>
        <v/>
      </c>
      <c r="K2638" s="92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2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58"/>
      <c r="U2638" s="217" t="str">
        <f t="shared" si="211"/>
        <v/>
      </c>
      <c r="V2638" s="215" t="s">
        <v>47</v>
      </c>
      <c r="W2638" s="102" t="s">
        <v>136</v>
      </c>
      <c r="X2638" s="102" t="s">
        <v>137</v>
      </c>
      <c r="Y2638" s="103" t="s">
        <v>138</v>
      </c>
      <c r="Z2638" s="103" t="s">
        <v>139</v>
      </c>
      <c r="AA2638" s="103" t="s">
        <v>47</v>
      </c>
      <c r="AB2638" s="103" t="s">
        <v>140</v>
      </c>
      <c r="AC2638" s="104" t="s">
        <v>141</v>
      </c>
    </row>
    <row r="2639" spans="1:29" ht="25.5" customHeight="1" x14ac:dyDescent="0.35">
      <c r="A2639" s="188"/>
      <c r="B2639" s="190"/>
      <c r="C2639" s="99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0"/>
      <c r="E2639" s="78" t="str">
        <f>IF(C2639="","",IFERROR(VLOOKUP(C2639,parametros!$A$11:$E$15,5,0),""))</f>
        <v/>
      </c>
      <c r="F2639" s="79" t="str">
        <f t="shared" si="207"/>
        <v/>
      </c>
      <c r="G2639" s="101"/>
      <c r="H2639" s="91">
        <f t="shared" si="208"/>
        <v>0</v>
      </c>
      <c r="I2639" s="91" t="str">
        <f t="shared" si="209"/>
        <v/>
      </c>
      <c r="J2639" s="91" t="str">
        <f t="shared" si="210"/>
        <v/>
      </c>
      <c r="K2639" s="92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2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58"/>
      <c r="U2639" s="217" t="str">
        <f t="shared" si="211"/>
        <v/>
      </c>
      <c r="V2639" s="215" t="s">
        <v>47</v>
      </c>
      <c r="W2639" s="102" t="s">
        <v>136</v>
      </c>
      <c r="X2639" s="102" t="s">
        <v>137</v>
      </c>
      <c r="Y2639" s="103" t="s">
        <v>138</v>
      </c>
      <c r="Z2639" s="103" t="s">
        <v>139</v>
      </c>
      <c r="AA2639" s="103" t="s">
        <v>47</v>
      </c>
      <c r="AB2639" s="103" t="s">
        <v>140</v>
      </c>
      <c r="AC2639" s="104" t="s">
        <v>141</v>
      </c>
    </row>
    <row r="2640" spans="1:29" ht="25.5" customHeight="1" x14ac:dyDescent="0.35">
      <c r="A2640" s="188"/>
      <c r="B2640" s="190"/>
      <c r="C2640" s="99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0"/>
      <c r="E2640" s="78" t="str">
        <f>IF(C2640="","",IFERROR(VLOOKUP(C2640,parametros!$A$11:$E$15,5,0),""))</f>
        <v/>
      </c>
      <c r="F2640" s="79" t="str">
        <f t="shared" si="207"/>
        <v/>
      </c>
      <c r="G2640" s="101"/>
      <c r="H2640" s="91">
        <f t="shared" si="208"/>
        <v>0</v>
      </c>
      <c r="I2640" s="91" t="str">
        <f t="shared" si="209"/>
        <v/>
      </c>
      <c r="J2640" s="91" t="str">
        <f t="shared" si="210"/>
        <v/>
      </c>
      <c r="K2640" s="92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2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58"/>
      <c r="U2640" s="217" t="str">
        <f t="shared" si="211"/>
        <v/>
      </c>
      <c r="V2640" s="215" t="s">
        <v>47</v>
      </c>
      <c r="W2640" s="102" t="s">
        <v>136</v>
      </c>
      <c r="X2640" s="102" t="s">
        <v>137</v>
      </c>
      <c r="Y2640" s="103" t="s">
        <v>138</v>
      </c>
      <c r="Z2640" s="103" t="s">
        <v>139</v>
      </c>
      <c r="AA2640" s="103" t="s">
        <v>47</v>
      </c>
      <c r="AB2640" s="103" t="s">
        <v>140</v>
      </c>
      <c r="AC2640" s="104" t="s">
        <v>141</v>
      </c>
    </row>
    <row r="2641" spans="1:29" ht="25.5" customHeight="1" x14ac:dyDescent="0.35">
      <c r="A2641" s="188"/>
      <c r="B2641" s="190"/>
      <c r="C2641" s="99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0"/>
      <c r="E2641" s="78" t="str">
        <f>IF(C2641="","",IFERROR(VLOOKUP(C2641,parametros!$A$11:$E$15,5,0),""))</f>
        <v/>
      </c>
      <c r="F2641" s="79" t="str">
        <f t="shared" si="207"/>
        <v/>
      </c>
      <c r="G2641" s="101"/>
      <c r="H2641" s="91">
        <f t="shared" si="208"/>
        <v>0</v>
      </c>
      <c r="I2641" s="91" t="str">
        <f t="shared" si="209"/>
        <v/>
      </c>
      <c r="J2641" s="91" t="str">
        <f t="shared" si="210"/>
        <v/>
      </c>
      <c r="K2641" s="92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2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58"/>
      <c r="U2641" s="217" t="str">
        <f t="shared" si="211"/>
        <v/>
      </c>
      <c r="V2641" s="215" t="s">
        <v>47</v>
      </c>
      <c r="W2641" s="102" t="s">
        <v>136</v>
      </c>
      <c r="X2641" s="102" t="s">
        <v>137</v>
      </c>
      <c r="Y2641" s="103" t="s">
        <v>138</v>
      </c>
      <c r="Z2641" s="103" t="s">
        <v>139</v>
      </c>
      <c r="AA2641" s="103" t="s">
        <v>47</v>
      </c>
      <c r="AB2641" s="103" t="s">
        <v>140</v>
      </c>
      <c r="AC2641" s="104" t="s">
        <v>141</v>
      </c>
    </row>
    <row r="2642" spans="1:29" ht="25.5" customHeight="1" x14ac:dyDescent="0.35">
      <c r="A2642" s="188"/>
      <c r="B2642" s="190"/>
      <c r="C2642" s="99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0"/>
      <c r="E2642" s="78" t="str">
        <f>IF(C2642="","",IFERROR(VLOOKUP(C2642,parametros!$A$11:$E$15,5,0),""))</f>
        <v/>
      </c>
      <c r="F2642" s="79" t="str">
        <f t="shared" si="207"/>
        <v/>
      </c>
      <c r="G2642" s="101"/>
      <c r="H2642" s="91">
        <f t="shared" si="208"/>
        <v>0</v>
      </c>
      <c r="I2642" s="91" t="str">
        <f t="shared" si="209"/>
        <v/>
      </c>
      <c r="J2642" s="91" t="str">
        <f t="shared" si="210"/>
        <v/>
      </c>
      <c r="K2642" s="92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2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58"/>
      <c r="U2642" s="217" t="str">
        <f t="shared" si="211"/>
        <v/>
      </c>
      <c r="V2642" s="215" t="s">
        <v>47</v>
      </c>
      <c r="W2642" s="102" t="s">
        <v>136</v>
      </c>
      <c r="X2642" s="102" t="s">
        <v>137</v>
      </c>
      <c r="Y2642" s="103" t="s">
        <v>138</v>
      </c>
      <c r="Z2642" s="103" t="s">
        <v>139</v>
      </c>
      <c r="AA2642" s="103" t="s">
        <v>47</v>
      </c>
      <c r="AB2642" s="103" t="s">
        <v>140</v>
      </c>
      <c r="AC2642" s="104" t="s">
        <v>141</v>
      </c>
    </row>
    <row r="2643" spans="1:29" ht="25.5" customHeight="1" x14ac:dyDescent="0.35">
      <c r="A2643" s="188"/>
      <c r="B2643" s="190"/>
      <c r="C2643" s="99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0"/>
      <c r="E2643" s="78" t="str">
        <f>IF(C2643="","",IFERROR(VLOOKUP(C2643,parametros!$A$11:$E$15,5,0),""))</f>
        <v/>
      </c>
      <c r="F2643" s="79" t="str">
        <f t="shared" si="207"/>
        <v/>
      </c>
      <c r="G2643" s="101"/>
      <c r="H2643" s="91">
        <f t="shared" si="208"/>
        <v>0</v>
      </c>
      <c r="I2643" s="91" t="str">
        <f t="shared" si="209"/>
        <v/>
      </c>
      <c r="J2643" s="91" t="str">
        <f t="shared" si="210"/>
        <v/>
      </c>
      <c r="K2643" s="92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2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58"/>
      <c r="U2643" s="217" t="str">
        <f t="shared" si="211"/>
        <v/>
      </c>
      <c r="V2643" s="215" t="s">
        <v>47</v>
      </c>
      <c r="W2643" s="102" t="s">
        <v>136</v>
      </c>
      <c r="X2643" s="102" t="s">
        <v>137</v>
      </c>
      <c r="Y2643" s="103" t="s">
        <v>138</v>
      </c>
      <c r="Z2643" s="103" t="s">
        <v>139</v>
      </c>
      <c r="AA2643" s="103" t="s">
        <v>47</v>
      </c>
      <c r="AB2643" s="103" t="s">
        <v>140</v>
      </c>
      <c r="AC2643" s="104" t="s">
        <v>141</v>
      </c>
    </row>
    <row r="2644" spans="1:29" ht="25.5" customHeight="1" x14ac:dyDescent="0.35">
      <c r="A2644" s="188"/>
      <c r="B2644" s="190"/>
      <c r="C2644" s="99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0"/>
      <c r="E2644" s="78" t="str">
        <f>IF(C2644="","",IFERROR(VLOOKUP(C2644,parametros!$A$11:$E$15,5,0),""))</f>
        <v/>
      </c>
      <c r="F2644" s="79" t="str">
        <f t="shared" si="207"/>
        <v/>
      </c>
      <c r="G2644" s="101"/>
      <c r="H2644" s="91">
        <f t="shared" si="208"/>
        <v>0</v>
      </c>
      <c r="I2644" s="91" t="str">
        <f t="shared" si="209"/>
        <v/>
      </c>
      <c r="J2644" s="91" t="str">
        <f t="shared" si="210"/>
        <v/>
      </c>
      <c r="K2644" s="92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2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58"/>
      <c r="U2644" s="217" t="str">
        <f t="shared" si="211"/>
        <v/>
      </c>
      <c r="V2644" s="215" t="s">
        <v>47</v>
      </c>
      <c r="W2644" s="102" t="s">
        <v>136</v>
      </c>
      <c r="X2644" s="102" t="s">
        <v>137</v>
      </c>
      <c r="Y2644" s="103" t="s">
        <v>138</v>
      </c>
      <c r="Z2644" s="103" t="s">
        <v>139</v>
      </c>
      <c r="AA2644" s="103" t="s">
        <v>47</v>
      </c>
      <c r="AB2644" s="103" t="s">
        <v>140</v>
      </c>
      <c r="AC2644" s="104" t="s">
        <v>141</v>
      </c>
    </row>
    <row r="2645" spans="1:29" ht="25.5" customHeight="1" x14ac:dyDescent="0.35">
      <c r="A2645" s="188"/>
      <c r="B2645" s="190"/>
      <c r="C2645" s="99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0"/>
      <c r="E2645" s="78" t="str">
        <f>IF(C2645="","",IFERROR(VLOOKUP(C2645,parametros!$A$11:$E$15,5,0),""))</f>
        <v/>
      </c>
      <c r="F2645" s="79" t="str">
        <f t="shared" si="207"/>
        <v/>
      </c>
      <c r="G2645" s="101"/>
      <c r="H2645" s="91">
        <f t="shared" si="208"/>
        <v>0</v>
      </c>
      <c r="I2645" s="91" t="str">
        <f t="shared" si="209"/>
        <v/>
      </c>
      <c r="J2645" s="91" t="str">
        <f t="shared" si="210"/>
        <v/>
      </c>
      <c r="K2645" s="92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2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58"/>
      <c r="U2645" s="217" t="str">
        <f t="shared" si="211"/>
        <v/>
      </c>
      <c r="V2645" s="215" t="s">
        <v>47</v>
      </c>
      <c r="W2645" s="102" t="s">
        <v>136</v>
      </c>
      <c r="X2645" s="102" t="s">
        <v>137</v>
      </c>
      <c r="Y2645" s="103" t="s">
        <v>138</v>
      </c>
      <c r="Z2645" s="103" t="s">
        <v>139</v>
      </c>
      <c r="AA2645" s="103" t="s">
        <v>47</v>
      </c>
      <c r="AB2645" s="103" t="s">
        <v>140</v>
      </c>
      <c r="AC2645" s="104" t="s">
        <v>141</v>
      </c>
    </row>
    <row r="2646" spans="1:29" ht="25.5" customHeight="1" x14ac:dyDescent="0.35">
      <c r="A2646" s="188"/>
      <c r="B2646" s="190"/>
      <c r="C2646" s="99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0"/>
      <c r="E2646" s="78" t="str">
        <f>IF(C2646="","",IFERROR(VLOOKUP(C2646,parametros!$A$11:$E$15,5,0),""))</f>
        <v/>
      </c>
      <c r="F2646" s="79" t="str">
        <f t="shared" si="207"/>
        <v/>
      </c>
      <c r="G2646" s="101"/>
      <c r="H2646" s="91">
        <f t="shared" si="208"/>
        <v>0</v>
      </c>
      <c r="I2646" s="91" t="str">
        <f t="shared" si="209"/>
        <v/>
      </c>
      <c r="J2646" s="91" t="str">
        <f t="shared" si="210"/>
        <v/>
      </c>
      <c r="K2646" s="92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2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58"/>
      <c r="U2646" s="217" t="str">
        <f t="shared" si="211"/>
        <v/>
      </c>
      <c r="V2646" s="215" t="s">
        <v>47</v>
      </c>
      <c r="W2646" s="102" t="s">
        <v>136</v>
      </c>
      <c r="X2646" s="102" t="s">
        <v>137</v>
      </c>
      <c r="Y2646" s="103" t="s">
        <v>138</v>
      </c>
      <c r="Z2646" s="103" t="s">
        <v>139</v>
      </c>
      <c r="AA2646" s="103" t="s">
        <v>47</v>
      </c>
      <c r="AB2646" s="103" t="s">
        <v>140</v>
      </c>
      <c r="AC2646" s="104" t="s">
        <v>141</v>
      </c>
    </row>
    <row r="2647" spans="1:29" ht="25.5" customHeight="1" x14ac:dyDescent="0.35">
      <c r="A2647" s="188"/>
      <c r="B2647" s="190"/>
      <c r="C2647" s="99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0"/>
      <c r="E2647" s="78" t="str">
        <f>IF(C2647="","",IFERROR(VLOOKUP(C2647,parametros!$A$11:$E$15,5,0),""))</f>
        <v/>
      </c>
      <c r="F2647" s="79" t="str">
        <f t="shared" si="207"/>
        <v/>
      </c>
      <c r="G2647" s="101"/>
      <c r="H2647" s="91">
        <f t="shared" si="208"/>
        <v>0</v>
      </c>
      <c r="I2647" s="91" t="str">
        <f t="shared" si="209"/>
        <v/>
      </c>
      <c r="J2647" s="91" t="str">
        <f t="shared" si="210"/>
        <v/>
      </c>
      <c r="K2647" s="92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2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58"/>
      <c r="U2647" s="217" t="str">
        <f t="shared" si="211"/>
        <v/>
      </c>
      <c r="V2647" s="215" t="s">
        <v>47</v>
      </c>
      <c r="W2647" s="102" t="s">
        <v>136</v>
      </c>
      <c r="X2647" s="102" t="s">
        <v>137</v>
      </c>
      <c r="Y2647" s="103" t="s">
        <v>138</v>
      </c>
      <c r="Z2647" s="103" t="s">
        <v>139</v>
      </c>
      <c r="AA2647" s="103" t="s">
        <v>47</v>
      </c>
      <c r="AB2647" s="103" t="s">
        <v>140</v>
      </c>
      <c r="AC2647" s="104" t="s">
        <v>141</v>
      </c>
    </row>
    <row r="2648" spans="1:29" ht="25.5" customHeight="1" x14ac:dyDescent="0.35">
      <c r="A2648" s="188"/>
      <c r="B2648" s="190"/>
      <c r="C2648" s="99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0"/>
      <c r="E2648" s="78" t="str">
        <f>IF(C2648="","",IFERROR(VLOOKUP(C2648,parametros!$A$11:$E$15,5,0),""))</f>
        <v/>
      </c>
      <c r="F2648" s="79" t="str">
        <f t="shared" si="207"/>
        <v/>
      </c>
      <c r="G2648" s="101"/>
      <c r="H2648" s="91">
        <f t="shared" si="208"/>
        <v>0</v>
      </c>
      <c r="I2648" s="91" t="str">
        <f t="shared" si="209"/>
        <v/>
      </c>
      <c r="J2648" s="91" t="str">
        <f t="shared" si="210"/>
        <v/>
      </c>
      <c r="K2648" s="92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2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58"/>
      <c r="U2648" s="217" t="str">
        <f t="shared" si="211"/>
        <v/>
      </c>
      <c r="V2648" s="215" t="s">
        <v>47</v>
      </c>
      <c r="W2648" s="102" t="s">
        <v>136</v>
      </c>
      <c r="X2648" s="102" t="s">
        <v>137</v>
      </c>
      <c r="Y2648" s="103" t="s">
        <v>138</v>
      </c>
      <c r="Z2648" s="103" t="s">
        <v>139</v>
      </c>
      <c r="AA2648" s="103" t="s">
        <v>47</v>
      </c>
      <c r="AB2648" s="103" t="s">
        <v>140</v>
      </c>
      <c r="AC2648" s="104" t="s">
        <v>141</v>
      </c>
    </row>
    <row r="2649" spans="1:29" ht="25.5" customHeight="1" x14ac:dyDescent="0.35">
      <c r="A2649" s="188"/>
      <c r="B2649" s="190"/>
      <c r="C2649" s="99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0"/>
      <c r="E2649" s="78" t="str">
        <f>IF(C2649="","",IFERROR(VLOOKUP(C2649,parametros!$A$11:$E$15,5,0),""))</f>
        <v/>
      </c>
      <c r="F2649" s="79" t="str">
        <f t="shared" si="207"/>
        <v/>
      </c>
      <c r="G2649" s="101"/>
      <c r="H2649" s="91">
        <f t="shared" si="208"/>
        <v>0</v>
      </c>
      <c r="I2649" s="91" t="str">
        <f t="shared" si="209"/>
        <v/>
      </c>
      <c r="J2649" s="91" t="str">
        <f t="shared" si="210"/>
        <v/>
      </c>
      <c r="K2649" s="92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2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58"/>
      <c r="U2649" s="217" t="str">
        <f t="shared" si="211"/>
        <v/>
      </c>
      <c r="V2649" s="215" t="s">
        <v>47</v>
      </c>
      <c r="W2649" s="102" t="s">
        <v>136</v>
      </c>
      <c r="X2649" s="102" t="s">
        <v>137</v>
      </c>
      <c r="Y2649" s="103" t="s">
        <v>138</v>
      </c>
      <c r="Z2649" s="103" t="s">
        <v>139</v>
      </c>
      <c r="AA2649" s="103" t="s">
        <v>47</v>
      </c>
      <c r="AB2649" s="103" t="s">
        <v>140</v>
      </c>
      <c r="AC2649" s="104" t="s">
        <v>141</v>
      </c>
    </row>
    <row r="2650" spans="1:29" ht="25.5" customHeight="1" x14ac:dyDescent="0.35">
      <c r="A2650" s="188"/>
      <c r="B2650" s="190"/>
      <c r="C2650" s="99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0"/>
      <c r="E2650" s="78" t="str">
        <f>IF(C2650="","",IFERROR(VLOOKUP(C2650,parametros!$A$11:$E$15,5,0),""))</f>
        <v/>
      </c>
      <c r="F2650" s="79" t="str">
        <f t="shared" si="207"/>
        <v/>
      </c>
      <c r="G2650" s="101"/>
      <c r="H2650" s="91">
        <f t="shared" si="208"/>
        <v>0</v>
      </c>
      <c r="I2650" s="91" t="str">
        <f t="shared" si="209"/>
        <v/>
      </c>
      <c r="J2650" s="91" t="str">
        <f t="shared" si="210"/>
        <v/>
      </c>
      <c r="K2650" s="92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2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58"/>
      <c r="U2650" s="217" t="str">
        <f t="shared" si="211"/>
        <v/>
      </c>
      <c r="V2650" s="215" t="s">
        <v>47</v>
      </c>
      <c r="W2650" s="102" t="s">
        <v>136</v>
      </c>
      <c r="X2650" s="102" t="s">
        <v>137</v>
      </c>
      <c r="Y2650" s="103" t="s">
        <v>138</v>
      </c>
      <c r="Z2650" s="103" t="s">
        <v>139</v>
      </c>
      <c r="AA2650" s="103" t="s">
        <v>47</v>
      </c>
      <c r="AB2650" s="103" t="s">
        <v>140</v>
      </c>
      <c r="AC2650" s="104" t="s">
        <v>141</v>
      </c>
    </row>
    <row r="2651" spans="1:29" ht="25.5" customHeight="1" x14ac:dyDescent="0.35">
      <c r="A2651" s="188"/>
      <c r="B2651" s="190"/>
      <c r="C2651" s="99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0"/>
      <c r="E2651" s="78" t="str">
        <f>IF(C2651="","",IFERROR(VLOOKUP(C2651,parametros!$A$11:$E$15,5,0),""))</f>
        <v/>
      </c>
      <c r="F2651" s="79" t="str">
        <f t="shared" si="207"/>
        <v/>
      </c>
      <c r="G2651" s="101"/>
      <c r="H2651" s="91">
        <f t="shared" si="208"/>
        <v>0</v>
      </c>
      <c r="I2651" s="91" t="str">
        <f t="shared" si="209"/>
        <v/>
      </c>
      <c r="J2651" s="91" t="str">
        <f t="shared" si="210"/>
        <v/>
      </c>
      <c r="K2651" s="92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2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58"/>
      <c r="U2651" s="217" t="str">
        <f t="shared" si="211"/>
        <v/>
      </c>
      <c r="V2651" s="215" t="s">
        <v>47</v>
      </c>
      <c r="W2651" s="102" t="s">
        <v>136</v>
      </c>
      <c r="X2651" s="102" t="s">
        <v>137</v>
      </c>
      <c r="Y2651" s="103" t="s">
        <v>138</v>
      </c>
      <c r="Z2651" s="103" t="s">
        <v>139</v>
      </c>
      <c r="AA2651" s="103" t="s">
        <v>47</v>
      </c>
      <c r="AB2651" s="103" t="s">
        <v>140</v>
      </c>
      <c r="AC2651" s="104" t="s">
        <v>141</v>
      </c>
    </row>
    <row r="2652" spans="1:29" ht="25.5" customHeight="1" x14ac:dyDescent="0.35">
      <c r="A2652" s="188"/>
      <c r="B2652" s="190"/>
      <c r="C2652" s="99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0"/>
      <c r="E2652" s="78" t="str">
        <f>IF(C2652="","",IFERROR(VLOOKUP(C2652,parametros!$A$11:$E$15,5,0),""))</f>
        <v/>
      </c>
      <c r="F2652" s="79" t="str">
        <f t="shared" si="207"/>
        <v/>
      </c>
      <c r="G2652" s="101"/>
      <c r="H2652" s="91">
        <f t="shared" si="208"/>
        <v>0</v>
      </c>
      <c r="I2652" s="91" t="str">
        <f t="shared" si="209"/>
        <v/>
      </c>
      <c r="J2652" s="91" t="str">
        <f t="shared" si="210"/>
        <v/>
      </c>
      <c r="K2652" s="92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2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58"/>
      <c r="U2652" s="217" t="str">
        <f t="shared" si="211"/>
        <v/>
      </c>
      <c r="V2652" s="215" t="s">
        <v>47</v>
      </c>
      <c r="W2652" s="102" t="s">
        <v>136</v>
      </c>
      <c r="X2652" s="102" t="s">
        <v>137</v>
      </c>
      <c r="Y2652" s="103" t="s">
        <v>138</v>
      </c>
      <c r="Z2652" s="103" t="s">
        <v>139</v>
      </c>
      <c r="AA2652" s="103" t="s">
        <v>47</v>
      </c>
      <c r="AB2652" s="103" t="s">
        <v>140</v>
      </c>
      <c r="AC2652" s="104" t="s">
        <v>141</v>
      </c>
    </row>
    <row r="2653" spans="1:29" ht="25.5" customHeight="1" x14ac:dyDescent="0.35">
      <c r="A2653" s="188"/>
      <c r="B2653" s="190"/>
      <c r="C2653" s="99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0"/>
      <c r="E2653" s="78" t="str">
        <f>IF(C2653="","",IFERROR(VLOOKUP(C2653,parametros!$A$11:$E$15,5,0),""))</f>
        <v/>
      </c>
      <c r="F2653" s="79" t="str">
        <f t="shared" si="207"/>
        <v/>
      </c>
      <c r="G2653" s="101"/>
      <c r="H2653" s="91">
        <f t="shared" si="208"/>
        <v>0</v>
      </c>
      <c r="I2653" s="91" t="str">
        <f t="shared" si="209"/>
        <v/>
      </c>
      <c r="J2653" s="91" t="str">
        <f t="shared" si="210"/>
        <v/>
      </c>
      <c r="K2653" s="92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2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58"/>
      <c r="U2653" s="217" t="str">
        <f t="shared" si="211"/>
        <v/>
      </c>
      <c r="V2653" s="215" t="s">
        <v>47</v>
      </c>
      <c r="W2653" s="102" t="s">
        <v>136</v>
      </c>
      <c r="X2653" s="102" t="s">
        <v>137</v>
      </c>
      <c r="Y2653" s="103" t="s">
        <v>138</v>
      </c>
      <c r="Z2653" s="103" t="s">
        <v>139</v>
      </c>
      <c r="AA2653" s="103" t="s">
        <v>47</v>
      </c>
      <c r="AB2653" s="103" t="s">
        <v>140</v>
      </c>
      <c r="AC2653" s="104" t="s">
        <v>141</v>
      </c>
    </row>
    <row r="2654" spans="1:29" ht="25.5" customHeight="1" x14ac:dyDescent="0.35">
      <c r="A2654" s="188"/>
      <c r="B2654" s="190"/>
      <c r="C2654" s="99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0"/>
      <c r="E2654" s="78" t="str">
        <f>IF(C2654="","",IFERROR(VLOOKUP(C2654,parametros!$A$11:$E$15,5,0),""))</f>
        <v/>
      </c>
      <c r="F2654" s="79" t="str">
        <f t="shared" si="207"/>
        <v/>
      </c>
      <c r="G2654" s="101"/>
      <c r="H2654" s="91">
        <f t="shared" si="208"/>
        <v>0</v>
      </c>
      <c r="I2654" s="91" t="str">
        <f t="shared" si="209"/>
        <v/>
      </c>
      <c r="J2654" s="91" t="str">
        <f t="shared" si="210"/>
        <v/>
      </c>
      <c r="K2654" s="92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2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58"/>
      <c r="U2654" s="217" t="str">
        <f t="shared" si="211"/>
        <v/>
      </c>
      <c r="V2654" s="215" t="s">
        <v>47</v>
      </c>
      <c r="W2654" s="102" t="s">
        <v>136</v>
      </c>
      <c r="X2654" s="102" t="s">
        <v>137</v>
      </c>
      <c r="Y2654" s="103" t="s">
        <v>138</v>
      </c>
      <c r="Z2654" s="103" t="s">
        <v>139</v>
      </c>
      <c r="AA2654" s="103" t="s">
        <v>47</v>
      </c>
      <c r="AB2654" s="103" t="s">
        <v>140</v>
      </c>
      <c r="AC2654" s="104" t="s">
        <v>141</v>
      </c>
    </row>
    <row r="2655" spans="1:29" ht="25.5" customHeight="1" x14ac:dyDescent="0.35">
      <c r="A2655" s="188"/>
      <c r="B2655" s="190"/>
      <c r="C2655" s="99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0"/>
      <c r="E2655" s="78" t="str">
        <f>IF(C2655="","",IFERROR(VLOOKUP(C2655,parametros!$A$11:$E$15,5,0),""))</f>
        <v/>
      </c>
      <c r="F2655" s="79" t="str">
        <f t="shared" si="207"/>
        <v/>
      </c>
      <c r="G2655" s="101"/>
      <c r="H2655" s="91">
        <f t="shared" si="208"/>
        <v>0</v>
      </c>
      <c r="I2655" s="91" t="str">
        <f t="shared" si="209"/>
        <v/>
      </c>
      <c r="J2655" s="91" t="str">
        <f t="shared" si="210"/>
        <v/>
      </c>
      <c r="K2655" s="92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2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58"/>
      <c r="U2655" s="217" t="str">
        <f t="shared" si="211"/>
        <v/>
      </c>
      <c r="V2655" s="215" t="s">
        <v>47</v>
      </c>
      <c r="W2655" s="102" t="s">
        <v>136</v>
      </c>
      <c r="X2655" s="102" t="s">
        <v>137</v>
      </c>
      <c r="Y2655" s="103" t="s">
        <v>138</v>
      </c>
      <c r="Z2655" s="103" t="s">
        <v>139</v>
      </c>
      <c r="AA2655" s="103" t="s">
        <v>47</v>
      </c>
      <c r="AB2655" s="103" t="s">
        <v>140</v>
      </c>
      <c r="AC2655" s="104" t="s">
        <v>141</v>
      </c>
    </row>
    <row r="2656" spans="1:29" ht="25.5" customHeight="1" x14ac:dyDescent="0.35">
      <c r="A2656" s="188"/>
      <c r="B2656" s="190"/>
      <c r="C2656" s="99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0"/>
      <c r="E2656" s="78" t="str">
        <f>IF(C2656="","",IFERROR(VLOOKUP(C2656,parametros!$A$11:$E$15,5,0),""))</f>
        <v/>
      </c>
      <c r="F2656" s="79" t="str">
        <f t="shared" si="207"/>
        <v/>
      </c>
      <c r="G2656" s="101"/>
      <c r="H2656" s="91">
        <f t="shared" si="208"/>
        <v>0</v>
      </c>
      <c r="I2656" s="91" t="str">
        <f t="shared" si="209"/>
        <v/>
      </c>
      <c r="J2656" s="91" t="str">
        <f t="shared" si="210"/>
        <v/>
      </c>
      <c r="K2656" s="92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2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58"/>
      <c r="U2656" s="217" t="str">
        <f t="shared" si="211"/>
        <v/>
      </c>
      <c r="V2656" s="215" t="s">
        <v>47</v>
      </c>
      <c r="W2656" s="102" t="s">
        <v>136</v>
      </c>
      <c r="X2656" s="102" t="s">
        <v>137</v>
      </c>
      <c r="Y2656" s="103" t="s">
        <v>138</v>
      </c>
      <c r="Z2656" s="103" t="s">
        <v>139</v>
      </c>
      <c r="AA2656" s="103" t="s">
        <v>47</v>
      </c>
      <c r="AB2656" s="103" t="s">
        <v>140</v>
      </c>
      <c r="AC2656" s="104" t="s">
        <v>141</v>
      </c>
    </row>
    <row r="2657" spans="1:29" ht="25.5" customHeight="1" x14ac:dyDescent="0.35">
      <c r="A2657" s="188"/>
      <c r="B2657" s="190"/>
      <c r="C2657" s="99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0"/>
      <c r="E2657" s="78" t="str">
        <f>IF(C2657="","",IFERROR(VLOOKUP(C2657,parametros!$A$11:$E$15,5,0),""))</f>
        <v/>
      </c>
      <c r="F2657" s="79" t="str">
        <f t="shared" si="207"/>
        <v/>
      </c>
      <c r="G2657" s="101"/>
      <c r="H2657" s="91">
        <f t="shared" si="208"/>
        <v>0</v>
      </c>
      <c r="I2657" s="91" t="str">
        <f t="shared" si="209"/>
        <v/>
      </c>
      <c r="J2657" s="91" t="str">
        <f t="shared" si="210"/>
        <v/>
      </c>
      <c r="K2657" s="92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2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58"/>
      <c r="U2657" s="217" t="str">
        <f t="shared" si="211"/>
        <v/>
      </c>
      <c r="V2657" s="215" t="s">
        <v>47</v>
      </c>
      <c r="W2657" s="102" t="s">
        <v>136</v>
      </c>
      <c r="X2657" s="102" t="s">
        <v>137</v>
      </c>
      <c r="Y2657" s="103" t="s">
        <v>138</v>
      </c>
      <c r="Z2657" s="103" t="s">
        <v>139</v>
      </c>
      <c r="AA2657" s="103" t="s">
        <v>47</v>
      </c>
      <c r="AB2657" s="103" t="s">
        <v>140</v>
      </c>
      <c r="AC2657" s="104" t="s">
        <v>141</v>
      </c>
    </row>
    <row r="2658" spans="1:29" ht="25.5" customHeight="1" x14ac:dyDescent="0.35">
      <c r="A2658" s="188"/>
      <c r="B2658" s="190"/>
      <c r="C2658" s="99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0"/>
      <c r="E2658" s="78" t="str">
        <f>IF(C2658="","",IFERROR(VLOOKUP(C2658,parametros!$A$11:$E$15,5,0),""))</f>
        <v/>
      </c>
      <c r="F2658" s="79" t="str">
        <f t="shared" si="207"/>
        <v/>
      </c>
      <c r="G2658" s="101"/>
      <c r="H2658" s="91">
        <f t="shared" si="208"/>
        <v>0</v>
      </c>
      <c r="I2658" s="91" t="str">
        <f t="shared" si="209"/>
        <v/>
      </c>
      <c r="J2658" s="91" t="str">
        <f t="shared" si="210"/>
        <v/>
      </c>
      <c r="K2658" s="92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2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58"/>
      <c r="U2658" s="217" t="str">
        <f t="shared" si="211"/>
        <v/>
      </c>
      <c r="V2658" s="215" t="s">
        <v>47</v>
      </c>
      <c r="W2658" s="102" t="s">
        <v>136</v>
      </c>
      <c r="X2658" s="102" t="s">
        <v>137</v>
      </c>
      <c r="Y2658" s="103" t="s">
        <v>138</v>
      </c>
      <c r="Z2658" s="103" t="s">
        <v>139</v>
      </c>
      <c r="AA2658" s="103" t="s">
        <v>47</v>
      </c>
      <c r="AB2658" s="103" t="s">
        <v>140</v>
      </c>
      <c r="AC2658" s="104" t="s">
        <v>141</v>
      </c>
    </row>
    <row r="2659" spans="1:29" ht="25.5" customHeight="1" x14ac:dyDescent="0.35">
      <c r="A2659" s="188"/>
      <c r="B2659" s="190"/>
      <c r="C2659" s="99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0"/>
      <c r="E2659" s="78" t="str">
        <f>IF(C2659="","",IFERROR(VLOOKUP(C2659,parametros!$A$11:$E$15,5,0),""))</f>
        <v/>
      </c>
      <c r="F2659" s="79" t="str">
        <f t="shared" si="207"/>
        <v/>
      </c>
      <c r="G2659" s="101"/>
      <c r="H2659" s="91">
        <f t="shared" si="208"/>
        <v>0</v>
      </c>
      <c r="I2659" s="91" t="str">
        <f t="shared" si="209"/>
        <v/>
      </c>
      <c r="J2659" s="91" t="str">
        <f t="shared" si="210"/>
        <v/>
      </c>
      <c r="K2659" s="92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2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58"/>
      <c r="U2659" s="217" t="str">
        <f t="shared" si="211"/>
        <v/>
      </c>
      <c r="V2659" s="215" t="s">
        <v>47</v>
      </c>
      <c r="W2659" s="102" t="s">
        <v>136</v>
      </c>
      <c r="X2659" s="102" t="s">
        <v>137</v>
      </c>
      <c r="Y2659" s="103" t="s">
        <v>138</v>
      </c>
      <c r="Z2659" s="103" t="s">
        <v>139</v>
      </c>
      <c r="AA2659" s="103" t="s">
        <v>47</v>
      </c>
      <c r="AB2659" s="103" t="s">
        <v>140</v>
      </c>
      <c r="AC2659" s="104" t="s">
        <v>141</v>
      </c>
    </row>
    <row r="2660" spans="1:29" ht="25.5" customHeight="1" x14ac:dyDescent="0.35">
      <c r="A2660" s="188"/>
      <c r="B2660" s="190"/>
      <c r="C2660" s="99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0"/>
      <c r="E2660" s="78" t="str">
        <f>IF(C2660="","",IFERROR(VLOOKUP(C2660,parametros!$A$11:$E$15,5,0),""))</f>
        <v/>
      </c>
      <c r="F2660" s="79" t="str">
        <f t="shared" si="207"/>
        <v/>
      </c>
      <c r="G2660" s="101"/>
      <c r="H2660" s="91">
        <f t="shared" si="208"/>
        <v>0</v>
      </c>
      <c r="I2660" s="91" t="str">
        <f t="shared" si="209"/>
        <v/>
      </c>
      <c r="J2660" s="91" t="str">
        <f t="shared" si="210"/>
        <v/>
      </c>
      <c r="K2660" s="92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2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58"/>
      <c r="U2660" s="217" t="str">
        <f t="shared" si="211"/>
        <v/>
      </c>
      <c r="V2660" s="215" t="s">
        <v>47</v>
      </c>
      <c r="W2660" s="102" t="s">
        <v>136</v>
      </c>
      <c r="X2660" s="102" t="s">
        <v>137</v>
      </c>
      <c r="Y2660" s="103" t="s">
        <v>138</v>
      </c>
      <c r="Z2660" s="103" t="s">
        <v>139</v>
      </c>
      <c r="AA2660" s="103" t="s">
        <v>47</v>
      </c>
      <c r="AB2660" s="103" t="s">
        <v>140</v>
      </c>
      <c r="AC2660" s="104" t="s">
        <v>141</v>
      </c>
    </row>
    <row r="2661" spans="1:29" ht="25.5" customHeight="1" x14ac:dyDescent="0.35">
      <c r="A2661" s="188"/>
      <c r="B2661" s="190"/>
      <c r="C2661" s="99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0"/>
      <c r="E2661" s="78" t="str">
        <f>IF(C2661="","",IFERROR(VLOOKUP(C2661,parametros!$A$11:$E$15,5,0),""))</f>
        <v/>
      </c>
      <c r="F2661" s="79" t="str">
        <f t="shared" si="207"/>
        <v/>
      </c>
      <c r="G2661" s="101"/>
      <c r="H2661" s="91">
        <f t="shared" si="208"/>
        <v>0</v>
      </c>
      <c r="I2661" s="91" t="str">
        <f t="shared" si="209"/>
        <v/>
      </c>
      <c r="J2661" s="91" t="str">
        <f t="shared" si="210"/>
        <v/>
      </c>
      <c r="K2661" s="92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2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58"/>
      <c r="U2661" s="217" t="str">
        <f t="shared" si="211"/>
        <v/>
      </c>
      <c r="V2661" s="215" t="s">
        <v>47</v>
      </c>
      <c r="W2661" s="102" t="s">
        <v>136</v>
      </c>
      <c r="X2661" s="102" t="s">
        <v>137</v>
      </c>
      <c r="Y2661" s="103" t="s">
        <v>138</v>
      </c>
      <c r="Z2661" s="103" t="s">
        <v>139</v>
      </c>
      <c r="AA2661" s="103" t="s">
        <v>47</v>
      </c>
      <c r="AB2661" s="103" t="s">
        <v>140</v>
      </c>
      <c r="AC2661" s="104" t="s">
        <v>141</v>
      </c>
    </row>
    <row r="2662" spans="1:29" ht="25.5" customHeight="1" x14ac:dyDescent="0.35">
      <c r="A2662" s="188"/>
      <c r="B2662" s="190"/>
      <c r="C2662" s="99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0"/>
      <c r="E2662" s="78" t="str">
        <f>IF(C2662="","",IFERROR(VLOOKUP(C2662,parametros!$A$11:$E$15,5,0),""))</f>
        <v/>
      </c>
      <c r="F2662" s="79" t="str">
        <f t="shared" si="207"/>
        <v/>
      </c>
      <c r="G2662" s="101"/>
      <c r="H2662" s="91">
        <f t="shared" si="208"/>
        <v>0</v>
      </c>
      <c r="I2662" s="91" t="str">
        <f t="shared" si="209"/>
        <v/>
      </c>
      <c r="J2662" s="91" t="str">
        <f t="shared" si="210"/>
        <v/>
      </c>
      <c r="K2662" s="92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2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58"/>
      <c r="U2662" s="217" t="str">
        <f t="shared" si="211"/>
        <v/>
      </c>
      <c r="V2662" s="215" t="s">
        <v>47</v>
      </c>
      <c r="W2662" s="102" t="s">
        <v>136</v>
      </c>
      <c r="X2662" s="102" t="s">
        <v>137</v>
      </c>
      <c r="Y2662" s="103" t="s">
        <v>138</v>
      </c>
      <c r="Z2662" s="103" t="s">
        <v>139</v>
      </c>
      <c r="AA2662" s="103" t="s">
        <v>47</v>
      </c>
      <c r="AB2662" s="103" t="s">
        <v>140</v>
      </c>
      <c r="AC2662" s="104" t="s">
        <v>141</v>
      </c>
    </row>
    <row r="2663" spans="1:29" ht="25.5" customHeight="1" x14ac:dyDescent="0.35">
      <c r="A2663" s="188"/>
      <c r="B2663" s="190"/>
      <c r="C2663" s="99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0"/>
      <c r="E2663" s="78" t="str">
        <f>IF(C2663="","",IFERROR(VLOOKUP(C2663,parametros!$A$11:$E$15,5,0),""))</f>
        <v/>
      </c>
      <c r="F2663" s="79" t="str">
        <f t="shared" si="207"/>
        <v/>
      </c>
      <c r="G2663" s="101"/>
      <c r="H2663" s="91">
        <f t="shared" si="208"/>
        <v>0</v>
      </c>
      <c r="I2663" s="91" t="str">
        <f t="shared" si="209"/>
        <v/>
      </c>
      <c r="J2663" s="91" t="str">
        <f t="shared" si="210"/>
        <v/>
      </c>
      <c r="K2663" s="92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2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58"/>
      <c r="U2663" s="217" t="str">
        <f t="shared" si="211"/>
        <v/>
      </c>
      <c r="V2663" s="215" t="s">
        <v>47</v>
      </c>
      <c r="W2663" s="102" t="s">
        <v>136</v>
      </c>
      <c r="X2663" s="102" t="s">
        <v>137</v>
      </c>
      <c r="Y2663" s="103" t="s">
        <v>138</v>
      </c>
      <c r="Z2663" s="103" t="s">
        <v>139</v>
      </c>
      <c r="AA2663" s="103" t="s">
        <v>47</v>
      </c>
      <c r="AB2663" s="103" t="s">
        <v>140</v>
      </c>
      <c r="AC2663" s="104" t="s">
        <v>141</v>
      </c>
    </row>
    <row r="2664" spans="1:29" ht="25.5" customHeight="1" x14ac:dyDescent="0.35">
      <c r="A2664" s="188"/>
      <c r="B2664" s="190"/>
      <c r="C2664" s="99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0"/>
      <c r="E2664" s="78" t="str">
        <f>IF(C2664="","",IFERROR(VLOOKUP(C2664,parametros!$A$11:$E$15,5,0),""))</f>
        <v/>
      </c>
      <c r="F2664" s="79" t="str">
        <f t="shared" si="207"/>
        <v/>
      </c>
      <c r="G2664" s="101"/>
      <c r="H2664" s="91">
        <f t="shared" si="208"/>
        <v>0</v>
      </c>
      <c r="I2664" s="91" t="str">
        <f t="shared" si="209"/>
        <v/>
      </c>
      <c r="J2664" s="91" t="str">
        <f t="shared" si="210"/>
        <v/>
      </c>
      <c r="K2664" s="92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2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58"/>
      <c r="U2664" s="217" t="str">
        <f t="shared" si="211"/>
        <v/>
      </c>
      <c r="V2664" s="215" t="s">
        <v>47</v>
      </c>
      <c r="W2664" s="102" t="s">
        <v>136</v>
      </c>
      <c r="X2664" s="102" t="s">
        <v>137</v>
      </c>
      <c r="Y2664" s="103" t="s">
        <v>138</v>
      </c>
      <c r="Z2664" s="103" t="s">
        <v>139</v>
      </c>
      <c r="AA2664" s="103" t="s">
        <v>47</v>
      </c>
      <c r="AB2664" s="103" t="s">
        <v>140</v>
      </c>
      <c r="AC2664" s="104" t="s">
        <v>141</v>
      </c>
    </row>
    <row r="2665" spans="1:29" ht="25.5" customHeight="1" x14ac:dyDescent="0.35">
      <c r="A2665" s="188"/>
      <c r="B2665" s="190"/>
      <c r="C2665" s="99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0"/>
      <c r="E2665" s="78" t="str">
        <f>IF(C2665="","",IFERROR(VLOOKUP(C2665,parametros!$A$11:$E$15,5,0),""))</f>
        <v/>
      </c>
      <c r="F2665" s="79" t="str">
        <f t="shared" si="207"/>
        <v/>
      </c>
      <c r="G2665" s="101"/>
      <c r="H2665" s="91">
        <f t="shared" si="208"/>
        <v>0</v>
      </c>
      <c r="I2665" s="91" t="str">
        <f t="shared" si="209"/>
        <v/>
      </c>
      <c r="J2665" s="91" t="str">
        <f t="shared" si="210"/>
        <v/>
      </c>
      <c r="K2665" s="92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2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58"/>
      <c r="U2665" s="217" t="str">
        <f t="shared" si="211"/>
        <v/>
      </c>
      <c r="V2665" s="215" t="s">
        <v>47</v>
      </c>
      <c r="W2665" s="102" t="s">
        <v>136</v>
      </c>
      <c r="X2665" s="102" t="s">
        <v>137</v>
      </c>
      <c r="Y2665" s="103" t="s">
        <v>138</v>
      </c>
      <c r="Z2665" s="103" t="s">
        <v>139</v>
      </c>
      <c r="AA2665" s="103" t="s">
        <v>47</v>
      </c>
      <c r="AB2665" s="103" t="s">
        <v>140</v>
      </c>
      <c r="AC2665" s="104" t="s">
        <v>141</v>
      </c>
    </row>
    <row r="2666" spans="1:29" ht="25.5" customHeight="1" x14ac:dyDescent="0.35">
      <c r="A2666" s="188"/>
      <c r="B2666" s="190"/>
      <c r="C2666" s="99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0"/>
      <c r="E2666" s="78" t="str">
        <f>IF(C2666="","",IFERROR(VLOOKUP(C2666,parametros!$A$11:$E$15,5,0),""))</f>
        <v/>
      </c>
      <c r="F2666" s="79" t="str">
        <f t="shared" si="207"/>
        <v/>
      </c>
      <c r="G2666" s="101"/>
      <c r="H2666" s="91">
        <f t="shared" si="208"/>
        <v>0</v>
      </c>
      <c r="I2666" s="91" t="str">
        <f t="shared" si="209"/>
        <v/>
      </c>
      <c r="J2666" s="91" t="str">
        <f t="shared" si="210"/>
        <v/>
      </c>
      <c r="K2666" s="92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2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58"/>
      <c r="U2666" s="217" t="str">
        <f t="shared" si="211"/>
        <v/>
      </c>
      <c r="V2666" s="215" t="s">
        <v>47</v>
      </c>
      <c r="W2666" s="102" t="s">
        <v>136</v>
      </c>
      <c r="X2666" s="102" t="s">
        <v>137</v>
      </c>
      <c r="Y2666" s="103" t="s">
        <v>138</v>
      </c>
      <c r="Z2666" s="103" t="s">
        <v>139</v>
      </c>
      <c r="AA2666" s="103" t="s">
        <v>47</v>
      </c>
      <c r="AB2666" s="103" t="s">
        <v>140</v>
      </c>
      <c r="AC2666" s="104" t="s">
        <v>141</v>
      </c>
    </row>
    <row r="2667" spans="1:29" ht="25.5" customHeight="1" x14ac:dyDescent="0.35">
      <c r="A2667" s="188"/>
      <c r="B2667" s="190"/>
      <c r="C2667" s="99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0"/>
      <c r="E2667" s="78" t="str">
        <f>IF(C2667="","",IFERROR(VLOOKUP(C2667,parametros!$A$11:$E$15,5,0),""))</f>
        <v/>
      </c>
      <c r="F2667" s="79" t="str">
        <f t="shared" si="207"/>
        <v/>
      </c>
      <c r="G2667" s="101"/>
      <c r="H2667" s="91">
        <f t="shared" si="208"/>
        <v>0</v>
      </c>
      <c r="I2667" s="91" t="str">
        <f t="shared" si="209"/>
        <v/>
      </c>
      <c r="J2667" s="91" t="str">
        <f t="shared" si="210"/>
        <v/>
      </c>
      <c r="K2667" s="92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2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58"/>
      <c r="U2667" s="217" t="str">
        <f t="shared" si="211"/>
        <v/>
      </c>
      <c r="V2667" s="215" t="s">
        <v>47</v>
      </c>
      <c r="W2667" s="102" t="s">
        <v>136</v>
      </c>
      <c r="X2667" s="102" t="s">
        <v>137</v>
      </c>
      <c r="Y2667" s="103" t="s">
        <v>138</v>
      </c>
      <c r="Z2667" s="103" t="s">
        <v>139</v>
      </c>
      <c r="AA2667" s="103" t="s">
        <v>47</v>
      </c>
      <c r="AB2667" s="103" t="s">
        <v>140</v>
      </c>
      <c r="AC2667" s="104" t="s">
        <v>141</v>
      </c>
    </row>
    <row r="2668" spans="1:29" ht="25.5" customHeight="1" x14ac:dyDescent="0.35">
      <c r="A2668" s="188"/>
      <c r="B2668" s="190"/>
      <c r="C2668" s="99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0"/>
      <c r="E2668" s="78" t="str">
        <f>IF(C2668="","",IFERROR(VLOOKUP(C2668,parametros!$A$11:$E$15,5,0),""))</f>
        <v/>
      </c>
      <c r="F2668" s="79" t="str">
        <f t="shared" si="207"/>
        <v/>
      </c>
      <c r="G2668" s="101"/>
      <c r="H2668" s="91">
        <f t="shared" si="208"/>
        <v>0</v>
      </c>
      <c r="I2668" s="91" t="str">
        <f t="shared" si="209"/>
        <v/>
      </c>
      <c r="J2668" s="91" t="str">
        <f t="shared" si="210"/>
        <v/>
      </c>
      <c r="K2668" s="92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2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58"/>
      <c r="U2668" s="217" t="str">
        <f t="shared" si="211"/>
        <v/>
      </c>
      <c r="V2668" s="215" t="s">
        <v>47</v>
      </c>
      <c r="W2668" s="102" t="s">
        <v>136</v>
      </c>
      <c r="X2668" s="102" t="s">
        <v>137</v>
      </c>
      <c r="Y2668" s="103" t="s">
        <v>138</v>
      </c>
      <c r="Z2668" s="103" t="s">
        <v>139</v>
      </c>
      <c r="AA2668" s="103" t="s">
        <v>47</v>
      </c>
      <c r="AB2668" s="103" t="s">
        <v>140</v>
      </c>
      <c r="AC2668" s="104" t="s">
        <v>141</v>
      </c>
    </row>
    <row r="2669" spans="1:29" ht="25.5" customHeight="1" x14ac:dyDescent="0.35">
      <c r="A2669" s="188"/>
      <c r="B2669" s="190"/>
      <c r="C2669" s="99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0"/>
      <c r="E2669" s="78" t="str">
        <f>IF(C2669="","",IFERROR(VLOOKUP(C2669,parametros!$A$11:$E$15,5,0),""))</f>
        <v/>
      </c>
      <c r="F2669" s="79" t="str">
        <f t="shared" si="207"/>
        <v/>
      </c>
      <c r="G2669" s="101"/>
      <c r="H2669" s="91">
        <f t="shared" si="208"/>
        <v>0</v>
      </c>
      <c r="I2669" s="91" t="str">
        <f t="shared" si="209"/>
        <v/>
      </c>
      <c r="J2669" s="91" t="str">
        <f t="shared" si="210"/>
        <v/>
      </c>
      <c r="K2669" s="92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2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58"/>
      <c r="U2669" s="217" t="str">
        <f t="shared" si="211"/>
        <v/>
      </c>
      <c r="V2669" s="215" t="s">
        <v>47</v>
      </c>
      <c r="W2669" s="102" t="s">
        <v>136</v>
      </c>
      <c r="X2669" s="102" t="s">
        <v>137</v>
      </c>
      <c r="Y2669" s="103" t="s">
        <v>138</v>
      </c>
      <c r="Z2669" s="103" t="s">
        <v>139</v>
      </c>
      <c r="AA2669" s="103" t="s">
        <v>47</v>
      </c>
      <c r="AB2669" s="103" t="s">
        <v>140</v>
      </c>
      <c r="AC2669" s="104" t="s">
        <v>141</v>
      </c>
    </row>
    <row r="2670" spans="1:29" ht="25.5" customHeight="1" x14ac:dyDescent="0.35">
      <c r="A2670" s="188"/>
      <c r="B2670" s="190"/>
      <c r="C2670" s="99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0"/>
      <c r="E2670" s="78" t="str">
        <f>IF(C2670="","",IFERROR(VLOOKUP(C2670,parametros!$A$11:$E$15,5,0),""))</f>
        <v/>
      </c>
      <c r="F2670" s="79" t="str">
        <f t="shared" si="207"/>
        <v/>
      </c>
      <c r="G2670" s="101"/>
      <c r="H2670" s="91">
        <f t="shared" si="208"/>
        <v>0</v>
      </c>
      <c r="I2670" s="91" t="str">
        <f t="shared" si="209"/>
        <v/>
      </c>
      <c r="J2670" s="91" t="str">
        <f t="shared" si="210"/>
        <v/>
      </c>
      <c r="K2670" s="92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2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58"/>
      <c r="U2670" s="217" t="str">
        <f t="shared" si="211"/>
        <v/>
      </c>
      <c r="V2670" s="215" t="s">
        <v>47</v>
      </c>
      <c r="W2670" s="102" t="s">
        <v>136</v>
      </c>
      <c r="X2670" s="102" t="s">
        <v>137</v>
      </c>
      <c r="Y2670" s="103" t="s">
        <v>138</v>
      </c>
      <c r="Z2670" s="103" t="s">
        <v>139</v>
      </c>
      <c r="AA2670" s="103" t="s">
        <v>47</v>
      </c>
      <c r="AB2670" s="103" t="s">
        <v>140</v>
      </c>
      <c r="AC2670" s="104" t="s">
        <v>141</v>
      </c>
    </row>
    <row r="2671" spans="1:29" ht="25.5" customHeight="1" x14ac:dyDescent="0.35">
      <c r="A2671" s="188"/>
      <c r="B2671" s="190"/>
      <c r="C2671" s="99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0"/>
      <c r="E2671" s="78" t="str">
        <f>IF(C2671="","",IFERROR(VLOOKUP(C2671,parametros!$A$11:$E$15,5,0),""))</f>
        <v/>
      </c>
      <c r="F2671" s="79" t="str">
        <f t="shared" si="207"/>
        <v/>
      </c>
      <c r="G2671" s="101"/>
      <c r="H2671" s="91">
        <f t="shared" si="208"/>
        <v>0</v>
      </c>
      <c r="I2671" s="91" t="str">
        <f t="shared" si="209"/>
        <v/>
      </c>
      <c r="J2671" s="91" t="str">
        <f t="shared" si="210"/>
        <v/>
      </c>
      <c r="K2671" s="92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2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58"/>
      <c r="U2671" s="217" t="str">
        <f t="shared" si="211"/>
        <v/>
      </c>
      <c r="V2671" s="215" t="s">
        <v>47</v>
      </c>
      <c r="W2671" s="102" t="s">
        <v>136</v>
      </c>
      <c r="X2671" s="102" t="s">
        <v>137</v>
      </c>
      <c r="Y2671" s="103" t="s">
        <v>138</v>
      </c>
      <c r="Z2671" s="103" t="s">
        <v>139</v>
      </c>
      <c r="AA2671" s="103" t="s">
        <v>47</v>
      </c>
      <c r="AB2671" s="103" t="s">
        <v>140</v>
      </c>
      <c r="AC2671" s="104" t="s">
        <v>141</v>
      </c>
    </row>
    <row r="2672" spans="1:29" ht="25.5" customHeight="1" x14ac:dyDescent="0.35">
      <c r="A2672" s="188"/>
      <c r="B2672" s="190"/>
      <c r="C2672" s="99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0"/>
      <c r="E2672" s="78" t="str">
        <f>IF(C2672="","",IFERROR(VLOOKUP(C2672,parametros!$A$11:$E$15,5,0),""))</f>
        <v/>
      </c>
      <c r="F2672" s="79" t="str">
        <f t="shared" si="207"/>
        <v/>
      </c>
      <c r="G2672" s="101"/>
      <c r="H2672" s="91">
        <f t="shared" si="208"/>
        <v>0</v>
      </c>
      <c r="I2672" s="91" t="str">
        <f t="shared" si="209"/>
        <v/>
      </c>
      <c r="J2672" s="91" t="str">
        <f t="shared" si="210"/>
        <v/>
      </c>
      <c r="K2672" s="92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2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58"/>
      <c r="U2672" s="217" t="str">
        <f t="shared" si="211"/>
        <v/>
      </c>
      <c r="V2672" s="215" t="s">
        <v>47</v>
      </c>
      <c r="W2672" s="102" t="s">
        <v>136</v>
      </c>
      <c r="X2672" s="102" t="s">
        <v>137</v>
      </c>
      <c r="Y2672" s="103" t="s">
        <v>138</v>
      </c>
      <c r="Z2672" s="103" t="s">
        <v>139</v>
      </c>
      <c r="AA2672" s="103" t="s">
        <v>47</v>
      </c>
      <c r="AB2672" s="103" t="s">
        <v>140</v>
      </c>
      <c r="AC2672" s="104" t="s">
        <v>141</v>
      </c>
    </row>
    <row r="2673" spans="1:29" ht="25.5" customHeight="1" x14ac:dyDescent="0.35">
      <c r="A2673" s="188"/>
      <c r="B2673" s="190"/>
      <c r="C2673" s="99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0"/>
      <c r="E2673" s="78" t="str">
        <f>IF(C2673="","",IFERROR(VLOOKUP(C2673,parametros!$A$11:$E$15,5,0),""))</f>
        <v/>
      </c>
      <c r="F2673" s="79" t="str">
        <f t="shared" si="207"/>
        <v/>
      </c>
      <c r="G2673" s="101"/>
      <c r="H2673" s="91">
        <f t="shared" si="208"/>
        <v>0</v>
      </c>
      <c r="I2673" s="91" t="str">
        <f t="shared" si="209"/>
        <v/>
      </c>
      <c r="J2673" s="91" t="str">
        <f t="shared" si="210"/>
        <v/>
      </c>
      <c r="K2673" s="92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2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58"/>
      <c r="U2673" s="217" t="str">
        <f t="shared" si="211"/>
        <v/>
      </c>
      <c r="V2673" s="215" t="s">
        <v>47</v>
      </c>
      <c r="W2673" s="102" t="s">
        <v>136</v>
      </c>
      <c r="X2673" s="102" t="s">
        <v>137</v>
      </c>
      <c r="Y2673" s="103" t="s">
        <v>138</v>
      </c>
      <c r="Z2673" s="103" t="s">
        <v>139</v>
      </c>
      <c r="AA2673" s="103" t="s">
        <v>47</v>
      </c>
      <c r="AB2673" s="103" t="s">
        <v>140</v>
      </c>
      <c r="AC2673" s="104" t="s">
        <v>141</v>
      </c>
    </row>
    <row r="2674" spans="1:29" ht="25.5" customHeight="1" x14ac:dyDescent="0.35">
      <c r="A2674" s="188"/>
      <c r="B2674" s="190"/>
      <c r="C2674" s="99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0"/>
      <c r="E2674" s="78" t="str">
        <f>IF(C2674="","",IFERROR(VLOOKUP(C2674,parametros!$A$11:$E$15,5,0),""))</f>
        <v/>
      </c>
      <c r="F2674" s="79" t="str">
        <f t="shared" si="207"/>
        <v/>
      </c>
      <c r="G2674" s="101"/>
      <c r="H2674" s="91">
        <f t="shared" si="208"/>
        <v>0</v>
      </c>
      <c r="I2674" s="91" t="str">
        <f t="shared" si="209"/>
        <v/>
      </c>
      <c r="J2674" s="91" t="str">
        <f t="shared" si="210"/>
        <v/>
      </c>
      <c r="K2674" s="92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2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58"/>
      <c r="U2674" s="217" t="str">
        <f t="shared" si="211"/>
        <v/>
      </c>
      <c r="V2674" s="215" t="s">
        <v>47</v>
      </c>
      <c r="W2674" s="102" t="s">
        <v>136</v>
      </c>
      <c r="X2674" s="102" t="s">
        <v>137</v>
      </c>
      <c r="Y2674" s="103" t="s">
        <v>138</v>
      </c>
      <c r="Z2674" s="103" t="s">
        <v>139</v>
      </c>
      <c r="AA2674" s="103" t="s">
        <v>47</v>
      </c>
      <c r="AB2674" s="103" t="s">
        <v>140</v>
      </c>
      <c r="AC2674" s="104" t="s">
        <v>141</v>
      </c>
    </row>
    <row r="2675" spans="1:29" ht="25.5" customHeight="1" x14ac:dyDescent="0.35">
      <c r="A2675" s="188"/>
      <c r="B2675" s="190"/>
      <c r="C2675" s="99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0"/>
      <c r="E2675" s="78" t="str">
        <f>IF(C2675="","",IFERROR(VLOOKUP(C2675,parametros!$A$11:$E$15,5,0),""))</f>
        <v/>
      </c>
      <c r="F2675" s="79" t="str">
        <f t="shared" si="207"/>
        <v/>
      </c>
      <c r="G2675" s="101"/>
      <c r="H2675" s="91">
        <f t="shared" si="208"/>
        <v>0</v>
      </c>
      <c r="I2675" s="91" t="str">
        <f t="shared" si="209"/>
        <v/>
      </c>
      <c r="J2675" s="91" t="str">
        <f t="shared" si="210"/>
        <v/>
      </c>
      <c r="K2675" s="92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2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58"/>
      <c r="U2675" s="217" t="str">
        <f t="shared" si="211"/>
        <v/>
      </c>
      <c r="V2675" s="215" t="s">
        <v>47</v>
      </c>
      <c r="W2675" s="102" t="s">
        <v>136</v>
      </c>
      <c r="X2675" s="102" t="s">
        <v>137</v>
      </c>
      <c r="Y2675" s="103" t="s">
        <v>138</v>
      </c>
      <c r="Z2675" s="103" t="s">
        <v>139</v>
      </c>
      <c r="AA2675" s="103" t="s">
        <v>47</v>
      </c>
      <c r="AB2675" s="103" t="s">
        <v>140</v>
      </c>
      <c r="AC2675" s="104" t="s">
        <v>141</v>
      </c>
    </row>
    <row r="2676" spans="1:29" ht="25.5" customHeight="1" x14ac:dyDescent="0.35">
      <c r="A2676" s="188"/>
      <c r="B2676" s="190"/>
      <c r="C2676" s="99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0"/>
      <c r="E2676" s="78" t="str">
        <f>IF(C2676="","",IFERROR(VLOOKUP(C2676,parametros!$A$11:$E$15,5,0),""))</f>
        <v/>
      </c>
      <c r="F2676" s="79" t="str">
        <f t="shared" si="207"/>
        <v/>
      </c>
      <c r="G2676" s="101"/>
      <c r="H2676" s="91">
        <f t="shared" si="208"/>
        <v>0</v>
      </c>
      <c r="I2676" s="91" t="str">
        <f t="shared" si="209"/>
        <v/>
      </c>
      <c r="J2676" s="91" t="str">
        <f t="shared" si="210"/>
        <v/>
      </c>
      <c r="K2676" s="92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2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58"/>
      <c r="U2676" s="217" t="str">
        <f t="shared" si="211"/>
        <v/>
      </c>
      <c r="V2676" s="215" t="s">
        <v>47</v>
      </c>
      <c r="W2676" s="102" t="s">
        <v>136</v>
      </c>
      <c r="X2676" s="102" t="s">
        <v>137</v>
      </c>
      <c r="Y2676" s="103" t="s">
        <v>138</v>
      </c>
      <c r="Z2676" s="103" t="s">
        <v>139</v>
      </c>
      <c r="AA2676" s="103" t="s">
        <v>47</v>
      </c>
      <c r="AB2676" s="103" t="s">
        <v>140</v>
      </c>
      <c r="AC2676" s="104" t="s">
        <v>141</v>
      </c>
    </row>
    <row r="2677" spans="1:29" ht="25.5" customHeight="1" x14ac:dyDescent="0.35">
      <c r="A2677" s="188"/>
      <c r="B2677" s="190"/>
      <c r="C2677" s="99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0"/>
      <c r="E2677" s="78" t="str">
        <f>IF(C2677="","",IFERROR(VLOOKUP(C2677,parametros!$A$11:$E$15,5,0),""))</f>
        <v/>
      </c>
      <c r="F2677" s="79" t="str">
        <f t="shared" si="207"/>
        <v/>
      </c>
      <c r="G2677" s="101"/>
      <c r="H2677" s="91">
        <f t="shared" si="208"/>
        <v>0</v>
      </c>
      <c r="I2677" s="91" t="str">
        <f t="shared" si="209"/>
        <v/>
      </c>
      <c r="J2677" s="91" t="str">
        <f t="shared" si="210"/>
        <v/>
      </c>
      <c r="K2677" s="92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2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58"/>
      <c r="U2677" s="217" t="str">
        <f t="shared" si="211"/>
        <v/>
      </c>
      <c r="V2677" s="215" t="s">
        <v>47</v>
      </c>
      <c r="W2677" s="102" t="s">
        <v>136</v>
      </c>
      <c r="X2677" s="102" t="s">
        <v>137</v>
      </c>
      <c r="Y2677" s="103" t="s">
        <v>138</v>
      </c>
      <c r="Z2677" s="103" t="s">
        <v>139</v>
      </c>
      <c r="AA2677" s="103" t="s">
        <v>47</v>
      </c>
      <c r="AB2677" s="103" t="s">
        <v>140</v>
      </c>
      <c r="AC2677" s="104" t="s">
        <v>141</v>
      </c>
    </row>
    <row r="2678" spans="1:29" ht="25.5" customHeight="1" x14ac:dyDescent="0.35">
      <c r="A2678" s="188"/>
      <c r="B2678" s="190"/>
      <c r="C2678" s="99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0"/>
      <c r="E2678" s="78" t="str">
        <f>IF(C2678="","",IFERROR(VLOOKUP(C2678,parametros!$A$11:$E$15,5,0),""))</f>
        <v/>
      </c>
      <c r="F2678" s="79" t="str">
        <f t="shared" si="207"/>
        <v/>
      </c>
      <c r="G2678" s="101"/>
      <c r="H2678" s="91">
        <f t="shared" si="208"/>
        <v>0</v>
      </c>
      <c r="I2678" s="91" t="str">
        <f t="shared" si="209"/>
        <v/>
      </c>
      <c r="J2678" s="91" t="str">
        <f t="shared" si="210"/>
        <v/>
      </c>
      <c r="K2678" s="92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2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58"/>
      <c r="U2678" s="217" t="str">
        <f t="shared" si="211"/>
        <v/>
      </c>
      <c r="V2678" s="215" t="s">
        <v>47</v>
      </c>
      <c r="W2678" s="102" t="s">
        <v>136</v>
      </c>
      <c r="X2678" s="102" t="s">
        <v>137</v>
      </c>
      <c r="Y2678" s="103" t="s">
        <v>138</v>
      </c>
      <c r="Z2678" s="103" t="s">
        <v>139</v>
      </c>
      <c r="AA2678" s="103" t="s">
        <v>47</v>
      </c>
      <c r="AB2678" s="103" t="s">
        <v>140</v>
      </c>
      <c r="AC2678" s="104" t="s">
        <v>141</v>
      </c>
    </row>
    <row r="2679" spans="1:29" ht="25.5" customHeight="1" x14ac:dyDescent="0.35">
      <c r="A2679" s="188"/>
      <c r="B2679" s="190"/>
      <c r="C2679" s="99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0"/>
      <c r="E2679" s="78" t="str">
        <f>IF(C2679="","",IFERROR(VLOOKUP(C2679,parametros!$A$11:$E$15,5,0),""))</f>
        <v/>
      </c>
      <c r="F2679" s="79" t="str">
        <f t="shared" si="207"/>
        <v/>
      </c>
      <c r="G2679" s="101"/>
      <c r="H2679" s="91">
        <f t="shared" si="208"/>
        <v>0</v>
      </c>
      <c r="I2679" s="91" t="str">
        <f t="shared" si="209"/>
        <v/>
      </c>
      <c r="J2679" s="91" t="str">
        <f t="shared" si="210"/>
        <v/>
      </c>
      <c r="K2679" s="92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2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58"/>
      <c r="U2679" s="217" t="str">
        <f t="shared" si="211"/>
        <v/>
      </c>
      <c r="V2679" s="215" t="s">
        <v>47</v>
      </c>
      <c r="W2679" s="102" t="s">
        <v>136</v>
      </c>
      <c r="X2679" s="102" t="s">
        <v>137</v>
      </c>
      <c r="Y2679" s="103" t="s">
        <v>138</v>
      </c>
      <c r="Z2679" s="103" t="s">
        <v>139</v>
      </c>
      <c r="AA2679" s="103" t="s">
        <v>47</v>
      </c>
      <c r="AB2679" s="103" t="s">
        <v>140</v>
      </c>
      <c r="AC2679" s="104" t="s">
        <v>141</v>
      </c>
    </row>
    <row r="2680" spans="1:29" ht="25.5" customHeight="1" x14ac:dyDescent="0.35">
      <c r="A2680" s="188"/>
      <c r="B2680" s="190"/>
      <c r="C2680" s="99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0"/>
      <c r="E2680" s="78" t="str">
        <f>IF(C2680="","",IFERROR(VLOOKUP(C2680,parametros!$A$11:$E$15,5,0),""))</f>
        <v/>
      </c>
      <c r="F2680" s="79" t="str">
        <f t="shared" si="207"/>
        <v/>
      </c>
      <c r="G2680" s="101"/>
      <c r="H2680" s="91">
        <f t="shared" si="208"/>
        <v>0</v>
      </c>
      <c r="I2680" s="91" t="str">
        <f t="shared" si="209"/>
        <v/>
      </c>
      <c r="J2680" s="91" t="str">
        <f t="shared" si="210"/>
        <v/>
      </c>
      <c r="K2680" s="92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2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58"/>
      <c r="U2680" s="217" t="str">
        <f t="shared" si="211"/>
        <v/>
      </c>
      <c r="V2680" s="215" t="s">
        <v>47</v>
      </c>
      <c r="W2680" s="102" t="s">
        <v>136</v>
      </c>
      <c r="X2680" s="102" t="s">
        <v>137</v>
      </c>
      <c r="Y2680" s="103" t="s">
        <v>138</v>
      </c>
      <c r="Z2680" s="103" t="s">
        <v>139</v>
      </c>
      <c r="AA2680" s="103" t="s">
        <v>47</v>
      </c>
      <c r="AB2680" s="103" t="s">
        <v>140</v>
      </c>
      <c r="AC2680" s="104" t="s">
        <v>141</v>
      </c>
    </row>
    <row r="2681" spans="1:29" ht="25.5" customHeight="1" x14ac:dyDescent="0.35">
      <c r="A2681" s="188"/>
      <c r="B2681" s="190"/>
      <c r="C2681" s="99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0"/>
      <c r="E2681" s="78" t="str">
        <f>IF(C2681="","",IFERROR(VLOOKUP(C2681,parametros!$A$11:$E$15,5,0),""))</f>
        <v/>
      </c>
      <c r="F2681" s="79" t="str">
        <f t="shared" si="207"/>
        <v/>
      </c>
      <c r="G2681" s="101"/>
      <c r="H2681" s="91">
        <f t="shared" si="208"/>
        <v>0</v>
      </c>
      <c r="I2681" s="91" t="str">
        <f t="shared" si="209"/>
        <v/>
      </c>
      <c r="J2681" s="91" t="str">
        <f t="shared" si="210"/>
        <v/>
      </c>
      <c r="K2681" s="92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2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58"/>
      <c r="U2681" s="217" t="str">
        <f t="shared" si="211"/>
        <v/>
      </c>
      <c r="V2681" s="215" t="s">
        <v>47</v>
      </c>
      <c r="W2681" s="102" t="s">
        <v>136</v>
      </c>
      <c r="X2681" s="102" t="s">
        <v>137</v>
      </c>
      <c r="Y2681" s="103" t="s">
        <v>138</v>
      </c>
      <c r="Z2681" s="103" t="s">
        <v>139</v>
      </c>
      <c r="AA2681" s="103" t="s">
        <v>47</v>
      </c>
      <c r="AB2681" s="103" t="s">
        <v>140</v>
      </c>
      <c r="AC2681" s="104" t="s">
        <v>141</v>
      </c>
    </row>
    <row r="2682" spans="1:29" ht="25.5" customHeight="1" x14ac:dyDescent="0.35">
      <c r="A2682" s="188"/>
      <c r="B2682" s="190"/>
      <c r="C2682" s="99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0"/>
      <c r="E2682" s="78" t="str">
        <f>IF(C2682="","",IFERROR(VLOOKUP(C2682,parametros!$A$11:$E$15,5,0),""))</f>
        <v/>
      </c>
      <c r="F2682" s="79" t="str">
        <f t="shared" si="207"/>
        <v/>
      </c>
      <c r="G2682" s="101"/>
      <c r="H2682" s="91">
        <f t="shared" si="208"/>
        <v>0</v>
      </c>
      <c r="I2682" s="91" t="str">
        <f t="shared" si="209"/>
        <v/>
      </c>
      <c r="J2682" s="91" t="str">
        <f t="shared" si="210"/>
        <v/>
      </c>
      <c r="K2682" s="92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2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58"/>
      <c r="U2682" s="217" t="str">
        <f t="shared" si="211"/>
        <v/>
      </c>
      <c r="V2682" s="215" t="s">
        <v>47</v>
      </c>
      <c r="W2682" s="102" t="s">
        <v>136</v>
      </c>
      <c r="X2682" s="102" t="s">
        <v>137</v>
      </c>
      <c r="Y2682" s="103" t="s">
        <v>138</v>
      </c>
      <c r="Z2682" s="103" t="s">
        <v>139</v>
      </c>
      <c r="AA2682" s="103" t="s">
        <v>47</v>
      </c>
      <c r="AB2682" s="103" t="s">
        <v>140</v>
      </c>
      <c r="AC2682" s="104" t="s">
        <v>141</v>
      </c>
    </row>
    <row r="2683" spans="1:29" ht="25.5" customHeight="1" x14ac:dyDescent="0.35">
      <c r="A2683" s="188"/>
      <c r="B2683" s="190"/>
      <c r="C2683" s="99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0"/>
      <c r="E2683" s="78" t="str">
        <f>IF(C2683="","",IFERROR(VLOOKUP(C2683,parametros!$A$11:$E$15,5,0),""))</f>
        <v/>
      </c>
      <c r="F2683" s="79" t="str">
        <f t="shared" si="207"/>
        <v/>
      </c>
      <c r="G2683" s="101"/>
      <c r="H2683" s="91">
        <f t="shared" si="208"/>
        <v>0</v>
      </c>
      <c r="I2683" s="91" t="str">
        <f t="shared" si="209"/>
        <v/>
      </c>
      <c r="J2683" s="91" t="str">
        <f t="shared" si="210"/>
        <v/>
      </c>
      <c r="K2683" s="92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2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58"/>
      <c r="U2683" s="217" t="str">
        <f t="shared" si="211"/>
        <v/>
      </c>
      <c r="V2683" s="215" t="s">
        <v>47</v>
      </c>
      <c r="W2683" s="102" t="s">
        <v>136</v>
      </c>
      <c r="X2683" s="102" t="s">
        <v>137</v>
      </c>
      <c r="Y2683" s="103" t="s">
        <v>138</v>
      </c>
      <c r="Z2683" s="103" t="s">
        <v>139</v>
      </c>
      <c r="AA2683" s="103" t="s">
        <v>47</v>
      </c>
      <c r="AB2683" s="103" t="s">
        <v>140</v>
      </c>
      <c r="AC2683" s="104" t="s">
        <v>141</v>
      </c>
    </row>
    <row r="2684" spans="1:29" ht="25.5" customHeight="1" x14ac:dyDescent="0.35">
      <c r="A2684" s="188"/>
      <c r="B2684" s="190"/>
      <c r="C2684" s="99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0"/>
      <c r="E2684" s="78" t="str">
        <f>IF(C2684="","",IFERROR(VLOOKUP(C2684,parametros!$A$11:$E$15,5,0),""))</f>
        <v/>
      </c>
      <c r="F2684" s="79" t="str">
        <f t="shared" si="207"/>
        <v/>
      </c>
      <c r="G2684" s="101"/>
      <c r="H2684" s="91">
        <f t="shared" si="208"/>
        <v>0</v>
      </c>
      <c r="I2684" s="91" t="str">
        <f t="shared" si="209"/>
        <v/>
      </c>
      <c r="J2684" s="91" t="str">
        <f t="shared" si="210"/>
        <v/>
      </c>
      <c r="K2684" s="92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2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58"/>
      <c r="U2684" s="217" t="str">
        <f t="shared" si="211"/>
        <v/>
      </c>
      <c r="V2684" s="215" t="s">
        <v>47</v>
      </c>
      <c r="W2684" s="102" t="s">
        <v>136</v>
      </c>
      <c r="X2684" s="102" t="s">
        <v>137</v>
      </c>
      <c r="Y2684" s="103" t="s">
        <v>138</v>
      </c>
      <c r="Z2684" s="103" t="s">
        <v>139</v>
      </c>
      <c r="AA2684" s="103" t="s">
        <v>47</v>
      </c>
      <c r="AB2684" s="103" t="s">
        <v>140</v>
      </c>
      <c r="AC2684" s="104" t="s">
        <v>141</v>
      </c>
    </row>
    <row r="2685" spans="1:29" ht="25.5" customHeight="1" x14ac:dyDescent="0.35">
      <c r="A2685" s="188"/>
      <c r="B2685" s="190"/>
      <c r="C2685" s="99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0"/>
      <c r="E2685" s="78" t="str">
        <f>IF(C2685="","",IFERROR(VLOOKUP(C2685,parametros!$A$11:$E$15,5,0),""))</f>
        <v/>
      </c>
      <c r="F2685" s="79" t="str">
        <f t="shared" si="207"/>
        <v/>
      </c>
      <c r="G2685" s="101"/>
      <c r="H2685" s="91">
        <f t="shared" si="208"/>
        <v>0</v>
      </c>
      <c r="I2685" s="91" t="str">
        <f t="shared" si="209"/>
        <v/>
      </c>
      <c r="J2685" s="91" t="str">
        <f t="shared" si="210"/>
        <v/>
      </c>
      <c r="K2685" s="92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2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58"/>
      <c r="U2685" s="217" t="str">
        <f t="shared" si="211"/>
        <v/>
      </c>
      <c r="V2685" s="215" t="s">
        <v>47</v>
      </c>
      <c r="W2685" s="102" t="s">
        <v>136</v>
      </c>
      <c r="X2685" s="102" t="s">
        <v>137</v>
      </c>
      <c r="Y2685" s="103" t="s">
        <v>138</v>
      </c>
      <c r="Z2685" s="103" t="s">
        <v>139</v>
      </c>
      <c r="AA2685" s="103" t="s">
        <v>47</v>
      </c>
      <c r="AB2685" s="103" t="s">
        <v>140</v>
      </c>
      <c r="AC2685" s="104" t="s">
        <v>141</v>
      </c>
    </row>
    <row r="2686" spans="1:29" ht="25.5" customHeight="1" x14ac:dyDescent="0.35">
      <c r="A2686" s="188"/>
      <c r="B2686" s="190"/>
      <c r="C2686" s="99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0"/>
      <c r="E2686" s="78" t="str">
        <f>IF(C2686="","",IFERROR(VLOOKUP(C2686,parametros!$A$11:$E$15,5,0),""))</f>
        <v/>
      </c>
      <c r="F2686" s="79" t="str">
        <f t="shared" si="207"/>
        <v/>
      </c>
      <c r="G2686" s="101"/>
      <c r="H2686" s="91">
        <f t="shared" si="208"/>
        <v>0</v>
      </c>
      <c r="I2686" s="91" t="str">
        <f t="shared" si="209"/>
        <v/>
      </c>
      <c r="J2686" s="91" t="str">
        <f t="shared" si="210"/>
        <v/>
      </c>
      <c r="K2686" s="92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2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58"/>
      <c r="U2686" s="217" t="str">
        <f t="shared" si="211"/>
        <v/>
      </c>
      <c r="V2686" s="215" t="s">
        <v>47</v>
      </c>
      <c r="W2686" s="102" t="s">
        <v>136</v>
      </c>
      <c r="X2686" s="102" t="s">
        <v>137</v>
      </c>
      <c r="Y2686" s="103" t="s">
        <v>138</v>
      </c>
      <c r="Z2686" s="103" t="s">
        <v>139</v>
      </c>
      <c r="AA2686" s="103" t="s">
        <v>47</v>
      </c>
      <c r="AB2686" s="103" t="s">
        <v>140</v>
      </c>
      <c r="AC2686" s="104" t="s">
        <v>141</v>
      </c>
    </row>
    <row r="2687" spans="1:29" ht="25.5" customHeight="1" x14ac:dyDescent="0.35">
      <c r="A2687" s="188"/>
      <c r="B2687" s="190"/>
      <c r="C2687" s="99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0"/>
      <c r="E2687" s="78" t="str">
        <f>IF(C2687="","",IFERROR(VLOOKUP(C2687,parametros!$A$11:$E$15,5,0),""))</f>
        <v/>
      </c>
      <c r="F2687" s="79" t="str">
        <f t="shared" si="207"/>
        <v/>
      </c>
      <c r="G2687" s="101"/>
      <c r="H2687" s="91">
        <f t="shared" si="208"/>
        <v>0</v>
      </c>
      <c r="I2687" s="91" t="str">
        <f t="shared" si="209"/>
        <v/>
      </c>
      <c r="J2687" s="91" t="str">
        <f t="shared" si="210"/>
        <v/>
      </c>
      <c r="K2687" s="92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2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58"/>
      <c r="U2687" s="217" t="str">
        <f t="shared" si="211"/>
        <v/>
      </c>
      <c r="V2687" s="215" t="s">
        <v>47</v>
      </c>
      <c r="W2687" s="102" t="s">
        <v>136</v>
      </c>
      <c r="X2687" s="102" t="s">
        <v>137</v>
      </c>
      <c r="Y2687" s="103" t="s">
        <v>138</v>
      </c>
      <c r="Z2687" s="103" t="s">
        <v>139</v>
      </c>
      <c r="AA2687" s="103" t="s">
        <v>47</v>
      </c>
      <c r="AB2687" s="103" t="s">
        <v>140</v>
      </c>
      <c r="AC2687" s="104" t="s">
        <v>141</v>
      </c>
    </row>
    <row r="2688" spans="1:29" ht="25.5" customHeight="1" x14ac:dyDescent="0.35">
      <c r="A2688" s="188"/>
      <c r="B2688" s="190"/>
      <c r="C2688" s="99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0"/>
      <c r="E2688" s="78" t="str">
        <f>IF(C2688="","",IFERROR(VLOOKUP(C2688,parametros!$A$11:$E$15,5,0),""))</f>
        <v/>
      </c>
      <c r="F2688" s="79" t="str">
        <f t="shared" si="207"/>
        <v/>
      </c>
      <c r="G2688" s="101"/>
      <c r="H2688" s="91">
        <f t="shared" si="208"/>
        <v>0</v>
      </c>
      <c r="I2688" s="91" t="str">
        <f t="shared" si="209"/>
        <v/>
      </c>
      <c r="J2688" s="91" t="str">
        <f t="shared" si="210"/>
        <v/>
      </c>
      <c r="K2688" s="92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2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58"/>
      <c r="U2688" s="217" t="str">
        <f t="shared" si="211"/>
        <v/>
      </c>
      <c r="V2688" s="215" t="s">
        <v>47</v>
      </c>
      <c r="W2688" s="102" t="s">
        <v>136</v>
      </c>
      <c r="X2688" s="102" t="s">
        <v>137</v>
      </c>
      <c r="Y2688" s="103" t="s">
        <v>138</v>
      </c>
      <c r="Z2688" s="103" t="s">
        <v>139</v>
      </c>
      <c r="AA2688" s="103" t="s">
        <v>47</v>
      </c>
      <c r="AB2688" s="103" t="s">
        <v>140</v>
      </c>
      <c r="AC2688" s="104" t="s">
        <v>141</v>
      </c>
    </row>
    <row r="2689" spans="1:29" ht="25.5" customHeight="1" x14ac:dyDescent="0.35">
      <c r="A2689" s="188"/>
      <c r="B2689" s="190"/>
      <c r="C2689" s="99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0"/>
      <c r="E2689" s="78" t="str">
        <f>IF(C2689="","",IFERROR(VLOOKUP(C2689,parametros!$A$11:$E$15,5,0),""))</f>
        <v/>
      </c>
      <c r="F2689" s="79" t="str">
        <f t="shared" si="207"/>
        <v/>
      </c>
      <c r="G2689" s="101"/>
      <c r="H2689" s="91">
        <f t="shared" si="208"/>
        <v>0</v>
      </c>
      <c r="I2689" s="91" t="str">
        <f t="shared" si="209"/>
        <v/>
      </c>
      <c r="J2689" s="91" t="str">
        <f t="shared" si="210"/>
        <v/>
      </c>
      <c r="K2689" s="92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2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58"/>
      <c r="U2689" s="217" t="str">
        <f t="shared" si="211"/>
        <v/>
      </c>
      <c r="V2689" s="215" t="s">
        <v>47</v>
      </c>
      <c r="W2689" s="102" t="s">
        <v>136</v>
      </c>
      <c r="X2689" s="102" t="s">
        <v>137</v>
      </c>
      <c r="Y2689" s="103" t="s">
        <v>138</v>
      </c>
      <c r="Z2689" s="103" t="s">
        <v>139</v>
      </c>
      <c r="AA2689" s="103" t="s">
        <v>47</v>
      </c>
      <c r="AB2689" s="103" t="s">
        <v>140</v>
      </c>
      <c r="AC2689" s="104" t="s">
        <v>141</v>
      </c>
    </row>
    <row r="2690" spans="1:29" ht="25.5" customHeight="1" x14ac:dyDescent="0.35">
      <c r="A2690" s="188"/>
      <c r="B2690" s="190"/>
      <c r="C2690" s="99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0"/>
      <c r="E2690" s="78" t="str">
        <f>IF(C2690="","",IFERROR(VLOOKUP(C2690,parametros!$A$11:$E$15,5,0),""))</f>
        <v/>
      </c>
      <c r="F2690" s="79" t="str">
        <f t="shared" ref="F2690:F2753" si="212">IF(OR(D2690="",E2690=""),"",ROUND(D2690*E2690,2))</f>
        <v/>
      </c>
      <c r="G2690" s="101"/>
      <c r="H2690" s="91">
        <f t="shared" ref="H2690:H2753" si="213">IF(G2690="Sim",IF(OR(F2690="",D2690="",L2690=""),"",IF(L2690="Sim",ROUND(F2690-D2690,2),0)),0)</f>
        <v>0</v>
      </c>
      <c r="I2690" s="91" t="str">
        <f t="shared" ref="I2690:I2753" si="214">IF(G2690="Sim",0,IF(OR(F2690="",L2690=""),"",F2690))</f>
        <v/>
      </c>
      <c r="J2690" s="91" t="str">
        <f t="shared" ref="J2690:J2753" si="215">IF(G2690="Sim",0,IF(OR(F2690="",D2690="",L2690=""),"",IF(L2690="Sim",ROUND(F2690-D2690,2),0)))</f>
        <v/>
      </c>
      <c r="K2690" s="92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2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58"/>
      <c r="U2690" s="217" t="str">
        <f t="shared" ref="U2690:U2753" si="216">IF(OR($D2690="",$H2690=""),"",ROUND($D2690+$H2690,2))</f>
        <v/>
      </c>
      <c r="V2690" s="215" t="s">
        <v>47</v>
      </c>
      <c r="W2690" s="102" t="s">
        <v>136</v>
      </c>
      <c r="X2690" s="102" t="s">
        <v>137</v>
      </c>
      <c r="Y2690" s="103" t="s">
        <v>138</v>
      </c>
      <c r="Z2690" s="103" t="s">
        <v>139</v>
      </c>
      <c r="AA2690" s="103" t="s">
        <v>47</v>
      </c>
      <c r="AB2690" s="103" t="s">
        <v>140</v>
      </c>
      <c r="AC2690" s="104" t="s">
        <v>141</v>
      </c>
    </row>
    <row r="2691" spans="1:29" ht="25.5" customHeight="1" x14ac:dyDescent="0.35">
      <c r="A2691" s="188"/>
      <c r="B2691" s="190"/>
      <c r="C2691" s="99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0"/>
      <c r="E2691" s="78" t="str">
        <f>IF(C2691="","",IFERROR(VLOOKUP(C2691,parametros!$A$11:$E$15,5,0),""))</f>
        <v/>
      </c>
      <c r="F2691" s="79" t="str">
        <f t="shared" si="212"/>
        <v/>
      </c>
      <c r="G2691" s="101"/>
      <c r="H2691" s="91">
        <f t="shared" si="213"/>
        <v>0</v>
      </c>
      <c r="I2691" s="91" t="str">
        <f t="shared" si="214"/>
        <v/>
      </c>
      <c r="J2691" s="91" t="str">
        <f t="shared" si="215"/>
        <v/>
      </c>
      <c r="K2691" s="92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2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58"/>
      <c r="U2691" s="217" t="str">
        <f t="shared" si="216"/>
        <v/>
      </c>
      <c r="V2691" s="215" t="s">
        <v>47</v>
      </c>
      <c r="W2691" s="102" t="s">
        <v>136</v>
      </c>
      <c r="X2691" s="102" t="s">
        <v>137</v>
      </c>
      <c r="Y2691" s="103" t="s">
        <v>138</v>
      </c>
      <c r="Z2691" s="103" t="s">
        <v>139</v>
      </c>
      <c r="AA2691" s="103" t="s">
        <v>47</v>
      </c>
      <c r="AB2691" s="103" t="s">
        <v>140</v>
      </c>
      <c r="AC2691" s="104" t="s">
        <v>141</v>
      </c>
    </row>
    <row r="2692" spans="1:29" ht="25.5" customHeight="1" x14ac:dyDescent="0.35">
      <c r="A2692" s="188"/>
      <c r="B2692" s="190"/>
      <c r="C2692" s="99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0"/>
      <c r="E2692" s="78" t="str">
        <f>IF(C2692="","",IFERROR(VLOOKUP(C2692,parametros!$A$11:$E$15,5,0),""))</f>
        <v/>
      </c>
      <c r="F2692" s="79" t="str">
        <f t="shared" si="212"/>
        <v/>
      </c>
      <c r="G2692" s="101"/>
      <c r="H2692" s="91">
        <f t="shared" si="213"/>
        <v>0</v>
      </c>
      <c r="I2692" s="91" t="str">
        <f t="shared" si="214"/>
        <v/>
      </c>
      <c r="J2692" s="91" t="str">
        <f t="shared" si="215"/>
        <v/>
      </c>
      <c r="K2692" s="92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2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58"/>
      <c r="U2692" s="217" t="str">
        <f t="shared" si="216"/>
        <v/>
      </c>
      <c r="V2692" s="215" t="s">
        <v>47</v>
      </c>
      <c r="W2692" s="102" t="s">
        <v>136</v>
      </c>
      <c r="X2692" s="102" t="s">
        <v>137</v>
      </c>
      <c r="Y2692" s="103" t="s">
        <v>138</v>
      </c>
      <c r="Z2692" s="103" t="s">
        <v>139</v>
      </c>
      <c r="AA2692" s="103" t="s">
        <v>47</v>
      </c>
      <c r="AB2692" s="103" t="s">
        <v>140</v>
      </c>
      <c r="AC2692" s="104" t="s">
        <v>141</v>
      </c>
    </row>
    <row r="2693" spans="1:29" ht="25.5" customHeight="1" x14ac:dyDescent="0.35">
      <c r="A2693" s="188"/>
      <c r="B2693" s="190"/>
      <c r="C2693" s="99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0"/>
      <c r="E2693" s="78" t="str">
        <f>IF(C2693="","",IFERROR(VLOOKUP(C2693,parametros!$A$11:$E$15,5,0),""))</f>
        <v/>
      </c>
      <c r="F2693" s="79" t="str">
        <f t="shared" si="212"/>
        <v/>
      </c>
      <c r="G2693" s="101"/>
      <c r="H2693" s="91">
        <f t="shared" si="213"/>
        <v>0</v>
      </c>
      <c r="I2693" s="91" t="str">
        <f t="shared" si="214"/>
        <v/>
      </c>
      <c r="J2693" s="91" t="str">
        <f t="shared" si="215"/>
        <v/>
      </c>
      <c r="K2693" s="92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2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58"/>
      <c r="U2693" s="217" t="str">
        <f t="shared" si="216"/>
        <v/>
      </c>
      <c r="V2693" s="215" t="s">
        <v>47</v>
      </c>
      <c r="W2693" s="102" t="s">
        <v>136</v>
      </c>
      <c r="X2693" s="102" t="s">
        <v>137</v>
      </c>
      <c r="Y2693" s="103" t="s">
        <v>138</v>
      </c>
      <c r="Z2693" s="103" t="s">
        <v>139</v>
      </c>
      <c r="AA2693" s="103" t="s">
        <v>47</v>
      </c>
      <c r="AB2693" s="103" t="s">
        <v>140</v>
      </c>
      <c r="AC2693" s="104" t="s">
        <v>141</v>
      </c>
    </row>
    <row r="2694" spans="1:29" ht="25.5" customHeight="1" x14ac:dyDescent="0.35">
      <c r="A2694" s="188"/>
      <c r="B2694" s="190"/>
      <c r="C2694" s="99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0"/>
      <c r="E2694" s="78" t="str">
        <f>IF(C2694="","",IFERROR(VLOOKUP(C2694,parametros!$A$11:$E$15,5,0),""))</f>
        <v/>
      </c>
      <c r="F2694" s="79" t="str">
        <f t="shared" si="212"/>
        <v/>
      </c>
      <c r="G2694" s="101"/>
      <c r="H2694" s="91">
        <f t="shared" si="213"/>
        <v>0</v>
      </c>
      <c r="I2694" s="91" t="str">
        <f t="shared" si="214"/>
        <v/>
      </c>
      <c r="J2694" s="91" t="str">
        <f t="shared" si="215"/>
        <v/>
      </c>
      <c r="K2694" s="92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2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58"/>
      <c r="U2694" s="217" t="str">
        <f t="shared" si="216"/>
        <v/>
      </c>
      <c r="V2694" s="215" t="s">
        <v>47</v>
      </c>
      <c r="W2694" s="102" t="s">
        <v>136</v>
      </c>
      <c r="X2694" s="102" t="s">
        <v>137</v>
      </c>
      <c r="Y2694" s="103" t="s">
        <v>138</v>
      </c>
      <c r="Z2694" s="103" t="s">
        <v>139</v>
      </c>
      <c r="AA2694" s="103" t="s">
        <v>47</v>
      </c>
      <c r="AB2694" s="103" t="s">
        <v>140</v>
      </c>
      <c r="AC2694" s="104" t="s">
        <v>141</v>
      </c>
    </row>
    <row r="2695" spans="1:29" ht="25.5" customHeight="1" x14ac:dyDescent="0.35">
      <c r="A2695" s="188"/>
      <c r="B2695" s="190"/>
      <c r="C2695" s="99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0"/>
      <c r="E2695" s="78" t="str">
        <f>IF(C2695="","",IFERROR(VLOOKUP(C2695,parametros!$A$11:$E$15,5,0),""))</f>
        <v/>
      </c>
      <c r="F2695" s="79" t="str">
        <f t="shared" si="212"/>
        <v/>
      </c>
      <c r="G2695" s="101"/>
      <c r="H2695" s="91">
        <f t="shared" si="213"/>
        <v>0</v>
      </c>
      <c r="I2695" s="91" t="str">
        <f t="shared" si="214"/>
        <v/>
      </c>
      <c r="J2695" s="91" t="str">
        <f t="shared" si="215"/>
        <v/>
      </c>
      <c r="K2695" s="92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2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58"/>
      <c r="U2695" s="217" t="str">
        <f t="shared" si="216"/>
        <v/>
      </c>
      <c r="V2695" s="215" t="s">
        <v>47</v>
      </c>
      <c r="W2695" s="102" t="s">
        <v>136</v>
      </c>
      <c r="X2695" s="102" t="s">
        <v>137</v>
      </c>
      <c r="Y2695" s="103" t="s">
        <v>138</v>
      </c>
      <c r="Z2695" s="103" t="s">
        <v>139</v>
      </c>
      <c r="AA2695" s="103" t="s">
        <v>47</v>
      </c>
      <c r="AB2695" s="103" t="s">
        <v>140</v>
      </c>
      <c r="AC2695" s="104" t="s">
        <v>141</v>
      </c>
    </row>
    <row r="2696" spans="1:29" ht="25.5" customHeight="1" x14ac:dyDescent="0.35">
      <c r="A2696" s="188"/>
      <c r="B2696" s="190"/>
      <c r="C2696" s="99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0"/>
      <c r="E2696" s="78" t="str">
        <f>IF(C2696="","",IFERROR(VLOOKUP(C2696,parametros!$A$11:$E$15,5,0),""))</f>
        <v/>
      </c>
      <c r="F2696" s="79" t="str">
        <f t="shared" si="212"/>
        <v/>
      </c>
      <c r="G2696" s="101"/>
      <c r="H2696" s="91">
        <f t="shared" si="213"/>
        <v>0</v>
      </c>
      <c r="I2696" s="91" t="str">
        <f t="shared" si="214"/>
        <v/>
      </c>
      <c r="J2696" s="91" t="str">
        <f t="shared" si="215"/>
        <v/>
      </c>
      <c r="K2696" s="92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2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58"/>
      <c r="U2696" s="217" t="str">
        <f t="shared" si="216"/>
        <v/>
      </c>
      <c r="V2696" s="215" t="s">
        <v>47</v>
      </c>
      <c r="W2696" s="102" t="s">
        <v>136</v>
      </c>
      <c r="X2696" s="102" t="s">
        <v>137</v>
      </c>
      <c r="Y2696" s="103" t="s">
        <v>138</v>
      </c>
      <c r="Z2696" s="103" t="s">
        <v>139</v>
      </c>
      <c r="AA2696" s="103" t="s">
        <v>47</v>
      </c>
      <c r="AB2696" s="103" t="s">
        <v>140</v>
      </c>
      <c r="AC2696" s="104" t="s">
        <v>141</v>
      </c>
    </row>
    <row r="2697" spans="1:29" ht="25.5" customHeight="1" x14ac:dyDescent="0.35">
      <c r="A2697" s="188"/>
      <c r="B2697" s="190"/>
      <c r="C2697" s="99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0"/>
      <c r="E2697" s="78" t="str">
        <f>IF(C2697="","",IFERROR(VLOOKUP(C2697,parametros!$A$11:$E$15,5,0),""))</f>
        <v/>
      </c>
      <c r="F2697" s="79" t="str">
        <f t="shared" si="212"/>
        <v/>
      </c>
      <c r="G2697" s="101"/>
      <c r="H2697" s="91">
        <f t="shared" si="213"/>
        <v>0</v>
      </c>
      <c r="I2697" s="91" t="str">
        <f t="shared" si="214"/>
        <v/>
      </c>
      <c r="J2697" s="91" t="str">
        <f t="shared" si="215"/>
        <v/>
      </c>
      <c r="K2697" s="92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2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58"/>
      <c r="U2697" s="217" t="str">
        <f t="shared" si="216"/>
        <v/>
      </c>
      <c r="V2697" s="215" t="s">
        <v>47</v>
      </c>
      <c r="W2697" s="102" t="s">
        <v>136</v>
      </c>
      <c r="X2697" s="102" t="s">
        <v>137</v>
      </c>
      <c r="Y2697" s="103" t="s">
        <v>138</v>
      </c>
      <c r="Z2697" s="103" t="s">
        <v>139</v>
      </c>
      <c r="AA2697" s="103" t="s">
        <v>47</v>
      </c>
      <c r="AB2697" s="103" t="s">
        <v>140</v>
      </c>
      <c r="AC2697" s="104" t="s">
        <v>141</v>
      </c>
    </row>
    <row r="2698" spans="1:29" ht="25.5" customHeight="1" x14ac:dyDescent="0.35">
      <c r="A2698" s="188"/>
      <c r="B2698" s="190"/>
      <c r="C2698" s="99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0"/>
      <c r="E2698" s="78" t="str">
        <f>IF(C2698="","",IFERROR(VLOOKUP(C2698,parametros!$A$11:$E$15,5,0),""))</f>
        <v/>
      </c>
      <c r="F2698" s="79" t="str">
        <f t="shared" si="212"/>
        <v/>
      </c>
      <c r="G2698" s="101"/>
      <c r="H2698" s="91">
        <f t="shared" si="213"/>
        <v>0</v>
      </c>
      <c r="I2698" s="91" t="str">
        <f t="shared" si="214"/>
        <v/>
      </c>
      <c r="J2698" s="91" t="str">
        <f t="shared" si="215"/>
        <v/>
      </c>
      <c r="K2698" s="92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2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58"/>
      <c r="U2698" s="217" t="str">
        <f t="shared" si="216"/>
        <v/>
      </c>
      <c r="V2698" s="215" t="s">
        <v>47</v>
      </c>
      <c r="W2698" s="102" t="s">
        <v>136</v>
      </c>
      <c r="X2698" s="102" t="s">
        <v>137</v>
      </c>
      <c r="Y2698" s="103" t="s">
        <v>138</v>
      </c>
      <c r="Z2698" s="103" t="s">
        <v>139</v>
      </c>
      <c r="AA2698" s="103" t="s">
        <v>47</v>
      </c>
      <c r="AB2698" s="103" t="s">
        <v>140</v>
      </c>
      <c r="AC2698" s="104" t="s">
        <v>141</v>
      </c>
    </row>
    <row r="2699" spans="1:29" ht="25.5" customHeight="1" x14ac:dyDescent="0.35">
      <c r="A2699" s="188"/>
      <c r="B2699" s="190"/>
      <c r="C2699" s="99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0"/>
      <c r="E2699" s="78" t="str">
        <f>IF(C2699="","",IFERROR(VLOOKUP(C2699,parametros!$A$11:$E$15,5,0),""))</f>
        <v/>
      </c>
      <c r="F2699" s="79" t="str">
        <f t="shared" si="212"/>
        <v/>
      </c>
      <c r="G2699" s="101"/>
      <c r="H2699" s="91">
        <f t="shared" si="213"/>
        <v>0</v>
      </c>
      <c r="I2699" s="91" t="str">
        <f t="shared" si="214"/>
        <v/>
      </c>
      <c r="J2699" s="91" t="str">
        <f t="shared" si="215"/>
        <v/>
      </c>
      <c r="K2699" s="92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2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58"/>
      <c r="U2699" s="217" t="str">
        <f t="shared" si="216"/>
        <v/>
      </c>
      <c r="V2699" s="215" t="s">
        <v>47</v>
      </c>
      <c r="W2699" s="102" t="s">
        <v>136</v>
      </c>
      <c r="X2699" s="102" t="s">
        <v>137</v>
      </c>
      <c r="Y2699" s="103" t="s">
        <v>138</v>
      </c>
      <c r="Z2699" s="103" t="s">
        <v>139</v>
      </c>
      <c r="AA2699" s="103" t="s">
        <v>47</v>
      </c>
      <c r="AB2699" s="103" t="s">
        <v>140</v>
      </c>
      <c r="AC2699" s="104" t="s">
        <v>141</v>
      </c>
    </row>
    <row r="2700" spans="1:29" ht="25.5" customHeight="1" x14ac:dyDescent="0.35">
      <c r="A2700" s="188"/>
      <c r="B2700" s="190"/>
      <c r="C2700" s="99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0"/>
      <c r="E2700" s="78" t="str">
        <f>IF(C2700="","",IFERROR(VLOOKUP(C2700,parametros!$A$11:$E$15,5,0),""))</f>
        <v/>
      </c>
      <c r="F2700" s="79" t="str">
        <f t="shared" si="212"/>
        <v/>
      </c>
      <c r="G2700" s="101"/>
      <c r="H2700" s="91">
        <f t="shared" si="213"/>
        <v>0</v>
      </c>
      <c r="I2700" s="91" t="str">
        <f t="shared" si="214"/>
        <v/>
      </c>
      <c r="J2700" s="91" t="str">
        <f t="shared" si="215"/>
        <v/>
      </c>
      <c r="K2700" s="92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2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58"/>
      <c r="U2700" s="217" t="str">
        <f t="shared" si="216"/>
        <v/>
      </c>
      <c r="V2700" s="215" t="s">
        <v>47</v>
      </c>
      <c r="W2700" s="102" t="s">
        <v>136</v>
      </c>
      <c r="X2700" s="102" t="s">
        <v>137</v>
      </c>
      <c r="Y2700" s="103" t="s">
        <v>138</v>
      </c>
      <c r="Z2700" s="103" t="s">
        <v>139</v>
      </c>
      <c r="AA2700" s="103" t="s">
        <v>47</v>
      </c>
      <c r="AB2700" s="103" t="s">
        <v>140</v>
      </c>
      <c r="AC2700" s="104" t="s">
        <v>141</v>
      </c>
    </row>
    <row r="2701" spans="1:29" ht="25.5" customHeight="1" x14ac:dyDescent="0.35">
      <c r="A2701" s="188"/>
      <c r="B2701" s="190"/>
      <c r="C2701" s="99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0"/>
      <c r="E2701" s="78" t="str">
        <f>IF(C2701="","",IFERROR(VLOOKUP(C2701,parametros!$A$11:$E$15,5,0),""))</f>
        <v/>
      </c>
      <c r="F2701" s="79" t="str">
        <f t="shared" si="212"/>
        <v/>
      </c>
      <c r="G2701" s="101"/>
      <c r="H2701" s="91">
        <f t="shared" si="213"/>
        <v>0</v>
      </c>
      <c r="I2701" s="91" t="str">
        <f t="shared" si="214"/>
        <v/>
      </c>
      <c r="J2701" s="91" t="str">
        <f t="shared" si="215"/>
        <v/>
      </c>
      <c r="K2701" s="92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2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58"/>
      <c r="U2701" s="217" t="str">
        <f t="shared" si="216"/>
        <v/>
      </c>
      <c r="V2701" s="215" t="s">
        <v>47</v>
      </c>
      <c r="W2701" s="102" t="s">
        <v>136</v>
      </c>
      <c r="X2701" s="102" t="s">
        <v>137</v>
      </c>
      <c r="Y2701" s="103" t="s">
        <v>138</v>
      </c>
      <c r="Z2701" s="103" t="s">
        <v>139</v>
      </c>
      <c r="AA2701" s="103" t="s">
        <v>47</v>
      </c>
      <c r="AB2701" s="103" t="s">
        <v>140</v>
      </c>
      <c r="AC2701" s="104" t="s">
        <v>141</v>
      </c>
    </row>
    <row r="2702" spans="1:29" ht="25.5" customHeight="1" x14ac:dyDescent="0.35">
      <c r="A2702" s="188"/>
      <c r="B2702" s="190"/>
      <c r="C2702" s="99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0"/>
      <c r="E2702" s="78" t="str">
        <f>IF(C2702="","",IFERROR(VLOOKUP(C2702,parametros!$A$11:$E$15,5,0),""))</f>
        <v/>
      </c>
      <c r="F2702" s="79" t="str">
        <f t="shared" si="212"/>
        <v/>
      </c>
      <c r="G2702" s="101"/>
      <c r="H2702" s="91">
        <f t="shared" si="213"/>
        <v>0</v>
      </c>
      <c r="I2702" s="91" t="str">
        <f t="shared" si="214"/>
        <v/>
      </c>
      <c r="J2702" s="91" t="str">
        <f t="shared" si="215"/>
        <v/>
      </c>
      <c r="K2702" s="92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2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58"/>
      <c r="U2702" s="217" t="str">
        <f t="shared" si="216"/>
        <v/>
      </c>
      <c r="V2702" s="215" t="s">
        <v>47</v>
      </c>
      <c r="W2702" s="102" t="s">
        <v>136</v>
      </c>
      <c r="X2702" s="102" t="s">
        <v>137</v>
      </c>
      <c r="Y2702" s="103" t="s">
        <v>138</v>
      </c>
      <c r="Z2702" s="103" t="s">
        <v>139</v>
      </c>
      <c r="AA2702" s="103" t="s">
        <v>47</v>
      </c>
      <c r="AB2702" s="103" t="s">
        <v>140</v>
      </c>
      <c r="AC2702" s="104" t="s">
        <v>141</v>
      </c>
    </row>
    <row r="2703" spans="1:29" ht="25.5" customHeight="1" x14ac:dyDescent="0.35">
      <c r="A2703" s="188"/>
      <c r="B2703" s="190"/>
      <c r="C2703" s="99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0"/>
      <c r="E2703" s="78" t="str">
        <f>IF(C2703="","",IFERROR(VLOOKUP(C2703,parametros!$A$11:$E$15,5,0),""))</f>
        <v/>
      </c>
      <c r="F2703" s="79" t="str">
        <f t="shared" si="212"/>
        <v/>
      </c>
      <c r="G2703" s="101"/>
      <c r="H2703" s="91">
        <f t="shared" si="213"/>
        <v>0</v>
      </c>
      <c r="I2703" s="91" t="str">
        <f t="shared" si="214"/>
        <v/>
      </c>
      <c r="J2703" s="91" t="str">
        <f t="shared" si="215"/>
        <v/>
      </c>
      <c r="K2703" s="92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2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58"/>
      <c r="U2703" s="217" t="str">
        <f t="shared" si="216"/>
        <v/>
      </c>
      <c r="V2703" s="215" t="s">
        <v>47</v>
      </c>
      <c r="W2703" s="102" t="s">
        <v>136</v>
      </c>
      <c r="X2703" s="102" t="s">
        <v>137</v>
      </c>
      <c r="Y2703" s="103" t="s">
        <v>138</v>
      </c>
      <c r="Z2703" s="103" t="s">
        <v>139</v>
      </c>
      <c r="AA2703" s="103" t="s">
        <v>47</v>
      </c>
      <c r="AB2703" s="103" t="s">
        <v>140</v>
      </c>
      <c r="AC2703" s="104" t="s">
        <v>141</v>
      </c>
    </row>
    <row r="2704" spans="1:29" ht="25.5" customHeight="1" x14ac:dyDescent="0.35">
      <c r="A2704" s="188"/>
      <c r="B2704" s="190"/>
      <c r="C2704" s="99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0"/>
      <c r="E2704" s="78" t="str">
        <f>IF(C2704="","",IFERROR(VLOOKUP(C2704,parametros!$A$11:$E$15,5,0),""))</f>
        <v/>
      </c>
      <c r="F2704" s="79" t="str">
        <f t="shared" si="212"/>
        <v/>
      </c>
      <c r="G2704" s="101"/>
      <c r="H2704" s="91">
        <f t="shared" si="213"/>
        <v>0</v>
      </c>
      <c r="I2704" s="91" t="str">
        <f t="shared" si="214"/>
        <v/>
      </c>
      <c r="J2704" s="91" t="str">
        <f t="shared" si="215"/>
        <v/>
      </c>
      <c r="K2704" s="92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2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58"/>
      <c r="U2704" s="217" t="str">
        <f t="shared" si="216"/>
        <v/>
      </c>
      <c r="V2704" s="215" t="s">
        <v>47</v>
      </c>
      <c r="W2704" s="102" t="s">
        <v>136</v>
      </c>
      <c r="X2704" s="102" t="s">
        <v>137</v>
      </c>
      <c r="Y2704" s="103" t="s">
        <v>138</v>
      </c>
      <c r="Z2704" s="103" t="s">
        <v>139</v>
      </c>
      <c r="AA2704" s="103" t="s">
        <v>47</v>
      </c>
      <c r="AB2704" s="103" t="s">
        <v>140</v>
      </c>
      <c r="AC2704" s="104" t="s">
        <v>141</v>
      </c>
    </row>
    <row r="2705" spans="1:29" ht="25.5" customHeight="1" x14ac:dyDescent="0.35">
      <c r="A2705" s="188"/>
      <c r="B2705" s="190"/>
      <c r="C2705" s="99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0"/>
      <c r="E2705" s="78" t="str">
        <f>IF(C2705="","",IFERROR(VLOOKUP(C2705,parametros!$A$11:$E$15,5,0),""))</f>
        <v/>
      </c>
      <c r="F2705" s="79" t="str">
        <f t="shared" si="212"/>
        <v/>
      </c>
      <c r="G2705" s="101"/>
      <c r="H2705" s="91">
        <f t="shared" si="213"/>
        <v>0</v>
      </c>
      <c r="I2705" s="91" t="str">
        <f t="shared" si="214"/>
        <v/>
      </c>
      <c r="J2705" s="91" t="str">
        <f t="shared" si="215"/>
        <v/>
      </c>
      <c r="K2705" s="92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2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58"/>
      <c r="U2705" s="217" t="str">
        <f t="shared" si="216"/>
        <v/>
      </c>
      <c r="V2705" s="215" t="s">
        <v>47</v>
      </c>
      <c r="W2705" s="102" t="s">
        <v>136</v>
      </c>
      <c r="X2705" s="102" t="s">
        <v>137</v>
      </c>
      <c r="Y2705" s="103" t="s">
        <v>138</v>
      </c>
      <c r="Z2705" s="103" t="s">
        <v>139</v>
      </c>
      <c r="AA2705" s="103" t="s">
        <v>47</v>
      </c>
      <c r="AB2705" s="103" t="s">
        <v>140</v>
      </c>
      <c r="AC2705" s="104" t="s">
        <v>141</v>
      </c>
    </row>
    <row r="2706" spans="1:29" ht="25.5" customHeight="1" x14ac:dyDescent="0.35">
      <c r="A2706" s="188"/>
      <c r="B2706" s="190"/>
      <c r="C2706" s="99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0"/>
      <c r="E2706" s="78" t="str">
        <f>IF(C2706="","",IFERROR(VLOOKUP(C2706,parametros!$A$11:$E$15,5,0),""))</f>
        <v/>
      </c>
      <c r="F2706" s="79" t="str">
        <f t="shared" si="212"/>
        <v/>
      </c>
      <c r="G2706" s="101"/>
      <c r="H2706" s="91">
        <f t="shared" si="213"/>
        <v>0</v>
      </c>
      <c r="I2706" s="91" t="str">
        <f t="shared" si="214"/>
        <v/>
      </c>
      <c r="J2706" s="91" t="str">
        <f t="shared" si="215"/>
        <v/>
      </c>
      <c r="K2706" s="92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2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58"/>
      <c r="U2706" s="217" t="str">
        <f t="shared" si="216"/>
        <v/>
      </c>
      <c r="V2706" s="215" t="s">
        <v>47</v>
      </c>
      <c r="W2706" s="102" t="s">
        <v>136</v>
      </c>
      <c r="X2706" s="102" t="s">
        <v>137</v>
      </c>
      <c r="Y2706" s="103" t="s">
        <v>138</v>
      </c>
      <c r="Z2706" s="103" t="s">
        <v>139</v>
      </c>
      <c r="AA2706" s="103" t="s">
        <v>47</v>
      </c>
      <c r="AB2706" s="103" t="s">
        <v>140</v>
      </c>
      <c r="AC2706" s="104" t="s">
        <v>141</v>
      </c>
    </row>
    <row r="2707" spans="1:29" ht="25.5" customHeight="1" x14ac:dyDescent="0.35">
      <c r="A2707" s="188"/>
      <c r="B2707" s="190"/>
      <c r="C2707" s="99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0"/>
      <c r="E2707" s="78" t="str">
        <f>IF(C2707="","",IFERROR(VLOOKUP(C2707,parametros!$A$11:$E$15,5,0),""))</f>
        <v/>
      </c>
      <c r="F2707" s="79" t="str">
        <f t="shared" si="212"/>
        <v/>
      </c>
      <c r="G2707" s="101"/>
      <c r="H2707" s="91">
        <f t="shared" si="213"/>
        <v>0</v>
      </c>
      <c r="I2707" s="91" t="str">
        <f t="shared" si="214"/>
        <v/>
      </c>
      <c r="J2707" s="91" t="str">
        <f t="shared" si="215"/>
        <v/>
      </c>
      <c r="K2707" s="92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2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58"/>
      <c r="U2707" s="217" t="str">
        <f t="shared" si="216"/>
        <v/>
      </c>
      <c r="V2707" s="215" t="s">
        <v>47</v>
      </c>
      <c r="W2707" s="102" t="s">
        <v>136</v>
      </c>
      <c r="X2707" s="102" t="s">
        <v>137</v>
      </c>
      <c r="Y2707" s="103" t="s">
        <v>138</v>
      </c>
      <c r="Z2707" s="103" t="s">
        <v>139</v>
      </c>
      <c r="AA2707" s="103" t="s">
        <v>47</v>
      </c>
      <c r="AB2707" s="103" t="s">
        <v>140</v>
      </c>
      <c r="AC2707" s="104" t="s">
        <v>141</v>
      </c>
    </row>
    <row r="2708" spans="1:29" ht="25.5" customHeight="1" x14ac:dyDescent="0.35">
      <c r="A2708" s="188"/>
      <c r="B2708" s="190"/>
      <c r="C2708" s="99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0"/>
      <c r="E2708" s="78" t="str">
        <f>IF(C2708="","",IFERROR(VLOOKUP(C2708,parametros!$A$11:$E$15,5,0),""))</f>
        <v/>
      </c>
      <c r="F2708" s="79" t="str">
        <f t="shared" si="212"/>
        <v/>
      </c>
      <c r="G2708" s="101"/>
      <c r="H2708" s="91">
        <f t="shared" si="213"/>
        <v>0</v>
      </c>
      <c r="I2708" s="91" t="str">
        <f t="shared" si="214"/>
        <v/>
      </c>
      <c r="J2708" s="91" t="str">
        <f t="shared" si="215"/>
        <v/>
      </c>
      <c r="K2708" s="92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2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58"/>
      <c r="U2708" s="217" t="str">
        <f t="shared" si="216"/>
        <v/>
      </c>
      <c r="V2708" s="215" t="s">
        <v>47</v>
      </c>
      <c r="W2708" s="102" t="s">
        <v>136</v>
      </c>
      <c r="X2708" s="102" t="s">
        <v>137</v>
      </c>
      <c r="Y2708" s="103" t="s">
        <v>138</v>
      </c>
      <c r="Z2708" s="103" t="s">
        <v>139</v>
      </c>
      <c r="AA2708" s="103" t="s">
        <v>47</v>
      </c>
      <c r="AB2708" s="103" t="s">
        <v>140</v>
      </c>
      <c r="AC2708" s="104" t="s">
        <v>141</v>
      </c>
    </row>
    <row r="2709" spans="1:29" ht="25.5" customHeight="1" x14ac:dyDescent="0.35">
      <c r="A2709" s="188"/>
      <c r="B2709" s="190"/>
      <c r="C2709" s="99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0"/>
      <c r="E2709" s="78" t="str">
        <f>IF(C2709="","",IFERROR(VLOOKUP(C2709,parametros!$A$11:$E$15,5,0),""))</f>
        <v/>
      </c>
      <c r="F2709" s="79" t="str">
        <f t="shared" si="212"/>
        <v/>
      </c>
      <c r="G2709" s="101"/>
      <c r="H2709" s="91">
        <f t="shared" si="213"/>
        <v>0</v>
      </c>
      <c r="I2709" s="91" t="str">
        <f t="shared" si="214"/>
        <v/>
      </c>
      <c r="J2709" s="91" t="str">
        <f t="shared" si="215"/>
        <v/>
      </c>
      <c r="K2709" s="92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2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58"/>
      <c r="U2709" s="217" t="str">
        <f t="shared" si="216"/>
        <v/>
      </c>
      <c r="V2709" s="215" t="s">
        <v>47</v>
      </c>
      <c r="W2709" s="102" t="s">
        <v>136</v>
      </c>
      <c r="X2709" s="102" t="s">
        <v>137</v>
      </c>
      <c r="Y2709" s="103" t="s">
        <v>138</v>
      </c>
      <c r="Z2709" s="103" t="s">
        <v>139</v>
      </c>
      <c r="AA2709" s="103" t="s">
        <v>47</v>
      </c>
      <c r="AB2709" s="103" t="s">
        <v>140</v>
      </c>
      <c r="AC2709" s="104" t="s">
        <v>141</v>
      </c>
    </row>
    <row r="2710" spans="1:29" ht="25.5" customHeight="1" x14ac:dyDescent="0.35">
      <c r="A2710" s="188"/>
      <c r="B2710" s="190"/>
      <c r="C2710" s="99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0"/>
      <c r="E2710" s="78" t="str">
        <f>IF(C2710="","",IFERROR(VLOOKUP(C2710,parametros!$A$11:$E$15,5,0),""))</f>
        <v/>
      </c>
      <c r="F2710" s="79" t="str">
        <f t="shared" si="212"/>
        <v/>
      </c>
      <c r="G2710" s="101"/>
      <c r="H2710" s="91">
        <f t="shared" si="213"/>
        <v>0</v>
      </c>
      <c r="I2710" s="91" t="str">
        <f t="shared" si="214"/>
        <v/>
      </c>
      <c r="J2710" s="91" t="str">
        <f t="shared" si="215"/>
        <v/>
      </c>
      <c r="K2710" s="92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2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58"/>
      <c r="U2710" s="217" t="str">
        <f t="shared" si="216"/>
        <v/>
      </c>
      <c r="V2710" s="215" t="s">
        <v>47</v>
      </c>
      <c r="W2710" s="102" t="s">
        <v>136</v>
      </c>
      <c r="X2710" s="102" t="s">
        <v>137</v>
      </c>
      <c r="Y2710" s="103" t="s">
        <v>138</v>
      </c>
      <c r="Z2710" s="103" t="s">
        <v>139</v>
      </c>
      <c r="AA2710" s="103" t="s">
        <v>47</v>
      </c>
      <c r="AB2710" s="103" t="s">
        <v>140</v>
      </c>
      <c r="AC2710" s="104" t="s">
        <v>141</v>
      </c>
    </row>
    <row r="2711" spans="1:29" ht="25.5" customHeight="1" x14ac:dyDescent="0.35">
      <c r="A2711" s="188"/>
      <c r="B2711" s="190"/>
      <c r="C2711" s="99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0"/>
      <c r="E2711" s="78" t="str">
        <f>IF(C2711="","",IFERROR(VLOOKUP(C2711,parametros!$A$11:$E$15,5,0),""))</f>
        <v/>
      </c>
      <c r="F2711" s="79" t="str">
        <f t="shared" si="212"/>
        <v/>
      </c>
      <c r="G2711" s="101"/>
      <c r="H2711" s="91">
        <f t="shared" si="213"/>
        <v>0</v>
      </c>
      <c r="I2711" s="91" t="str">
        <f t="shared" si="214"/>
        <v/>
      </c>
      <c r="J2711" s="91" t="str">
        <f t="shared" si="215"/>
        <v/>
      </c>
      <c r="K2711" s="92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2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58"/>
      <c r="U2711" s="217" t="str">
        <f t="shared" si="216"/>
        <v/>
      </c>
      <c r="V2711" s="215" t="s">
        <v>47</v>
      </c>
      <c r="W2711" s="102" t="s">
        <v>136</v>
      </c>
      <c r="X2711" s="102" t="s">
        <v>137</v>
      </c>
      <c r="Y2711" s="103" t="s">
        <v>138</v>
      </c>
      <c r="Z2711" s="103" t="s">
        <v>139</v>
      </c>
      <c r="AA2711" s="103" t="s">
        <v>47</v>
      </c>
      <c r="AB2711" s="103" t="s">
        <v>140</v>
      </c>
      <c r="AC2711" s="104" t="s">
        <v>141</v>
      </c>
    </row>
    <row r="2712" spans="1:29" ht="25.5" customHeight="1" x14ac:dyDescent="0.35">
      <c r="A2712" s="188"/>
      <c r="B2712" s="190"/>
      <c r="C2712" s="99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0"/>
      <c r="E2712" s="78" t="str">
        <f>IF(C2712="","",IFERROR(VLOOKUP(C2712,parametros!$A$11:$E$15,5,0),""))</f>
        <v/>
      </c>
      <c r="F2712" s="79" t="str">
        <f t="shared" si="212"/>
        <v/>
      </c>
      <c r="G2712" s="101"/>
      <c r="H2712" s="91">
        <f t="shared" si="213"/>
        <v>0</v>
      </c>
      <c r="I2712" s="91" t="str">
        <f t="shared" si="214"/>
        <v/>
      </c>
      <c r="J2712" s="91" t="str">
        <f t="shared" si="215"/>
        <v/>
      </c>
      <c r="K2712" s="92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2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58"/>
      <c r="U2712" s="217" t="str">
        <f t="shared" si="216"/>
        <v/>
      </c>
      <c r="V2712" s="215" t="s">
        <v>47</v>
      </c>
      <c r="W2712" s="102" t="s">
        <v>136</v>
      </c>
      <c r="X2712" s="102" t="s">
        <v>137</v>
      </c>
      <c r="Y2712" s="103" t="s">
        <v>138</v>
      </c>
      <c r="Z2712" s="103" t="s">
        <v>139</v>
      </c>
      <c r="AA2712" s="103" t="s">
        <v>47</v>
      </c>
      <c r="AB2712" s="103" t="s">
        <v>140</v>
      </c>
      <c r="AC2712" s="104" t="s">
        <v>141</v>
      </c>
    </row>
    <row r="2713" spans="1:29" ht="25.5" customHeight="1" x14ac:dyDescent="0.35">
      <c r="A2713" s="188"/>
      <c r="B2713" s="190"/>
      <c r="C2713" s="99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0"/>
      <c r="E2713" s="78" t="str">
        <f>IF(C2713="","",IFERROR(VLOOKUP(C2713,parametros!$A$11:$E$15,5,0),""))</f>
        <v/>
      </c>
      <c r="F2713" s="79" t="str">
        <f t="shared" si="212"/>
        <v/>
      </c>
      <c r="G2713" s="101"/>
      <c r="H2713" s="91">
        <f t="shared" si="213"/>
        <v>0</v>
      </c>
      <c r="I2713" s="91" t="str">
        <f t="shared" si="214"/>
        <v/>
      </c>
      <c r="J2713" s="91" t="str">
        <f t="shared" si="215"/>
        <v/>
      </c>
      <c r="K2713" s="92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2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58"/>
      <c r="U2713" s="217" t="str">
        <f t="shared" si="216"/>
        <v/>
      </c>
      <c r="V2713" s="215" t="s">
        <v>47</v>
      </c>
      <c r="W2713" s="102" t="s">
        <v>136</v>
      </c>
      <c r="X2713" s="102" t="s">
        <v>137</v>
      </c>
      <c r="Y2713" s="103" t="s">
        <v>138</v>
      </c>
      <c r="Z2713" s="103" t="s">
        <v>139</v>
      </c>
      <c r="AA2713" s="103" t="s">
        <v>47</v>
      </c>
      <c r="AB2713" s="103" t="s">
        <v>140</v>
      </c>
      <c r="AC2713" s="104" t="s">
        <v>141</v>
      </c>
    </row>
    <row r="2714" spans="1:29" ht="25.5" customHeight="1" x14ac:dyDescent="0.35">
      <c r="A2714" s="188"/>
      <c r="B2714" s="190"/>
      <c r="C2714" s="99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0"/>
      <c r="E2714" s="78" t="str">
        <f>IF(C2714="","",IFERROR(VLOOKUP(C2714,parametros!$A$11:$E$15,5,0),""))</f>
        <v/>
      </c>
      <c r="F2714" s="79" t="str">
        <f t="shared" si="212"/>
        <v/>
      </c>
      <c r="G2714" s="101"/>
      <c r="H2714" s="91">
        <f t="shared" si="213"/>
        <v>0</v>
      </c>
      <c r="I2714" s="91" t="str">
        <f t="shared" si="214"/>
        <v/>
      </c>
      <c r="J2714" s="91" t="str">
        <f t="shared" si="215"/>
        <v/>
      </c>
      <c r="K2714" s="92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2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58"/>
      <c r="U2714" s="217" t="str">
        <f t="shared" si="216"/>
        <v/>
      </c>
      <c r="V2714" s="215" t="s">
        <v>47</v>
      </c>
      <c r="W2714" s="102" t="s">
        <v>136</v>
      </c>
      <c r="X2714" s="102" t="s">
        <v>137</v>
      </c>
      <c r="Y2714" s="103" t="s">
        <v>138</v>
      </c>
      <c r="Z2714" s="103" t="s">
        <v>139</v>
      </c>
      <c r="AA2714" s="103" t="s">
        <v>47</v>
      </c>
      <c r="AB2714" s="103" t="s">
        <v>140</v>
      </c>
      <c r="AC2714" s="104" t="s">
        <v>141</v>
      </c>
    </row>
    <row r="2715" spans="1:29" ht="25.5" customHeight="1" x14ac:dyDescent="0.35">
      <c r="A2715" s="188"/>
      <c r="B2715" s="190"/>
      <c r="C2715" s="99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0"/>
      <c r="E2715" s="78" t="str">
        <f>IF(C2715="","",IFERROR(VLOOKUP(C2715,parametros!$A$11:$E$15,5,0),""))</f>
        <v/>
      </c>
      <c r="F2715" s="79" t="str">
        <f t="shared" si="212"/>
        <v/>
      </c>
      <c r="G2715" s="101"/>
      <c r="H2715" s="91">
        <f t="shared" si="213"/>
        <v>0</v>
      </c>
      <c r="I2715" s="91" t="str">
        <f t="shared" si="214"/>
        <v/>
      </c>
      <c r="J2715" s="91" t="str">
        <f t="shared" si="215"/>
        <v/>
      </c>
      <c r="K2715" s="92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2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58"/>
      <c r="U2715" s="217" t="str">
        <f t="shared" si="216"/>
        <v/>
      </c>
      <c r="V2715" s="215" t="s">
        <v>47</v>
      </c>
      <c r="W2715" s="102" t="s">
        <v>136</v>
      </c>
      <c r="X2715" s="102" t="s">
        <v>137</v>
      </c>
      <c r="Y2715" s="103" t="s">
        <v>138</v>
      </c>
      <c r="Z2715" s="103" t="s">
        <v>139</v>
      </c>
      <c r="AA2715" s="103" t="s">
        <v>47</v>
      </c>
      <c r="AB2715" s="103" t="s">
        <v>140</v>
      </c>
      <c r="AC2715" s="104" t="s">
        <v>141</v>
      </c>
    </row>
    <row r="2716" spans="1:29" ht="25.5" customHeight="1" x14ac:dyDescent="0.35">
      <c r="A2716" s="188"/>
      <c r="B2716" s="190"/>
      <c r="C2716" s="99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0"/>
      <c r="E2716" s="78" t="str">
        <f>IF(C2716="","",IFERROR(VLOOKUP(C2716,parametros!$A$11:$E$15,5,0),""))</f>
        <v/>
      </c>
      <c r="F2716" s="79" t="str">
        <f t="shared" si="212"/>
        <v/>
      </c>
      <c r="G2716" s="101"/>
      <c r="H2716" s="91">
        <f t="shared" si="213"/>
        <v>0</v>
      </c>
      <c r="I2716" s="91" t="str">
        <f t="shared" si="214"/>
        <v/>
      </c>
      <c r="J2716" s="91" t="str">
        <f t="shared" si="215"/>
        <v/>
      </c>
      <c r="K2716" s="92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2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58"/>
      <c r="U2716" s="217" t="str">
        <f t="shared" si="216"/>
        <v/>
      </c>
      <c r="V2716" s="215" t="s">
        <v>47</v>
      </c>
      <c r="W2716" s="102" t="s">
        <v>136</v>
      </c>
      <c r="X2716" s="102" t="s">
        <v>137</v>
      </c>
      <c r="Y2716" s="103" t="s">
        <v>138</v>
      </c>
      <c r="Z2716" s="103" t="s">
        <v>139</v>
      </c>
      <c r="AA2716" s="103" t="s">
        <v>47</v>
      </c>
      <c r="AB2716" s="103" t="s">
        <v>140</v>
      </c>
      <c r="AC2716" s="104" t="s">
        <v>141</v>
      </c>
    </row>
    <row r="2717" spans="1:29" ht="25.5" customHeight="1" x14ac:dyDescent="0.35">
      <c r="A2717" s="188"/>
      <c r="B2717" s="190"/>
      <c r="C2717" s="99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0"/>
      <c r="E2717" s="78" t="str">
        <f>IF(C2717="","",IFERROR(VLOOKUP(C2717,parametros!$A$11:$E$15,5,0),""))</f>
        <v/>
      </c>
      <c r="F2717" s="79" t="str">
        <f t="shared" si="212"/>
        <v/>
      </c>
      <c r="G2717" s="101"/>
      <c r="H2717" s="91">
        <f t="shared" si="213"/>
        <v>0</v>
      </c>
      <c r="I2717" s="91" t="str">
        <f t="shared" si="214"/>
        <v/>
      </c>
      <c r="J2717" s="91" t="str">
        <f t="shared" si="215"/>
        <v/>
      </c>
      <c r="K2717" s="92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2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58"/>
      <c r="U2717" s="217" t="str">
        <f t="shared" si="216"/>
        <v/>
      </c>
      <c r="V2717" s="215" t="s">
        <v>47</v>
      </c>
      <c r="W2717" s="102" t="s">
        <v>136</v>
      </c>
      <c r="X2717" s="102" t="s">
        <v>137</v>
      </c>
      <c r="Y2717" s="103" t="s">
        <v>138</v>
      </c>
      <c r="Z2717" s="103" t="s">
        <v>139</v>
      </c>
      <c r="AA2717" s="103" t="s">
        <v>47</v>
      </c>
      <c r="AB2717" s="103" t="s">
        <v>140</v>
      </c>
      <c r="AC2717" s="104" t="s">
        <v>141</v>
      </c>
    </row>
    <row r="2718" spans="1:29" ht="25.5" customHeight="1" x14ac:dyDescent="0.35">
      <c r="A2718" s="188"/>
      <c r="B2718" s="190"/>
      <c r="C2718" s="99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0"/>
      <c r="E2718" s="78" t="str">
        <f>IF(C2718="","",IFERROR(VLOOKUP(C2718,parametros!$A$11:$E$15,5,0),""))</f>
        <v/>
      </c>
      <c r="F2718" s="79" t="str">
        <f t="shared" si="212"/>
        <v/>
      </c>
      <c r="G2718" s="101"/>
      <c r="H2718" s="91">
        <f t="shared" si="213"/>
        <v>0</v>
      </c>
      <c r="I2718" s="91" t="str">
        <f t="shared" si="214"/>
        <v/>
      </c>
      <c r="J2718" s="91" t="str">
        <f t="shared" si="215"/>
        <v/>
      </c>
      <c r="K2718" s="92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2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58"/>
      <c r="U2718" s="217" t="str">
        <f t="shared" si="216"/>
        <v/>
      </c>
      <c r="V2718" s="215" t="s">
        <v>47</v>
      </c>
      <c r="W2718" s="102" t="s">
        <v>136</v>
      </c>
      <c r="X2718" s="102" t="s">
        <v>137</v>
      </c>
      <c r="Y2718" s="103" t="s">
        <v>138</v>
      </c>
      <c r="Z2718" s="103" t="s">
        <v>139</v>
      </c>
      <c r="AA2718" s="103" t="s">
        <v>47</v>
      </c>
      <c r="AB2718" s="103" t="s">
        <v>140</v>
      </c>
      <c r="AC2718" s="104" t="s">
        <v>141</v>
      </c>
    </row>
    <row r="2719" spans="1:29" ht="25.5" customHeight="1" x14ac:dyDescent="0.35">
      <c r="A2719" s="188"/>
      <c r="B2719" s="190"/>
      <c r="C2719" s="99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0"/>
      <c r="E2719" s="78" t="str">
        <f>IF(C2719="","",IFERROR(VLOOKUP(C2719,parametros!$A$11:$E$15,5,0),""))</f>
        <v/>
      </c>
      <c r="F2719" s="79" t="str">
        <f t="shared" si="212"/>
        <v/>
      </c>
      <c r="G2719" s="101"/>
      <c r="H2719" s="91">
        <f t="shared" si="213"/>
        <v>0</v>
      </c>
      <c r="I2719" s="91" t="str">
        <f t="shared" si="214"/>
        <v/>
      </c>
      <c r="J2719" s="91" t="str">
        <f t="shared" si="215"/>
        <v/>
      </c>
      <c r="K2719" s="92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2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58"/>
      <c r="U2719" s="217" t="str">
        <f t="shared" si="216"/>
        <v/>
      </c>
      <c r="V2719" s="215" t="s">
        <v>47</v>
      </c>
      <c r="W2719" s="102" t="s">
        <v>136</v>
      </c>
      <c r="X2719" s="102" t="s">
        <v>137</v>
      </c>
      <c r="Y2719" s="103" t="s">
        <v>138</v>
      </c>
      <c r="Z2719" s="103" t="s">
        <v>139</v>
      </c>
      <c r="AA2719" s="103" t="s">
        <v>47</v>
      </c>
      <c r="AB2719" s="103" t="s">
        <v>140</v>
      </c>
      <c r="AC2719" s="104" t="s">
        <v>141</v>
      </c>
    </row>
    <row r="2720" spans="1:29" ht="25.5" customHeight="1" x14ac:dyDescent="0.35">
      <c r="A2720" s="188"/>
      <c r="B2720" s="190"/>
      <c r="C2720" s="99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0"/>
      <c r="E2720" s="78" t="str">
        <f>IF(C2720="","",IFERROR(VLOOKUP(C2720,parametros!$A$11:$E$15,5,0),""))</f>
        <v/>
      </c>
      <c r="F2720" s="79" t="str">
        <f t="shared" si="212"/>
        <v/>
      </c>
      <c r="G2720" s="101"/>
      <c r="H2720" s="91">
        <f t="shared" si="213"/>
        <v>0</v>
      </c>
      <c r="I2720" s="91" t="str">
        <f t="shared" si="214"/>
        <v/>
      </c>
      <c r="J2720" s="91" t="str">
        <f t="shared" si="215"/>
        <v/>
      </c>
      <c r="K2720" s="92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2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58"/>
      <c r="U2720" s="217" t="str">
        <f t="shared" si="216"/>
        <v/>
      </c>
      <c r="V2720" s="215" t="s">
        <v>47</v>
      </c>
      <c r="W2720" s="102" t="s">
        <v>136</v>
      </c>
      <c r="X2720" s="102" t="s">
        <v>137</v>
      </c>
      <c r="Y2720" s="103" t="s">
        <v>138</v>
      </c>
      <c r="Z2720" s="103" t="s">
        <v>139</v>
      </c>
      <c r="AA2720" s="103" t="s">
        <v>47</v>
      </c>
      <c r="AB2720" s="103" t="s">
        <v>140</v>
      </c>
      <c r="AC2720" s="104" t="s">
        <v>141</v>
      </c>
    </row>
    <row r="2721" spans="1:29" ht="25.5" customHeight="1" x14ac:dyDescent="0.35">
      <c r="A2721" s="188"/>
      <c r="B2721" s="190"/>
      <c r="C2721" s="99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0"/>
      <c r="E2721" s="78" t="str">
        <f>IF(C2721="","",IFERROR(VLOOKUP(C2721,parametros!$A$11:$E$15,5,0),""))</f>
        <v/>
      </c>
      <c r="F2721" s="79" t="str">
        <f t="shared" si="212"/>
        <v/>
      </c>
      <c r="G2721" s="101"/>
      <c r="H2721" s="91">
        <f t="shared" si="213"/>
        <v>0</v>
      </c>
      <c r="I2721" s="91" t="str">
        <f t="shared" si="214"/>
        <v/>
      </c>
      <c r="J2721" s="91" t="str">
        <f t="shared" si="215"/>
        <v/>
      </c>
      <c r="K2721" s="92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2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58"/>
      <c r="U2721" s="217" t="str">
        <f t="shared" si="216"/>
        <v/>
      </c>
      <c r="V2721" s="215" t="s">
        <v>47</v>
      </c>
      <c r="W2721" s="102" t="s">
        <v>136</v>
      </c>
      <c r="X2721" s="102" t="s">
        <v>137</v>
      </c>
      <c r="Y2721" s="103" t="s">
        <v>138</v>
      </c>
      <c r="Z2721" s="103" t="s">
        <v>139</v>
      </c>
      <c r="AA2721" s="103" t="s">
        <v>47</v>
      </c>
      <c r="AB2721" s="103" t="s">
        <v>140</v>
      </c>
      <c r="AC2721" s="104" t="s">
        <v>141</v>
      </c>
    </row>
    <row r="2722" spans="1:29" ht="25.5" customHeight="1" x14ac:dyDescent="0.35">
      <c r="A2722" s="188"/>
      <c r="B2722" s="190"/>
      <c r="C2722" s="99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0"/>
      <c r="E2722" s="78" t="str">
        <f>IF(C2722="","",IFERROR(VLOOKUP(C2722,parametros!$A$11:$E$15,5,0),""))</f>
        <v/>
      </c>
      <c r="F2722" s="79" t="str">
        <f t="shared" si="212"/>
        <v/>
      </c>
      <c r="G2722" s="101"/>
      <c r="H2722" s="91">
        <f t="shared" si="213"/>
        <v>0</v>
      </c>
      <c r="I2722" s="91" t="str">
        <f t="shared" si="214"/>
        <v/>
      </c>
      <c r="J2722" s="91" t="str">
        <f t="shared" si="215"/>
        <v/>
      </c>
      <c r="K2722" s="92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2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58"/>
      <c r="U2722" s="217" t="str">
        <f t="shared" si="216"/>
        <v/>
      </c>
      <c r="V2722" s="215" t="s">
        <v>47</v>
      </c>
      <c r="W2722" s="102" t="s">
        <v>136</v>
      </c>
      <c r="X2722" s="102" t="s">
        <v>137</v>
      </c>
      <c r="Y2722" s="103" t="s">
        <v>138</v>
      </c>
      <c r="Z2722" s="103" t="s">
        <v>139</v>
      </c>
      <c r="AA2722" s="103" t="s">
        <v>47</v>
      </c>
      <c r="AB2722" s="103" t="s">
        <v>140</v>
      </c>
      <c r="AC2722" s="104" t="s">
        <v>141</v>
      </c>
    </row>
    <row r="2723" spans="1:29" ht="25.5" customHeight="1" x14ac:dyDescent="0.35">
      <c r="A2723" s="188"/>
      <c r="B2723" s="190"/>
      <c r="C2723" s="99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0"/>
      <c r="E2723" s="78" t="str">
        <f>IF(C2723="","",IFERROR(VLOOKUP(C2723,parametros!$A$11:$E$15,5,0),""))</f>
        <v/>
      </c>
      <c r="F2723" s="79" t="str">
        <f t="shared" si="212"/>
        <v/>
      </c>
      <c r="G2723" s="101"/>
      <c r="H2723" s="91">
        <f t="shared" si="213"/>
        <v>0</v>
      </c>
      <c r="I2723" s="91" t="str">
        <f t="shared" si="214"/>
        <v/>
      </c>
      <c r="J2723" s="91" t="str">
        <f t="shared" si="215"/>
        <v/>
      </c>
      <c r="K2723" s="92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2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58"/>
      <c r="U2723" s="217" t="str">
        <f t="shared" si="216"/>
        <v/>
      </c>
      <c r="V2723" s="215" t="s">
        <v>47</v>
      </c>
      <c r="W2723" s="102" t="s">
        <v>136</v>
      </c>
      <c r="X2723" s="102" t="s">
        <v>137</v>
      </c>
      <c r="Y2723" s="103" t="s">
        <v>138</v>
      </c>
      <c r="Z2723" s="103" t="s">
        <v>139</v>
      </c>
      <c r="AA2723" s="103" t="s">
        <v>47</v>
      </c>
      <c r="AB2723" s="103" t="s">
        <v>140</v>
      </c>
      <c r="AC2723" s="104" t="s">
        <v>141</v>
      </c>
    </row>
    <row r="2724" spans="1:29" ht="25.5" customHeight="1" x14ac:dyDescent="0.35">
      <c r="A2724" s="188"/>
      <c r="B2724" s="190"/>
      <c r="C2724" s="99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0"/>
      <c r="E2724" s="78" t="str">
        <f>IF(C2724="","",IFERROR(VLOOKUP(C2724,parametros!$A$11:$E$15,5,0),""))</f>
        <v/>
      </c>
      <c r="F2724" s="79" t="str">
        <f t="shared" si="212"/>
        <v/>
      </c>
      <c r="G2724" s="101"/>
      <c r="H2724" s="91">
        <f t="shared" si="213"/>
        <v>0</v>
      </c>
      <c r="I2724" s="91" t="str">
        <f t="shared" si="214"/>
        <v/>
      </c>
      <c r="J2724" s="91" t="str">
        <f t="shared" si="215"/>
        <v/>
      </c>
      <c r="K2724" s="92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2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58"/>
      <c r="U2724" s="217" t="str">
        <f t="shared" si="216"/>
        <v/>
      </c>
      <c r="V2724" s="215" t="s">
        <v>47</v>
      </c>
      <c r="W2724" s="102" t="s">
        <v>136</v>
      </c>
      <c r="X2724" s="102" t="s">
        <v>137</v>
      </c>
      <c r="Y2724" s="103" t="s">
        <v>138</v>
      </c>
      <c r="Z2724" s="103" t="s">
        <v>139</v>
      </c>
      <c r="AA2724" s="103" t="s">
        <v>47</v>
      </c>
      <c r="AB2724" s="103" t="s">
        <v>140</v>
      </c>
      <c r="AC2724" s="104" t="s">
        <v>141</v>
      </c>
    </row>
    <row r="2725" spans="1:29" ht="25.5" customHeight="1" x14ac:dyDescent="0.35">
      <c r="A2725" s="188"/>
      <c r="B2725" s="190"/>
      <c r="C2725" s="99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0"/>
      <c r="E2725" s="78" t="str">
        <f>IF(C2725="","",IFERROR(VLOOKUP(C2725,parametros!$A$11:$E$15,5,0),""))</f>
        <v/>
      </c>
      <c r="F2725" s="79" t="str">
        <f t="shared" si="212"/>
        <v/>
      </c>
      <c r="G2725" s="101"/>
      <c r="H2725" s="91">
        <f t="shared" si="213"/>
        <v>0</v>
      </c>
      <c r="I2725" s="91" t="str">
        <f t="shared" si="214"/>
        <v/>
      </c>
      <c r="J2725" s="91" t="str">
        <f t="shared" si="215"/>
        <v/>
      </c>
      <c r="K2725" s="92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2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58"/>
      <c r="U2725" s="217" t="str">
        <f t="shared" si="216"/>
        <v/>
      </c>
      <c r="V2725" s="215" t="s">
        <v>47</v>
      </c>
      <c r="W2725" s="102" t="s">
        <v>136</v>
      </c>
      <c r="X2725" s="102" t="s">
        <v>137</v>
      </c>
      <c r="Y2725" s="103" t="s">
        <v>138</v>
      </c>
      <c r="Z2725" s="103" t="s">
        <v>139</v>
      </c>
      <c r="AA2725" s="103" t="s">
        <v>47</v>
      </c>
      <c r="AB2725" s="103" t="s">
        <v>140</v>
      </c>
      <c r="AC2725" s="104" t="s">
        <v>141</v>
      </c>
    </row>
    <row r="2726" spans="1:29" ht="25.5" customHeight="1" x14ac:dyDescent="0.35">
      <c r="A2726" s="188"/>
      <c r="B2726" s="190"/>
      <c r="C2726" s="99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0"/>
      <c r="E2726" s="78" t="str">
        <f>IF(C2726="","",IFERROR(VLOOKUP(C2726,parametros!$A$11:$E$15,5,0),""))</f>
        <v/>
      </c>
      <c r="F2726" s="79" t="str">
        <f t="shared" si="212"/>
        <v/>
      </c>
      <c r="G2726" s="101"/>
      <c r="H2726" s="91">
        <f t="shared" si="213"/>
        <v>0</v>
      </c>
      <c r="I2726" s="91" t="str">
        <f t="shared" si="214"/>
        <v/>
      </c>
      <c r="J2726" s="91" t="str">
        <f t="shared" si="215"/>
        <v/>
      </c>
      <c r="K2726" s="92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2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58"/>
      <c r="U2726" s="217" t="str">
        <f t="shared" si="216"/>
        <v/>
      </c>
      <c r="V2726" s="215" t="s">
        <v>47</v>
      </c>
      <c r="W2726" s="102" t="s">
        <v>136</v>
      </c>
      <c r="X2726" s="102" t="s">
        <v>137</v>
      </c>
      <c r="Y2726" s="103" t="s">
        <v>138</v>
      </c>
      <c r="Z2726" s="103" t="s">
        <v>139</v>
      </c>
      <c r="AA2726" s="103" t="s">
        <v>47</v>
      </c>
      <c r="AB2726" s="103" t="s">
        <v>140</v>
      </c>
      <c r="AC2726" s="104" t="s">
        <v>141</v>
      </c>
    </row>
    <row r="2727" spans="1:29" ht="25.5" customHeight="1" x14ac:dyDescent="0.35">
      <c r="A2727" s="188"/>
      <c r="B2727" s="190"/>
      <c r="C2727" s="99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0"/>
      <c r="E2727" s="78" t="str">
        <f>IF(C2727="","",IFERROR(VLOOKUP(C2727,parametros!$A$11:$E$15,5,0),""))</f>
        <v/>
      </c>
      <c r="F2727" s="79" t="str">
        <f t="shared" si="212"/>
        <v/>
      </c>
      <c r="G2727" s="101"/>
      <c r="H2727" s="91">
        <f t="shared" si="213"/>
        <v>0</v>
      </c>
      <c r="I2727" s="91" t="str">
        <f t="shared" si="214"/>
        <v/>
      </c>
      <c r="J2727" s="91" t="str">
        <f t="shared" si="215"/>
        <v/>
      </c>
      <c r="K2727" s="92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2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58"/>
      <c r="U2727" s="217" t="str">
        <f t="shared" si="216"/>
        <v/>
      </c>
      <c r="V2727" s="215" t="s">
        <v>47</v>
      </c>
      <c r="W2727" s="102" t="s">
        <v>136</v>
      </c>
      <c r="X2727" s="102" t="s">
        <v>137</v>
      </c>
      <c r="Y2727" s="103" t="s">
        <v>138</v>
      </c>
      <c r="Z2727" s="103" t="s">
        <v>139</v>
      </c>
      <c r="AA2727" s="103" t="s">
        <v>47</v>
      </c>
      <c r="AB2727" s="103" t="s">
        <v>140</v>
      </c>
      <c r="AC2727" s="104" t="s">
        <v>141</v>
      </c>
    </row>
    <row r="2728" spans="1:29" ht="25.5" customHeight="1" x14ac:dyDescent="0.35">
      <c r="A2728" s="188"/>
      <c r="B2728" s="190"/>
      <c r="C2728" s="99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0"/>
      <c r="E2728" s="78" t="str">
        <f>IF(C2728="","",IFERROR(VLOOKUP(C2728,parametros!$A$11:$E$15,5,0),""))</f>
        <v/>
      </c>
      <c r="F2728" s="79" t="str">
        <f t="shared" si="212"/>
        <v/>
      </c>
      <c r="G2728" s="101"/>
      <c r="H2728" s="91">
        <f t="shared" si="213"/>
        <v>0</v>
      </c>
      <c r="I2728" s="91" t="str">
        <f t="shared" si="214"/>
        <v/>
      </c>
      <c r="J2728" s="91" t="str">
        <f t="shared" si="215"/>
        <v/>
      </c>
      <c r="K2728" s="92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2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58"/>
      <c r="U2728" s="217" t="str">
        <f t="shared" si="216"/>
        <v/>
      </c>
      <c r="V2728" s="215" t="s">
        <v>47</v>
      </c>
      <c r="W2728" s="102" t="s">
        <v>136</v>
      </c>
      <c r="X2728" s="102" t="s">
        <v>137</v>
      </c>
      <c r="Y2728" s="103" t="s">
        <v>138</v>
      </c>
      <c r="Z2728" s="103" t="s">
        <v>139</v>
      </c>
      <c r="AA2728" s="103" t="s">
        <v>47</v>
      </c>
      <c r="AB2728" s="103" t="s">
        <v>140</v>
      </c>
      <c r="AC2728" s="104" t="s">
        <v>141</v>
      </c>
    </row>
    <row r="2729" spans="1:29" ht="25.5" customHeight="1" x14ac:dyDescent="0.35">
      <c r="A2729" s="188"/>
      <c r="B2729" s="190"/>
      <c r="C2729" s="99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0"/>
      <c r="E2729" s="78" t="str">
        <f>IF(C2729="","",IFERROR(VLOOKUP(C2729,parametros!$A$11:$E$15,5,0),""))</f>
        <v/>
      </c>
      <c r="F2729" s="79" t="str">
        <f t="shared" si="212"/>
        <v/>
      </c>
      <c r="G2729" s="101"/>
      <c r="H2729" s="91">
        <f t="shared" si="213"/>
        <v>0</v>
      </c>
      <c r="I2729" s="91" t="str">
        <f t="shared" si="214"/>
        <v/>
      </c>
      <c r="J2729" s="91" t="str">
        <f t="shared" si="215"/>
        <v/>
      </c>
      <c r="K2729" s="92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2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58"/>
      <c r="U2729" s="217" t="str">
        <f t="shared" si="216"/>
        <v/>
      </c>
      <c r="V2729" s="215" t="s">
        <v>47</v>
      </c>
      <c r="W2729" s="102" t="s">
        <v>136</v>
      </c>
      <c r="X2729" s="102" t="s">
        <v>137</v>
      </c>
      <c r="Y2729" s="103" t="s">
        <v>138</v>
      </c>
      <c r="Z2729" s="103" t="s">
        <v>139</v>
      </c>
      <c r="AA2729" s="103" t="s">
        <v>47</v>
      </c>
      <c r="AB2729" s="103" t="s">
        <v>140</v>
      </c>
      <c r="AC2729" s="104" t="s">
        <v>141</v>
      </c>
    </row>
    <row r="2730" spans="1:29" ht="25.5" customHeight="1" x14ac:dyDescent="0.35">
      <c r="A2730" s="188"/>
      <c r="B2730" s="190"/>
      <c r="C2730" s="99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0"/>
      <c r="E2730" s="78" t="str">
        <f>IF(C2730="","",IFERROR(VLOOKUP(C2730,parametros!$A$11:$E$15,5,0),""))</f>
        <v/>
      </c>
      <c r="F2730" s="79" t="str">
        <f t="shared" si="212"/>
        <v/>
      </c>
      <c r="G2730" s="101"/>
      <c r="H2730" s="91">
        <f t="shared" si="213"/>
        <v>0</v>
      </c>
      <c r="I2730" s="91" t="str">
        <f t="shared" si="214"/>
        <v/>
      </c>
      <c r="J2730" s="91" t="str">
        <f t="shared" si="215"/>
        <v/>
      </c>
      <c r="K2730" s="92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2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58"/>
      <c r="U2730" s="217" t="str">
        <f t="shared" si="216"/>
        <v/>
      </c>
      <c r="V2730" s="215" t="s">
        <v>47</v>
      </c>
      <c r="W2730" s="102" t="s">
        <v>136</v>
      </c>
      <c r="X2730" s="102" t="s">
        <v>137</v>
      </c>
      <c r="Y2730" s="103" t="s">
        <v>138</v>
      </c>
      <c r="Z2730" s="103" t="s">
        <v>139</v>
      </c>
      <c r="AA2730" s="103" t="s">
        <v>47</v>
      </c>
      <c r="AB2730" s="103" t="s">
        <v>140</v>
      </c>
      <c r="AC2730" s="104" t="s">
        <v>141</v>
      </c>
    </row>
    <row r="2731" spans="1:29" ht="25.5" customHeight="1" x14ac:dyDescent="0.35">
      <c r="A2731" s="188"/>
      <c r="B2731" s="190"/>
      <c r="C2731" s="99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0"/>
      <c r="E2731" s="78" t="str">
        <f>IF(C2731="","",IFERROR(VLOOKUP(C2731,parametros!$A$11:$E$15,5,0),""))</f>
        <v/>
      </c>
      <c r="F2731" s="79" t="str">
        <f t="shared" si="212"/>
        <v/>
      </c>
      <c r="G2731" s="101"/>
      <c r="H2731" s="91">
        <f t="shared" si="213"/>
        <v>0</v>
      </c>
      <c r="I2731" s="91" t="str">
        <f t="shared" si="214"/>
        <v/>
      </c>
      <c r="J2731" s="91" t="str">
        <f t="shared" si="215"/>
        <v/>
      </c>
      <c r="K2731" s="92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2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58"/>
      <c r="U2731" s="217" t="str">
        <f t="shared" si="216"/>
        <v/>
      </c>
      <c r="V2731" s="215" t="s">
        <v>47</v>
      </c>
      <c r="W2731" s="102" t="s">
        <v>136</v>
      </c>
      <c r="X2731" s="102" t="s">
        <v>137</v>
      </c>
      <c r="Y2731" s="103" t="s">
        <v>138</v>
      </c>
      <c r="Z2731" s="103" t="s">
        <v>139</v>
      </c>
      <c r="AA2731" s="103" t="s">
        <v>47</v>
      </c>
      <c r="AB2731" s="103" t="s">
        <v>140</v>
      </c>
      <c r="AC2731" s="104" t="s">
        <v>141</v>
      </c>
    </row>
    <row r="2732" spans="1:29" ht="25.5" customHeight="1" x14ac:dyDescent="0.35">
      <c r="A2732" s="188"/>
      <c r="B2732" s="190"/>
      <c r="C2732" s="99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0"/>
      <c r="E2732" s="78" t="str">
        <f>IF(C2732="","",IFERROR(VLOOKUP(C2732,parametros!$A$11:$E$15,5,0),""))</f>
        <v/>
      </c>
      <c r="F2732" s="79" t="str">
        <f t="shared" si="212"/>
        <v/>
      </c>
      <c r="G2732" s="101"/>
      <c r="H2732" s="91">
        <f t="shared" si="213"/>
        <v>0</v>
      </c>
      <c r="I2732" s="91" t="str">
        <f t="shared" si="214"/>
        <v/>
      </c>
      <c r="J2732" s="91" t="str">
        <f t="shared" si="215"/>
        <v/>
      </c>
      <c r="K2732" s="92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2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58"/>
      <c r="U2732" s="217" t="str">
        <f t="shared" si="216"/>
        <v/>
      </c>
      <c r="V2732" s="215" t="s">
        <v>47</v>
      </c>
      <c r="W2732" s="102" t="s">
        <v>136</v>
      </c>
      <c r="X2732" s="102" t="s">
        <v>137</v>
      </c>
      <c r="Y2732" s="103" t="s">
        <v>138</v>
      </c>
      <c r="Z2732" s="103" t="s">
        <v>139</v>
      </c>
      <c r="AA2732" s="103" t="s">
        <v>47</v>
      </c>
      <c r="AB2732" s="103" t="s">
        <v>140</v>
      </c>
      <c r="AC2732" s="104" t="s">
        <v>141</v>
      </c>
    </row>
    <row r="2733" spans="1:29" ht="25.5" customHeight="1" x14ac:dyDescent="0.35">
      <c r="A2733" s="188"/>
      <c r="B2733" s="190"/>
      <c r="C2733" s="99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0"/>
      <c r="E2733" s="78" t="str">
        <f>IF(C2733="","",IFERROR(VLOOKUP(C2733,parametros!$A$11:$E$15,5,0),""))</f>
        <v/>
      </c>
      <c r="F2733" s="79" t="str">
        <f t="shared" si="212"/>
        <v/>
      </c>
      <c r="G2733" s="101"/>
      <c r="H2733" s="91">
        <f t="shared" si="213"/>
        <v>0</v>
      </c>
      <c r="I2733" s="91" t="str">
        <f t="shared" si="214"/>
        <v/>
      </c>
      <c r="J2733" s="91" t="str">
        <f t="shared" si="215"/>
        <v/>
      </c>
      <c r="K2733" s="92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2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58"/>
      <c r="U2733" s="217" t="str">
        <f t="shared" si="216"/>
        <v/>
      </c>
      <c r="V2733" s="215" t="s">
        <v>47</v>
      </c>
      <c r="W2733" s="102" t="s">
        <v>136</v>
      </c>
      <c r="X2733" s="102" t="s">
        <v>137</v>
      </c>
      <c r="Y2733" s="103" t="s">
        <v>138</v>
      </c>
      <c r="Z2733" s="103" t="s">
        <v>139</v>
      </c>
      <c r="AA2733" s="103" t="s">
        <v>47</v>
      </c>
      <c r="AB2733" s="103" t="s">
        <v>140</v>
      </c>
      <c r="AC2733" s="104" t="s">
        <v>141</v>
      </c>
    </row>
    <row r="2734" spans="1:29" ht="25.5" customHeight="1" x14ac:dyDescent="0.35">
      <c r="A2734" s="188"/>
      <c r="B2734" s="190"/>
      <c r="C2734" s="99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0"/>
      <c r="E2734" s="78" t="str">
        <f>IF(C2734="","",IFERROR(VLOOKUP(C2734,parametros!$A$11:$E$15,5,0),""))</f>
        <v/>
      </c>
      <c r="F2734" s="79" t="str">
        <f t="shared" si="212"/>
        <v/>
      </c>
      <c r="G2734" s="101"/>
      <c r="H2734" s="91">
        <f t="shared" si="213"/>
        <v>0</v>
      </c>
      <c r="I2734" s="91" t="str">
        <f t="shared" si="214"/>
        <v/>
      </c>
      <c r="J2734" s="91" t="str">
        <f t="shared" si="215"/>
        <v/>
      </c>
      <c r="K2734" s="92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2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58"/>
      <c r="U2734" s="217" t="str">
        <f t="shared" si="216"/>
        <v/>
      </c>
      <c r="V2734" s="215" t="s">
        <v>47</v>
      </c>
      <c r="W2734" s="102" t="s">
        <v>136</v>
      </c>
      <c r="X2734" s="102" t="s">
        <v>137</v>
      </c>
      <c r="Y2734" s="103" t="s">
        <v>138</v>
      </c>
      <c r="Z2734" s="103" t="s">
        <v>139</v>
      </c>
      <c r="AA2734" s="103" t="s">
        <v>47</v>
      </c>
      <c r="AB2734" s="103" t="s">
        <v>140</v>
      </c>
      <c r="AC2734" s="104" t="s">
        <v>141</v>
      </c>
    </row>
    <row r="2735" spans="1:29" ht="25.5" customHeight="1" x14ac:dyDescent="0.35">
      <c r="A2735" s="188"/>
      <c r="B2735" s="190"/>
      <c r="C2735" s="99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0"/>
      <c r="E2735" s="78" t="str">
        <f>IF(C2735="","",IFERROR(VLOOKUP(C2735,parametros!$A$11:$E$15,5,0),""))</f>
        <v/>
      </c>
      <c r="F2735" s="79" t="str">
        <f t="shared" si="212"/>
        <v/>
      </c>
      <c r="G2735" s="101"/>
      <c r="H2735" s="91">
        <f t="shared" si="213"/>
        <v>0</v>
      </c>
      <c r="I2735" s="91" t="str">
        <f t="shared" si="214"/>
        <v/>
      </c>
      <c r="J2735" s="91" t="str">
        <f t="shared" si="215"/>
        <v/>
      </c>
      <c r="K2735" s="92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2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58"/>
      <c r="U2735" s="217" t="str">
        <f t="shared" si="216"/>
        <v/>
      </c>
      <c r="V2735" s="215" t="s">
        <v>47</v>
      </c>
      <c r="W2735" s="102" t="s">
        <v>136</v>
      </c>
      <c r="X2735" s="102" t="s">
        <v>137</v>
      </c>
      <c r="Y2735" s="103" t="s">
        <v>138</v>
      </c>
      <c r="Z2735" s="103" t="s">
        <v>139</v>
      </c>
      <c r="AA2735" s="103" t="s">
        <v>47</v>
      </c>
      <c r="AB2735" s="103" t="s">
        <v>140</v>
      </c>
      <c r="AC2735" s="104" t="s">
        <v>141</v>
      </c>
    </row>
    <row r="2736" spans="1:29" ht="25.5" customHeight="1" x14ac:dyDescent="0.35">
      <c r="A2736" s="188"/>
      <c r="B2736" s="190"/>
      <c r="C2736" s="99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0"/>
      <c r="E2736" s="78" t="str">
        <f>IF(C2736="","",IFERROR(VLOOKUP(C2736,parametros!$A$11:$E$15,5,0),""))</f>
        <v/>
      </c>
      <c r="F2736" s="79" t="str">
        <f t="shared" si="212"/>
        <v/>
      </c>
      <c r="G2736" s="101"/>
      <c r="H2736" s="91">
        <f t="shared" si="213"/>
        <v>0</v>
      </c>
      <c r="I2736" s="91" t="str">
        <f t="shared" si="214"/>
        <v/>
      </c>
      <c r="J2736" s="91" t="str">
        <f t="shared" si="215"/>
        <v/>
      </c>
      <c r="K2736" s="92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2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58"/>
      <c r="U2736" s="217" t="str">
        <f t="shared" si="216"/>
        <v/>
      </c>
      <c r="V2736" s="215" t="s">
        <v>47</v>
      </c>
      <c r="W2736" s="102" t="s">
        <v>136</v>
      </c>
      <c r="X2736" s="102" t="s">
        <v>137</v>
      </c>
      <c r="Y2736" s="103" t="s">
        <v>138</v>
      </c>
      <c r="Z2736" s="103" t="s">
        <v>139</v>
      </c>
      <c r="AA2736" s="103" t="s">
        <v>47</v>
      </c>
      <c r="AB2736" s="103" t="s">
        <v>140</v>
      </c>
      <c r="AC2736" s="104" t="s">
        <v>141</v>
      </c>
    </row>
    <row r="2737" spans="1:29" ht="25.5" customHeight="1" x14ac:dyDescent="0.35">
      <c r="A2737" s="188"/>
      <c r="B2737" s="190"/>
      <c r="C2737" s="99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0"/>
      <c r="E2737" s="78" t="str">
        <f>IF(C2737="","",IFERROR(VLOOKUP(C2737,parametros!$A$11:$E$15,5,0),""))</f>
        <v/>
      </c>
      <c r="F2737" s="79" t="str">
        <f t="shared" si="212"/>
        <v/>
      </c>
      <c r="G2737" s="101"/>
      <c r="H2737" s="91">
        <f t="shared" si="213"/>
        <v>0</v>
      </c>
      <c r="I2737" s="91" t="str">
        <f t="shared" si="214"/>
        <v/>
      </c>
      <c r="J2737" s="91" t="str">
        <f t="shared" si="215"/>
        <v/>
      </c>
      <c r="K2737" s="92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2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58"/>
      <c r="U2737" s="217" t="str">
        <f t="shared" si="216"/>
        <v/>
      </c>
      <c r="V2737" s="215" t="s">
        <v>47</v>
      </c>
      <c r="W2737" s="102" t="s">
        <v>136</v>
      </c>
      <c r="X2737" s="102" t="s">
        <v>137</v>
      </c>
      <c r="Y2737" s="103" t="s">
        <v>138</v>
      </c>
      <c r="Z2737" s="103" t="s">
        <v>139</v>
      </c>
      <c r="AA2737" s="103" t="s">
        <v>47</v>
      </c>
      <c r="AB2737" s="103" t="s">
        <v>140</v>
      </c>
      <c r="AC2737" s="104" t="s">
        <v>141</v>
      </c>
    </row>
    <row r="2738" spans="1:29" ht="25.5" customHeight="1" x14ac:dyDescent="0.35">
      <c r="A2738" s="188"/>
      <c r="B2738" s="190"/>
      <c r="C2738" s="99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0"/>
      <c r="E2738" s="78" t="str">
        <f>IF(C2738="","",IFERROR(VLOOKUP(C2738,parametros!$A$11:$E$15,5,0),""))</f>
        <v/>
      </c>
      <c r="F2738" s="79" t="str">
        <f t="shared" si="212"/>
        <v/>
      </c>
      <c r="G2738" s="101"/>
      <c r="H2738" s="91">
        <f t="shared" si="213"/>
        <v>0</v>
      </c>
      <c r="I2738" s="91" t="str">
        <f t="shared" si="214"/>
        <v/>
      </c>
      <c r="J2738" s="91" t="str">
        <f t="shared" si="215"/>
        <v/>
      </c>
      <c r="K2738" s="92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2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58"/>
      <c r="U2738" s="217" t="str">
        <f t="shared" si="216"/>
        <v/>
      </c>
      <c r="V2738" s="215" t="s">
        <v>47</v>
      </c>
      <c r="W2738" s="102" t="s">
        <v>136</v>
      </c>
      <c r="X2738" s="102" t="s">
        <v>137</v>
      </c>
      <c r="Y2738" s="103" t="s">
        <v>138</v>
      </c>
      <c r="Z2738" s="103" t="s">
        <v>139</v>
      </c>
      <c r="AA2738" s="103" t="s">
        <v>47</v>
      </c>
      <c r="AB2738" s="103" t="s">
        <v>140</v>
      </c>
      <c r="AC2738" s="104" t="s">
        <v>141</v>
      </c>
    </row>
    <row r="2739" spans="1:29" ht="25.5" customHeight="1" x14ac:dyDescent="0.35">
      <c r="A2739" s="188"/>
      <c r="B2739" s="190"/>
      <c r="C2739" s="99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0"/>
      <c r="E2739" s="78" t="str">
        <f>IF(C2739="","",IFERROR(VLOOKUP(C2739,parametros!$A$11:$E$15,5,0),""))</f>
        <v/>
      </c>
      <c r="F2739" s="79" t="str">
        <f t="shared" si="212"/>
        <v/>
      </c>
      <c r="G2739" s="101"/>
      <c r="H2739" s="91">
        <f t="shared" si="213"/>
        <v>0</v>
      </c>
      <c r="I2739" s="91" t="str">
        <f t="shared" si="214"/>
        <v/>
      </c>
      <c r="J2739" s="91" t="str">
        <f t="shared" si="215"/>
        <v/>
      </c>
      <c r="K2739" s="92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2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58"/>
      <c r="U2739" s="217" t="str">
        <f t="shared" si="216"/>
        <v/>
      </c>
      <c r="V2739" s="215" t="s">
        <v>47</v>
      </c>
      <c r="W2739" s="102" t="s">
        <v>136</v>
      </c>
      <c r="X2739" s="102" t="s">
        <v>137</v>
      </c>
      <c r="Y2739" s="103" t="s">
        <v>138</v>
      </c>
      <c r="Z2739" s="103" t="s">
        <v>139</v>
      </c>
      <c r="AA2739" s="103" t="s">
        <v>47</v>
      </c>
      <c r="AB2739" s="103" t="s">
        <v>140</v>
      </c>
      <c r="AC2739" s="104" t="s">
        <v>141</v>
      </c>
    </row>
    <row r="2740" spans="1:29" ht="25.5" customHeight="1" x14ac:dyDescent="0.35">
      <c r="A2740" s="188"/>
      <c r="B2740" s="190"/>
      <c r="C2740" s="99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0"/>
      <c r="E2740" s="78" t="str">
        <f>IF(C2740="","",IFERROR(VLOOKUP(C2740,parametros!$A$11:$E$15,5,0),""))</f>
        <v/>
      </c>
      <c r="F2740" s="79" t="str">
        <f t="shared" si="212"/>
        <v/>
      </c>
      <c r="G2740" s="101"/>
      <c r="H2740" s="91">
        <f t="shared" si="213"/>
        <v>0</v>
      </c>
      <c r="I2740" s="91" t="str">
        <f t="shared" si="214"/>
        <v/>
      </c>
      <c r="J2740" s="91" t="str">
        <f t="shared" si="215"/>
        <v/>
      </c>
      <c r="K2740" s="92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2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58"/>
      <c r="U2740" s="217" t="str">
        <f t="shared" si="216"/>
        <v/>
      </c>
      <c r="V2740" s="215" t="s">
        <v>47</v>
      </c>
      <c r="W2740" s="102" t="s">
        <v>136</v>
      </c>
      <c r="X2740" s="102" t="s">
        <v>137</v>
      </c>
      <c r="Y2740" s="103" t="s">
        <v>138</v>
      </c>
      <c r="Z2740" s="103" t="s">
        <v>139</v>
      </c>
      <c r="AA2740" s="103" t="s">
        <v>47</v>
      </c>
      <c r="AB2740" s="103" t="s">
        <v>140</v>
      </c>
      <c r="AC2740" s="104" t="s">
        <v>141</v>
      </c>
    </row>
    <row r="2741" spans="1:29" ht="25.5" customHeight="1" x14ac:dyDescent="0.35">
      <c r="A2741" s="188"/>
      <c r="B2741" s="190"/>
      <c r="C2741" s="99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0"/>
      <c r="E2741" s="78" t="str">
        <f>IF(C2741="","",IFERROR(VLOOKUP(C2741,parametros!$A$11:$E$15,5,0),""))</f>
        <v/>
      </c>
      <c r="F2741" s="79" t="str">
        <f t="shared" si="212"/>
        <v/>
      </c>
      <c r="G2741" s="101"/>
      <c r="H2741" s="91">
        <f t="shared" si="213"/>
        <v>0</v>
      </c>
      <c r="I2741" s="91" t="str">
        <f t="shared" si="214"/>
        <v/>
      </c>
      <c r="J2741" s="91" t="str">
        <f t="shared" si="215"/>
        <v/>
      </c>
      <c r="K2741" s="92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2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58"/>
      <c r="U2741" s="217" t="str">
        <f t="shared" si="216"/>
        <v/>
      </c>
      <c r="V2741" s="215" t="s">
        <v>47</v>
      </c>
      <c r="W2741" s="102" t="s">
        <v>136</v>
      </c>
      <c r="X2741" s="102" t="s">
        <v>137</v>
      </c>
      <c r="Y2741" s="103" t="s">
        <v>138</v>
      </c>
      <c r="Z2741" s="103" t="s">
        <v>139</v>
      </c>
      <c r="AA2741" s="103" t="s">
        <v>47</v>
      </c>
      <c r="AB2741" s="103" t="s">
        <v>140</v>
      </c>
      <c r="AC2741" s="104" t="s">
        <v>141</v>
      </c>
    </row>
    <row r="2742" spans="1:29" ht="25.5" customHeight="1" x14ac:dyDescent="0.35">
      <c r="A2742" s="188"/>
      <c r="B2742" s="190"/>
      <c r="C2742" s="99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0"/>
      <c r="E2742" s="78" t="str">
        <f>IF(C2742="","",IFERROR(VLOOKUP(C2742,parametros!$A$11:$E$15,5,0),""))</f>
        <v/>
      </c>
      <c r="F2742" s="79" t="str">
        <f t="shared" si="212"/>
        <v/>
      </c>
      <c r="G2742" s="101"/>
      <c r="H2742" s="91">
        <f t="shared" si="213"/>
        <v>0</v>
      </c>
      <c r="I2742" s="91" t="str">
        <f t="shared" si="214"/>
        <v/>
      </c>
      <c r="J2742" s="91" t="str">
        <f t="shared" si="215"/>
        <v/>
      </c>
      <c r="K2742" s="92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2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58"/>
      <c r="U2742" s="217" t="str">
        <f t="shared" si="216"/>
        <v/>
      </c>
      <c r="V2742" s="215" t="s">
        <v>47</v>
      </c>
      <c r="W2742" s="102" t="s">
        <v>136</v>
      </c>
      <c r="X2742" s="102" t="s">
        <v>137</v>
      </c>
      <c r="Y2742" s="103" t="s">
        <v>138</v>
      </c>
      <c r="Z2742" s="103" t="s">
        <v>139</v>
      </c>
      <c r="AA2742" s="103" t="s">
        <v>47</v>
      </c>
      <c r="AB2742" s="103" t="s">
        <v>140</v>
      </c>
      <c r="AC2742" s="104" t="s">
        <v>141</v>
      </c>
    </row>
    <row r="2743" spans="1:29" ht="25.5" customHeight="1" x14ac:dyDescent="0.35">
      <c r="A2743" s="188"/>
      <c r="B2743" s="190"/>
      <c r="C2743" s="99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0"/>
      <c r="E2743" s="78" t="str">
        <f>IF(C2743="","",IFERROR(VLOOKUP(C2743,parametros!$A$11:$E$15,5,0),""))</f>
        <v/>
      </c>
      <c r="F2743" s="79" t="str">
        <f t="shared" si="212"/>
        <v/>
      </c>
      <c r="G2743" s="101"/>
      <c r="H2743" s="91">
        <f t="shared" si="213"/>
        <v>0</v>
      </c>
      <c r="I2743" s="91" t="str">
        <f t="shared" si="214"/>
        <v/>
      </c>
      <c r="J2743" s="91" t="str">
        <f t="shared" si="215"/>
        <v/>
      </c>
      <c r="K2743" s="92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2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58"/>
      <c r="U2743" s="217" t="str">
        <f t="shared" si="216"/>
        <v/>
      </c>
      <c r="V2743" s="215" t="s">
        <v>47</v>
      </c>
      <c r="W2743" s="102" t="s">
        <v>136</v>
      </c>
      <c r="X2743" s="102" t="s">
        <v>137</v>
      </c>
      <c r="Y2743" s="103" t="s">
        <v>138</v>
      </c>
      <c r="Z2743" s="103" t="s">
        <v>139</v>
      </c>
      <c r="AA2743" s="103" t="s">
        <v>47</v>
      </c>
      <c r="AB2743" s="103" t="s">
        <v>140</v>
      </c>
      <c r="AC2743" s="104" t="s">
        <v>141</v>
      </c>
    </row>
    <row r="2744" spans="1:29" ht="25.5" customHeight="1" x14ac:dyDescent="0.35">
      <c r="A2744" s="188"/>
      <c r="B2744" s="190"/>
      <c r="C2744" s="99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0"/>
      <c r="E2744" s="78" t="str">
        <f>IF(C2744="","",IFERROR(VLOOKUP(C2744,parametros!$A$11:$E$15,5,0),""))</f>
        <v/>
      </c>
      <c r="F2744" s="79" t="str">
        <f t="shared" si="212"/>
        <v/>
      </c>
      <c r="G2744" s="101"/>
      <c r="H2744" s="91">
        <f t="shared" si="213"/>
        <v>0</v>
      </c>
      <c r="I2744" s="91" t="str">
        <f t="shared" si="214"/>
        <v/>
      </c>
      <c r="J2744" s="91" t="str">
        <f t="shared" si="215"/>
        <v/>
      </c>
      <c r="K2744" s="92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2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58"/>
      <c r="U2744" s="217" t="str">
        <f t="shared" si="216"/>
        <v/>
      </c>
      <c r="V2744" s="215" t="s">
        <v>47</v>
      </c>
      <c r="W2744" s="102" t="s">
        <v>136</v>
      </c>
      <c r="X2744" s="102" t="s">
        <v>137</v>
      </c>
      <c r="Y2744" s="103" t="s">
        <v>138</v>
      </c>
      <c r="Z2744" s="103" t="s">
        <v>139</v>
      </c>
      <c r="AA2744" s="103" t="s">
        <v>47</v>
      </c>
      <c r="AB2744" s="103" t="s">
        <v>140</v>
      </c>
      <c r="AC2744" s="104" t="s">
        <v>141</v>
      </c>
    </row>
    <row r="2745" spans="1:29" ht="25.5" customHeight="1" x14ac:dyDescent="0.35">
      <c r="A2745" s="188"/>
      <c r="B2745" s="190"/>
      <c r="C2745" s="99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0"/>
      <c r="E2745" s="78" t="str">
        <f>IF(C2745="","",IFERROR(VLOOKUP(C2745,parametros!$A$11:$E$15,5,0),""))</f>
        <v/>
      </c>
      <c r="F2745" s="79" t="str">
        <f t="shared" si="212"/>
        <v/>
      </c>
      <c r="G2745" s="101"/>
      <c r="H2745" s="91">
        <f t="shared" si="213"/>
        <v>0</v>
      </c>
      <c r="I2745" s="91" t="str">
        <f t="shared" si="214"/>
        <v/>
      </c>
      <c r="J2745" s="91" t="str">
        <f t="shared" si="215"/>
        <v/>
      </c>
      <c r="K2745" s="92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2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58"/>
      <c r="U2745" s="217" t="str">
        <f t="shared" si="216"/>
        <v/>
      </c>
      <c r="V2745" s="215" t="s">
        <v>47</v>
      </c>
      <c r="W2745" s="102" t="s">
        <v>136</v>
      </c>
      <c r="X2745" s="102" t="s">
        <v>137</v>
      </c>
      <c r="Y2745" s="103" t="s">
        <v>138</v>
      </c>
      <c r="Z2745" s="103" t="s">
        <v>139</v>
      </c>
      <c r="AA2745" s="103" t="s">
        <v>47</v>
      </c>
      <c r="AB2745" s="103" t="s">
        <v>140</v>
      </c>
      <c r="AC2745" s="104" t="s">
        <v>141</v>
      </c>
    </row>
    <row r="2746" spans="1:29" ht="25.5" customHeight="1" x14ac:dyDescent="0.35">
      <c r="A2746" s="188"/>
      <c r="B2746" s="190"/>
      <c r="C2746" s="99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0"/>
      <c r="E2746" s="78" t="str">
        <f>IF(C2746="","",IFERROR(VLOOKUP(C2746,parametros!$A$11:$E$15,5,0),""))</f>
        <v/>
      </c>
      <c r="F2746" s="79" t="str">
        <f t="shared" si="212"/>
        <v/>
      </c>
      <c r="G2746" s="101"/>
      <c r="H2746" s="91">
        <f t="shared" si="213"/>
        <v>0</v>
      </c>
      <c r="I2746" s="91" t="str">
        <f t="shared" si="214"/>
        <v/>
      </c>
      <c r="J2746" s="91" t="str">
        <f t="shared" si="215"/>
        <v/>
      </c>
      <c r="K2746" s="92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2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58"/>
      <c r="U2746" s="217" t="str">
        <f t="shared" si="216"/>
        <v/>
      </c>
      <c r="V2746" s="215" t="s">
        <v>47</v>
      </c>
      <c r="W2746" s="102" t="s">
        <v>136</v>
      </c>
      <c r="X2746" s="102" t="s">
        <v>137</v>
      </c>
      <c r="Y2746" s="103" t="s">
        <v>138</v>
      </c>
      <c r="Z2746" s="103" t="s">
        <v>139</v>
      </c>
      <c r="AA2746" s="103" t="s">
        <v>47</v>
      </c>
      <c r="AB2746" s="103" t="s">
        <v>140</v>
      </c>
      <c r="AC2746" s="104" t="s">
        <v>141</v>
      </c>
    </row>
    <row r="2747" spans="1:29" ht="25.5" customHeight="1" x14ac:dyDescent="0.35">
      <c r="A2747" s="188"/>
      <c r="B2747" s="190"/>
      <c r="C2747" s="99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0"/>
      <c r="E2747" s="78" t="str">
        <f>IF(C2747="","",IFERROR(VLOOKUP(C2747,parametros!$A$11:$E$15,5,0),""))</f>
        <v/>
      </c>
      <c r="F2747" s="79" t="str">
        <f t="shared" si="212"/>
        <v/>
      </c>
      <c r="G2747" s="101"/>
      <c r="H2747" s="91">
        <f t="shared" si="213"/>
        <v>0</v>
      </c>
      <c r="I2747" s="91" t="str">
        <f t="shared" si="214"/>
        <v/>
      </c>
      <c r="J2747" s="91" t="str">
        <f t="shared" si="215"/>
        <v/>
      </c>
      <c r="K2747" s="92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2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58"/>
      <c r="U2747" s="217" t="str">
        <f t="shared" si="216"/>
        <v/>
      </c>
      <c r="V2747" s="215" t="s">
        <v>47</v>
      </c>
      <c r="W2747" s="102" t="s">
        <v>136</v>
      </c>
      <c r="X2747" s="102" t="s">
        <v>137</v>
      </c>
      <c r="Y2747" s="103" t="s">
        <v>138</v>
      </c>
      <c r="Z2747" s="103" t="s">
        <v>139</v>
      </c>
      <c r="AA2747" s="103" t="s">
        <v>47</v>
      </c>
      <c r="AB2747" s="103" t="s">
        <v>140</v>
      </c>
      <c r="AC2747" s="104" t="s">
        <v>141</v>
      </c>
    </row>
    <row r="2748" spans="1:29" ht="25.5" customHeight="1" x14ac:dyDescent="0.35">
      <c r="A2748" s="188"/>
      <c r="B2748" s="190"/>
      <c r="C2748" s="99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0"/>
      <c r="E2748" s="78" t="str">
        <f>IF(C2748="","",IFERROR(VLOOKUP(C2748,parametros!$A$11:$E$15,5,0),""))</f>
        <v/>
      </c>
      <c r="F2748" s="79" t="str">
        <f t="shared" si="212"/>
        <v/>
      </c>
      <c r="G2748" s="101"/>
      <c r="H2748" s="91">
        <f t="shared" si="213"/>
        <v>0</v>
      </c>
      <c r="I2748" s="91" t="str">
        <f t="shared" si="214"/>
        <v/>
      </c>
      <c r="J2748" s="91" t="str">
        <f t="shared" si="215"/>
        <v/>
      </c>
      <c r="K2748" s="92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2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58"/>
      <c r="U2748" s="217" t="str">
        <f t="shared" si="216"/>
        <v/>
      </c>
      <c r="V2748" s="215" t="s">
        <v>47</v>
      </c>
      <c r="W2748" s="102" t="s">
        <v>136</v>
      </c>
      <c r="X2748" s="102" t="s">
        <v>137</v>
      </c>
      <c r="Y2748" s="103" t="s">
        <v>138</v>
      </c>
      <c r="Z2748" s="103" t="s">
        <v>139</v>
      </c>
      <c r="AA2748" s="103" t="s">
        <v>47</v>
      </c>
      <c r="AB2748" s="103" t="s">
        <v>140</v>
      </c>
      <c r="AC2748" s="104" t="s">
        <v>141</v>
      </c>
    </row>
    <row r="2749" spans="1:29" ht="25.5" customHeight="1" x14ac:dyDescent="0.35">
      <c r="A2749" s="188"/>
      <c r="B2749" s="190"/>
      <c r="C2749" s="99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0"/>
      <c r="E2749" s="78" t="str">
        <f>IF(C2749="","",IFERROR(VLOOKUP(C2749,parametros!$A$11:$E$15,5,0),""))</f>
        <v/>
      </c>
      <c r="F2749" s="79" t="str">
        <f t="shared" si="212"/>
        <v/>
      </c>
      <c r="G2749" s="101"/>
      <c r="H2749" s="91">
        <f t="shared" si="213"/>
        <v>0</v>
      </c>
      <c r="I2749" s="91" t="str">
        <f t="shared" si="214"/>
        <v/>
      </c>
      <c r="J2749" s="91" t="str">
        <f t="shared" si="215"/>
        <v/>
      </c>
      <c r="K2749" s="92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2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58"/>
      <c r="U2749" s="217" t="str">
        <f t="shared" si="216"/>
        <v/>
      </c>
      <c r="V2749" s="215" t="s">
        <v>47</v>
      </c>
      <c r="W2749" s="102" t="s">
        <v>136</v>
      </c>
      <c r="X2749" s="102" t="s">
        <v>137</v>
      </c>
      <c r="Y2749" s="103" t="s">
        <v>138</v>
      </c>
      <c r="Z2749" s="103" t="s">
        <v>139</v>
      </c>
      <c r="AA2749" s="103" t="s">
        <v>47</v>
      </c>
      <c r="AB2749" s="103" t="s">
        <v>140</v>
      </c>
      <c r="AC2749" s="104" t="s">
        <v>141</v>
      </c>
    </row>
    <row r="2750" spans="1:29" ht="25.5" customHeight="1" x14ac:dyDescent="0.35">
      <c r="A2750" s="188"/>
      <c r="B2750" s="190"/>
      <c r="C2750" s="99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0"/>
      <c r="E2750" s="78" t="str">
        <f>IF(C2750="","",IFERROR(VLOOKUP(C2750,parametros!$A$11:$E$15,5,0),""))</f>
        <v/>
      </c>
      <c r="F2750" s="79" t="str">
        <f t="shared" si="212"/>
        <v/>
      </c>
      <c r="G2750" s="101"/>
      <c r="H2750" s="91">
        <f t="shared" si="213"/>
        <v>0</v>
      </c>
      <c r="I2750" s="91" t="str">
        <f t="shared" si="214"/>
        <v/>
      </c>
      <c r="J2750" s="91" t="str">
        <f t="shared" si="215"/>
        <v/>
      </c>
      <c r="K2750" s="92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2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58"/>
      <c r="U2750" s="217" t="str">
        <f t="shared" si="216"/>
        <v/>
      </c>
      <c r="V2750" s="215" t="s">
        <v>47</v>
      </c>
      <c r="W2750" s="102" t="s">
        <v>136</v>
      </c>
      <c r="X2750" s="102" t="s">
        <v>137</v>
      </c>
      <c r="Y2750" s="103" t="s">
        <v>138</v>
      </c>
      <c r="Z2750" s="103" t="s">
        <v>139</v>
      </c>
      <c r="AA2750" s="103" t="s">
        <v>47</v>
      </c>
      <c r="AB2750" s="103" t="s">
        <v>140</v>
      </c>
      <c r="AC2750" s="104" t="s">
        <v>141</v>
      </c>
    </row>
    <row r="2751" spans="1:29" ht="25.5" customHeight="1" x14ac:dyDescent="0.35">
      <c r="A2751" s="188"/>
      <c r="B2751" s="190"/>
      <c r="C2751" s="99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0"/>
      <c r="E2751" s="78" t="str">
        <f>IF(C2751="","",IFERROR(VLOOKUP(C2751,parametros!$A$11:$E$15,5,0),""))</f>
        <v/>
      </c>
      <c r="F2751" s="79" t="str">
        <f t="shared" si="212"/>
        <v/>
      </c>
      <c r="G2751" s="101"/>
      <c r="H2751" s="91">
        <f t="shared" si="213"/>
        <v>0</v>
      </c>
      <c r="I2751" s="91" t="str">
        <f t="shared" si="214"/>
        <v/>
      </c>
      <c r="J2751" s="91" t="str">
        <f t="shared" si="215"/>
        <v/>
      </c>
      <c r="K2751" s="92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2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58"/>
      <c r="U2751" s="217" t="str">
        <f t="shared" si="216"/>
        <v/>
      </c>
      <c r="V2751" s="215" t="s">
        <v>47</v>
      </c>
      <c r="W2751" s="102" t="s">
        <v>136</v>
      </c>
      <c r="X2751" s="102" t="s">
        <v>137</v>
      </c>
      <c r="Y2751" s="103" t="s">
        <v>138</v>
      </c>
      <c r="Z2751" s="103" t="s">
        <v>139</v>
      </c>
      <c r="AA2751" s="103" t="s">
        <v>47</v>
      </c>
      <c r="AB2751" s="103" t="s">
        <v>140</v>
      </c>
      <c r="AC2751" s="104" t="s">
        <v>141</v>
      </c>
    </row>
    <row r="2752" spans="1:29" ht="25.5" customHeight="1" x14ac:dyDescent="0.35">
      <c r="A2752" s="188"/>
      <c r="B2752" s="190"/>
      <c r="C2752" s="99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0"/>
      <c r="E2752" s="78" t="str">
        <f>IF(C2752="","",IFERROR(VLOOKUP(C2752,parametros!$A$11:$E$15,5,0),""))</f>
        <v/>
      </c>
      <c r="F2752" s="79" t="str">
        <f t="shared" si="212"/>
        <v/>
      </c>
      <c r="G2752" s="101"/>
      <c r="H2752" s="91">
        <f t="shared" si="213"/>
        <v>0</v>
      </c>
      <c r="I2752" s="91" t="str">
        <f t="shared" si="214"/>
        <v/>
      </c>
      <c r="J2752" s="91" t="str">
        <f t="shared" si="215"/>
        <v/>
      </c>
      <c r="K2752" s="92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2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58"/>
      <c r="U2752" s="217" t="str">
        <f t="shared" si="216"/>
        <v/>
      </c>
      <c r="V2752" s="215" t="s">
        <v>47</v>
      </c>
      <c r="W2752" s="102" t="s">
        <v>136</v>
      </c>
      <c r="X2752" s="102" t="s">
        <v>137</v>
      </c>
      <c r="Y2752" s="103" t="s">
        <v>138</v>
      </c>
      <c r="Z2752" s="103" t="s">
        <v>139</v>
      </c>
      <c r="AA2752" s="103" t="s">
        <v>47</v>
      </c>
      <c r="AB2752" s="103" t="s">
        <v>140</v>
      </c>
      <c r="AC2752" s="104" t="s">
        <v>141</v>
      </c>
    </row>
    <row r="2753" spans="1:29" ht="25.5" customHeight="1" x14ac:dyDescent="0.35">
      <c r="A2753" s="188"/>
      <c r="B2753" s="190"/>
      <c r="C2753" s="99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0"/>
      <c r="E2753" s="78" t="str">
        <f>IF(C2753="","",IFERROR(VLOOKUP(C2753,parametros!$A$11:$E$15,5,0),""))</f>
        <v/>
      </c>
      <c r="F2753" s="79" t="str">
        <f t="shared" si="212"/>
        <v/>
      </c>
      <c r="G2753" s="101"/>
      <c r="H2753" s="91">
        <f t="shared" si="213"/>
        <v>0</v>
      </c>
      <c r="I2753" s="91" t="str">
        <f t="shared" si="214"/>
        <v/>
      </c>
      <c r="J2753" s="91" t="str">
        <f t="shared" si="215"/>
        <v/>
      </c>
      <c r="K2753" s="92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2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58"/>
      <c r="U2753" s="217" t="str">
        <f t="shared" si="216"/>
        <v/>
      </c>
      <c r="V2753" s="215" t="s">
        <v>47</v>
      </c>
      <c r="W2753" s="102" t="s">
        <v>136</v>
      </c>
      <c r="X2753" s="102" t="s">
        <v>137</v>
      </c>
      <c r="Y2753" s="103" t="s">
        <v>138</v>
      </c>
      <c r="Z2753" s="103" t="s">
        <v>139</v>
      </c>
      <c r="AA2753" s="103" t="s">
        <v>47</v>
      </c>
      <c r="AB2753" s="103" t="s">
        <v>140</v>
      </c>
      <c r="AC2753" s="104" t="s">
        <v>141</v>
      </c>
    </row>
    <row r="2754" spans="1:29" ht="25.5" customHeight="1" x14ac:dyDescent="0.35">
      <c r="A2754" s="188"/>
      <c r="B2754" s="190"/>
      <c r="C2754" s="99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0"/>
      <c r="E2754" s="78" t="str">
        <f>IF(C2754="","",IFERROR(VLOOKUP(C2754,parametros!$A$11:$E$15,5,0),""))</f>
        <v/>
      </c>
      <c r="F2754" s="79" t="str">
        <f t="shared" ref="F2754:F2817" si="217">IF(OR(D2754="",E2754=""),"",ROUND(D2754*E2754,2))</f>
        <v/>
      </c>
      <c r="G2754" s="101"/>
      <c r="H2754" s="91">
        <f t="shared" ref="H2754:H2817" si="218">IF(G2754="Sim",IF(OR(F2754="",D2754="",L2754=""),"",IF(L2754="Sim",ROUND(F2754-D2754,2),0)),0)</f>
        <v>0</v>
      </c>
      <c r="I2754" s="91" t="str">
        <f t="shared" ref="I2754:I2817" si="219">IF(G2754="Sim",0,IF(OR(F2754="",L2754=""),"",F2754))</f>
        <v/>
      </c>
      <c r="J2754" s="91" t="str">
        <f t="shared" ref="J2754:J2817" si="220">IF(G2754="Sim",0,IF(OR(F2754="",D2754="",L2754=""),"",IF(L2754="Sim",ROUND(F2754-D2754,2),0)))</f>
        <v/>
      </c>
      <c r="K2754" s="92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2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58"/>
      <c r="U2754" s="217" t="str">
        <f t="shared" ref="U2754:U2817" si="221">IF(OR($D2754="",$H2754=""),"",ROUND($D2754+$H2754,2))</f>
        <v/>
      </c>
      <c r="V2754" s="215" t="s">
        <v>47</v>
      </c>
      <c r="W2754" s="102" t="s">
        <v>136</v>
      </c>
      <c r="X2754" s="102" t="s">
        <v>137</v>
      </c>
      <c r="Y2754" s="103" t="s">
        <v>138</v>
      </c>
      <c r="Z2754" s="103" t="s">
        <v>139</v>
      </c>
      <c r="AA2754" s="103" t="s">
        <v>47</v>
      </c>
      <c r="AB2754" s="103" t="s">
        <v>140</v>
      </c>
      <c r="AC2754" s="104" t="s">
        <v>141</v>
      </c>
    </row>
    <row r="2755" spans="1:29" ht="25.5" customHeight="1" x14ac:dyDescent="0.35">
      <c r="A2755" s="188"/>
      <c r="B2755" s="190"/>
      <c r="C2755" s="99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0"/>
      <c r="E2755" s="78" t="str">
        <f>IF(C2755="","",IFERROR(VLOOKUP(C2755,parametros!$A$11:$E$15,5,0),""))</f>
        <v/>
      </c>
      <c r="F2755" s="79" t="str">
        <f t="shared" si="217"/>
        <v/>
      </c>
      <c r="G2755" s="101"/>
      <c r="H2755" s="91">
        <f t="shared" si="218"/>
        <v>0</v>
      </c>
      <c r="I2755" s="91" t="str">
        <f t="shared" si="219"/>
        <v/>
      </c>
      <c r="J2755" s="91" t="str">
        <f t="shared" si="220"/>
        <v/>
      </c>
      <c r="K2755" s="92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2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58"/>
      <c r="U2755" s="217" t="str">
        <f t="shared" si="221"/>
        <v/>
      </c>
      <c r="V2755" s="215" t="s">
        <v>47</v>
      </c>
      <c r="W2755" s="102" t="s">
        <v>136</v>
      </c>
      <c r="X2755" s="102" t="s">
        <v>137</v>
      </c>
      <c r="Y2755" s="103" t="s">
        <v>138</v>
      </c>
      <c r="Z2755" s="103" t="s">
        <v>139</v>
      </c>
      <c r="AA2755" s="103" t="s">
        <v>47</v>
      </c>
      <c r="AB2755" s="103" t="s">
        <v>140</v>
      </c>
      <c r="AC2755" s="104" t="s">
        <v>141</v>
      </c>
    </row>
    <row r="2756" spans="1:29" ht="25.5" customHeight="1" x14ac:dyDescent="0.35">
      <c r="A2756" s="188"/>
      <c r="B2756" s="190"/>
      <c r="C2756" s="99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0"/>
      <c r="E2756" s="78" t="str">
        <f>IF(C2756="","",IFERROR(VLOOKUP(C2756,parametros!$A$11:$E$15,5,0),""))</f>
        <v/>
      </c>
      <c r="F2756" s="79" t="str">
        <f t="shared" si="217"/>
        <v/>
      </c>
      <c r="G2756" s="101"/>
      <c r="H2756" s="91">
        <f t="shared" si="218"/>
        <v>0</v>
      </c>
      <c r="I2756" s="91" t="str">
        <f t="shared" si="219"/>
        <v/>
      </c>
      <c r="J2756" s="91" t="str">
        <f t="shared" si="220"/>
        <v/>
      </c>
      <c r="K2756" s="92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2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58"/>
      <c r="U2756" s="217" t="str">
        <f t="shared" si="221"/>
        <v/>
      </c>
      <c r="V2756" s="215" t="s">
        <v>47</v>
      </c>
      <c r="W2756" s="102" t="s">
        <v>136</v>
      </c>
      <c r="X2756" s="102" t="s">
        <v>137</v>
      </c>
      <c r="Y2756" s="103" t="s">
        <v>138</v>
      </c>
      <c r="Z2756" s="103" t="s">
        <v>139</v>
      </c>
      <c r="AA2756" s="103" t="s">
        <v>47</v>
      </c>
      <c r="AB2756" s="103" t="s">
        <v>140</v>
      </c>
      <c r="AC2756" s="104" t="s">
        <v>141</v>
      </c>
    </row>
    <row r="2757" spans="1:29" ht="25.5" customHeight="1" x14ac:dyDescent="0.35">
      <c r="A2757" s="188"/>
      <c r="B2757" s="190"/>
      <c r="C2757" s="99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0"/>
      <c r="E2757" s="78" t="str">
        <f>IF(C2757="","",IFERROR(VLOOKUP(C2757,parametros!$A$11:$E$15,5,0),""))</f>
        <v/>
      </c>
      <c r="F2757" s="79" t="str">
        <f t="shared" si="217"/>
        <v/>
      </c>
      <c r="G2757" s="101"/>
      <c r="H2757" s="91">
        <f t="shared" si="218"/>
        <v>0</v>
      </c>
      <c r="I2757" s="91" t="str">
        <f t="shared" si="219"/>
        <v/>
      </c>
      <c r="J2757" s="91" t="str">
        <f t="shared" si="220"/>
        <v/>
      </c>
      <c r="K2757" s="92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2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58"/>
      <c r="U2757" s="217" t="str">
        <f t="shared" si="221"/>
        <v/>
      </c>
      <c r="V2757" s="215" t="s">
        <v>47</v>
      </c>
      <c r="W2757" s="102" t="s">
        <v>136</v>
      </c>
      <c r="X2757" s="102" t="s">
        <v>137</v>
      </c>
      <c r="Y2757" s="103" t="s">
        <v>138</v>
      </c>
      <c r="Z2757" s="103" t="s">
        <v>139</v>
      </c>
      <c r="AA2757" s="103" t="s">
        <v>47</v>
      </c>
      <c r="AB2757" s="103" t="s">
        <v>140</v>
      </c>
      <c r="AC2757" s="104" t="s">
        <v>141</v>
      </c>
    </row>
    <row r="2758" spans="1:29" ht="25.5" customHeight="1" x14ac:dyDescent="0.35">
      <c r="A2758" s="188"/>
      <c r="B2758" s="190"/>
      <c r="C2758" s="99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0"/>
      <c r="E2758" s="78" t="str">
        <f>IF(C2758="","",IFERROR(VLOOKUP(C2758,parametros!$A$11:$E$15,5,0),""))</f>
        <v/>
      </c>
      <c r="F2758" s="79" t="str">
        <f t="shared" si="217"/>
        <v/>
      </c>
      <c r="G2758" s="101"/>
      <c r="H2758" s="91">
        <f t="shared" si="218"/>
        <v>0</v>
      </c>
      <c r="I2758" s="91" t="str">
        <f t="shared" si="219"/>
        <v/>
      </c>
      <c r="J2758" s="91" t="str">
        <f t="shared" si="220"/>
        <v/>
      </c>
      <c r="K2758" s="92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2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58"/>
      <c r="U2758" s="217" t="str">
        <f t="shared" si="221"/>
        <v/>
      </c>
      <c r="V2758" s="215" t="s">
        <v>47</v>
      </c>
      <c r="W2758" s="102" t="s">
        <v>136</v>
      </c>
      <c r="X2758" s="102" t="s">
        <v>137</v>
      </c>
      <c r="Y2758" s="103" t="s">
        <v>138</v>
      </c>
      <c r="Z2758" s="103" t="s">
        <v>139</v>
      </c>
      <c r="AA2758" s="103" t="s">
        <v>47</v>
      </c>
      <c r="AB2758" s="103" t="s">
        <v>140</v>
      </c>
      <c r="AC2758" s="104" t="s">
        <v>141</v>
      </c>
    </row>
    <row r="2759" spans="1:29" ht="25.5" customHeight="1" x14ac:dyDescent="0.35">
      <c r="A2759" s="188"/>
      <c r="B2759" s="190"/>
      <c r="C2759" s="99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0"/>
      <c r="E2759" s="78" t="str">
        <f>IF(C2759="","",IFERROR(VLOOKUP(C2759,parametros!$A$11:$E$15,5,0),""))</f>
        <v/>
      </c>
      <c r="F2759" s="79" t="str">
        <f t="shared" si="217"/>
        <v/>
      </c>
      <c r="G2759" s="101"/>
      <c r="H2759" s="91">
        <f t="shared" si="218"/>
        <v>0</v>
      </c>
      <c r="I2759" s="91" t="str">
        <f t="shared" si="219"/>
        <v/>
      </c>
      <c r="J2759" s="91" t="str">
        <f t="shared" si="220"/>
        <v/>
      </c>
      <c r="K2759" s="92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2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58"/>
      <c r="U2759" s="217" t="str">
        <f t="shared" si="221"/>
        <v/>
      </c>
      <c r="V2759" s="215" t="s">
        <v>47</v>
      </c>
      <c r="W2759" s="102" t="s">
        <v>136</v>
      </c>
      <c r="X2759" s="102" t="s">
        <v>137</v>
      </c>
      <c r="Y2759" s="103" t="s">
        <v>138</v>
      </c>
      <c r="Z2759" s="103" t="s">
        <v>139</v>
      </c>
      <c r="AA2759" s="103" t="s">
        <v>47</v>
      </c>
      <c r="AB2759" s="103" t="s">
        <v>140</v>
      </c>
      <c r="AC2759" s="104" t="s">
        <v>141</v>
      </c>
    </row>
    <row r="2760" spans="1:29" ht="25.5" customHeight="1" x14ac:dyDescent="0.35">
      <c r="A2760" s="188"/>
      <c r="B2760" s="190"/>
      <c r="C2760" s="99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0"/>
      <c r="E2760" s="78" t="str">
        <f>IF(C2760="","",IFERROR(VLOOKUP(C2760,parametros!$A$11:$E$15,5,0),""))</f>
        <v/>
      </c>
      <c r="F2760" s="79" t="str">
        <f t="shared" si="217"/>
        <v/>
      </c>
      <c r="G2760" s="101"/>
      <c r="H2760" s="91">
        <f t="shared" si="218"/>
        <v>0</v>
      </c>
      <c r="I2760" s="91" t="str">
        <f t="shared" si="219"/>
        <v/>
      </c>
      <c r="J2760" s="91" t="str">
        <f t="shared" si="220"/>
        <v/>
      </c>
      <c r="K2760" s="92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2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58"/>
      <c r="U2760" s="217" t="str">
        <f t="shared" si="221"/>
        <v/>
      </c>
      <c r="V2760" s="215" t="s">
        <v>47</v>
      </c>
      <c r="W2760" s="102" t="s">
        <v>136</v>
      </c>
      <c r="X2760" s="102" t="s">
        <v>137</v>
      </c>
      <c r="Y2760" s="103" t="s">
        <v>138</v>
      </c>
      <c r="Z2760" s="103" t="s">
        <v>139</v>
      </c>
      <c r="AA2760" s="103" t="s">
        <v>47</v>
      </c>
      <c r="AB2760" s="103" t="s">
        <v>140</v>
      </c>
      <c r="AC2760" s="104" t="s">
        <v>141</v>
      </c>
    </row>
    <row r="2761" spans="1:29" ht="25.5" customHeight="1" x14ac:dyDescent="0.35">
      <c r="A2761" s="188"/>
      <c r="B2761" s="190"/>
      <c r="C2761" s="99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0"/>
      <c r="E2761" s="78" t="str">
        <f>IF(C2761="","",IFERROR(VLOOKUP(C2761,parametros!$A$11:$E$15,5,0),""))</f>
        <v/>
      </c>
      <c r="F2761" s="79" t="str">
        <f t="shared" si="217"/>
        <v/>
      </c>
      <c r="G2761" s="101"/>
      <c r="H2761" s="91">
        <f t="shared" si="218"/>
        <v>0</v>
      </c>
      <c r="I2761" s="91" t="str">
        <f t="shared" si="219"/>
        <v/>
      </c>
      <c r="J2761" s="91" t="str">
        <f t="shared" si="220"/>
        <v/>
      </c>
      <c r="K2761" s="92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2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58"/>
      <c r="U2761" s="217" t="str">
        <f t="shared" si="221"/>
        <v/>
      </c>
      <c r="V2761" s="215" t="s">
        <v>47</v>
      </c>
      <c r="W2761" s="102" t="s">
        <v>136</v>
      </c>
      <c r="X2761" s="102" t="s">
        <v>137</v>
      </c>
      <c r="Y2761" s="103" t="s">
        <v>138</v>
      </c>
      <c r="Z2761" s="103" t="s">
        <v>139</v>
      </c>
      <c r="AA2761" s="103" t="s">
        <v>47</v>
      </c>
      <c r="AB2761" s="103" t="s">
        <v>140</v>
      </c>
      <c r="AC2761" s="104" t="s">
        <v>141</v>
      </c>
    </row>
    <row r="2762" spans="1:29" ht="25.5" customHeight="1" x14ac:dyDescent="0.35">
      <c r="A2762" s="188"/>
      <c r="B2762" s="190"/>
      <c r="C2762" s="99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0"/>
      <c r="E2762" s="78" t="str">
        <f>IF(C2762="","",IFERROR(VLOOKUP(C2762,parametros!$A$11:$E$15,5,0),""))</f>
        <v/>
      </c>
      <c r="F2762" s="79" t="str">
        <f t="shared" si="217"/>
        <v/>
      </c>
      <c r="G2762" s="101"/>
      <c r="H2762" s="91">
        <f t="shared" si="218"/>
        <v>0</v>
      </c>
      <c r="I2762" s="91" t="str">
        <f t="shared" si="219"/>
        <v/>
      </c>
      <c r="J2762" s="91" t="str">
        <f t="shared" si="220"/>
        <v/>
      </c>
      <c r="K2762" s="92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2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58"/>
      <c r="U2762" s="217" t="str">
        <f t="shared" si="221"/>
        <v/>
      </c>
      <c r="V2762" s="215" t="s">
        <v>47</v>
      </c>
      <c r="W2762" s="102" t="s">
        <v>136</v>
      </c>
      <c r="X2762" s="102" t="s">
        <v>137</v>
      </c>
      <c r="Y2762" s="103" t="s">
        <v>138</v>
      </c>
      <c r="Z2762" s="103" t="s">
        <v>139</v>
      </c>
      <c r="AA2762" s="103" t="s">
        <v>47</v>
      </c>
      <c r="AB2762" s="103" t="s">
        <v>140</v>
      </c>
      <c r="AC2762" s="104" t="s">
        <v>141</v>
      </c>
    </row>
    <row r="2763" spans="1:29" ht="25.5" customHeight="1" x14ac:dyDescent="0.35">
      <c r="A2763" s="188"/>
      <c r="B2763" s="190"/>
      <c r="C2763" s="99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0"/>
      <c r="E2763" s="78" t="str">
        <f>IF(C2763="","",IFERROR(VLOOKUP(C2763,parametros!$A$11:$E$15,5,0),""))</f>
        <v/>
      </c>
      <c r="F2763" s="79" t="str">
        <f t="shared" si="217"/>
        <v/>
      </c>
      <c r="G2763" s="101"/>
      <c r="H2763" s="91">
        <f t="shared" si="218"/>
        <v>0</v>
      </c>
      <c r="I2763" s="91" t="str">
        <f t="shared" si="219"/>
        <v/>
      </c>
      <c r="J2763" s="91" t="str">
        <f t="shared" si="220"/>
        <v/>
      </c>
      <c r="K2763" s="92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2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58"/>
      <c r="U2763" s="217" t="str">
        <f t="shared" si="221"/>
        <v/>
      </c>
      <c r="V2763" s="215" t="s">
        <v>47</v>
      </c>
      <c r="W2763" s="102" t="s">
        <v>136</v>
      </c>
      <c r="X2763" s="102" t="s">
        <v>137</v>
      </c>
      <c r="Y2763" s="103" t="s">
        <v>138</v>
      </c>
      <c r="Z2763" s="103" t="s">
        <v>139</v>
      </c>
      <c r="AA2763" s="103" t="s">
        <v>47</v>
      </c>
      <c r="AB2763" s="103" t="s">
        <v>140</v>
      </c>
      <c r="AC2763" s="104" t="s">
        <v>141</v>
      </c>
    </row>
    <row r="2764" spans="1:29" ht="25.5" customHeight="1" x14ac:dyDescent="0.35">
      <c r="A2764" s="188"/>
      <c r="B2764" s="190"/>
      <c r="C2764" s="99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0"/>
      <c r="E2764" s="78" t="str">
        <f>IF(C2764="","",IFERROR(VLOOKUP(C2764,parametros!$A$11:$E$15,5,0),""))</f>
        <v/>
      </c>
      <c r="F2764" s="79" t="str">
        <f t="shared" si="217"/>
        <v/>
      </c>
      <c r="G2764" s="101"/>
      <c r="H2764" s="91">
        <f t="shared" si="218"/>
        <v>0</v>
      </c>
      <c r="I2764" s="91" t="str">
        <f t="shared" si="219"/>
        <v/>
      </c>
      <c r="J2764" s="91" t="str">
        <f t="shared" si="220"/>
        <v/>
      </c>
      <c r="K2764" s="92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2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58"/>
      <c r="U2764" s="217" t="str">
        <f t="shared" si="221"/>
        <v/>
      </c>
      <c r="V2764" s="215" t="s">
        <v>47</v>
      </c>
      <c r="W2764" s="102" t="s">
        <v>136</v>
      </c>
      <c r="X2764" s="102" t="s">
        <v>137</v>
      </c>
      <c r="Y2764" s="103" t="s">
        <v>138</v>
      </c>
      <c r="Z2764" s="103" t="s">
        <v>139</v>
      </c>
      <c r="AA2764" s="103" t="s">
        <v>47</v>
      </c>
      <c r="AB2764" s="103" t="s">
        <v>140</v>
      </c>
      <c r="AC2764" s="104" t="s">
        <v>141</v>
      </c>
    </row>
    <row r="2765" spans="1:29" ht="25.5" customHeight="1" x14ac:dyDescent="0.35">
      <c r="A2765" s="188"/>
      <c r="B2765" s="190"/>
      <c r="C2765" s="99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0"/>
      <c r="E2765" s="78" t="str">
        <f>IF(C2765="","",IFERROR(VLOOKUP(C2765,parametros!$A$11:$E$15,5,0),""))</f>
        <v/>
      </c>
      <c r="F2765" s="79" t="str">
        <f t="shared" si="217"/>
        <v/>
      </c>
      <c r="G2765" s="101"/>
      <c r="H2765" s="91">
        <f t="shared" si="218"/>
        <v>0</v>
      </c>
      <c r="I2765" s="91" t="str">
        <f t="shared" si="219"/>
        <v/>
      </c>
      <c r="J2765" s="91" t="str">
        <f t="shared" si="220"/>
        <v/>
      </c>
      <c r="K2765" s="92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2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58"/>
      <c r="U2765" s="217" t="str">
        <f t="shared" si="221"/>
        <v/>
      </c>
      <c r="V2765" s="215" t="s">
        <v>47</v>
      </c>
      <c r="W2765" s="102" t="s">
        <v>136</v>
      </c>
      <c r="X2765" s="102" t="s">
        <v>137</v>
      </c>
      <c r="Y2765" s="103" t="s">
        <v>138</v>
      </c>
      <c r="Z2765" s="103" t="s">
        <v>139</v>
      </c>
      <c r="AA2765" s="103" t="s">
        <v>47</v>
      </c>
      <c r="AB2765" s="103" t="s">
        <v>140</v>
      </c>
      <c r="AC2765" s="104" t="s">
        <v>141</v>
      </c>
    </row>
    <row r="2766" spans="1:29" ht="25.5" customHeight="1" x14ac:dyDescent="0.35">
      <c r="A2766" s="188"/>
      <c r="B2766" s="190"/>
      <c r="C2766" s="99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0"/>
      <c r="E2766" s="78" t="str">
        <f>IF(C2766="","",IFERROR(VLOOKUP(C2766,parametros!$A$11:$E$15,5,0),""))</f>
        <v/>
      </c>
      <c r="F2766" s="79" t="str">
        <f t="shared" si="217"/>
        <v/>
      </c>
      <c r="G2766" s="101"/>
      <c r="H2766" s="91">
        <f t="shared" si="218"/>
        <v>0</v>
      </c>
      <c r="I2766" s="91" t="str">
        <f t="shared" si="219"/>
        <v/>
      </c>
      <c r="J2766" s="91" t="str">
        <f t="shared" si="220"/>
        <v/>
      </c>
      <c r="K2766" s="92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2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58"/>
      <c r="U2766" s="217" t="str">
        <f t="shared" si="221"/>
        <v/>
      </c>
      <c r="V2766" s="215" t="s">
        <v>47</v>
      </c>
      <c r="W2766" s="102" t="s">
        <v>136</v>
      </c>
      <c r="X2766" s="102" t="s">
        <v>137</v>
      </c>
      <c r="Y2766" s="103" t="s">
        <v>138</v>
      </c>
      <c r="Z2766" s="103" t="s">
        <v>139</v>
      </c>
      <c r="AA2766" s="103" t="s">
        <v>47</v>
      </c>
      <c r="AB2766" s="103" t="s">
        <v>140</v>
      </c>
      <c r="AC2766" s="104" t="s">
        <v>141</v>
      </c>
    </row>
    <row r="2767" spans="1:29" ht="25.5" customHeight="1" x14ac:dyDescent="0.35">
      <c r="A2767" s="188"/>
      <c r="B2767" s="190"/>
      <c r="C2767" s="99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0"/>
      <c r="E2767" s="78" t="str">
        <f>IF(C2767="","",IFERROR(VLOOKUP(C2767,parametros!$A$11:$E$15,5,0),""))</f>
        <v/>
      </c>
      <c r="F2767" s="79" t="str">
        <f t="shared" si="217"/>
        <v/>
      </c>
      <c r="G2767" s="101"/>
      <c r="H2767" s="91">
        <f t="shared" si="218"/>
        <v>0</v>
      </c>
      <c r="I2767" s="91" t="str">
        <f t="shared" si="219"/>
        <v/>
      </c>
      <c r="J2767" s="91" t="str">
        <f t="shared" si="220"/>
        <v/>
      </c>
      <c r="K2767" s="92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2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58"/>
      <c r="U2767" s="217" t="str">
        <f t="shared" si="221"/>
        <v/>
      </c>
      <c r="V2767" s="215" t="s">
        <v>47</v>
      </c>
      <c r="W2767" s="102" t="s">
        <v>136</v>
      </c>
      <c r="X2767" s="102" t="s">
        <v>137</v>
      </c>
      <c r="Y2767" s="103" t="s">
        <v>138</v>
      </c>
      <c r="Z2767" s="103" t="s">
        <v>139</v>
      </c>
      <c r="AA2767" s="103" t="s">
        <v>47</v>
      </c>
      <c r="AB2767" s="103" t="s">
        <v>140</v>
      </c>
      <c r="AC2767" s="104" t="s">
        <v>141</v>
      </c>
    </row>
    <row r="2768" spans="1:29" ht="25.5" customHeight="1" x14ac:dyDescent="0.35">
      <c r="A2768" s="188"/>
      <c r="B2768" s="190"/>
      <c r="C2768" s="99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0"/>
      <c r="E2768" s="78" t="str">
        <f>IF(C2768="","",IFERROR(VLOOKUP(C2768,parametros!$A$11:$E$15,5,0),""))</f>
        <v/>
      </c>
      <c r="F2768" s="79" t="str">
        <f t="shared" si="217"/>
        <v/>
      </c>
      <c r="G2768" s="101"/>
      <c r="H2768" s="91">
        <f t="shared" si="218"/>
        <v>0</v>
      </c>
      <c r="I2768" s="91" t="str">
        <f t="shared" si="219"/>
        <v/>
      </c>
      <c r="J2768" s="91" t="str">
        <f t="shared" si="220"/>
        <v/>
      </c>
      <c r="K2768" s="92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2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58"/>
      <c r="U2768" s="217" t="str">
        <f t="shared" si="221"/>
        <v/>
      </c>
      <c r="V2768" s="215" t="s">
        <v>47</v>
      </c>
      <c r="W2768" s="102" t="s">
        <v>136</v>
      </c>
      <c r="X2768" s="102" t="s">
        <v>137</v>
      </c>
      <c r="Y2768" s="103" t="s">
        <v>138</v>
      </c>
      <c r="Z2768" s="103" t="s">
        <v>139</v>
      </c>
      <c r="AA2768" s="103" t="s">
        <v>47</v>
      </c>
      <c r="AB2768" s="103" t="s">
        <v>140</v>
      </c>
      <c r="AC2768" s="104" t="s">
        <v>141</v>
      </c>
    </row>
    <row r="2769" spans="1:29" ht="25.5" customHeight="1" x14ac:dyDescent="0.35">
      <c r="A2769" s="188"/>
      <c r="B2769" s="190"/>
      <c r="C2769" s="99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0"/>
      <c r="E2769" s="78" t="str">
        <f>IF(C2769="","",IFERROR(VLOOKUP(C2769,parametros!$A$11:$E$15,5,0),""))</f>
        <v/>
      </c>
      <c r="F2769" s="79" t="str">
        <f t="shared" si="217"/>
        <v/>
      </c>
      <c r="G2769" s="101"/>
      <c r="H2769" s="91">
        <f t="shared" si="218"/>
        <v>0</v>
      </c>
      <c r="I2769" s="91" t="str">
        <f t="shared" si="219"/>
        <v/>
      </c>
      <c r="J2769" s="91" t="str">
        <f t="shared" si="220"/>
        <v/>
      </c>
      <c r="K2769" s="92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2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58"/>
      <c r="U2769" s="217" t="str">
        <f t="shared" si="221"/>
        <v/>
      </c>
      <c r="V2769" s="215" t="s">
        <v>47</v>
      </c>
      <c r="W2769" s="102" t="s">
        <v>136</v>
      </c>
      <c r="X2769" s="102" t="s">
        <v>137</v>
      </c>
      <c r="Y2769" s="103" t="s">
        <v>138</v>
      </c>
      <c r="Z2769" s="103" t="s">
        <v>139</v>
      </c>
      <c r="AA2769" s="103" t="s">
        <v>47</v>
      </c>
      <c r="AB2769" s="103" t="s">
        <v>140</v>
      </c>
      <c r="AC2769" s="104" t="s">
        <v>141</v>
      </c>
    </row>
    <row r="2770" spans="1:29" ht="25.5" customHeight="1" x14ac:dyDescent="0.35">
      <c r="A2770" s="188"/>
      <c r="B2770" s="190"/>
      <c r="C2770" s="99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0"/>
      <c r="E2770" s="78" t="str">
        <f>IF(C2770="","",IFERROR(VLOOKUP(C2770,parametros!$A$11:$E$15,5,0),""))</f>
        <v/>
      </c>
      <c r="F2770" s="79" t="str">
        <f t="shared" si="217"/>
        <v/>
      </c>
      <c r="G2770" s="101"/>
      <c r="H2770" s="91">
        <f t="shared" si="218"/>
        <v>0</v>
      </c>
      <c r="I2770" s="91" t="str">
        <f t="shared" si="219"/>
        <v/>
      </c>
      <c r="J2770" s="91" t="str">
        <f t="shared" si="220"/>
        <v/>
      </c>
      <c r="K2770" s="92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2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58"/>
      <c r="U2770" s="217" t="str">
        <f t="shared" si="221"/>
        <v/>
      </c>
      <c r="V2770" s="215" t="s">
        <v>47</v>
      </c>
      <c r="W2770" s="102" t="s">
        <v>136</v>
      </c>
      <c r="X2770" s="102" t="s">
        <v>137</v>
      </c>
      <c r="Y2770" s="103" t="s">
        <v>138</v>
      </c>
      <c r="Z2770" s="103" t="s">
        <v>139</v>
      </c>
      <c r="AA2770" s="103" t="s">
        <v>47</v>
      </c>
      <c r="AB2770" s="103" t="s">
        <v>140</v>
      </c>
      <c r="AC2770" s="104" t="s">
        <v>141</v>
      </c>
    </row>
    <row r="2771" spans="1:29" ht="25.5" customHeight="1" x14ac:dyDescent="0.35">
      <c r="A2771" s="188"/>
      <c r="B2771" s="190"/>
      <c r="C2771" s="99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0"/>
      <c r="E2771" s="78" t="str">
        <f>IF(C2771="","",IFERROR(VLOOKUP(C2771,parametros!$A$11:$E$15,5,0),""))</f>
        <v/>
      </c>
      <c r="F2771" s="79" t="str">
        <f t="shared" si="217"/>
        <v/>
      </c>
      <c r="G2771" s="101"/>
      <c r="H2771" s="91">
        <f t="shared" si="218"/>
        <v>0</v>
      </c>
      <c r="I2771" s="91" t="str">
        <f t="shared" si="219"/>
        <v/>
      </c>
      <c r="J2771" s="91" t="str">
        <f t="shared" si="220"/>
        <v/>
      </c>
      <c r="K2771" s="92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2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58"/>
      <c r="U2771" s="217" t="str">
        <f t="shared" si="221"/>
        <v/>
      </c>
      <c r="V2771" s="215" t="s">
        <v>47</v>
      </c>
      <c r="W2771" s="102" t="s">
        <v>136</v>
      </c>
      <c r="X2771" s="102" t="s">
        <v>137</v>
      </c>
      <c r="Y2771" s="103" t="s">
        <v>138</v>
      </c>
      <c r="Z2771" s="103" t="s">
        <v>139</v>
      </c>
      <c r="AA2771" s="103" t="s">
        <v>47</v>
      </c>
      <c r="AB2771" s="103" t="s">
        <v>140</v>
      </c>
      <c r="AC2771" s="104" t="s">
        <v>141</v>
      </c>
    </row>
    <row r="2772" spans="1:29" ht="25.5" customHeight="1" x14ac:dyDescent="0.35">
      <c r="A2772" s="188"/>
      <c r="B2772" s="190"/>
      <c r="C2772" s="99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0"/>
      <c r="E2772" s="78" t="str">
        <f>IF(C2772="","",IFERROR(VLOOKUP(C2772,parametros!$A$11:$E$15,5,0),""))</f>
        <v/>
      </c>
      <c r="F2772" s="79" t="str">
        <f t="shared" si="217"/>
        <v/>
      </c>
      <c r="G2772" s="101"/>
      <c r="H2772" s="91">
        <f t="shared" si="218"/>
        <v>0</v>
      </c>
      <c r="I2772" s="91" t="str">
        <f t="shared" si="219"/>
        <v/>
      </c>
      <c r="J2772" s="91" t="str">
        <f t="shared" si="220"/>
        <v/>
      </c>
      <c r="K2772" s="92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2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58"/>
      <c r="U2772" s="217" t="str">
        <f t="shared" si="221"/>
        <v/>
      </c>
      <c r="V2772" s="215" t="s">
        <v>47</v>
      </c>
      <c r="W2772" s="102" t="s">
        <v>136</v>
      </c>
      <c r="X2772" s="102" t="s">
        <v>137</v>
      </c>
      <c r="Y2772" s="103" t="s">
        <v>138</v>
      </c>
      <c r="Z2772" s="103" t="s">
        <v>139</v>
      </c>
      <c r="AA2772" s="103" t="s">
        <v>47</v>
      </c>
      <c r="AB2772" s="103" t="s">
        <v>140</v>
      </c>
      <c r="AC2772" s="104" t="s">
        <v>141</v>
      </c>
    </row>
    <row r="2773" spans="1:29" ht="25.5" customHeight="1" x14ac:dyDescent="0.35">
      <c r="A2773" s="188"/>
      <c r="B2773" s="190"/>
      <c r="C2773" s="99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0"/>
      <c r="E2773" s="78" t="str">
        <f>IF(C2773="","",IFERROR(VLOOKUP(C2773,parametros!$A$11:$E$15,5,0),""))</f>
        <v/>
      </c>
      <c r="F2773" s="79" t="str">
        <f t="shared" si="217"/>
        <v/>
      </c>
      <c r="G2773" s="101"/>
      <c r="H2773" s="91">
        <f t="shared" si="218"/>
        <v>0</v>
      </c>
      <c r="I2773" s="91" t="str">
        <f t="shared" si="219"/>
        <v/>
      </c>
      <c r="J2773" s="91" t="str">
        <f t="shared" si="220"/>
        <v/>
      </c>
      <c r="K2773" s="92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2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58"/>
      <c r="U2773" s="217" t="str">
        <f t="shared" si="221"/>
        <v/>
      </c>
      <c r="V2773" s="215" t="s">
        <v>47</v>
      </c>
      <c r="W2773" s="102" t="s">
        <v>136</v>
      </c>
      <c r="X2773" s="102" t="s">
        <v>137</v>
      </c>
      <c r="Y2773" s="103" t="s">
        <v>138</v>
      </c>
      <c r="Z2773" s="103" t="s">
        <v>139</v>
      </c>
      <c r="AA2773" s="103" t="s">
        <v>47</v>
      </c>
      <c r="AB2773" s="103" t="s">
        <v>140</v>
      </c>
      <c r="AC2773" s="104" t="s">
        <v>141</v>
      </c>
    </row>
    <row r="2774" spans="1:29" ht="25.5" customHeight="1" x14ac:dyDescent="0.35">
      <c r="A2774" s="188"/>
      <c r="B2774" s="190"/>
      <c r="C2774" s="99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0"/>
      <c r="E2774" s="78" t="str">
        <f>IF(C2774="","",IFERROR(VLOOKUP(C2774,parametros!$A$11:$E$15,5,0),""))</f>
        <v/>
      </c>
      <c r="F2774" s="79" t="str">
        <f t="shared" si="217"/>
        <v/>
      </c>
      <c r="G2774" s="101"/>
      <c r="H2774" s="91">
        <f t="shared" si="218"/>
        <v>0</v>
      </c>
      <c r="I2774" s="91" t="str">
        <f t="shared" si="219"/>
        <v/>
      </c>
      <c r="J2774" s="91" t="str">
        <f t="shared" si="220"/>
        <v/>
      </c>
      <c r="K2774" s="92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2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58"/>
      <c r="U2774" s="217" t="str">
        <f t="shared" si="221"/>
        <v/>
      </c>
      <c r="V2774" s="215" t="s">
        <v>47</v>
      </c>
      <c r="W2774" s="102" t="s">
        <v>136</v>
      </c>
      <c r="X2774" s="102" t="s">
        <v>137</v>
      </c>
      <c r="Y2774" s="103" t="s">
        <v>138</v>
      </c>
      <c r="Z2774" s="103" t="s">
        <v>139</v>
      </c>
      <c r="AA2774" s="103" t="s">
        <v>47</v>
      </c>
      <c r="AB2774" s="103" t="s">
        <v>140</v>
      </c>
      <c r="AC2774" s="104" t="s">
        <v>141</v>
      </c>
    </row>
    <row r="2775" spans="1:29" ht="25.5" customHeight="1" x14ac:dyDescent="0.35">
      <c r="A2775" s="188"/>
      <c r="B2775" s="190"/>
      <c r="C2775" s="99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0"/>
      <c r="E2775" s="78" t="str">
        <f>IF(C2775="","",IFERROR(VLOOKUP(C2775,parametros!$A$11:$E$15,5,0),""))</f>
        <v/>
      </c>
      <c r="F2775" s="79" t="str">
        <f t="shared" si="217"/>
        <v/>
      </c>
      <c r="G2775" s="101"/>
      <c r="H2775" s="91">
        <f t="shared" si="218"/>
        <v>0</v>
      </c>
      <c r="I2775" s="91" t="str">
        <f t="shared" si="219"/>
        <v/>
      </c>
      <c r="J2775" s="91" t="str">
        <f t="shared" si="220"/>
        <v/>
      </c>
      <c r="K2775" s="92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2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58"/>
      <c r="U2775" s="217" t="str">
        <f t="shared" si="221"/>
        <v/>
      </c>
      <c r="V2775" s="215" t="s">
        <v>47</v>
      </c>
      <c r="W2775" s="102" t="s">
        <v>136</v>
      </c>
      <c r="X2775" s="102" t="s">
        <v>137</v>
      </c>
      <c r="Y2775" s="103" t="s">
        <v>138</v>
      </c>
      <c r="Z2775" s="103" t="s">
        <v>139</v>
      </c>
      <c r="AA2775" s="103" t="s">
        <v>47</v>
      </c>
      <c r="AB2775" s="103" t="s">
        <v>140</v>
      </c>
      <c r="AC2775" s="104" t="s">
        <v>141</v>
      </c>
    </row>
    <row r="2776" spans="1:29" ht="25.5" customHeight="1" x14ac:dyDescent="0.35">
      <c r="A2776" s="188"/>
      <c r="B2776" s="190"/>
      <c r="C2776" s="99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0"/>
      <c r="E2776" s="78" t="str">
        <f>IF(C2776="","",IFERROR(VLOOKUP(C2776,parametros!$A$11:$E$15,5,0),""))</f>
        <v/>
      </c>
      <c r="F2776" s="79" t="str">
        <f t="shared" si="217"/>
        <v/>
      </c>
      <c r="G2776" s="101"/>
      <c r="H2776" s="91">
        <f t="shared" si="218"/>
        <v>0</v>
      </c>
      <c r="I2776" s="91" t="str">
        <f t="shared" si="219"/>
        <v/>
      </c>
      <c r="J2776" s="91" t="str">
        <f t="shared" si="220"/>
        <v/>
      </c>
      <c r="K2776" s="92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2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58"/>
      <c r="U2776" s="217" t="str">
        <f t="shared" si="221"/>
        <v/>
      </c>
      <c r="V2776" s="215" t="s">
        <v>47</v>
      </c>
      <c r="W2776" s="102" t="s">
        <v>136</v>
      </c>
      <c r="X2776" s="102" t="s">
        <v>137</v>
      </c>
      <c r="Y2776" s="103" t="s">
        <v>138</v>
      </c>
      <c r="Z2776" s="103" t="s">
        <v>139</v>
      </c>
      <c r="AA2776" s="103" t="s">
        <v>47</v>
      </c>
      <c r="AB2776" s="103" t="s">
        <v>140</v>
      </c>
      <c r="AC2776" s="104" t="s">
        <v>141</v>
      </c>
    </row>
    <row r="2777" spans="1:29" ht="25.5" customHeight="1" x14ac:dyDescent="0.35">
      <c r="A2777" s="188"/>
      <c r="B2777" s="190"/>
      <c r="C2777" s="99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0"/>
      <c r="E2777" s="78" t="str">
        <f>IF(C2777="","",IFERROR(VLOOKUP(C2777,parametros!$A$11:$E$15,5,0),""))</f>
        <v/>
      </c>
      <c r="F2777" s="79" t="str">
        <f t="shared" si="217"/>
        <v/>
      </c>
      <c r="G2777" s="101"/>
      <c r="H2777" s="91">
        <f t="shared" si="218"/>
        <v>0</v>
      </c>
      <c r="I2777" s="91" t="str">
        <f t="shared" si="219"/>
        <v/>
      </c>
      <c r="J2777" s="91" t="str">
        <f t="shared" si="220"/>
        <v/>
      </c>
      <c r="K2777" s="92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2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58"/>
      <c r="U2777" s="217" t="str">
        <f t="shared" si="221"/>
        <v/>
      </c>
      <c r="V2777" s="215" t="s">
        <v>47</v>
      </c>
      <c r="W2777" s="102" t="s">
        <v>136</v>
      </c>
      <c r="X2777" s="102" t="s">
        <v>137</v>
      </c>
      <c r="Y2777" s="103" t="s">
        <v>138</v>
      </c>
      <c r="Z2777" s="103" t="s">
        <v>139</v>
      </c>
      <c r="AA2777" s="103" t="s">
        <v>47</v>
      </c>
      <c r="AB2777" s="103" t="s">
        <v>140</v>
      </c>
      <c r="AC2777" s="104" t="s">
        <v>141</v>
      </c>
    </row>
    <row r="2778" spans="1:29" ht="25.5" customHeight="1" x14ac:dyDescent="0.35">
      <c r="A2778" s="188"/>
      <c r="B2778" s="190"/>
      <c r="C2778" s="99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0"/>
      <c r="E2778" s="78" t="str">
        <f>IF(C2778="","",IFERROR(VLOOKUP(C2778,parametros!$A$11:$E$15,5,0),""))</f>
        <v/>
      </c>
      <c r="F2778" s="79" t="str">
        <f t="shared" si="217"/>
        <v/>
      </c>
      <c r="G2778" s="101"/>
      <c r="H2778" s="91">
        <f t="shared" si="218"/>
        <v>0</v>
      </c>
      <c r="I2778" s="91" t="str">
        <f t="shared" si="219"/>
        <v/>
      </c>
      <c r="J2778" s="91" t="str">
        <f t="shared" si="220"/>
        <v/>
      </c>
      <c r="K2778" s="92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2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58"/>
      <c r="U2778" s="217" t="str">
        <f t="shared" si="221"/>
        <v/>
      </c>
      <c r="V2778" s="215" t="s">
        <v>47</v>
      </c>
      <c r="W2778" s="102" t="s">
        <v>136</v>
      </c>
      <c r="X2778" s="102" t="s">
        <v>137</v>
      </c>
      <c r="Y2778" s="103" t="s">
        <v>138</v>
      </c>
      <c r="Z2778" s="103" t="s">
        <v>139</v>
      </c>
      <c r="AA2778" s="103" t="s">
        <v>47</v>
      </c>
      <c r="AB2778" s="103" t="s">
        <v>140</v>
      </c>
      <c r="AC2778" s="104" t="s">
        <v>141</v>
      </c>
    </row>
    <row r="2779" spans="1:29" ht="25.5" customHeight="1" x14ac:dyDescent="0.35">
      <c r="A2779" s="188"/>
      <c r="B2779" s="190"/>
      <c r="C2779" s="99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0"/>
      <c r="E2779" s="78" t="str">
        <f>IF(C2779="","",IFERROR(VLOOKUP(C2779,parametros!$A$11:$E$15,5,0),""))</f>
        <v/>
      </c>
      <c r="F2779" s="79" t="str">
        <f t="shared" si="217"/>
        <v/>
      </c>
      <c r="G2779" s="101"/>
      <c r="H2779" s="91">
        <f t="shared" si="218"/>
        <v>0</v>
      </c>
      <c r="I2779" s="91" t="str">
        <f t="shared" si="219"/>
        <v/>
      </c>
      <c r="J2779" s="91" t="str">
        <f t="shared" si="220"/>
        <v/>
      </c>
      <c r="K2779" s="92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2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58"/>
      <c r="U2779" s="217" t="str">
        <f t="shared" si="221"/>
        <v/>
      </c>
      <c r="V2779" s="215" t="s">
        <v>47</v>
      </c>
      <c r="W2779" s="102" t="s">
        <v>136</v>
      </c>
      <c r="X2779" s="102" t="s">
        <v>137</v>
      </c>
      <c r="Y2779" s="103" t="s">
        <v>138</v>
      </c>
      <c r="Z2779" s="103" t="s">
        <v>139</v>
      </c>
      <c r="AA2779" s="103" t="s">
        <v>47</v>
      </c>
      <c r="AB2779" s="103" t="s">
        <v>140</v>
      </c>
      <c r="AC2779" s="104" t="s">
        <v>141</v>
      </c>
    </row>
    <row r="2780" spans="1:29" ht="25.5" customHeight="1" x14ac:dyDescent="0.35">
      <c r="A2780" s="188"/>
      <c r="B2780" s="190"/>
      <c r="C2780" s="99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0"/>
      <c r="E2780" s="78" t="str">
        <f>IF(C2780="","",IFERROR(VLOOKUP(C2780,parametros!$A$11:$E$15,5,0),""))</f>
        <v/>
      </c>
      <c r="F2780" s="79" t="str">
        <f t="shared" si="217"/>
        <v/>
      </c>
      <c r="G2780" s="101"/>
      <c r="H2780" s="91">
        <f t="shared" si="218"/>
        <v>0</v>
      </c>
      <c r="I2780" s="91" t="str">
        <f t="shared" si="219"/>
        <v/>
      </c>
      <c r="J2780" s="91" t="str">
        <f t="shared" si="220"/>
        <v/>
      </c>
      <c r="K2780" s="92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2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58"/>
      <c r="U2780" s="217" t="str">
        <f t="shared" si="221"/>
        <v/>
      </c>
      <c r="V2780" s="215" t="s">
        <v>47</v>
      </c>
      <c r="W2780" s="102" t="s">
        <v>136</v>
      </c>
      <c r="X2780" s="102" t="s">
        <v>137</v>
      </c>
      <c r="Y2780" s="103" t="s">
        <v>138</v>
      </c>
      <c r="Z2780" s="103" t="s">
        <v>139</v>
      </c>
      <c r="AA2780" s="103" t="s">
        <v>47</v>
      </c>
      <c r="AB2780" s="103" t="s">
        <v>140</v>
      </c>
      <c r="AC2780" s="104" t="s">
        <v>141</v>
      </c>
    </row>
    <row r="2781" spans="1:29" ht="25.5" customHeight="1" x14ac:dyDescent="0.35">
      <c r="A2781" s="188"/>
      <c r="B2781" s="190"/>
      <c r="C2781" s="99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0"/>
      <c r="E2781" s="78" t="str">
        <f>IF(C2781="","",IFERROR(VLOOKUP(C2781,parametros!$A$11:$E$15,5,0),""))</f>
        <v/>
      </c>
      <c r="F2781" s="79" t="str">
        <f t="shared" si="217"/>
        <v/>
      </c>
      <c r="G2781" s="101"/>
      <c r="H2781" s="91">
        <f t="shared" si="218"/>
        <v>0</v>
      </c>
      <c r="I2781" s="91" t="str">
        <f t="shared" si="219"/>
        <v/>
      </c>
      <c r="J2781" s="91" t="str">
        <f t="shared" si="220"/>
        <v/>
      </c>
      <c r="K2781" s="92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2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58"/>
      <c r="U2781" s="217" t="str">
        <f t="shared" si="221"/>
        <v/>
      </c>
      <c r="V2781" s="215" t="s">
        <v>47</v>
      </c>
      <c r="W2781" s="102" t="s">
        <v>136</v>
      </c>
      <c r="X2781" s="102" t="s">
        <v>137</v>
      </c>
      <c r="Y2781" s="103" t="s">
        <v>138</v>
      </c>
      <c r="Z2781" s="103" t="s">
        <v>139</v>
      </c>
      <c r="AA2781" s="103" t="s">
        <v>47</v>
      </c>
      <c r="AB2781" s="103" t="s">
        <v>140</v>
      </c>
      <c r="AC2781" s="104" t="s">
        <v>141</v>
      </c>
    </row>
    <row r="2782" spans="1:29" ht="25.5" customHeight="1" x14ac:dyDescent="0.35">
      <c r="A2782" s="188"/>
      <c r="B2782" s="190"/>
      <c r="C2782" s="99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0"/>
      <c r="E2782" s="78" t="str">
        <f>IF(C2782="","",IFERROR(VLOOKUP(C2782,parametros!$A$11:$E$15,5,0),""))</f>
        <v/>
      </c>
      <c r="F2782" s="79" t="str">
        <f t="shared" si="217"/>
        <v/>
      </c>
      <c r="G2782" s="101"/>
      <c r="H2782" s="91">
        <f t="shared" si="218"/>
        <v>0</v>
      </c>
      <c r="I2782" s="91" t="str">
        <f t="shared" si="219"/>
        <v/>
      </c>
      <c r="J2782" s="91" t="str">
        <f t="shared" si="220"/>
        <v/>
      </c>
      <c r="K2782" s="92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2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58"/>
      <c r="U2782" s="217" t="str">
        <f t="shared" si="221"/>
        <v/>
      </c>
      <c r="V2782" s="215" t="s">
        <v>47</v>
      </c>
      <c r="W2782" s="102" t="s">
        <v>136</v>
      </c>
      <c r="X2782" s="102" t="s">
        <v>137</v>
      </c>
      <c r="Y2782" s="103" t="s">
        <v>138</v>
      </c>
      <c r="Z2782" s="103" t="s">
        <v>139</v>
      </c>
      <c r="AA2782" s="103" t="s">
        <v>47</v>
      </c>
      <c r="AB2782" s="103" t="s">
        <v>140</v>
      </c>
      <c r="AC2782" s="104" t="s">
        <v>141</v>
      </c>
    </row>
    <row r="2783" spans="1:29" ht="25.5" customHeight="1" x14ac:dyDescent="0.35">
      <c r="A2783" s="188"/>
      <c r="B2783" s="190"/>
      <c r="C2783" s="99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0"/>
      <c r="E2783" s="78" t="str">
        <f>IF(C2783="","",IFERROR(VLOOKUP(C2783,parametros!$A$11:$E$15,5,0),""))</f>
        <v/>
      </c>
      <c r="F2783" s="79" t="str">
        <f t="shared" si="217"/>
        <v/>
      </c>
      <c r="G2783" s="101"/>
      <c r="H2783" s="91">
        <f t="shared" si="218"/>
        <v>0</v>
      </c>
      <c r="I2783" s="91" t="str">
        <f t="shared" si="219"/>
        <v/>
      </c>
      <c r="J2783" s="91" t="str">
        <f t="shared" si="220"/>
        <v/>
      </c>
      <c r="K2783" s="92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2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58"/>
      <c r="U2783" s="217" t="str">
        <f t="shared" si="221"/>
        <v/>
      </c>
      <c r="V2783" s="215" t="s">
        <v>47</v>
      </c>
      <c r="W2783" s="102" t="s">
        <v>136</v>
      </c>
      <c r="X2783" s="102" t="s">
        <v>137</v>
      </c>
      <c r="Y2783" s="103" t="s">
        <v>138</v>
      </c>
      <c r="Z2783" s="103" t="s">
        <v>139</v>
      </c>
      <c r="AA2783" s="103" t="s">
        <v>47</v>
      </c>
      <c r="AB2783" s="103" t="s">
        <v>140</v>
      </c>
      <c r="AC2783" s="104" t="s">
        <v>141</v>
      </c>
    </row>
    <row r="2784" spans="1:29" ht="25.5" customHeight="1" x14ac:dyDescent="0.35">
      <c r="A2784" s="188"/>
      <c r="B2784" s="190"/>
      <c r="C2784" s="99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0"/>
      <c r="E2784" s="78" t="str">
        <f>IF(C2784="","",IFERROR(VLOOKUP(C2784,parametros!$A$11:$E$15,5,0),""))</f>
        <v/>
      </c>
      <c r="F2784" s="79" t="str">
        <f t="shared" si="217"/>
        <v/>
      </c>
      <c r="G2784" s="101"/>
      <c r="H2784" s="91">
        <f t="shared" si="218"/>
        <v>0</v>
      </c>
      <c r="I2784" s="91" t="str">
        <f t="shared" si="219"/>
        <v/>
      </c>
      <c r="J2784" s="91" t="str">
        <f t="shared" si="220"/>
        <v/>
      </c>
      <c r="K2784" s="92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2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58"/>
      <c r="U2784" s="217" t="str">
        <f t="shared" si="221"/>
        <v/>
      </c>
      <c r="V2784" s="215" t="s">
        <v>47</v>
      </c>
      <c r="W2784" s="102" t="s">
        <v>136</v>
      </c>
      <c r="X2784" s="102" t="s">
        <v>137</v>
      </c>
      <c r="Y2784" s="103" t="s">
        <v>138</v>
      </c>
      <c r="Z2784" s="103" t="s">
        <v>139</v>
      </c>
      <c r="AA2784" s="103" t="s">
        <v>47</v>
      </c>
      <c r="AB2784" s="103" t="s">
        <v>140</v>
      </c>
      <c r="AC2784" s="104" t="s">
        <v>141</v>
      </c>
    </row>
    <row r="2785" spans="1:29" ht="25.5" customHeight="1" x14ac:dyDescent="0.35">
      <c r="A2785" s="188"/>
      <c r="B2785" s="190"/>
      <c r="C2785" s="99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0"/>
      <c r="E2785" s="78" t="str">
        <f>IF(C2785="","",IFERROR(VLOOKUP(C2785,parametros!$A$11:$E$15,5,0),""))</f>
        <v/>
      </c>
      <c r="F2785" s="79" t="str">
        <f t="shared" si="217"/>
        <v/>
      </c>
      <c r="G2785" s="101"/>
      <c r="H2785" s="91">
        <f t="shared" si="218"/>
        <v>0</v>
      </c>
      <c r="I2785" s="91" t="str">
        <f t="shared" si="219"/>
        <v/>
      </c>
      <c r="J2785" s="91" t="str">
        <f t="shared" si="220"/>
        <v/>
      </c>
      <c r="K2785" s="92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2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58"/>
      <c r="U2785" s="217" t="str">
        <f t="shared" si="221"/>
        <v/>
      </c>
      <c r="V2785" s="215" t="s">
        <v>47</v>
      </c>
      <c r="W2785" s="102" t="s">
        <v>136</v>
      </c>
      <c r="X2785" s="102" t="s">
        <v>137</v>
      </c>
      <c r="Y2785" s="103" t="s">
        <v>138</v>
      </c>
      <c r="Z2785" s="103" t="s">
        <v>139</v>
      </c>
      <c r="AA2785" s="103" t="s">
        <v>47</v>
      </c>
      <c r="AB2785" s="103" t="s">
        <v>140</v>
      </c>
      <c r="AC2785" s="104" t="s">
        <v>141</v>
      </c>
    </row>
    <row r="2786" spans="1:29" ht="25.5" customHeight="1" x14ac:dyDescent="0.35">
      <c r="A2786" s="188"/>
      <c r="B2786" s="190"/>
      <c r="C2786" s="99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0"/>
      <c r="E2786" s="78" t="str">
        <f>IF(C2786="","",IFERROR(VLOOKUP(C2786,parametros!$A$11:$E$15,5,0),""))</f>
        <v/>
      </c>
      <c r="F2786" s="79" t="str">
        <f t="shared" si="217"/>
        <v/>
      </c>
      <c r="G2786" s="101"/>
      <c r="H2786" s="91">
        <f t="shared" si="218"/>
        <v>0</v>
      </c>
      <c r="I2786" s="91" t="str">
        <f t="shared" si="219"/>
        <v/>
      </c>
      <c r="J2786" s="91" t="str">
        <f t="shared" si="220"/>
        <v/>
      </c>
      <c r="K2786" s="92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2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58"/>
      <c r="U2786" s="217" t="str">
        <f t="shared" si="221"/>
        <v/>
      </c>
      <c r="V2786" s="215" t="s">
        <v>47</v>
      </c>
      <c r="W2786" s="102" t="s">
        <v>136</v>
      </c>
      <c r="X2786" s="102" t="s">
        <v>137</v>
      </c>
      <c r="Y2786" s="103" t="s">
        <v>138</v>
      </c>
      <c r="Z2786" s="103" t="s">
        <v>139</v>
      </c>
      <c r="AA2786" s="103" t="s">
        <v>47</v>
      </c>
      <c r="AB2786" s="103" t="s">
        <v>140</v>
      </c>
      <c r="AC2786" s="104" t="s">
        <v>141</v>
      </c>
    </row>
    <row r="2787" spans="1:29" ht="25.5" customHeight="1" x14ac:dyDescent="0.35">
      <c r="A2787" s="188"/>
      <c r="B2787" s="190"/>
      <c r="C2787" s="99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0"/>
      <c r="E2787" s="78" t="str">
        <f>IF(C2787="","",IFERROR(VLOOKUP(C2787,parametros!$A$11:$E$15,5,0),""))</f>
        <v/>
      </c>
      <c r="F2787" s="79" t="str">
        <f t="shared" si="217"/>
        <v/>
      </c>
      <c r="G2787" s="101"/>
      <c r="H2787" s="91">
        <f t="shared" si="218"/>
        <v>0</v>
      </c>
      <c r="I2787" s="91" t="str">
        <f t="shared" si="219"/>
        <v/>
      </c>
      <c r="J2787" s="91" t="str">
        <f t="shared" si="220"/>
        <v/>
      </c>
      <c r="K2787" s="92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2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58"/>
      <c r="U2787" s="217" t="str">
        <f t="shared" si="221"/>
        <v/>
      </c>
      <c r="V2787" s="215" t="s">
        <v>47</v>
      </c>
      <c r="W2787" s="102" t="s">
        <v>136</v>
      </c>
      <c r="X2787" s="102" t="s">
        <v>137</v>
      </c>
      <c r="Y2787" s="103" t="s">
        <v>138</v>
      </c>
      <c r="Z2787" s="103" t="s">
        <v>139</v>
      </c>
      <c r="AA2787" s="103" t="s">
        <v>47</v>
      </c>
      <c r="AB2787" s="103" t="s">
        <v>140</v>
      </c>
      <c r="AC2787" s="104" t="s">
        <v>141</v>
      </c>
    </row>
    <row r="2788" spans="1:29" ht="25.5" customHeight="1" x14ac:dyDescent="0.35">
      <c r="A2788" s="188"/>
      <c r="B2788" s="190"/>
      <c r="C2788" s="99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0"/>
      <c r="E2788" s="78" t="str">
        <f>IF(C2788="","",IFERROR(VLOOKUP(C2788,parametros!$A$11:$E$15,5,0),""))</f>
        <v/>
      </c>
      <c r="F2788" s="79" t="str">
        <f t="shared" si="217"/>
        <v/>
      </c>
      <c r="G2788" s="101"/>
      <c r="H2788" s="91">
        <f t="shared" si="218"/>
        <v>0</v>
      </c>
      <c r="I2788" s="91" t="str">
        <f t="shared" si="219"/>
        <v/>
      </c>
      <c r="J2788" s="91" t="str">
        <f t="shared" si="220"/>
        <v/>
      </c>
      <c r="K2788" s="92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2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58"/>
      <c r="U2788" s="217" t="str">
        <f t="shared" si="221"/>
        <v/>
      </c>
      <c r="V2788" s="215" t="s">
        <v>47</v>
      </c>
      <c r="W2788" s="102" t="s">
        <v>136</v>
      </c>
      <c r="X2788" s="102" t="s">
        <v>137</v>
      </c>
      <c r="Y2788" s="103" t="s">
        <v>138</v>
      </c>
      <c r="Z2788" s="103" t="s">
        <v>139</v>
      </c>
      <c r="AA2788" s="103" t="s">
        <v>47</v>
      </c>
      <c r="AB2788" s="103" t="s">
        <v>140</v>
      </c>
      <c r="AC2788" s="104" t="s">
        <v>141</v>
      </c>
    </row>
    <row r="2789" spans="1:29" ht="25.5" customHeight="1" x14ac:dyDescent="0.35">
      <c r="A2789" s="188"/>
      <c r="B2789" s="190"/>
      <c r="C2789" s="99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0"/>
      <c r="E2789" s="78" t="str">
        <f>IF(C2789="","",IFERROR(VLOOKUP(C2789,parametros!$A$11:$E$15,5,0),""))</f>
        <v/>
      </c>
      <c r="F2789" s="79" t="str">
        <f t="shared" si="217"/>
        <v/>
      </c>
      <c r="G2789" s="101"/>
      <c r="H2789" s="91">
        <f t="shared" si="218"/>
        <v>0</v>
      </c>
      <c r="I2789" s="91" t="str">
        <f t="shared" si="219"/>
        <v/>
      </c>
      <c r="J2789" s="91" t="str">
        <f t="shared" si="220"/>
        <v/>
      </c>
      <c r="K2789" s="92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2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58"/>
      <c r="U2789" s="217" t="str">
        <f t="shared" si="221"/>
        <v/>
      </c>
      <c r="V2789" s="215" t="s">
        <v>47</v>
      </c>
      <c r="W2789" s="102" t="s">
        <v>136</v>
      </c>
      <c r="X2789" s="102" t="s">
        <v>137</v>
      </c>
      <c r="Y2789" s="103" t="s">
        <v>138</v>
      </c>
      <c r="Z2789" s="103" t="s">
        <v>139</v>
      </c>
      <c r="AA2789" s="103" t="s">
        <v>47</v>
      </c>
      <c r="AB2789" s="103" t="s">
        <v>140</v>
      </c>
      <c r="AC2789" s="104" t="s">
        <v>141</v>
      </c>
    </row>
    <row r="2790" spans="1:29" ht="25.5" customHeight="1" x14ac:dyDescent="0.35">
      <c r="A2790" s="188"/>
      <c r="B2790" s="190"/>
      <c r="C2790" s="99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0"/>
      <c r="E2790" s="78" t="str">
        <f>IF(C2790="","",IFERROR(VLOOKUP(C2790,parametros!$A$11:$E$15,5,0),""))</f>
        <v/>
      </c>
      <c r="F2790" s="79" t="str">
        <f t="shared" si="217"/>
        <v/>
      </c>
      <c r="G2790" s="101"/>
      <c r="H2790" s="91">
        <f t="shared" si="218"/>
        <v>0</v>
      </c>
      <c r="I2790" s="91" t="str">
        <f t="shared" si="219"/>
        <v/>
      </c>
      <c r="J2790" s="91" t="str">
        <f t="shared" si="220"/>
        <v/>
      </c>
      <c r="K2790" s="92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2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58"/>
      <c r="U2790" s="217" t="str">
        <f t="shared" si="221"/>
        <v/>
      </c>
      <c r="V2790" s="215" t="s">
        <v>47</v>
      </c>
      <c r="W2790" s="102" t="s">
        <v>136</v>
      </c>
      <c r="X2790" s="102" t="s">
        <v>137</v>
      </c>
      <c r="Y2790" s="103" t="s">
        <v>138</v>
      </c>
      <c r="Z2790" s="103" t="s">
        <v>139</v>
      </c>
      <c r="AA2790" s="103" t="s">
        <v>47</v>
      </c>
      <c r="AB2790" s="103" t="s">
        <v>140</v>
      </c>
      <c r="AC2790" s="104" t="s">
        <v>141</v>
      </c>
    </row>
    <row r="2791" spans="1:29" ht="25.5" customHeight="1" x14ac:dyDescent="0.35">
      <c r="A2791" s="188"/>
      <c r="B2791" s="190"/>
      <c r="C2791" s="99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0"/>
      <c r="E2791" s="78" t="str">
        <f>IF(C2791="","",IFERROR(VLOOKUP(C2791,parametros!$A$11:$E$15,5,0),""))</f>
        <v/>
      </c>
      <c r="F2791" s="79" t="str">
        <f t="shared" si="217"/>
        <v/>
      </c>
      <c r="G2791" s="101"/>
      <c r="H2791" s="91">
        <f t="shared" si="218"/>
        <v>0</v>
      </c>
      <c r="I2791" s="91" t="str">
        <f t="shared" si="219"/>
        <v/>
      </c>
      <c r="J2791" s="91" t="str">
        <f t="shared" si="220"/>
        <v/>
      </c>
      <c r="K2791" s="92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2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58"/>
      <c r="U2791" s="217" t="str">
        <f t="shared" si="221"/>
        <v/>
      </c>
      <c r="V2791" s="215" t="s">
        <v>47</v>
      </c>
      <c r="W2791" s="102" t="s">
        <v>136</v>
      </c>
      <c r="X2791" s="102" t="s">
        <v>137</v>
      </c>
      <c r="Y2791" s="103" t="s">
        <v>138</v>
      </c>
      <c r="Z2791" s="103" t="s">
        <v>139</v>
      </c>
      <c r="AA2791" s="103" t="s">
        <v>47</v>
      </c>
      <c r="AB2791" s="103" t="s">
        <v>140</v>
      </c>
      <c r="AC2791" s="104" t="s">
        <v>141</v>
      </c>
    </row>
    <row r="2792" spans="1:29" ht="25.5" customHeight="1" x14ac:dyDescent="0.35">
      <c r="A2792" s="188"/>
      <c r="B2792" s="190"/>
      <c r="C2792" s="99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0"/>
      <c r="E2792" s="78" t="str">
        <f>IF(C2792="","",IFERROR(VLOOKUP(C2792,parametros!$A$11:$E$15,5,0),""))</f>
        <v/>
      </c>
      <c r="F2792" s="79" t="str">
        <f t="shared" si="217"/>
        <v/>
      </c>
      <c r="G2792" s="101"/>
      <c r="H2792" s="91">
        <f t="shared" si="218"/>
        <v>0</v>
      </c>
      <c r="I2792" s="91" t="str">
        <f t="shared" si="219"/>
        <v/>
      </c>
      <c r="J2792" s="91" t="str">
        <f t="shared" si="220"/>
        <v/>
      </c>
      <c r="K2792" s="92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2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58"/>
      <c r="U2792" s="217" t="str">
        <f t="shared" si="221"/>
        <v/>
      </c>
      <c r="V2792" s="215" t="s">
        <v>47</v>
      </c>
      <c r="W2792" s="102" t="s">
        <v>136</v>
      </c>
      <c r="X2792" s="102" t="s">
        <v>137</v>
      </c>
      <c r="Y2792" s="103" t="s">
        <v>138</v>
      </c>
      <c r="Z2792" s="103" t="s">
        <v>139</v>
      </c>
      <c r="AA2792" s="103" t="s">
        <v>47</v>
      </c>
      <c r="AB2792" s="103" t="s">
        <v>140</v>
      </c>
      <c r="AC2792" s="104" t="s">
        <v>141</v>
      </c>
    </row>
    <row r="2793" spans="1:29" ht="25.5" customHeight="1" x14ac:dyDescent="0.35">
      <c r="A2793" s="188"/>
      <c r="B2793" s="190"/>
      <c r="C2793" s="99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0"/>
      <c r="E2793" s="78" t="str">
        <f>IF(C2793="","",IFERROR(VLOOKUP(C2793,parametros!$A$11:$E$15,5,0),""))</f>
        <v/>
      </c>
      <c r="F2793" s="79" t="str">
        <f t="shared" si="217"/>
        <v/>
      </c>
      <c r="G2793" s="101"/>
      <c r="H2793" s="91">
        <f t="shared" si="218"/>
        <v>0</v>
      </c>
      <c r="I2793" s="91" t="str">
        <f t="shared" si="219"/>
        <v/>
      </c>
      <c r="J2793" s="91" t="str">
        <f t="shared" si="220"/>
        <v/>
      </c>
      <c r="K2793" s="92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2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58"/>
      <c r="U2793" s="217" t="str">
        <f t="shared" si="221"/>
        <v/>
      </c>
      <c r="V2793" s="215" t="s">
        <v>47</v>
      </c>
      <c r="W2793" s="102" t="s">
        <v>136</v>
      </c>
      <c r="X2793" s="102" t="s">
        <v>137</v>
      </c>
      <c r="Y2793" s="103" t="s">
        <v>138</v>
      </c>
      <c r="Z2793" s="103" t="s">
        <v>139</v>
      </c>
      <c r="AA2793" s="103" t="s">
        <v>47</v>
      </c>
      <c r="AB2793" s="103" t="s">
        <v>140</v>
      </c>
      <c r="AC2793" s="104" t="s">
        <v>141</v>
      </c>
    </row>
    <row r="2794" spans="1:29" ht="25.5" customHeight="1" x14ac:dyDescent="0.35">
      <c r="A2794" s="188"/>
      <c r="B2794" s="190"/>
      <c r="C2794" s="99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0"/>
      <c r="E2794" s="78" t="str">
        <f>IF(C2794="","",IFERROR(VLOOKUP(C2794,parametros!$A$11:$E$15,5,0),""))</f>
        <v/>
      </c>
      <c r="F2794" s="79" t="str">
        <f t="shared" si="217"/>
        <v/>
      </c>
      <c r="G2794" s="101"/>
      <c r="H2794" s="91">
        <f t="shared" si="218"/>
        <v>0</v>
      </c>
      <c r="I2794" s="91" t="str">
        <f t="shared" si="219"/>
        <v/>
      </c>
      <c r="J2794" s="91" t="str">
        <f t="shared" si="220"/>
        <v/>
      </c>
      <c r="K2794" s="92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2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58"/>
      <c r="U2794" s="217" t="str">
        <f t="shared" si="221"/>
        <v/>
      </c>
      <c r="V2794" s="215" t="s">
        <v>47</v>
      </c>
      <c r="W2794" s="102" t="s">
        <v>136</v>
      </c>
      <c r="X2794" s="102" t="s">
        <v>137</v>
      </c>
      <c r="Y2794" s="103" t="s">
        <v>138</v>
      </c>
      <c r="Z2794" s="103" t="s">
        <v>139</v>
      </c>
      <c r="AA2794" s="103" t="s">
        <v>47</v>
      </c>
      <c r="AB2794" s="103" t="s">
        <v>140</v>
      </c>
      <c r="AC2794" s="104" t="s">
        <v>141</v>
      </c>
    </row>
    <row r="2795" spans="1:29" ht="25.5" customHeight="1" x14ac:dyDescent="0.35">
      <c r="A2795" s="188"/>
      <c r="B2795" s="190"/>
      <c r="C2795" s="99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0"/>
      <c r="E2795" s="78" t="str">
        <f>IF(C2795="","",IFERROR(VLOOKUP(C2795,parametros!$A$11:$E$15,5,0),""))</f>
        <v/>
      </c>
      <c r="F2795" s="79" t="str">
        <f t="shared" si="217"/>
        <v/>
      </c>
      <c r="G2795" s="101"/>
      <c r="H2795" s="91">
        <f t="shared" si="218"/>
        <v>0</v>
      </c>
      <c r="I2795" s="91" t="str">
        <f t="shared" si="219"/>
        <v/>
      </c>
      <c r="J2795" s="91" t="str">
        <f t="shared" si="220"/>
        <v/>
      </c>
      <c r="K2795" s="92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2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58"/>
      <c r="U2795" s="217" t="str">
        <f t="shared" si="221"/>
        <v/>
      </c>
      <c r="V2795" s="215" t="s">
        <v>47</v>
      </c>
      <c r="W2795" s="102" t="s">
        <v>136</v>
      </c>
      <c r="X2795" s="102" t="s">
        <v>137</v>
      </c>
      <c r="Y2795" s="103" t="s">
        <v>138</v>
      </c>
      <c r="Z2795" s="103" t="s">
        <v>139</v>
      </c>
      <c r="AA2795" s="103" t="s">
        <v>47</v>
      </c>
      <c r="AB2795" s="103" t="s">
        <v>140</v>
      </c>
      <c r="AC2795" s="104" t="s">
        <v>141</v>
      </c>
    </row>
    <row r="2796" spans="1:29" ht="25.5" customHeight="1" x14ac:dyDescent="0.35">
      <c r="A2796" s="188"/>
      <c r="B2796" s="190"/>
      <c r="C2796" s="99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0"/>
      <c r="E2796" s="78" t="str">
        <f>IF(C2796="","",IFERROR(VLOOKUP(C2796,parametros!$A$11:$E$15,5,0),""))</f>
        <v/>
      </c>
      <c r="F2796" s="79" t="str">
        <f t="shared" si="217"/>
        <v/>
      </c>
      <c r="G2796" s="101"/>
      <c r="H2796" s="91">
        <f t="shared" si="218"/>
        <v>0</v>
      </c>
      <c r="I2796" s="91" t="str">
        <f t="shared" si="219"/>
        <v/>
      </c>
      <c r="J2796" s="91" t="str">
        <f t="shared" si="220"/>
        <v/>
      </c>
      <c r="K2796" s="92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2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58"/>
      <c r="U2796" s="217" t="str">
        <f t="shared" si="221"/>
        <v/>
      </c>
      <c r="V2796" s="215" t="s">
        <v>47</v>
      </c>
      <c r="W2796" s="102" t="s">
        <v>136</v>
      </c>
      <c r="X2796" s="102" t="s">
        <v>137</v>
      </c>
      <c r="Y2796" s="103" t="s">
        <v>138</v>
      </c>
      <c r="Z2796" s="103" t="s">
        <v>139</v>
      </c>
      <c r="AA2796" s="103" t="s">
        <v>47</v>
      </c>
      <c r="AB2796" s="103" t="s">
        <v>140</v>
      </c>
      <c r="AC2796" s="104" t="s">
        <v>141</v>
      </c>
    </row>
    <row r="2797" spans="1:29" ht="25.5" customHeight="1" x14ac:dyDescent="0.35">
      <c r="A2797" s="188"/>
      <c r="B2797" s="190"/>
      <c r="C2797" s="99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0"/>
      <c r="E2797" s="78" t="str">
        <f>IF(C2797="","",IFERROR(VLOOKUP(C2797,parametros!$A$11:$E$15,5,0),""))</f>
        <v/>
      </c>
      <c r="F2797" s="79" t="str">
        <f t="shared" si="217"/>
        <v/>
      </c>
      <c r="G2797" s="101"/>
      <c r="H2797" s="91">
        <f t="shared" si="218"/>
        <v>0</v>
      </c>
      <c r="I2797" s="91" t="str">
        <f t="shared" si="219"/>
        <v/>
      </c>
      <c r="J2797" s="91" t="str">
        <f t="shared" si="220"/>
        <v/>
      </c>
      <c r="K2797" s="92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2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58"/>
      <c r="U2797" s="217" t="str">
        <f t="shared" si="221"/>
        <v/>
      </c>
      <c r="V2797" s="215" t="s">
        <v>47</v>
      </c>
      <c r="W2797" s="102" t="s">
        <v>136</v>
      </c>
      <c r="X2797" s="102" t="s">
        <v>137</v>
      </c>
      <c r="Y2797" s="103" t="s">
        <v>138</v>
      </c>
      <c r="Z2797" s="103" t="s">
        <v>139</v>
      </c>
      <c r="AA2797" s="103" t="s">
        <v>47</v>
      </c>
      <c r="AB2797" s="103" t="s">
        <v>140</v>
      </c>
      <c r="AC2797" s="104" t="s">
        <v>141</v>
      </c>
    </row>
    <row r="2798" spans="1:29" ht="25.5" customHeight="1" x14ac:dyDescent="0.35">
      <c r="A2798" s="188"/>
      <c r="B2798" s="190"/>
      <c r="C2798" s="99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0"/>
      <c r="E2798" s="78" t="str">
        <f>IF(C2798="","",IFERROR(VLOOKUP(C2798,parametros!$A$11:$E$15,5,0),""))</f>
        <v/>
      </c>
      <c r="F2798" s="79" t="str">
        <f t="shared" si="217"/>
        <v/>
      </c>
      <c r="G2798" s="101"/>
      <c r="H2798" s="91">
        <f t="shared" si="218"/>
        <v>0</v>
      </c>
      <c r="I2798" s="91" t="str">
        <f t="shared" si="219"/>
        <v/>
      </c>
      <c r="J2798" s="91" t="str">
        <f t="shared" si="220"/>
        <v/>
      </c>
      <c r="K2798" s="92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2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58"/>
      <c r="U2798" s="217" t="str">
        <f t="shared" si="221"/>
        <v/>
      </c>
      <c r="V2798" s="215" t="s">
        <v>47</v>
      </c>
      <c r="W2798" s="102" t="s">
        <v>136</v>
      </c>
      <c r="X2798" s="102" t="s">
        <v>137</v>
      </c>
      <c r="Y2798" s="103" t="s">
        <v>138</v>
      </c>
      <c r="Z2798" s="103" t="s">
        <v>139</v>
      </c>
      <c r="AA2798" s="103" t="s">
        <v>47</v>
      </c>
      <c r="AB2798" s="103" t="s">
        <v>140</v>
      </c>
      <c r="AC2798" s="104" t="s">
        <v>141</v>
      </c>
    </row>
    <row r="2799" spans="1:29" ht="25.5" customHeight="1" x14ac:dyDescent="0.35">
      <c r="A2799" s="188"/>
      <c r="B2799" s="190"/>
      <c r="C2799" s="99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0"/>
      <c r="E2799" s="78" t="str">
        <f>IF(C2799="","",IFERROR(VLOOKUP(C2799,parametros!$A$11:$E$15,5,0),""))</f>
        <v/>
      </c>
      <c r="F2799" s="79" t="str">
        <f t="shared" si="217"/>
        <v/>
      </c>
      <c r="G2799" s="101"/>
      <c r="H2799" s="91">
        <f t="shared" si="218"/>
        <v>0</v>
      </c>
      <c r="I2799" s="91" t="str">
        <f t="shared" si="219"/>
        <v/>
      </c>
      <c r="J2799" s="91" t="str">
        <f t="shared" si="220"/>
        <v/>
      </c>
      <c r="K2799" s="92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2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58"/>
      <c r="U2799" s="217" t="str">
        <f t="shared" si="221"/>
        <v/>
      </c>
      <c r="V2799" s="215" t="s">
        <v>47</v>
      </c>
      <c r="W2799" s="102" t="s">
        <v>136</v>
      </c>
      <c r="X2799" s="102" t="s">
        <v>137</v>
      </c>
      <c r="Y2799" s="103" t="s">
        <v>138</v>
      </c>
      <c r="Z2799" s="103" t="s">
        <v>139</v>
      </c>
      <c r="AA2799" s="103" t="s">
        <v>47</v>
      </c>
      <c r="AB2799" s="103" t="s">
        <v>140</v>
      </c>
      <c r="AC2799" s="104" t="s">
        <v>141</v>
      </c>
    </row>
    <row r="2800" spans="1:29" ht="25.5" customHeight="1" x14ac:dyDescent="0.35">
      <c r="A2800" s="188"/>
      <c r="B2800" s="190"/>
      <c r="C2800" s="99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0"/>
      <c r="E2800" s="78" t="str">
        <f>IF(C2800="","",IFERROR(VLOOKUP(C2800,parametros!$A$11:$E$15,5,0),""))</f>
        <v/>
      </c>
      <c r="F2800" s="79" t="str">
        <f t="shared" si="217"/>
        <v/>
      </c>
      <c r="G2800" s="101"/>
      <c r="H2800" s="91">
        <f t="shared" si="218"/>
        <v>0</v>
      </c>
      <c r="I2800" s="91" t="str">
        <f t="shared" si="219"/>
        <v/>
      </c>
      <c r="J2800" s="91" t="str">
        <f t="shared" si="220"/>
        <v/>
      </c>
      <c r="K2800" s="92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2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58"/>
      <c r="U2800" s="217" t="str">
        <f t="shared" si="221"/>
        <v/>
      </c>
      <c r="V2800" s="215" t="s">
        <v>47</v>
      </c>
      <c r="W2800" s="102" t="s">
        <v>136</v>
      </c>
      <c r="X2800" s="102" t="s">
        <v>137</v>
      </c>
      <c r="Y2800" s="103" t="s">
        <v>138</v>
      </c>
      <c r="Z2800" s="103" t="s">
        <v>139</v>
      </c>
      <c r="AA2800" s="103" t="s">
        <v>47</v>
      </c>
      <c r="AB2800" s="103" t="s">
        <v>140</v>
      </c>
      <c r="AC2800" s="104" t="s">
        <v>141</v>
      </c>
    </row>
    <row r="2801" spans="1:29" ht="25.5" customHeight="1" x14ac:dyDescent="0.35">
      <c r="A2801" s="188"/>
      <c r="B2801" s="190"/>
      <c r="C2801" s="99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0"/>
      <c r="E2801" s="78" t="str">
        <f>IF(C2801="","",IFERROR(VLOOKUP(C2801,parametros!$A$11:$E$15,5,0),""))</f>
        <v/>
      </c>
      <c r="F2801" s="79" t="str">
        <f t="shared" si="217"/>
        <v/>
      </c>
      <c r="G2801" s="101"/>
      <c r="H2801" s="91">
        <f t="shared" si="218"/>
        <v>0</v>
      </c>
      <c r="I2801" s="91" t="str">
        <f t="shared" si="219"/>
        <v/>
      </c>
      <c r="J2801" s="91" t="str">
        <f t="shared" si="220"/>
        <v/>
      </c>
      <c r="K2801" s="92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2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58"/>
      <c r="U2801" s="217" t="str">
        <f t="shared" si="221"/>
        <v/>
      </c>
      <c r="V2801" s="215" t="s">
        <v>47</v>
      </c>
      <c r="W2801" s="102" t="s">
        <v>136</v>
      </c>
      <c r="X2801" s="102" t="s">
        <v>137</v>
      </c>
      <c r="Y2801" s="103" t="s">
        <v>138</v>
      </c>
      <c r="Z2801" s="103" t="s">
        <v>139</v>
      </c>
      <c r="AA2801" s="103" t="s">
        <v>47</v>
      </c>
      <c r="AB2801" s="103" t="s">
        <v>140</v>
      </c>
      <c r="AC2801" s="104" t="s">
        <v>141</v>
      </c>
    </row>
    <row r="2802" spans="1:29" ht="25.5" customHeight="1" x14ac:dyDescent="0.35">
      <c r="A2802" s="188"/>
      <c r="B2802" s="190"/>
      <c r="C2802" s="99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0"/>
      <c r="E2802" s="78" t="str">
        <f>IF(C2802="","",IFERROR(VLOOKUP(C2802,parametros!$A$11:$E$15,5,0),""))</f>
        <v/>
      </c>
      <c r="F2802" s="79" t="str">
        <f t="shared" si="217"/>
        <v/>
      </c>
      <c r="G2802" s="101"/>
      <c r="H2802" s="91">
        <f t="shared" si="218"/>
        <v>0</v>
      </c>
      <c r="I2802" s="91" t="str">
        <f t="shared" si="219"/>
        <v/>
      </c>
      <c r="J2802" s="91" t="str">
        <f t="shared" si="220"/>
        <v/>
      </c>
      <c r="K2802" s="92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2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58"/>
      <c r="U2802" s="217" t="str">
        <f t="shared" si="221"/>
        <v/>
      </c>
      <c r="V2802" s="215" t="s">
        <v>47</v>
      </c>
      <c r="W2802" s="102" t="s">
        <v>136</v>
      </c>
      <c r="X2802" s="102" t="s">
        <v>137</v>
      </c>
      <c r="Y2802" s="103" t="s">
        <v>138</v>
      </c>
      <c r="Z2802" s="103" t="s">
        <v>139</v>
      </c>
      <c r="AA2802" s="103" t="s">
        <v>47</v>
      </c>
      <c r="AB2802" s="103" t="s">
        <v>140</v>
      </c>
      <c r="AC2802" s="104" t="s">
        <v>141</v>
      </c>
    </row>
    <row r="2803" spans="1:29" ht="25.5" customHeight="1" x14ac:dyDescent="0.35">
      <c r="A2803" s="188"/>
      <c r="B2803" s="190"/>
      <c r="C2803" s="99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0"/>
      <c r="E2803" s="78" t="str">
        <f>IF(C2803="","",IFERROR(VLOOKUP(C2803,parametros!$A$11:$E$15,5,0),""))</f>
        <v/>
      </c>
      <c r="F2803" s="79" t="str">
        <f t="shared" si="217"/>
        <v/>
      </c>
      <c r="G2803" s="101"/>
      <c r="H2803" s="91">
        <f t="shared" si="218"/>
        <v>0</v>
      </c>
      <c r="I2803" s="91" t="str">
        <f t="shared" si="219"/>
        <v/>
      </c>
      <c r="J2803" s="91" t="str">
        <f t="shared" si="220"/>
        <v/>
      </c>
      <c r="K2803" s="92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2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58"/>
      <c r="U2803" s="217" t="str">
        <f t="shared" si="221"/>
        <v/>
      </c>
      <c r="V2803" s="215" t="s">
        <v>47</v>
      </c>
      <c r="W2803" s="102" t="s">
        <v>136</v>
      </c>
      <c r="X2803" s="102" t="s">
        <v>137</v>
      </c>
      <c r="Y2803" s="103" t="s">
        <v>138</v>
      </c>
      <c r="Z2803" s="103" t="s">
        <v>139</v>
      </c>
      <c r="AA2803" s="103" t="s">
        <v>47</v>
      </c>
      <c r="AB2803" s="103" t="s">
        <v>140</v>
      </c>
      <c r="AC2803" s="104" t="s">
        <v>141</v>
      </c>
    </row>
    <row r="2804" spans="1:29" ht="25.5" customHeight="1" x14ac:dyDescent="0.35">
      <c r="A2804" s="188"/>
      <c r="B2804" s="190"/>
      <c r="C2804" s="99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0"/>
      <c r="E2804" s="78" t="str">
        <f>IF(C2804="","",IFERROR(VLOOKUP(C2804,parametros!$A$11:$E$15,5,0),""))</f>
        <v/>
      </c>
      <c r="F2804" s="79" t="str">
        <f t="shared" si="217"/>
        <v/>
      </c>
      <c r="G2804" s="101"/>
      <c r="H2804" s="91">
        <f t="shared" si="218"/>
        <v>0</v>
      </c>
      <c r="I2804" s="91" t="str">
        <f t="shared" si="219"/>
        <v/>
      </c>
      <c r="J2804" s="91" t="str">
        <f t="shared" si="220"/>
        <v/>
      </c>
      <c r="K2804" s="92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2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58"/>
      <c r="U2804" s="217" t="str">
        <f t="shared" si="221"/>
        <v/>
      </c>
      <c r="V2804" s="215" t="s">
        <v>47</v>
      </c>
      <c r="W2804" s="102" t="s">
        <v>136</v>
      </c>
      <c r="X2804" s="102" t="s">
        <v>137</v>
      </c>
      <c r="Y2804" s="103" t="s">
        <v>138</v>
      </c>
      <c r="Z2804" s="103" t="s">
        <v>139</v>
      </c>
      <c r="AA2804" s="103" t="s">
        <v>47</v>
      </c>
      <c r="AB2804" s="103" t="s">
        <v>140</v>
      </c>
      <c r="AC2804" s="104" t="s">
        <v>141</v>
      </c>
    </row>
    <row r="2805" spans="1:29" ht="25.5" customHeight="1" x14ac:dyDescent="0.35">
      <c r="A2805" s="188"/>
      <c r="B2805" s="190"/>
      <c r="C2805" s="99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0"/>
      <c r="E2805" s="78" t="str">
        <f>IF(C2805="","",IFERROR(VLOOKUP(C2805,parametros!$A$11:$E$15,5,0),""))</f>
        <v/>
      </c>
      <c r="F2805" s="79" t="str">
        <f t="shared" si="217"/>
        <v/>
      </c>
      <c r="G2805" s="101"/>
      <c r="H2805" s="91">
        <f t="shared" si="218"/>
        <v>0</v>
      </c>
      <c r="I2805" s="91" t="str">
        <f t="shared" si="219"/>
        <v/>
      </c>
      <c r="J2805" s="91" t="str">
        <f t="shared" si="220"/>
        <v/>
      </c>
      <c r="K2805" s="92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2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58"/>
      <c r="U2805" s="217" t="str">
        <f t="shared" si="221"/>
        <v/>
      </c>
      <c r="V2805" s="215" t="s">
        <v>47</v>
      </c>
      <c r="W2805" s="102" t="s">
        <v>136</v>
      </c>
      <c r="X2805" s="102" t="s">
        <v>137</v>
      </c>
      <c r="Y2805" s="103" t="s">
        <v>138</v>
      </c>
      <c r="Z2805" s="103" t="s">
        <v>139</v>
      </c>
      <c r="AA2805" s="103" t="s">
        <v>47</v>
      </c>
      <c r="AB2805" s="103" t="s">
        <v>140</v>
      </c>
      <c r="AC2805" s="104" t="s">
        <v>141</v>
      </c>
    </row>
    <row r="2806" spans="1:29" ht="25.5" customHeight="1" x14ac:dyDescent="0.35">
      <c r="A2806" s="188"/>
      <c r="B2806" s="190"/>
      <c r="C2806" s="99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0"/>
      <c r="E2806" s="78" t="str">
        <f>IF(C2806="","",IFERROR(VLOOKUP(C2806,parametros!$A$11:$E$15,5,0),""))</f>
        <v/>
      </c>
      <c r="F2806" s="79" t="str">
        <f t="shared" si="217"/>
        <v/>
      </c>
      <c r="G2806" s="101"/>
      <c r="H2806" s="91">
        <f t="shared" si="218"/>
        <v>0</v>
      </c>
      <c r="I2806" s="91" t="str">
        <f t="shared" si="219"/>
        <v/>
      </c>
      <c r="J2806" s="91" t="str">
        <f t="shared" si="220"/>
        <v/>
      </c>
      <c r="K2806" s="92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2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58"/>
      <c r="U2806" s="217" t="str">
        <f t="shared" si="221"/>
        <v/>
      </c>
      <c r="V2806" s="215" t="s">
        <v>47</v>
      </c>
      <c r="W2806" s="102" t="s">
        <v>136</v>
      </c>
      <c r="X2806" s="102" t="s">
        <v>137</v>
      </c>
      <c r="Y2806" s="103" t="s">
        <v>138</v>
      </c>
      <c r="Z2806" s="103" t="s">
        <v>139</v>
      </c>
      <c r="AA2806" s="103" t="s">
        <v>47</v>
      </c>
      <c r="AB2806" s="103" t="s">
        <v>140</v>
      </c>
      <c r="AC2806" s="104" t="s">
        <v>141</v>
      </c>
    </row>
    <row r="2807" spans="1:29" ht="25.5" customHeight="1" x14ac:dyDescent="0.35">
      <c r="A2807" s="188"/>
      <c r="B2807" s="190"/>
      <c r="C2807" s="99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0"/>
      <c r="E2807" s="78" t="str">
        <f>IF(C2807="","",IFERROR(VLOOKUP(C2807,parametros!$A$11:$E$15,5,0),""))</f>
        <v/>
      </c>
      <c r="F2807" s="79" t="str">
        <f t="shared" si="217"/>
        <v/>
      </c>
      <c r="G2807" s="101"/>
      <c r="H2807" s="91">
        <f t="shared" si="218"/>
        <v>0</v>
      </c>
      <c r="I2807" s="91" t="str">
        <f t="shared" si="219"/>
        <v/>
      </c>
      <c r="J2807" s="91" t="str">
        <f t="shared" si="220"/>
        <v/>
      </c>
      <c r="K2807" s="92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2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58"/>
      <c r="U2807" s="217" t="str">
        <f t="shared" si="221"/>
        <v/>
      </c>
      <c r="V2807" s="215" t="s">
        <v>47</v>
      </c>
      <c r="W2807" s="102" t="s">
        <v>136</v>
      </c>
      <c r="X2807" s="102" t="s">
        <v>137</v>
      </c>
      <c r="Y2807" s="103" t="s">
        <v>138</v>
      </c>
      <c r="Z2807" s="103" t="s">
        <v>139</v>
      </c>
      <c r="AA2807" s="103" t="s">
        <v>47</v>
      </c>
      <c r="AB2807" s="103" t="s">
        <v>140</v>
      </c>
      <c r="AC2807" s="104" t="s">
        <v>141</v>
      </c>
    </row>
    <row r="2808" spans="1:29" ht="25.5" customHeight="1" x14ac:dyDescent="0.35">
      <c r="A2808" s="188"/>
      <c r="B2808" s="190"/>
      <c r="C2808" s="99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0"/>
      <c r="E2808" s="78" t="str">
        <f>IF(C2808="","",IFERROR(VLOOKUP(C2808,parametros!$A$11:$E$15,5,0),""))</f>
        <v/>
      </c>
      <c r="F2808" s="79" t="str">
        <f t="shared" si="217"/>
        <v/>
      </c>
      <c r="G2808" s="101"/>
      <c r="H2808" s="91">
        <f t="shared" si="218"/>
        <v>0</v>
      </c>
      <c r="I2808" s="91" t="str">
        <f t="shared" si="219"/>
        <v/>
      </c>
      <c r="J2808" s="91" t="str">
        <f t="shared" si="220"/>
        <v/>
      </c>
      <c r="K2808" s="92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2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58"/>
      <c r="U2808" s="217" t="str">
        <f t="shared" si="221"/>
        <v/>
      </c>
      <c r="V2808" s="215" t="s">
        <v>47</v>
      </c>
      <c r="W2808" s="102" t="s">
        <v>136</v>
      </c>
      <c r="X2808" s="102" t="s">
        <v>137</v>
      </c>
      <c r="Y2808" s="103" t="s">
        <v>138</v>
      </c>
      <c r="Z2808" s="103" t="s">
        <v>139</v>
      </c>
      <c r="AA2808" s="103" t="s">
        <v>47</v>
      </c>
      <c r="AB2808" s="103" t="s">
        <v>140</v>
      </c>
      <c r="AC2808" s="104" t="s">
        <v>141</v>
      </c>
    </row>
    <row r="2809" spans="1:29" ht="25.5" customHeight="1" x14ac:dyDescent="0.35">
      <c r="A2809" s="188"/>
      <c r="B2809" s="190"/>
      <c r="C2809" s="99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0"/>
      <c r="E2809" s="78" t="str">
        <f>IF(C2809="","",IFERROR(VLOOKUP(C2809,parametros!$A$11:$E$15,5,0),""))</f>
        <v/>
      </c>
      <c r="F2809" s="79" t="str">
        <f t="shared" si="217"/>
        <v/>
      </c>
      <c r="G2809" s="101"/>
      <c r="H2809" s="91">
        <f t="shared" si="218"/>
        <v>0</v>
      </c>
      <c r="I2809" s="91" t="str">
        <f t="shared" si="219"/>
        <v/>
      </c>
      <c r="J2809" s="91" t="str">
        <f t="shared" si="220"/>
        <v/>
      </c>
      <c r="K2809" s="92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2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58"/>
      <c r="U2809" s="217" t="str">
        <f t="shared" si="221"/>
        <v/>
      </c>
      <c r="V2809" s="215" t="s">
        <v>47</v>
      </c>
      <c r="W2809" s="102" t="s">
        <v>136</v>
      </c>
      <c r="X2809" s="102" t="s">
        <v>137</v>
      </c>
      <c r="Y2809" s="103" t="s">
        <v>138</v>
      </c>
      <c r="Z2809" s="103" t="s">
        <v>139</v>
      </c>
      <c r="AA2809" s="103" t="s">
        <v>47</v>
      </c>
      <c r="AB2809" s="103" t="s">
        <v>140</v>
      </c>
      <c r="AC2809" s="104" t="s">
        <v>141</v>
      </c>
    </row>
    <row r="2810" spans="1:29" ht="25.5" customHeight="1" x14ac:dyDescent="0.35">
      <c r="A2810" s="188"/>
      <c r="B2810" s="190"/>
      <c r="C2810" s="99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0"/>
      <c r="E2810" s="78" t="str">
        <f>IF(C2810="","",IFERROR(VLOOKUP(C2810,parametros!$A$11:$E$15,5,0),""))</f>
        <v/>
      </c>
      <c r="F2810" s="79" t="str">
        <f t="shared" si="217"/>
        <v/>
      </c>
      <c r="G2810" s="101"/>
      <c r="H2810" s="91">
        <f t="shared" si="218"/>
        <v>0</v>
      </c>
      <c r="I2810" s="91" t="str">
        <f t="shared" si="219"/>
        <v/>
      </c>
      <c r="J2810" s="91" t="str">
        <f t="shared" si="220"/>
        <v/>
      </c>
      <c r="K2810" s="92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2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58"/>
      <c r="U2810" s="217" t="str">
        <f t="shared" si="221"/>
        <v/>
      </c>
      <c r="V2810" s="215" t="s">
        <v>47</v>
      </c>
      <c r="W2810" s="102" t="s">
        <v>136</v>
      </c>
      <c r="X2810" s="102" t="s">
        <v>137</v>
      </c>
      <c r="Y2810" s="103" t="s">
        <v>138</v>
      </c>
      <c r="Z2810" s="103" t="s">
        <v>139</v>
      </c>
      <c r="AA2810" s="103" t="s">
        <v>47</v>
      </c>
      <c r="AB2810" s="103" t="s">
        <v>140</v>
      </c>
      <c r="AC2810" s="104" t="s">
        <v>141</v>
      </c>
    </row>
    <row r="2811" spans="1:29" ht="25.5" customHeight="1" x14ac:dyDescent="0.35">
      <c r="A2811" s="188"/>
      <c r="B2811" s="190"/>
      <c r="C2811" s="99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0"/>
      <c r="E2811" s="78" t="str">
        <f>IF(C2811="","",IFERROR(VLOOKUP(C2811,parametros!$A$11:$E$15,5,0),""))</f>
        <v/>
      </c>
      <c r="F2811" s="79" t="str">
        <f t="shared" si="217"/>
        <v/>
      </c>
      <c r="G2811" s="101"/>
      <c r="H2811" s="91">
        <f t="shared" si="218"/>
        <v>0</v>
      </c>
      <c r="I2811" s="91" t="str">
        <f t="shared" si="219"/>
        <v/>
      </c>
      <c r="J2811" s="91" t="str">
        <f t="shared" si="220"/>
        <v/>
      </c>
      <c r="K2811" s="92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2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58"/>
      <c r="U2811" s="217" t="str">
        <f t="shared" si="221"/>
        <v/>
      </c>
      <c r="V2811" s="215" t="s">
        <v>47</v>
      </c>
      <c r="W2811" s="102" t="s">
        <v>136</v>
      </c>
      <c r="X2811" s="102" t="s">
        <v>137</v>
      </c>
      <c r="Y2811" s="103" t="s">
        <v>138</v>
      </c>
      <c r="Z2811" s="103" t="s">
        <v>139</v>
      </c>
      <c r="AA2811" s="103" t="s">
        <v>47</v>
      </c>
      <c r="AB2811" s="103" t="s">
        <v>140</v>
      </c>
      <c r="AC2811" s="104" t="s">
        <v>141</v>
      </c>
    </row>
    <row r="2812" spans="1:29" ht="25.5" customHeight="1" x14ac:dyDescent="0.35">
      <c r="A2812" s="188"/>
      <c r="B2812" s="190"/>
      <c r="C2812" s="99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0"/>
      <c r="E2812" s="78" t="str">
        <f>IF(C2812="","",IFERROR(VLOOKUP(C2812,parametros!$A$11:$E$15,5,0),""))</f>
        <v/>
      </c>
      <c r="F2812" s="79" t="str">
        <f t="shared" si="217"/>
        <v/>
      </c>
      <c r="G2812" s="101"/>
      <c r="H2812" s="91">
        <f t="shared" si="218"/>
        <v>0</v>
      </c>
      <c r="I2812" s="91" t="str">
        <f t="shared" si="219"/>
        <v/>
      </c>
      <c r="J2812" s="91" t="str">
        <f t="shared" si="220"/>
        <v/>
      </c>
      <c r="K2812" s="92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2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58"/>
      <c r="U2812" s="217" t="str">
        <f t="shared" si="221"/>
        <v/>
      </c>
      <c r="V2812" s="215" t="s">
        <v>47</v>
      </c>
      <c r="W2812" s="102" t="s">
        <v>136</v>
      </c>
      <c r="X2812" s="102" t="s">
        <v>137</v>
      </c>
      <c r="Y2812" s="103" t="s">
        <v>138</v>
      </c>
      <c r="Z2812" s="103" t="s">
        <v>139</v>
      </c>
      <c r="AA2812" s="103" t="s">
        <v>47</v>
      </c>
      <c r="AB2812" s="103" t="s">
        <v>140</v>
      </c>
      <c r="AC2812" s="104" t="s">
        <v>141</v>
      </c>
    </row>
    <row r="2813" spans="1:29" ht="25.5" customHeight="1" x14ac:dyDescent="0.35">
      <c r="A2813" s="188"/>
      <c r="B2813" s="190"/>
      <c r="C2813" s="99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0"/>
      <c r="E2813" s="78" t="str">
        <f>IF(C2813="","",IFERROR(VLOOKUP(C2813,parametros!$A$11:$E$15,5,0),""))</f>
        <v/>
      </c>
      <c r="F2813" s="79" t="str">
        <f t="shared" si="217"/>
        <v/>
      </c>
      <c r="G2813" s="101"/>
      <c r="H2813" s="91">
        <f t="shared" si="218"/>
        <v>0</v>
      </c>
      <c r="I2813" s="91" t="str">
        <f t="shared" si="219"/>
        <v/>
      </c>
      <c r="J2813" s="91" t="str">
        <f t="shared" si="220"/>
        <v/>
      </c>
      <c r="K2813" s="92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2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58"/>
      <c r="U2813" s="217" t="str">
        <f t="shared" si="221"/>
        <v/>
      </c>
      <c r="V2813" s="215" t="s">
        <v>47</v>
      </c>
      <c r="W2813" s="102" t="s">
        <v>136</v>
      </c>
      <c r="X2813" s="102" t="s">
        <v>137</v>
      </c>
      <c r="Y2813" s="103" t="s">
        <v>138</v>
      </c>
      <c r="Z2813" s="103" t="s">
        <v>139</v>
      </c>
      <c r="AA2813" s="103" t="s">
        <v>47</v>
      </c>
      <c r="AB2813" s="103" t="s">
        <v>140</v>
      </c>
      <c r="AC2813" s="104" t="s">
        <v>141</v>
      </c>
    </row>
    <row r="2814" spans="1:29" ht="25.5" customHeight="1" x14ac:dyDescent="0.35">
      <c r="A2814" s="188"/>
      <c r="B2814" s="190"/>
      <c r="C2814" s="99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0"/>
      <c r="E2814" s="78" t="str">
        <f>IF(C2814="","",IFERROR(VLOOKUP(C2814,parametros!$A$11:$E$15,5,0),""))</f>
        <v/>
      </c>
      <c r="F2814" s="79" t="str">
        <f t="shared" si="217"/>
        <v/>
      </c>
      <c r="G2814" s="101"/>
      <c r="H2814" s="91">
        <f t="shared" si="218"/>
        <v>0</v>
      </c>
      <c r="I2814" s="91" t="str">
        <f t="shared" si="219"/>
        <v/>
      </c>
      <c r="J2814" s="91" t="str">
        <f t="shared" si="220"/>
        <v/>
      </c>
      <c r="K2814" s="92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2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58"/>
      <c r="U2814" s="217" t="str">
        <f t="shared" si="221"/>
        <v/>
      </c>
      <c r="V2814" s="215" t="s">
        <v>47</v>
      </c>
      <c r="W2814" s="102" t="s">
        <v>136</v>
      </c>
      <c r="X2814" s="102" t="s">
        <v>137</v>
      </c>
      <c r="Y2814" s="103" t="s">
        <v>138</v>
      </c>
      <c r="Z2814" s="103" t="s">
        <v>139</v>
      </c>
      <c r="AA2814" s="103" t="s">
        <v>47</v>
      </c>
      <c r="AB2814" s="103" t="s">
        <v>140</v>
      </c>
      <c r="AC2814" s="104" t="s">
        <v>141</v>
      </c>
    </row>
    <row r="2815" spans="1:29" ht="25.5" customHeight="1" x14ac:dyDescent="0.35">
      <c r="A2815" s="188"/>
      <c r="B2815" s="190"/>
      <c r="C2815" s="99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0"/>
      <c r="E2815" s="78" t="str">
        <f>IF(C2815="","",IFERROR(VLOOKUP(C2815,parametros!$A$11:$E$15,5,0),""))</f>
        <v/>
      </c>
      <c r="F2815" s="79" t="str">
        <f t="shared" si="217"/>
        <v/>
      </c>
      <c r="G2815" s="101"/>
      <c r="H2815" s="91">
        <f t="shared" si="218"/>
        <v>0</v>
      </c>
      <c r="I2815" s="91" t="str">
        <f t="shared" si="219"/>
        <v/>
      </c>
      <c r="J2815" s="91" t="str">
        <f t="shared" si="220"/>
        <v/>
      </c>
      <c r="K2815" s="92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2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58"/>
      <c r="U2815" s="217" t="str">
        <f t="shared" si="221"/>
        <v/>
      </c>
      <c r="V2815" s="215" t="s">
        <v>47</v>
      </c>
      <c r="W2815" s="102" t="s">
        <v>136</v>
      </c>
      <c r="X2815" s="102" t="s">
        <v>137</v>
      </c>
      <c r="Y2815" s="103" t="s">
        <v>138</v>
      </c>
      <c r="Z2815" s="103" t="s">
        <v>139</v>
      </c>
      <c r="AA2815" s="103" t="s">
        <v>47</v>
      </c>
      <c r="AB2815" s="103" t="s">
        <v>140</v>
      </c>
      <c r="AC2815" s="104" t="s">
        <v>141</v>
      </c>
    </row>
    <row r="2816" spans="1:29" ht="25.5" customHeight="1" x14ac:dyDescent="0.35">
      <c r="A2816" s="188"/>
      <c r="B2816" s="190"/>
      <c r="C2816" s="99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0"/>
      <c r="E2816" s="78" t="str">
        <f>IF(C2816="","",IFERROR(VLOOKUP(C2816,parametros!$A$11:$E$15,5,0),""))</f>
        <v/>
      </c>
      <c r="F2816" s="79" t="str">
        <f t="shared" si="217"/>
        <v/>
      </c>
      <c r="G2816" s="101"/>
      <c r="H2816" s="91">
        <f t="shared" si="218"/>
        <v>0</v>
      </c>
      <c r="I2816" s="91" t="str">
        <f t="shared" si="219"/>
        <v/>
      </c>
      <c r="J2816" s="91" t="str">
        <f t="shared" si="220"/>
        <v/>
      </c>
      <c r="K2816" s="92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2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58"/>
      <c r="U2816" s="217" t="str">
        <f t="shared" si="221"/>
        <v/>
      </c>
      <c r="V2816" s="215" t="s">
        <v>47</v>
      </c>
      <c r="W2816" s="102" t="s">
        <v>136</v>
      </c>
      <c r="X2816" s="102" t="s">
        <v>137</v>
      </c>
      <c r="Y2816" s="103" t="s">
        <v>138</v>
      </c>
      <c r="Z2816" s="103" t="s">
        <v>139</v>
      </c>
      <c r="AA2816" s="103" t="s">
        <v>47</v>
      </c>
      <c r="AB2816" s="103" t="s">
        <v>140</v>
      </c>
      <c r="AC2816" s="104" t="s">
        <v>141</v>
      </c>
    </row>
    <row r="2817" spans="1:29" ht="25.5" customHeight="1" x14ac:dyDescent="0.35">
      <c r="A2817" s="188"/>
      <c r="B2817" s="190"/>
      <c r="C2817" s="99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0"/>
      <c r="E2817" s="78" t="str">
        <f>IF(C2817="","",IFERROR(VLOOKUP(C2817,parametros!$A$11:$E$15,5,0),""))</f>
        <v/>
      </c>
      <c r="F2817" s="79" t="str">
        <f t="shared" si="217"/>
        <v/>
      </c>
      <c r="G2817" s="101"/>
      <c r="H2817" s="91">
        <f t="shared" si="218"/>
        <v>0</v>
      </c>
      <c r="I2817" s="91" t="str">
        <f t="shared" si="219"/>
        <v/>
      </c>
      <c r="J2817" s="91" t="str">
        <f t="shared" si="220"/>
        <v/>
      </c>
      <c r="K2817" s="92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2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58"/>
      <c r="U2817" s="217" t="str">
        <f t="shared" si="221"/>
        <v/>
      </c>
      <c r="V2817" s="215" t="s">
        <v>47</v>
      </c>
      <c r="W2817" s="102" t="s">
        <v>136</v>
      </c>
      <c r="X2817" s="102" t="s">
        <v>137</v>
      </c>
      <c r="Y2817" s="103" t="s">
        <v>138</v>
      </c>
      <c r="Z2817" s="103" t="s">
        <v>139</v>
      </c>
      <c r="AA2817" s="103" t="s">
        <v>47</v>
      </c>
      <c r="AB2817" s="103" t="s">
        <v>140</v>
      </c>
      <c r="AC2817" s="104" t="s">
        <v>141</v>
      </c>
    </row>
    <row r="2818" spans="1:29" ht="25.5" customHeight="1" x14ac:dyDescent="0.35">
      <c r="A2818" s="188"/>
      <c r="B2818" s="190"/>
      <c r="C2818" s="99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0"/>
      <c r="E2818" s="78" t="str">
        <f>IF(C2818="","",IFERROR(VLOOKUP(C2818,parametros!$A$11:$E$15,5,0),""))</f>
        <v/>
      </c>
      <c r="F2818" s="79" t="str">
        <f t="shared" ref="F2818:F2881" si="222">IF(OR(D2818="",E2818=""),"",ROUND(D2818*E2818,2))</f>
        <v/>
      </c>
      <c r="G2818" s="101"/>
      <c r="H2818" s="91">
        <f t="shared" ref="H2818:H2881" si="223">IF(G2818="Sim",IF(OR(F2818="",D2818="",L2818=""),"",IF(L2818="Sim",ROUND(F2818-D2818,2),0)),0)</f>
        <v>0</v>
      </c>
      <c r="I2818" s="91" t="str">
        <f t="shared" ref="I2818:I2881" si="224">IF(G2818="Sim",0,IF(OR(F2818="",L2818=""),"",F2818))</f>
        <v/>
      </c>
      <c r="J2818" s="91" t="str">
        <f t="shared" ref="J2818:J2881" si="225">IF(G2818="Sim",0,IF(OR(F2818="",D2818="",L2818=""),"",IF(L2818="Sim",ROUND(F2818-D2818,2),0)))</f>
        <v/>
      </c>
      <c r="K2818" s="92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2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58"/>
      <c r="U2818" s="217" t="str">
        <f t="shared" ref="U2818:U2881" si="226">IF(OR($D2818="",$H2818=""),"",ROUND($D2818+$H2818,2))</f>
        <v/>
      </c>
      <c r="V2818" s="215" t="s">
        <v>47</v>
      </c>
      <c r="W2818" s="102" t="s">
        <v>136</v>
      </c>
      <c r="X2818" s="102" t="s">
        <v>137</v>
      </c>
      <c r="Y2818" s="103" t="s">
        <v>138</v>
      </c>
      <c r="Z2818" s="103" t="s">
        <v>139</v>
      </c>
      <c r="AA2818" s="103" t="s">
        <v>47</v>
      </c>
      <c r="AB2818" s="103" t="s">
        <v>140</v>
      </c>
      <c r="AC2818" s="104" t="s">
        <v>141</v>
      </c>
    </row>
    <row r="2819" spans="1:29" ht="25.5" customHeight="1" x14ac:dyDescent="0.35">
      <c r="A2819" s="188"/>
      <c r="B2819" s="190"/>
      <c r="C2819" s="99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0"/>
      <c r="E2819" s="78" t="str">
        <f>IF(C2819="","",IFERROR(VLOOKUP(C2819,parametros!$A$11:$E$15,5,0),""))</f>
        <v/>
      </c>
      <c r="F2819" s="79" t="str">
        <f t="shared" si="222"/>
        <v/>
      </c>
      <c r="G2819" s="101"/>
      <c r="H2819" s="91">
        <f t="shared" si="223"/>
        <v>0</v>
      </c>
      <c r="I2819" s="91" t="str">
        <f t="shared" si="224"/>
        <v/>
      </c>
      <c r="J2819" s="91" t="str">
        <f t="shared" si="225"/>
        <v/>
      </c>
      <c r="K2819" s="92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2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58"/>
      <c r="U2819" s="217" t="str">
        <f t="shared" si="226"/>
        <v/>
      </c>
      <c r="V2819" s="215" t="s">
        <v>47</v>
      </c>
      <c r="W2819" s="102" t="s">
        <v>136</v>
      </c>
      <c r="X2819" s="102" t="s">
        <v>137</v>
      </c>
      <c r="Y2819" s="103" t="s">
        <v>138</v>
      </c>
      <c r="Z2819" s="103" t="s">
        <v>139</v>
      </c>
      <c r="AA2819" s="103" t="s">
        <v>47</v>
      </c>
      <c r="AB2819" s="103" t="s">
        <v>140</v>
      </c>
      <c r="AC2819" s="104" t="s">
        <v>141</v>
      </c>
    </row>
    <row r="2820" spans="1:29" ht="25.5" customHeight="1" x14ac:dyDescent="0.35">
      <c r="A2820" s="188"/>
      <c r="B2820" s="190"/>
      <c r="C2820" s="99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0"/>
      <c r="E2820" s="78" t="str">
        <f>IF(C2820="","",IFERROR(VLOOKUP(C2820,parametros!$A$11:$E$15,5,0),""))</f>
        <v/>
      </c>
      <c r="F2820" s="79" t="str">
        <f t="shared" si="222"/>
        <v/>
      </c>
      <c r="G2820" s="101"/>
      <c r="H2820" s="91">
        <f t="shared" si="223"/>
        <v>0</v>
      </c>
      <c r="I2820" s="91" t="str">
        <f t="shared" si="224"/>
        <v/>
      </c>
      <c r="J2820" s="91" t="str">
        <f t="shared" si="225"/>
        <v/>
      </c>
      <c r="K2820" s="92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2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58"/>
      <c r="U2820" s="217" t="str">
        <f t="shared" si="226"/>
        <v/>
      </c>
      <c r="V2820" s="215" t="s">
        <v>47</v>
      </c>
      <c r="W2820" s="102" t="s">
        <v>136</v>
      </c>
      <c r="X2820" s="102" t="s">
        <v>137</v>
      </c>
      <c r="Y2820" s="103" t="s">
        <v>138</v>
      </c>
      <c r="Z2820" s="103" t="s">
        <v>139</v>
      </c>
      <c r="AA2820" s="103" t="s">
        <v>47</v>
      </c>
      <c r="AB2820" s="103" t="s">
        <v>140</v>
      </c>
      <c r="AC2820" s="104" t="s">
        <v>141</v>
      </c>
    </row>
    <row r="2821" spans="1:29" ht="25.5" customHeight="1" x14ac:dyDescent="0.35">
      <c r="A2821" s="188"/>
      <c r="B2821" s="190"/>
      <c r="C2821" s="99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0"/>
      <c r="E2821" s="78" t="str">
        <f>IF(C2821="","",IFERROR(VLOOKUP(C2821,parametros!$A$11:$E$15,5,0),""))</f>
        <v/>
      </c>
      <c r="F2821" s="79" t="str">
        <f t="shared" si="222"/>
        <v/>
      </c>
      <c r="G2821" s="101"/>
      <c r="H2821" s="91">
        <f t="shared" si="223"/>
        <v>0</v>
      </c>
      <c r="I2821" s="91" t="str">
        <f t="shared" si="224"/>
        <v/>
      </c>
      <c r="J2821" s="91" t="str">
        <f t="shared" si="225"/>
        <v/>
      </c>
      <c r="K2821" s="92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2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58"/>
      <c r="U2821" s="217" t="str">
        <f t="shared" si="226"/>
        <v/>
      </c>
      <c r="V2821" s="215" t="s">
        <v>47</v>
      </c>
      <c r="W2821" s="102" t="s">
        <v>136</v>
      </c>
      <c r="X2821" s="102" t="s">
        <v>137</v>
      </c>
      <c r="Y2821" s="103" t="s">
        <v>138</v>
      </c>
      <c r="Z2821" s="103" t="s">
        <v>139</v>
      </c>
      <c r="AA2821" s="103" t="s">
        <v>47</v>
      </c>
      <c r="AB2821" s="103" t="s">
        <v>140</v>
      </c>
      <c r="AC2821" s="104" t="s">
        <v>141</v>
      </c>
    </row>
    <row r="2822" spans="1:29" ht="25.5" customHeight="1" x14ac:dyDescent="0.35">
      <c r="A2822" s="188"/>
      <c r="B2822" s="190"/>
      <c r="C2822" s="99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0"/>
      <c r="E2822" s="78" t="str">
        <f>IF(C2822="","",IFERROR(VLOOKUP(C2822,parametros!$A$11:$E$15,5,0),""))</f>
        <v/>
      </c>
      <c r="F2822" s="79" t="str">
        <f t="shared" si="222"/>
        <v/>
      </c>
      <c r="G2822" s="101"/>
      <c r="H2822" s="91">
        <f t="shared" si="223"/>
        <v>0</v>
      </c>
      <c r="I2822" s="91" t="str">
        <f t="shared" si="224"/>
        <v/>
      </c>
      <c r="J2822" s="91" t="str">
        <f t="shared" si="225"/>
        <v/>
      </c>
      <c r="K2822" s="92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2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58"/>
      <c r="U2822" s="217" t="str">
        <f t="shared" si="226"/>
        <v/>
      </c>
      <c r="V2822" s="215" t="s">
        <v>47</v>
      </c>
      <c r="W2822" s="102" t="s">
        <v>136</v>
      </c>
      <c r="X2822" s="102" t="s">
        <v>137</v>
      </c>
      <c r="Y2822" s="103" t="s">
        <v>138</v>
      </c>
      <c r="Z2822" s="103" t="s">
        <v>139</v>
      </c>
      <c r="AA2822" s="103" t="s">
        <v>47</v>
      </c>
      <c r="AB2822" s="103" t="s">
        <v>140</v>
      </c>
      <c r="AC2822" s="104" t="s">
        <v>141</v>
      </c>
    </row>
    <row r="2823" spans="1:29" ht="25.5" customHeight="1" x14ac:dyDescent="0.35">
      <c r="A2823" s="188"/>
      <c r="B2823" s="190"/>
      <c r="C2823" s="99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0"/>
      <c r="E2823" s="78" t="str">
        <f>IF(C2823="","",IFERROR(VLOOKUP(C2823,parametros!$A$11:$E$15,5,0),""))</f>
        <v/>
      </c>
      <c r="F2823" s="79" t="str">
        <f t="shared" si="222"/>
        <v/>
      </c>
      <c r="G2823" s="101"/>
      <c r="H2823" s="91">
        <f t="shared" si="223"/>
        <v>0</v>
      </c>
      <c r="I2823" s="91" t="str">
        <f t="shared" si="224"/>
        <v/>
      </c>
      <c r="J2823" s="91" t="str">
        <f t="shared" si="225"/>
        <v/>
      </c>
      <c r="K2823" s="92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2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58"/>
      <c r="U2823" s="217" t="str">
        <f t="shared" si="226"/>
        <v/>
      </c>
      <c r="V2823" s="215" t="s">
        <v>47</v>
      </c>
      <c r="W2823" s="102" t="s">
        <v>136</v>
      </c>
      <c r="X2823" s="102" t="s">
        <v>137</v>
      </c>
      <c r="Y2823" s="103" t="s">
        <v>138</v>
      </c>
      <c r="Z2823" s="103" t="s">
        <v>139</v>
      </c>
      <c r="AA2823" s="103" t="s">
        <v>47</v>
      </c>
      <c r="AB2823" s="103" t="s">
        <v>140</v>
      </c>
      <c r="AC2823" s="104" t="s">
        <v>141</v>
      </c>
    </row>
    <row r="2824" spans="1:29" ht="25.5" customHeight="1" x14ac:dyDescent="0.35">
      <c r="A2824" s="188"/>
      <c r="B2824" s="190"/>
      <c r="C2824" s="99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0"/>
      <c r="E2824" s="78" t="str">
        <f>IF(C2824="","",IFERROR(VLOOKUP(C2824,parametros!$A$11:$E$15,5,0),""))</f>
        <v/>
      </c>
      <c r="F2824" s="79" t="str">
        <f t="shared" si="222"/>
        <v/>
      </c>
      <c r="G2824" s="101"/>
      <c r="H2824" s="91">
        <f t="shared" si="223"/>
        <v>0</v>
      </c>
      <c r="I2824" s="91" t="str">
        <f t="shared" si="224"/>
        <v/>
      </c>
      <c r="J2824" s="91" t="str">
        <f t="shared" si="225"/>
        <v/>
      </c>
      <c r="K2824" s="92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2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58"/>
      <c r="U2824" s="217" t="str">
        <f t="shared" si="226"/>
        <v/>
      </c>
      <c r="V2824" s="215" t="s">
        <v>47</v>
      </c>
      <c r="W2824" s="102" t="s">
        <v>136</v>
      </c>
      <c r="X2824" s="102" t="s">
        <v>137</v>
      </c>
      <c r="Y2824" s="103" t="s">
        <v>138</v>
      </c>
      <c r="Z2824" s="103" t="s">
        <v>139</v>
      </c>
      <c r="AA2824" s="103" t="s">
        <v>47</v>
      </c>
      <c r="AB2824" s="103" t="s">
        <v>140</v>
      </c>
      <c r="AC2824" s="104" t="s">
        <v>141</v>
      </c>
    </row>
    <row r="2825" spans="1:29" ht="25.5" customHeight="1" x14ac:dyDescent="0.35">
      <c r="A2825" s="188"/>
      <c r="B2825" s="190"/>
      <c r="C2825" s="99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0"/>
      <c r="E2825" s="78" t="str">
        <f>IF(C2825="","",IFERROR(VLOOKUP(C2825,parametros!$A$11:$E$15,5,0),""))</f>
        <v/>
      </c>
      <c r="F2825" s="79" t="str">
        <f t="shared" si="222"/>
        <v/>
      </c>
      <c r="G2825" s="101"/>
      <c r="H2825" s="91">
        <f t="shared" si="223"/>
        <v>0</v>
      </c>
      <c r="I2825" s="91" t="str">
        <f t="shared" si="224"/>
        <v/>
      </c>
      <c r="J2825" s="91" t="str">
        <f t="shared" si="225"/>
        <v/>
      </c>
      <c r="K2825" s="92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2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58"/>
      <c r="U2825" s="217" t="str">
        <f t="shared" si="226"/>
        <v/>
      </c>
      <c r="V2825" s="215" t="s">
        <v>47</v>
      </c>
      <c r="W2825" s="102" t="s">
        <v>136</v>
      </c>
      <c r="X2825" s="102" t="s">
        <v>137</v>
      </c>
      <c r="Y2825" s="103" t="s">
        <v>138</v>
      </c>
      <c r="Z2825" s="103" t="s">
        <v>139</v>
      </c>
      <c r="AA2825" s="103" t="s">
        <v>47</v>
      </c>
      <c r="AB2825" s="103" t="s">
        <v>140</v>
      </c>
      <c r="AC2825" s="104" t="s">
        <v>141</v>
      </c>
    </row>
    <row r="2826" spans="1:29" ht="25.5" customHeight="1" x14ac:dyDescent="0.35">
      <c r="A2826" s="188"/>
      <c r="B2826" s="190"/>
      <c r="C2826" s="99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0"/>
      <c r="E2826" s="78" t="str">
        <f>IF(C2826="","",IFERROR(VLOOKUP(C2826,parametros!$A$11:$E$15,5,0),""))</f>
        <v/>
      </c>
      <c r="F2826" s="79" t="str">
        <f t="shared" si="222"/>
        <v/>
      </c>
      <c r="G2826" s="101"/>
      <c r="H2826" s="91">
        <f t="shared" si="223"/>
        <v>0</v>
      </c>
      <c r="I2826" s="91" t="str">
        <f t="shared" si="224"/>
        <v/>
      </c>
      <c r="J2826" s="91" t="str">
        <f t="shared" si="225"/>
        <v/>
      </c>
      <c r="K2826" s="92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2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58"/>
      <c r="U2826" s="217" t="str">
        <f t="shared" si="226"/>
        <v/>
      </c>
      <c r="V2826" s="215" t="s">
        <v>47</v>
      </c>
      <c r="W2826" s="102" t="s">
        <v>136</v>
      </c>
      <c r="X2826" s="102" t="s">
        <v>137</v>
      </c>
      <c r="Y2826" s="103" t="s">
        <v>138</v>
      </c>
      <c r="Z2826" s="103" t="s">
        <v>139</v>
      </c>
      <c r="AA2826" s="103" t="s">
        <v>47</v>
      </c>
      <c r="AB2826" s="103" t="s">
        <v>140</v>
      </c>
      <c r="AC2826" s="104" t="s">
        <v>141</v>
      </c>
    </row>
    <row r="2827" spans="1:29" ht="25.5" customHeight="1" x14ac:dyDescent="0.35">
      <c r="A2827" s="188"/>
      <c r="B2827" s="190"/>
      <c r="C2827" s="99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0"/>
      <c r="E2827" s="78" t="str">
        <f>IF(C2827="","",IFERROR(VLOOKUP(C2827,parametros!$A$11:$E$15,5,0),""))</f>
        <v/>
      </c>
      <c r="F2827" s="79" t="str">
        <f t="shared" si="222"/>
        <v/>
      </c>
      <c r="G2827" s="101"/>
      <c r="H2827" s="91">
        <f t="shared" si="223"/>
        <v>0</v>
      </c>
      <c r="I2827" s="91" t="str">
        <f t="shared" si="224"/>
        <v/>
      </c>
      <c r="J2827" s="91" t="str">
        <f t="shared" si="225"/>
        <v/>
      </c>
      <c r="K2827" s="92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2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58"/>
      <c r="U2827" s="217" t="str">
        <f t="shared" si="226"/>
        <v/>
      </c>
      <c r="V2827" s="215" t="s">
        <v>47</v>
      </c>
      <c r="W2827" s="102" t="s">
        <v>136</v>
      </c>
      <c r="X2827" s="102" t="s">
        <v>137</v>
      </c>
      <c r="Y2827" s="103" t="s">
        <v>138</v>
      </c>
      <c r="Z2827" s="103" t="s">
        <v>139</v>
      </c>
      <c r="AA2827" s="103" t="s">
        <v>47</v>
      </c>
      <c r="AB2827" s="103" t="s">
        <v>140</v>
      </c>
      <c r="AC2827" s="104" t="s">
        <v>141</v>
      </c>
    </row>
    <row r="2828" spans="1:29" ht="25.5" customHeight="1" x14ac:dyDescent="0.35">
      <c r="A2828" s="188"/>
      <c r="B2828" s="190"/>
      <c r="C2828" s="99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0"/>
      <c r="E2828" s="78" t="str">
        <f>IF(C2828="","",IFERROR(VLOOKUP(C2828,parametros!$A$11:$E$15,5,0),""))</f>
        <v/>
      </c>
      <c r="F2828" s="79" t="str">
        <f t="shared" si="222"/>
        <v/>
      </c>
      <c r="G2828" s="101"/>
      <c r="H2828" s="91">
        <f t="shared" si="223"/>
        <v>0</v>
      </c>
      <c r="I2828" s="91" t="str">
        <f t="shared" si="224"/>
        <v/>
      </c>
      <c r="J2828" s="91" t="str">
        <f t="shared" si="225"/>
        <v/>
      </c>
      <c r="K2828" s="92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2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58"/>
      <c r="U2828" s="217" t="str">
        <f t="shared" si="226"/>
        <v/>
      </c>
      <c r="V2828" s="215" t="s">
        <v>47</v>
      </c>
      <c r="W2828" s="102" t="s">
        <v>136</v>
      </c>
      <c r="X2828" s="102" t="s">
        <v>137</v>
      </c>
      <c r="Y2828" s="103" t="s">
        <v>138</v>
      </c>
      <c r="Z2828" s="103" t="s">
        <v>139</v>
      </c>
      <c r="AA2828" s="103" t="s">
        <v>47</v>
      </c>
      <c r="AB2828" s="103" t="s">
        <v>140</v>
      </c>
      <c r="AC2828" s="104" t="s">
        <v>141</v>
      </c>
    </row>
    <row r="2829" spans="1:29" ht="25.5" customHeight="1" x14ac:dyDescent="0.35">
      <c r="A2829" s="188"/>
      <c r="B2829" s="190"/>
      <c r="C2829" s="99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0"/>
      <c r="E2829" s="78" t="str">
        <f>IF(C2829="","",IFERROR(VLOOKUP(C2829,parametros!$A$11:$E$15,5,0),""))</f>
        <v/>
      </c>
      <c r="F2829" s="79" t="str">
        <f t="shared" si="222"/>
        <v/>
      </c>
      <c r="G2829" s="101"/>
      <c r="H2829" s="91">
        <f t="shared" si="223"/>
        <v>0</v>
      </c>
      <c r="I2829" s="91" t="str">
        <f t="shared" si="224"/>
        <v/>
      </c>
      <c r="J2829" s="91" t="str">
        <f t="shared" si="225"/>
        <v/>
      </c>
      <c r="K2829" s="92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2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58"/>
      <c r="U2829" s="217" t="str">
        <f t="shared" si="226"/>
        <v/>
      </c>
      <c r="V2829" s="215" t="s">
        <v>47</v>
      </c>
      <c r="W2829" s="102" t="s">
        <v>136</v>
      </c>
      <c r="X2829" s="102" t="s">
        <v>137</v>
      </c>
      <c r="Y2829" s="103" t="s">
        <v>138</v>
      </c>
      <c r="Z2829" s="103" t="s">
        <v>139</v>
      </c>
      <c r="AA2829" s="103" t="s">
        <v>47</v>
      </c>
      <c r="AB2829" s="103" t="s">
        <v>140</v>
      </c>
      <c r="AC2829" s="104" t="s">
        <v>141</v>
      </c>
    </row>
    <row r="2830" spans="1:29" ht="25.5" customHeight="1" x14ac:dyDescent="0.35">
      <c r="A2830" s="188"/>
      <c r="B2830" s="190"/>
      <c r="C2830" s="99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0"/>
      <c r="E2830" s="78" t="str">
        <f>IF(C2830="","",IFERROR(VLOOKUP(C2830,parametros!$A$11:$E$15,5,0),""))</f>
        <v/>
      </c>
      <c r="F2830" s="79" t="str">
        <f t="shared" si="222"/>
        <v/>
      </c>
      <c r="G2830" s="101"/>
      <c r="H2830" s="91">
        <f t="shared" si="223"/>
        <v>0</v>
      </c>
      <c r="I2830" s="91" t="str">
        <f t="shared" si="224"/>
        <v/>
      </c>
      <c r="J2830" s="91" t="str">
        <f t="shared" si="225"/>
        <v/>
      </c>
      <c r="K2830" s="92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2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58"/>
      <c r="U2830" s="217" t="str">
        <f t="shared" si="226"/>
        <v/>
      </c>
      <c r="V2830" s="215" t="s">
        <v>47</v>
      </c>
      <c r="W2830" s="102" t="s">
        <v>136</v>
      </c>
      <c r="X2830" s="102" t="s">
        <v>137</v>
      </c>
      <c r="Y2830" s="103" t="s">
        <v>138</v>
      </c>
      <c r="Z2830" s="103" t="s">
        <v>139</v>
      </c>
      <c r="AA2830" s="103" t="s">
        <v>47</v>
      </c>
      <c r="AB2830" s="103" t="s">
        <v>140</v>
      </c>
      <c r="AC2830" s="104" t="s">
        <v>141</v>
      </c>
    </row>
    <row r="2831" spans="1:29" ht="25.5" customHeight="1" x14ac:dyDescent="0.35">
      <c r="A2831" s="188"/>
      <c r="B2831" s="190"/>
      <c r="C2831" s="99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0"/>
      <c r="E2831" s="78" t="str">
        <f>IF(C2831="","",IFERROR(VLOOKUP(C2831,parametros!$A$11:$E$15,5,0),""))</f>
        <v/>
      </c>
      <c r="F2831" s="79" t="str">
        <f t="shared" si="222"/>
        <v/>
      </c>
      <c r="G2831" s="101"/>
      <c r="H2831" s="91">
        <f t="shared" si="223"/>
        <v>0</v>
      </c>
      <c r="I2831" s="91" t="str">
        <f t="shared" si="224"/>
        <v/>
      </c>
      <c r="J2831" s="91" t="str">
        <f t="shared" si="225"/>
        <v/>
      </c>
      <c r="K2831" s="92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2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58"/>
      <c r="U2831" s="217" t="str">
        <f t="shared" si="226"/>
        <v/>
      </c>
      <c r="V2831" s="215" t="s">
        <v>47</v>
      </c>
      <c r="W2831" s="102" t="s">
        <v>136</v>
      </c>
      <c r="X2831" s="102" t="s">
        <v>137</v>
      </c>
      <c r="Y2831" s="103" t="s">
        <v>138</v>
      </c>
      <c r="Z2831" s="103" t="s">
        <v>139</v>
      </c>
      <c r="AA2831" s="103" t="s">
        <v>47</v>
      </c>
      <c r="AB2831" s="103" t="s">
        <v>140</v>
      </c>
      <c r="AC2831" s="104" t="s">
        <v>141</v>
      </c>
    </row>
    <row r="2832" spans="1:29" ht="25.5" customHeight="1" x14ac:dyDescent="0.35">
      <c r="A2832" s="188"/>
      <c r="B2832" s="190"/>
      <c r="C2832" s="99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0"/>
      <c r="E2832" s="78" t="str">
        <f>IF(C2832="","",IFERROR(VLOOKUP(C2832,parametros!$A$11:$E$15,5,0),""))</f>
        <v/>
      </c>
      <c r="F2832" s="79" t="str">
        <f t="shared" si="222"/>
        <v/>
      </c>
      <c r="G2832" s="101"/>
      <c r="H2832" s="91">
        <f t="shared" si="223"/>
        <v>0</v>
      </c>
      <c r="I2832" s="91" t="str">
        <f t="shared" si="224"/>
        <v/>
      </c>
      <c r="J2832" s="91" t="str">
        <f t="shared" si="225"/>
        <v/>
      </c>
      <c r="K2832" s="92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2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58"/>
      <c r="U2832" s="217" t="str">
        <f t="shared" si="226"/>
        <v/>
      </c>
      <c r="V2832" s="215" t="s">
        <v>47</v>
      </c>
      <c r="W2832" s="102" t="s">
        <v>136</v>
      </c>
      <c r="X2832" s="102" t="s">
        <v>137</v>
      </c>
      <c r="Y2832" s="103" t="s">
        <v>138</v>
      </c>
      <c r="Z2832" s="103" t="s">
        <v>139</v>
      </c>
      <c r="AA2832" s="103" t="s">
        <v>47</v>
      </c>
      <c r="AB2832" s="103" t="s">
        <v>140</v>
      </c>
      <c r="AC2832" s="104" t="s">
        <v>141</v>
      </c>
    </row>
    <row r="2833" spans="1:29" ht="25.5" customHeight="1" x14ac:dyDescent="0.35">
      <c r="A2833" s="188"/>
      <c r="B2833" s="190"/>
      <c r="C2833" s="99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0"/>
      <c r="E2833" s="78" t="str">
        <f>IF(C2833="","",IFERROR(VLOOKUP(C2833,parametros!$A$11:$E$15,5,0),""))</f>
        <v/>
      </c>
      <c r="F2833" s="79" t="str">
        <f t="shared" si="222"/>
        <v/>
      </c>
      <c r="G2833" s="101"/>
      <c r="H2833" s="91">
        <f t="shared" si="223"/>
        <v>0</v>
      </c>
      <c r="I2833" s="91" t="str">
        <f t="shared" si="224"/>
        <v/>
      </c>
      <c r="J2833" s="91" t="str">
        <f t="shared" si="225"/>
        <v/>
      </c>
      <c r="K2833" s="92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2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58"/>
      <c r="U2833" s="217" t="str">
        <f t="shared" si="226"/>
        <v/>
      </c>
      <c r="V2833" s="215" t="s">
        <v>47</v>
      </c>
      <c r="W2833" s="102" t="s">
        <v>136</v>
      </c>
      <c r="X2833" s="102" t="s">
        <v>137</v>
      </c>
      <c r="Y2833" s="103" t="s">
        <v>138</v>
      </c>
      <c r="Z2833" s="103" t="s">
        <v>139</v>
      </c>
      <c r="AA2833" s="103" t="s">
        <v>47</v>
      </c>
      <c r="AB2833" s="103" t="s">
        <v>140</v>
      </c>
      <c r="AC2833" s="104" t="s">
        <v>141</v>
      </c>
    </row>
    <row r="2834" spans="1:29" ht="25.5" customHeight="1" x14ac:dyDescent="0.35">
      <c r="A2834" s="188"/>
      <c r="B2834" s="190"/>
      <c r="C2834" s="99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0"/>
      <c r="E2834" s="78" t="str">
        <f>IF(C2834="","",IFERROR(VLOOKUP(C2834,parametros!$A$11:$E$15,5,0),""))</f>
        <v/>
      </c>
      <c r="F2834" s="79" t="str">
        <f t="shared" si="222"/>
        <v/>
      </c>
      <c r="G2834" s="101"/>
      <c r="H2834" s="91">
        <f t="shared" si="223"/>
        <v>0</v>
      </c>
      <c r="I2834" s="91" t="str">
        <f t="shared" si="224"/>
        <v/>
      </c>
      <c r="J2834" s="91" t="str">
        <f t="shared" si="225"/>
        <v/>
      </c>
      <c r="K2834" s="92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2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58"/>
      <c r="U2834" s="217" t="str">
        <f t="shared" si="226"/>
        <v/>
      </c>
      <c r="V2834" s="215" t="s">
        <v>47</v>
      </c>
      <c r="W2834" s="102" t="s">
        <v>136</v>
      </c>
      <c r="X2834" s="102" t="s">
        <v>137</v>
      </c>
      <c r="Y2834" s="103" t="s">
        <v>138</v>
      </c>
      <c r="Z2834" s="103" t="s">
        <v>139</v>
      </c>
      <c r="AA2834" s="103" t="s">
        <v>47</v>
      </c>
      <c r="AB2834" s="103" t="s">
        <v>140</v>
      </c>
      <c r="AC2834" s="104" t="s">
        <v>141</v>
      </c>
    </row>
    <row r="2835" spans="1:29" ht="25.5" customHeight="1" x14ac:dyDescent="0.35">
      <c r="A2835" s="188"/>
      <c r="B2835" s="190"/>
      <c r="C2835" s="99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0"/>
      <c r="E2835" s="78" t="str">
        <f>IF(C2835="","",IFERROR(VLOOKUP(C2835,parametros!$A$11:$E$15,5,0),""))</f>
        <v/>
      </c>
      <c r="F2835" s="79" t="str">
        <f t="shared" si="222"/>
        <v/>
      </c>
      <c r="G2835" s="101"/>
      <c r="H2835" s="91">
        <f t="shared" si="223"/>
        <v>0</v>
      </c>
      <c r="I2835" s="91" t="str">
        <f t="shared" si="224"/>
        <v/>
      </c>
      <c r="J2835" s="91" t="str">
        <f t="shared" si="225"/>
        <v/>
      </c>
      <c r="K2835" s="92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2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58"/>
      <c r="U2835" s="217" t="str">
        <f t="shared" si="226"/>
        <v/>
      </c>
      <c r="V2835" s="215" t="s">
        <v>47</v>
      </c>
      <c r="W2835" s="102" t="s">
        <v>136</v>
      </c>
      <c r="X2835" s="102" t="s">
        <v>137</v>
      </c>
      <c r="Y2835" s="103" t="s">
        <v>138</v>
      </c>
      <c r="Z2835" s="103" t="s">
        <v>139</v>
      </c>
      <c r="AA2835" s="103" t="s">
        <v>47</v>
      </c>
      <c r="AB2835" s="103" t="s">
        <v>140</v>
      </c>
      <c r="AC2835" s="104" t="s">
        <v>141</v>
      </c>
    </row>
    <row r="2836" spans="1:29" ht="25.5" customHeight="1" x14ac:dyDescent="0.35">
      <c r="A2836" s="188"/>
      <c r="B2836" s="190"/>
      <c r="C2836" s="99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0"/>
      <c r="E2836" s="78" t="str">
        <f>IF(C2836="","",IFERROR(VLOOKUP(C2836,parametros!$A$11:$E$15,5,0),""))</f>
        <v/>
      </c>
      <c r="F2836" s="79" t="str">
        <f t="shared" si="222"/>
        <v/>
      </c>
      <c r="G2836" s="101"/>
      <c r="H2836" s="91">
        <f t="shared" si="223"/>
        <v>0</v>
      </c>
      <c r="I2836" s="91" t="str">
        <f t="shared" si="224"/>
        <v/>
      </c>
      <c r="J2836" s="91" t="str">
        <f t="shared" si="225"/>
        <v/>
      </c>
      <c r="K2836" s="92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2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58"/>
      <c r="U2836" s="217" t="str">
        <f t="shared" si="226"/>
        <v/>
      </c>
      <c r="V2836" s="215" t="s">
        <v>47</v>
      </c>
      <c r="W2836" s="102" t="s">
        <v>136</v>
      </c>
      <c r="X2836" s="102" t="s">
        <v>137</v>
      </c>
      <c r="Y2836" s="103" t="s">
        <v>138</v>
      </c>
      <c r="Z2836" s="103" t="s">
        <v>139</v>
      </c>
      <c r="AA2836" s="103" t="s">
        <v>47</v>
      </c>
      <c r="AB2836" s="103" t="s">
        <v>140</v>
      </c>
      <c r="AC2836" s="104" t="s">
        <v>141</v>
      </c>
    </row>
    <row r="2837" spans="1:29" ht="25.5" customHeight="1" x14ac:dyDescent="0.35">
      <c r="A2837" s="188"/>
      <c r="B2837" s="190"/>
      <c r="C2837" s="99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0"/>
      <c r="E2837" s="78" t="str">
        <f>IF(C2837="","",IFERROR(VLOOKUP(C2837,parametros!$A$11:$E$15,5,0),""))</f>
        <v/>
      </c>
      <c r="F2837" s="79" t="str">
        <f t="shared" si="222"/>
        <v/>
      </c>
      <c r="G2837" s="101"/>
      <c r="H2837" s="91">
        <f t="shared" si="223"/>
        <v>0</v>
      </c>
      <c r="I2837" s="91" t="str">
        <f t="shared" si="224"/>
        <v/>
      </c>
      <c r="J2837" s="91" t="str">
        <f t="shared" si="225"/>
        <v/>
      </c>
      <c r="K2837" s="92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2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58"/>
      <c r="U2837" s="217" t="str">
        <f t="shared" si="226"/>
        <v/>
      </c>
      <c r="V2837" s="215" t="s">
        <v>47</v>
      </c>
      <c r="W2837" s="102" t="s">
        <v>136</v>
      </c>
      <c r="X2837" s="102" t="s">
        <v>137</v>
      </c>
      <c r="Y2837" s="103" t="s">
        <v>138</v>
      </c>
      <c r="Z2837" s="103" t="s">
        <v>139</v>
      </c>
      <c r="AA2837" s="103" t="s">
        <v>47</v>
      </c>
      <c r="AB2837" s="103" t="s">
        <v>140</v>
      </c>
      <c r="AC2837" s="104" t="s">
        <v>141</v>
      </c>
    </row>
    <row r="2838" spans="1:29" ht="25.5" customHeight="1" x14ac:dyDescent="0.35">
      <c r="A2838" s="188"/>
      <c r="B2838" s="190"/>
      <c r="C2838" s="99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0"/>
      <c r="E2838" s="78" t="str">
        <f>IF(C2838="","",IFERROR(VLOOKUP(C2838,parametros!$A$11:$E$15,5,0),""))</f>
        <v/>
      </c>
      <c r="F2838" s="79" t="str">
        <f t="shared" si="222"/>
        <v/>
      </c>
      <c r="G2838" s="101"/>
      <c r="H2838" s="91">
        <f t="shared" si="223"/>
        <v>0</v>
      </c>
      <c r="I2838" s="91" t="str">
        <f t="shared" si="224"/>
        <v/>
      </c>
      <c r="J2838" s="91" t="str">
        <f t="shared" si="225"/>
        <v/>
      </c>
      <c r="K2838" s="92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2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58"/>
      <c r="U2838" s="217" t="str">
        <f t="shared" si="226"/>
        <v/>
      </c>
      <c r="V2838" s="215" t="s">
        <v>47</v>
      </c>
      <c r="W2838" s="102" t="s">
        <v>136</v>
      </c>
      <c r="X2838" s="102" t="s">
        <v>137</v>
      </c>
      <c r="Y2838" s="103" t="s">
        <v>138</v>
      </c>
      <c r="Z2838" s="103" t="s">
        <v>139</v>
      </c>
      <c r="AA2838" s="103" t="s">
        <v>47</v>
      </c>
      <c r="AB2838" s="103" t="s">
        <v>140</v>
      </c>
      <c r="AC2838" s="104" t="s">
        <v>141</v>
      </c>
    </row>
    <row r="2839" spans="1:29" ht="25.5" customHeight="1" x14ac:dyDescent="0.35">
      <c r="A2839" s="188"/>
      <c r="B2839" s="190"/>
      <c r="C2839" s="99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0"/>
      <c r="E2839" s="78" t="str">
        <f>IF(C2839="","",IFERROR(VLOOKUP(C2839,parametros!$A$11:$E$15,5,0),""))</f>
        <v/>
      </c>
      <c r="F2839" s="79" t="str">
        <f t="shared" si="222"/>
        <v/>
      </c>
      <c r="G2839" s="101"/>
      <c r="H2839" s="91">
        <f t="shared" si="223"/>
        <v>0</v>
      </c>
      <c r="I2839" s="91" t="str">
        <f t="shared" si="224"/>
        <v/>
      </c>
      <c r="J2839" s="91" t="str">
        <f t="shared" si="225"/>
        <v/>
      </c>
      <c r="K2839" s="92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2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58"/>
      <c r="U2839" s="217" t="str">
        <f t="shared" si="226"/>
        <v/>
      </c>
      <c r="V2839" s="215" t="s">
        <v>47</v>
      </c>
      <c r="W2839" s="102" t="s">
        <v>136</v>
      </c>
      <c r="X2839" s="102" t="s">
        <v>137</v>
      </c>
      <c r="Y2839" s="103" t="s">
        <v>138</v>
      </c>
      <c r="Z2839" s="103" t="s">
        <v>139</v>
      </c>
      <c r="AA2839" s="103" t="s">
        <v>47</v>
      </c>
      <c r="AB2839" s="103" t="s">
        <v>140</v>
      </c>
      <c r="AC2839" s="104" t="s">
        <v>141</v>
      </c>
    </row>
    <row r="2840" spans="1:29" ht="25.5" customHeight="1" x14ac:dyDescent="0.35">
      <c r="A2840" s="188"/>
      <c r="B2840" s="190"/>
      <c r="C2840" s="99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0"/>
      <c r="E2840" s="78" t="str">
        <f>IF(C2840="","",IFERROR(VLOOKUP(C2840,parametros!$A$11:$E$15,5,0),""))</f>
        <v/>
      </c>
      <c r="F2840" s="79" t="str">
        <f t="shared" si="222"/>
        <v/>
      </c>
      <c r="G2840" s="101"/>
      <c r="H2840" s="91">
        <f t="shared" si="223"/>
        <v>0</v>
      </c>
      <c r="I2840" s="91" t="str">
        <f t="shared" si="224"/>
        <v/>
      </c>
      <c r="J2840" s="91" t="str">
        <f t="shared" si="225"/>
        <v/>
      </c>
      <c r="K2840" s="92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2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58"/>
      <c r="U2840" s="217" t="str">
        <f t="shared" si="226"/>
        <v/>
      </c>
      <c r="V2840" s="215" t="s">
        <v>47</v>
      </c>
      <c r="W2840" s="102" t="s">
        <v>136</v>
      </c>
      <c r="X2840" s="102" t="s">
        <v>137</v>
      </c>
      <c r="Y2840" s="103" t="s">
        <v>138</v>
      </c>
      <c r="Z2840" s="103" t="s">
        <v>139</v>
      </c>
      <c r="AA2840" s="103" t="s">
        <v>47</v>
      </c>
      <c r="AB2840" s="103" t="s">
        <v>140</v>
      </c>
      <c r="AC2840" s="104" t="s">
        <v>141</v>
      </c>
    </row>
    <row r="2841" spans="1:29" ht="25.5" customHeight="1" x14ac:dyDescent="0.35">
      <c r="A2841" s="188"/>
      <c r="B2841" s="190"/>
      <c r="C2841" s="99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0"/>
      <c r="E2841" s="78" t="str">
        <f>IF(C2841="","",IFERROR(VLOOKUP(C2841,parametros!$A$11:$E$15,5,0),""))</f>
        <v/>
      </c>
      <c r="F2841" s="79" t="str">
        <f t="shared" si="222"/>
        <v/>
      </c>
      <c r="G2841" s="101"/>
      <c r="H2841" s="91">
        <f t="shared" si="223"/>
        <v>0</v>
      </c>
      <c r="I2841" s="91" t="str">
        <f t="shared" si="224"/>
        <v/>
      </c>
      <c r="J2841" s="91" t="str">
        <f t="shared" si="225"/>
        <v/>
      </c>
      <c r="K2841" s="92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2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58"/>
      <c r="U2841" s="217" t="str">
        <f t="shared" si="226"/>
        <v/>
      </c>
      <c r="V2841" s="215" t="s">
        <v>47</v>
      </c>
      <c r="W2841" s="102" t="s">
        <v>136</v>
      </c>
      <c r="X2841" s="102" t="s">
        <v>137</v>
      </c>
      <c r="Y2841" s="103" t="s">
        <v>138</v>
      </c>
      <c r="Z2841" s="103" t="s">
        <v>139</v>
      </c>
      <c r="AA2841" s="103" t="s">
        <v>47</v>
      </c>
      <c r="AB2841" s="103" t="s">
        <v>140</v>
      </c>
      <c r="AC2841" s="104" t="s">
        <v>141</v>
      </c>
    </row>
    <row r="2842" spans="1:29" ht="25.5" customHeight="1" x14ac:dyDescent="0.35">
      <c r="A2842" s="188"/>
      <c r="B2842" s="190"/>
      <c r="C2842" s="99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0"/>
      <c r="E2842" s="78" t="str">
        <f>IF(C2842="","",IFERROR(VLOOKUP(C2842,parametros!$A$11:$E$15,5,0),""))</f>
        <v/>
      </c>
      <c r="F2842" s="79" t="str">
        <f t="shared" si="222"/>
        <v/>
      </c>
      <c r="G2842" s="101"/>
      <c r="H2842" s="91">
        <f t="shared" si="223"/>
        <v>0</v>
      </c>
      <c r="I2842" s="91" t="str">
        <f t="shared" si="224"/>
        <v/>
      </c>
      <c r="J2842" s="91" t="str">
        <f t="shared" si="225"/>
        <v/>
      </c>
      <c r="K2842" s="92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2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58"/>
      <c r="U2842" s="217" t="str">
        <f t="shared" si="226"/>
        <v/>
      </c>
      <c r="V2842" s="215" t="s">
        <v>47</v>
      </c>
      <c r="W2842" s="102" t="s">
        <v>136</v>
      </c>
      <c r="X2842" s="102" t="s">
        <v>137</v>
      </c>
      <c r="Y2842" s="103" t="s">
        <v>138</v>
      </c>
      <c r="Z2842" s="103" t="s">
        <v>139</v>
      </c>
      <c r="AA2842" s="103" t="s">
        <v>47</v>
      </c>
      <c r="AB2842" s="103" t="s">
        <v>140</v>
      </c>
      <c r="AC2842" s="104" t="s">
        <v>141</v>
      </c>
    </row>
    <row r="2843" spans="1:29" ht="25.5" customHeight="1" x14ac:dyDescent="0.35">
      <c r="A2843" s="188"/>
      <c r="B2843" s="190"/>
      <c r="C2843" s="99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0"/>
      <c r="E2843" s="78" t="str">
        <f>IF(C2843="","",IFERROR(VLOOKUP(C2843,parametros!$A$11:$E$15,5,0),""))</f>
        <v/>
      </c>
      <c r="F2843" s="79" t="str">
        <f t="shared" si="222"/>
        <v/>
      </c>
      <c r="G2843" s="101"/>
      <c r="H2843" s="91">
        <f t="shared" si="223"/>
        <v>0</v>
      </c>
      <c r="I2843" s="91" t="str">
        <f t="shared" si="224"/>
        <v/>
      </c>
      <c r="J2843" s="91" t="str">
        <f t="shared" si="225"/>
        <v/>
      </c>
      <c r="K2843" s="92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2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58"/>
      <c r="U2843" s="217" t="str">
        <f t="shared" si="226"/>
        <v/>
      </c>
      <c r="V2843" s="215" t="s">
        <v>47</v>
      </c>
      <c r="W2843" s="102" t="s">
        <v>136</v>
      </c>
      <c r="X2843" s="102" t="s">
        <v>137</v>
      </c>
      <c r="Y2843" s="103" t="s">
        <v>138</v>
      </c>
      <c r="Z2843" s="103" t="s">
        <v>139</v>
      </c>
      <c r="AA2843" s="103" t="s">
        <v>47</v>
      </c>
      <c r="AB2843" s="103" t="s">
        <v>140</v>
      </c>
      <c r="AC2843" s="104" t="s">
        <v>141</v>
      </c>
    </row>
    <row r="2844" spans="1:29" ht="25.5" customHeight="1" x14ac:dyDescent="0.35">
      <c r="A2844" s="188"/>
      <c r="B2844" s="190"/>
      <c r="C2844" s="99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0"/>
      <c r="E2844" s="78" t="str">
        <f>IF(C2844="","",IFERROR(VLOOKUP(C2844,parametros!$A$11:$E$15,5,0),""))</f>
        <v/>
      </c>
      <c r="F2844" s="79" t="str">
        <f t="shared" si="222"/>
        <v/>
      </c>
      <c r="G2844" s="101"/>
      <c r="H2844" s="91">
        <f t="shared" si="223"/>
        <v>0</v>
      </c>
      <c r="I2844" s="91" t="str">
        <f t="shared" si="224"/>
        <v/>
      </c>
      <c r="J2844" s="91" t="str">
        <f t="shared" si="225"/>
        <v/>
      </c>
      <c r="K2844" s="92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2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58"/>
      <c r="U2844" s="217" t="str">
        <f t="shared" si="226"/>
        <v/>
      </c>
      <c r="V2844" s="215" t="s">
        <v>47</v>
      </c>
      <c r="W2844" s="102" t="s">
        <v>136</v>
      </c>
      <c r="X2844" s="102" t="s">
        <v>137</v>
      </c>
      <c r="Y2844" s="103" t="s">
        <v>138</v>
      </c>
      <c r="Z2844" s="103" t="s">
        <v>139</v>
      </c>
      <c r="AA2844" s="103" t="s">
        <v>47</v>
      </c>
      <c r="AB2844" s="103" t="s">
        <v>140</v>
      </c>
      <c r="AC2844" s="104" t="s">
        <v>141</v>
      </c>
    </row>
    <row r="2845" spans="1:29" ht="25.5" customHeight="1" x14ac:dyDescent="0.35">
      <c r="A2845" s="188"/>
      <c r="B2845" s="190"/>
      <c r="C2845" s="99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0"/>
      <c r="E2845" s="78" t="str">
        <f>IF(C2845="","",IFERROR(VLOOKUP(C2845,parametros!$A$11:$E$15,5,0),""))</f>
        <v/>
      </c>
      <c r="F2845" s="79" t="str">
        <f t="shared" si="222"/>
        <v/>
      </c>
      <c r="G2845" s="101"/>
      <c r="H2845" s="91">
        <f t="shared" si="223"/>
        <v>0</v>
      </c>
      <c r="I2845" s="91" t="str">
        <f t="shared" si="224"/>
        <v/>
      </c>
      <c r="J2845" s="91" t="str">
        <f t="shared" si="225"/>
        <v/>
      </c>
      <c r="K2845" s="92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2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58"/>
      <c r="U2845" s="217" t="str">
        <f t="shared" si="226"/>
        <v/>
      </c>
      <c r="V2845" s="215" t="s">
        <v>47</v>
      </c>
      <c r="W2845" s="102" t="s">
        <v>136</v>
      </c>
      <c r="X2845" s="102" t="s">
        <v>137</v>
      </c>
      <c r="Y2845" s="103" t="s">
        <v>138</v>
      </c>
      <c r="Z2845" s="103" t="s">
        <v>139</v>
      </c>
      <c r="AA2845" s="103" t="s">
        <v>47</v>
      </c>
      <c r="AB2845" s="103" t="s">
        <v>140</v>
      </c>
      <c r="AC2845" s="104" t="s">
        <v>141</v>
      </c>
    </row>
    <row r="2846" spans="1:29" ht="25.5" customHeight="1" x14ac:dyDescent="0.35">
      <c r="A2846" s="188"/>
      <c r="B2846" s="190"/>
      <c r="C2846" s="99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0"/>
      <c r="E2846" s="78" t="str">
        <f>IF(C2846="","",IFERROR(VLOOKUP(C2846,parametros!$A$11:$E$15,5,0),""))</f>
        <v/>
      </c>
      <c r="F2846" s="79" t="str">
        <f t="shared" si="222"/>
        <v/>
      </c>
      <c r="G2846" s="101"/>
      <c r="H2846" s="91">
        <f t="shared" si="223"/>
        <v>0</v>
      </c>
      <c r="I2846" s="91" t="str">
        <f t="shared" si="224"/>
        <v/>
      </c>
      <c r="J2846" s="91" t="str">
        <f t="shared" si="225"/>
        <v/>
      </c>
      <c r="K2846" s="92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2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58"/>
      <c r="U2846" s="217" t="str">
        <f t="shared" si="226"/>
        <v/>
      </c>
      <c r="V2846" s="215" t="s">
        <v>47</v>
      </c>
      <c r="W2846" s="102" t="s">
        <v>136</v>
      </c>
      <c r="X2846" s="102" t="s">
        <v>137</v>
      </c>
      <c r="Y2846" s="103" t="s">
        <v>138</v>
      </c>
      <c r="Z2846" s="103" t="s">
        <v>139</v>
      </c>
      <c r="AA2846" s="103" t="s">
        <v>47</v>
      </c>
      <c r="AB2846" s="103" t="s">
        <v>140</v>
      </c>
      <c r="AC2846" s="104" t="s">
        <v>141</v>
      </c>
    </row>
    <row r="2847" spans="1:29" ht="25.5" customHeight="1" x14ac:dyDescent="0.35">
      <c r="A2847" s="188"/>
      <c r="B2847" s="190"/>
      <c r="C2847" s="99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0"/>
      <c r="E2847" s="78" t="str">
        <f>IF(C2847="","",IFERROR(VLOOKUP(C2847,parametros!$A$11:$E$15,5,0),""))</f>
        <v/>
      </c>
      <c r="F2847" s="79" t="str">
        <f t="shared" si="222"/>
        <v/>
      </c>
      <c r="G2847" s="101"/>
      <c r="H2847" s="91">
        <f t="shared" si="223"/>
        <v>0</v>
      </c>
      <c r="I2847" s="91" t="str">
        <f t="shared" si="224"/>
        <v/>
      </c>
      <c r="J2847" s="91" t="str">
        <f t="shared" si="225"/>
        <v/>
      </c>
      <c r="K2847" s="92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2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58"/>
      <c r="U2847" s="217" t="str">
        <f t="shared" si="226"/>
        <v/>
      </c>
      <c r="V2847" s="215" t="s">
        <v>47</v>
      </c>
      <c r="W2847" s="102" t="s">
        <v>136</v>
      </c>
      <c r="X2847" s="102" t="s">
        <v>137</v>
      </c>
      <c r="Y2847" s="103" t="s">
        <v>138</v>
      </c>
      <c r="Z2847" s="103" t="s">
        <v>139</v>
      </c>
      <c r="AA2847" s="103" t="s">
        <v>47</v>
      </c>
      <c r="AB2847" s="103" t="s">
        <v>140</v>
      </c>
      <c r="AC2847" s="104" t="s">
        <v>141</v>
      </c>
    </row>
    <row r="2848" spans="1:29" ht="25.5" customHeight="1" x14ac:dyDescent="0.35">
      <c r="A2848" s="188"/>
      <c r="B2848" s="190"/>
      <c r="C2848" s="99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0"/>
      <c r="E2848" s="78" t="str">
        <f>IF(C2848="","",IFERROR(VLOOKUP(C2848,parametros!$A$11:$E$15,5,0),""))</f>
        <v/>
      </c>
      <c r="F2848" s="79" t="str">
        <f t="shared" si="222"/>
        <v/>
      </c>
      <c r="G2848" s="101"/>
      <c r="H2848" s="91">
        <f t="shared" si="223"/>
        <v>0</v>
      </c>
      <c r="I2848" s="91" t="str">
        <f t="shared" si="224"/>
        <v/>
      </c>
      <c r="J2848" s="91" t="str">
        <f t="shared" si="225"/>
        <v/>
      </c>
      <c r="K2848" s="92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2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58"/>
      <c r="U2848" s="217" t="str">
        <f t="shared" si="226"/>
        <v/>
      </c>
      <c r="V2848" s="215" t="s">
        <v>47</v>
      </c>
      <c r="W2848" s="102" t="s">
        <v>136</v>
      </c>
      <c r="X2848" s="102" t="s">
        <v>137</v>
      </c>
      <c r="Y2848" s="103" t="s">
        <v>138</v>
      </c>
      <c r="Z2848" s="103" t="s">
        <v>139</v>
      </c>
      <c r="AA2848" s="103" t="s">
        <v>47</v>
      </c>
      <c r="AB2848" s="103" t="s">
        <v>140</v>
      </c>
      <c r="AC2848" s="104" t="s">
        <v>141</v>
      </c>
    </row>
    <row r="2849" spans="1:29" ht="25.5" customHeight="1" x14ac:dyDescent="0.35">
      <c r="A2849" s="188"/>
      <c r="B2849" s="190"/>
      <c r="C2849" s="99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0"/>
      <c r="E2849" s="78" t="str">
        <f>IF(C2849="","",IFERROR(VLOOKUP(C2849,parametros!$A$11:$E$15,5,0),""))</f>
        <v/>
      </c>
      <c r="F2849" s="79" t="str">
        <f t="shared" si="222"/>
        <v/>
      </c>
      <c r="G2849" s="101"/>
      <c r="H2849" s="91">
        <f t="shared" si="223"/>
        <v>0</v>
      </c>
      <c r="I2849" s="91" t="str">
        <f t="shared" si="224"/>
        <v/>
      </c>
      <c r="J2849" s="91" t="str">
        <f t="shared" si="225"/>
        <v/>
      </c>
      <c r="K2849" s="92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2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58"/>
      <c r="U2849" s="217" t="str">
        <f t="shared" si="226"/>
        <v/>
      </c>
      <c r="V2849" s="215" t="s">
        <v>47</v>
      </c>
      <c r="W2849" s="102" t="s">
        <v>136</v>
      </c>
      <c r="X2849" s="102" t="s">
        <v>137</v>
      </c>
      <c r="Y2849" s="103" t="s">
        <v>138</v>
      </c>
      <c r="Z2849" s="103" t="s">
        <v>139</v>
      </c>
      <c r="AA2849" s="103" t="s">
        <v>47</v>
      </c>
      <c r="AB2849" s="103" t="s">
        <v>140</v>
      </c>
      <c r="AC2849" s="104" t="s">
        <v>141</v>
      </c>
    </row>
    <row r="2850" spans="1:29" ht="25.5" customHeight="1" x14ac:dyDescent="0.35">
      <c r="A2850" s="188"/>
      <c r="B2850" s="190"/>
      <c r="C2850" s="99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0"/>
      <c r="E2850" s="78" t="str">
        <f>IF(C2850="","",IFERROR(VLOOKUP(C2850,parametros!$A$11:$E$15,5,0),""))</f>
        <v/>
      </c>
      <c r="F2850" s="79" t="str">
        <f t="shared" si="222"/>
        <v/>
      </c>
      <c r="G2850" s="101"/>
      <c r="H2850" s="91">
        <f t="shared" si="223"/>
        <v>0</v>
      </c>
      <c r="I2850" s="91" t="str">
        <f t="shared" si="224"/>
        <v/>
      </c>
      <c r="J2850" s="91" t="str">
        <f t="shared" si="225"/>
        <v/>
      </c>
      <c r="K2850" s="92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2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58"/>
      <c r="U2850" s="217" t="str">
        <f t="shared" si="226"/>
        <v/>
      </c>
      <c r="V2850" s="215" t="s">
        <v>47</v>
      </c>
      <c r="W2850" s="102" t="s">
        <v>136</v>
      </c>
      <c r="X2850" s="102" t="s">
        <v>137</v>
      </c>
      <c r="Y2850" s="103" t="s">
        <v>138</v>
      </c>
      <c r="Z2850" s="103" t="s">
        <v>139</v>
      </c>
      <c r="AA2850" s="103" t="s">
        <v>47</v>
      </c>
      <c r="AB2850" s="103" t="s">
        <v>140</v>
      </c>
      <c r="AC2850" s="104" t="s">
        <v>141</v>
      </c>
    </row>
    <row r="2851" spans="1:29" ht="25.5" customHeight="1" x14ac:dyDescent="0.35">
      <c r="A2851" s="188"/>
      <c r="B2851" s="190"/>
      <c r="C2851" s="99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0"/>
      <c r="E2851" s="78" t="str">
        <f>IF(C2851="","",IFERROR(VLOOKUP(C2851,parametros!$A$11:$E$15,5,0),""))</f>
        <v/>
      </c>
      <c r="F2851" s="79" t="str">
        <f t="shared" si="222"/>
        <v/>
      </c>
      <c r="G2851" s="101"/>
      <c r="H2851" s="91">
        <f t="shared" si="223"/>
        <v>0</v>
      </c>
      <c r="I2851" s="91" t="str">
        <f t="shared" si="224"/>
        <v/>
      </c>
      <c r="J2851" s="91" t="str">
        <f t="shared" si="225"/>
        <v/>
      </c>
      <c r="K2851" s="92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2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58"/>
      <c r="U2851" s="217" t="str">
        <f t="shared" si="226"/>
        <v/>
      </c>
      <c r="V2851" s="215" t="s">
        <v>47</v>
      </c>
      <c r="W2851" s="102" t="s">
        <v>136</v>
      </c>
      <c r="X2851" s="102" t="s">
        <v>137</v>
      </c>
      <c r="Y2851" s="103" t="s">
        <v>138</v>
      </c>
      <c r="Z2851" s="103" t="s">
        <v>139</v>
      </c>
      <c r="AA2851" s="103" t="s">
        <v>47</v>
      </c>
      <c r="AB2851" s="103" t="s">
        <v>140</v>
      </c>
      <c r="AC2851" s="104" t="s">
        <v>141</v>
      </c>
    </row>
    <row r="2852" spans="1:29" ht="25.5" customHeight="1" x14ac:dyDescent="0.35">
      <c r="A2852" s="188"/>
      <c r="B2852" s="190"/>
      <c r="C2852" s="99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0"/>
      <c r="E2852" s="78" t="str">
        <f>IF(C2852="","",IFERROR(VLOOKUP(C2852,parametros!$A$11:$E$15,5,0),""))</f>
        <v/>
      </c>
      <c r="F2852" s="79" t="str">
        <f t="shared" si="222"/>
        <v/>
      </c>
      <c r="G2852" s="101"/>
      <c r="H2852" s="91">
        <f t="shared" si="223"/>
        <v>0</v>
      </c>
      <c r="I2852" s="91" t="str">
        <f t="shared" si="224"/>
        <v/>
      </c>
      <c r="J2852" s="91" t="str">
        <f t="shared" si="225"/>
        <v/>
      </c>
      <c r="K2852" s="92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2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58"/>
      <c r="U2852" s="217" t="str">
        <f t="shared" si="226"/>
        <v/>
      </c>
      <c r="V2852" s="215" t="s">
        <v>47</v>
      </c>
      <c r="W2852" s="102" t="s">
        <v>136</v>
      </c>
      <c r="X2852" s="102" t="s">
        <v>137</v>
      </c>
      <c r="Y2852" s="103" t="s">
        <v>138</v>
      </c>
      <c r="Z2852" s="103" t="s">
        <v>139</v>
      </c>
      <c r="AA2852" s="103" t="s">
        <v>47</v>
      </c>
      <c r="AB2852" s="103" t="s">
        <v>140</v>
      </c>
      <c r="AC2852" s="104" t="s">
        <v>141</v>
      </c>
    </row>
    <row r="2853" spans="1:29" ht="25.5" customHeight="1" x14ac:dyDescent="0.35">
      <c r="A2853" s="188"/>
      <c r="B2853" s="190"/>
      <c r="C2853" s="99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0"/>
      <c r="E2853" s="78" t="str">
        <f>IF(C2853="","",IFERROR(VLOOKUP(C2853,parametros!$A$11:$E$15,5,0),""))</f>
        <v/>
      </c>
      <c r="F2853" s="79" t="str">
        <f t="shared" si="222"/>
        <v/>
      </c>
      <c r="G2853" s="101"/>
      <c r="H2853" s="91">
        <f t="shared" si="223"/>
        <v>0</v>
      </c>
      <c r="I2853" s="91" t="str">
        <f t="shared" si="224"/>
        <v/>
      </c>
      <c r="J2853" s="91" t="str">
        <f t="shared" si="225"/>
        <v/>
      </c>
      <c r="K2853" s="92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2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58"/>
      <c r="U2853" s="217" t="str">
        <f t="shared" si="226"/>
        <v/>
      </c>
      <c r="V2853" s="215" t="s">
        <v>47</v>
      </c>
      <c r="W2853" s="102" t="s">
        <v>136</v>
      </c>
      <c r="X2853" s="102" t="s">
        <v>137</v>
      </c>
      <c r="Y2853" s="103" t="s">
        <v>138</v>
      </c>
      <c r="Z2853" s="103" t="s">
        <v>139</v>
      </c>
      <c r="AA2853" s="103" t="s">
        <v>47</v>
      </c>
      <c r="AB2853" s="103" t="s">
        <v>140</v>
      </c>
      <c r="AC2853" s="104" t="s">
        <v>141</v>
      </c>
    </row>
    <row r="2854" spans="1:29" ht="25.5" customHeight="1" x14ac:dyDescent="0.35">
      <c r="A2854" s="188"/>
      <c r="B2854" s="190"/>
      <c r="C2854" s="99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0"/>
      <c r="E2854" s="78" t="str">
        <f>IF(C2854="","",IFERROR(VLOOKUP(C2854,parametros!$A$11:$E$15,5,0),""))</f>
        <v/>
      </c>
      <c r="F2854" s="79" t="str">
        <f t="shared" si="222"/>
        <v/>
      </c>
      <c r="G2854" s="101"/>
      <c r="H2854" s="91">
        <f t="shared" si="223"/>
        <v>0</v>
      </c>
      <c r="I2854" s="91" t="str">
        <f t="shared" si="224"/>
        <v/>
      </c>
      <c r="J2854" s="91" t="str">
        <f t="shared" si="225"/>
        <v/>
      </c>
      <c r="K2854" s="92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2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58"/>
      <c r="U2854" s="217" t="str">
        <f t="shared" si="226"/>
        <v/>
      </c>
      <c r="V2854" s="215" t="s">
        <v>47</v>
      </c>
      <c r="W2854" s="102" t="s">
        <v>136</v>
      </c>
      <c r="X2854" s="102" t="s">
        <v>137</v>
      </c>
      <c r="Y2854" s="103" t="s">
        <v>138</v>
      </c>
      <c r="Z2854" s="103" t="s">
        <v>139</v>
      </c>
      <c r="AA2854" s="103" t="s">
        <v>47</v>
      </c>
      <c r="AB2854" s="103" t="s">
        <v>140</v>
      </c>
      <c r="AC2854" s="104" t="s">
        <v>141</v>
      </c>
    </row>
    <row r="2855" spans="1:29" ht="25.5" customHeight="1" x14ac:dyDescent="0.35">
      <c r="A2855" s="188"/>
      <c r="B2855" s="190"/>
      <c r="C2855" s="99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0"/>
      <c r="E2855" s="78" t="str">
        <f>IF(C2855="","",IFERROR(VLOOKUP(C2855,parametros!$A$11:$E$15,5,0),""))</f>
        <v/>
      </c>
      <c r="F2855" s="79" t="str">
        <f t="shared" si="222"/>
        <v/>
      </c>
      <c r="G2855" s="101"/>
      <c r="H2855" s="91">
        <f t="shared" si="223"/>
        <v>0</v>
      </c>
      <c r="I2855" s="91" t="str">
        <f t="shared" si="224"/>
        <v/>
      </c>
      <c r="J2855" s="91" t="str">
        <f t="shared" si="225"/>
        <v/>
      </c>
      <c r="K2855" s="92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2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58"/>
      <c r="U2855" s="217" t="str">
        <f t="shared" si="226"/>
        <v/>
      </c>
      <c r="V2855" s="215" t="s">
        <v>47</v>
      </c>
      <c r="W2855" s="102" t="s">
        <v>136</v>
      </c>
      <c r="X2855" s="102" t="s">
        <v>137</v>
      </c>
      <c r="Y2855" s="103" t="s">
        <v>138</v>
      </c>
      <c r="Z2855" s="103" t="s">
        <v>139</v>
      </c>
      <c r="AA2855" s="103" t="s">
        <v>47</v>
      </c>
      <c r="AB2855" s="103" t="s">
        <v>140</v>
      </c>
      <c r="AC2855" s="104" t="s">
        <v>141</v>
      </c>
    </row>
    <row r="2856" spans="1:29" ht="25.5" customHeight="1" x14ac:dyDescent="0.35">
      <c r="A2856" s="188"/>
      <c r="B2856" s="190"/>
      <c r="C2856" s="99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0"/>
      <c r="E2856" s="78" t="str">
        <f>IF(C2856="","",IFERROR(VLOOKUP(C2856,parametros!$A$11:$E$15,5,0),""))</f>
        <v/>
      </c>
      <c r="F2856" s="79" t="str">
        <f t="shared" si="222"/>
        <v/>
      </c>
      <c r="G2856" s="101"/>
      <c r="H2856" s="91">
        <f t="shared" si="223"/>
        <v>0</v>
      </c>
      <c r="I2856" s="91" t="str">
        <f t="shared" si="224"/>
        <v/>
      </c>
      <c r="J2856" s="91" t="str">
        <f t="shared" si="225"/>
        <v/>
      </c>
      <c r="K2856" s="92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2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58"/>
      <c r="U2856" s="217" t="str">
        <f t="shared" si="226"/>
        <v/>
      </c>
      <c r="V2856" s="215" t="s">
        <v>47</v>
      </c>
      <c r="W2856" s="102" t="s">
        <v>136</v>
      </c>
      <c r="X2856" s="102" t="s">
        <v>137</v>
      </c>
      <c r="Y2856" s="103" t="s">
        <v>138</v>
      </c>
      <c r="Z2856" s="103" t="s">
        <v>139</v>
      </c>
      <c r="AA2856" s="103" t="s">
        <v>47</v>
      </c>
      <c r="AB2856" s="103" t="s">
        <v>140</v>
      </c>
      <c r="AC2856" s="104" t="s">
        <v>141</v>
      </c>
    </row>
    <row r="2857" spans="1:29" ht="25.5" customHeight="1" x14ac:dyDescent="0.35">
      <c r="A2857" s="188"/>
      <c r="B2857" s="190"/>
      <c r="C2857" s="99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0"/>
      <c r="E2857" s="78" t="str">
        <f>IF(C2857="","",IFERROR(VLOOKUP(C2857,parametros!$A$11:$E$15,5,0),""))</f>
        <v/>
      </c>
      <c r="F2857" s="79" t="str">
        <f t="shared" si="222"/>
        <v/>
      </c>
      <c r="G2857" s="101"/>
      <c r="H2857" s="91">
        <f t="shared" si="223"/>
        <v>0</v>
      </c>
      <c r="I2857" s="91" t="str">
        <f t="shared" si="224"/>
        <v/>
      </c>
      <c r="J2857" s="91" t="str">
        <f t="shared" si="225"/>
        <v/>
      </c>
      <c r="K2857" s="92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2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58"/>
      <c r="U2857" s="217" t="str">
        <f t="shared" si="226"/>
        <v/>
      </c>
      <c r="V2857" s="215" t="s">
        <v>47</v>
      </c>
      <c r="W2857" s="102" t="s">
        <v>136</v>
      </c>
      <c r="X2857" s="102" t="s">
        <v>137</v>
      </c>
      <c r="Y2857" s="103" t="s">
        <v>138</v>
      </c>
      <c r="Z2857" s="103" t="s">
        <v>139</v>
      </c>
      <c r="AA2857" s="103" t="s">
        <v>47</v>
      </c>
      <c r="AB2857" s="103" t="s">
        <v>140</v>
      </c>
      <c r="AC2857" s="104" t="s">
        <v>141</v>
      </c>
    </row>
    <row r="2858" spans="1:29" ht="25.5" customHeight="1" x14ac:dyDescent="0.35">
      <c r="A2858" s="188"/>
      <c r="B2858" s="190"/>
      <c r="C2858" s="99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0"/>
      <c r="E2858" s="78" t="str">
        <f>IF(C2858="","",IFERROR(VLOOKUP(C2858,parametros!$A$11:$E$15,5,0),""))</f>
        <v/>
      </c>
      <c r="F2858" s="79" t="str">
        <f t="shared" si="222"/>
        <v/>
      </c>
      <c r="G2858" s="101"/>
      <c r="H2858" s="91">
        <f t="shared" si="223"/>
        <v>0</v>
      </c>
      <c r="I2858" s="91" t="str">
        <f t="shared" si="224"/>
        <v/>
      </c>
      <c r="J2858" s="91" t="str">
        <f t="shared" si="225"/>
        <v/>
      </c>
      <c r="K2858" s="92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2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58"/>
      <c r="U2858" s="217" t="str">
        <f t="shared" si="226"/>
        <v/>
      </c>
      <c r="V2858" s="215" t="s">
        <v>47</v>
      </c>
      <c r="W2858" s="102" t="s">
        <v>136</v>
      </c>
      <c r="X2858" s="102" t="s">
        <v>137</v>
      </c>
      <c r="Y2858" s="103" t="s">
        <v>138</v>
      </c>
      <c r="Z2858" s="103" t="s">
        <v>139</v>
      </c>
      <c r="AA2858" s="103" t="s">
        <v>47</v>
      </c>
      <c r="AB2858" s="103" t="s">
        <v>140</v>
      </c>
      <c r="AC2858" s="104" t="s">
        <v>141</v>
      </c>
    </row>
    <row r="2859" spans="1:29" ht="25.5" customHeight="1" x14ac:dyDescent="0.35">
      <c r="A2859" s="188"/>
      <c r="B2859" s="190"/>
      <c r="C2859" s="99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0"/>
      <c r="E2859" s="78" t="str">
        <f>IF(C2859="","",IFERROR(VLOOKUP(C2859,parametros!$A$11:$E$15,5,0),""))</f>
        <v/>
      </c>
      <c r="F2859" s="79" t="str">
        <f t="shared" si="222"/>
        <v/>
      </c>
      <c r="G2859" s="101"/>
      <c r="H2859" s="91">
        <f t="shared" si="223"/>
        <v>0</v>
      </c>
      <c r="I2859" s="91" t="str">
        <f t="shared" si="224"/>
        <v/>
      </c>
      <c r="J2859" s="91" t="str">
        <f t="shared" si="225"/>
        <v/>
      </c>
      <c r="K2859" s="92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2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58"/>
      <c r="U2859" s="217" t="str">
        <f t="shared" si="226"/>
        <v/>
      </c>
      <c r="V2859" s="215" t="s">
        <v>47</v>
      </c>
      <c r="W2859" s="102" t="s">
        <v>136</v>
      </c>
      <c r="X2859" s="102" t="s">
        <v>137</v>
      </c>
      <c r="Y2859" s="103" t="s">
        <v>138</v>
      </c>
      <c r="Z2859" s="103" t="s">
        <v>139</v>
      </c>
      <c r="AA2859" s="103" t="s">
        <v>47</v>
      </c>
      <c r="AB2859" s="103" t="s">
        <v>140</v>
      </c>
      <c r="AC2859" s="104" t="s">
        <v>141</v>
      </c>
    </row>
    <row r="2860" spans="1:29" ht="25.5" customHeight="1" x14ac:dyDescent="0.35">
      <c r="A2860" s="188"/>
      <c r="B2860" s="190"/>
      <c r="C2860" s="99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0"/>
      <c r="E2860" s="78" t="str">
        <f>IF(C2860="","",IFERROR(VLOOKUP(C2860,parametros!$A$11:$E$15,5,0),""))</f>
        <v/>
      </c>
      <c r="F2860" s="79" t="str">
        <f t="shared" si="222"/>
        <v/>
      </c>
      <c r="G2860" s="101"/>
      <c r="H2860" s="91">
        <f t="shared" si="223"/>
        <v>0</v>
      </c>
      <c r="I2860" s="91" t="str">
        <f t="shared" si="224"/>
        <v/>
      </c>
      <c r="J2860" s="91" t="str">
        <f t="shared" si="225"/>
        <v/>
      </c>
      <c r="K2860" s="92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2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58"/>
      <c r="U2860" s="217" t="str">
        <f t="shared" si="226"/>
        <v/>
      </c>
      <c r="V2860" s="215" t="s">
        <v>47</v>
      </c>
      <c r="W2860" s="102" t="s">
        <v>136</v>
      </c>
      <c r="X2860" s="102" t="s">
        <v>137</v>
      </c>
      <c r="Y2860" s="103" t="s">
        <v>138</v>
      </c>
      <c r="Z2860" s="103" t="s">
        <v>139</v>
      </c>
      <c r="AA2860" s="103" t="s">
        <v>47</v>
      </c>
      <c r="AB2860" s="103" t="s">
        <v>140</v>
      </c>
      <c r="AC2860" s="104" t="s">
        <v>141</v>
      </c>
    </row>
    <row r="2861" spans="1:29" ht="25.5" customHeight="1" x14ac:dyDescent="0.35">
      <c r="A2861" s="188"/>
      <c r="B2861" s="190"/>
      <c r="C2861" s="99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0"/>
      <c r="E2861" s="78" t="str">
        <f>IF(C2861="","",IFERROR(VLOOKUP(C2861,parametros!$A$11:$E$15,5,0),""))</f>
        <v/>
      </c>
      <c r="F2861" s="79" t="str">
        <f t="shared" si="222"/>
        <v/>
      </c>
      <c r="G2861" s="101"/>
      <c r="H2861" s="91">
        <f t="shared" si="223"/>
        <v>0</v>
      </c>
      <c r="I2861" s="91" t="str">
        <f t="shared" si="224"/>
        <v/>
      </c>
      <c r="J2861" s="91" t="str">
        <f t="shared" si="225"/>
        <v/>
      </c>
      <c r="K2861" s="92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2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58"/>
      <c r="U2861" s="217" t="str">
        <f t="shared" si="226"/>
        <v/>
      </c>
      <c r="V2861" s="215" t="s">
        <v>47</v>
      </c>
      <c r="W2861" s="102" t="s">
        <v>136</v>
      </c>
      <c r="X2861" s="102" t="s">
        <v>137</v>
      </c>
      <c r="Y2861" s="103" t="s">
        <v>138</v>
      </c>
      <c r="Z2861" s="103" t="s">
        <v>139</v>
      </c>
      <c r="AA2861" s="103" t="s">
        <v>47</v>
      </c>
      <c r="AB2861" s="103" t="s">
        <v>140</v>
      </c>
      <c r="AC2861" s="104" t="s">
        <v>141</v>
      </c>
    </row>
    <row r="2862" spans="1:29" ht="25.5" customHeight="1" x14ac:dyDescent="0.35">
      <c r="A2862" s="188"/>
      <c r="B2862" s="190"/>
      <c r="C2862" s="99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0"/>
      <c r="E2862" s="78" t="str">
        <f>IF(C2862="","",IFERROR(VLOOKUP(C2862,parametros!$A$11:$E$15,5,0),""))</f>
        <v/>
      </c>
      <c r="F2862" s="79" t="str">
        <f t="shared" si="222"/>
        <v/>
      </c>
      <c r="G2862" s="101"/>
      <c r="H2862" s="91">
        <f t="shared" si="223"/>
        <v>0</v>
      </c>
      <c r="I2862" s="91" t="str">
        <f t="shared" si="224"/>
        <v/>
      </c>
      <c r="J2862" s="91" t="str">
        <f t="shared" si="225"/>
        <v/>
      </c>
      <c r="K2862" s="92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2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58"/>
      <c r="U2862" s="217" t="str">
        <f t="shared" si="226"/>
        <v/>
      </c>
      <c r="V2862" s="215" t="s">
        <v>47</v>
      </c>
      <c r="W2862" s="102" t="s">
        <v>136</v>
      </c>
      <c r="X2862" s="102" t="s">
        <v>137</v>
      </c>
      <c r="Y2862" s="103" t="s">
        <v>138</v>
      </c>
      <c r="Z2862" s="103" t="s">
        <v>139</v>
      </c>
      <c r="AA2862" s="103" t="s">
        <v>47</v>
      </c>
      <c r="AB2862" s="103" t="s">
        <v>140</v>
      </c>
      <c r="AC2862" s="104" t="s">
        <v>141</v>
      </c>
    </row>
    <row r="2863" spans="1:29" ht="25.5" customHeight="1" x14ac:dyDescent="0.35">
      <c r="A2863" s="188"/>
      <c r="B2863" s="190"/>
      <c r="C2863" s="99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0"/>
      <c r="E2863" s="78" t="str">
        <f>IF(C2863="","",IFERROR(VLOOKUP(C2863,parametros!$A$11:$E$15,5,0),""))</f>
        <v/>
      </c>
      <c r="F2863" s="79" t="str">
        <f t="shared" si="222"/>
        <v/>
      </c>
      <c r="G2863" s="101"/>
      <c r="H2863" s="91">
        <f t="shared" si="223"/>
        <v>0</v>
      </c>
      <c r="I2863" s="91" t="str">
        <f t="shared" si="224"/>
        <v/>
      </c>
      <c r="J2863" s="91" t="str">
        <f t="shared" si="225"/>
        <v/>
      </c>
      <c r="K2863" s="92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2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58"/>
      <c r="U2863" s="217" t="str">
        <f t="shared" si="226"/>
        <v/>
      </c>
      <c r="V2863" s="215" t="s">
        <v>47</v>
      </c>
      <c r="W2863" s="102" t="s">
        <v>136</v>
      </c>
      <c r="X2863" s="102" t="s">
        <v>137</v>
      </c>
      <c r="Y2863" s="103" t="s">
        <v>138</v>
      </c>
      <c r="Z2863" s="103" t="s">
        <v>139</v>
      </c>
      <c r="AA2863" s="103" t="s">
        <v>47</v>
      </c>
      <c r="AB2863" s="103" t="s">
        <v>140</v>
      </c>
      <c r="AC2863" s="104" t="s">
        <v>141</v>
      </c>
    </row>
    <row r="2864" spans="1:29" ht="25.5" customHeight="1" x14ac:dyDescent="0.35">
      <c r="A2864" s="188"/>
      <c r="B2864" s="190"/>
      <c r="C2864" s="99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0"/>
      <c r="E2864" s="78" t="str">
        <f>IF(C2864="","",IFERROR(VLOOKUP(C2864,parametros!$A$11:$E$15,5,0),""))</f>
        <v/>
      </c>
      <c r="F2864" s="79" t="str">
        <f t="shared" si="222"/>
        <v/>
      </c>
      <c r="G2864" s="101"/>
      <c r="H2864" s="91">
        <f t="shared" si="223"/>
        <v>0</v>
      </c>
      <c r="I2864" s="91" t="str">
        <f t="shared" si="224"/>
        <v/>
      </c>
      <c r="J2864" s="91" t="str">
        <f t="shared" si="225"/>
        <v/>
      </c>
      <c r="K2864" s="92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2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58"/>
      <c r="U2864" s="217" t="str">
        <f t="shared" si="226"/>
        <v/>
      </c>
      <c r="V2864" s="215" t="s">
        <v>47</v>
      </c>
      <c r="W2864" s="102" t="s">
        <v>136</v>
      </c>
      <c r="X2864" s="102" t="s">
        <v>137</v>
      </c>
      <c r="Y2864" s="103" t="s">
        <v>138</v>
      </c>
      <c r="Z2864" s="103" t="s">
        <v>139</v>
      </c>
      <c r="AA2864" s="103" t="s">
        <v>47</v>
      </c>
      <c r="AB2864" s="103" t="s">
        <v>140</v>
      </c>
      <c r="AC2864" s="104" t="s">
        <v>141</v>
      </c>
    </row>
    <row r="2865" spans="1:29" ht="25.5" customHeight="1" x14ac:dyDescent="0.35">
      <c r="A2865" s="188"/>
      <c r="B2865" s="190"/>
      <c r="C2865" s="99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0"/>
      <c r="E2865" s="78" t="str">
        <f>IF(C2865="","",IFERROR(VLOOKUP(C2865,parametros!$A$11:$E$15,5,0),""))</f>
        <v/>
      </c>
      <c r="F2865" s="79" t="str">
        <f t="shared" si="222"/>
        <v/>
      </c>
      <c r="G2865" s="101"/>
      <c r="H2865" s="91">
        <f t="shared" si="223"/>
        <v>0</v>
      </c>
      <c r="I2865" s="91" t="str">
        <f t="shared" si="224"/>
        <v/>
      </c>
      <c r="J2865" s="91" t="str">
        <f t="shared" si="225"/>
        <v/>
      </c>
      <c r="K2865" s="92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2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58"/>
      <c r="U2865" s="217" t="str">
        <f t="shared" si="226"/>
        <v/>
      </c>
      <c r="V2865" s="215" t="s">
        <v>47</v>
      </c>
      <c r="W2865" s="102" t="s">
        <v>136</v>
      </c>
      <c r="X2865" s="102" t="s">
        <v>137</v>
      </c>
      <c r="Y2865" s="103" t="s">
        <v>138</v>
      </c>
      <c r="Z2865" s="103" t="s">
        <v>139</v>
      </c>
      <c r="AA2865" s="103" t="s">
        <v>47</v>
      </c>
      <c r="AB2865" s="103" t="s">
        <v>140</v>
      </c>
      <c r="AC2865" s="104" t="s">
        <v>141</v>
      </c>
    </row>
    <row r="2866" spans="1:29" ht="25.5" customHeight="1" x14ac:dyDescent="0.35">
      <c r="A2866" s="188"/>
      <c r="B2866" s="190"/>
      <c r="C2866" s="99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0"/>
      <c r="E2866" s="78" t="str">
        <f>IF(C2866="","",IFERROR(VLOOKUP(C2866,parametros!$A$11:$E$15,5,0),""))</f>
        <v/>
      </c>
      <c r="F2866" s="79" t="str">
        <f t="shared" si="222"/>
        <v/>
      </c>
      <c r="G2866" s="101"/>
      <c r="H2866" s="91">
        <f t="shared" si="223"/>
        <v>0</v>
      </c>
      <c r="I2866" s="91" t="str">
        <f t="shared" si="224"/>
        <v/>
      </c>
      <c r="J2866" s="91" t="str">
        <f t="shared" si="225"/>
        <v/>
      </c>
      <c r="K2866" s="92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2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58"/>
      <c r="U2866" s="217" t="str">
        <f t="shared" si="226"/>
        <v/>
      </c>
      <c r="V2866" s="215" t="s">
        <v>47</v>
      </c>
      <c r="W2866" s="102" t="s">
        <v>136</v>
      </c>
      <c r="X2866" s="102" t="s">
        <v>137</v>
      </c>
      <c r="Y2866" s="103" t="s">
        <v>138</v>
      </c>
      <c r="Z2866" s="103" t="s">
        <v>139</v>
      </c>
      <c r="AA2866" s="103" t="s">
        <v>47</v>
      </c>
      <c r="AB2866" s="103" t="s">
        <v>140</v>
      </c>
      <c r="AC2866" s="104" t="s">
        <v>141</v>
      </c>
    </row>
    <row r="2867" spans="1:29" ht="25.5" customHeight="1" x14ac:dyDescent="0.35">
      <c r="A2867" s="188"/>
      <c r="B2867" s="190"/>
      <c r="C2867" s="99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0"/>
      <c r="E2867" s="78" t="str">
        <f>IF(C2867="","",IFERROR(VLOOKUP(C2867,parametros!$A$11:$E$15,5,0),""))</f>
        <v/>
      </c>
      <c r="F2867" s="79" t="str">
        <f t="shared" si="222"/>
        <v/>
      </c>
      <c r="G2867" s="101"/>
      <c r="H2867" s="91">
        <f t="shared" si="223"/>
        <v>0</v>
      </c>
      <c r="I2867" s="91" t="str">
        <f t="shared" si="224"/>
        <v/>
      </c>
      <c r="J2867" s="91" t="str">
        <f t="shared" si="225"/>
        <v/>
      </c>
      <c r="K2867" s="92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2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58"/>
      <c r="U2867" s="217" t="str">
        <f t="shared" si="226"/>
        <v/>
      </c>
      <c r="V2867" s="215" t="s">
        <v>47</v>
      </c>
      <c r="W2867" s="102" t="s">
        <v>136</v>
      </c>
      <c r="X2867" s="102" t="s">
        <v>137</v>
      </c>
      <c r="Y2867" s="103" t="s">
        <v>138</v>
      </c>
      <c r="Z2867" s="103" t="s">
        <v>139</v>
      </c>
      <c r="AA2867" s="103" t="s">
        <v>47</v>
      </c>
      <c r="AB2867" s="103" t="s">
        <v>140</v>
      </c>
      <c r="AC2867" s="104" t="s">
        <v>141</v>
      </c>
    </row>
    <row r="2868" spans="1:29" ht="25.5" customHeight="1" x14ac:dyDescent="0.35">
      <c r="A2868" s="188"/>
      <c r="B2868" s="190"/>
      <c r="C2868" s="99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0"/>
      <c r="E2868" s="78" t="str">
        <f>IF(C2868="","",IFERROR(VLOOKUP(C2868,parametros!$A$11:$E$15,5,0),""))</f>
        <v/>
      </c>
      <c r="F2868" s="79" t="str">
        <f t="shared" si="222"/>
        <v/>
      </c>
      <c r="G2868" s="101"/>
      <c r="H2868" s="91">
        <f t="shared" si="223"/>
        <v>0</v>
      </c>
      <c r="I2868" s="91" t="str">
        <f t="shared" si="224"/>
        <v/>
      </c>
      <c r="J2868" s="91" t="str">
        <f t="shared" si="225"/>
        <v/>
      </c>
      <c r="K2868" s="92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2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58"/>
      <c r="U2868" s="217" t="str">
        <f t="shared" si="226"/>
        <v/>
      </c>
      <c r="V2868" s="215" t="s">
        <v>47</v>
      </c>
      <c r="W2868" s="102" t="s">
        <v>136</v>
      </c>
      <c r="X2868" s="102" t="s">
        <v>137</v>
      </c>
      <c r="Y2868" s="103" t="s">
        <v>138</v>
      </c>
      <c r="Z2868" s="103" t="s">
        <v>139</v>
      </c>
      <c r="AA2868" s="103" t="s">
        <v>47</v>
      </c>
      <c r="AB2868" s="103" t="s">
        <v>140</v>
      </c>
      <c r="AC2868" s="104" t="s">
        <v>141</v>
      </c>
    </row>
    <row r="2869" spans="1:29" ht="25.5" customHeight="1" x14ac:dyDescent="0.35">
      <c r="A2869" s="188"/>
      <c r="B2869" s="190"/>
      <c r="C2869" s="99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0"/>
      <c r="E2869" s="78" t="str">
        <f>IF(C2869="","",IFERROR(VLOOKUP(C2869,parametros!$A$11:$E$15,5,0),""))</f>
        <v/>
      </c>
      <c r="F2869" s="79" t="str">
        <f t="shared" si="222"/>
        <v/>
      </c>
      <c r="G2869" s="101"/>
      <c r="H2869" s="91">
        <f t="shared" si="223"/>
        <v>0</v>
      </c>
      <c r="I2869" s="91" t="str">
        <f t="shared" si="224"/>
        <v/>
      </c>
      <c r="J2869" s="91" t="str">
        <f t="shared" si="225"/>
        <v/>
      </c>
      <c r="K2869" s="92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2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58"/>
      <c r="U2869" s="217" t="str">
        <f t="shared" si="226"/>
        <v/>
      </c>
      <c r="V2869" s="215" t="s">
        <v>47</v>
      </c>
      <c r="W2869" s="102" t="s">
        <v>136</v>
      </c>
      <c r="X2869" s="102" t="s">
        <v>137</v>
      </c>
      <c r="Y2869" s="103" t="s">
        <v>138</v>
      </c>
      <c r="Z2869" s="103" t="s">
        <v>139</v>
      </c>
      <c r="AA2869" s="103" t="s">
        <v>47</v>
      </c>
      <c r="AB2869" s="103" t="s">
        <v>140</v>
      </c>
      <c r="AC2869" s="104" t="s">
        <v>141</v>
      </c>
    </row>
    <row r="2870" spans="1:29" ht="25.5" customHeight="1" x14ac:dyDescent="0.35">
      <c r="A2870" s="188"/>
      <c r="B2870" s="190"/>
      <c r="C2870" s="99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0"/>
      <c r="E2870" s="78" t="str">
        <f>IF(C2870="","",IFERROR(VLOOKUP(C2870,parametros!$A$11:$E$15,5,0),""))</f>
        <v/>
      </c>
      <c r="F2870" s="79" t="str">
        <f t="shared" si="222"/>
        <v/>
      </c>
      <c r="G2870" s="101"/>
      <c r="H2870" s="91">
        <f t="shared" si="223"/>
        <v>0</v>
      </c>
      <c r="I2870" s="91" t="str">
        <f t="shared" si="224"/>
        <v/>
      </c>
      <c r="J2870" s="91" t="str">
        <f t="shared" si="225"/>
        <v/>
      </c>
      <c r="K2870" s="92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2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58"/>
      <c r="U2870" s="217" t="str">
        <f t="shared" si="226"/>
        <v/>
      </c>
      <c r="V2870" s="215" t="s">
        <v>47</v>
      </c>
      <c r="W2870" s="102" t="s">
        <v>136</v>
      </c>
      <c r="X2870" s="102" t="s">
        <v>137</v>
      </c>
      <c r="Y2870" s="103" t="s">
        <v>138</v>
      </c>
      <c r="Z2870" s="103" t="s">
        <v>139</v>
      </c>
      <c r="AA2870" s="103" t="s">
        <v>47</v>
      </c>
      <c r="AB2870" s="103" t="s">
        <v>140</v>
      </c>
      <c r="AC2870" s="104" t="s">
        <v>141</v>
      </c>
    </row>
    <row r="2871" spans="1:29" ht="25.5" customHeight="1" x14ac:dyDescent="0.35">
      <c r="A2871" s="188"/>
      <c r="B2871" s="190"/>
      <c r="C2871" s="99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0"/>
      <c r="E2871" s="78" t="str">
        <f>IF(C2871="","",IFERROR(VLOOKUP(C2871,parametros!$A$11:$E$15,5,0),""))</f>
        <v/>
      </c>
      <c r="F2871" s="79" t="str">
        <f t="shared" si="222"/>
        <v/>
      </c>
      <c r="G2871" s="101"/>
      <c r="H2871" s="91">
        <f t="shared" si="223"/>
        <v>0</v>
      </c>
      <c r="I2871" s="91" t="str">
        <f t="shared" si="224"/>
        <v/>
      </c>
      <c r="J2871" s="91" t="str">
        <f t="shared" si="225"/>
        <v/>
      </c>
      <c r="K2871" s="92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2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58"/>
      <c r="U2871" s="217" t="str">
        <f t="shared" si="226"/>
        <v/>
      </c>
      <c r="V2871" s="215" t="s">
        <v>47</v>
      </c>
      <c r="W2871" s="102" t="s">
        <v>136</v>
      </c>
      <c r="X2871" s="102" t="s">
        <v>137</v>
      </c>
      <c r="Y2871" s="103" t="s">
        <v>138</v>
      </c>
      <c r="Z2871" s="103" t="s">
        <v>139</v>
      </c>
      <c r="AA2871" s="103" t="s">
        <v>47</v>
      </c>
      <c r="AB2871" s="103" t="s">
        <v>140</v>
      </c>
      <c r="AC2871" s="104" t="s">
        <v>141</v>
      </c>
    </row>
    <row r="2872" spans="1:29" ht="25.5" customHeight="1" x14ac:dyDescent="0.35">
      <c r="A2872" s="188"/>
      <c r="B2872" s="190"/>
      <c r="C2872" s="99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0"/>
      <c r="E2872" s="78" t="str">
        <f>IF(C2872="","",IFERROR(VLOOKUP(C2872,parametros!$A$11:$E$15,5,0),""))</f>
        <v/>
      </c>
      <c r="F2872" s="79" t="str">
        <f t="shared" si="222"/>
        <v/>
      </c>
      <c r="G2872" s="101"/>
      <c r="H2872" s="91">
        <f t="shared" si="223"/>
        <v>0</v>
      </c>
      <c r="I2872" s="91" t="str">
        <f t="shared" si="224"/>
        <v/>
      </c>
      <c r="J2872" s="91" t="str">
        <f t="shared" si="225"/>
        <v/>
      </c>
      <c r="K2872" s="92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2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58"/>
      <c r="U2872" s="217" t="str">
        <f t="shared" si="226"/>
        <v/>
      </c>
      <c r="V2872" s="215" t="s">
        <v>47</v>
      </c>
      <c r="W2872" s="102" t="s">
        <v>136</v>
      </c>
      <c r="X2872" s="102" t="s">
        <v>137</v>
      </c>
      <c r="Y2872" s="103" t="s">
        <v>138</v>
      </c>
      <c r="Z2872" s="103" t="s">
        <v>139</v>
      </c>
      <c r="AA2872" s="103" t="s">
        <v>47</v>
      </c>
      <c r="AB2872" s="103" t="s">
        <v>140</v>
      </c>
      <c r="AC2872" s="104" t="s">
        <v>141</v>
      </c>
    </row>
    <row r="2873" spans="1:29" ht="25.5" customHeight="1" x14ac:dyDescent="0.35">
      <c r="A2873" s="188"/>
      <c r="B2873" s="190"/>
      <c r="C2873" s="99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0"/>
      <c r="E2873" s="78" t="str">
        <f>IF(C2873="","",IFERROR(VLOOKUP(C2873,parametros!$A$11:$E$15,5,0),""))</f>
        <v/>
      </c>
      <c r="F2873" s="79" t="str">
        <f t="shared" si="222"/>
        <v/>
      </c>
      <c r="G2873" s="101"/>
      <c r="H2873" s="91">
        <f t="shared" si="223"/>
        <v>0</v>
      </c>
      <c r="I2873" s="91" t="str">
        <f t="shared" si="224"/>
        <v/>
      </c>
      <c r="J2873" s="91" t="str">
        <f t="shared" si="225"/>
        <v/>
      </c>
      <c r="K2873" s="92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2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58"/>
      <c r="U2873" s="217" t="str">
        <f t="shared" si="226"/>
        <v/>
      </c>
      <c r="V2873" s="215" t="s">
        <v>47</v>
      </c>
      <c r="W2873" s="102" t="s">
        <v>136</v>
      </c>
      <c r="X2873" s="102" t="s">
        <v>137</v>
      </c>
      <c r="Y2873" s="103" t="s">
        <v>138</v>
      </c>
      <c r="Z2873" s="103" t="s">
        <v>139</v>
      </c>
      <c r="AA2873" s="103" t="s">
        <v>47</v>
      </c>
      <c r="AB2873" s="103" t="s">
        <v>140</v>
      </c>
      <c r="AC2873" s="104" t="s">
        <v>141</v>
      </c>
    </row>
    <row r="2874" spans="1:29" ht="25.5" customHeight="1" x14ac:dyDescent="0.35">
      <c r="A2874" s="188"/>
      <c r="B2874" s="190"/>
      <c r="C2874" s="99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0"/>
      <c r="E2874" s="78" t="str">
        <f>IF(C2874="","",IFERROR(VLOOKUP(C2874,parametros!$A$11:$E$15,5,0),""))</f>
        <v/>
      </c>
      <c r="F2874" s="79" t="str">
        <f t="shared" si="222"/>
        <v/>
      </c>
      <c r="G2874" s="101"/>
      <c r="H2874" s="91">
        <f t="shared" si="223"/>
        <v>0</v>
      </c>
      <c r="I2874" s="91" t="str">
        <f t="shared" si="224"/>
        <v/>
      </c>
      <c r="J2874" s="91" t="str">
        <f t="shared" si="225"/>
        <v/>
      </c>
      <c r="K2874" s="92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2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58"/>
      <c r="U2874" s="217" t="str">
        <f t="shared" si="226"/>
        <v/>
      </c>
      <c r="V2874" s="215" t="s">
        <v>47</v>
      </c>
      <c r="W2874" s="102" t="s">
        <v>136</v>
      </c>
      <c r="X2874" s="102" t="s">
        <v>137</v>
      </c>
      <c r="Y2874" s="103" t="s">
        <v>138</v>
      </c>
      <c r="Z2874" s="103" t="s">
        <v>139</v>
      </c>
      <c r="AA2874" s="103" t="s">
        <v>47</v>
      </c>
      <c r="AB2874" s="103" t="s">
        <v>140</v>
      </c>
      <c r="AC2874" s="104" t="s">
        <v>141</v>
      </c>
    </row>
    <row r="2875" spans="1:29" ht="25.5" customHeight="1" x14ac:dyDescent="0.35">
      <c r="A2875" s="188"/>
      <c r="B2875" s="190"/>
      <c r="C2875" s="99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0"/>
      <c r="E2875" s="78" t="str">
        <f>IF(C2875="","",IFERROR(VLOOKUP(C2875,parametros!$A$11:$E$15,5,0),""))</f>
        <v/>
      </c>
      <c r="F2875" s="79" t="str">
        <f t="shared" si="222"/>
        <v/>
      </c>
      <c r="G2875" s="101"/>
      <c r="H2875" s="91">
        <f t="shared" si="223"/>
        <v>0</v>
      </c>
      <c r="I2875" s="91" t="str">
        <f t="shared" si="224"/>
        <v/>
      </c>
      <c r="J2875" s="91" t="str">
        <f t="shared" si="225"/>
        <v/>
      </c>
      <c r="K2875" s="92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2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58"/>
      <c r="U2875" s="217" t="str">
        <f t="shared" si="226"/>
        <v/>
      </c>
      <c r="V2875" s="215" t="s">
        <v>47</v>
      </c>
      <c r="W2875" s="102" t="s">
        <v>136</v>
      </c>
      <c r="X2875" s="102" t="s">
        <v>137</v>
      </c>
      <c r="Y2875" s="103" t="s">
        <v>138</v>
      </c>
      <c r="Z2875" s="103" t="s">
        <v>139</v>
      </c>
      <c r="AA2875" s="103" t="s">
        <v>47</v>
      </c>
      <c r="AB2875" s="103" t="s">
        <v>140</v>
      </c>
      <c r="AC2875" s="104" t="s">
        <v>141</v>
      </c>
    </row>
    <row r="2876" spans="1:29" ht="25.5" customHeight="1" x14ac:dyDescent="0.35">
      <c r="A2876" s="188"/>
      <c r="B2876" s="190"/>
      <c r="C2876" s="99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0"/>
      <c r="E2876" s="78" t="str">
        <f>IF(C2876="","",IFERROR(VLOOKUP(C2876,parametros!$A$11:$E$15,5,0),""))</f>
        <v/>
      </c>
      <c r="F2876" s="79" t="str">
        <f t="shared" si="222"/>
        <v/>
      </c>
      <c r="G2876" s="101"/>
      <c r="H2876" s="91">
        <f t="shared" si="223"/>
        <v>0</v>
      </c>
      <c r="I2876" s="91" t="str">
        <f t="shared" si="224"/>
        <v/>
      </c>
      <c r="J2876" s="91" t="str">
        <f t="shared" si="225"/>
        <v/>
      </c>
      <c r="K2876" s="92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2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58"/>
      <c r="U2876" s="217" t="str">
        <f t="shared" si="226"/>
        <v/>
      </c>
      <c r="V2876" s="215" t="s">
        <v>47</v>
      </c>
      <c r="W2876" s="102" t="s">
        <v>136</v>
      </c>
      <c r="X2876" s="102" t="s">
        <v>137</v>
      </c>
      <c r="Y2876" s="103" t="s">
        <v>138</v>
      </c>
      <c r="Z2876" s="103" t="s">
        <v>139</v>
      </c>
      <c r="AA2876" s="103" t="s">
        <v>47</v>
      </c>
      <c r="AB2876" s="103" t="s">
        <v>140</v>
      </c>
      <c r="AC2876" s="104" t="s">
        <v>141</v>
      </c>
    </row>
    <row r="2877" spans="1:29" ht="25.5" customHeight="1" x14ac:dyDescent="0.35">
      <c r="A2877" s="188"/>
      <c r="B2877" s="190"/>
      <c r="C2877" s="99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0"/>
      <c r="E2877" s="78" t="str">
        <f>IF(C2877="","",IFERROR(VLOOKUP(C2877,parametros!$A$11:$E$15,5,0),""))</f>
        <v/>
      </c>
      <c r="F2877" s="79" t="str">
        <f t="shared" si="222"/>
        <v/>
      </c>
      <c r="G2877" s="101"/>
      <c r="H2877" s="91">
        <f t="shared" si="223"/>
        <v>0</v>
      </c>
      <c r="I2877" s="91" t="str">
        <f t="shared" si="224"/>
        <v/>
      </c>
      <c r="J2877" s="91" t="str">
        <f t="shared" si="225"/>
        <v/>
      </c>
      <c r="K2877" s="92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2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58"/>
      <c r="U2877" s="217" t="str">
        <f t="shared" si="226"/>
        <v/>
      </c>
      <c r="V2877" s="215" t="s">
        <v>47</v>
      </c>
      <c r="W2877" s="102" t="s">
        <v>136</v>
      </c>
      <c r="X2877" s="102" t="s">
        <v>137</v>
      </c>
      <c r="Y2877" s="103" t="s">
        <v>138</v>
      </c>
      <c r="Z2877" s="103" t="s">
        <v>139</v>
      </c>
      <c r="AA2877" s="103" t="s">
        <v>47</v>
      </c>
      <c r="AB2877" s="103" t="s">
        <v>140</v>
      </c>
      <c r="AC2877" s="104" t="s">
        <v>141</v>
      </c>
    </row>
    <row r="2878" spans="1:29" ht="25.5" customHeight="1" x14ac:dyDescent="0.35">
      <c r="A2878" s="188"/>
      <c r="B2878" s="190"/>
      <c r="C2878" s="99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0"/>
      <c r="E2878" s="78" t="str">
        <f>IF(C2878="","",IFERROR(VLOOKUP(C2878,parametros!$A$11:$E$15,5,0),""))</f>
        <v/>
      </c>
      <c r="F2878" s="79" t="str">
        <f t="shared" si="222"/>
        <v/>
      </c>
      <c r="G2878" s="101"/>
      <c r="H2878" s="91">
        <f t="shared" si="223"/>
        <v>0</v>
      </c>
      <c r="I2878" s="91" t="str">
        <f t="shared" si="224"/>
        <v/>
      </c>
      <c r="J2878" s="91" t="str">
        <f t="shared" si="225"/>
        <v/>
      </c>
      <c r="K2878" s="92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2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58"/>
      <c r="U2878" s="217" t="str">
        <f t="shared" si="226"/>
        <v/>
      </c>
      <c r="V2878" s="215" t="s">
        <v>47</v>
      </c>
      <c r="W2878" s="102" t="s">
        <v>136</v>
      </c>
      <c r="X2878" s="102" t="s">
        <v>137</v>
      </c>
      <c r="Y2878" s="103" t="s">
        <v>138</v>
      </c>
      <c r="Z2878" s="103" t="s">
        <v>139</v>
      </c>
      <c r="AA2878" s="103" t="s">
        <v>47</v>
      </c>
      <c r="AB2878" s="103" t="s">
        <v>140</v>
      </c>
      <c r="AC2878" s="104" t="s">
        <v>141</v>
      </c>
    </row>
    <row r="2879" spans="1:29" ht="25.5" customHeight="1" x14ac:dyDescent="0.35">
      <c r="A2879" s="188"/>
      <c r="B2879" s="190"/>
      <c r="C2879" s="99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0"/>
      <c r="E2879" s="78" t="str">
        <f>IF(C2879="","",IFERROR(VLOOKUP(C2879,parametros!$A$11:$E$15,5,0),""))</f>
        <v/>
      </c>
      <c r="F2879" s="79" t="str">
        <f t="shared" si="222"/>
        <v/>
      </c>
      <c r="G2879" s="101"/>
      <c r="H2879" s="91">
        <f t="shared" si="223"/>
        <v>0</v>
      </c>
      <c r="I2879" s="91" t="str">
        <f t="shared" si="224"/>
        <v/>
      </c>
      <c r="J2879" s="91" t="str">
        <f t="shared" si="225"/>
        <v/>
      </c>
      <c r="K2879" s="92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2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58"/>
      <c r="U2879" s="217" t="str">
        <f t="shared" si="226"/>
        <v/>
      </c>
      <c r="V2879" s="215" t="s">
        <v>47</v>
      </c>
      <c r="W2879" s="102" t="s">
        <v>136</v>
      </c>
      <c r="X2879" s="102" t="s">
        <v>137</v>
      </c>
      <c r="Y2879" s="103" t="s">
        <v>138</v>
      </c>
      <c r="Z2879" s="103" t="s">
        <v>139</v>
      </c>
      <c r="AA2879" s="103" t="s">
        <v>47</v>
      </c>
      <c r="AB2879" s="103" t="s">
        <v>140</v>
      </c>
      <c r="AC2879" s="104" t="s">
        <v>141</v>
      </c>
    </row>
    <row r="2880" spans="1:29" ht="25.5" customHeight="1" x14ac:dyDescent="0.35">
      <c r="A2880" s="188"/>
      <c r="B2880" s="190"/>
      <c r="C2880" s="99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0"/>
      <c r="E2880" s="78" t="str">
        <f>IF(C2880="","",IFERROR(VLOOKUP(C2880,parametros!$A$11:$E$15,5,0),""))</f>
        <v/>
      </c>
      <c r="F2880" s="79" t="str">
        <f t="shared" si="222"/>
        <v/>
      </c>
      <c r="G2880" s="101"/>
      <c r="H2880" s="91">
        <f t="shared" si="223"/>
        <v>0</v>
      </c>
      <c r="I2880" s="91" t="str">
        <f t="shared" si="224"/>
        <v/>
      </c>
      <c r="J2880" s="91" t="str">
        <f t="shared" si="225"/>
        <v/>
      </c>
      <c r="K2880" s="92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2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58"/>
      <c r="U2880" s="217" t="str">
        <f t="shared" si="226"/>
        <v/>
      </c>
      <c r="V2880" s="215" t="s">
        <v>47</v>
      </c>
      <c r="W2880" s="102" t="s">
        <v>136</v>
      </c>
      <c r="X2880" s="102" t="s">
        <v>137</v>
      </c>
      <c r="Y2880" s="103" t="s">
        <v>138</v>
      </c>
      <c r="Z2880" s="103" t="s">
        <v>139</v>
      </c>
      <c r="AA2880" s="103" t="s">
        <v>47</v>
      </c>
      <c r="AB2880" s="103" t="s">
        <v>140</v>
      </c>
      <c r="AC2880" s="104" t="s">
        <v>141</v>
      </c>
    </row>
    <row r="2881" spans="1:29" ht="25.5" customHeight="1" x14ac:dyDescent="0.35">
      <c r="A2881" s="188"/>
      <c r="B2881" s="190"/>
      <c r="C2881" s="99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0"/>
      <c r="E2881" s="78" t="str">
        <f>IF(C2881="","",IFERROR(VLOOKUP(C2881,parametros!$A$11:$E$15,5,0),""))</f>
        <v/>
      </c>
      <c r="F2881" s="79" t="str">
        <f t="shared" si="222"/>
        <v/>
      </c>
      <c r="G2881" s="101"/>
      <c r="H2881" s="91">
        <f t="shared" si="223"/>
        <v>0</v>
      </c>
      <c r="I2881" s="91" t="str">
        <f t="shared" si="224"/>
        <v/>
      </c>
      <c r="J2881" s="91" t="str">
        <f t="shared" si="225"/>
        <v/>
      </c>
      <c r="K2881" s="92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2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58"/>
      <c r="U2881" s="217" t="str">
        <f t="shared" si="226"/>
        <v/>
      </c>
      <c r="V2881" s="215" t="s">
        <v>47</v>
      </c>
      <c r="W2881" s="102" t="s">
        <v>136</v>
      </c>
      <c r="X2881" s="102" t="s">
        <v>137</v>
      </c>
      <c r="Y2881" s="103" t="s">
        <v>138</v>
      </c>
      <c r="Z2881" s="103" t="s">
        <v>139</v>
      </c>
      <c r="AA2881" s="103" t="s">
        <v>47</v>
      </c>
      <c r="AB2881" s="103" t="s">
        <v>140</v>
      </c>
      <c r="AC2881" s="104" t="s">
        <v>141</v>
      </c>
    </row>
    <row r="2882" spans="1:29" ht="25.5" customHeight="1" x14ac:dyDescent="0.35">
      <c r="A2882" s="188"/>
      <c r="B2882" s="190"/>
      <c r="C2882" s="99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0"/>
      <c r="E2882" s="78" t="str">
        <f>IF(C2882="","",IFERROR(VLOOKUP(C2882,parametros!$A$11:$E$15,5,0),""))</f>
        <v/>
      </c>
      <c r="F2882" s="79" t="str">
        <f t="shared" ref="F2882:F2945" si="227">IF(OR(D2882="",E2882=""),"",ROUND(D2882*E2882,2))</f>
        <v/>
      </c>
      <c r="G2882" s="101"/>
      <c r="H2882" s="91">
        <f t="shared" ref="H2882:H2945" si="228">IF(G2882="Sim",IF(OR(F2882="",D2882="",L2882=""),"",IF(L2882="Sim",ROUND(F2882-D2882,2),0)),0)</f>
        <v>0</v>
      </c>
      <c r="I2882" s="91" t="str">
        <f t="shared" ref="I2882:I2945" si="229">IF(G2882="Sim",0,IF(OR(F2882="",L2882=""),"",F2882))</f>
        <v/>
      </c>
      <c r="J2882" s="91" t="str">
        <f t="shared" ref="J2882:J2945" si="230">IF(G2882="Sim",0,IF(OR(F2882="",D2882="",L2882=""),"",IF(L2882="Sim",ROUND(F2882-D2882,2),0)))</f>
        <v/>
      </c>
      <c r="K2882" s="92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2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58"/>
      <c r="U2882" s="217" t="str">
        <f t="shared" ref="U2882:U2945" si="231">IF(OR($D2882="",$H2882=""),"",ROUND($D2882+$H2882,2))</f>
        <v/>
      </c>
      <c r="V2882" s="215" t="s">
        <v>47</v>
      </c>
      <c r="W2882" s="102" t="s">
        <v>136</v>
      </c>
      <c r="X2882" s="102" t="s">
        <v>137</v>
      </c>
      <c r="Y2882" s="103" t="s">
        <v>138</v>
      </c>
      <c r="Z2882" s="103" t="s">
        <v>139</v>
      </c>
      <c r="AA2882" s="103" t="s">
        <v>47</v>
      </c>
      <c r="AB2882" s="103" t="s">
        <v>140</v>
      </c>
      <c r="AC2882" s="104" t="s">
        <v>141</v>
      </c>
    </row>
    <row r="2883" spans="1:29" ht="25.5" customHeight="1" x14ac:dyDescent="0.35">
      <c r="A2883" s="188"/>
      <c r="B2883" s="190"/>
      <c r="C2883" s="99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0"/>
      <c r="E2883" s="78" t="str">
        <f>IF(C2883="","",IFERROR(VLOOKUP(C2883,parametros!$A$11:$E$15,5,0),""))</f>
        <v/>
      </c>
      <c r="F2883" s="79" t="str">
        <f t="shared" si="227"/>
        <v/>
      </c>
      <c r="G2883" s="101"/>
      <c r="H2883" s="91">
        <f t="shared" si="228"/>
        <v>0</v>
      </c>
      <c r="I2883" s="91" t="str">
        <f t="shared" si="229"/>
        <v/>
      </c>
      <c r="J2883" s="91" t="str">
        <f t="shared" si="230"/>
        <v/>
      </c>
      <c r="K2883" s="92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2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58"/>
      <c r="U2883" s="217" t="str">
        <f t="shared" si="231"/>
        <v/>
      </c>
      <c r="V2883" s="215" t="s">
        <v>47</v>
      </c>
      <c r="W2883" s="102" t="s">
        <v>136</v>
      </c>
      <c r="X2883" s="102" t="s">
        <v>137</v>
      </c>
      <c r="Y2883" s="103" t="s">
        <v>138</v>
      </c>
      <c r="Z2883" s="103" t="s">
        <v>139</v>
      </c>
      <c r="AA2883" s="103" t="s">
        <v>47</v>
      </c>
      <c r="AB2883" s="103" t="s">
        <v>140</v>
      </c>
      <c r="AC2883" s="104" t="s">
        <v>141</v>
      </c>
    </row>
    <row r="2884" spans="1:29" ht="25.5" customHeight="1" x14ac:dyDescent="0.35">
      <c r="A2884" s="188"/>
      <c r="B2884" s="190"/>
      <c r="C2884" s="99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0"/>
      <c r="E2884" s="78" t="str">
        <f>IF(C2884="","",IFERROR(VLOOKUP(C2884,parametros!$A$11:$E$15,5,0),""))</f>
        <v/>
      </c>
      <c r="F2884" s="79" t="str">
        <f t="shared" si="227"/>
        <v/>
      </c>
      <c r="G2884" s="101"/>
      <c r="H2884" s="91">
        <f t="shared" si="228"/>
        <v>0</v>
      </c>
      <c r="I2884" s="91" t="str">
        <f t="shared" si="229"/>
        <v/>
      </c>
      <c r="J2884" s="91" t="str">
        <f t="shared" si="230"/>
        <v/>
      </c>
      <c r="K2884" s="92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2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58"/>
      <c r="U2884" s="217" t="str">
        <f t="shared" si="231"/>
        <v/>
      </c>
      <c r="V2884" s="215" t="s">
        <v>47</v>
      </c>
      <c r="W2884" s="102" t="s">
        <v>136</v>
      </c>
      <c r="X2884" s="102" t="s">
        <v>137</v>
      </c>
      <c r="Y2884" s="103" t="s">
        <v>138</v>
      </c>
      <c r="Z2884" s="103" t="s">
        <v>139</v>
      </c>
      <c r="AA2884" s="103" t="s">
        <v>47</v>
      </c>
      <c r="AB2884" s="103" t="s">
        <v>140</v>
      </c>
      <c r="AC2884" s="104" t="s">
        <v>141</v>
      </c>
    </row>
    <row r="2885" spans="1:29" ht="25.5" customHeight="1" x14ac:dyDescent="0.35">
      <c r="A2885" s="188"/>
      <c r="B2885" s="190"/>
      <c r="C2885" s="99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0"/>
      <c r="E2885" s="78" t="str">
        <f>IF(C2885="","",IFERROR(VLOOKUP(C2885,parametros!$A$11:$E$15,5,0),""))</f>
        <v/>
      </c>
      <c r="F2885" s="79" t="str">
        <f t="shared" si="227"/>
        <v/>
      </c>
      <c r="G2885" s="101"/>
      <c r="H2885" s="91">
        <f t="shared" si="228"/>
        <v>0</v>
      </c>
      <c r="I2885" s="91" t="str">
        <f t="shared" si="229"/>
        <v/>
      </c>
      <c r="J2885" s="91" t="str">
        <f t="shared" si="230"/>
        <v/>
      </c>
      <c r="K2885" s="92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2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58"/>
      <c r="U2885" s="217" t="str">
        <f t="shared" si="231"/>
        <v/>
      </c>
      <c r="V2885" s="215" t="s">
        <v>47</v>
      </c>
      <c r="W2885" s="102" t="s">
        <v>136</v>
      </c>
      <c r="X2885" s="102" t="s">
        <v>137</v>
      </c>
      <c r="Y2885" s="103" t="s">
        <v>138</v>
      </c>
      <c r="Z2885" s="103" t="s">
        <v>139</v>
      </c>
      <c r="AA2885" s="103" t="s">
        <v>47</v>
      </c>
      <c r="AB2885" s="103" t="s">
        <v>140</v>
      </c>
      <c r="AC2885" s="104" t="s">
        <v>141</v>
      </c>
    </row>
    <row r="2886" spans="1:29" ht="25.5" customHeight="1" x14ac:dyDescent="0.35">
      <c r="A2886" s="188"/>
      <c r="B2886" s="190"/>
      <c r="C2886" s="99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0"/>
      <c r="E2886" s="78" t="str">
        <f>IF(C2886="","",IFERROR(VLOOKUP(C2886,parametros!$A$11:$E$15,5,0),""))</f>
        <v/>
      </c>
      <c r="F2886" s="79" t="str">
        <f t="shared" si="227"/>
        <v/>
      </c>
      <c r="G2886" s="101"/>
      <c r="H2886" s="91">
        <f t="shared" si="228"/>
        <v>0</v>
      </c>
      <c r="I2886" s="91" t="str">
        <f t="shared" si="229"/>
        <v/>
      </c>
      <c r="J2886" s="91" t="str">
        <f t="shared" si="230"/>
        <v/>
      </c>
      <c r="K2886" s="92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2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58"/>
      <c r="U2886" s="217" t="str">
        <f t="shared" si="231"/>
        <v/>
      </c>
      <c r="V2886" s="215" t="s">
        <v>47</v>
      </c>
      <c r="W2886" s="102" t="s">
        <v>136</v>
      </c>
      <c r="X2886" s="102" t="s">
        <v>137</v>
      </c>
      <c r="Y2886" s="103" t="s">
        <v>138</v>
      </c>
      <c r="Z2886" s="103" t="s">
        <v>139</v>
      </c>
      <c r="AA2886" s="103" t="s">
        <v>47</v>
      </c>
      <c r="AB2886" s="103" t="s">
        <v>140</v>
      </c>
      <c r="AC2886" s="104" t="s">
        <v>141</v>
      </c>
    </row>
    <row r="2887" spans="1:29" ht="25.5" customHeight="1" x14ac:dyDescent="0.35">
      <c r="A2887" s="188"/>
      <c r="B2887" s="190"/>
      <c r="C2887" s="99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0"/>
      <c r="E2887" s="78" t="str">
        <f>IF(C2887="","",IFERROR(VLOOKUP(C2887,parametros!$A$11:$E$15,5,0),""))</f>
        <v/>
      </c>
      <c r="F2887" s="79" t="str">
        <f t="shared" si="227"/>
        <v/>
      </c>
      <c r="G2887" s="101"/>
      <c r="H2887" s="91">
        <f t="shared" si="228"/>
        <v>0</v>
      </c>
      <c r="I2887" s="91" t="str">
        <f t="shared" si="229"/>
        <v/>
      </c>
      <c r="J2887" s="91" t="str">
        <f t="shared" si="230"/>
        <v/>
      </c>
      <c r="K2887" s="92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2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58"/>
      <c r="U2887" s="217" t="str">
        <f t="shared" si="231"/>
        <v/>
      </c>
      <c r="V2887" s="215" t="s">
        <v>47</v>
      </c>
      <c r="W2887" s="102" t="s">
        <v>136</v>
      </c>
      <c r="X2887" s="102" t="s">
        <v>137</v>
      </c>
      <c r="Y2887" s="103" t="s">
        <v>138</v>
      </c>
      <c r="Z2887" s="103" t="s">
        <v>139</v>
      </c>
      <c r="AA2887" s="103" t="s">
        <v>47</v>
      </c>
      <c r="AB2887" s="103" t="s">
        <v>140</v>
      </c>
      <c r="AC2887" s="104" t="s">
        <v>141</v>
      </c>
    </row>
    <row r="2888" spans="1:29" ht="25.5" customHeight="1" x14ac:dyDescent="0.35">
      <c r="A2888" s="188"/>
      <c r="B2888" s="190"/>
      <c r="C2888" s="99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0"/>
      <c r="E2888" s="78" t="str">
        <f>IF(C2888="","",IFERROR(VLOOKUP(C2888,parametros!$A$11:$E$15,5,0),""))</f>
        <v/>
      </c>
      <c r="F2888" s="79" t="str">
        <f t="shared" si="227"/>
        <v/>
      </c>
      <c r="G2888" s="101"/>
      <c r="H2888" s="91">
        <f t="shared" si="228"/>
        <v>0</v>
      </c>
      <c r="I2888" s="91" t="str">
        <f t="shared" si="229"/>
        <v/>
      </c>
      <c r="J2888" s="91" t="str">
        <f t="shared" si="230"/>
        <v/>
      </c>
      <c r="K2888" s="92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2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58"/>
      <c r="U2888" s="217" t="str">
        <f t="shared" si="231"/>
        <v/>
      </c>
      <c r="V2888" s="215" t="s">
        <v>47</v>
      </c>
      <c r="W2888" s="102" t="s">
        <v>136</v>
      </c>
      <c r="X2888" s="102" t="s">
        <v>137</v>
      </c>
      <c r="Y2888" s="103" t="s">
        <v>138</v>
      </c>
      <c r="Z2888" s="103" t="s">
        <v>139</v>
      </c>
      <c r="AA2888" s="103" t="s">
        <v>47</v>
      </c>
      <c r="AB2888" s="103" t="s">
        <v>140</v>
      </c>
      <c r="AC2888" s="104" t="s">
        <v>141</v>
      </c>
    </row>
    <row r="2889" spans="1:29" ht="25.5" customHeight="1" x14ac:dyDescent="0.35">
      <c r="A2889" s="188"/>
      <c r="B2889" s="190"/>
      <c r="C2889" s="99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0"/>
      <c r="E2889" s="78" t="str">
        <f>IF(C2889="","",IFERROR(VLOOKUP(C2889,parametros!$A$11:$E$15,5,0),""))</f>
        <v/>
      </c>
      <c r="F2889" s="79" t="str">
        <f t="shared" si="227"/>
        <v/>
      </c>
      <c r="G2889" s="101"/>
      <c r="H2889" s="91">
        <f t="shared" si="228"/>
        <v>0</v>
      </c>
      <c r="I2889" s="91" t="str">
        <f t="shared" si="229"/>
        <v/>
      </c>
      <c r="J2889" s="91" t="str">
        <f t="shared" si="230"/>
        <v/>
      </c>
      <c r="K2889" s="92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2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58"/>
      <c r="U2889" s="217" t="str">
        <f t="shared" si="231"/>
        <v/>
      </c>
      <c r="V2889" s="215" t="s">
        <v>47</v>
      </c>
      <c r="W2889" s="102" t="s">
        <v>136</v>
      </c>
      <c r="X2889" s="102" t="s">
        <v>137</v>
      </c>
      <c r="Y2889" s="103" t="s">
        <v>138</v>
      </c>
      <c r="Z2889" s="103" t="s">
        <v>139</v>
      </c>
      <c r="AA2889" s="103" t="s">
        <v>47</v>
      </c>
      <c r="AB2889" s="103" t="s">
        <v>140</v>
      </c>
      <c r="AC2889" s="104" t="s">
        <v>141</v>
      </c>
    </row>
    <row r="2890" spans="1:29" ht="25.5" customHeight="1" x14ac:dyDescent="0.35">
      <c r="A2890" s="188"/>
      <c r="B2890" s="190"/>
      <c r="C2890" s="99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0"/>
      <c r="E2890" s="78" t="str">
        <f>IF(C2890="","",IFERROR(VLOOKUP(C2890,parametros!$A$11:$E$15,5,0),""))</f>
        <v/>
      </c>
      <c r="F2890" s="79" t="str">
        <f t="shared" si="227"/>
        <v/>
      </c>
      <c r="G2890" s="101"/>
      <c r="H2890" s="91">
        <f t="shared" si="228"/>
        <v>0</v>
      </c>
      <c r="I2890" s="91" t="str">
        <f t="shared" si="229"/>
        <v/>
      </c>
      <c r="J2890" s="91" t="str">
        <f t="shared" si="230"/>
        <v/>
      </c>
      <c r="K2890" s="92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2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58"/>
      <c r="U2890" s="217" t="str">
        <f t="shared" si="231"/>
        <v/>
      </c>
      <c r="V2890" s="215" t="s">
        <v>47</v>
      </c>
      <c r="W2890" s="102" t="s">
        <v>136</v>
      </c>
      <c r="X2890" s="102" t="s">
        <v>137</v>
      </c>
      <c r="Y2890" s="103" t="s">
        <v>138</v>
      </c>
      <c r="Z2890" s="103" t="s">
        <v>139</v>
      </c>
      <c r="AA2890" s="103" t="s">
        <v>47</v>
      </c>
      <c r="AB2890" s="103" t="s">
        <v>140</v>
      </c>
      <c r="AC2890" s="104" t="s">
        <v>141</v>
      </c>
    </row>
    <row r="2891" spans="1:29" ht="25.5" customHeight="1" x14ac:dyDescent="0.35">
      <c r="A2891" s="188"/>
      <c r="B2891" s="190"/>
      <c r="C2891" s="99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0"/>
      <c r="E2891" s="78" t="str">
        <f>IF(C2891="","",IFERROR(VLOOKUP(C2891,parametros!$A$11:$E$15,5,0),""))</f>
        <v/>
      </c>
      <c r="F2891" s="79" t="str">
        <f t="shared" si="227"/>
        <v/>
      </c>
      <c r="G2891" s="101"/>
      <c r="H2891" s="91">
        <f t="shared" si="228"/>
        <v>0</v>
      </c>
      <c r="I2891" s="91" t="str">
        <f t="shared" si="229"/>
        <v/>
      </c>
      <c r="J2891" s="91" t="str">
        <f t="shared" si="230"/>
        <v/>
      </c>
      <c r="K2891" s="92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2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58"/>
      <c r="U2891" s="217" t="str">
        <f t="shared" si="231"/>
        <v/>
      </c>
      <c r="V2891" s="215" t="s">
        <v>47</v>
      </c>
      <c r="W2891" s="102" t="s">
        <v>136</v>
      </c>
      <c r="X2891" s="102" t="s">
        <v>137</v>
      </c>
      <c r="Y2891" s="103" t="s">
        <v>138</v>
      </c>
      <c r="Z2891" s="103" t="s">
        <v>139</v>
      </c>
      <c r="AA2891" s="103" t="s">
        <v>47</v>
      </c>
      <c r="AB2891" s="103" t="s">
        <v>140</v>
      </c>
      <c r="AC2891" s="104" t="s">
        <v>141</v>
      </c>
    </row>
    <row r="2892" spans="1:29" ht="25.5" customHeight="1" x14ac:dyDescent="0.35">
      <c r="A2892" s="188"/>
      <c r="B2892" s="190"/>
      <c r="C2892" s="99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0"/>
      <c r="E2892" s="78" t="str">
        <f>IF(C2892="","",IFERROR(VLOOKUP(C2892,parametros!$A$11:$E$15,5,0),""))</f>
        <v/>
      </c>
      <c r="F2892" s="79" t="str">
        <f t="shared" si="227"/>
        <v/>
      </c>
      <c r="G2892" s="101"/>
      <c r="H2892" s="91">
        <f t="shared" si="228"/>
        <v>0</v>
      </c>
      <c r="I2892" s="91" t="str">
        <f t="shared" si="229"/>
        <v/>
      </c>
      <c r="J2892" s="91" t="str">
        <f t="shared" si="230"/>
        <v/>
      </c>
      <c r="K2892" s="92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2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58"/>
      <c r="U2892" s="217" t="str">
        <f t="shared" si="231"/>
        <v/>
      </c>
      <c r="V2892" s="215" t="s">
        <v>47</v>
      </c>
      <c r="W2892" s="102" t="s">
        <v>136</v>
      </c>
      <c r="X2892" s="102" t="s">
        <v>137</v>
      </c>
      <c r="Y2892" s="103" t="s">
        <v>138</v>
      </c>
      <c r="Z2892" s="103" t="s">
        <v>139</v>
      </c>
      <c r="AA2892" s="103" t="s">
        <v>47</v>
      </c>
      <c r="AB2892" s="103" t="s">
        <v>140</v>
      </c>
      <c r="AC2892" s="104" t="s">
        <v>141</v>
      </c>
    </row>
    <row r="2893" spans="1:29" ht="25.5" customHeight="1" x14ac:dyDescent="0.35">
      <c r="A2893" s="188"/>
      <c r="B2893" s="190"/>
      <c r="C2893" s="99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0"/>
      <c r="E2893" s="78" t="str">
        <f>IF(C2893="","",IFERROR(VLOOKUP(C2893,parametros!$A$11:$E$15,5,0),""))</f>
        <v/>
      </c>
      <c r="F2893" s="79" t="str">
        <f t="shared" si="227"/>
        <v/>
      </c>
      <c r="G2893" s="101"/>
      <c r="H2893" s="91">
        <f t="shared" si="228"/>
        <v>0</v>
      </c>
      <c r="I2893" s="91" t="str">
        <f t="shared" si="229"/>
        <v/>
      </c>
      <c r="J2893" s="91" t="str">
        <f t="shared" si="230"/>
        <v/>
      </c>
      <c r="K2893" s="92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2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58"/>
      <c r="U2893" s="217" t="str">
        <f t="shared" si="231"/>
        <v/>
      </c>
      <c r="V2893" s="215" t="s">
        <v>47</v>
      </c>
      <c r="W2893" s="102" t="s">
        <v>136</v>
      </c>
      <c r="X2893" s="102" t="s">
        <v>137</v>
      </c>
      <c r="Y2893" s="103" t="s">
        <v>138</v>
      </c>
      <c r="Z2893" s="103" t="s">
        <v>139</v>
      </c>
      <c r="AA2893" s="103" t="s">
        <v>47</v>
      </c>
      <c r="AB2893" s="103" t="s">
        <v>140</v>
      </c>
      <c r="AC2893" s="104" t="s">
        <v>141</v>
      </c>
    </row>
    <row r="2894" spans="1:29" ht="25.5" customHeight="1" x14ac:dyDescent="0.35">
      <c r="A2894" s="188"/>
      <c r="B2894" s="190"/>
      <c r="C2894" s="99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0"/>
      <c r="E2894" s="78" t="str">
        <f>IF(C2894="","",IFERROR(VLOOKUP(C2894,parametros!$A$11:$E$15,5,0),""))</f>
        <v/>
      </c>
      <c r="F2894" s="79" t="str">
        <f t="shared" si="227"/>
        <v/>
      </c>
      <c r="G2894" s="101"/>
      <c r="H2894" s="91">
        <f t="shared" si="228"/>
        <v>0</v>
      </c>
      <c r="I2894" s="91" t="str">
        <f t="shared" si="229"/>
        <v/>
      </c>
      <c r="J2894" s="91" t="str">
        <f t="shared" si="230"/>
        <v/>
      </c>
      <c r="K2894" s="92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2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58"/>
      <c r="U2894" s="217" t="str">
        <f t="shared" si="231"/>
        <v/>
      </c>
      <c r="V2894" s="215" t="s">
        <v>47</v>
      </c>
      <c r="W2894" s="102" t="s">
        <v>136</v>
      </c>
      <c r="X2894" s="102" t="s">
        <v>137</v>
      </c>
      <c r="Y2894" s="103" t="s">
        <v>138</v>
      </c>
      <c r="Z2894" s="103" t="s">
        <v>139</v>
      </c>
      <c r="AA2894" s="103" t="s">
        <v>47</v>
      </c>
      <c r="AB2894" s="103" t="s">
        <v>140</v>
      </c>
      <c r="AC2894" s="104" t="s">
        <v>141</v>
      </c>
    </row>
    <row r="2895" spans="1:29" ht="25.5" customHeight="1" x14ac:dyDescent="0.35">
      <c r="A2895" s="188"/>
      <c r="B2895" s="190"/>
      <c r="C2895" s="99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0"/>
      <c r="E2895" s="78" t="str">
        <f>IF(C2895="","",IFERROR(VLOOKUP(C2895,parametros!$A$11:$E$15,5,0),""))</f>
        <v/>
      </c>
      <c r="F2895" s="79" t="str">
        <f t="shared" si="227"/>
        <v/>
      </c>
      <c r="G2895" s="101"/>
      <c r="H2895" s="91">
        <f t="shared" si="228"/>
        <v>0</v>
      </c>
      <c r="I2895" s="91" t="str">
        <f t="shared" si="229"/>
        <v/>
      </c>
      <c r="J2895" s="91" t="str">
        <f t="shared" si="230"/>
        <v/>
      </c>
      <c r="K2895" s="92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2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58"/>
      <c r="U2895" s="217" t="str">
        <f t="shared" si="231"/>
        <v/>
      </c>
      <c r="V2895" s="215" t="s">
        <v>47</v>
      </c>
      <c r="W2895" s="102" t="s">
        <v>136</v>
      </c>
      <c r="X2895" s="102" t="s">
        <v>137</v>
      </c>
      <c r="Y2895" s="103" t="s">
        <v>138</v>
      </c>
      <c r="Z2895" s="103" t="s">
        <v>139</v>
      </c>
      <c r="AA2895" s="103" t="s">
        <v>47</v>
      </c>
      <c r="AB2895" s="103" t="s">
        <v>140</v>
      </c>
      <c r="AC2895" s="104" t="s">
        <v>141</v>
      </c>
    </row>
    <row r="2896" spans="1:29" ht="25.5" customHeight="1" x14ac:dyDescent="0.35">
      <c r="A2896" s="188"/>
      <c r="B2896" s="190"/>
      <c r="C2896" s="99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0"/>
      <c r="E2896" s="78" t="str">
        <f>IF(C2896="","",IFERROR(VLOOKUP(C2896,parametros!$A$11:$E$15,5,0),""))</f>
        <v/>
      </c>
      <c r="F2896" s="79" t="str">
        <f t="shared" si="227"/>
        <v/>
      </c>
      <c r="G2896" s="101"/>
      <c r="H2896" s="91">
        <f t="shared" si="228"/>
        <v>0</v>
      </c>
      <c r="I2896" s="91" t="str">
        <f t="shared" si="229"/>
        <v/>
      </c>
      <c r="J2896" s="91" t="str">
        <f t="shared" si="230"/>
        <v/>
      </c>
      <c r="K2896" s="92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2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58"/>
      <c r="U2896" s="217" t="str">
        <f t="shared" si="231"/>
        <v/>
      </c>
      <c r="V2896" s="215" t="s">
        <v>47</v>
      </c>
      <c r="W2896" s="102" t="s">
        <v>136</v>
      </c>
      <c r="X2896" s="102" t="s">
        <v>137</v>
      </c>
      <c r="Y2896" s="103" t="s">
        <v>138</v>
      </c>
      <c r="Z2896" s="103" t="s">
        <v>139</v>
      </c>
      <c r="AA2896" s="103" t="s">
        <v>47</v>
      </c>
      <c r="AB2896" s="103" t="s">
        <v>140</v>
      </c>
      <c r="AC2896" s="104" t="s">
        <v>141</v>
      </c>
    </row>
    <row r="2897" spans="1:29" ht="25.5" customHeight="1" x14ac:dyDescent="0.35">
      <c r="A2897" s="188"/>
      <c r="B2897" s="190"/>
      <c r="C2897" s="99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0"/>
      <c r="E2897" s="78" t="str">
        <f>IF(C2897="","",IFERROR(VLOOKUP(C2897,parametros!$A$11:$E$15,5,0),""))</f>
        <v/>
      </c>
      <c r="F2897" s="79" t="str">
        <f t="shared" si="227"/>
        <v/>
      </c>
      <c r="G2897" s="101"/>
      <c r="H2897" s="91">
        <f t="shared" si="228"/>
        <v>0</v>
      </c>
      <c r="I2897" s="91" t="str">
        <f t="shared" si="229"/>
        <v/>
      </c>
      <c r="J2897" s="91" t="str">
        <f t="shared" si="230"/>
        <v/>
      </c>
      <c r="K2897" s="92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2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58"/>
      <c r="U2897" s="217" t="str">
        <f t="shared" si="231"/>
        <v/>
      </c>
      <c r="V2897" s="215" t="s">
        <v>47</v>
      </c>
      <c r="W2897" s="102" t="s">
        <v>136</v>
      </c>
      <c r="X2897" s="102" t="s">
        <v>137</v>
      </c>
      <c r="Y2897" s="103" t="s">
        <v>138</v>
      </c>
      <c r="Z2897" s="103" t="s">
        <v>139</v>
      </c>
      <c r="AA2897" s="103" t="s">
        <v>47</v>
      </c>
      <c r="AB2897" s="103" t="s">
        <v>140</v>
      </c>
      <c r="AC2897" s="104" t="s">
        <v>141</v>
      </c>
    </row>
    <row r="2898" spans="1:29" ht="25.5" customHeight="1" x14ac:dyDescent="0.35">
      <c r="A2898" s="188"/>
      <c r="B2898" s="190"/>
      <c r="C2898" s="99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0"/>
      <c r="E2898" s="78" t="str">
        <f>IF(C2898="","",IFERROR(VLOOKUP(C2898,parametros!$A$11:$E$15,5,0),""))</f>
        <v/>
      </c>
      <c r="F2898" s="79" t="str">
        <f t="shared" si="227"/>
        <v/>
      </c>
      <c r="G2898" s="101"/>
      <c r="H2898" s="91">
        <f t="shared" si="228"/>
        <v>0</v>
      </c>
      <c r="I2898" s="91" t="str">
        <f t="shared" si="229"/>
        <v/>
      </c>
      <c r="J2898" s="91" t="str">
        <f t="shared" si="230"/>
        <v/>
      </c>
      <c r="K2898" s="92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2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58"/>
      <c r="U2898" s="217" t="str">
        <f t="shared" si="231"/>
        <v/>
      </c>
      <c r="V2898" s="215" t="s">
        <v>47</v>
      </c>
      <c r="W2898" s="102" t="s">
        <v>136</v>
      </c>
      <c r="X2898" s="102" t="s">
        <v>137</v>
      </c>
      <c r="Y2898" s="103" t="s">
        <v>138</v>
      </c>
      <c r="Z2898" s="103" t="s">
        <v>139</v>
      </c>
      <c r="AA2898" s="103" t="s">
        <v>47</v>
      </c>
      <c r="AB2898" s="103" t="s">
        <v>140</v>
      </c>
      <c r="AC2898" s="104" t="s">
        <v>141</v>
      </c>
    </row>
    <row r="2899" spans="1:29" ht="25.5" customHeight="1" x14ac:dyDescent="0.35">
      <c r="A2899" s="188"/>
      <c r="B2899" s="190"/>
      <c r="C2899" s="99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0"/>
      <c r="E2899" s="78" t="str">
        <f>IF(C2899="","",IFERROR(VLOOKUP(C2899,parametros!$A$11:$E$15,5,0),""))</f>
        <v/>
      </c>
      <c r="F2899" s="79" t="str">
        <f t="shared" si="227"/>
        <v/>
      </c>
      <c r="G2899" s="101"/>
      <c r="H2899" s="91">
        <f t="shared" si="228"/>
        <v>0</v>
      </c>
      <c r="I2899" s="91" t="str">
        <f t="shared" si="229"/>
        <v/>
      </c>
      <c r="J2899" s="91" t="str">
        <f t="shared" si="230"/>
        <v/>
      </c>
      <c r="K2899" s="92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2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58"/>
      <c r="U2899" s="217" t="str">
        <f t="shared" si="231"/>
        <v/>
      </c>
      <c r="V2899" s="215" t="s">
        <v>47</v>
      </c>
      <c r="W2899" s="102" t="s">
        <v>136</v>
      </c>
      <c r="X2899" s="102" t="s">
        <v>137</v>
      </c>
      <c r="Y2899" s="103" t="s">
        <v>138</v>
      </c>
      <c r="Z2899" s="103" t="s">
        <v>139</v>
      </c>
      <c r="AA2899" s="103" t="s">
        <v>47</v>
      </c>
      <c r="AB2899" s="103" t="s">
        <v>140</v>
      </c>
      <c r="AC2899" s="104" t="s">
        <v>141</v>
      </c>
    </row>
    <row r="2900" spans="1:29" ht="25.5" customHeight="1" x14ac:dyDescent="0.35">
      <c r="A2900" s="188"/>
      <c r="B2900" s="190"/>
      <c r="C2900" s="99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0"/>
      <c r="E2900" s="78" t="str">
        <f>IF(C2900="","",IFERROR(VLOOKUP(C2900,parametros!$A$11:$E$15,5,0),""))</f>
        <v/>
      </c>
      <c r="F2900" s="79" t="str">
        <f t="shared" si="227"/>
        <v/>
      </c>
      <c r="G2900" s="101"/>
      <c r="H2900" s="91">
        <f t="shared" si="228"/>
        <v>0</v>
      </c>
      <c r="I2900" s="91" t="str">
        <f t="shared" si="229"/>
        <v/>
      </c>
      <c r="J2900" s="91" t="str">
        <f t="shared" si="230"/>
        <v/>
      </c>
      <c r="K2900" s="92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2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58"/>
      <c r="U2900" s="217" t="str">
        <f t="shared" si="231"/>
        <v/>
      </c>
      <c r="V2900" s="215" t="s">
        <v>47</v>
      </c>
      <c r="W2900" s="102" t="s">
        <v>136</v>
      </c>
      <c r="X2900" s="102" t="s">
        <v>137</v>
      </c>
      <c r="Y2900" s="103" t="s">
        <v>138</v>
      </c>
      <c r="Z2900" s="103" t="s">
        <v>139</v>
      </c>
      <c r="AA2900" s="103" t="s">
        <v>47</v>
      </c>
      <c r="AB2900" s="103" t="s">
        <v>140</v>
      </c>
      <c r="AC2900" s="104" t="s">
        <v>141</v>
      </c>
    </row>
    <row r="2901" spans="1:29" ht="25.5" customHeight="1" x14ac:dyDescent="0.35">
      <c r="A2901" s="188"/>
      <c r="B2901" s="190"/>
      <c r="C2901" s="99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0"/>
      <c r="E2901" s="78" t="str">
        <f>IF(C2901="","",IFERROR(VLOOKUP(C2901,parametros!$A$11:$E$15,5,0),""))</f>
        <v/>
      </c>
      <c r="F2901" s="79" t="str">
        <f t="shared" si="227"/>
        <v/>
      </c>
      <c r="G2901" s="101"/>
      <c r="H2901" s="91">
        <f t="shared" si="228"/>
        <v>0</v>
      </c>
      <c r="I2901" s="91" t="str">
        <f t="shared" si="229"/>
        <v/>
      </c>
      <c r="J2901" s="91" t="str">
        <f t="shared" si="230"/>
        <v/>
      </c>
      <c r="K2901" s="92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2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58"/>
      <c r="U2901" s="217" t="str">
        <f t="shared" si="231"/>
        <v/>
      </c>
      <c r="V2901" s="215" t="s">
        <v>47</v>
      </c>
      <c r="W2901" s="102" t="s">
        <v>136</v>
      </c>
      <c r="X2901" s="102" t="s">
        <v>137</v>
      </c>
      <c r="Y2901" s="103" t="s">
        <v>138</v>
      </c>
      <c r="Z2901" s="103" t="s">
        <v>139</v>
      </c>
      <c r="AA2901" s="103" t="s">
        <v>47</v>
      </c>
      <c r="AB2901" s="103" t="s">
        <v>140</v>
      </c>
      <c r="AC2901" s="104" t="s">
        <v>141</v>
      </c>
    </row>
    <row r="2902" spans="1:29" ht="25.5" customHeight="1" x14ac:dyDescent="0.35">
      <c r="A2902" s="188"/>
      <c r="B2902" s="190"/>
      <c r="C2902" s="99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0"/>
      <c r="E2902" s="78" t="str">
        <f>IF(C2902="","",IFERROR(VLOOKUP(C2902,parametros!$A$11:$E$15,5,0),""))</f>
        <v/>
      </c>
      <c r="F2902" s="79" t="str">
        <f t="shared" si="227"/>
        <v/>
      </c>
      <c r="G2902" s="101"/>
      <c r="H2902" s="91">
        <f t="shared" si="228"/>
        <v>0</v>
      </c>
      <c r="I2902" s="91" t="str">
        <f t="shared" si="229"/>
        <v/>
      </c>
      <c r="J2902" s="91" t="str">
        <f t="shared" si="230"/>
        <v/>
      </c>
      <c r="K2902" s="92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2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58"/>
      <c r="U2902" s="217" t="str">
        <f t="shared" si="231"/>
        <v/>
      </c>
      <c r="V2902" s="215" t="s">
        <v>47</v>
      </c>
      <c r="W2902" s="102" t="s">
        <v>136</v>
      </c>
      <c r="X2902" s="102" t="s">
        <v>137</v>
      </c>
      <c r="Y2902" s="103" t="s">
        <v>138</v>
      </c>
      <c r="Z2902" s="103" t="s">
        <v>139</v>
      </c>
      <c r="AA2902" s="103" t="s">
        <v>47</v>
      </c>
      <c r="AB2902" s="103" t="s">
        <v>140</v>
      </c>
      <c r="AC2902" s="104" t="s">
        <v>141</v>
      </c>
    </row>
    <row r="2903" spans="1:29" ht="25.5" customHeight="1" x14ac:dyDescent="0.35">
      <c r="A2903" s="188"/>
      <c r="B2903" s="190"/>
      <c r="C2903" s="99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0"/>
      <c r="E2903" s="78" t="str">
        <f>IF(C2903="","",IFERROR(VLOOKUP(C2903,parametros!$A$11:$E$15,5,0),""))</f>
        <v/>
      </c>
      <c r="F2903" s="79" t="str">
        <f t="shared" si="227"/>
        <v/>
      </c>
      <c r="G2903" s="101"/>
      <c r="H2903" s="91">
        <f t="shared" si="228"/>
        <v>0</v>
      </c>
      <c r="I2903" s="91" t="str">
        <f t="shared" si="229"/>
        <v/>
      </c>
      <c r="J2903" s="91" t="str">
        <f t="shared" si="230"/>
        <v/>
      </c>
      <c r="K2903" s="92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2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58"/>
      <c r="U2903" s="217" t="str">
        <f t="shared" si="231"/>
        <v/>
      </c>
      <c r="V2903" s="215" t="s">
        <v>47</v>
      </c>
      <c r="W2903" s="102" t="s">
        <v>136</v>
      </c>
      <c r="X2903" s="102" t="s">
        <v>137</v>
      </c>
      <c r="Y2903" s="103" t="s">
        <v>138</v>
      </c>
      <c r="Z2903" s="103" t="s">
        <v>139</v>
      </c>
      <c r="AA2903" s="103" t="s">
        <v>47</v>
      </c>
      <c r="AB2903" s="103" t="s">
        <v>140</v>
      </c>
      <c r="AC2903" s="104" t="s">
        <v>141</v>
      </c>
    </row>
    <row r="2904" spans="1:29" ht="25.5" customHeight="1" x14ac:dyDescent="0.35">
      <c r="A2904" s="188"/>
      <c r="B2904" s="190"/>
      <c r="C2904" s="99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0"/>
      <c r="E2904" s="78" t="str">
        <f>IF(C2904="","",IFERROR(VLOOKUP(C2904,parametros!$A$11:$E$15,5,0),""))</f>
        <v/>
      </c>
      <c r="F2904" s="79" t="str">
        <f t="shared" si="227"/>
        <v/>
      </c>
      <c r="G2904" s="101"/>
      <c r="H2904" s="91">
        <f t="shared" si="228"/>
        <v>0</v>
      </c>
      <c r="I2904" s="91" t="str">
        <f t="shared" si="229"/>
        <v/>
      </c>
      <c r="J2904" s="91" t="str">
        <f t="shared" si="230"/>
        <v/>
      </c>
      <c r="K2904" s="92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2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58"/>
      <c r="U2904" s="217" t="str">
        <f t="shared" si="231"/>
        <v/>
      </c>
      <c r="V2904" s="215" t="s">
        <v>47</v>
      </c>
      <c r="W2904" s="102" t="s">
        <v>136</v>
      </c>
      <c r="X2904" s="102" t="s">
        <v>137</v>
      </c>
      <c r="Y2904" s="103" t="s">
        <v>138</v>
      </c>
      <c r="Z2904" s="103" t="s">
        <v>139</v>
      </c>
      <c r="AA2904" s="103" t="s">
        <v>47</v>
      </c>
      <c r="AB2904" s="103" t="s">
        <v>140</v>
      </c>
      <c r="AC2904" s="104" t="s">
        <v>141</v>
      </c>
    </row>
    <row r="2905" spans="1:29" ht="25.5" customHeight="1" x14ac:dyDescent="0.35">
      <c r="A2905" s="188"/>
      <c r="B2905" s="190"/>
      <c r="C2905" s="99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0"/>
      <c r="E2905" s="78" t="str">
        <f>IF(C2905="","",IFERROR(VLOOKUP(C2905,parametros!$A$11:$E$15,5,0),""))</f>
        <v/>
      </c>
      <c r="F2905" s="79" t="str">
        <f t="shared" si="227"/>
        <v/>
      </c>
      <c r="G2905" s="101"/>
      <c r="H2905" s="91">
        <f t="shared" si="228"/>
        <v>0</v>
      </c>
      <c r="I2905" s="91" t="str">
        <f t="shared" si="229"/>
        <v/>
      </c>
      <c r="J2905" s="91" t="str">
        <f t="shared" si="230"/>
        <v/>
      </c>
      <c r="K2905" s="92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2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58"/>
      <c r="U2905" s="217" t="str">
        <f t="shared" si="231"/>
        <v/>
      </c>
      <c r="V2905" s="215" t="s">
        <v>47</v>
      </c>
      <c r="W2905" s="102" t="s">
        <v>136</v>
      </c>
      <c r="X2905" s="102" t="s">
        <v>137</v>
      </c>
      <c r="Y2905" s="103" t="s">
        <v>138</v>
      </c>
      <c r="Z2905" s="103" t="s">
        <v>139</v>
      </c>
      <c r="AA2905" s="103" t="s">
        <v>47</v>
      </c>
      <c r="AB2905" s="103" t="s">
        <v>140</v>
      </c>
      <c r="AC2905" s="104" t="s">
        <v>141</v>
      </c>
    </row>
    <row r="2906" spans="1:29" ht="25.5" customHeight="1" x14ac:dyDescent="0.35">
      <c r="A2906" s="188"/>
      <c r="B2906" s="190"/>
      <c r="C2906" s="99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0"/>
      <c r="E2906" s="78" t="str">
        <f>IF(C2906="","",IFERROR(VLOOKUP(C2906,parametros!$A$11:$E$15,5,0),""))</f>
        <v/>
      </c>
      <c r="F2906" s="79" t="str">
        <f t="shared" si="227"/>
        <v/>
      </c>
      <c r="G2906" s="101"/>
      <c r="H2906" s="91">
        <f t="shared" si="228"/>
        <v>0</v>
      </c>
      <c r="I2906" s="91" t="str">
        <f t="shared" si="229"/>
        <v/>
      </c>
      <c r="J2906" s="91" t="str">
        <f t="shared" si="230"/>
        <v/>
      </c>
      <c r="K2906" s="92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2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58"/>
      <c r="U2906" s="217" t="str">
        <f t="shared" si="231"/>
        <v/>
      </c>
      <c r="V2906" s="215" t="s">
        <v>47</v>
      </c>
      <c r="W2906" s="102" t="s">
        <v>136</v>
      </c>
      <c r="X2906" s="102" t="s">
        <v>137</v>
      </c>
      <c r="Y2906" s="103" t="s">
        <v>138</v>
      </c>
      <c r="Z2906" s="103" t="s">
        <v>139</v>
      </c>
      <c r="AA2906" s="103" t="s">
        <v>47</v>
      </c>
      <c r="AB2906" s="103" t="s">
        <v>140</v>
      </c>
      <c r="AC2906" s="104" t="s">
        <v>141</v>
      </c>
    </row>
    <row r="2907" spans="1:29" ht="25.5" customHeight="1" x14ac:dyDescent="0.35">
      <c r="A2907" s="188"/>
      <c r="B2907" s="190"/>
      <c r="C2907" s="99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0"/>
      <c r="E2907" s="78" t="str">
        <f>IF(C2907="","",IFERROR(VLOOKUP(C2907,parametros!$A$11:$E$15,5,0),""))</f>
        <v/>
      </c>
      <c r="F2907" s="79" t="str">
        <f t="shared" si="227"/>
        <v/>
      </c>
      <c r="G2907" s="101"/>
      <c r="H2907" s="91">
        <f t="shared" si="228"/>
        <v>0</v>
      </c>
      <c r="I2907" s="91" t="str">
        <f t="shared" si="229"/>
        <v/>
      </c>
      <c r="J2907" s="91" t="str">
        <f t="shared" si="230"/>
        <v/>
      </c>
      <c r="K2907" s="92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2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58"/>
      <c r="U2907" s="217" t="str">
        <f t="shared" si="231"/>
        <v/>
      </c>
      <c r="V2907" s="215" t="s">
        <v>47</v>
      </c>
      <c r="W2907" s="102" t="s">
        <v>136</v>
      </c>
      <c r="X2907" s="102" t="s">
        <v>137</v>
      </c>
      <c r="Y2907" s="103" t="s">
        <v>138</v>
      </c>
      <c r="Z2907" s="103" t="s">
        <v>139</v>
      </c>
      <c r="AA2907" s="103" t="s">
        <v>47</v>
      </c>
      <c r="AB2907" s="103" t="s">
        <v>140</v>
      </c>
      <c r="AC2907" s="104" t="s">
        <v>141</v>
      </c>
    </row>
    <row r="2908" spans="1:29" ht="25.5" customHeight="1" x14ac:dyDescent="0.35">
      <c r="A2908" s="188"/>
      <c r="B2908" s="190"/>
      <c r="C2908" s="99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0"/>
      <c r="E2908" s="78" t="str">
        <f>IF(C2908="","",IFERROR(VLOOKUP(C2908,parametros!$A$11:$E$15,5,0),""))</f>
        <v/>
      </c>
      <c r="F2908" s="79" t="str">
        <f t="shared" si="227"/>
        <v/>
      </c>
      <c r="G2908" s="101"/>
      <c r="H2908" s="91">
        <f t="shared" si="228"/>
        <v>0</v>
      </c>
      <c r="I2908" s="91" t="str">
        <f t="shared" si="229"/>
        <v/>
      </c>
      <c r="J2908" s="91" t="str">
        <f t="shared" si="230"/>
        <v/>
      </c>
      <c r="K2908" s="92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2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58"/>
      <c r="U2908" s="217" t="str">
        <f t="shared" si="231"/>
        <v/>
      </c>
      <c r="V2908" s="215" t="s">
        <v>47</v>
      </c>
      <c r="W2908" s="102" t="s">
        <v>136</v>
      </c>
      <c r="X2908" s="102" t="s">
        <v>137</v>
      </c>
      <c r="Y2908" s="103" t="s">
        <v>138</v>
      </c>
      <c r="Z2908" s="103" t="s">
        <v>139</v>
      </c>
      <c r="AA2908" s="103" t="s">
        <v>47</v>
      </c>
      <c r="AB2908" s="103" t="s">
        <v>140</v>
      </c>
      <c r="AC2908" s="104" t="s">
        <v>141</v>
      </c>
    </row>
    <row r="2909" spans="1:29" ht="25.5" customHeight="1" x14ac:dyDescent="0.35">
      <c r="A2909" s="188"/>
      <c r="B2909" s="190"/>
      <c r="C2909" s="99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0"/>
      <c r="E2909" s="78" t="str">
        <f>IF(C2909="","",IFERROR(VLOOKUP(C2909,parametros!$A$11:$E$15,5,0),""))</f>
        <v/>
      </c>
      <c r="F2909" s="79" t="str">
        <f t="shared" si="227"/>
        <v/>
      </c>
      <c r="G2909" s="101"/>
      <c r="H2909" s="91">
        <f t="shared" si="228"/>
        <v>0</v>
      </c>
      <c r="I2909" s="91" t="str">
        <f t="shared" si="229"/>
        <v/>
      </c>
      <c r="J2909" s="91" t="str">
        <f t="shared" si="230"/>
        <v/>
      </c>
      <c r="K2909" s="92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2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58"/>
      <c r="U2909" s="217" t="str">
        <f t="shared" si="231"/>
        <v/>
      </c>
      <c r="V2909" s="215" t="s">
        <v>47</v>
      </c>
      <c r="W2909" s="102" t="s">
        <v>136</v>
      </c>
      <c r="X2909" s="102" t="s">
        <v>137</v>
      </c>
      <c r="Y2909" s="103" t="s">
        <v>138</v>
      </c>
      <c r="Z2909" s="103" t="s">
        <v>139</v>
      </c>
      <c r="AA2909" s="103" t="s">
        <v>47</v>
      </c>
      <c r="AB2909" s="103" t="s">
        <v>140</v>
      </c>
      <c r="AC2909" s="104" t="s">
        <v>141</v>
      </c>
    </row>
    <row r="2910" spans="1:29" ht="25.5" customHeight="1" x14ac:dyDescent="0.35">
      <c r="A2910" s="188"/>
      <c r="B2910" s="190"/>
      <c r="C2910" s="99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0"/>
      <c r="E2910" s="78" t="str">
        <f>IF(C2910="","",IFERROR(VLOOKUP(C2910,parametros!$A$11:$E$15,5,0),""))</f>
        <v/>
      </c>
      <c r="F2910" s="79" t="str">
        <f t="shared" si="227"/>
        <v/>
      </c>
      <c r="G2910" s="101"/>
      <c r="H2910" s="91">
        <f t="shared" si="228"/>
        <v>0</v>
      </c>
      <c r="I2910" s="91" t="str">
        <f t="shared" si="229"/>
        <v/>
      </c>
      <c r="J2910" s="91" t="str">
        <f t="shared" si="230"/>
        <v/>
      </c>
      <c r="K2910" s="92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2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58"/>
      <c r="U2910" s="217" t="str">
        <f t="shared" si="231"/>
        <v/>
      </c>
      <c r="V2910" s="215" t="s">
        <v>47</v>
      </c>
      <c r="W2910" s="102" t="s">
        <v>136</v>
      </c>
      <c r="X2910" s="102" t="s">
        <v>137</v>
      </c>
      <c r="Y2910" s="103" t="s">
        <v>138</v>
      </c>
      <c r="Z2910" s="103" t="s">
        <v>139</v>
      </c>
      <c r="AA2910" s="103" t="s">
        <v>47</v>
      </c>
      <c r="AB2910" s="103" t="s">
        <v>140</v>
      </c>
      <c r="AC2910" s="104" t="s">
        <v>141</v>
      </c>
    </row>
    <row r="2911" spans="1:29" ht="25.5" customHeight="1" x14ac:dyDescent="0.35">
      <c r="A2911" s="188"/>
      <c r="B2911" s="190"/>
      <c r="C2911" s="99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0"/>
      <c r="E2911" s="78" t="str">
        <f>IF(C2911="","",IFERROR(VLOOKUP(C2911,parametros!$A$11:$E$15,5,0),""))</f>
        <v/>
      </c>
      <c r="F2911" s="79" t="str">
        <f t="shared" si="227"/>
        <v/>
      </c>
      <c r="G2911" s="101"/>
      <c r="H2911" s="91">
        <f t="shared" si="228"/>
        <v>0</v>
      </c>
      <c r="I2911" s="91" t="str">
        <f t="shared" si="229"/>
        <v/>
      </c>
      <c r="J2911" s="91" t="str">
        <f t="shared" si="230"/>
        <v/>
      </c>
      <c r="K2911" s="92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2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58"/>
      <c r="U2911" s="217" t="str">
        <f t="shared" si="231"/>
        <v/>
      </c>
      <c r="V2911" s="215" t="s">
        <v>47</v>
      </c>
      <c r="W2911" s="102" t="s">
        <v>136</v>
      </c>
      <c r="X2911" s="102" t="s">
        <v>137</v>
      </c>
      <c r="Y2911" s="103" t="s">
        <v>138</v>
      </c>
      <c r="Z2911" s="103" t="s">
        <v>139</v>
      </c>
      <c r="AA2911" s="103" t="s">
        <v>47</v>
      </c>
      <c r="AB2911" s="103" t="s">
        <v>140</v>
      </c>
      <c r="AC2911" s="104" t="s">
        <v>141</v>
      </c>
    </row>
    <row r="2912" spans="1:29" ht="25.5" customHeight="1" x14ac:dyDescent="0.35">
      <c r="A2912" s="188"/>
      <c r="B2912" s="190"/>
      <c r="C2912" s="99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0"/>
      <c r="E2912" s="78" t="str">
        <f>IF(C2912="","",IFERROR(VLOOKUP(C2912,parametros!$A$11:$E$15,5,0),""))</f>
        <v/>
      </c>
      <c r="F2912" s="79" t="str">
        <f t="shared" si="227"/>
        <v/>
      </c>
      <c r="G2912" s="101"/>
      <c r="H2912" s="91">
        <f t="shared" si="228"/>
        <v>0</v>
      </c>
      <c r="I2912" s="91" t="str">
        <f t="shared" si="229"/>
        <v/>
      </c>
      <c r="J2912" s="91" t="str">
        <f t="shared" si="230"/>
        <v/>
      </c>
      <c r="K2912" s="92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2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58"/>
      <c r="U2912" s="217" t="str">
        <f t="shared" si="231"/>
        <v/>
      </c>
      <c r="V2912" s="215" t="s">
        <v>47</v>
      </c>
      <c r="W2912" s="102" t="s">
        <v>136</v>
      </c>
      <c r="X2912" s="102" t="s">
        <v>137</v>
      </c>
      <c r="Y2912" s="103" t="s">
        <v>138</v>
      </c>
      <c r="Z2912" s="103" t="s">
        <v>139</v>
      </c>
      <c r="AA2912" s="103" t="s">
        <v>47</v>
      </c>
      <c r="AB2912" s="103" t="s">
        <v>140</v>
      </c>
      <c r="AC2912" s="104" t="s">
        <v>141</v>
      </c>
    </row>
    <row r="2913" spans="1:29" ht="25.5" customHeight="1" x14ac:dyDescent="0.35">
      <c r="A2913" s="188"/>
      <c r="B2913" s="190"/>
      <c r="C2913" s="99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0"/>
      <c r="E2913" s="78" t="str">
        <f>IF(C2913="","",IFERROR(VLOOKUP(C2913,parametros!$A$11:$E$15,5,0),""))</f>
        <v/>
      </c>
      <c r="F2913" s="79" t="str">
        <f t="shared" si="227"/>
        <v/>
      </c>
      <c r="G2913" s="101"/>
      <c r="H2913" s="91">
        <f t="shared" si="228"/>
        <v>0</v>
      </c>
      <c r="I2913" s="91" t="str">
        <f t="shared" si="229"/>
        <v/>
      </c>
      <c r="J2913" s="91" t="str">
        <f t="shared" si="230"/>
        <v/>
      </c>
      <c r="K2913" s="92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2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58"/>
      <c r="U2913" s="217" t="str">
        <f t="shared" si="231"/>
        <v/>
      </c>
      <c r="V2913" s="215" t="s">
        <v>47</v>
      </c>
      <c r="W2913" s="102" t="s">
        <v>136</v>
      </c>
      <c r="X2913" s="102" t="s">
        <v>137</v>
      </c>
      <c r="Y2913" s="103" t="s">
        <v>138</v>
      </c>
      <c r="Z2913" s="103" t="s">
        <v>139</v>
      </c>
      <c r="AA2913" s="103" t="s">
        <v>47</v>
      </c>
      <c r="AB2913" s="103" t="s">
        <v>140</v>
      </c>
      <c r="AC2913" s="104" t="s">
        <v>141</v>
      </c>
    </row>
    <row r="2914" spans="1:29" ht="25.5" customHeight="1" x14ac:dyDescent="0.35">
      <c r="A2914" s="188"/>
      <c r="B2914" s="190"/>
      <c r="C2914" s="99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0"/>
      <c r="E2914" s="78" t="str">
        <f>IF(C2914="","",IFERROR(VLOOKUP(C2914,parametros!$A$11:$E$15,5,0),""))</f>
        <v/>
      </c>
      <c r="F2914" s="79" t="str">
        <f t="shared" si="227"/>
        <v/>
      </c>
      <c r="G2914" s="101"/>
      <c r="H2914" s="91">
        <f t="shared" si="228"/>
        <v>0</v>
      </c>
      <c r="I2914" s="91" t="str">
        <f t="shared" si="229"/>
        <v/>
      </c>
      <c r="J2914" s="91" t="str">
        <f t="shared" si="230"/>
        <v/>
      </c>
      <c r="K2914" s="92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2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58"/>
      <c r="U2914" s="217" t="str">
        <f t="shared" si="231"/>
        <v/>
      </c>
      <c r="V2914" s="215" t="s">
        <v>47</v>
      </c>
      <c r="W2914" s="102" t="s">
        <v>136</v>
      </c>
      <c r="X2914" s="102" t="s">
        <v>137</v>
      </c>
      <c r="Y2914" s="103" t="s">
        <v>138</v>
      </c>
      <c r="Z2914" s="103" t="s">
        <v>139</v>
      </c>
      <c r="AA2914" s="103" t="s">
        <v>47</v>
      </c>
      <c r="AB2914" s="103" t="s">
        <v>140</v>
      </c>
      <c r="AC2914" s="104" t="s">
        <v>141</v>
      </c>
    </row>
    <row r="2915" spans="1:29" ht="25.5" customHeight="1" x14ac:dyDescent="0.35">
      <c r="A2915" s="188"/>
      <c r="B2915" s="190"/>
      <c r="C2915" s="99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0"/>
      <c r="E2915" s="78" t="str">
        <f>IF(C2915="","",IFERROR(VLOOKUP(C2915,parametros!$A$11:$E$15,5,0),""))</f>
        <v/>
      </c>
      <c r="F2915" s="79" t="str">
        <f t="shared" si="227"/>
        <v/>
      </c>
      <c r="G2915" s="101"/>
      <c r="H2915" s="91">
        <f t="shared" si="228"/>
        <v>0</v>
      </c>
      <c r="I2915" s="91" t="str">
        <f t="shared" si="229"/>
        <v/>
      </c>
      <c r="J2915" s="91" t="str">
        <f t="shared" si="230"/>
        <v/>
      </c>
      <c r="K2915" s="92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2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58"/>
      <c r="U2915" s="217" t="str">
        <f t="shared" si="231"/>
        <v/>
      </c>
      <c r="V2915" s="215" t="s">
        <v>47</v>
      </c>
      <c r="W2915" s="102" t="s">
        <v>136</v>
      </c>
      <c r="X2915" s="102" t="s">
        <v>137</v>
      </c>
      <c r="Y2915" s="103" t="s">
        <v>138</v>
      </c>
      <c r="Z2915" s="103" t="s">
        <v>139</v>
      </c>
      <c r="AA2915" s="103" t="s">
        <v>47</v>
      </c>
      <c r="AB2915" s="103" t="s">
        <v>140</v>
      </c>
      <c r="AC2915" s="104" t="s">
        <v>141</v>
      </c>
    </row>
    <row r="2916" spans="1:29" ht="25.5" customHeight="1" x14ac:dyDescent="0.35">
      <c r="A2916" s="188"/>
      <c r="B2916" s="190"/>
      <c r="C2916" s="99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0"/>
      <c r="E2916" s="78" t="str">
        <f>IF(C2916="","",IFERROR(VLOOKUP(C2916,parametros!$A$11:$E$15,5,0),""))</f>
        <v/>
      </c>
      <c r="F2916" s="79" t="str">
        <f t="shared" si="227"/>
        <v/>
      </c>
      <c r="G2916" s="101"/>
      <c r="H2916" s="91">
        <f t="shared" si="228"/>
        <v>0</v>
      </c>
      <c r="I2916" s="91" t="str">
        <f t="shared" si="229"/>
        <v/>
      </c>
      <c r="J2916" s="91" t="str">
        <f t="shared" si="230"/>
        <v/>
      </c>
      <c r="K2916" s="92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2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58"/>
      <c r="U2916" s="217" t="str">
        <f t="shared" si="231"/>
        <v/>
      </c>
      <c r="V2916" s="215" t="s">
        <v>47</v>
      </c>
      <c r="W2916" s="102" t="s">
        <v>136</v>
      </c>
      <c r="X2916" s="102" t="s">
        <v>137</v>
      </c>
      <c r="Y2916" s="103" t="s">
        <v>138</v>
      </c>
      <c r="Z2916" s="103" t="s">
        <v>139</v>
      </c>
      <c r="AA2916" s="103" t="s">
        <v>47</v>
      </c>
      <c r="AB2916" s="103" t="s">
        <v>140</v>
      </c>
      <c r="AC2916" s="104" t="s">
        <v>141</v>
      </c>
    </row>
    <row r="2917" spans="1:29" ht="25.5" customHeight="1" x14ac:dyDescent="0.35">
      <c r="A2917" s="188"/>
      <c r="B2917" s="190"/>
      <c r="C2917" s="99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0"/>
      <c r="E2917" s="78" t="str">
        <f>IF(C2917="","",IFERROR(VLOOKUP(C2917,parametros!$A$11:$E$15,5,0),""))</f>
        <v/>
      </c>
      <c r="F2917" s="79" t="str">
        <f t="shared" si="227"/>
        <v/>
      </c>
      <c r="G2917" s="101"/>
      <c r="H2917" s="91">
        <f t="shared" si="228"/>
        <v>0</v>
      </c>
      <c r="I2917" s="91" t="str">
        <f t="shared" si="229"/>
        <v/>
      </c>
      <c r="J2917" s="91" t="str">
        <f t="shared" si="230"/>
        <v/>
      </c>
      <c r="K2917" s="92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2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58"/>
      <c r="U2917" s="217" t="str">
        <f t="shared" si="231"/>
        <v/>
      </c>
      <c r="V2917" s="215" t="s">
        <v>47</v>
      </c>
      <c r="W2917" s="102" t="s">
        <v>136</v>
      </c>
      <c r="X2917" s="102" t="s">
        <v>137</v>
      </c>
      <c r="Y2917" s="103" t="s">
        <v>138</v>
      </c>
      <c r="Z2917" s="103" t="s">
        <v>139</v>
      </c>
      <c r="AA2917" s="103" t="s">
        <v>47</v>
      </c>
      <c r="AB2917" s="103" t="s">
        <v>140</v>
      </c>
      <c r="AC2917" s="104" t="s">
        <v>141</v>
      </c>
    </row>
    <row r="2918" spans="1:29" ht="25.5" customHeight="1" x14ac:dyDescent="0.35">
      <c r="A2918" s="188"/>
      <c r="B2918" s="190"/>
      <c r="C2918" s="99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0"/>
      <c r="E2918" s="78" t="str">
        <f>IF(C2918="","",IFERROR(VLOOKUP(C2918,parametros!$A$11:$E$15,5,0),""))</f>
        <v/>
      </c>
      <c r="F2918" s="79" t="str">
        <f t="shared" si="227"/>
        <v/>
      </c>
      <c r="G2918" s="101"/>
      <c r="H2918" s="91">
        <f t="shared" si="228"/>
        <v>0</v>
      </c>
      <c r="I2918" s="91" t="str">
        <f t="shared" si="229"/>
        <v/>
      </c>
      <c r="J2918" s="91" t="str">
        <f t="shared" si="230"/>
        <v/>
      </c>
      <c r="K2918" s="92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2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58"/>
      <c r="U2918" s="217" t="str">
        <f t="shared" si="231"/>
        <v/>
      </c>
      <c r="V2918" s="215" t="s">
        <v>47</v>
      </c>
      <c r="W2918" s="102" t="s">
        <v>136</v>
      </c>
      <c r="X2918" s="102" t="s">
        <v>137</v>
      </c>
      <c r="Y2918" s="103" t="s">
        <v>138</v>
      </c>
      <c r="Z2918" s="103" t="s">
        <v>139</v>
      </c>
      <c r="AA2918" s="103" t="s">
        <v>47</v>
      </c>
      <c r="AB2918" s="103" t="s">
        <v>140</v>
      </c>
      <c r="AC2918" s="104" t="s">
        <v>141</v>
      </c>
    </row>
    <row r="2919" spans="1:29" ht="25.5" customHeight="1" x14ac:dyDescent="0.35">
      <c r="A2919" s="188"/>
      <c r="B2919" s="190"/>
      <c r="C2919" s="99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0"/>
      <c r="E2919" s="78" t="str">
        <f>IF(C2919="","",IFERROR(VLOOKUP(C2919,parametros!$A$11:$E$15,5,0),""))</f>
        <v/>
      </c>
      <c r="F2919" s="79" t="str">
        <f t="shared" si="227"/>
        <v/>
      </c>
      <c r="G2919" s="101"/>
      <c r="H2919" s="91">
        <f t="shared" si="228"/>
        <v>0</v>
      </c>
      <c r="I2919" s="91" t="str">
        <f t="shared" si="229"/>
        <v/>
      </c>
      <c r="J2919" s="91" t="str">
        <f t="shared" si="230"/>
        <v/>
      </c>
      <c r="K2919" s="92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2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58"/>
      <c r="U2919" s="217" t="str">
        <f t="shared" si="231"/>
        <v/>
      </c>
      <c r="V2919" s="215" t="s">
        <v>47</v>
      </c>
      <c r="W2919" s="102" t="s">
        <v>136</v>
      </c>
      <c r="X2919" s="102" t="s">
        <v>137</v>
      </c>
      <c r="Y2919" s="103" t="s">
        <v>138</v>
      </c>
      <c r="Z2919" s="103" t="s">
        <v>139</v>
      </c>
      <c r="AA2919" s="103" t="s">
        <v>47</v>
      </c>
      <c r="AB2919" s="103" t="s">
        <v>140</v>
      </c>
      <c r="AC2919" s="104" t="s">
        <v>141</v>
      </c>
    </row>
    <row r="2920" spans="1:29" ht="25.5" customHeight="1" x14ac:dyDescent="0.35">
      <c r="A2920" s="188"/>
      <c r="B2920" s="190"/>
      <c r="C2920" s="99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0"/>
      <c r="E2920" s="78" t="str">
        <f>IF(C2920="","",IFERROR(VLOOKUP(C2920,parametros!$A$11:$E$15,5,0),""))</f>
        <v/>
      </c>
      <c r="F2920" s="79" t="str">
        <f t="shared" si="227"/>
        <v/>
      </c>
      <c r="G2920" s="101"/>
      <c r="H2920" s="91">
        <f t="shared" si="228"/>
        <v>0</v>
      </c>
      <c r="I2920" s="91" t="str">
        <f t="shared" si="229"/>
        <v/>
      </c>
      <c r="J2920" s="91" t="str">
        <f t="shared" si="230"/>
        <v/>
      </c>
      <c r="K2920" s="92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2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58"/>
      <c r="U2920" s="217" t="str">
        <f t="shared" si="231"/>
        <v/>
      </c>
      <c r="V2920" s="215" t="s">
        <v>47</v>
      </c>
      <c r="W2920" s="102" t="s">
        <v>136</v>
      </c>
      <c r="X2920" s="102" t="s">
        <v>137</v>
      </c>
      <c r="Y2920" s="103" t="s">
        <v>138</v>
      </c>
      <c r="Z2920" s="103" t="s">
        <v>139</v>
      </c>
      <c r="AA2920" s="103" t="s">
        <v>47</v>
      </c>
      <c r="AB2920" s="103" t="s">
        <v>140</v>
      </c>
      <c r="AC2920" s="104" t="s">
        <v>141</v>
      </c>
    </row>
    <row r="2921" spans="1:29" ht="25.5" customHeight="1" x14ac:dyDescent="0.35">
      <c r="A2921" s="188"/>
      <c r="B2921" s="190"/>
      <c r="C2921" s="99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0"/>
      <c r="E2921" s="78" t="str">
        <f>IF(C2921="","",IFERROR(VLOOKUP(C2921,parametros!$A$11:$E$15,5,0),""))</f>
        <v/>
      </c>
      <c r="F2921" s="79" t="str">
        <f t="shared" si="227"/>
        <v/>
      </c>
      <c r="G2921" s="101"/>
      <c r="H2921" s="91">
        <f t="shared" si="228"/>
        <v>0</v>
      </c>
      <c r="I2921" s="91" t="str">
        <f t="shared" si="229"/>
        <v/>
      </c>
      <c r="J2921" s="91" t="str">
        <f t="shared" si="230"/>
        <v/>
      </c>
      <c r="K2921" s="92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2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58"/>
      <c r="U2921" s="217" t="str">
        <f t="shared" si="231"/>
        <v/>
      </c>
      <c r="V2921" s="215" t="s">
        <v>47</v>
      </c>
      <c r="W2921" s="102" t="s">
        <v>136</v>
      </c>
      <c r="X2921" s="102" t="s">
        <v>137</v>
      </c>
      <c r="Y2921" s="103" t="s">
        <v>138</v>
      </c>
      <c r="Z2921" s="103" t="s">
        <v>139</v>
      </c>
      <c r="AA2921" s="103" t="s">
        <v>47</v>
      </c>
      <c r="AB2921" s="103" t="s">
        <v>140</v>
      </c>
      <c r="AC2921" s="104" t="s">
        <v>141</v>
      </c>
    </row>
    <row r="2922" spans="1:29" ht="25.5" customHeight="1" x14ac:dyDescent="0.35">
      <c r="A2922" s="188"/>
      <c r="B2922" s="190"/>
      <c r="C2922" s="99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0"/>
      <c r="E2922" s="78" t="str">
        <f>IF(C2922="","",IFERROR(VLOOKUP(C2922,parametros!$A$11:$E$15,5,0),""))</f>
        <v/>
      </c>
      <c r="F2922" s="79" t="str">
        <f t="shared" si="227"/>
        <v/>
      </c>
      <c r="G2922" s="101"/>
      <c r="H2922" s="91">
        <f t="shared" si="228"/>
        <v>0</v>
      </c>
      <c r="I2922" s="91" t="str">
        <f t="shared" si="229"/>
        <v/>
      </c>
      <c r="J2922" s="91" t="str">
        <f t="shared" si="230"/>
        <v/>
      </c>
      <c r="K2922" s="92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2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58"/>
      <c r="U2922" s="217" t="str">
        <f t="shared" si="231"/>
        <v/>
      </c>
      <c r="V2922" s="215" t="s">
        <v>47</v>
      </c>
      <c r="W2922" s="102" t="s">
        <v>136</v>
      </c>
      <c r="X2922" s="102" t="s">
        <v>137</v>
      </c>
      <c r="Y2922" s="103" t="s">
        <v>138</v>
      </c>
      <c r="Z2922" s="103" t="s">
        <v>139</v>
      </c>
      <c r="AA2922" s="103" t="s">
        <v>47</v>
      </c>
      <c r="AB2922" s="103" t="s">
        <v>140</v>
      </c>
      <c r="AC2922" s="104" t="s">
        <v>141</v>
      </c>
    </row>
    <row r="2923" spans="1:29" ht="25.5" customHeight="1" x14ac:dyDescent="0.35">
      <c r="A2923" s="188"/>
      <c r="B2923" s="190"/>
      <c r="C2923" s="99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0"/>
      <c r="E2923" s="78" t="str">
        <f>IF(C2923="","",IFERROR(VLOOKUP(C2923,parametros!$A$11:$E$15,5,0),""))</f>
        <v/>
      </c>
      <c r="F2923" s="79" t="str">
        <f t="shared" si="227"/>
        <v/>
      </c>
      <c r="G2923" s="101"/>
      <c r="H2923" s="91">
        <f t="shared" si="228"/>
        <v>0</v>
      </c>
      <c r="I2923" s="91" t="str">
        <f t="shared" si="229"/>
        <v/>
      </c>
      <c r="J2923" s="91" t="str">
        <f t="shared" si="230"/>
        <v/>
      </c>
      <c r="K2923" s="92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2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58"/>
      <c r="U2923" s="217" t="str">
        <f t="shared" si="231"/>
        <v/>
      </c>
      <c r="V2923" s="215" t="s">
        <v>47</v>
      </c>
      <c r="W2923" s="102" t="s">
        <v>136</v>
      </c>
      <c r="X2923" s="102" t="s">
        <v>137</v>
      </c>
      <c r="Y2923" s="103" t="s">
        <v>138</v>
      </c>
      <c r="Z2923" s="103" t="s">
        <v>139</v>
      </c>
      <c r="AA2923" s="103" t="s">
        <v>47</v>
      </c>
      <c r="AB2923" s="103" t="s">
        <v>140</v>
      </c>
      <c r="AC2923" s="104" t="s">
        <v>141</v>
      </c>
    </row>
    <row r="2924" spans="1:29" ht="25.5" customHeight="1" x14ac:dyDescent="0.35">
      <c r="A2924" s="188"/>
      <c r="B2924" s="190"/>
      <c r="C2924" s="99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0"/>
      <c r="E2924" s="78" t="str">
        <f>IF(C2924="","",IFERROR(VLOOKUP(C2924,parametros!$A$11:$E$15,5,0),""))</f>
        <v/>
      </c>
      <c r="F2924" s="79" t="str">
        <f t="shared" si="227"/>
        <v/>
      </c>
      <c r="G2924" s="101"/>
      <c r="H2924" s="91">
        <f t="shared" si="228"/>
        <v>0</v>
      </c>
      <c r="I2924" s="91" t="str">
        <f t="shared" si="229"/>
        <v/>
      </c>
      <c r="J2924" s="91" t="str">
        <f t="shared" si="230"/>
        <v/>
      </c>
      <c r="K2924" s="92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2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58"/>
      <c r="U2924" s="217" t="str">
        <f t="shared" si="231"/>
        <v/>
      </c>
      <c r="V2924" s="215" t="s">
        <v>47</v>
      </c>
      <c r="W2924" s="102" t="s">
        <v>136</v>
      </c>
      <c r="X2924" s="102" t="s">
        <v>137</v>
      </c>
      <c r="Y2924" s="103" t="s">
        <v>138</v>
      </c>
      <c r="Z2924" s="103" t="s">
        <v>139</v>
      </c>
      <c r="AA2924" s="103" t="s">
        <v>47</v>
      </c>
      <c r="AB2924" s="103" t="s">
        <v>140</v>
      </c>
      <c r="AC2924" s="104" t="s">
        <v>141</v>
      </c>
    </row>
    <row r="2925" spans="1:29" ht="25.5" customHeight="1" x14ac:dyDescent="0.35">
      <c r="A2925" s="188"/>
      <c r="B2925" s="190"/>
      <c r="C2925" s="99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0"/>
      <c r="E2925" s="78" t="str">
        <f>IF(C2925="","",IFERROR(VLOOKUP(C2925,parametros!$A$11:$E$15,5,0),""))</f>
        <v/>
      </c>
      <c r="F2925" s="79" t="str">
        <f t="shared" si="227"/>
        <v/>
      </c>
      <c r="G2925" s="101"/>
      <c r="H2925" s="91">
        <f t="shared" si="228"/>
        <v>0</v>
      </c>
      <c r="I2925" s="91" t="str">
        <f t="shared" si="229"/>
        <v/>
      </c>
      <c r="J2925" s="91" t="str">
        <f t="shared" si="230"/>
        <v/>
      </c>
      <c r="K2925" s="92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2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58"/>
      <c r="U2925" s="217" t="str">
        <f t="shared" si="231"/>
        <v/>
      </c>
      <c r="V2925" s="215" t="s">
        <v>47</v>
      </c>
      <c r="W2925" s="102" t="s">
        <v>136</v>
      </c>
      <c r="X2925" s="102" t="s">
        <v>137</v>
      </c>
      <c r="Y2925" s="103" t="s">
        <v>138</v>
      </c>
      <c r="Z2925" s="103" t="s">
        <v>139</v>
      </c>
      <c r="AA2925" s="103" t="s">
        <v>47</v>
      </c>
      <c r="AB2925" s="103" t="s">
        <v>140</v>
      </c>
      <c r="AC2925" s="104" t="s">
        <v>141</v>
      </c>
    </row>
    <row r="2926" spans="1:29" ht="25.5" customHeight="1" x14ac:dyDescent="0.35">
      <c r="A2926" s="188"/>
      <c r="B2926" s="190"/>
      <c r="C2926" s="99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0"/>
      <c r="E2926" s="78" t="str">
        <f>IF(C2926="","",IFERROR(VLOOKUP(C2926,parametros!$A$11:$E$15,5,0),""))</f>
        <v/>
      </c>
      <c r="F2926" s="79" t="str">
        <f t="shared" si="227"/>
        <v/>
      </c>
      <c r="G2926" s="101"/>
      <c r="H2926" s="91">
        <f t="shared" si="228"/>
        <v>0</v>
      </c>
      <c r="I2926" s="91" t="str">
        <f t="shared" si="229"/>
        <v/>
      </c>
      <c r="J2926" s="91" t="str">
        <f t="shared" si="230"/>
        <v/>
      </c>
      <c r="K2926" s="92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2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58"/>
      <c r="U2926" s="217" t="str">
        <f t="shared" si="231"/>
        <v/>
      </c>
      <c r="V2926" s="215" t="s">
        <v>47</v>
      </c>
      <c r="W2926" s="102" t="s">
        <v>136</v>
      </c>
      <c r="X2926" s="102" t="s">
        <v>137</v>
      </c>
      <c r="Y2926" s="103" t="s">
        <v>138</v>
      </c>
      <c r="Z2926" s="103" t="s">
        <v>139</v>
      </c>
      <c r="AA2926" s="103" t="s">
        <v>47</v>
      </c>
      <c r="AB2926" s="103" t="s">
        <v>140</v>
      </c>
      <c r="AC2926" s="104" t="s">
        <v>141</v>
      </c>
    </row>
    <row r="2927" spans="1:29" ht="25.5" customHeight="1" x14ac:dyDescent="0.35">
      <c r="A2927" s="188"/>
      <c r="B2927" s="190"/>
      <c r="C2927" s="99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0"/>
      <c r="E2927" s="78" t="str">
        <f>IF(C2927="","",IFERROR(VLOOKUP(C2927,parametros!$A$11:$E$15,5,0),""))</f>
        <v/>
      </c>
      <c r="F2927" s="79" t="str">
        <f t="shared" si="227"/>
        <v/>
      </c>
      <c r="G2927" s="101"/>
      <c r="H2927" s="91">
        <f t="shared" si="228"/>
        <v>0</v>
      </c>
      <c r="I2927" s="91" t="str">
        <f t="shared" si="229"/>
        <v/>
      </c>
      <c r="J2927" s="91" t="str">
        <f t="shared" si="230"/>
        <v/>
      </c>
      <c r="K2927" s="92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2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58"/>
      <c r="U2927" s="217" t="str">
        <f t="shared" si="231"/>
        <v/>
      </c>
      <c r="V2927" s="215" t="s">
        <v>47</v>
      </c>
      <c r="W2927" s="102" t="s">
        <v>136</v>
      </c>
      <c r="X2927" s="102" t="s">
        <v>137</v>
      </c>
      <c r="Y2927" s="103" t="s">
        <v>138</v>
      </c>
      <c r="Z2927" s="103" t="s">
        <v>139</v>
      </c>
      <c r="AA2927" s="103" t="s">
        <v>47</v>
      </c>
      <c r="AB2927" s="103" t="s">
        <v>140</v>
      </c>
      <c r="AC2927" s="104" t="s">
        <v>141</v>
      </c>
    </row>
    <row r="2928" spans="1:29" ht="25.5" customHeight="1" x14ac:dyDescent="0.35">
      <c r="A2928" s="188"/>
      <c r="B2928" s="190"/>
      <c r="C2928" s="99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0"/>
      <c r="E2928" s="78" t="str">
        <f>IF(C2928="","",IFERROR(VLOOKUP(C2928,parametros!$A$11:$E$15,5,0),""))</f>
        <v/>
      </c>
      <c r="F2928" s="79" t="str">
        <f t="shared" si="227"/>
        <v/>
      </c>
      <c r="G2928" s="101"/>
      <c r="H2928" s="91">
        <f t="shared" si="228"/>
        <v>0</v>
      </c>
      <c r="I2928" s="91" t="str">
        <f t="shared" si="229"/>
        <v/>
      </c>
      <c r="J2928" s="91" t="str">
        <f t="shared" si="230"/>
        <v/>
      </c>
      <c r="K2928" s="92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2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58"/>
      <c r="U2928" s="217" t="str">
        <f t="shared" si="231"/>
        <v/>
      </c>
      <c r="V2928" s="215" t="s">
        <v>47</v>
      </c>
      <c r="W2928" s="102" t="s">
        <v>136</v>
      </c>
      <c r="X2928" s="102" t="s">
        <v>137</v>
      </c>
      <c r="Y2928" s="103" t="s">
        <v>138</v>
      </c>
      <c r="Z2928" s="103" t="s">
        <v>139</v>
      </c>
      <c r="AA2928" s="103" t="s">
        <v>47</v>
      </c>
      <c r="AB2928" s="103" t="s">
        <v>140</v>
      </c>
      <c r="AC2928" s="104" t="s">
        <v>141</v>
      </c>
    </row>
    <row r="2929" spans="1:29" ht="25.5" customHeight="1" x14ac:dyDescent="0.35">
      <c r="A2929" s="188"/>
      <c r="B2929" s="190"/>
      <c r="C2929" s="99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0"/>
      <c r="E2929" s="78" t="str">
        <f>IF(C2929="","",IFERROR(VLOOKUP(C2929,parametros!$A$11:$E$15,5,0),""))</f>
        <v/>
      </c>
      <c r="F2929" s="79" t="str">
        <f t="shared" si="227"/>
        <v/>
      </c>
      <c r="G2929" s="101"/>
      <c r="H2929" s="91">
        <f t="shared" si="228"/>
        <v>0</v>
      </c>
      <c r="I2929" s="91" t="str">
        <f t="shared" si="229"/>
        <v/>
      </c>
      <c r="J2929" s="91" t="str">
        <f t="shared" si="230"/>
        <v/>
      </c>
      <c r="K2929" s="92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2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58"/>
      <c r="U2929" s="217" t="str">
        <f t="shared" si="231"/>
        <v/>
      </c>
      <c r="V2929" s="215" t="s">
        <v>47</v>
      </c>
      <c r="W2929" s="102" t="s">
        <v>136</v>
      </c>
      <c r="X2929" s="102" t="s">
        <v>137</v>
      </c>
      <c r="Y2929" s="103" t="s">
        <v>138</v>
      </c>
      <c r="Z2929" s="103" t="s">
        <v>139</v>
      </c>
      <c r="AA2929" s="103" t="s">
        <v>47</v>
      </c>
      <c r="AB2929" s="103" t="s">
        <v>140</v>
      </c>
      <c r="AC2929" s="104" t="s">
        <v>141</v>
      </c>
    </row>
    <row r="2930" spans="1:29" ht="25.5" customHeight="1" x14ac:dyDescent="0.35">
      <c r="A2930" s="188"/>
      <c r="B2930" s="190"/>
      <c r="C2930" s="99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0"/>
      <c r="E2930" s="78" t="str">
        <f>IF(C2930="","",IFERROR(VLOOKUP(C2930,parametros!$A$11:$E$15,5,0),""))</f>
        <v/>
      </c>
      <c r="F2930" s="79" t="str">
        <f t="shared" si="227"/>
        <v/>
      </c>
      <c r="G2930" s="101"/>
      <c r="H2930" s="91">
        <f t="shared" si="228"/>
        <v>0</v>
      </c>
      <c r="I2930" s="91" t="str">
        <f t="shared" si="229"/>
        <v/>
      </c>
      <c r="J2930" s="91" t="str">
        <f t="shared" si="230"/>
        <v/>
      </c>
      <c r="K2930" s="92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2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58"/>
      <c r="U2930" s="217" t="str">
        <f t="shared" si="231"/>
        <v/>
      </c>
      <c r="V2930" s="215" t="s">
        <v>47</v>
      </c>
      <c r="W2930" s="102" t="s">
        <v>136</v>
      </c>
      <c r="X2930" s="102" t="s">
        <v>137</v>
      </c>
      <c r="Y2930" s="103" t="s">
        <v>138</v>
      </c>
      <c r="Z2930" s="103" t="s">
        <v>139</v>
      </c>
      <c r="AA2930" s="103" t="s">
        <v>47</v>
      </c>
      <c r="AB2930" s="103" t="s">
        <v>140</v>
      </c>
      <c r="AC2930" s="104" t="s">
        <v>141</v>
      </c>
    </row>
    <row r="2931" spans="1:29" ht="25.5" customHeight="1" x14ac:dyDescent="0.35">
      <c r="A2931" s="188"/>
      <c r="B2931" s="190"/>
      <c r="C2931" s="99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0"/>
      <c r="E2931" s="78" t="str">
        <f>IF(C2931="","",IFERROR(VLOOKUP(C2931,parametros!$A$11:$E$15,5,0),""))</f>
        <v/>
      </c>
      <c r="F2931" s="79" t="str">
        <f t="shared" si="227"/>
        <v/>
      </c>
      <c r="G2931" s="101"/>
      <c r="H2931" s="91">
        <f t="shared" si="228"/>
        <v>0</v>
      </c>
      <c r="I2931" s="91" t="str">
        <f t="shared" si="229"/>
        <v/>
      </c>
      <c r="J2931" s="91" t="str">
        <f t="shared" si="230"/>
        <v/>
      </c>
      <c r="K2931" s="92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2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58"/>
      <c r="U2931" s="217" t="str">
        <f t="shared" si="231"/>
        <v/>
      </c>
      <c r="V2931" s="215" t="s">
        <v>47</v>
      </c>
      <c r="W2931" s="102" t="s">
        <v>136</v>
      </c>
      <c r="X2931" s="102" t="s">
        <v>137</v>
      </c>
      <c r="Y2931" s="103" t="s">
        <v>138</v>
      </c>
      <c r="Z2931" s="103" t="s">
        <v>139</v>
      </c>
      <c r="AA2931" s="103" t="s">
        <v>47</v>
      </c>
      <c r="AB2931" s="103" t="s">
        <v>140</v>
      </c>
      <c r="AC2931" s="104" t="s">
        <v>141</v>
      </c>
    </row>
    <row r="2932" spans="1:29" ht="25.5" customHeight="1" x14ac:dyDescent="0.35">
      <c r="A2932" s="188"/>
      <c r="B2932" s="190"/>
      <c r="C2932" s="99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0"/>
      <c r="E2932" s="78" t="str">
        <f>IF(C2932="","",IFERROR(VLOOKUP(C2932,parametros!$A$11:$E$15,5,0),""))</f>
        <v/>
      </c>
      <c r="F2932" s="79" t="str">
        <f t="shared" si="227"/>
        <v/>
      </c>
      <c r="G2932" s="101"/>
      <c r="H2932" s="91">
        <f t="shared" si="228"/>
        <v>0</v>
      </c>
      <c r="I2932" s="91" t="str">
        <f t="shared" si="229"/>
        <v/>
      </c>
      <c r="J2932" s="91" t="str">
        <f t="shared" si="230"/>
        <v/>
      </c>
      <c r="K2932" s="92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2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58"/>
      <c r="U2932" s="217" t="str">
        <f t="shared" si="231"/>
        <v/>
      </c>
      <c r="V2932" s="215" t="s">
        <v>47</v>
      </c>
      <c r="W2932" s="102" t="s">
        <v>136</v>
      </c>
      <c r="X2932" s="102" t="s">
        <v>137</v>
      </c>
      <c r="Y2932" s="103" t="s">
        <v>138</v>
      </c>
      <c r="Z2932" s="103" t="s">
        <v>139</v>
      </c>
      <c r="AA2932" s="103" t="s">
        <v>47</v>
      </c>
      <c r="AB2932" s="103" t="s">
        <v>140</v>
      </c>
      <c r="AC2932" s="104" t="s">
        <v>141</v>
      </c>
    </row>
    <row r="2933" spans="1:29" ht="25.5" customHeight="1" x14ac:dyDescent="0.35">
      <c r="A2933" s="188"/>
      <c r="B2933" s="190"/>
      <c r="C2933" s="99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0"/>
      <c r="E2933" s="78" t="str">
        <f>IF(C2933="","",IFERROR(VLOOKUP(C2933,parametros!$A$11:$E$15,5,0),""))</f>
        <v/>
      </c>
      <c r="F2933" s="79" t="str">
        <f t="shared" si="227"/>
        <v/>
      </c>
      <c r="G2933" s="101"/>
      <c r="H2933" s="91">
        <f t="shared" si="228"/>
        <v>0</v>
      </c>
      <c r="I2933" s="91" t="str">
        <f t="shared" si="229"/>
        <v/>
      </c>
      <c r="J2933" s="91" t="str">
        <f t="shared" si="230"/>
        <v/>
      </c>
      <c r="K2933" s="92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2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58"/>
      <c r="U2933" s="217" t="str">
        <f t="shared" si="231"/>
        <v/>
      </c>
      <c r="V2933" s="215" t="s">
        <v>47</v>
      </c>
      <c r="W2933" s="102" t="s">
        <v>136</v>
      </c>
      <c r="X2933" s="102" t="s">
        <v>137</v>
      </c>
      <c r="Y2933" s="103" t="s">
        <v>138</v>
      </c>
      <c r="Z2933" s="103" t="s">
        <v>139</v>
      </c>
      <c r="AA2933" s="103" t="s">
        <v>47</v>
      </c>
      <c r="AB2933" s="103" t="s">
        <v>140</v>
      </c>
      <c r="AC2933" s="104" t="s">
        <v>141</v>
      </c>
    </row>
    <row r="2934" spans="1:29" ht="25.5" customHeight="1" x14ac:dyDescent="0.35">
      <c r="A2934" s="188"/>
      <c r="B2934" s="190"/>
      <c r="C2934" s="99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0"/>
      <c r="E2934" s="78" t="str">
        <f>IF(C2934="","",IFERROR(VLOOKUP(C2934,parametros!$A$11:$E$15,5,0),""))</f>
        <v/>
      </c>
      <c r="F2934" s="79" t="str">
        <f t="shared" si="227"/>
        <v/>
      </c>
      <c r="G2934" s="101"/>
      <c r="H2934" s="91">
        <f t="shared" si="228"/>
        <v>0</v>
      </c>
      <c r="I2934" s="91" t="str">
        <f t="shared" si="229"/>
        <v/>
      </c>
      <c r="J2934" s="91" t="str">
        <f t="shared" si="230"/>
        <v/>
      </c>
      <c r="K2934" s="92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2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58"/>
      <c r="U2934" s="217" t="str">
        <f t="shared" si="231"/>
        <v/>
      </c>
      <c r="V2934" s="215" t="s">
        <v>47</v>
      </c>
      <c r="W2934" s="102" t="s">
        <v>136</v>
      </c>
      <c r="X2934" s="102" t="s">
        <v>137</v>
      </c>
      <c r="Y2934" s="103" t="s">
        <v>138</v>
      </c>
      <c r="Z2934" s="103" t="s">
        <v>139</v>
      </c>
      <c r="AA2934" s="103" t="s">
        <v>47</v>
      </c>
      <c r="AB2934" s="103" t="s">
        <v>140</v>
      </c>
      <c r="AC2934" s="104" t="s">
        <v>141</v>
      </c>
    </row>
    <row r="2935" spans="1:29" ht="25.5" customHeight="1" x14ac:dyDescent="0.35">
      <c r="A2935" s="188"/>
      <c r="B2935" s="190"/>
      <c r="C2935" s="99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0"/>
      <c r="E2935" s="78" t="str">
        <f>IF(C2935="","",IFERROR(VLOOKUP(C2935,parametros!$A$11:$E$15,5,0),""))</f>
        <v/>
      </c>
      <c r="F2935" s="79" t="str">
        <f t="shared" si="227"/>
        <v/>
      </c>
      <c r="G2935" s="101"/>
      <c r="H2935" s="91">
        <f t="shared" si="228"/>
        <v>0</v>
      </c>
      <c r="I2935" s="91" t="str">
        <f t="shared" si="229"/>
        <v/>
      </c>
      <c r="J2935" s="91" t="str">
        <f t="shared" si="230"/>
        <v/>
      </c>
      <c r="K2935" s="92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2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58"/>
      <c r="U2935" s="217" t="str">
        <f t="shared" si="231"/>
        <v/>
      </c>
      <c r="V2935" s="215" t="s">
        <v>47</v>
      </c>
      <c r="W2935" s="102" t="s">
        <v>136</v>
      </c>
      <c r="X2935" s="102" t="s">
        <v>137</v>
      </c>
      <c r="Y2935" s="103" t="s">
        <v>138</v>
      </c>
      <c r="Z2935" s="103" t="s">
        <v>139</v>
      </c>
      <c r="AA2935" s="103" t="s">
        <v>47</v>
      </c>
      <c r="AB2935" s="103" t="s">
        <v>140</v>
      </c>
      <c r="AC2935" s="104" t="s">
        <v>141</v>
      </c>
    </row>
    <row r="2936" spans="1:29" ht="25.5" customHeight="1" x14ac:dyDescent="0.35">
      <c r="A2936" s="188"/>
      <c r="B2936" s="190"/>
      <c r="C2936" s="99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0"/>
      <c r="E2936" s="78" t="str">
        <f>IF(C2936="","",IFERROR(VLOOKUP(C2936,parametros!$A$11:$E$15,5,0),""))</f>
        <v/>
      </c>
      <c r="F2936" s="79" t="str">
        <f t="shared" si="227"/>
        <v/>
      </c>
      <c r="G2936" s="101"/>
      <c r="H2936" s="91">
        <f t="shared" si="228"/>
        <v>0</v>
      </c>
      <c r="I2936" s="91" t="str">
        <f t="shared" si="229"/>
        <v/>
      </c>
      <c r="J2936" s="91" t="str">
        <f t="shared" si="230"/>
        <v/>
      </c>
      <c r="K2936" s="92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2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58"/>
      <c r="U2936" s="217" t="str">
        <f t="shared" si="231"/>
        <v/>
      </c>
      <c r="V2936" s="215" t="s">
        <v>47</v>
      </c>
      <c r="W2936" s="102" t="s">
        <v>136</v>
      </c>
      <c r="X2936" s="102" t="s">
        <v>137</v>
      </c>
      <c r="Y2936" s="103" t="s">
        <v>138</v>
      </c>
      <c r="Z2936" s="103" t="s">
        <v>139</v>
      </c>
      <c r="AA2936" s="103" t="s">
        <v>47</v>
      </c>
      <c r="AB2936" s="103" t="s">
        <v>140</v>
      </c>
      <c r="AC2936" s="104" t="s">
        <v>141</v>
      </c>
    </row>
    <row r="2937" spans="1:29" ht="25.5" customHeight="1" x14ac:dyDescent="0.35">
      <c r="A2937" s="188"/>
      <c r="B2937" s="190"/>
      <c r="C2937" s="99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0"/>
      <c r="E2937" s="78" t="str">
        <f>IF(C2937="","",IFERROR(VLOOKUP(C2937,parametros!$A$11:$E$15,5,0),""))</f>
        <v/>
      </c>
      <c r="F2937" s="79" t="str">
        <f t="shared" si="227"/>
        <v/>
      </c>
      <c r="G2937" s="101"/>
      <c r="H2937" s="91">
        <f t="shared" si="228"/>
        <v>0</v>
      </c>
      <c r="I2937" s="91" t="str">
        <f t="shared" si="229"/>
        <v/>
      </c>
      <c r="J2937" s="91" t="str">
        <f t="shared" si="230"/>
        <v/>
      </c>
      <c r="K2937" s="92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2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58"/>
      <c r="U2937" s="217" t="str">
        <f t="shared" si="231"/>
        <v/>
      </c>
      <c r="V2937" s="215" t="s">
        <v>47</v>
      </c>
      <c r="W2937" s="102" t="s">
        <v>136</v>
      </c>
      <c r="X2937" s="102" t="s">
        <v>137</v>
      </c>
      <c r="Y2937" s="103" t="s">
        <v>138</v>
      </c>
      <c r="Z2937" s="103" t="s">
        <v>139</v>
      </c>
      <c r="AA2937" s="103" t="s">
        <v>47</v>
      </c>
      <c r="AB2937" s="103" t="s">
        <v>140</v>
      </c>
      <c r="AC2937" s="104" t="s">
        <v>141</v>
      </c>
    </row>
    <row r="2938" spans="1:29" ht="25.5" customHeight="1" x14ac:dyDescent="0.35">
      <c r="A2938" s="188"/>
      <c r="B2938" s="190"/>
      <c r="C2938" s="99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0"/>
      <c r="E2938" s="78" t="str">
        <f>IF(C2938="","",IFERROR(VLOOKUP(C2938,parametros!$A$11:$E$15,5,0),""))</f>
        <v/>
      </c>
      <c r="F2938" s="79" t="str">
        <f t="shared" si="227"/>
        <v/>
      </c>
      <c r="G2938" s="101"/>
      <c r="H2938" s="91">
        <f t="shared" si="228"/>
        <v>0</v>
      </c>
      <c r="I2938" s="91" t="str">
        <f t="shared" si="229"/>
        <v/>
      </c>
      <c r="J2938" s="91" t="str">
        <f t="shared" si="230"/>
        <v/>
      </c>
      <c r="K2938" s="92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2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58"/>
      <c r="U2938" s="217" t="str">
        <f t="shared" si="231"/>
        <v/>
      </c>
      <c r="V2938" s="215" t="s">
        <v>47</v>
      </c>
      <c r="W2938" s="102" t="s">
        <v>136</v>
      </c>
      <c r="X2938" s="102" t="s">
        <v>137</v>
      </c>
      <c r="Y2938" s="103" t="s">
        <v>138</v>
      </c>
      <c r="Z2938" s="103" t="s">
        <v>139</v>
      </c>
      <c r="AA2938" s="103" t="s">
        <v>47</v>
      </c>
      <c r="AB2938" s="103" t="s">
        <v>140</v>
      </c>
      <c r="AC2938" s="104" t="s">
        <v>141</v>
      </c>
    </row>
    <row r="2939" spans="1:29" ht="25.5" customHeight="1" x14ac:dyDescent="0.35">
      <c r="A2939" s="188"/>
      <c r="B2939" s="190"/>
      <c r="C2939" s="99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0"/>
      <c r="E2939" s="78" t="str">
        <f>IF(C2939="","",IFERROR(VLOOKUP(C2939,parametros!$A$11:$E$15,5,0),""))</f>
        <v/>
      </c>
      <c r="F2939" s="79" t="str">
        <f t="shared" si="227"/>
        <v/>
      </c>
      <c r="G2939" s="101"/>
      <c r="H2939" s="91">
        <f t="shared" si="228"/>
        <v>0</v>
      </c>
      <c r="I2939" s="91" t="str">
        <f t="shared" si="229"/>
        <v/>
      </c>
      <c r="J2939" s="91" t="str">
        <f t="shared" si="230"/>
        <v/>
      </c>
      <c r="K2939" s="92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2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58"/>
      <c r="U2939" s="217" t="str">
        <f t="shared" si="231"/>
        <v/>
      </c>
      <c r="V2939" s="215" t="s">
        <v>47</v>
      </c>
      <c r="W2939" s="102" t="s">
        <v>136</v>
      </c>
      <c r="X2939" s="102" t="s">
        <v>137</v>
      </c>
      <c r="Y2939" s="103" t="s">
        <v>138</v>
      </c>
      <c r="Z2939" s="103" t="s">
        <v>139</v>
      </c>
      <c r="AA2939" s="103" t="s">
        <v>47</v>
      </c>
      <c r="AB2939" s="103" t="s">
        <v>140</v>
      </c>
      <c r="AC2939" s="104" t="s">
        <v>141</v>
      </c>
    </row>
    <row r="2940" spans="1:29" ht="25.5" customHeight="1" x14ac:dyDescent="0.35">
      <c r="A2940" s="188"/>
      <c r="B2940" s="190"/>
      <c r="C2940" s="99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0"/>
      <c r="E2940" s="78" t="str">
        <f>IF(C2940="","",IFERROR(VLOOKUP(C2940,parametros!$A$11:$E$15,5,0),""))</f>
        <v/>
      </c>
      <c r="F2940" s="79" t="str">
        <f t="shared" si="227"/>
        <v/>
      </c>
      <c r="G2940" s="101"/>
      <c r="H2940" s="91">
        <f t="shared" si="228"/>
        <v>0</v>
      </c>
      <c r="I2940" s="91" t="str">
        <f t="shared" si="229"/>
        <v/>
      </c>
      <c r="J2940" s="91" t="str">
        <f t="shared" si="230"/>
        <v/>
      </c>
      <c r="K2940" s="92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2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58"/>
      <c r="U2940" s="217" t="str">
        <f t="shared" si="231"/>
        <v/>
      </c>
      <c r="V2940" s="215" t="s">
        <v>47</v>
      </c>
      <c r="W2940" s="102" t="s">
        <v>136</v>
      </c>
      <c r="X2940" s="102" t="s">
        <v>137</v>
      </c>
      <c r="Y2940" s="103" t="s">
        <v>138</v>
      </c>
      <c r="Z2940" s="103" t="s">
        <v>139</v>
      </c>
      <c r="AA2940" s="103" t="s">
        <v>47</v>
      </c>
      <c r="AB2940" s="103" t="s">
        <v>140</v>
      </c>
      <c r="AC2940" s="104" t="s">
        <v>141</v>
      </c>
    </row>
    <row r="2941" spans="1:29" ht="25.5" customHeight="1" x14ac:dyDescent="0.35">
      <c r="A2941" s="188"/>
      <c r="B2941" s="190"/>
      <c r="C2941" s="99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0"/>
      <c r="E2941" s="78" t="str">
        <f>IF(C2941="","",IFERROR(VLOOKUP(C2941,parametros!$A$11:$E$15,5,0),""))</f>
        <v/>
      </c>
      <c r="F2941" s="79" t="str">
        <f t="shared" si="227"/>
        <v/>
      </c>
      <c r="G2941" s="101"/>
      <c r="H2941" s="91">
        <f t="shared" si="228"/>
        <v>0</v>
      </c>
      <c r="I2941" s="91" t="str">
        <f t="shared" si="229"/>
        <v/>
      </c>
      <c r="J2941" s="91" t="str">
        <f t="shared" si="230"/>
        <v/>
      </c>
      <c r="K2941" s="92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2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58"/>
      <c r="U2941" s="217" t="str">
        <f t="shared" si="231"/>
        <v/>
      </c>
      <c r="V2941" s="215" t="s">
        <v>47</v>
      </c>
      <c r="W2941" s="102" t="s">
        <v>136</v>
      </c>
      <c r="X2941" s="102" t="s">
        <v>137</v>
      </c>
      <c r="Y2941" s="103" t="s">
        <v>138</v>
      </c>
      <c r="Z2941" s="103" t="s">
        <v>139</v>
      </c>
      <c r="AA2941" s="103" t="s">
        <v>47</v>
      </c>
      <c r="AB2941" s="103" t="s">
        <v>140</v>
      </c>
      <c r="AC2941" s="104" t="s">
        <v>141</v>
      </c>
    </row>
    <row r="2942" spans="1:29" ht="25.5" customHeight="1" x14ac:dyDescent="0.35">
      <c r="A2942" s="188"/>
      <c r="B2942" s="190"/>
      <c r="C2942" s="99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0"/>
      <c r="E2942" s="78" t="str">
        <f>IF(C2942="","",IFERROR(VLOOKUP(C2942,parametros!$A$11:$E$15,5,0),""))</f>
        <v/>
      </c>
      <c r="F2942" s="79" t="str">
        <f t="shared" si="227"/>
        <v/>
      </c>
      <c r="G2942" s="101"/>
      <c r="H2942" s="91">
        <f t="shared" si="228"/>
        <v>0</v>
      </c>
      <c r="I2942" s="91" t="str">
        <f t="shared" si="229"/>
        <v/>
      </c>
      <c r="J2942" s="91" t="str">
        <f t="shared" si="230"/>
        <v/>
      </c>
      <c r="K2942" s="92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2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58"/>
      <c r="U2942" s="217" t="str">
        <f t="shared" si="231"/>
        <v/>
      </c>
      <c r="V2942" s="215" t="s">
        <v>47</v>
      </c>
      <c r="W2942" s="102" t="s">
        <v>136</v>
      </c>
      <c r="X2942" s="102" t="s">
        <v>137</v>
      </c>
      <c r="Y2942" s="103" t="s">
        <v>138</v>
      </c>
      <c r="Z2942" s="103" t="s">
        <v>139</v>
      </c>
      <c r="AA2942" s="103" t="s">
        <v>47</v>
      </c>
      <c r="AB2942" s="103" t="s">
        <v>140</v>
      </c>
      <c r="AC2942" s="104" t="s">
        <v>141</v>
      </c>
    </row>
    <row r="2943" spans="1:29" ht="25.5" customHeight="1" x14ac:dyDescent="0.35">
      <c r="A2943" s="188"/>
      <c r="B2943" s="190"/>
      <c r="C2943" s="99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0"/>
      <c r="E2943" s="78" t="str">
        <f>IF(C2943="","",IFERROR(VLOOKUP(C2943,parametros!$A$11:$E$15,5,0),""))</f>
        <v/>
      </c>
      <c r="F2943" s="79" t="str">
        <f t="shared" si="227"/>
        <v/>
      </c>
      <c r="G2943" s="101"/>
      <c r="H2943" s="91">
        <f t="shared" si="228"/>
        <v>0</v>
      </c>
      <c r="I2943" s="91" t="str">
        <f t="shared" si="229"/>
        <v/>
      </c>
      <c r="J2943" s="91" t="str">
        <f t="shared" si="230"/>
        <v/>
      </c>
      <c r="K2943" s="92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2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58"/>
      <c r="U2943" s="217" t="str">
        <f t="shared" si="231"/>
        <v/>
      </c>
      <c r="V2943" s="215" t="s">
        <v>47</v>
      </c>
      <c r="W2943" s="102" t="s">
        <v>136</v>
      </c>
      <c r="X2943" s="102" t="s">
        <v>137</v>
      </c>
      <c r="Y2943" s="103" t="s">
        <v>138</v>
      </c>
      <c r="Z2943" s="103" t="s">
        <v>139</v>
      </c>
      <c r="AA2943" s="103" t="s">
        <v>47</v>
      </c>
      <c r="AB2943" s="103" t="s">
        <v>140</v>
      </c>
      <c r="AC2943" s="104" t="s">
        <v>141</v>
      </c>
    </row>
    <row r="2944" spans="1:29" ht="25.5" customHeight="1" x14ac:dyDescent="0.35">
      <c r="A2944" s="188"/>
      <c r="B2944" s="190"/>
      <c r="C2944" s="99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0"/>
      <c r="E2944" s="78" t="str">
        <f>IF(C2944="","",IFERROR(VLOOKUP(C2944,parametros!$A$11:$E$15,5,0),""))</f>
        <v/>
      </c>
      <c r="F2944" s="79" t="str">
        <f t="shared" si="227"/>
        <v/>
      </c>
      <c r="G2944" s="101"/>
      <c r="H2944" s="91">
        <f t="shared" si="228"/>
        <v>0</v>
      </c>
      <c r="I2944" s="91" t="str">
        <f t="shared" si="229"/>
        <v/>
      </c>
      <c r="J2944" s="91" t="str">
        <f t="shared" si="230"/>
        <v/>
      </c>
      <c r="K2944" s="92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2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58"/>
      <c r="U2944" s="217" t="str">
        <f t="shared" si="231"/>
        <v/>
      </c>
      <c r="V2944" s="215" t="s">
        <v>47</v>
      </c>
      <c r="W2944" s="102" t="s">
        <v>136</v>
      </c>
      <c r="X2944" s="102" t="s">
        <v>137</v>
      </c>
      <c r="Y2944" s="103" t="s">
        <v>138</v>
      </c>
      <c r="Z2944" s="103" t="s">
        <v>139</v>
      </c>
      <c r="AA2944" s="103" t="s">
        <v>47</v>
      </c>
      <c r="AB2944" s="103" t="s">
        <v>140</v>
      </c>
      <c r="AC2944" s="104" t="s">
        <v>141</v>
      </c>
    </row>
    <row r="2945" spans="1:29" ht="25.5" customHeight="1" x14ac:dyDescent="0.35">
      <c r="A2945" s="188"/>
      <c r="B2945" s="190"/>
      <c r="C2945" s="99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0"/>
      <c r="E2945" s="78" t="str">
        <f>IF(C2945="","",IFERROR(VLOOKUP(C2945,parametros!$A$11:$E$15,5,0),""))</f>
        <v/>
      </c>
      <c r="F2945" s="79" t="str">
        <f t="shared" si="227"/>
        <v/>
      </c>
      <c r="G2945" s="101"/>
      <c r="H2945" s="91">
        <f t="shared" si="228"/>
        <v>0</v>
      </c>
      <c r="I2945" s="91" t="str">
        <f t="shared" si="229"/>
        <v/>
      </c>
      <c r="J2945" s="91" t="str">
        <f t="shared" si="230"/>
        <v/>
      </c>
      <c r="K2945" s="92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2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58"/>
      <c r="U2945" s="217" t="str">
        <f t="shared" si="231"/>
        <v/>
      </c>
      <c r="V2945" s="215" t="s">
        <v>47</v>
      </c>
      <c r="W2945" s="102" t="s">
        <v>136</v>
      </c>
      <c r="X2945" s="102" t="s">
        <v>137</v>
      </c>
      <c r="Y2945" s="103" t="s">
        <v>138</v>
      </c>
      <c r="Z2945" s="103" t="s">
        <v>139</v>
      </c>
      <c r="AA2945" s="103" t="s">
        <v>47</v>
      </c>
      <c r="AB2945" s="103" t="s">
        <v>140</v>
      </c>
      <c r="AC2945" s="104" t="s">
        <v>141</v>
      </c>
    </row>
    <row r="2946" spans="1:29" ht="25.5" customHeight="1" x14ac:dyDescent="0.35">
      <c r="A2946" s="188"/>
      <c r="B2946" s="190"/>
      <c r="C2946" s="99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0"/>
      <c r="E2946" s="78" t="str">
        <f>IF(C2946="","",IFERROR(VLOOKUP(C2946,parametros!$A$11:$E$15,5,0),""))</f>
        <v/>
      </c>
      <c r="F2946" s="79" t="str">
        <f t="shared" ref="F2946:F3009" si="232">IF(OR(D2946="",E2946=""),"",ROUND(D2946*E2946,2))</f>
        <v/>
      </c>
      <c r="G2946" s="101"/>
      <c r="H2946" s="91">
        <f t="shared" ref="H2946:H3009" si="233">IF(G2946="Sim",IF(OR(F2946="",D2946="",L2946=""),"",IF(L2946="Sim",ROUND(F2946-D2946,2),0)),0)</f>
        <v>0</v>
      </c>
      <c r="I2946" s="91" t="str">
        <f t="shared" ref="I2946:I3009" si="234">IF(G2946="Sim",0,IF(OR(F2946="",L2946=""),"",F2946))</f>
        <v/>
      </c>
      <c r="J2946" s="91" t="str">
        <f t="shared" ref="J2946:J3009" si="235">IF(G2946="Sim",0,IF(OR(F2946="",D2946="",L2946=""),"",IF(L2946="Sim",ROUND(F2946-D2946,2),0)))</f>
        <v/>
      </c>
      <c r="K2946" s="92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2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58"/>
      <c r="U2946" s="217" t="str">
        <f t="shared" ref="U2946:U3009" si="236">IF(OR($D2946="",$H2946=""),"",ROUND($D2946+$H2946,2))</f>
        <v/>
      </c>
      <c r="V2946" s="215" t="s">
        <v>47</v>
      </c>
      <c r="W2946" s="102" t="s">
        <v>136</v>
      </c>
      <c r="X2946" s="102" t="s">
        <v>137</v>
      </c>
      <c r="Y2946" s="103" t="s">
        <v>138</v>
      </c>
      <c r="Z2946" s="103" t="s">
        <v>139</v>
      </c>
      <c r="AA2946" s="103" t="s">
        <v>47</v>
      </c>
      <c r="AB2946" s="103" t="s">
        <v>140</v>
      </c>
      <c r="AC2946" s="104" t="s">
        <v>141</v>
      </c>
    </row>
    <row r="2947" spans="1:29" ht="25.5" customHeight="1" x14ac:dyDescent="0.35">
      <c r="A2947" s="188"/>
      <c r="B2947" s="190"/>
      <c r="C2947" s="99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0"/>
      <c r="E2947" s="78" t="str">
        <f>IF(C2947="","",IFERROR(VLOOKUP(C2947,parametros!$A$11:$E$15,5,0),""))</f>
        <v/>
      </c>
      <c r="F2947" s="79" t="str">
        <f t="shared" si="232"/>
        <v/>
      </c>
      <c r="G2947" s="101"/>
      <c r="H2947" s="91">
        <f t="shared" si="233"/>
        <v>0</v>
      </c>
      <c r="I2947" s="91" t="str">
        <f t="shared" si="234"/>
        <v/>
      </c>
      <c r="J2947" s="91" t="str">
        <f t="shared" si="235"/>
        <v/>
      </c>
      <c r="K2947" s="92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2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58"/>
      <c r="U2947" s="217" t="str">
        <f t="shared" si="236"/>
        <v/>
      </c>
      <c r="V2947" s="215" t="s">
        <v>47</v>
      </c>
      <c r="W2947" s="102" t="s">
        <v>136</v>
      </c>
      <c r="X2947" s="102" t="s">
        <v>137</v>
      </c>
      <c r="Y2947" s="103" t="s">
        <v>138</v>
      </c>
      <c r="Z2947" s="103" t="s">
        <v>139</v>
      </c>
      <c r="AA2947" s="103" t="s">
        <v>47</v>
      </c>
      <c r="AB2947" s="103" t="s">
        <v>140</v>
      </c>
      <c r="AC2947" s="104" t="s">
        <v>141</v>
      </c>
    </row>
    <row r="2948" spans="1:29" ht="25.5" customHeight="1" x14ac:dyDescent="0.35">
      <c r="A2948" s="188"/>
      <c r="B2948" s="190"/>
      <c r="C2948" s="99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0"/>
      <c r="E2948" s="78" t="str">
        <f>IF(C2948="","",IFERROR(VLOOKUP(C2948,parametros!$A$11:$E$15,5,0),""))</f>
        <v/>
      </c>
      <c r="F2948" s="79" t="str">
        <f t="shared" si="232"/>
        <v/>
      </c>
      <c r="G2948" s="101"/>
      <c r="H2948" s="91">
        <f t="shared" si="233"/>
        <v>0</v>
      </c>
      <c r="I2948" s="91" t="str">
        <f t="shared" si="234"/>
        <v/>
      </c>
      <c r="J2948" s="91" t="str">
        <f t="shared" si="235"/>
        <v/>
      </c>
      <c r="K2948" s="92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2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58"/>
      <c r="U2948" s="217" t="str">
        <f t="shared" si="236"/>
        <v/>
      </c>
      <c r="V2948" s="215" t="s">
        <v>47</v>
      </c>
      <c r="W2948" s="102" t="s">
        <v>136</v>
      </c>
      <c r="X2948" s="102" t="s">
        <v>137</v>
      </c>
      <c r="Y2948" s="103" t="s">
        <v>138</v>
      </c>
      <c r="Z2948" s="103" t="s">
        <v>139</v>
      </c>
      <c r="AA2948" s="103" t="s">
        <v>47</v>
      </c>
      <c r="AB2948" s="103" t="s">
        <v>140</v>
      </c>
      <c r="AC2948" s="104" t="s">
        <v>141</v>
      </c>
    </row>
    <row r="2949" spans="1:29" ht="25.5" customHeight="1" x14ac:dyDescent="0.35">
      <c r="A2949" s="188"/>
      <c r="B2949" s="190"/>
      <c r="C2949" s="99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0"/>
      <c r="E2949" s="78" t="str">
        <f>IF(C2949="","",IFERROR(VLOOKUP(C2949,parametros!$A$11:$E$15,5,0),""))</f>
        <v/>
      </c>
      <c r="F2949" s="79" t="str">
        <f t="shared" si="232"/>
        <v/>
      </c>
      <c r="G2949" s="101"/>
      <c r="H2949" s="91">
        <f t="shared" si="233"/>
        <v>0</v>
      </c>
      <c r="I2949" s="91" t="str">
        <f t="shared" si="234"/>
        <v/>
      </c>
      <c r="J2949" s="91" t="str">
        <f t="shared" si="235"/>
        <v/>
      </c>
      <c r="K2949" s="92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2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58"/>
      <c r="U2949" s="217" t="str">
        <f t="shared" si="236"/>
        <v/>
      </c>
      <c r="V2949" s="215" t="s">
        <v>47</v>
      </c>
      <c r="W2949" s="102" t="s">
        <v>136</v>
      </c>
      <c r="X2949" s="102" t="s">
        <v>137</v>
      </c>
      <c r="Y2949" s="103" t="s">
        <v>138</v>
      </c>
      <c r="Z2949" s="103" t="s">
        <v>139</v>
      </c>
      <c r="AA2949" s="103" t="s">
        <v>47</v>
      </c>
      <c r="AB2949" s="103" t="s">
        <v>140</v>
      </c>
      <c r="AC2949" s="104" t="s">
        <v>141</v>
      </c>
    </row>
    <row r="2950" spans="1:29" ht="25.5" customHeight="1" x14ac:dyDescent="0.35">
      <c r="A2950" s="188"/>
      <c r="B2950" s="190"/>
      <c r="C2950" s="99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0"/>
      <c r="E2950" s="78" t="str">
        <f>IF(C2950="","",IFERROR(VLOOKUP(C2950,parametros!$A$11:$E$15,5,0),""))</f>
        <v/>
      </c>
      <c r="F2950" s="79" t="str">
        <f t="shared" si="232"/>
        <v/>
      </c>
      <c r="G2950" s="101"/>
      <c r="H2950" s="91">
        <f t="shared" si="233"/>
        <v>0</v>
      </c>
      <c r="I2950" s="91" t="str">
        <f t="shared" si="234"/>
        <v/>
      </c>
      <c r="J2950" s="91" t="str">
        <f t="shared" si="235"/>
        <v/>
      </c>
      <c r="K2950" s="92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2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58"/>
      <c r="U2950" s="217" t="str">
        <f t="shared" si="236"/>
        <v/>
      </c>
      <c r="V2950" s="215" t="s">
        <v>47</v>
      </c>
      <c r="W2950" s="102" t="s">
        <v>136</v>
      </c>
      <c r="X2950" s="102" t="s">
        <v>137</v>
      </c>
      <c r="Y2950" s="103" t="s">
        <v>138</v>
      </c>
      <c r="Z2950" s="103" t="s">
        <v>139</v>
      </c>
      <c r="AA2950" s="103" t="s">
        <v>47</v>
      </c>
      <c r="AB2950" s="103" t="s">
        <v>140</v>
      </c>
      <c r="AC2950" s="104" t="s">
        <v>141</v>
      </c>
    </row>
    <row r="2951" spans="1:29" ht="25.5" customHeight="1" x14ac:dyDescent="0.35">
      <c r="A2951" s="188"/>
      <c r="B2951" s="190"/>
      <c r="C2951" s="99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0"/>
      <c r="E2951" s="78" t="str">
        <f>IF(C2951="","",IFERROR(VLOOKUP(C2951,parametros!$A$11:$E$15,5,0),""))</f>
        <v/>
      </c>
      <c r="F2951" s="79" t="str">
        <f t="shared" si="232"/>
        <v/>
      </c>
      <c r="G2951" s="101"/>
      <c r="H2951" s="91">
        <f t="shared" si="233"/>
        <v>0</v>
      </c>
      <c r="I2951" s="91" t="str">
        <f t="shared" si="234"/>
        <v/>
      </c>
      <c r="J2951" s="91" t="str">
        <f t="shared" si="235"/>
        <v/>
      </c>
      <c r="K2951" s="92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2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58"/>
      <c r="U2951" s="217" t="str">
        <f t="shared" si="236"/>
        <v/>
      </c>
      <c r="V2951" s="215" t="s">
        <v>47</v>
      </c>
      <c r="W2951" s="102" t="s">
        <v>136</v>
      </c>
      <c r="X2951" s="102" t="s">
        <v>137</v>
      </c>
      <c r="Y2951" s="103" t="s">
        <v>138</v>
      </c>
      <c r="Z2951" s="103" t="s">
        <v>139</v>
      </c>
      <c r="AA2951" s="103" t="s">
        <v>47</v>
      </c>
      <c r="AB2951" s="103" t="s">
        <v>140</v>
      </c>
      <c r="AC2951" s="104" t="s">
        <v>141</v>
      </c>
    </row>
    <row r="2952" spans="1:29" ht="25.5" customHeight="1" x14ac:dyDescent="0.35">
      <c r="A2952" s="188"/>
      <c r="B2952" s="190"/>
      <c r="C2952" s="99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0"/>
      <c r="E2952" s="78" t="str">
        <f>IF(C2952="","",IFERROR(VLOOKUP(C2952,parametros!$A$11:$E$15,5,0),""))</f>
        <v/>
      </c>
      <c r="F2952" s="79" t="str">
        <f t="shared" si="232"/>
        <v/>
      </c>
      <c r="G2952" s="101"/>
      <c r="H2952" s="91">
        <f t="shared" si="233"/>
        <v>0</v>
      </c>
      <c r="I2952" s="91" t="str">
        <f t="shared" si="234"/>
        <v/>
      </c>
      <c r="J2952" s="91" t="str">
        <f t="shared" si="235"/>
        <v/>
      </c>
      <c r="K2952" s="92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2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58"/>
      <c r="U2952" s="217" t="str">
        <f t="shared" si="236"/>
        <v/>
      </c>
      <c r="V2952" s="215" t="s">
        <v>47</v>
      </c>
      <c r="W2952" s="102" t="s">
        <v>136</v>
      </c>
      <c r="X2952" s="102" t="s">
        <v>137</v>
      </c>
      <c r="Y2952" s="103" t="s">
        <v>138</v>
      </c>
      <c r="Z2952" s="103" t="s">
        <v>139</v>
      </c>
      <c r="AA2952" s="103" t="s">
        <v>47</v>
      </c>
      <c r="AB2952" s="103" t="s">
        <v>140</v>
      </c>
      <c r="AC2952" s="104" t="s">
        <v>141</v>
      </c>
    </row>
    <row r="2953" spans="1:29" ht="25.5" customHeight="1" x14ac:dyDescent="0.35">
      <c r="A2953" s="188"/>
      <c r="B2953" s="190"/>
      <c r="C2953" s="99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0"/>
      <c r="E2953" s="78" t="str">
        <f>IF(C2953="","",IFERROR(VLOOKUP(C2953,parametros!$A$11:$E$15,5,0),""))</f>
        <v/>
      </c>
      <c r="F2953" s="79" t="str">
        <f t="shared" si="232"/>
        <v/>
      </c>
      <c r="G2953" s="101"/>
      <c r="H2953" s="91">
        <f t="shared" si="233"/>
        <v>0</v>
      </c>
      <c r="I2953" s="91" t="str">
        <f t="shared" si="234"/>
        <v/>
      </c>
      <c r="J2953" s="91" t="str">
        <f t="shared" si="235"/>
        <v/>
      </c>
      <c r="K2953" s="92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2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58"/>
      <c r="U2953" s="217" t="str">
        <f t="shared" si="236"/>
        <v/>
      </c>
      <c r="V2953" s="215" t="s">
        <v>47</v>
      </c>
      <c r="W2953" s="102" t="s">
        <v>136</v>
      </c>
      <c r="X2953" s="102" t="s">
        <v>137</v>
      </c>
      <c r="Y2953" s="103" t="s">
        <v>138</v>
      </c>
      <c r="Z2953" s="103" t="s">
        <v>139</v>
      </c>
      <c r="AA2953" s="103" t="s">
        <v>47</v>
      </c>
      <c r="AB2953" s="103" t="s">
        <v>140</v>
      </c>
      <c r="AC2953" s="104" t="s">
        <v>141</v>
      </c>
    </row>
    <row r="2954" spans="1:29" ht="25.5" customHeight="1" x14ac:dyDescent="0.35">
      <c r="A2954" s="188"/>
      <c r="B2954" s="190"/>
      <c r="C2954" s="99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0"/>
      <c r="E2954" s="78" t="str">
        <f>IF(C2954="","",IFERROR(VLOOKUP(C2954,parametros!$A$11:$E$15,5,0),""))</f>
        <v/>
      </c>
      <c r="F2954" s="79" t="str">
        <f t="shared" si="232"/>
        <v/>
      </c>
      <c r="G2954" s="101"/>
      <c r="H2954" s="91">
        <f t="shared" si="233"/>
        <v>0</v>
      </c>
      <c r="I2954" s="91" t="str">
        <f t="shared" si="234"/>
        <v/>
      </c>
      <c r="J2954" s="91" t="str">
        <f t="shared" si="235"/>
        <v/>
      </c>
      <c r="K2954" s="92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2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58"/>
      <c r="U2954" s="217" t="str">
        <f t="shared" si="236"/>
        <v/>
      </c>
      <c r="V2954" s="215" t="s">
        <v>47</v>
      </c>
      <c r="W2954" s="102" t="s">
        <v>136</v>
      </c>
      <c r="X2954" s="102" t="s">
        <v>137</v>
      </c>
      <c r="Y2954" s="103" t="s">
        <v>138</v>
      </c>
      <c r="Z2954" s="103" t="s">
        <v>139</v>
      </c>
      <c r="AA2954" s="103" t="s">
        <v>47</v>
      </c>
      <c r="AB2954" s="103" t="s">
        <v>140</v>
      </c>
      <c r="AC2954" s="104" t="s">
        <v>141</v>
      </c>
    </row>
    <row r="2955" spans="1:29" ht="25.5" customHeight="1" x14ac:dyDescent="0.35">
      <c r="A2955" s="188"/>
      <c r="B2955" s="190"/>
      <c r="C2955" s="99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0"/>
      <c r="E2955" s="78" t="str">
        <f>IF(C2955="","",IFERROR(VLOOKUP(C2955,parametros!$A$11:$E$15,5,0),""))</f>
        <v/>
      </c>
      <c r="F2955" s="79" t="str">
        <f t="shared" si="232"/>
        <v/>
      </c>
      <c r="G2955" s="101"/>
      <c r="H2955" s="91">
        <f t="shared" si="233"/>
        <v>0</v>
      </c>
      <c r="I2955" s="91" t="str">
        <f t="shared" si="234"/>
        <v/>
      </c>
      <c r="J2955" s="91" t="str">
        <f t="shared" si="235"/>
        <v/>
      </c>
      <c r="K2955" s="92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2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58"/>
      <c r="U2955" s="217" t="str">
        <f t="shared" si="236"/>
        <v/>
      </c>
      <c r="V2955" s="215" t="s">
        <v>47</v>
      </c>
      <c r="W2955" s="102" t="s">
        <v>136</v>
      </c>
      <c r="X2955" s="102" t="s">
        <v>137</v>
      </c>
      <c r="Y2955" s="103" t="s">
        <v>138</v>
      </c>
      <c r="Z2955" s="103" t="s">
        <v>139</v>
      </c>
      <c r="AA2955" s="103" t="s">
        <v>47</v>
      </c>
      <c r="AB2955" s="103" t="s">
        <v>140</v>
      </c>
      <c r="AC2955" s="104" t="s">
        <v>141</v>
      </c>
    </row>
    <row r="2956" spans="1:29" ht="25.5" customHeight="1" x14ac:dyDescent="0.35">
      <c r="A2956" s="188"/>
      <c r="B2956" s="190"/>
      <c r="C2956" s="99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0"/>
      <c r="E2956" s="78" t="str">
        <f>IF(C2956="","",IFERROR(VLOOKUP(C2956,parametros!$A$11:$E$15,5,0),""))</f>
        <v/>
      </c>
      <c r="F2956" s="79" t="str">
        <f t="shared" si="232"/>
        <v/>
      </c>
      <c r="G2956" s="101"/>
      <c r="H2956" s="91">
        <f t="shared" si="233"/>
        <v>0</v>
      </c>
      <c r="I2956" s="91" t="str">
        <f t="shared" si="234"/>
        <v/>
      </c>
      <c r="J2956" s="91" t="str">
        <f t="shared" si="235"/>
        <v/>
      </c>
      <c r="K2956" s="92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2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58"/>
      <c r="U2956" s="217" t="str">
        <f t="shared" si="236"/>
        <v/>
      </c>
      <c r="V2956" s="215" t="s">
        <v>47</v>
      </c>
      <c r="W2956" s="102" t="s">
        <v>136</v>
      </c>
      <c r="X2956" s="102" t="s">
        <v>137</v>
      </c>
      <c r="Y2956" s="103" t="s">
        <v>138</v>
      </c>
      <c r="Z2956" s="103" t="s">
        <v>139</v>
      </c>
      <c r="AA2956" s="103" t="s">
        <v>47</v>
      </c>
      <c r="AB2956" s="103" t="s">
        <v>140</v>
      </c>
      <c r="AC2956" s="104" t="s">
        <v>141</v>
      </c>
    </row>
    <row r="2957" spans="1:29" ht="25.5" customHeight="1" x14ac:dyDescent="0.35">
      <c r="A2957" s="188"/>
      <c r="B2957" s="190"/>
      <c r="C2957" s="99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0"/>
      <c r="E2957" s="78" t="str">
        <f>IF(C2957="","",IFERROR(VLOOKUP(C2957,parametros!$A$11:$E$15,5,0),""))</f>
        <v/>
      </c>
      <c r="F2957" s="79" t="str">
        <f t="shared" si="232"/>
        <v/>
      </c>
      <c r="G2957" s="101"/>
      <c r="H2957" s="91">
        <f t="shared" si="233"/>
        <v>0</v>
      </c>
      <c r="I2957" s="91" t="str">
        <f t="shared" si="234"/>
        <v/>
      </c>
      <c r="J2957" s="91" t="str">
        <f t="shared" si="235"/>
        <v/>
      </c>
      <c r="K2957" s="92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2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58"/>
      <c r="U2957" s="217" t="str">
        <f t="shared" si="236"/>
        <v/>
      </c>
      <c r="V2957" s="215" t="s">
        <v>47</v>
      </c>
      <c r="W2957" s="102" t="s">
        <v>136</v>
      </c>
      <c r="X2957" s="102" t="s">
        <v>137</v>
      </c>
      <c r="Y2957" s="103" t="s">
        <v>138</v>
      </c>
      <c r="Z2957" s="103" t="s">
        <v>139</v>
      </c>
      <c r="AA2957" s="103" t="s">
        <v>47</v>
      </c>
      <c r="AB2957" s="103" t="s">
        <v>140</v>
      </c>
      <c r="AC2957" s="104" t="s">
        <v>141</v>
      </c>
    </row>
    <row r="2958" spans="1:29" ht="25.5" customHeight="1" x14ac:dyDescent="0.35">
      <c r="A2958" s="188"/>
      <c r="B2958" s="190"/>
      <c r="C2958" s="99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0"/>
      <c r="E2958" s="78" t="str">
        <f>IF(C2958="","",IFERROR(VLOOKUP(C2958,parametros!$A$11:$E$15,5,0),""))</f>
        <v/>
      </c>
      <c r="F2958" s="79" t="str">
        <f t="shared" si="232"/>
        <v/>
      </c>
      <c r="G2958" s="101"/>
      <c r="H2958" s="91">
        <f t="shared" si="233"/>
        <v>0</v>
      </c>
      <c r="I2958" s="91" t="str">
        <f t="shared" si="234"/>
        <v/>
      </c>
      <c r="J2958" s="91" t="str">
        <f t="shared" si="235"/>
        <v/>
      </c>
      <c r="K2958" s="92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2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58"/>
      <c r="U2958" s="217" t="str">
        <f t="shared" si="236"/>
        <v/>
      </c>
      <c r="V2958" s="215" t="s">
        <v>47</v>
      </c>
      <c r="W2958" s="102" t="s">
        <v>136</v>
      </c>
      <c r="X2958" s="102" t="s">
        <v>137</v>
      </c>
      <c r="Y2958" s="103" t="s">
        <v>138</v>
      </c>
      <c r="Z2958" s="103" t="s">
        <v>139</v>
      </c>
      <c r="AA2958" s="103" t="s">
        <v>47</v>
      </c>
      <c r="AB2958" s="103" t="s">
        <v>140</v>
      </c>
      <c r="AC2958" s="104" t="s">
        <v>141</v>
      </c>
    </row>
    <row r="2959" spans="1:29" ht="25.5" customHeight="1" x14ac:dyDescent="0.35">
      <c r="A2959" s="188"/>
      <c r="B2959" s="190"/>
      <c r="C2959" s="99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0"/>
      <c r="E2959" s="78" t="str">
        <f>IF(C2959="","",IFERROR(VLOOKUP(C2959,parametros!$A$11:$E$15,5,0),""))</f>
        <v/>
      </c>
      <c r="F2959" s="79" t="str">
        <f t="shared" si="232"/>
        <v/>
      </c>
      <c r="G2959" s="101"/>
      <c r="H2959" s="91">
        <f t="shared" si="233"/>
        <v>0</v>
      </c>
      <c r="I2959" s="91" t="str">
        <f t="shared" si="234"/>
        <v/>
      </c>
      <c r="J2959" s="91" t="str">
        <f t="shared" si="235"/>
        <v/>
      </c>
      <c r="K2959" s="92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2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58"/>
      <c r="U2959" s="217" t="str">
        <f t="shared" si="236"/>
        <v/>
      </c>
      <c r="V2959" s="215" t="s">
        <v>47</v>
      </c>
      <c r="W2959" s="102" t="s">
        <v>136</v>
      </c>
      <c r="X2959" s="102" t="s">
        <v>137</v>
      </c>
      <c r="Y2959" s="103" t="s">
        <v>138</v>
      </c>
      <c r="Z2959" s="103" t="s">
        <v>139</v>
      </c>
      <c r="AA2959" s="103" t="s">
        <v>47</v>
      </c>
      <c r="AB2959" s="103" t="s">
        <v>140</v>
      </c>
      <c r="AC2959" s="104" t="s">
        <v>141</v>
      </c>
    </row>
    <row r="2960" spans="1:29" ht="25.5" customHeight="1" x14ac:dyDescent="0.35">
      <c r="A2960" s="188"/>
      <c r="B2960" s="190"/>
      <c r="C2960" s="99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0"/>
      <c r="E2960" s="78" t="str">
        <f>IF(C2960="","",IFERROR(VLOOKUP(C2960,parametros!$A$11:$E$15,5,0),""))</f>
        <v/>
      </c>
      <c r="F2960" s="79" t="str">
        <f t="shared" si="232"/>
        <v/>
      </c>
      <c r="G2960" s="101"/>
      <c r="H2960" s="91">
        <f t="shared" si="233"/>
        <v>0</v>
      </c>
      <c r="I2960" s="91" t="str">
        <f t="shared" si="234"/>
        <v/>
      </c>
      <c r="J2960" s="91" t="str">
        <f t="shared" si="235"/>
        <v/>
      </c>
      <c r="K2960" s="92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2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58"/>
      <c r="U2960" s="217" t="str">
        <f t="shared" si="236"/>
        <v/>
      </c>
      <c r="V2960" s="215" t="s">
        <v>47</v>
      </c>
      <c r="W2960" s="102" t="s">
        <v>136</v>
      </c>
      <c r="X2960" s="102" t="s">
        <v>137</v>
      </c>
      <c r="Y2960" s="103" t="s">
        <v>138</v>
      </c>
      <c r="Z2960" s="103" t="s">
        <v>139</v>
      </c>
      <c r="AA2960" s="103" t="s">
        <v>47</v>
      </c>
      <c r="AB2960" s="103" t="s">
        <v>140</v>
      </c>
      <c r="AC2960" s="104" t="s">
        <v>141</v>
      </c>
    </row>
    <row r="2961" spans="1:29" ht="25.5" customHeight="1" x14ac:dyDescent="0.35">
      <c r="A2961" s="188"/>
      <c r="B2961" s="190"/>
      <c r="C2961" s="99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0"/>
      <c r="E2961" s="78" t="str">
        <f>IF(C2961="","",IFERROR(VLOOKUP(C2961,parametros!$A$11:$E$15,5,0),""))</f>
        <v/>
      </c>
      <c r="F2961" s="79" t="str">
        <f t="shared" si="232"/>
        <v/>
      </c>
      <c r="G2961" s="101"/>
      <c r="H2961" s="91">
        <f t="shared" si="233"/>
        <v>0</v>
      </c>
      <c r="I2961" s="91" t="str">
        <f t="shared" si="234"/>
        <v/>
      </c>
      <c r="J2961" s="91" t="str">
        <f t="shared" si="235"/>
        <v/>
      </c>
      <c r="K2961" s="92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2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58"/>
      <c r="U2961" s="217" t="str">
        <f t="shared" si="236"/>
        <v/>
      </c>
      <c r="V2961" s="215" t="s">
        <v>47</v>
      </c>
      <c r="W2961" s="102" t="s">
        <v>136</v>
      </c>
      <c r="X2961" s="102" t="s">
        <v>137</v>
      </c>
      <c r="Y2961" s="103" t="s">
        <v>138</v>
      </c>
      <c r="Z2961" s="103" t="s">
        <v>139</v>
      </c>
      <c r="AA2961" s="103" t="s">
        <v>47</v>
      </c>
      <c r="AB2961" s="103" t="s">
        <v>140</v>
      </c>
      <c r="AC2961" s="104" t="s">
        <v>141</v>
      </c>
    </row>
    <row r="2962" spans="1:29" ht="25.5" customHeight="1" x14ac:dyDescent="0.35">
      <c r="A2962" s="188"/>
      <c r="B2962" s="190"/>
      <c r="C2962" s="99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0"/>
      <c r="E2962" s="78" t="str">
        <f>IF(C2962="","",IFERROR(VLOOKUP(C2962,parametros!$A$11:$E$15,5,0),""))</f>
        <v/>
      </c>
      <c r="F2962" s="79" t="str">
        <f t="shared" si="232"/>
        <v/>
      </c>
      <c r="G2962" s="101"/>
      <c r="H2962" s="91">
        <f t="shared" si="233"/>
        <v>0</v>
      </c>
      <c r="I2962" s="91" t="str">
        <f t="shared" si="234"/>
        <v/>
      </c>
      <c r="J2962" s="91" t="str">
        <f t="shared" si="235"/>
        <v/>
      </c>
      <c r="K2962" s="92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2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58"/>
      <c r="U2962" s="217" t="str">
        <f t="shared" si="236"/>
        <v/>
      </c>
      <c r="V2962" s="215" t="s">
        <v>47</v>
      </c>
      <c r="W2962" s="102" t="s">
        <v>136</v>
      </c>
      <c r="X2962" s="102" t="s">
        <v>137</v>
      </c>
      <c r="Y2962" s="103" t="s">
        <v>138</v>
      </c>
      <c r="Z2962" s="103" t="s">
        <v>139</v>
      </c>
      <c r="AA2962" s="103" t="s">
        <v>47</v>
      </c>
      <c r="AB2962" s="103" t="s">
        <v>140</v>
      </c>
      <c r="AC2962" s="104" t="s">
        <v>141</v>
      </c>
    </row>
    <row r="2963" spans="1:29" ht="25.5" customHeight="1" x14ac:dyDescent="0.35">
      <c r="A2963" s="188"/>
      <c r="B2963" s="190"/>
      <c r="C2963" s="99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0"/>
      <c r="E2963" s="78" t="str">
        <f>IF(C2963="","",IFERROR(VLOOKUP(C2963,parametros!$A$11:$E$15,5,0),""))</f>
        <v/>
      </c>
      <c r="F2963" s="79" t="str">
        <f t="shared" si="232"/>
        <v/>
      </c>
      <c r="G2963" s="101"/>
      <c r="H2963" s="91">
        <f t="shared" si="233"/>
        <v>0</v>
      </c>
      <c r="I2963" s="91" t="str">
        <f t="shared" si="234"/>
        <v/>
      </c>
      <c r="J2963" s="91" t="str">
        <f t="shared" si="235"/>
        <v/>
      </c>
      <c r="K2963" s="92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2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58"/>
      <c r="U2963" s="217" t="str">
        <f t="shared" si="236"/>
        <v/>
      </c>
      <c r="V2963" s="215" t="s">
        <v>47</v>
      </c>
      <c r="W2963" s="102" t="s">
        <v>136</v>
      </c>
      <c r="X2963" s="102" t="s">
        <v>137</v>
      </c>
      <c r="Y2963" s="103" t="s">
        <v>138</v>
      </c>
      <c r="Z2963" s="103" t="s">
        <v>139</v>
      </c>
      <c r="AA2963" s="103" t="s">
        <v>47</v>
      </c>
      <c r="AB2963" s="103" t="s">
        <v>140</v>
      </c>
      <c r="AC2963" s="104" t="s">
        <v>141</v>
      </c>
    </row>
    <row r="2964" spans="1:29" ht="25.5" customHeight="1" x14ac:dyDescent="0.35">
      <c r="A2964" s="188"/>
      <c r="B2964" s="190"/>
      <c r="C2964" s="99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0"/>
      <c r="E2964" s="78" t="str">
        <f>IF(C2964="","",IFERROR(VLOOKUP(C2964,parametros!$A$11:$E$15,5,0),""))</f>
        <v/>
      </c>
      <c r="F2964" s="79" t="str">
        <f t="shared" si="232"/>
        <v/>
      </c>
      <c r="G2964" s="101"/>
      <c r="H2964" s="91">
        <f t="shared" si="233"/>
        <v>0</v>
      </c>
      <c r="I2964" s="91" t="str">
        <f t="shared" si="234"/>
        <v/>
      </c>
      <c r="J2964" s="91" t="str">
        <f t="shared" si="235"/>
        <v/>
      </c>
      <c r="K2964" s="92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2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58"/>
      <c r="U2964" s="217" t="str">
        <f t="shared" si="236"/>
        <v/>
      </c>
      <c r="V2964" s="215" t="s">
        <v>47</v>
      </c>
      <c r="W2964" s="102" t="s">
        <v>136</v>
      </c>
      <c r="X2964" s="102" t="s">
        <v>137</v>
      </c>
      <c r="Y2964" s="103" t="s">
        <v>138</v>
      </c>
      <c r="Z2964" s="103" t="s">
        <v>139</v>
      </c>
      <c r="AA2964" s="103" t="s">
        <v>47</v>
      </c>
      <c r="AB2964" s="103" t="s">
        <v>140</v>
      </c>
      <c r="AC2964" s="104" t="s">
        <v>141</v>
      </c>
    </row>
    <row r="2965" spans="1:29" ht="25.5" customHeight="1" x14ac:dyDescent="0.35">
      <c r="A2965" s="188"/>
      <c r="B2965" s="190"/>
      <c r="C2965" s="99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0"/>
      <c r="E2965" s="78" t="str">
        <f>IF(C2965="","",IFERROR(VLOOKUP(C2965,parametros!$A$11:$E$15,5,0),""))</f>
        <v/>
      </c>
      <c r="F2965" s="79" t="str">
        <f t="shared" si="232"/>
        <v/>
      </c>
      <c r="G2965" s="101"/>
      <c r="H2965" s="91">
        <f t="shared" si="233"/>
        <v>0</v>
      </c>
      <c r="I2965" s="91" t="str">
        <f t="shared" si="234"/>
        <v/>
      </c>
      <c r="J2965" s="91" t="str">
        <f t="shared" si="235"/>
        <v/>
      </c>
      <c r="K2965" s="92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2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58"/>
      <c r="U2965" s="217" t="str">
        <f t="shared" si="236"/>
        <v/>
      </c>
      <c r="V2965" s="215" t="s">
        <v>47</v>
      </c>
      <c r="W2965" s="102" t="s">
        <v>136</v>
      </c>
      <c r="X2965" s="102" t="s">
        <v>137</v>
      </c>
      <c r="Y2965" s="103" t="s">
        <v>138</v>
      </c>
      <c r="Z2965" s="103" t="s">
        <v>139</v>
      </c>
      <c r="AA2965" s="103" t="s">
        <v>47</v>
      </c>
      <c r="AB2965" s="103" t="s">
        <v>140</v>
      </c>
      <c r="AC2965" s="104" t="s">
        <v>141</v>
      </c>
    </row>
    <row r="2966" spans="1:29" ht="25.5" customHeight="1" x14ac:dyDescent="0.35">
      <c r="A2966" s="188"/>
      <c r="B2966" s="190"/>
      <c r="C2966" s="99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0"/>
      <c r="E2966" s="78" t="str">
        <f>IF(C2966="","",IFERROR(VLOOKUP(C2966,parametros!$A$11:$E$15,5,0),""))</f>
        <v/>
      </c>
      <c r="F2966" s="79" t="str">
        <f t="shared" si="232"/>
        <v/>
      </c>
      <c r="G2966" s="101"/>
      <c r="H2966" s="91">
        <f t="shared" si="233"/>
        <v>0</v>
      </c>
      <c r="I2966" s="91" t="str">
        <f t="shared" si="234"/>
        <v/>
      </c>
      <c r="J2966" s="91" t="str">
        <f t="shared" si="235"/>
        <v/>
      </c>
      <c r="K2966" s="92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2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58"/>
      <c r="U2966" s="217" t="str">
        <f t="shared" si="236"/>
        <v/>
      </c>
      <c r="V2966" s="215" t="s">
        <v>47</v>
      </c>
      <c r="W2966" s="102" t="s">
        <v>136</v>
      </c>
      <c r="X2966" s="102" t="s">
        <v>137</v>
      </c>
      <c r="Y2966" s="103" t="s">
        <v>138</v>
      </c>
      <c r="Z2966" s="103" t="s">
        <v>139</v>
      </c>
      <c r="AA2966" s="103" t="s">
        <v>47</v>
      </c>
      <c r="AB2966" s="103" t="s">
        <v>140</v>
      </c>
      <c r="AC2966" s="104" t="s">
        <v>141</v>
      </c>
    </row>
    <row r="2967" spans="1:29" ht="25.5" customHeight="1" x14ac:dyDescent="0.35">
      <c r="A2967" s="188"/>
      <c r="B2967" s="190"/>
      <c r="C2967" s="99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0"/>
      <c r="E2967" s="78" t="str">
        <f>IF(C2967="","",IFERROR(VLOOKUP(C2967,parametros!$A$11:$E$15,5,0),""))</f>
        <v/>
      </c>
      <c r="F2967" s="79" t="str">
        <f t="shared" si="232"/>
        <v/>
      </c>
      <c r="G2967" s="101"/>
      <c r="H2967" s="91">
        <f t="shared" si="233"/>
        <v>0</v>
      </c>
      <c r="I2967" s="91" t="str">
        <f t="shared" si="234"/>
        <v/>
      </c>
      <c r="J2967" s="91" t="str">
        <f t="shared" si="235"/>
        <v/>
      </c>
      <c r="K2967" s="92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2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58"/>
      <c r="U2967" s="217" t="str">
        <f t="shared" si="236"/>
        <v/>
      </c>
      <c r="V2967" s="215" t="s">
        <v>47</v>
      </c>
      <c r="W2967" s="102" t="s">
        <v>136</v>
      </c>
      <c r="X2967" s="102" t="s">
        <v>137</v>
      </c>
      <c r="Y2967" s="103" t="s">
        <v>138</v>
      </c>
      <c r="Z2967" s="103" t="s">
        <v>139</v>
      </c>
      <c r="AA2967" s="103" t="s">
        <v>47</v>
      </c>
      <c r="AB2967" s="103" t="s">
        <v>140</v>
      </c>
      <c r="AC2967" s="104" t="s">
        <v>141</v>
      </c>
    </row>
    <row r="2968" spans="1:29" ht="25.5" customHeight="1" x14ac:dyDescent="0.35">
      <c r="A2968" s="188"/>
      <c r="B2968" s="190"/>
      <c r="C2968" s="99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0"/>
      <c r="E2968" s="78" t="str">
        <f>IF(C2968="","",IFERROR(VLOOKUP(C2968,parametros!$A$11:$E$15,5,0),""))</f>
        <v/>
      </c>
      <c r="F2968" s="79" t="str">
        <f t="shared" si="232"/>
        <v/>
      </c>
      <c r="G2968" s="101"/>
      <c r="H2968" s="91">
        <f t="shared" si="233"/>
        <v>0</v>
      </c>
      <c r="I2968" s="91" t="str">
        <f t="shared" si="234"/>
        <v/>
      </c>
      <c r="J2968" s="91" t="str">
        <f t="shared" si="235"/>
        <v/>
      </c>
      <c r="K2968" s="92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2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58"/>
      <c r="U2968" s="217" t="str">
        <f t="shared" si="236"/>
        <v/>
      </c>
      <c r="V2968" s="215" t="s">
        <v>47</v>
      </c>
      <c r="W2968" s="102" t="s">
        <v>136</v>
      </c>
      <c r="X2968" s="102" t="s">
        <v>137</v>
      </c>
      <c r="Y2968" s="103" t="s">
        <v>138</v>
      </c>
      <c r="Z2968" s="103" t="s">
        <v>139</v>
      </c>
      <c r="AA2968" s="103" t="s">
        <v>47</v>
      </c>
      <c r="AB2968" s="103" t="s">
        <v>140</v>
      </c>
      <c r="AC2968" s="104" t="s">
        <v>141</v>
      </c>
    </row>
    <row r="2969" spans="1:29" ht="25.5" customHeight="1" x14ac:dyDescent="0.35">
      <c r="A2969" s="188"/>
      <c r="B2969" s="190"/>
      <c r="C2969" s="99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0"/>
      <c r="E2969" s="78" t="str">
        <f>IF(C2969="","",IFERROR(VLOOKUP(C2969,parametros!$A$11:$E$15,5,0),""))</f>
        <v/>
      </c>
      <c r="F2969" s="79" t="str">
        <f t="shared" si="232"/>
        <v/>
      </c>
      <c r="G2969" s="101"/>
      <c r="H2969" s="91">
        <f t="shared" si="233"/>
        <v>0</v>
      </c>
      <c r="I2969" s="91" t="str">
        <f t="shared" si="234"/>
        <v/>
      </c>
      <c r="J2969" s="91" t="str">
        <f t="shared" si="235"/>
        <v/>
      </c>
      <c r="K2969" s="92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2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58"/>
      <c r="U2969" s="217" t="str">
        <f t="shared" si="236"/>
        <v/>
      </c>
      <c r="V2969" s="215" t="s">
        <v>47</v>
      </c>
      <c r="W2969" s="102" t="s">
        <v>136</v>
      </c>
      <c r="X2969" s="102" t="s">
        <v>137</v>
      </c>
      <c r="Y2969" s="103" t="s">
        <v>138</v>
      </c>
      <c r="Z2969" s="103" t="s">
        <v>139</v>
      </c>
      <c r="AA2969" s="103" t="s">
        <v>47</v>
      </c>
      <c r="AB2969" s="103" t="s">
        <v>140</v>
      </c>
      <c r="AC2969" s="104" t="s">
        <v>141</v>
      </c>
    </row>
    <row r="2970" spans="1:29" ht="25.5" customHeight="1" x14ac:dyDescent="0.35">
      <c r="A2970" s="188"/>
      <c r="B2970" s="190"/>
      <c r="C2970" s="99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0"/>
      <c r="E2970" s="78" t="str">
        <f>IF(C2970="","",IFERROR(VLOOKUP(C2970,parametros!$A$11:$E$15,5,0),""))</f>
        <v/>
      </c>
      <c r="F2970" s="79" t="str">
        <f t="shared" si="232"/>
        <v/>
      </c>
      <c r="G2970" s="101"/>
      <c r="H2970" s="91">
        <f t="shared" si="233"/>
        <v>0</v>
      </c>
      <c r="I2970" s="91" t="str">
        <f t="shared" si="234"/>
        <v/>
      </c>
      <c r="J2970" s="91" t="str">
        <f t="shared" si="235"/>
        <v/>
      </c>
      <c r="K2970" s="92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2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58"/>
      <c r="U2970" s="217" t="str">
        <f t="shared" si="236"/>
        <v/>
      </c>
      <c r="V2970" s="215" t="s">
        <v>47</v>
      </c>
      <c r="W2970" s="102" t="s">
        <v>136</v>
      </c>
      <c r="X2970" s="102" t="s">
        <v>137</v>
      </c>
      <c r="Y2970" s="103" t="s">
        <v>138</v>
      </c>
      <c r="Z2970" s="103" t="s">
        <v>139</v>
      </c>
      <c r="AA2970" s="103" t="s">
        <v>47</v>
      </c>
      <c r="AB2970" s="103" t="s">
        <v>140</v>
      </c>
      <c r="AC2970" s="104" t="s">
        <v>141</v>
      </c>
    </row>
    <row r="2971" spans="1:29" ht="25.5" customHeight="1" x14ac:dyDescent="0.35">
      <c r="A2971" s="188"/>
      <c r="B2971" s="190"/>
      <c r="C2971" s="99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0"/>
      <c r="E2971" s="78" t="str">
        <f>IF(C2971="","",IFERROR(VLOOKUP(C2971,parametros!$A$11:$E$15,5,0),""))</f>
        <v/>
      </c>
      <c r="F2971" s="79" t="str">
        <f t="shared" si="232"/>
        <v/>
      </c>
      <c r="G2971" s="101"/>
      <c r="H2971" s="91">
        <f t="shared" si="233"/>
        <v>0</v>
      </c>
      <c r="I2971" s="91" t="str">
        <f t="shared" si="234"/>
        <v/>
      </c>
      <c r="J2971" s="91" t="str">
        <f t="shared" si="235"/>
        <v/>
      </c>
      <c r="K2971" s="92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2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58"/>
      <c r="U2971" s="217" t="str">
        <f t="shared" si="236"/>
        <v/>
      </c>
      <c r="V2971" s="215" t="s">
        <v>47</v>
      </c>
      <c r="W2971" s="102" t="s">
        <v>136</v>
      </c>
      <c r="X2971" s="102" t="s">
        <v>137</v>
      </c>
      <c r="Y2971" s="103" t="s">
        <v>138</v>
      </c>
      <c r="Z2971" s="103" t="s">
        <v>139</v>
      </c>
      <c r="AA2971" s="103" t="s">
        <v>47</v>
      </c>
      <c r="AB2971" s="103" t="s">
        <v>140</v>
      </c>
      <c r="AC2971" s="104" t="s">
        <v>141</v>
      </c>
    </row>
    <row r="2972" spans="1:29" ht="25.5" customHeight="1" x14ac:dyDescent="0.35">
      <c r="A2972" s="188"/>
      <c r="B2972" s="190"/>
      <c r="C2972" s="99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0"/>
      <c r="E2972" s="78" t="str">
        <f>IF(C2972="","",IFERROR(VLOOKUP(C2972,parametros!$A$11:$E$15,5,0),""))</f>
        <v/>
      </c>
      <c r="F2972" s="79" t="str">
        <f t="shared" si="232"/>
        <v/>
      </c>
      <c r="G2972" s="101"/>
      <c r="H2972" s="91">
        <f t="shared" si="233"/>
        <v>0</v>
      </c>
      <c r="I2972" s="91" t="str">
        <f t="shared" si="234"/>
        <v/>
      </c>
      <c r="J2972" s="91" t="str">
        <f t="shared" si="235"/>
        <v/>
      </c>
      <c r="K2972" s="92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2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58"/>
      <c r="U2972" s="217" t="str">
        <f t="shared" si="236"/>
        <v/>
      </c>
      <c r="V2972" s="215" t="s">
        <v>47</v>
      </c>
      <c r="W2972" s="102" t="s">
        <v>136</v>
      </c>
      <c r="X2972" s="102" t="s">
        <v>137</v>
      </c>
      <c r="Y2972" s="103" t="s">
        <v>138</v>
      </c>
      <c r="Z2972" s="103" t="s">
        <v>139</v>
      </c>
      <c r="AA2972" s="103" t="s">
        <v>47</v>
      </c>
      <c r="AB2972" s="103" t="s">
        <v>140</v>
      </c>
      <c r="AC2972" s="104" t="s">
        <v>141</v>
      </c>
    </row>
    <row r="2973" spans="1:29" ht="25.5" customHeight="1" x14ac:dyDescent="0.35">
      <c r="A2973" s="188"/>
      <c r="B2973" s="190"/>
      <c r="C2973" s="99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0"/>
      <c r="E2973" s="78" t="str">
        <f>IF(C2973="","",IFERROR(VLOOKUP(C2973,parametros!$A$11:$E$15,5,0),""))</f>
        <v/>
      </c>
      <c r="F2973" s="79" t="str">
        <f t="shared" si="232"/>
        <v/>
      </c>
      <c r="G2973" s="101"/>
      <c r="H2973" s="91">
        <f t="shared" si="233"/>
        <v>0</v>
      </c>
      <c r="I2973" s="91" t="str">
        <f t="shared" si="234"/>
        <v/>
      </c>
      <c r="J2973" s="91" t="str">
        <f t="shared" si="235"/>
        <v/>
      </c>
      <c r="K2973" s="92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2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58"/>
      <c r="U2973" s="217" t="str">
        <f t="shared" si="236"/>
        <v/>
      </c>
      <c r="V2973" s="215" t="s">
        <v>47</v>
      </c>
      <c r="W2973" s="102" t="s">
        <v>136</v>
      </c>
      <c r="X2973" s="102" t="s">
        <v>137</v>
      </c>
      <c r="Y2973" s="103" t="s">
        <v>138</v>
      </c>
      <c r="Z2973" s="103" t="s">
        <v>139</v>
      </c>
      <c r="AA2973" s="103" t="s">
        <v>47</v>
      </c>
      <c r="AB2973" s="103" t="s">
        <v>140</v>
      </c>
      <c r="AC2973" s="104" t="s">
        <v>141</v>
      </c>
    </row>
    <row r="2974" spans="1:29" ht="25.5" customHeight="1" x14ac:dyDescent="0.35">
      <c r="A2974" s="188"/>
      <c r="B2974" s="190"/>
      <c r="C2974" s="99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0"/>
      <c r="E2974" s="78" t="str">
        <f>IF(C2974="","",IFERROR(VLOOKUP(C2974,parametros!$A$11:$E$15,5,0),""))</f>
        <v/>
      </c>
      <c r="F2974" s="79" t="str">
        <f t="shared" si="232"/>
        <v/>
      </c>
      <c r="G2974" s="101"/>
      <c r="H2974" s="91">
        <f t="shared" si="233"/>
        <v>0</v>
      </c>
      <c r="I2974" s="91" t="str">
        <f t="shared" si="234"/>
        <v/>
      </c>
      <c r="J2974" s="91" t="str">
        <f t="shared" si="235"/>
        <v/>
      </c>
      <c r="K2974" s="92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2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58"/>
      <c r="U2974" s="217" t="str">
        <f t="shared" si="236"/>
        <v/>
      </c>
      <c r="V2974" s="215" t="s">
        <v>47</v>
      </c>
      <c r="W2974" s="102" t="s">
        <v>136</v>
      </c>
      <c r="X2974" s="102" t="s">
        <v>137</v>
      </c>
      <c r="Y2974" s="103" t="s">
        <v>138</v>
      </c>
      <c r="Z2974" s="103" t="s">
        <v>139</v>
      </c>
      <c r="AA2974" s="103" t="s">
        <v>47</v>
      </c>
      <c r="AB2974" s="103" t="s">
        <v>140</v>
      </c>
      <c r="AC2974" s="104" t="s">
        <v>141</v>
      </c>
    </row>
    <row r="2975" spans="1:29" ht="25.5" customHeight="1" x14ac:dyDescent="0.35">
      <c r="A2975" s="188"/>
      <c r="B2975" s="190"/>
      <c r="C2975" s="99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0"/>
      <c r="E2975" s="78" t="str">
        <f>IF(C2975="","",IFERROR(VLOOKUP(C2975,parametros!$A$11:$E$15,5,0),""))</f>
        <v/>
      </c>
      <c r="F2975" s="79" t="str">
        <f t="shared" si="232"/>
        <v/>
      </c>
      <c r="G2975" s="101"/>
      <c r="H2975" s="91">
        <f t="shared" si="233"/>
        <v>0</v>
      </c>
      <c r="I2975" s="91" t="str">
        <f t="shared" si="234"/>
        <v/>
      </c>
      <c r="J2975" s="91" t="str">
        <f t="shared" si="235"/>
        <v/>
      </c>
      <c r="K2975" s="92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2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58"/>
      <c r="U2975" s="217" t="str">
        <f t="shared" si="236"/>
        <v/>
      </c>
      <c r="V2975" s="215" t="s">
        <v>47</v>
      </c>
      <c r="W2975" s="102" t="s">
        <v>136</v>
      </c>
      <c r="X2975" s="102" t="s">
        <v>137</v>
      </c>
      <c r="Y2975" s="103" t="s">
        <v>138</v>
      </c>
      <c r="Z2975" s="103" t="s">
        <v>139</v>
      </c>
      <c r="AA2975" s="103" t="s">
        <v>47</v>
      </c>
      <c r="AB2975" s="103" t="s">
        <v>140</v>
      </c>
      <c r="AC2975" s="104" t="s">
        <v>141</v>
      </c>
    </row>
    <row r="2976" spans="1:29" ht="25.5" customHeight="1" x14ac:dyDescent="0.35">
      <c r="A2976" s="188"/>
      <c r="B2976" s="190"/>
      <c r="C2976" s="99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0"/>
      <c r="E2976" s="78" t="str">
        <f>IF(C2976="","",IFERROR(VLOOKUP(C2976,parametros!$A$11:$E$15,5,0),""))</f>
        <v/>
      </c>
      <c r="F2976" s="79" t="str">
        <f t="shared" si="232"/>
        <v/>
      </c>
      <c r="G2976" s="101"/>
      <c r="H2976" s="91">
        <f t="shared" si="233"/>
        <v>0</v>
      </c>
      <c r="I2976" s="91" t="str">
        <f t="shared" si="234"/>
        <v/>
      </c>
      <c r="J2976" s="91" t="str">
        <f t="shared" si="235"/>
        <v/>
      </c>
      <c r="K2976" s="92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2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58"/>
      <c r="U2976" s="217" t="str">
        <f t="shared" si="236"/>
        <v/>
      </c>
      <c r="V2976" s="215" t="s">
        <v>47</v>
      </c>
      <c r="W2976" s="102" t="s">
        <v>136</v>
      </c>
      <c r="X2976" s="102" t="s">
        <v>137</v>
      </c>
      <c r="Y2976" s="103" t="s">
        <v>138</v>
      </c>
      <c r="Z2976" s="103" t="s">
        <v>139</v>
      </c>
      <c r="AA2976" s="103" t="s">
        <v>47</v>
      </c>
      <c r="AB2976" s="103" t="s">
        <v>140</v>
      </c>
      <c r="AC2976" s="104" t="s">
        <v>141</v>
      </c>
    </row>
    <row r="2977" spans="1:29" ht="25.5" customHeight="1" x14ac:dyDescent="0.35">
      <c r="A2977" s="188"/>
      <c r="B2977" s="190"/>
      <c r="C2977" s="99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0"/>
      <c r="E2977" s="78" t="str">
        <f>IF(C2977="","",IFERROR(VLOOKUP(C2977,parametros!$A$11:$E$15,5,0),""))</f>
        <v/>
      </c>
      <c r="F2977" s="79" t="str">
        <f t="shared" si="232"/>
        <v/>
      </c>
      <c r="G2977" s="101"/>
      <c r="H2977" s="91">
        <f t="shared" si="233"/>
        <v>0</v>
      </c>
      <c r="I2977" s="91" t="str">
        <f t="shared" si="234"/>
        <v/>
      </c>
      <c r="J2977" s="91" t="str">
        <f t="shared" si="235"/>
        <v/>
      </c>
      <c r="K2977" s="92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2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58"/>
      <c r="U2977" s="217" t="str">
        <f t="shared" si="236"/>
        <v/>
      </c>
      <c r="V2977" s="215" t="s">
        <v>47</v>
      </c>
      <c r="W2977" s="102" t="s">
        <v>136</v>
      </c>
      <c r="X2977" s="102" t="s">
        <v>137</v>
      </c>
      <c r="Y2977" s="103" t="s">
        <v>138</v>
      </c>
      <c r="Z2977" s="103" t="s">
        <v>139</v>
      </c>
      <c r="AA2977" s="103" t="s">
        <v>47</v>
      </c>
      <c r="AB2977" s="103" t="s">
        <v>140</v>
      </c>
      <c r="AC2977" s="104" t="s">
        <v>141</v>
      </c>
    </row>
    <row r="2978" spans="1:29" ht="25.5" customHeight="1" x14ac:dyDescent="0.35">
      <c r="A2978" s="188"/>
      <c r="B2978" s="190"/>
      <c r="C2978" s="99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0"/>
      <c r="E2978" s="78" t="str">
        <f>IF(C2978="","",IFERROR(VLOOKUP(C2978,parametros!$A$11:$E$15,5,0),""))</f>
        <v/>
      </c>
      <c r="F2978" s="79" t="str">
        <f t="shared" si="232"/>
        <v/>
      </c>
      <c r="G2978" s="101"/>
      <c r="H2978" s="91">
        <f t="shared" si="233"/>
        <v>0</v>
      </c>
      <c r="I2978" s="91" t="str">
        <f t="shared" si="234"/>
        <v/>
      </c>
      <c r="J2978" s="91" t="str">
        <f t="shared" si="235"/>
        <v/>
      </c>
      <c r="K2978" s="92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2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58"/>
      <c r="U2978" s="217" t="str">
        <f t="shared" si="236"/>
        <v/>
      </c>
      <c r="V2978" s="215" t="s">
        <v>47</v>
      </c>
      <c r="W2978" s="102" t="s">
        <v>136</v>
      </c>
      <c r="X2978" s="102" t="s">
        <v>137</v>
      </c>
      <c r="Y2978" s="103" t="s">
        <v>138</v>
      </c>
      <c r="Z2978" s="103" t="s">
        <v>139</v>
      </c>
      <c r="AA2978" s="103" t="s">
        <v>47</v>
      </c>
      <c r="AB2978" s="103" t="s">
        <v>140</v>
      </c>
      <c r="AC2978" s="104" t="s">
        <v>141</v>
      </c>
    </row>
    <row r="2979" spans="1:29" ht="25.5" customHeight="1" x14ac:dyDescent="0.35">
      <c r="A2979" s="188"/>
      <c r="B2979" s="190"/>
      <c r="C2979" s="99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0"/>
      <c r="E2979" s="78" t="str">
        <f>IF(C2979="","",IFERROR(VLOOKUP(C2979,parametros!$A$11:$E$15,5,0),""))</f>
        <v/>
      </c>
      <c r="F2979" s="79" t="str">
        <f t="shared" si="232"/>
        <v/>
      </c>
      <c r="G2979" s="101"/>
      <c r="H2979" s="91">
        <f t="shared" si="233"/>
        <v>0</v>
      </c>
      <c r="I2979" s="91" t="str">
        <f t="shared" si="234"/>
        <v/>
      </c>
      <c r="J2979" s="91" t="str">
        <f t="shared" si="235"/>
        <v/>
      </c>
      <c r="K2979" s="92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2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58"/>
      <c r="U2979" s="217" t="str">
        <f t="shared" si="236"/>
        <v/>
      </c>
      <c r="V2979" s="215" t="s">
        <v>47</v>
      </c>
      <c r="W2979" s="102" t="s">
        <v>136</v>
      </c>
      <c r="X2979" s="102" t="s">
        <v>137</v>
      </c>
      <c r="Y2979" s="103" t="s">
        <v>138</v>
      </c>
      <c r="Z2979" s="103" t="s">
        <v>139</v>
      </c>
      <c r="AA2979" s="103" t="s">
        <v>47</v>
      </c>
      <c r="AB2979" s="103" t="s">
        <v>140</v>
      </c>
      <c r="AC2979" s="104" t="s">
        <v>141</v>
      </c>
    </row>
    <row r="2980" spans="1:29" ht="25.5" customHeight="1" x14ac:dyDescent="0.35">
      <c r="A2980" s="188"/>
      <c r="B2980" s="190"/>
      <c r="C2980" s="99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0"/>
      <c r="E2980" s="78" t="str">
        <f>IF(C2980="","",IFERROR(VLOOKUP(C2980,parametros!$A$11:$E$15,5,0),""))</f>
        <v/>
      </c>
      <c r="F2980" s="79" t="str">
        <f t="shared" si="232"/>
        <v/>
      </c>
      <c r="G2980" s="101"/>
      <c r="H2980" s="91">
        <f t="shared" si="233"/>
        <v>0</v>
      </c>
      <c r="I2980" s="91" t="str">
        <f t="shared" si="234"/>
        <v/>
      </c>
      <c r="J2980" s="91" t="str">
        <f t="shared" si="235"/>
        <v/>
      </c>
      <c r="K2980" s="92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2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58"/>
      <c r="U2980" s="217" t="str">
        <f t="shared" si="236"/>
        <v/>
      </c>
      <c r="V2980" s="215" t="s">
        <v>47</v>
      </c>
      <c r="W2980" s="102" t="s">
        <v>136</v>
      </c>
      <c r="X2980" s="102" t="s">
        <v>137</v>
      </c>
      <c r="Y2980" s="103" t="s">
        <v>138</v>
      </c>
      <c r="Z2980" s="103" t="s">
        <v>139</v>
      </c>
      <c r="AA2980" s="103" t="s">
        <v>47</v>
      </c>
      <c r="AB2980" s="103" t="s">
        <v>140</v>
      </c>
      <c r="AC2980" s="104" t="s">
        <v>141</v>
      </c>
    </row>
    <row r="2981" spans="1:29" ht="25.5" customHeight="1" x14ac:dyDescent="0.35">
      <c r="A2981" s="188"/>
      <c r="B2981" s="190"/>
      <c r="C2981" s="99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0"/>
      <c r="E2981" s="78" t="str">
        <f>IF(C2981="","",IFERROR(VLOOKUP(C2981,parametros!$A$11:$E$15,5,0),""))</f>
        <v/>
      </c>
      <c r="F2981" s="79" t="str">
        <f t="shared" si="232"/>
        <v/>
      </c>
      <c r="G2981" s="101"/>
      <c r="H2981" s="91">
        <f t="shared" si="233"/>
        <v>0</v>
      </c>
      <c r="I2981" s="91" t="str">
        <f t="shared" si="234"/>
        <v/>
      </c>
      <c r="J2981" s="91" t="str">
        <f t="shared" si="235"/>
        <v/>
      </c>
      <c r="K2981" s="92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2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58"/>
      <c r="U2981" s="217" t="str">
        <f t="shared" si="236"/>
        <v/>
      </c>
      <c r="V2981" s="215" t="s">
        <v>47</v>
      </c>
      <c r="W2981" s="102" t="s">
        <v>136</v>
      </c>
      <c r="X2981" s="102" t="s">
        <v>137</v>
      </c>
      <c r="Y2981" s="103" t="s">
        <v>138</v>
      </c>
      <c r="Z2981" s="103" t="s">
        <v>139</v>
      </c>
      <c r="AA2981" s="103" t="s">
        <v>47</v>
      </c>
      <c r="AB2981" s="103" t="s">
        <v>140</v>
      </c>
      <c r="AC2981" s="104" t="s">
        <v>141</v>
      </c>
    </row>
    <row r="2982" spans="1:29" ht="25.5" customHeight="1" x14ac:dyDescent="0.35">
      <c r="A2982" s="188"/>
      <c r="B2982" s="190"/>
      <c r="C2982" s="99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0"/>
      <c r="E2982" s="78" t="str">
        <f>IF(C2982="","",IFERROR(VLOOKUP(C2982,parametros!$A$11:$E$15,5,0),""))</f>
        <v/>
      </c>
      <c r="F2982" s="79" t="str">
        <f t="shared" si="232"/>
        <v/>
      </c>
      <c r="G2982" s="101"/>
      <c r="H2982" s="91">
        <f t="shared" si="233"/>
        <v>0</v>
      </c>
      <c r="I2982" s="91" t="str">
        <f t="shared" si="234"/>
        <v/>
      </c>
      <c r="J2982" s="91" t="str">
        <f t="shared" si="235"/>
        <v/>
      </c>
      <c r="K2982" s="92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2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58"/>
      <c r="U2982" s="217" t="str">
        <f t="shared" si="236"/>
        <v/>
      </c>
      <c r="V2982" s="215" t="s">
        <v>47</v>
      </c>
      <c r="W2982" s="102" t="s">
        <v>136</v>
      </c>
      <c r="X2982" s="102" t="s">
        <v>137</v>
      </c>
      <c r="Y2982" s="103" t="s">
        <v>138</v>
      </c>
      <c r="Z2982" s="103" t="s">
        <v>139</v>
      </c>
      <c r="AA2982" s="103" t="s">
        <v>47</v>
      </c>
      <c r="AB2982" s="103" t="s">
        <v>140</v>
      </c>
      <c r="AC2982" s="104" t="s">
        <v>141</v>
      </c>
    </row>
    <row r="2983" spans="1:29" ht="25.5" customHeight="1" x14ac:dyDescent="0.35">
      <c r="A2983" s="188"/>
      <c r="B2983" s="190"/>
      <c r="C2983" s="99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0"/>
      <c r="E2983" s="78" t="str">
        <f>IF(C2983="","",IFERROR(VLOOKUP(C2983,parametros!$A$11:$E$15,5,0),""))</f>
        <v/>
      </c>
      <c r="F2983" s="79" t="str">
        <f t="shared" si="232"/>
        <v/>
      </c>
      <c r="G2983" s="101"/>
      <c r="H2983" s="91">
        <f t="shared" si="233"/>
        <v>0</v>
      </c>
      <c r="I2983" s="91" t="str">
        <f t="shared" si="234"/>
        <v/>
      </c>
      <c r="J2983" s="91" t="str">
        <f t="shared" si="235"/>
        <v/>
      </c>
      <c r="K2983" s="92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2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58"/>
      <c r="U2983" s="217" t="str">
        <f t="shared" si="236"/>
        <v/>
      </c>
      <c r="V2983" s="215" t="s">
        <v>47</v>
      </c>
      <c r="W2983" s="102" t="s">
        <v>136</v>
      </c>
      <c r="X2983" s="102" t="s">
        <v>137</v>
      </c>
      <c r="Y2983" s="103" t="s">
        <v>138</v>
      </c>
      <c r="Z2983" s="103" t="s">
        <v>139</v>
      </c>
      <c r="AA2983" s="103" t="s">
        <v>47</v>
      </c>
      <c r="AB2983" s="103" t="s">
        <v>140</v>
      </c>
      <c r="AC2983" s="104" t="s">
        <v>141</v>
      </c>
    </row>
    <row r="2984" spans="1:29" ht="25.5" customHeight="1" x14ac:dyDescent="0.35">
      <c r="A2984" s="188"/>
      <c r="B2984" s="190"/>
      <c r="C2984" s="99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0"/>
      <c r="E2984" s="78" t="str">
        <f>IF(C2984="","",IFERROR(VLOOKUP(C2984,parametros!$A$11:$E$15,5,0),""))</f>
        <v/>
      </c>
      <c r="F2984" s="79" t="str">
        <f t="shared" si="232"/>
        <v/>
      </c>
      <c r="G2984" s="101"/>
      <c r="H2984" s="91">
        <f t="shared" si="233"/>
        <v>0</v>
      </c>
      <c r="I2984" s="91" t="str">
        <f t="shared" si="234"/>
        <v/>
      </c>
      <c r="J2984" s="91" t="str">
        <f t="shared" si="235"/>
        <v/>
      </c>
      <c r="K2984" s="92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2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58"/>
      <c r="U2984" s="217" t="str">
        <f t="shared" si="236"/>
        <v/>
      </c>
      <c r="V2984" s="215" t="s">
        <v>47</v>
      </c>
      <c r="W2984" s="102" t="s">
        <v>136</v>
      </c>
      <c r="X2984" s="102" t="s">
        <v>137</v>
      </c>
      <c r="Y2984" s="103" t="s">
        <v>138</v>
      </c>
      <c r="Z2984" s="103" t="s">
        <v>139</v>
      </c>
      <c r="AA2984" s="103" t="s">
        <v>47</v>
      </c>
      <c r="AB2984" s="103" t="s">
        <v>140</v>
      </c>
      <c r="AC2984" s="104" t="s">
        <v>141</v>
      </c>
    </row>
    <row r="2985" spans="1:29" ht="25.5" customHeight="1" x14ac:dyDescent="0.35">
      <c r="A2985" s="188"/>
      <c r="B2985" s="190"/>
      <c r="C2985" s="99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0"/>
      <c r="E2985" s="78" t="str">
        <f>IF(C2985="","",IFERROR(VLOOKUP(C2985,parametros!$A$11:$E$15,5,0),""))</f>
        <v/>
      </c>
      <c r="F2985" s="79" t="str">
        <f t="shared" si="232"/>
        <v/>
      </c>
      <c r="G2985" s="101"/>
      <c r="H2985" s="91">
        <f t="shared" si="233"/>
        <v>0</v>
      </c>
      <c r="I2985" s="91" t="str">
        <f t="shared" si="234"/>
        <v/>
      </c>
      <c r="J2985" s="91" t="str">
        <f t="shared" si="235"/>
        <v/>
      </c>
      <c r="K2985" s="92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2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58"/>
      <c r="U2985" s="217" t="str">
        <f t="shared" si="236"/>
        <v/>
      </c>
      <c r="V2985" s="215" t="s">
        <v>47</v>
      </c>
      <c r="W2985" s="102" t="s">
        <v>136</v>
      </c>
      <c r="X2985" s="102" t="s">
        <v>137</v>
      </c>
      <c r="Y2985" s="103" t="s">
        <v>138</v>
      </c>
      <c r="Z2985" s="103" t="s">
        <v>139</v>
      </c>
      <c r="AA2985" s="103" t="s">
        <v>47</v>
      </c>
      <c r="AB2985" s="103" t="s">
        <v>140</v>
      </c>
      <c r="AC2985" s="104" t="s">
        <v>141</v>
      </c>
    </row>
    <row r="2986" spans="1:29" ht="25.5" customHeight="1" x14ac:dyDescent="0.35">
      <c r="A2986" s="188"/>
      <c r="B2986" s="190"/>
      <c r="C2986" s="99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0"/>
      <c r="E2986" s="78" t="str">
        <f>IF(C2986="","",IFERROR(VLOOKUP(C2986,parametros!$A$11:$E$15,5,0),""))</f>
        <v/>
      </c>
      <c r="F2986" s="79" t="str">
        <f t="shared" si="232"/>
        <v/>
      </c>
      <c r="G2986" s="101"/>
      <c r="H2986" s="91">
        <f t="shared" si="233"/>
        <v>0</v>
      </c>
      <c r="I2986" s="91" t="str">
        <f t="shared" si="234"/>
        <v/>
      </c>
      <c r="J2986" s="91" t="str">
        <f t="shared" si="235"/>
        <v/>
      </c>
      <c r="K2986" s="92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2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58"/>
      <c r="U2986" s="217" t="str">
        <f t="shared" si="236"/>
        <v/>
      </c>
      <c r="V2986" s="215" t="s">
        <v>47</v>
      </c>
      <c r="W2986" s="102" t="s">
        <v>136</v>
      </c>
      <c r="X2986" s="102" t="s">
        <v>137</v>
      </c>
      <c r="Y2986" s="103" t="s">
        <v>138</v>
      </c>
      <c r="Z2986" s="103" t="s">
        <v>139</v>
      </c>
      <c r="AA2986" s="103" t="s">
        <v>47</v>
      </c>
      <c r="AB2986" s="103" t="s">
        <v>140</v>
      </c>
      <c r="AC2986" s="104" t="s">
        <v>141</v>
      </c>
    </row>
    <row r="2987" spans="1:29" ht="25.5" customHeight="1" x14ac:dyDescent="0.35">
      <c r="A2987" s="188"/>
      <c r="B2987" s="190"/>
      <c r="C2987" s="99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0"/>
      <c r="E2987" s="78" t="str">
        <f>IF(C2987="","",IFERROR(VLOOKUP(C2987,parametros!$A$11:$E$15,5,0),""))</f>
        <v/>
      </c>
      <c r="F2987" s="79" t="str">
        <f t="shared" si="232"/>
        <v/>
      </c>
      <c r="G2987" s="101"/>
      <c r="H2987" s="91">
        <f t="shared" si="233"/>
        <v>0</v>
      </c>
      <c r="I2987" s="91" t="str">
        <f t="shared" si="234"/>
        <v/>
      </c>
      <c r="J2987" s="91" t="str">
        <f t="shared" si="235"/>
        <v/>
      </c>
      <c r="K2987" s="92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2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58"/>
      <c r="U2987" s="217" t="str">
        <f t="shared" si="236"/>
        <v/>
      </c>
      <c r="V2987" s="215" t="s">
        <v>47</v>
      </c>
      <c r="W2987" s="102" t="s">
        <v>136</v>
      </c>
      <c r="X2987" s="102" t="s">
        <v>137</v>
      </c>
      <c r="Y2987" s="103" t="s">
        <v>138</v>
      </c>
      <c r="Z2987" s="103" t="s">
        <v>139</v>
      </c>
      <c r="AA2987" s="103" t="s">
        <v>47</v>
      </c>
      <c r="AB2987" s="103" t="s">
        <v>140</v>
      </c>
      <c r="AC2987" s="104" t="s">
        <v>141</v>
      </c>
    </row>
    <row r="2988" spans="1:29" ht="25.5" customHeight="1" x14ac:dyDescent="0.35">
      <c r="A2988" s="188"/>
      <c r="B2988" s="190"/>
      <c r="C2988" s="99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0"/>
      <c r="E2988" s="78" t="str">
        <f>IF(C2988="","",IFERROR(VLOOKUP(C2988,parametros!$A$11:$E$15,5,0),""))</f>
        <v/>
      </c>
      <c r="F2988" s="79" t="str">
        <f t="shared" si="232"/>
        <v/>
      </c>
      <c r="G2988" s="101"/>
      <c r="H2988" s="91">
        <f t="shared" si="233"/>
        <v>0</v>
      </c>
      <c r="I2988" s="91" t="str">
        <f t="shared" si="234"/>
        <v/>
      </c>
      <c r="J2988" s="91" t="str">
        <f t="shared" si="235"/>
        <v/>
      </c>
      <c r="K2988" s="92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2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58"/>
      <c r="U2988" s="217" t="str">
        <f t="shared" si="236"/>
        <v/>
      </c>
      <c r="V2988" s="215" t="s">
        <v>47</v>
      </c>
      <c r="W2988" s="102" t="s">
        <v>136</v>
      </c>
      <c r="X2988" s="102" t="s">
        <v>137</v>
      </c>
      <c r="Y2988" s="103" t="s">
        <v>138</v>
      </c>
      <c r="Z2988" s="103" t="s">
        <v>139</v>
      </c>
      <c r="AA2988" s="103" t="s">
        <v>47</v>
      </c>
      <c r="AB2988" s="103" t="s">
        <v>140</v>
      </c>
      <c r="AC2988" s="104" t="s">
        <v>141</v>
      </c>
    </row>
    <row r="2989" spans="1:29" ht="25.5" customHeight="1" x14ac:dyDescent="0.35">
      <c r="A2989" s="188"/>
      <c r="B2989" s="190"/>
      <c r="C2989" s="99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0"/>
      <c r="E2989" s="78" t="str">
        <f>IF(C2989="","",IFERROR(VLOOKUP(C2989,parametros!$A$11:$E$15,5,0),""))</f>
        <v/>
      </c>
      <c r="F2989" s="79" t="str">
        <f t="shared" si="232"/>
        <v/>
      </c>
      <c r="G2989" s="101"/>
      <c r="H2989" s="91">
        <f t="shared" si="233"/>
        <v>0</v>
      </c>
      <c r="I2989" s="91" t="str">
        <f t="shared" si="234"/>
        <v/>
      </c>
      <c r="J2989" s="91" t="str">
        <f t="shared" si="235"/>
        <v/>
      </c>
      <c r="K2989" s="92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2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58"/>
      <c r="U2989" s="217" t="str">
        <f t="shared" si="236"/>
        <v/>
      </c>
      <c r="V2989" s="215" t="s">
        <v>47</v>
      </c>
      <c r="W2989" s="102" t="s">
        <v>136</v>
      </c>
      <c r="X2989" s="102" t="s">
        <v>137</v>
      </c>
      <c r="Y2989" s="103" t="s">
        <v>138</v>
      </c>
      <c r="Z2989" s="103" t="s">
        <v>139</v>
      </c>
      <c r="AA2989" s="103" t="s">
        <v>47</v>
      </c>
      <c r="AB2989" s="103" t="s">
        <v>140</v>
      </c>
      <c r="AC2989" s="104" t="s">
        <v>141</v>
      </c>
    </row>
    <row r="2990" spans="1:29" ht="25.5" customHeight="1" x14ac:dyDescent="0.35">
      <c r="A2990" s="188"/>
      <c r="B2990" s="190"/>
      <c r="C2990" s="99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0"/>
      <c r="E2990" s="78" t="str">
        <f>IF(C2990="","",IFERROR(VLOOKUP(C2990,parametros!$A$11:$E$15,5,0),""))</f>
        <v/>
      </c>
      <c r="F2990" s="79" t="str">
        <f t="shared" si="232"/>
        <v/>
      </c>
      <c r="G2990" s="101"/>
      <c r="H2990" s="91">
        <f t="shared" si="233"/>
        <v>0</v>
      </c>
      <c r="I2990" s="91" t="str">
        <f t="shared" si="234"/>
        <v/>
      </c>
      <c r="J2990" s="91" t="str">
        <f t="shared" si="235"/>
        <v/>
      </c>
      <c r="K2990" s="92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2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58"/>
      <c r="U2990" s="217" t="str">
        <f t="shared" si="236"/>
        <v/>
      </c>
      <c r="V2990" s="215" t="s">
        <v>47</v>
      </c>
      <c r="W2990" s="102" t="s">
        <v>136</v>
      </c>
      <c r="X2990" s="102" t="s">
        <v>137</v>
      </c>
      <c r="Y2990" s="103" t="s">
        <v>138</v>
      </c>
      <c r="Z2990" s="103" t="s">
        <v>139</v>
      </c>
      <c r="AA2990" s="103" t="s">
        <v>47</v>
      </c>
      <c r="AB2990" s="103" t="s">
        <v>140</v>
      </c>
      <c r="AC2990" s="104" t="s">
        <v>141</v>
      </c>
    </row>
    <row r="2991" spans="1:29" ht="25.5" customHeight="1" x14ac:dyDescent="0.35">
      <c r="A2991" s="188"/>
      <c r="B2991" s="190"/>
      <c r="C2991" s="99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0"/>
      <c r="E2991" s="78" t="str">
        <f>IF(C2991="","",IFERROR(VLOOKUP(C2991,parametros!$A$11:$E$15,5,0),""))</f>
        <v/>
      </c>
      <c r="F2991" s="79" t="str">
        <f t="shared" si="232"/>
        <v/>
      </c>
      <c r="G2991" s="101"/>
      <c r="H2991" s="91">
        <f t="shared" si="233"/>
        <v>0</v>
      </c>
      <c r="I2991" s="91" t="str">
        <f t="shared" si="234"/>
        <v/>
      </c>
      <c r="J2991" s="91" t="str">
        <f t="shared" si="235"/>
        <v/>
      </c>
      <c r="K2991" s="92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2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58"/>
      <c r="U2991" s="217" t="str">
        <f t="shared" si="236"/>
        <v/>
      </c>
      <c r="V2991" s="215" t="s">
        <v>47</v>
      </c>
      <c r="W2991" s="102" t="s">
        <v>136</v>
      </c>
      <c r="X2991" s="102" t="s">
        <v>137</v>
      </c>
      <c r="Y2991" s="103" t="s">
        <v>138</v>
      </c>
      <c r="Z2991" s="103" t="s">
        <v>139</v>
      </c>
      <c r="AA2991" s="103" t="s">
        <v>47</v>
      </c>
      <c r="AB2991" s="103" t="s">
        <v>140</v>
      </c>
      <c r="AC2991" s="104" t="s">
        <v>141</v>
      </c>
    </row>
    <row r="2992" spans="1:29" ht="25.5" customHeight="1" x14ac:dyDescent="0.35">
      <c r="A2992" s="188"/>
      <c r="B2992" s="190"/>
      <c r="C2992" s="99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0"/>
      <c r="E2992" s="78" t="str">
        <f>IF(C2992="","",IFERROR(VLOOKUP(C2992,parametros!$A$11:$E$15,5,0),""))</f>
        <v/>
      </c>
      <c r="F2992" s="79" t="str">
        <f t="shared" si="232"/>
        <v/>
      </c>
      <c r="G2992" s="101"/>
      <c r="H2992" s="91">
        <f t="shared" si="233"/>
        <v>0</v>
      </c>
      <c r="I2992" s="91" t="str">
        <f t="shared" si="234"/>
        <v/>
      </c>
      <c r="J2992" s="91" t="str">
        <f t="shared" si="235"/>
        <v/>
      </c>
      <c r="K2992" s="92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2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58"/>
      <c r="U2992" s="217" t="str">
        <f t="shared" si="236"/>
        <v/>
      </c>
      <c r="V2992" s="215" t="s">
        <v>47</v>
      </c>
      <c r="W2992" s="102" t="s">
        <v>136</v>
      </c>
      <c r="X2992" s="102" t="s">
        <v>137</v>
      </c>
      <c r="Y2992" s="103" t="s">
        <v>138</v>
      </c>
      <c r="Z2992" s="103" t="s">
        <v>139</v>
      </c>
      <c r="AA2992" s="103" t="s">
        <v>47</v>
      </c>
      <c r="AB2992" s="103" t="s">
        <v>140</v>
      </c>
      <c r="AC2992" s="104" t="s">
        <v>141</v>
      </c>
    </row>
    <row r="2993" spans="1:29" ht="25.5" customHeight="1" x14ac:dyDescent="0.35">
      <c r="A2993" s="188"/>
      <c r="B2993" s="190"/>
      <c r="C2993" s="99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0"/>
      <c r="E2993" s="78" t="str">
        <f>IF(C2993="","",IFERROR(VLOOKUP(C2993,parametros!$A$11:$E$15,5,0),""))</f>
        <v/>
      </c>
      <c r="F2993" s="79" t="str">
        <f t="shared" si="232"/>
        <v/>
      </c>
      <c r="G2993" s="101"/>
      <c r="H2993" s="91">
        <f t="shared" si="233"/>
        <v>0</v>
      </c>
      <c r="I2993" s="91" t="str">
        <f t="shared" si="234"/>
        <v/>
      </c>
      <c r="J2993" s="91" t="str">
        <f t="shared" si="235"/>
        <v/>
      </c>
      <c r="K2993" s="92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2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58"/>
      <c r="U2993" s="217" t="str">
        <f t="shared" si="236"/>
        <v/>
      </c>
      <c r="V2993" s="215" t="s">
        <v>47</v>
      </c>
      <c r="W2993" s="102" t="s">
        <v>136</v>
      </c>
      <c r="X2993" s="102" t="s">
        <v>137</v>
      </c>
      <c r="Y2993" s="103" t="s">
        <v>138</v>
      </c>
      <c r="Z2993" s="103" t="s">
        <v>139</v>
      </c>
      <c r="AA2993" s="103" t="s">
        <v>47</v>
      </c>
      <c r="AB2993" s="103" t="s">
        <v>140</v>
      </c>
      <c r="AC2993" s="104" t="s">
        <v>141</v>
      </c>
    </row>
    <row r="2994" spans="1:29" ht="25.5" customHeight="1" x14ac:dyDescent="0.35">
      <c r="A2994" s="188"/>
      <c r="B2994" s="190"/>
      <c r="C2994" s="99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0"/>
      <c r="E2994" s="78" t="str">
        <f>IF(C2994="","",IFERROR(VLOOKUP(C2994,parametros!$A$11:$E$15,5,0),""))</f>
        <v/>
      </c>
      <c r="F2994" s="79" t="str">
        <f t="shared" si="232"/>
        <v/>
      </c>
      <c r="G2994" s="101"/>
      <c r="H2994" s="91">
        <f t="shared" si="233"/>
        <v>0</v>
      </c>
      <c r="I2994" s="91" t="str">
        <f t="shared" si="234"/>
        <v/>
      </c>
      <c r="J2994" s="91" t="str">
        <f t="shared" si="235"/>
        <v/>
      </c>
      <c r="K2994" s="92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2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58"/>
      <c r="U2994" s="217" t="str">
        <f t="shared" si="236"/>
        <v/>
      </c>
      <c r="V2994" s="215" t="s">
        <v>47</v>
      </c>
      <c r="W2994" s="102" t="s">
        <v>136</v>
      </c>
      <c r="X2994" s="102" t="s">
        <v>137</v>
      </c>
      <c r="Y2994" s="103" t="s">
        <v>138</v>
      </c>
      <c r="Z2994" s="103" t="s">
        <v>139</v>
      </c>
      <c r="AA2994" s="103" t="s">
        <v>47</v>
      </c>
      <c r="AB2994" s="103" t="s">
        <v>140</v>
      </c>
      <c r="AC2994" s="104" t="s">
        <v>141</v>
      </c>
    </row>
    <row r="2995" spans="1:29" ht="25.5" customHeight="1" x14ac:dyDescent="0.35">
      <c r="A2995" s="188"/>
      <c r="B2995" s="190"/>
      <c r="C2995" s="99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0"/>
      <c r="E2995" s="78" t="str">
        <f>IF(C2995="","",IFERROR(VLOOKUP(C2995,parametros!$A$11:$E$15,5,0),""))</f>
        <v/>
      </c>
      <c r="F2995" s="79" t="str">
        <f t="shared" si="232"/>
        <v/>
      </c>
      <c r="G2995" s="101"/>
      <c r="H2995" s="91">
        <f t="shared" si="233"/>
        <v>0</v>
      </c>
      <c r="I2995" s="91" t="str">
        <f t="shared" si="234"/>
        <v/>
      </c>
      <c r="J2995" s="91" t="str">
        <f t="shared" si="235"/>
        <v/>
      </c>
      <c r="K2995" s="92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2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58"/>
      <c r="U2995" s="217" t="str">
        <f t="shared" si="236"/>
        <v/>
      </c>
      <c r="V2995" s="215" t="s">
        <v>47</v>
      </c>
      <c r="W2995" s="102" t="s">
        <v>136</v>
      </c>
      <c r="X2995" s="102" t="s">
        <v>137</v>
      </c>
      <c r="Y2995" s="103" t="s">
        <v>138</v>
      </c>
      <c r="Z2995" s="103" t="s">
        <v>139</v>
      </c>
      <c r="AA2995" s="103" t="s">
        <v>47</v>
      </c>
      <c r="AB2995" s="103" t="s">
        <v>140</v>
      </c>
      <c r="AC2995" s="104" t="s">
        <v>141</v>
      </c>
    </row>
    <row r="2996" spans="1:29" ht="25.5" customHeight="1" x14ac:dyDescent="0.35">
      <c r="A2996" s="188"/>
      <c r="B2996" s="190"/>
      <c r="C2996" s="99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0"/>
      <c r="E2996" s="78" t="str">
        <f>IF(C2996="","",IFERROR(VLOOKUP(C2996,parametros!$A$11:$E$15,5,0),""))</f>
        <v/>
      </c>
      <c r="F2996" s="79" t="str">
        <f t="shared" si="232"/>
        <v/>
      </c>
      <c r="G2996" s="101"/>
      <c r="H2996" s="91">
        <f t="shared" si="233"/>
        <v>0</v>
      </c>
      <c r="I2996" s="91" t="str">
        <f t="shared" si="234"/>
        <v/>
      </c>
      <c r="J2996" s="91" t="str">
        <f t="shared" si="235"/>
        <v/>
      </c>
      <c r="K2996" s="92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2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58"/>
      <c r="U2996" s="217" t="str">
        <f t="shared" si="236"/>
        <v/>
      </c>
      <c r="V2996" s="215" t="s">
        <v>47</v>
      </c>
      <c r="W2996" s="102" t="s">
        <v>136</v>
      </c>
      <c r="X2996" s="102" t="s">
        <v>137</v>
      </c>
      <c r="Y2996" s="103" t="s">
        <v>138</v>
      </c>
      <c r="Z2996" s="103" t="s">
        <v>139</v>
      </c>
      <c r="AA2996" s="103" t="s">
        <v>47</v>
      </c>
      <c r="AB2996" s="103" t="s">
        <v>140</v>
      </c>
      <c r="AC2996" s="104" t="s">
        <v>141</v>
      </c>
    </row>
    <row r="2997" spans="1:29" ht="25.5" customHeight="1" x14ac:dyDescent="0.35">
      <c r="A2997" s="188"/>
      <c r="B2997" s="190"/>
      <c r="C2997" s="99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0"/>
      <c r="E2997" s="78" t="str">
        <f>IF(C2997="","",IFERROR(VLOOKUP(C2997,parametros!$A$11:$E$15,5,0),""))</f>
        <v/>
      </c>
      <c r="F2997" s="79" t="str">
        <f t="shared" si="232"/>
        <v/>
      </c>
      <c r="G2997" s="101"/>
      <c r="H2997" s="91">
        <f t="shared" si="233"/>
        <v>0</v>
      </c>
      <c r="I2997" s="91" t="str">
        <f t="shared" si="234"/>
        <v/>
      </c>
      <c r="J2997" s="91" t="str">
        <f t="shared" si="235"/>
        <v/>
      </c>
      <c r="K2997" s="92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2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58"/>
      <c r="U2997" s="217" t="str">
        <f t="shared" si="236"/>
        <v/>
      </c>
      <c r="V2997" s="215" t="s">
        <v>47</v>
      </c>
      <c r="W2997" s="102" t="s">
        <v>136</v>
      </c>
      <c r="X2997" s="102" t="s">
        <v>137</v>
      </c>
      <c r="Y2997" s="103" t="s">
        <v>138</v>
      </c>
      <c r="Z2997" s="103" t="s">
        <v>139</v>
      </c>
      <c r="AA2997" s="103" t="s">
        <v>47</v>
      </c>
      <c r="AB2997" s="103" t="s">
        <v>140</v>
      </c>
      <c r="AC2997" s="104" t="s">
        <v>141</v>
      </c>
    </row>
    <row r="2998" spans="1:29" ht="25.5" customHeight="1" x14ac:dyDescent="0.35">
      <c r="A2998" s="188"/>
      <c r="B2998" s="190"/>
      <c r="C2998" s="99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0"/>
      <c r="E2998" s="78" t="str">
        <f>IF(C2998="","",IFERROR(VLOOKUP(C2998,parametros!$A$11:$E$15,5,0),""))</f>
        <v/>
      </c>
      <c r="F2998" s="79" t="str">
        <f t="shared" si="232"/>
        <v/>
      </c>
      <c r="G2998" s="101"/>
      <c r="H2998" s="91">
        <f t="shared" si="233"/>
        <v>0</v>
      </c>
      <c r="I2998" s="91" t="str">
        <f t="shared" si="234"/>
        <v/>
      </c>
      <c r="J2998" s="91" t="str">
        <f t="shared" si="235"/>
        <v/>
      </c>
      <c r="K2998" s="92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2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58"/>
      <c r="U2998" s="217" t="str">
        <f t="shared" si="236"/>
        <v/>
      </c>
      <c r="V2998" s="215" t="s">
        <v>47</v>
      </c>
      <c r="W2998" s="102" t="s">
        <v>136</v>
      </c>
      <c r="X2998" s="102" t="s">
        <v>137</v>
      </c>
      <c r="Y2998" s="103" t="s">
        <v>138</v>
      </c>
      <c r="Z2998" s="103" t="s">
        <v>139</v>
      </c>
      <c r="AA2998" s="103" t="s">
        <v>47</v>
      </c>
      <c r="AB2998" s="103" t="s">
        <v>140</v>
      </c>
      <c r="AC2998" s="104" t="s">
        <v>141</v>
      </c>
    </row>
    <row r="2999" spans="1:29" ht="25.5" customHeight="1" x14ac:dyDescent="0.35">
      <c r="A2999" s="188"/>
      <c r="B2999" s="190"/>
      <c r="C2999" s="99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0"/>
      <c r="E2999" s="78" t="str">
        <f>IF(C2999="","",IFERROR(VLOOKUP(C2999,parametros!$A$11:$E$15,5,0),""))</f>
        <v/>
      </c>
      <c r="F2999" s="79" t="str">
        <f t="shared" si="232"/>
        <v/>
      </c>
      <c r="G2999" s="101"/>
      <c r="H2999" s="91">
        <f t="shared" si="233"/>
        <v>0</v>
      </c>
      <c r="I2999" s="91" t="str">
        <f t="shared" si="234"/>
        <v/>
      </c>
      <c r="J2999" s="91" t="str">
        <f t="shared" si="235"/>
        <v/>
      </c>
      <c r="K2999" s="92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2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58"/>
      <c r="U2999" s="217" t="str">
        <f t="shared" si="236"/>
        <v/>
      </c>
      <c r="V2999" s="215" t="s">
        <v>47</v>
      </c>
      <c r="W2999" s="102" t="s">
        <v>136</v>
      </c>
      <c r="X2999" s="102" t="s">
        <v>137</v>
      </c>
      <c r="Y2999" s="103" t="s">
        <v>138</v>
      </c>
      <c r="Z2999" s="103" t="s">
        <v>139</v>
      </c>
      <c r="AA2999" s="103" t="s">
        <v>47</v>
      </c>
      <c r="AB2999" s="103" t="s">
        <v>140</v>
      </c>
      <c r="AC2999" s="104" t="s">
        <v>141</v>
      </c>
    </row>
    <row r="3000" spans="1:29" ht="25.5" customHeight="1" x14ac:dyDescent="0.35">
      <c r="A3000" s="188"/>
      <c r="B3000" s="190"/>
      <c r="C3000" s="99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0"/>
      <c r="E3000" s="78" t="str">
        <f>IF(C3000="","",IFERROR(VLOOKUP(C3000,parametros!$A$11:$E$15,5,0),""))</f>
        <v/>
      </c>
      <c r="F3000" s="79" t="str">
        <f t="shared" si="232"/>
        <v/>
      </c>
      <c r="G3000" s="101"/>
      <c r="H3000" s="91">
        <f t="shared" si="233"/>
        <v>0</v>
      </c>
      <c r="I3000" s="91" t="str">
        <f t="shared" si="234"/>
        <v/>
      </c>
      <c r="J3000" s="91" t="str">
        <f t="shared" si="235"/>
        <v/>
      </c>
      <c r="K3000" s="92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2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58"/>
      <c r="U3000" s="217" t="str">
        <f t="shared" si="236"/>
        <v/>
      </c>
      <c r="V3000" s="215" t="s">
        <v>47</v>
      </c>
      <c r="W3000" s="102" t="s">
        <v>136</v>
      </c>
      <c r="X3000" s="102" t="s">
        <v>137</v>
      </c>
      <c r="Y3000" s="103" t="s">
        <v>138</v>
      </c>
      <c r="Z3000" s="103" t="s">
        <v>139</v>
      </c>
      <c r="AA3000" s="103" t="s">
        <v>47</v>
      </c>
      <c r="AB3000" s="103" t="s">
        <v>140</v>
      </c>
      <c r="AC3000" s="104" t="s">
        <v>141</v>
      </c>
    </row>
    <row r="3001" spans="1:29" ht="25.5" customHeight="1" x14ac:dyDescent="0.35">
      <c r="A3001" s="188"/>
      <c r="B3001" s="190"/>
      <c r="C3001" s="99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0"/>
      <c r="E3001" s="78" t="str">
        <f>IF(C3001="","",IFERROR(VLOOKUP(C3001,parametros!$A$11:$E$15,5,0),""))</f>
        <v/>
      </c>
      <c r="F3001" s="79" t="str">
        <f t="shared" si="232"/>
        <v/>
      </c>
      <c r="G3001" s="101"/>
      <c r="H3001" s="91">
        <f t="shared" si="233"/>
        <v>0</v>
      </c>
      <c r="I3001" s="91" t="str">
        <f t="shared" si="234"/>
        <v/>
      </c>
      <c r="J3001" s="91" t="str">
        <f t="shared" si="235"/>
        <v/>
      </c>
      <c r="K3001" s="92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2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58"/>
      <c r="U3001" s="217" t="str">
        <f t="shared" si="236"/>
        <v/>
      </c>
      <c r="V3001" s="215" t="s">
        <v>47</v>
      </c>
      <c r="W3001" s="102" t="s">
        <v>136</v>
      </c>
      <c r="X3001" s="102" t="s">
        <v>137</v>
      </c>
      <c r="Y3001" s="103" t="s">
        <v>138</v>
      </c>
      <c r="Z3001" s="103" t="s">
        <v>139</v>
      </c>
      <c r="AA3001" s="103" t="s">
        <v>47</v>
      </c>
      <c r="AB3001" s="103" t="s">
        <v>140</v>
      </c>
      <c r="AC3001" s="104" t="s">
        <v>141</v>
      </c>
    </row>
    <row r="3002" spans="1:29" ht="25.5" customHeight="1" x14ac:dyDescent="0.35">
      <c r="A3002" s="188"/>
      <c r="B3002" s="190"/>
      <c r="C3002" s="99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0"/>
      <c r="E3002" s="78" t="str">
        <f>IF(C3002="","",IFERROR(VLOOKUP(C3002,parametros!$A$11:$E$15,5,0),""))</f>
        <v/>
      </c>
      <c r="F3002" s="79" t="str">
        <f t="shared" si="232"/>
        <v/>
      </c>
      <c r="G3002" s="101"/>
      <c r="H3002" s="91">
        <f t="shared" si="233"/>
        <v>0</v>
      </c>
      <c r="I3002" s="91" t="str">
        <f t="shared" si="234"/>
        <v/>
      </c>
      <c r="J3002" s="91" t="str">
        <f t="shared" si="235"/>
        <v/>
      </c>
      <c r="K3002" s="92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2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58"/>
      <c r="U3002" s="217" t="str">
        <f t="shared" si="236"/>
        <v/>
      </c>
      <c r="V3002" s="215" t="s">
        <v>47</v>
      </c>
      <c r="W3002" s="102" t="s">
        <v>136</v>
      </c>
      <c r="X3002" s="102" t="s">
        <v>137</v>
      </c>
      <c r="Y3002" s="103" t="s">
        <v>138</v>
      </c>
      <c r="Z3002" s="103" t="s">
        <v>139</v>
      </c>
      <c r="AA3002" s="103" t="s">
        <v>47</v>
      </c>
      <c r="AB3002" s="103" t="s">
        <v>140</v>
      </c>
      <c r="AC3002" s="104" t="s">
        <v>141</v>
      </c>
    </row>
    <row r="3003" spans="1:29" ht="25.5" customHeight="1" x14ac:dyDescent="0.35">
      <c r="A3003" s="188"/>
      <c r="B3003" s="190"/>
      <c r="C3003" s="99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0"/>
      <c r="E3003" s="78" t="str">
        <f>IF(C3003="","",IFERROR(VLOOKUP(C3003,parametros!$A$11:$E$15,5,0),""))</f>
        <v/>
      </c>
      <c r="F3003" s="79" t="str">
        <f t="shared" si="232"/>
        <v/>
      </c>
      <c r="G3003" s="101"/>
      <c r="H3003" s="91">
        <f t="shared" si="233"/>
        <v>0</v>
      </c>
      <c r="I3003" s="91" t="str">
        <f t="shared" si="234"/>
        <v/>
      </c>
      <c r="J3003" s="91" t="str">
        <f t="shared" si="235"/>
        <v/>
      </c>
      <c r="K3003" s="92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2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58"/>
      <c r="U3003" s="217" t="str">
        <f t="shared" si="236"/>
        <v/>
      </c>
      <c r="V3003" s="215" t="s">
        <v>47</v>
      </c>
      <c r="W3003" s="102" t="s">
        <v>136</v>
      </c>
      <c r="X3003" s="102" t="s">
        <v>137</v>
      </c>
      <c r="Y3003" s="103" t="s">
        <v>138</v>
      </c>
      <c r="Z3003" s="103" t="s">
        <v>139</v>
      </c>
      <c r="AA3003" s="103" t="s">
        <v>47</v>
      </c>
      <c r="AB3003" s="103" t="s">
        <v>140</v>
      </c>
      <c r="AC3003" s="104" t="s">
        <v>141</v>
      </c>
    </row>
    <row r="3004" spans="1:29" ht="25.5" customHeight="1" x14ac:dyDescent="0.35">
      <c r="A3004" s="188"/>
      <c r="B3004" s="190"/>
      <c r="C3004" s="99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0"/>
      <c r="E3004" s="78" t="str">
        <f>IF(C3004="","",IFERROR(VLOOKUP(C3004,parametros!$A$11:$E$15,5,0),""))</f>
        <v/>
      </c>
      <c r="F3004" s="79" t="str">
        <f t="shared" si="232"/>
        <v/>
      </c>
      <c r="G3004" s="101"/>
      <c r="H3004" s="91">
        <f t="shared" si="233"/>
        <v>0</v>
      </c>
      <c r="I3004" s="91" t="str">
        <f t="shared" si="234"/>
        <v/>
      </c>
      <c r="J3004" s="91" t="str">
        <f t="shared" si="235"/>
        <v/>
      </c>
      <c r="K3004" s="92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2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58"/>
      <c r="U3004" s="217" t="str">
        <f t="shared" si="236"/>
        <v/>
      </c>
      <c r="V3004" s="215" t="s">
        <v>47</v>
      </c>
      <c r="W3004" s="102" t="s">
        <v>136</v>
      </c>
      <c r="X3004" s="102" t="s">
        <v>137</v>
      </c>
      <c r="Y3004" s="103" t="s">
        <v>138</v>
      </c>
      <c r="Z3004" s="103" t="s">
        <v>139</v>
      </c>
      <c r="AA3004" s="103" t="s">
        <v>47</v>
      </c>
      <c r="AB3004" s="103" t="s">
        <v>140</v>
      </c>
      <c r="AC3004" s="104" t="s">
        <v>141</v>
      </c>
    </row>
    <row r="3005" spans="1:29" ht="25.5" customHeight="1" x14ac:dyDescent="0.35">
      <c r="A3005" s="188"/>
      <c r="B3005" s="190"/>
      <c r="C3005" s="99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0"/>
      <c r="E3005" s="78" t="str">
        <f>IF(C3005="","",IFERROR(VLOOKUP(C3005,parametros!$A$11:$E$15,5,0),""))</f>
        <v/>
      </c>
      <c r="F3005" s="79" t="str">
        <f t="shared" si="232"/>
        <v/>
      </c>
      <c r="G3005" s="101"/>
      <c r="H3005" s="91">
        <f t="shared" si="233"/>
        <v>0</v>
      </c>
      <c r="I3005" s="91" t="str">
        <f t="shared" si="234"/>
        <v/>
      </c>
      <c r="J3005" s="91" t="str">
        <f t="shared" si="235"/>
        <v/>
      </c>
      <c r="K3005" s="92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2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58"/>
      <c r="U3005" s="217" t="str">
        <f t="shared" si="236"/>
        <v/>
      </c>
      <c r="V3005" s="215" t="s">
        <v>47</v>
      </c>
      <c r="W3005" s="102" t="s">
        <v>136</v>
      </c>
      <c r="X3005" s="102" t="s">
        <v>137</v>
      </c>
      <c r="Y3005" s="103" t="s">
        <v>138</v>
      </c>
      <c r="Z3005" s="103" t="s">
        <v>139</v>
      </c>
      <c r="AA3005" s="103" t="s">
        <v>47</v>
      </c>
      <c r="AB3005" s="103" t="s">
        <v>140</v>
      </c>
      <c r="AC3005" s="104" t="s">
        <v>141</v>
      </c>
    </row>
    <row r="3006" spans="1:29" ht="25.5" customHeight="1" x14ac:dyDescent="0.35">
      <c r="A3006" s="188"/>
      <c r="B3006" s="190"/>
      <c r="C3006" s="99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0"/>
      <c r="E3006" s="78" t="str">
        <f>IF(C3006="","",IFERROR(VLOOKUP(C3006,parametros!$A$11:$E$15,5,0),""))</f>
        <v/>
      </c>
      <c r="F3006" s="79" t="str">
        <f t="shared" si="232"/>
        <v/>
      </c>
      <c r="G3006" s="101"/>
      <c r="H3006" s="91">
        <f t="shared" si="233"/>
        <v>0</v>
      </c>
      <c r="I3006" s="91" t="str">
        <f t="shared" si="234"/>
        <v/>
      </c>
      <c r="J3006" s="91" t="str">
        <f t="shared" si="235"/>
        <v/>
      </c>
      <c r="K3006" s="92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2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58"/>
      <c r="U3006" s="217" t="str">
        <f t="shared" si="236"/>
        <v/>
      </c>
      <c r="V3006" s="215" t="s">
        <v>47</v>
      </c>
      <c r="W3006" s="102" t="s">
        <v>136</v>
      </c>
      <c r="X3006" s="102" t="s">
        <v>137</v>
      </c>
      <c r="Y3006" s="103" t="s">
        <v>138</v>
      </c>
      <c r="Z3006" s="103" t="s">
        <v>139</v>
      </c>
      <c r="AA3006" s="103" t="s">
        <v>47</v>
      </c>
      <c r="AB3006" s="103" t="s">
        <v>140</v>
      </c>
      <c r="AC3006" s="104" t="s">
        <v>141</v>
      </c>
    </row>
    <row r="3007" spans="1:29" ht="25.5" customHeight="1" x14ac:dyDescent="0.35">
      <c r="A3007" s="188"/>
      <c r="B3007" s="190"/>
      <c r="C3007" s="99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0"/>
      <c r="E3007" s="78" t="str">
        <f>IF(C3007="","",IFERROR(VLOOKUP(C3007,parametros!$A$11:$E$15,5,0),""))</f>
        <v/>
      </c>
      <c r="F3007" s="79" t="str">
        <f t="shared" si="232"/>
        <v/>
      </c>
      <c r="G3007" s="101"/>
      <c r="H3007" s="91">
        <f t="shared" si="233"/>
        <v>0</v>
      </c>
      <c r="I3007" s="91" t="str">
        <f t="shared" si="234"/>
        <v/>
      </c>
      <c r="J3007" s="91" t="str">
        <f t="shared" si="235"/>
        <v/>
      </c>
      <c r="K3007" s="92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2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58"/>
      <c r="U3007" s="217" t="str">
        <f t="shared" si="236"/>
        <v/>
      </c>
      <c r="V3007" s="215" t="s">
        <v>47</v>
      </c>
      <c r="W3007" s="102" t="s">
        <v>136</v>
      </c>
      <c r="X3007" s="102" t="s">
        <v>137</v>
      </c>
      <c r="Y3007" s="103" t="s">
        <v>138</v>
      </c>
      <c r="Z3007" s="103" t="s">
        <v>139</v>
      </c>
      <c r="AA3007" s="103" t="s">
        <v>47</v>
      </c>
      <c r="AB3007" s="103" t="s">
        <v>140</v>
      </c>
      <c r="AC3007" s="104" t="s">
        <v>141</v>
      </c>
    </row>
    <row r="3008" spans="1:29" ht="25.5" customHeight="1" x14ac:dyDescent="0.35">
      <c r="A3008" s="188"/>
      <c r="B3008" s="190"/>
      <c r="C3008" s="99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0"/>
      <c r="E3008" s="78" t="str">
        <f>IF(C3008="","",IFERROR(VLOOKUP(C3008,parametros!$A$11:$E$15,5,0),""))</f>
        <v/>
      </c>
      <c r="F3008" s="79" t="str">
        <f t="shared" si="232"/>
        <v/>
      </c>
      <c r="G3008" s="101"/>
      <c r="H3008" s="91">
        <f t="shared" si="233"/>
        <v>0</v>
      </c>
      <c r="I3008" s="91" t="str">
        <f t="shared" si="234"/>
        <v/>
      </c>
      <c r="J3008" s="91" t="str">
        <f t="shared" si="235"/>
        <v/>
      </c>
      <c r="K3008" s="92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2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58"/>
      <c r="U3008" s="217" t="str">
        <f t="shared" si="236"/>
        <v/>
      </c>
      <c r="V3008" s="215" t="s">
        <v>47</v>
      </c>
      <c r="W3008" s="102" t="s">
        <v>136</v>
      </c>
      <c r="X3008" s="102" t="s">
        <v>137</v>
      </c>
      <c r="Y3008" s="103" t="s">
        <v>138</v>
      </c>
      <c r="Z3008" s="103" t="s">
        <v>139</v>
      </c>
      <c r="AA3008" s="103" t="s">
        <v>47</v>
      </c>
      <c r="AB3008" s="103" t="s">
        <v>140</v>
      </c>
      <c r="AC3008" s="104" t="s">
        <v>141</v>
      </c>
    </row>
    <row r="3009" spans="1:29" ht="25.5" customHeight="1" x14ac:dyDescent="0.35">
      <c r="A3009" s="188"/>
      <c r="B3009" s="190"/>
      <c r="C3009" s="99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0"/>
      <c r="E3009" s="78" t="str">
        <f>IF(C3009="","",IFERROR(VLOOKUP(C3009,parametros!$A$11:$E$15,5,0),""))</f>
        <v/>
      </c>
      <c r="F3009" s="79" t="str">
        <f t="shared" si="232"/>
        <v/>
      </c>
      <c r="G3009" s="101"/>
      <c r="H3009" s="91">
        <f t="shared" si="233"/>
        <v>0</v>
      </c>
      <c r="I3009" s="91" t="str">
        <f t="shared" si="234"/>
        <v/>
      </c>
      <c r="J3009" s="91" t="str">
        <f t="shared" si="235"/>
        <v/>
      </c>
      <c r="K3009" s="92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2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58"/>
      <c r="U3009" s="217" t="str">
        <f t="shared" si="236"/>
        <v/>
      </c>
      <c r="V3009" s="215" t="s">
        <v>47</v>
      </c>
      <c r="W3009" s="102" t="s">
        <v>136</v>
      </c>
      <c r="X3009" s="102" t="s">
        <v>137</v>
      </c>
      <c r="Y3009" s="103" t="s">
        <v>138</v>
      </c>
      <c r="Z3009" s="103" t="s">
        <v>139</v>
      </c>
      <c r="AA3009" s="103" t="s">
        <v>47</v>
      </c>
      <c r="AB3009" s="103" t="s">
        <v>140</v>
      </c>
      <c r="AC3009" s="104" t="s">
        <v>141</v>
      </c>
    </row>
    <row r="3010" spans="1:29" ht="25.5" customHeight="1" x14ac:dyDescent="0.35">
      <c r="A3010" s="188"/>
      <c r="B3010" s="190"/>
      <c r="C3010" s="99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0"/>
      <c r="E3010" s="78" t="str">
        <f>IF(C3010="","",IFERROR(VLOOKUP(C3010,parametros!$A$11:$E$15,5,0),""))</f>
        <v/>
      </c>
      <c r="F3010" s="79" t="str">
        <f t="shared" ref="F3010:F3073" si="237">IF(OR(D3010="",E3010=""),"",ROUND(D3010*E3010,2))</f>
        <v/>
      </c>
      <c r="G3010" s="101"/>
      <c r="H3010" s="91">
        <f t="shared" ref="H3010:H3073" si="238">IF(G3010="Sim",IF(OR(F3010="",D3010="",L3010=""),"",IF(L3010="Sim",ROUND(F3010-D3010,2),0)),0)</f>
        <v>0</v>
      </c>
      <c r="I3010" s="91" t="str">
        <f t="shared" ref="I3010:I3073" si="239">IF(G3010="Sim",0,IF(OR(F3010="",L3010=""),"",F3010))</f>
        <v/>
      </c>
      <c r="J3010" s="91" t="str">
        <f t="shared" ref="J3010:J3073" si="240">IF(G3010="Sim",0,IF(OR(F3010="",D3010="",L3010=""),"",IF(L3010="Sim",ROUND(F3010-D3010,2),0)))</f>
        <v/>
      </c>
      <c r="K3010" s="92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2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58"/>
      <c r="U3010" s="217" t="str">
        <f t="shared" ref="U3010:U3073" si="241">IF(OR($D3010="",$H3010=""),"",ROUND($D3010+$H3010,2))</f>
        <v/>
      </c>
      <c r="V3010" s="215" t="s">
        <v>47</v>
      </c>
      <c r="W3010" s="102" t="s">
        <v>136</v>
      </c>
      <c r="X3010" s="102" t="s">
        <v>137</v>
      </c>
      <c r="Y3010" s="103" t="s">
        <v>138</v>
      </c>
      <c r="Z3010" s="103" t="s">
        <v>139</v>
      </c>
      <c r="AA3010" s="103" t="s">
        <v>47</v>
      </c>
      <c r="AB3010" s="103" t="s">
        <v>140</v>
      </c>
      <c r="AC3010" s="104" t="s">
        <v>141</v>
      </c>
    </row>
    <row r="3011" spans="1:29" ht="25.5" customHeight="1" x14ac:dyDescent="0.35">
      <c r="A3011" s="188"/>
      <c r="B3011" s="190"/>
      <c r="C3011" s="99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0"/>
      <c r="E3011" s="78" t="str">
        <f>IF(C3011="","",IFERROR(VLOOKUP(C3011,parametros!$A$11:$E$15,5,0),""))</f>
        <v/>
      </c>
      <c r="F3011" s="79" t="str">
        <f t="shared" si="237"/>
        <v/>
      </c>
      <c r="G3011" s="101"/>
      <c r="H3011" s="91">
        <f t="shared" si="238"/>
        <v>0</v>
      </c>
      <c r="I3011" s="91" t="str">
        <f t="shared" si="239"/>
        <v/>
      </c>
      <c r="J3011" s="91" t="str">
        <f t="shared" si="240"/>
        <v/>
      </c>
      <c r="K3011" s="92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2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58"/>
      <c r="U3011" s="217" t="str">
        <f t="shared" si="241"/>
        <v/>
      </c>
      <c r="V3011" s="215" t="s">
        <v>47</v>
      </c>
      <c r="W3011" s="102" t="s">
        <v>136</v>
      </c>
      <c r="X3011" s="102" t="s">
        <v>137</v>
      </c>
      <c r="Y3011" s="103" t="s">
        <v>138</v>
      </c>
      <c r="Z3011" s="103" t="s">
        <v>139</v>
      </c>
      <c r="AA3011" s="103" t="s">
        <v>47</v>
      </c>
      <c r="AB3011" s="103" t="s">
        <v>140</v>
      </c>
      <c r="AC3011" s="104" t="s">
        <v>141</v>
      </c>
    </row>
    <row r="3012" spans="1:29" ht="25.5" customHeight="1" x14ac:dyDescent="0.35">
      <c r="A3012" s="188"/>
      <c r="B3012" s="190"/>
      <c r="C3012" s="99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0"/>
      <c r="E3012" s="78" t="str">
        <f>IF(C3012="","",IFERROR(VLOOKUP(C3012,parametros!$A$11:$E$15,5,0),""))</f>
        <v/>
      </c>
      <c r="F3012" s="79" t="str">
        <f t="shared" si="237"/>
        <v/>
      </c>
      <c r="G3012" s="101"/>
      <c r="H3012" s="91">
        <f t="shared" si="238"/>
        <v>0</v>
      </c>
      <c r="I3012" s="91" t="str">
        <f t="shared" si="239"/>
        <v/>
      </c>
      <c r="J3012" s="91" t="str">
        <f t="shared" si="240"/>
        <v/>
      </c>
      <c r="K3012" s="92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2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58"/>
      <c r="U3012" s="217" t="str">
        <f t="shared" si="241"/>
        <v/>
      </c>
      <c r="V3012" s="215" t="s">
        <v>47</v>
      </c>
      <c r="W3012" s="102" t="s">
        <v>136</v>
      </c>
      <c r="X3012" s="102" t="s">
        <v>137</v>
      </c>
      <c r="Y3012" s="103" t="s">
        <v>138</v>
      </c>
      <c r="Z3012" s="103" t="s">
        <v>139</v>
      </c>
      <c r="AA3012" s="103" t="s">
        <v>47</v>
      </c>
      <c r="AB3012" s="103" t="s">
        <v>140</v>
      </c>
      <c r="AC3012" s="104" t="s">
        <v>141</v>
      </c>
    </row>
    <row r="3013" spans="1:29" ht="25.5" customHeight="1" x14ac:dyDescent="0.35">
      <c r="A3013" s="188"/>
      <c r="B3013" s="190"/>
      <c r="C3013" s="99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0"/>
      <c r="E3013" s="78" t="str">
        <f>IF(C3013="","",IFERROR(VLOOKUP(C3013,parametros!$A$11:$E$15,5,0),""))</f>
        <v/>
      </c>
      <c r="F3013" s="79" t="str">
        <f t="shared" si="237"/>
        <v/>
      </c>
      <c r="G3013" s="101"/>
      <c r="H3013" s="91">
        <f t="shared" si="238"/>
        <v>0</v>
      </c>
      <c r="I3013" s="91" t="str">
        <f t="shared" si="239"/>
        <v/>
      </c>
      <c r="J3013" s="91" t="str">
        <f t="shared" si="240"/>
        <v/>
      </c>
      <c r="K3013" s="92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2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58"/>
      <c r="U3013" s="217" t="str">
        <f t="shared" si="241"/>
        <v/>
      </c>
      <c r="V3013" s="215" t="s">
        <v>47</v>
      </c>
      <c r="W3013" s="102" t="s">
        <v>136</v>
      </c>
      <c r="X3013" s="102" t="s">
        <v>137</v>
      </c>
      <c r="Y3013" s="103" t="s">
        <v>138</v>
      </c>
      <c r="Z3013" s="103" t="s">
        <v>139</v>
      </c>
      <c r="AA3013" s="103" t="s">
        <v>47</v>
      </c>
      <c r="AB3013" s="103" t="s">
        <v>140</v>
      </c>
      <c r="AC3013" s="104" t="s">
        <v>141</v>
      </c>
    </row>
    <row r="3014" spans="1:29" ht="25.5" customHeight="1" x14ac:dyDescent="0.35">
      <c r="A3014" s="188"/>
      <c r="B3014" s="190"/>
      <c r="C3014" s="99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0"/>
      <c r="E3014" s="78" t="str">
        <f>IF(C3014="","",IFERROR(VLOOKUP(C3014,parametros!$A$11:$E$15,5,0),""))</f>
        <v/>
      </c>
      <c r="F3014" s="79" t="str">
        <f t="shared" si="237"/>
        <v/>
      </c>
      <c r="G3014" s="101"/>
      <c r="H3014" s="91">
        <f t="shared" si="238"/>
        <v>0</v>
      </c>
      <c r="I3014" s="91" t="str">
        <f t="shared" si="239"/>
        <v/>
      </c>
      <c r="J3014" s="91" t="str">
        <f t="shared" si="240"/>
        <v/>
      </c>
      <c r="K3014" s="92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2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58"/>
      <c r="U3014" s="217" t="str">
        <f t="shared" si="241"/>
        <v/>
      </c>
      <c r="V3014" s="215" t="s">
        <v>47</v>
      </c>
      <c r="W3014" s="102" t="s">
        <v>136</v>
      </c>
      <c r="X3014" s="102" t="s">
        <v>137</v>
      </c>
      <c r="Y3014" s="103" t="s">
        <v>138</v>
      </c>
      <c r="Z3014" s="103" t="s">
        <v>139</v>
      </c>
      <c r="AA3014" s="103" t="s">
        <v>47</v>
      </c>
      <c r="AB3014" s="103" t="s">
        <v>140</v>
      </c>
      <c r="AC3014" s="104" t="s">
        <v>141</v>
      </c>
    </row>
    <row r="3015" spans="1:29" ht="25.5" customHeight="1" x14ac:dyDescent="0.35">
      <c r="A3015" s="188"/>
      <c r="B3015" s="190"/>
      <c r="C3015" s="99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0"/>
      <c r="E3015" s="78" t="str">
        <f>IF(C3015="","",IFERROR(VLOOKUP(C3015,parametros!$A$11:$E$15,5,0),""))</f>
        <v/>
      </c>
      <c r="F3015" s="79" t="str">
        <f t="shared" si="237"/>
        <v/>
      </c>
      <c r="G3015" s="101"/>
      <c r="H3015" s="91">
        <f t="shared" si="238"/>
        <v>0</v>
      </c>
      <c r="I3015" s="91" t="str">
        <f t="shared" si="239"/>
        <v/>
      </c>
      <c r="J3015" s="91" t="str">
        <f t="shared" si="240"/>
        <v/>
      </c>
      <c r="K3015" s="92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2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58"/>
      <c r="U3015" s="217" t="str">
        <f t="shared" si="241"/>
        <v/>
      </c>
      <c r="V3015" s="215" t="s">
        <v>47</v>
      </c>
      <c r="W3015" s="102" t="s">
        <v>136</v>
      </c>
      <c r="X3015" s="102" t="s">
        <v>137</v>
      </c>
      <c r="Y3015" s="103" t="s">
        <v>138</v>
      </c>
      <c r="Z3015" s="103" t="s">
        <v>139</v>
      </c>
      <c r="AA3015" s="103" t="s">
        <v>47</v>
      </c>
      <c r="AB3015" s="103" t="s">
        <v>140</v>
      </c>
      <c r="AC3015" s="104" t="s">
        <v>141</v>
      </c>
    </row>
    <row r="3016" spans="1:29" ht="25.5" customHeight="1" x14ac:dyDescent="0.35">
      <c r="A3016" s="188"/>
      <c r="B3016" s="190"/>
      <c r="C3016" s="99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0"/>
      <c r="E3016" s="78" t="str">
        <f>IF(C3016="","",IFERROR(VLOOKUP(C3016,parametros!$A$11:$E$15,5,0),""))</f>
        <v/>
      </c>
      <c r="F3016" s="79" t="str">
        <f t="shared" si="237"/>
        <v/>
      </c>
      <c r="G3016" s="101"/>
      <c r="H3016" s="91">
        <f t="shared" si="238"/>
        <v>0</v>
      </c>
      <c r="I3016" s="91" t="str">
        <f t="shared" si="239"/>
        <v/>
      </c>
      <c r="J3016" s="91" t="str">
        <f t="shared" si="240"/>
        <v/>
      </c>
      <c r="K3016" s="92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2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58"/>
      <c r="U3016" s="217" t="str">
        <f t="shared" si="241"/>
        <v/>
      </c>
      <c r="V3016" s="215" t="s">
        <v>47</v>
      </c>
      <c r="W3016" s="102" t="s">
        <v>136</v>
      </c>
      <c r="X3016" s="102" t="s">
        <v>137</v>
      </c>
      <c r="Y3016" s="103" t="s">
        <v>138</v>
      </c>
      <c r="Z3016" s="103" t="s">
        <v>139</v>
      </c>
      <c r="AA3016" s="103" t="s">
        <v>47</v>
      </c>
      <c r="AB3016" s="103" t="s">
        <v>140</v>
      </c>
      <c r="AC3016" s="104" t="s">
        <v>141</v>
      </c>
    </row>
    <row r="3017" spans="1:29" ht="25.5" customHeight="1" x14ac:dyDescent="0.35">
      <c r="A3017" s="188"/>
      <c r="B3017" s="190"/>
      <c r="C3017" s="99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0"/>
      <c r="E3017" s="78" t="str">
        <f>IF(C3017="","",IFERROR(VLOOKUP(C3017,parametros!$A$11:$E$15,5,0),""))</f>
        <v/>
      </c>
      <c r="F3017" s="79" t="str">
        <f t="shared" si="237"/>
        <v/>
      </c>
      <c r="G3017" s="101"/>
      <c r="H3017" s="91">
        <f t="shared" si="238"/>
        <v>0</v>
      </c>
      <c r="I3017" s="91" t="str">
        <f t="shared" si="239"/>
        <v/>
      </c>
      <c r="J3017" s="91" t="str">
        <f t="shared" si="240"/>
        <v/>
      </c>
      <c r="K3017" s="92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2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58"/>
      <c r="U3017" s="217" t="str">
        <f t="shared" si="241"/>
        <v/>
      </c>
      <c r="V3017" s="215" t="s">
        <v>47</v>
      </c>
      <c r="W3017" s="102" t="s">
        <v>136</v>
      </c>
      <c r="X3017" s="102" t="s">
        <v>137</v>
      </c>
      <c r="Y3017" s="103" t="s">
        <v>138</v>
      </c>
      <c r="Z3017" s="103" t="s">
        <v>139</v>
      </c>
      <c r="AA3017" s="103" t="s">
        <v>47</v>
      </c>
      <c r="AB3017" s="103" t="s">
        <v>140</v>
      </c>
      <c r="AC3017" s="104" t="s">
        <v>141</v>
      </c>
    </row>
    <row r="3018" spans="1:29" ht="25.5" customHeight="1" x14ac:dyDescent="0.35">
      <c r="A3018" s="188"/>
      <c r="B3018" s="190"/>
      <c r="C3018" s="99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0"/>
      <c r="E3018" s="78" t="str">
        <f>IF(C3018="","",IFERROR(VLOOKUP(C3018,parametros!$A$11:$E$15,5,0),""))</f>
        <v/>
      </c>
      <c r="F3018" s="79" t="str">
        <f t="shared" si="237"/>
        <v/>
      </c>
      <c r="G3018" s="101"/>
      <c r="H3018" s="91">
        <f t="shared" si="238"/>
        <v>0</v>
      </c>
      <c r="I3018" s="91" t="str">
        <f t="shared" si="239"/>
        <v/>
      </c>
      <c r="J3018" s="91" t="str">
        <f t="shared" si="240"/>
        <v/>
      </c>
      <c r="K3018" s="92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2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58"/>
      <c r="U3018" s="217" t="str">
        <f t="shared" si="241"/>
        <v/>
      </c>
      <c r="V3018" s="215" t="s">
        <v>47</v>
      </c>
      <c r="W3018" s="102" t="s">
        <v>136</v>
      </c>
      <c r="X3018" s="102" t="s">
        <v>137</v>
      </c>
      <c r="Y3018" s="103" t="s">
        <v>138</v>
      </c>
      <c r="Z3018" s="103" t="s">
        <v>139</v>
      </c>
      <c r="AA3018" s="103" t="s">
        <v>47</v>
      </c>
      <c r="AB3018" s="103" t="s">
        <v>140</v>
      </c>
      <c r="AC3018" s="104" t="s">
        <v>141</v>
      </c>
    </row>
    <row r="3019" spans="1:29" ht="25.5" customHeight="1" x14ac:dyDescent="0.35">
      <c r="A3019" s="188"/>
      <c r="B3019" s="190"/>
      <c r="C3019" s="99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0"/>
      <c r="E3019" s="78" t="str">
        <f>IF(C3019="","",IFERROR(VLOOKUP(C3019,parametros!$A$11:$E$15,5,0),""))</f>
        <v/>
      </c>
      <c r="F3019" s="79" t="str">
        <f t="shared" si="237"/>
        <v/>
      </c>
      <c r="G3019" s="101"/>
      <c r="H3019" s="91">
        <f t="shared" si="238"/>
        <v>0</v>
      </c>
      <c r="I3019" s="91" t="str">
        <f t="shared" si="239"/>
        <v/>
      </c>
      <c r="J3019" s="91" t="str">
        <f t="shared" si="240"/>
        <v/>
      </c>
      <c r="K3019" s="92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2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58"/>
      <c r="U3019" s="217" t="str">
        <f t="shared" si="241"/>
        <v/>
      </c>
      <c r="V3019" s="215" t="s">
        <v>47</v>
      </c>
      <c r="W3019" s="102" t="s">
        <v>136</v>
      </c>
      <c r="X3019" s="102" t="s">
        <v>137</v>
      </c>
      <c r="Y3019" s="103" t="s">
        <v>138</v>
      </c>
      <c r="Z3019" s="103" t="s">
        <v>139</v>
      </c>
      <c r="AA3019" s="103" t="s">
        <v>47</v>
      </c>
      <c r="AB3019" s="103" t="s">
        <v>140</v>
      </c>
      <c r="AC3019" s="104" t="s">
        <v>141</v>
      </c>
    </row>
    <row r="3020" spans="1:29" ht="25.5" customHeight="1" x14ac:dyDescent="0.35">
      <c r="A3020" s="188"/>
      <c r="B3020" s="190"/>
      <c r="C3020" s="99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0"/>
      <c r="E3020" s="78" t="str">
        <f>IF(C3020="","",IFERROR(VLOOKUP(C3020,parametros!$A$11:$E$15,5,0),""))</f>
        <v/>
      </c>
      <c r="F3020" s="79" t="str">
        <f t="shared" si="237"/>
        <v/>
      </c>
      <c r="G3020" s="101"/>
      <c r="H3020" s="91">
        <f t="shared" si="238"/>
        <v>0</v>
      </c>
      <c r="I3020" s="91" t="str">
        <f t="shared" si="239"/>
        <v/>
      </c>
      <c r="J3020" s="91" t="str">
        <f t="shared" si="240"/>
        <v/>
      </c>
      <c r="K3020" s="92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2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58"/>
      <c r="U3020" s="217" t="str">
        <f t="shared" si="241"/>
        <v/>
      </c>
      <c r="V3020" s="215" t="s">
        <v>47</v>
      </c>
      <c r="W3020" s="102" t="s">
        <v>136</v>
      </c>
      <c r="X3020" s="102" t="s">
        <v>137</v>
      </c>
      <c r="Y3020" s="103" t="s">
        <v>138</v>
      </c>
      <c r="Z3020" s="103" t="s">
        <v>139</v>
      </c>
      <c r="AA3020" s="103" t="s">
        <v>47</v>
      </c>
      <c r="AB3020" s="103" t="s">
        <v>140</v>
      </c>
      <c r="AC3020" s="104" t="s">
        <v>141</v>
      </c>
    </row>
    <row r="3021" spans="1:29" ht="25.5" customHeight="1" x14ac:dyDescent="0.35">
      <c r="A3021" s="188"/>
      <c r="B3021" s="190"/>
      <c r="C3021" s="99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0"/>
      <c r="E3021" s="78" t="str">
        <f>IF(C3021="","",IFERROR(VLOOKUP(C3021,parametros!$A$11:$E$15,5,0),""))</f>
        <v/>
      </c>
      <c r="F3021" s="79" t="str">
        <f t="shared" si="237"/>
        <v/>
      </c>
      <c r="G3021" s="101"/>
      <c r="H3021" s="91">
        <f t="shared" si="238"/>
        <v>0</v>
      </c>
      <c r="I3021" s="91" t="str">
        <f t="shared" si="239"/>
        <v/>
      </c>
      <c r="J3021" s="91" t="str">
        <f t="shared" si="240"/>
        <v/>
      </c>
      <c r="K3021" s="92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2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58"/>
      <c r="U3021" s="217" t="str">
        <f t="shared" si="241"/>
        <v/>
      </c>
      <c r="V3021" s="215" t="s">
        <v>47</v>
      </c>
      <c r="W3021" s="102" t="s">
        <v>136</v>
      </c>
      <c r="X3021" s="102" t="s">
        <v>137</v>
      </c>
      <c r="Y3021" s="103" t="s">
        <v>138</v>
      </c>
      <c r="Z3021" s="103" t="s">
        <v>139</v>
      </c>
      <c r="AA3021" s="103" t="s">
        <v>47</v>
      </c>
      <c r="AB3021" s="103" t="s">
        <v>140</v>
      </c>
      <c r="AC3021" s="104" t="s">
        <v>141</v>
      </c>
    </row>
    <row r="3022" spans="1:29" ht="25.5" customHeight="1" x14ac:dyDescent="0.35">
      <c r="A3022" s="188"/>
      <c r="B3022" s="190"/>
      <c r="C3022" s="99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0"/>
      <c r="E3022" s="78" t="str">
        <f>IF(C3022="","",IFERROR(VLOOKUP(C3022,parametros!$A$11:$E$15,5,0),""))</f>
        <v/>
      </c>
      <c r="F3022" s="79" t="str">
        <f t="shared" si="237"/>
        <v/>
      </c>
      <c r="G3022" s="101"/>
      <c r="H3022" s="91">
        <f t="shared" si="238"/>
        <v>0</v>
      </c>
      <c r="I3022" s="91" t="str">
        <f t="shared" si="239"/>
        <v/>
      </c>
      <c r="J3022" s="91" t="str">
        <f t="shared" si="240"/>
        <v/>
      </c>
      <c r="K3022" s="92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2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58"/>
      <c r="U3022" s="217" t="str">
        <f t="shared" si="241"/>
        <v/>
      </c>
      <c r="V3022" s="215" t="s">
        <v>47</v>
      </c>
      <c r="W3022" s="102" t="s">
        <v>136</v>
      </c>
      <c r="X3022" s="102" t="s">
        <v>137</v>
      </c>
      <c r="Y3022" s="103" t="s">
        <v>138</v>
      </c>
      <c r="Z3022" s="103" t="s">
        <v>139</v>
      </c>
      <c r="AA3022" s="103" t="s">
        <v>47</v>
      </c>
      <c r="AB3022" s="103" t="s">
        <v>140</v>
      </c>
      <c r="AC3022" s="104" t="s">
        <v>141</v>
      </c>
    </row>
    <row r="3023" spans="1:29" ht="25.5" customHeight="1" x14ac:dyDescent="0.35">
      <c r="A3023" s="188"/>
      <c r="B3023" s="190"/>
      <c r="C3023" s="99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0"/>
      <c r="E3023" s="78" t="str">
        <f>IF(C3023="","",IFERROR(VLOOKUP(C3023,parametros!$A$11:$E$15,5,0),""))</f>
        <v/>
      </c>
      <c r="F3023" s="79" t="str">
        <f t="shared" si="237"/>
        <v/>
      </c>
      <c r="G3023" s="101"/>
      <c r="H3023" s="91">
        <f t="shared" si="238"/>
        <v>0</v>
      </c>
      <c r="I3023" s="91" t="str">
        <f t="shared" si="239"/>
        <v/>
      </c>
      <c r="J3023" s="91" t="str">
        <f t="shared" si="240"/>
        <v/>
      </c>
      <c r="K3023" s="92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2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58"/>
      <c r="U3023" s="217" t="str">
        <f t="shared" si="241"/>
        <v/>
      </c>
      <c r="V3023" s="215" t="s">
        <v>47</v>
      </c>
      <c r="W3023" s="102" t="s">
        <v>136</v>
      </c>
      <c r="X3023" s="102" t="s">
        <v>137</v>
      </c>
      <c r="Y3023" s="103" t="s">
        <v>138</v>
      </c>
      <c r="Z3023" s="103" t="s">
        <v>139</v>
      </c>
      <c r="AA3023" s="103" t="s">
        <v>47</v>
      </c>
      <c r="AB3023" s="103" t="s">
        <v>140</v>
      </c>
      <c r="AC3023" s="104" t="s">
        <v>141</v>
      </c>
    </row>
    <row r="3024" spans="1:29" ht="25.5" customHeight="1" x14ac:dyDescent="0.35">
      <c r="A3024" s="188"/>
      <c r="B3024" s="190"/>
      <c r="C3024" s="99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0"/>
      <c r="E3024" s="78" t="str">
        <f>IF(C3024="","",IFERROR(VLOOKUP(C3024,parametros!$A$11:$E$15,5,0),""))</f>
        <v/>
      </c>
      <c r="F3024" s="79" t="str">
        <f t="shared" si="237"/>
        <v/>
      </c>
      <c r="G3024" s="101"/>
      <c r="H3024" s="91">
        <f t="shared" si="238"/>
        <v>0</v>
      </c>
      <c r="I3024" s="91" t="str">
        <f t="shared" si="239"/>
        <v/>
      </c>
      <c r="J3024" s="91" t="str">
        <f t="shared" si="240"/>
        <v/>
      </c>
      <c r="K3024" s="92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2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58"/>
      <c r="U3024" s="217" t="str">
        <f t="shared" si="241"/>
        <v/>
      </c>
      <c r="V3024" s="215" t="s">
        <v>47</v>
      </c>
      <c r="W3024" s="102" t="s">
        <v>136</v>
      </c>
      <c r="X3024" s="102" t="s">
        <v>137</v>
      </c>
      <c r="Y3024" s="103" t="s">
        <v>138</v>
      </c>
      <c r="Z3024" s="103" t="s">
        <v>139</v>
      </c>
      <c r="AA3024" s="103" t="s">
        <v>47</v>
      </c>
      <c r="AB3024" s="103" t="s">
        <v>140</v>
      </c>
      <c r="AC3024" s="104" t="s">
        <v>141</v>
      </c>
    </row>
    <row r="3025" spans="1:29" ht="25.5" customHeight="1" x14ac:dyDescent="0.35">
      <c r="A3025" s="188"/>
      <c r="B3025" s="190"/>
      <c r="C3025" s="99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0"/>
      <c r="E3025" s="78" t="str">
        <f>IF(C3025="","",IFERROR(VLOOKUP(C3025,parametros!$A$11:$E$15,5,0),""))</f>
        <v/>
      </c>
      <c r="F3025" s="79" t="str">
        <f t="shared" si="237"/>
        <v/>
      </c>
      <c r="G3025" s="101"/>
      <c r="H3025" s="91">
        <f t="shared" si="238"/>
        <v>0</v>
      </c>
      <c r="I3025" s="91" t="str">
        <f t="shared" si="239"/>
        <v/>
      </c>
      <c r="J3025" s="91" t="str">
        <f t="shared" si="240"/>
        <v/>
      </c>
      <c r="K3025" s="92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2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58"/>
      <c r="U3025" s="217" t="str">
        <f t="shared" si="241"/>
        <v/>
      </c>
      <c r="V3025" s="215" t="s">
        <v>47</v>
      </c>
      <c r="W3025" s="102" t="s">
        <v>136</v>
      </c>
      <c r="X3025" s="102" t="s">
        <v>137</v>
      </c>
      <c r="Y3025" s="103" t="s">
        <v>138</v>
      </c>
      <c r="Z3025" s="103" t="s">
        <v>139</v>
      </c>
      <c r="AA3025" s="103" t="s">
        <v>47</v>
      </c>
      <c r="AB3025" s="103" t="s">
        <v>140</v>
      </c>
      <c r="AC3025" s="104" t="s">
        <v>141</v>
      </c>
    </row>
    <row r="3026" spans="1:29" ht="25.5" customHeight="1" x14ac:dyDescent="0.35">
      <c r="A3026" s="188"/>
      <c r="B3026" s="190"/>
      <c r="C3026" s="99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0"/>
      <c r="E3026" s="78" t="str">
        <f>IF(C3026="","",IFERROR(VLOOKUP(C3026,parametros!$A$11:$E$15,5,0),""))</f>
        <v/>
      </c>
      <c r="F3026" s="79" t="str">
        <f t="shared" si="237"/>
        <v/>
      </c>
      <c r="G3026" s="101"/>
      <c r="H3026" s="91">
        <f t="shared" si="238"/>
        <v>0</v>
      </c>
      <c r="I3026" s="91" t="str">
        <f t="shared" si="239"/>
        <v/>
      </c>
      <c r="J3026" s="91" t="str">
        <f t="shared" si="240"/>
        <v/>
      </c>
      <c r="K3026" s="92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2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58"/>
      <c r="U3026" s="217" t="str">
        <f t="shared" si="241"/>
        <v/>
      </c>
      <c r="V3026" s="215" t="s">
        <v>47</v>
      </c>
      <c r="W3026" s="102" t="s">
        <v>136</v>
      </c>
      <c r="X3026" s="102" t="s">
        <v>137</v>
      </c>
      <c r="Y3026" s="103" t="s">
        <v>138</v>
      </c>
      <c r="Z3026" s="103" t="s">
        <v>139</v>
      </c>
      <c r="AA3026" s="103" t="s">
        <v>47</v>
      </c>
      <c r="AB3026" s="103" t="s">
        <v>140</v>
      </c>
      <c r="AC3026" s="104" t="s">
        <v>141</v>
      </c>
    </row>
    <row r="3027" spans="1:29" ht="25.5" customHeight="1" x14ac:dyDescent="0.35">
      <c r="A3027" s="188"/>
      <c r="B3027" s="190"/>
      <c r="C3027" s="99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0"/>
      <c r="E3027" s="78" t="str">
        <f>IF(C3027="","",IFERROR(VLOOKUP(C3027,parametros!$A$11:$E$15,5,0),""))</f>
        <v/>
      </c>
      <c r="F3027" s="79" t="str">
        <f t="shared" si="237"/>
        <v/>
      </c>
      <c r="G3027" s="101"/>
      <c r="H3027" s="91">
        <f t="shared" si="238"/>
        <v>0</v>
      </c>
      <c r="I3027" s="91" t="str">
        <f t="shared" si="239"/>
        <v/>
      </c>
      <c r="J3027" s="91" t="str">
        <f t="shared" si="240"/>
        <v/>
      </c>
      <c r="K3027" s="92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2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58"/>
      <c r="U3027" s="217" t="str">
        <f t="shared" si="241"/>
        <v/>
      </c>
      <c r="V3027" s="215" t="s">
        <v>47</v>
      </c>
      <c r="W3027" s="102" t="s">
        <v>136</v>
      </c>
      <c r="X3027" s="102" t="s">
        <v>137</v>
      </c>
      <c r="Y3027" s="103" t="s">
        <v>138</v>
      </c>
      <c r="Z3027" s="103" t="s">
        <v>139</v>
      </c>
      <c r="AA3027" s="103" t="s">
        <v>47</v>
      </c>
      <c r="AB3027" s="103" t="s">
        <v>140</v>
      </c>
      <c r="AC3027" s="104" t="s">
        <v>141</v>
      </c>
    </row>
    <row r="3028" spans="1:29" ht="25.5" customHeight="1" x14ac:dyDescent="0.35">
      <c r="A3028" s="188"/>
      <c r="B3028" s="190"/>
      <c r="C3028" s="99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0"/>
      <c r="E3028" s="78" t="str">
        <f>IF(C3028="","",IFERROR(VLOOKUP(C3028,parametros!$A$11:$E$15,5,0),""))</f>
        <v/>
      </c>
      <c r="F3028" s="79" t="str">
        <f t="shared" si="237"/>
        <v/>
      </c>
      <c r="G3028" s="101"/>
      <c r="H3028" s="91">
        <f t="shared" si="238"/>
        <v>0</v>
      </c>
      <c r="I3028" s="91" t="str">
        <f t="shared" si="239"/>
        <v/>
      </c>
      <c r="J3028" s="91" t="str">
        <f t="shared" si="240"/>
        <v/>
      </c>
      <c r="K3028" s="92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2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58"/>
      <c r="U3028" s="217" t="str">
        <f t="shared" si="241"/>
        <v/>
      </c>
      <c r="V3028" s="215" t="s">
        <v>47</v>
      </c>
      <c r="W3028" s="102" t="s">
        <v>136</v>
      </c>
      <c r="X3028" s="102" t="s">
        <v>137</v>
      </c>
      <c r="Y3028" s="103" t="s">
        <v>138</v>
      </c>
      <c r="Z3028" s="103" t="s">
        <v>139</v>
      </c>
      <c r="AA3028" s="103" t="s">
        <v>47</v>
      </c>
      <c r="AB3028" s="103" t="s">
        <v>140</v>
      </c>
      <c r="AC3028" s="104" t="s">
        <v>141</v>
      </c>
    </row>
    <row r="3029" spans="1:29" ht="25.5" customHeight="1" x14ac:dyDescent="0.35">
      <c r="A3029" s="188"/>
      <c r="B3029" s="190"/>
      <c r="C3029" s="99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0"/>
      <c r="E3029" s="78" t="str">
        <f>IF(C3029="","",IFERROR(VLOOKUP(C3029,parametros!$A$11:$E$15,5,0),""))</f>
        <v/>
      </c>
      <c r="F3029" s="79" t="str">
        <f t="shared" si="237"/>
        <v/>
      </c>
      <c r="G3029" s="101"/>
      <c r="H3029" s="91">
        <f t="shared" si="238"/>
        <v>0</v>
      </c>
      <c r="I3029" s="91" t="str">
        <f t="shared" si="239"/>
        <v/>
      </c>
      <c r="J3029" s="91" t="str">
        <f t="shared" si="240"/>
        <v/>
      </c>
      <c r="K3029" s="92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2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58"/>
      <c r="U3029" s="217" t="str">
        <f t="shared" si="241"/>
        <v/>
      </c>
      <c r="V3029" s="215" t="s">
        <v>47</v>
      </c>
      <c r="W3029" s="102" t="s">
        <v>136</v>
      </c>
      <c r="X3029" s="102" t="s">
        <v>137</v>
      </c>
      <c r="Y3029" s="103" t="s">
        <v>138</v>
      </c>
      <c r="Z3029" s="103" t="s">
        <v>139</v>
      </c>
      <c r="AA3029" s="103" t="s">
        <v>47</v>
      </c>
      <c r="AB3029" s="103" t="s">
        <v>140</v>
      </c>
      <c r="AC3029" s="104" t="s">
        <v>141</v>
      </c>
    </row>
    <row r="3030" spans="1:29" ht="25.5" customHeight="1" x14ac:dyDescent="0.35">
      <c r="A3030" s="188"/>
      <c r="B3030" s="190"/>
      <c r="C3030" s="99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0"/>
      <c r="E3030" s="78" t="str">
        <f>IF(C3030="","",IFERROR(VLOOKUP(C3030,parametros!$A$11:$E$15,5,0),""))</f>
        <v/>
      </c>
      <c r="F3030" s="79" t="str">
        <f t="shared" si="237"/>
        <v/>
      </c>
      <c r="G3030" s="101"/>
      <c r="H3030" s="91">
        <f t="shared" si="238"/>
        <v>0</v>
      </c>
      <c r="I3030" s="91" t="str">
        <f t="shared" si="239"/>
        <v/>
      </c>
      <c r="J3030" s="91" t="str">
        <f t="shared" si="240"/>
        <v/>
      </c>
      <c r="K3030" s="92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2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58"/>
      <c r="U3030" s="217" t="str">
        <f t="shared" si="241"/>
        <v/>
      </c>
      <c r="V3030" s="215" t="s">
        <v>47</v>
      </c>
      <c r="W3030" s="102" t="s">
        <v>136</v>
      </c>
      <c r="X3030" s="102" t="s">
        <v>137</v>
      </c>
      <c r="Y3030" s="103" t="s">
        <v>138</v>
      </c>
      <c r="Z3030" s="103" t="s">
        <v>139</v>
      </c>
      <c r="AA3030" s="103" t="s">
        <v>47</v>
      </c>
      <c r="AB3030" s="103" t="s">
        <v>140</v>
      </c>
      <c r="AC3030" s="104" t="s">
        <v>141</v>
      </c>
    </row>
    <row r="3031" spans="1:29" ht="25.5" customHeight="1" x14ac:dyDescent="0.35">
      <c r="A3031" s="188"/>
      <c r="B3031" s="190"/>
      <c r="C3031" s="99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0"/>
      <c r="E3031" s="78" t="str">
        <f>IF(C3031="","",IFERROR(VLOOKUP(C3031,parametros!$A$11:$E$15,5,0),""))</f>
        <v/>
      </c>
      <c r="F3031" s="79" t="str">
        <f t="shared" si="237"/>
        <v/>
      </c>
      <c r="G3031" s="101"/>
      <c r="H3031" s="91">
        <f t="shared" si="238"/>
        <v>0</v>
      </c>
      <c r="I3031" s="91" t="str">
        <f t="shared" si="239"/>
        <v/>
      </c>
      <c r="J3031" s="91" t="str">
        <f t="shared" si="240"/>
        <v/>
      </c>
      <c r="K3031" s="92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2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58"/>
      <c r="U3031" s="217" t="str">
        <f t="shared" si="241"/>
        <v/>
      </c>
      <c r="V3031" s="215" t="s">
        <v>47</v>
      </c>
      <c r="W3031" s="102" t="s">
        <v>136</v>
      </c>
      <c r="X3031" s="102" t="s">
        <v>137</v>
      </c>
      <c r="Y3031" s="103" t="s">
        <v>138</v>
      </c>
      <c r="Z3031" s="103" t="s">
        <v>139</v>
      </c>
      <c r="AA3031" s="103" t="s">
        <v>47</v>
      </c>
      <c r="AB3031" s="103" t="s">
        <v>140</v>
      </c>
      <c r="AC3031" s="104" t="s">
        <v>141</v>
      </c>
    </row>
    <row r="3032" spans="1:29" ht="25.5" customHeight="1" x14ac:dyDescent="0.35">
      <c r="A3032" s="188"/>
      <c r="B3032" s="190"/>
      <c r="C3032" s="99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0"/>
      <c r="E3032" s="78" t="str">
        <f>IF(C3032="","",IFERROR(VLOOKUP(C3032,parametros!$A$11:$E$15,5,0),""))</f>
        <v/>
      </c>
      <c r="F3032" s="79" t="str">
        <f t="shared" si="237"/>
        <v/>
      </c>
      <c r="G3032" s="101"/>
      <c r="H3032" s="91">
        <f t="shared" si="238"/>
        <v>0</v>
      </c>
      <c r="I3032" s="91" t="str">
        <f t="shared" si="239"/>
        <v/>
      </c>
      <c r="J3032" s="91" t="str">
        <f t="shared" si="240"/>
        <v/>
      </c>
      <c r="K3032" s="92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2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58"/>
      <c r="U3032" s="217" t="str">
        <f t="shared" si="241"/>
        <v/>
      </c>
      <c r="V3032" s="215" t="s">
        <v>47</v>
      </c>
      <c r="W3032" s="102" t="s">
        <v>136</v>
      </c>
      <c r="X3032" s="102" t="s">
        <v>137</v>
      </c>
      <c r="Y3032" s="103" t="s">
        <v>138</v>
      </c>
      <c r="Z3032" s="103" t="s">
        <v>139</v>
      </c>
      <c r="AA3032" s="103" t="s">
        <v>47</v>
      </c>
      <c r="AB3032" s="103" t="s">
        <v>140</v>
      </c>
      <c r="AC3032" s="104" t="s">
        <v>141</v>
      </c>
    </row>
    <row r="3033" spans="1:29" ht="25.5" customHeight="1" x14ac:dyDescent="0.35">
      <c r="A3033" s="188"/>
      <c r="B3033" s="190"/>
      <c r="C3033" s="99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0"/>
      <c r="E3033" s="78" t="str">
        <f>IF(C3033="","",IFERROR(VLOOKUP(C3033,parametros!$A$11:$E$15,5,0),""))</f>
        <v/>
      </c>
      <c r="F3033" s="79" t="str">
        <f t="shared" si="237"/>
        <v/>
      </c>
      <c r="G3033" s="101"/>
      <c r="H3033" s="91">
        <f t="shared" si="238"/>
        <v>0</v>
      </c>
      <c r="I3033" s="91" t="str">
        <f t="shared" si="239"/>
        <v/>
      </c>
      <c r="J3033" s="91" t="str">
        <f t="shared" si="240"/>
        <v/>
      </c>
      <c r="K3033" s="92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2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58"/>
      <c r="U3033" s="217" t="str">
        <f t="shared" si="241"/>
        <v/>
      </c>
      <c r="V3033" s="215" t="s">
        <v>47</v>
      </c>
      <c r="W3033" s="102" t="s">
        <v>136</v>
      </c>
      <c r="X3033" s="102" t="s">
        <v>137</v>
      </c>
      <c r="Y3033" s="103" t="s">
        <v>138</v>
      </c>
      <c r="Z3033" s="103" t="s">
        <v>139</v>
      </c>
      <c r="AA3033" s="103" t="s">
        <v>47</v>
      </c>
      <c r="AB3033" s="103" t="s">
        <v>140</v>
      </c>
      <c r="AC3033" s="104" t="s">
        <v>141</v>
      </c>
    </row>
    <row r="3034" spans="1:29" ht="25.5" customHeight="1" x14ac:dyDescent="0.35">
      <c r="A3034" s="188"/>
      <c r="B3034" s="190"/>
      <c r="C3034" s="99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0"/>
      <c r="E3034" s="78" t="str">
        <f>IF(C3034="","",IFERROR(VLOOKUP(C3034,parametros!$A$11:$E$15,5,0),""))</f>
        <v/>
      </c>
      <c r="F3034" s="79" t="str">
        <f t="shared" si="237"/>
        <v/>
      </c>
      <c r="G3034" s="101"/>
      <c r="H3034" s="91">
        <f t="shared" si="238"/>
        <v>0</v>
      </c>
      <c r="I3034" s="91" t="str">
        <f t="shared" si="239"/>
        <v/>
      </c>
      <c r="J3034" s="91" t="str">
        <f t="shared" si="240"/>
        <v/>
      </c>
      <c r="K3034" s="92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2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58"/>
      <c r="U3034" s="217" t="str">
        <f t="shared" si="241"/>
        <v/>
      </c>
      <c r="V3034" s="215" t="s">
        <v>47</v>
      </c>
      <c r="W3034" s="102" t="s">
        <v>136</v>
      </c>
      <c r="X3034" s="102" t="s">
        <v>137</v>
      </c>
      <c r="Y3034" s="103" t="s">
        <v>138</v>
      </c>
      <c r="Z3034" s="103" t="s">
        <v>139</v>
      </c>
      <c r="AA3034" s="103" t="s">
        <v>47</v>
      </c>
      <c r="AB3034" s="103" t="s">
        <v>140</v>
      </c>
      <c r="AC3034" s="104" t="s">
        <v>141</v>
      </c>
    </row>
    <row r="3035" spans="1:29" ht="25.5" customHeight="1" x14ac:dyDescent="0.35">
      <c r="A3035" s="188"/>
      <c r="B3035" s="190"/>
      <c r="C3035" s="99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0"/>
      <c r="E3035" s="78" t="str">
        <f>IF(C3035="","",IFERROR(VLOOKUP(C3035,parametros!$A$11:$E$15,5,0),""))</f>
        <v/>
      </c>
      <c r="F3035" s="79" t="str">
        <f t="shared" si="237"/>
        <v/>
      </c>
      <c r="G3035" s="101"/>
      <c r="H3035" s="91">
        <f t="shared" si="238"/>
        <v>0</v>
      </c>
      <c r="I3035" s="91" t="str">
        <f t="shared" si="239"/>
        <v/>
      </c>
      <c r="J3035" s="91" t="str">
        <f t="shared" si="240"/>
        <v/>
      </c>
      <c r="K3035" s="92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2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58"/>
      <c r="U3035" s="217" t="str">
        <f t="shared" si="241"/>
        <v/>
      </c>
      <c r="V3035" s="215" t="s">
        <v>47</v>
      </c>
      <c r="W3035" s="102" t="s">
        <v>136</v>
      </c>
      <c r="X3035" s="102" t="s">
        <v>137</v>
      </c>
      <c r="Y3035" s="103" t="s">
        <v>138</v>
      </c>
      <c r="Z3035" s="103" t="s">
        <v>139</v>
      </c>
      <c r="AA3035" s="103" t="s">
        <v>47</v>
      </c>
      <c r="AB3035" s="103" t="s">
        <v>140</v>
      </c>
      <c r="AC3035" s="104" t="s">
        <v>141</v>
      </c>
    </row>
    <row r="3036" spans="1:29" ht="25.5" customHeight="1" x14ac:dyDescent="0.35">
      <c r="A3036" s="188"/>
      <c r="B3036" s="190"/>
      <c r="C3036" s="99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0"/>
      <c r="E3036" s="78" t="str">
        <f>IF(C3036="","",IFERROR(VLOOKUP(C3036,parametros!$A$11:$E$15,5,0),""))</f>
        <v/>
      </c>
      <c r="F3036" s="79" t="str">
        <f t="shared" si="237"/>
        <v/>
      </c>
      <c r="G3036" s="101"/>
      <c r="H3036" s="91">
        <f t="shared" si="238"/>
        <v>0</v>
      </c>
      <c r="I3036" s="91" t="str">
        <f t="shared" si="239"/>
        <v/>
      </c>
      <c r="J3036" s="91" t="str">
        <f t="shared" si="240"/>
        <v/>
      </c>
      <c r="K3036" s="92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2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58"/>
      <c r="U3036" s="217" t="str">
        <f t="shared" si="241"/>
        <v/>
      </c>
      <c r="V3036" s="215" t="s">
        <v>47</v>
      </c>
      <c r="W3036" s="102" t="s">
        <v>136</v>
      </c>
      <c r="X3036" s="102" t="s">
        <v>137</v>
      </c>
      <c r="Y3036" s="103" t="s">
        <v>138</v>
      </c>
      <c r="Z3036" s="103" t="s">
        <v>139</v>
      </c>
      <c r="AA3036" s="103" t="s">
        <v>47</v>
      </c>
      <c r="AB3036" s="103" t="s">
        <v>140</v>
      </c>
      <c r="AC3036" s="104" t="s">
        <v>141</v>
      </c>
    </row>
    <row r="3037" spans="1:29" ht="25.5" customHeight="1" x14ac:dyDescent="0.35">
      <c r="A3037" s="188"/>
      <c r="B3037" s="190"/>
      <c r="C3037" s="99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0"/>
      <c r="E3037" s="78" t="str">
        <f>IF(C3037="","",IFERROR(VLOOKUP(C3037,parametros!$A$11:$E$15,5,0),""))</f>
        <v/>
      </c>
      <c r="F3037" s="79" t="str">
        <f t="shared" si="237"/>
        <v/>
      </c>
      <c r="G3037" s="101"/>
      <c r="H3037" s="91">
        <f t="shared" si="238"/>
        <v>0</v>
      </c>
      <c r="I3037" s="91" t="str">
        <f t="shared" si="239"/>
        <v/>
      </c>
      <c r="J3037" s="91" t="str">
        <f t="shared" si="240"/>
        <v/>
      </c>
      <c r="K3037" s="92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2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58"/>
      <c r="U3037" s="217" t="str">
        <f t="shared" si="241"/>
        <v/>
      </c>
      <c r="V3037" s="215" t="s">
        <v>47</v>
      </c>
      <c r="W3037" s="102" t="s">
        <v>136</v>
      </c>
      <c r="X3037" s="102" t="s">
        <v>137</v>
      </c>
      <c r="Y3037" s="103" t="s">
        <v>138</v>
      </c>
      <c r="Z3037" s="103" t="s">
        <v>139</v>
      </c>
      <c r="AA3037" s="103" t="s">
        <v>47</v>
      </c>
      <c r="AB3037" s="103" t="s">
        <v>140</v>
      </c>
      <c r="AC3037" s="104" t="s">
        <v>141</v>
      </c>
    </row>
    <row r="3038" spans="1:29" ht="25.5" customHeight="1" x14ac:dyDescent="0.35">
      <c r="A3038" s="188"/>
      <c r="B3038" s="190"/>
      <c r="C3038" s="99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0"/>
      <c r="E3038" s="78" t="str">
        <f>IF(C3038="","",IFERROR(VLOOKUP(C3038,parametros!$A$11:$E$15,5,0),""))</f>
        <v/>
      </c>
      <c r="F3038" s="79" t="str">
        <f t="shared" si="237"/>
        <v/>
      </c>
      <c r="G3038" s="101"/>
      <c r="H3038" s="91">
        <f t="shared" si="238"/>
        <v>0</v>
      </c>
      <c r="I3038" s="91" t="str">
        <f t="shared" si="239"/>
        <v/>
      </c>
      <c r="J3038" s="91" t="str">
        <f t="shared" si="240"/>
        <v/>
      </c>
      <c r="K3038" s="92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2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58"/>
      <c r="U3038" s="217" t="str">
        <f t="shared" si="241"/>
        <v/>
      </c>
      <c r="V3038" s="215" t="s">
        <v>47</v>
      </c>
      <c r="W3038" s="102" t="s">
        <v>136</v>
      </c>
      <c r="X3038" s="102" t="s">
        <v>137</v>
      </c>
      <c r="Y3038" s="103" t="s">
        <v>138</v>
      </c>
      <c r="Z3038" s="103" t="s">
        <v>139</v>
      </c>
      <c r="AA3038" s="103" t="s">
        <v>47</v>
      </c>
      <c r="AB3038" s="103" t="s">
        <v>140</v>
      </c>
      <c r="AC3038" s="104" t="s">
        <v>141</v>
      </c>
    </row>
    <row r="3039" spans="1:29" ht="25.5" customHeight="1" x14ac:dyDescent="0.35">
      <c r="A3039" s="188"/>
      <c r="B3039" s="190"/>
      <c r="C3039" s="99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0"/>
      <c r="E3039" s="78" t="str">
        <f>IF(C3039="","",IFERROR(VLOOKUP(C3039,parametros!$A$11:$E$15,5,0),""))</f>
        <v/>
      </c>
      <c r="F3039" s="79" t="str">
        <f t="shared" si="237"/>
        <v/>
      </c>
      <c r="G3039" s="101"/>
      <c r="H3039" s="91">
        <f t="shared" si="238"/>
        <v>0</v>
      </c>
      <c r="I3039" s="91" t="str">
        <f t="shared" si="239"/>
        <v/>
      </c>
      <c r="J3039" s="91" t="str">
        <f t="shared" si="240"/>
        <v/>
      </c>
      <c r="K3039" s="92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2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58"/>
      <c r="U3039" s="217" t="str">
        <f t="shared" si="241"/>
        <v/>
      </c>
      <c r="V3039" s="215" t="s">
        <v>47</v>
      </c>
      <c r="W3039" s="102" t="s">
        <v>136</v>
      </c>
      <c r="X3039" s="102" t="s">
        <v>137</v>
      </c>
      <c r="Y3039" s="103" t="s">
        <v>138</v>
      </c>
      <c r="Z3039" s="103" t="s">
        <v>139</v>
      </c>
      <c r="AA3039" s="103" t="s">
        <v>47</v>
      </c>
      <c r="AB3039" s="103" t="s">
        <v>140</v>
      </c>
      <c r="AC3039" s="104" t="s">
        <v>141</v>
      </c>
    </row>
    <row r="3040" spans="1:29" ht="25.5" customHeight="1" x14ac:dyDescent="0.35">
      <c r="A3040" s="188"/>
      <c r="B3040" s="190"/>
      <c r="C3040" s="99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0"/>
      <c r="E3040" s="78" t="str">
        <f>IF(C3040="","",IFERROR(VLOOKUP(C3040,parametros!$A$11:$E$15,5,0),""))</f>
        <v/>
      </c>
      <c r="F3040" s="79" t="str">
        <f t="shared" si="237"/>
        <v/>
      </c>
      <c r="G3040" s="101"/>
      <c r="H3040" s="91">
        <f t="shared" si="238"/>
        <v>0</v>
      </c>
      <c r="I3040" s="91" t="str">
        <f t="shared" si="239"/>
        <v/>
      </c>
      <c r="J3040" s="91" t="str">
        <f t="shared" si="240"/>
        <v/>
      </c>
      <c r="K3040" s="92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2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58"/>
      <c r="U3040" s="217" t="str">
        <f t="shared" si="241"/>
        <v/>
      </c>
      <c r="V3040" s="215" t="s">
        <v>47</v>
      </c>
      <c r="W3040" s="102" t="s">
        <v>136</v>
      </c>
      <c r="X3040" s="102" t="s">
        <v>137</v>
      </c>
      <c r="Y3040" s="103" t="s">
        <v>138</v>
      </c>
      <c r="Z3040" s="103" t="s">
        <v>139</v>
      </c>
      <c r="AA3040" s="103" t="s">
        <v>47</v>
      </c>
      <c r="AB3040" s="103" t="s">
        <v>140</v>
      </c>
      <c r="AC3040" s="104" t="s">
        <v>141</v>
      </c>
    </row>
    <row r="3041" spans="1:29" ht="25.5" customHeight="1" x14ac:dyDescent="0.35">
      <c r="A3041" s="188"/>
      <c r="B3041" s="190"/>
      <c r="C3041" s="99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0"/>
      <c r="E3041" s="78" t="str">
        <f>IF(C3041="","",IFERROR(VLOOKUP(C3041,parametros!$A$11:$E$15,5,0),""))</f>
        <v/>
      </c>
      <c r="F3041" s="79" t="str">
        <f t="shared" si="237"/>
        <v/>
      </c>
      <c r="G3041" s="101"/>
      <c r="H3041" s="91">
        <f t="shared" si="238"/>
        <v>0</v>
      </c>
      <c r="I3041" s="91" t="str">
        <f t="shared" si="239"/>
        <v/>
      </c>
      <c r="J3041" s="91" t="str">
        <f t="shared" si="240"/>
        <v/>
      </c>
      <c r="K3041" s="92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2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58"/>
      <c r="U3041" s="217" t="str">
        <f t="shared" si="241"/>
        <v/>
      </c>
      <c r="V3041" s="215" t="s">
        <v>47</v>
      </c>
      <c r="W3041" s="102" t="s">
        <v>136</v>
      </c>
      <c r="X3041" s="102" t="s">
        <v>137</v>
      </c>
      <c r="Y3041" s="103" t="s">
        <v>138</v>
      </c>
      <c r="Z3041" s="103" t="s">
        <v>139</v>
      </c>
      <c r="AA3041" s="103" t="s">
        <v>47</v>
      </c>
      <c r="AB3041" s="103" t="s">
        <v>140</v>
      </c>
      <c r="AC3041" s="104" t="s">
        <v>141</v>
      </c>
    </row>
    <row r="3042" spans="1:29" ht="25.5" customHeight="1" x14ac:dyDescent="0.35">
      <c r="A3042" s="188"/>
      <c r="B3042" s="190"/>
      <c r="C3042" s="99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0"/>
      <c r="E3042" s="78" t="str">
        <f>IF(C3042="","",IFERROR(VLOOKUP(C3042,parametros!$A$11:$E$15,5,0),""))</f>
        <v/>
      </c>
      <c r="F3042" s="79" t="str">
        <f t="shared" si="237"/>
        <v/>
      </c>
      <c r="G3042" s="101"/>
      <c r="H3042" s="91">
        <f t="shared" si="238"/>
        <v>0</v>
      </c>
      <c r="I3042" s="91" t="str">
        <f t="shared" si="239"/>
        <v/>
      </c>
      <c r="J3042" s="91" t="str">
        <f t="shared" si="240"/>
        <v/>
      </c>
      <c r="K3042" s="92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2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58"/>
      <c r="U3042" s="217" t="str">
        <f t="shared" si="241"/>
        <v/>
      </c>
      <c r="V3042" s="215" t="s">
        <v>47</v>
      </c>
      <c r="W3042" s="102" t="s">
        <v>136</v>
      </c>
      <c r="X3042" s="102" t="s">
        <v>137</v>
      </c>
      <c r="Y3042" s="103" t="s">
        <v>138</v>
      </c>
      <c r="Z3042" s="103" t="s">
        <v>139</v>
      </c>
      <c r="AA3042" s="103" t="s">
        <v>47</v>
      </c>
      <c r="AB3042" s="103" t="s">
        <v>140</v>
      </c>
      <c r="AC3042" s="104" t="s">
        <v>141</v>
      </c>
    </row>
    <row r="3043" spans="1:29" ht="25.5" customHeight="1" x14ac:dyDescent="0.35">
      <c r="A3043" s="188"/>
      <c r="B3043" s="190"/>
      <c r="C3043" s="99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0"/>
      <c r="E3043" s="78" t="str">
        <f>IF(C3043="","",IFERROR(VLOOKUP(C3043,parametros!$A$11:$E$15,5,0),""))</f>
        <v/>
      </c>
      <c r="F3043" s="79" t="str">
        <f t="shared" si="237"/>
        <v/>
      </c>
      <c r="G3043" s="101"/>
      <c r="H3043" s="91">
        <f t="shared" si="238"/>
        <v>0</v>
      </c>
      <c r="I3043" s="91" t="str">
        <f t="shared" si="239"/>
        <v/>
      </c>
      <c r="J3043" s="91" t="str">
        <f t="shared" si="240"/>
        <v/>
      </c>
      <c r="K3043" s="92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2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58"/>
      <c r="U3043" s="217" t="str">
        <f t="shared" si="241"/>
        <v/>
      </c>
      <c r="V3043" s="215" t="s">
        <v>47</v>
      </c>
      <c r="W3043" s="102" t="s">
        <v>136</v>
      </c>
      <c r="X3043" s="102" t="s">
        <v>137</v>
      </c>
      <c r="Y3043" s="103" t="s">
        <v>138</v>
      </c>
      <c r="Z3043" s="103" t="s">
        <v>139</v>
      </c>
      <c r="AA3043" s="103" t="s">
        <v>47</v>
      </c>
      <c r="AB3043" s="103" t="s">
        <v>140</v>
      </c>
      <c r="AC3043" s="104" t="s">
        <v>141</v>
      </c>
    </row>
    <row r="3044" spans="1:29" ht="25.5" customHeight="1" x14ac:dyDescent="0.35">
      <c r="A3044" s="188"/>
      <c r="B3044" s="190"/>
      <c r="C3044" s="99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0"/>
      <c r="E3044" s="78" t="str">
        <f>IF(C3044="","",IFERROR(VLOOKUP(C3044,parametros!$A$11:$E$15,5,0),""))</f>
        <v/>
      </c>
      <c r="F3044" s="79" t="str">
        <f t="shared" si="237"/>
        <v/>
      </c>
      <c r="G3044" s="101"/>
      <c r="H3044" s="91">
        <f t="shared" si="238"/>
        <v>0</v>
      </c>
      <c r="I3044" s="91" t="str">
        <f t="shared" si="239"/>
        <v/>
      </c>
      <c r="J3044" s="91" t="str">
        <f t="shared" si="240"/>
        <v/>
      </c>
      <c r="K3044" s="92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2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58"/>
      <c r="U3044" s="217" t="str">
        <f t="shared" si="241"/>
        <v/>
      </c>
      <c r="V3044" s="215" t="s">
        <v>47</v>
      </c>
      <c r="W3044" s="102" t="s">
        <v>136</v>
      </c>
      <c r="X3044" s="102" t="s">
        <v>137</v>
      </c>
      <c r="Y3044" s="103" t="s">
        <v>138</v>
      </c>
      <c r="Z3044" s="103" t="s">
        <v>139</v>
      </c>
      <c r="AA3044" s="103" t="s">
        <v>47</v>
      </c>
      <c r="AB3044" s="103" t="s">
        <v>140</v>
      </c>
      <c r="AC3044" s="104" t="s">
        <v>141</v>
      </c>
    </row>
    <row r="3045" spans="1:29" ht="25.5" customHeight="1" x14ac:dyDescent="0.35">
      <c r="A3045" s="188"/>
      <c r="B3045" s="190"/>
      <c r="C3045" s="99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0"/>
      <c r="E3045" s="78" t="str">
        <f>IF(C3045="","",IFERROR(VLOOKUP(C3045,parametros!$A$11:$E$15,5,0),""))</f>
        <v/>
      </c>
      <c r="F3045" s="79" t="str">
        <f t="shared" si="237"/>
        <v/>
      </c>
      <c r="G3045" s="101"/>
      <c r="H3045" s="91">
        <f t="shared" si="238"/>
        <v>0</v>
      </c>
      <c r="I3045" s="91" t="str">
        <f t="shared" si="239"/>
        <v/>
      </c>
      <c r="J3045" s="91" t="str">
        <f t="shared" si="240"/>
        <v/>
      </c>
      <c r="K3045" s="92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2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58"/>
      <c r="U3045" s="217" t="str">
        <f t="shared" si="241"/>
        <v/>
      </c>
      <c r="V3045" s="215" t="s">
        <v>47</v>
      </c>
      <c r="W3045" s="102" t="s">
        <v>136</v>
      </c>
      <c r="X3045" s="102" t="s">
        <v>137</v>
      </c>
      <c r="Y3045" s="103" t="s">
        <v>138</v>
      </c>
      <c r="Z3045" s="103" t="s">
        <v>139</v>
      </c>
      <c r="AA3045" s="103" t="s">
        <v>47</v>
      </c>
      <c r="AB3045" s="103" t="s">
        <v>140</v>
      </c>
      <c r="AC3045" s="104" t="s">
        <v>141</v>
      </c>
    </row>
    <row r="3046" spans="1:29" ht="25.5" customHeight="1" x14ac:dyDescent="0.35">
      <c r="A3046" s="188"/>
      <c r="B3046" s="190"/>
      <c r="C3046" s="99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0"/>
      <c r="E3046" s="78" t="str">
        <f>IF(C3046="","",IFERROR(VLOOKUP(C3046,parametros!$A$11:$E$15,5,0),""))</f>
        <v/>
      </c>
      <c r="F3046" s="79" t="str">
        <f t="shared" si="237"/>
        <v/>
      </c>
      <c r="G3046" s="101"/>
      <c r="H3046" s="91">
        <f t="shared" si="238"/>
        <v>0</v>
      </c>
      <c r="I3046" s="91" t="str">
        <f t="shared" si="239"/>
        <v/>
      </c>
      <c r="J3046" s="91" t="str">
        <f t="shared" si="240"/>
        <v/>
      </c>
      <c r="K3046" s="92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2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58"/>
      <c r="U3046" s="217" t="str">
        <f t="shared" si="241"/>
        <v/>
      </c>
      <c r="V3046" s="215" t="s">
        <v>47</v>
      </c>
      <c r="W3046" s="102" t="s">
        <v>136</v>
      </c>
      <c r="X3046" s="102" t="s">
        <v>137</v>
      </c>
      <c r="Y3046" s="103" t="s">
        <v>138</v>
      </c>
      <c r="Z3046" s="103" t="s">
        <v>139</v>
      </c>
      <c r="AA3046" s="103" t="s">
        <v>47</v>
      </c>
      <c r="AB3046" s="103" t="s">
        <v>140</v>
      </c>
      <c r="AC3046" s="104" t="s">
        <v>141</v>
      </c>
    </row>
    <row r="3047" spans="1:29" ht="25.5" customHeight="1" x14ac:dyDescent="0.35">
      <c r="A3047" s="188"/>
      <c r="B3047" s="190"/>
      <c r="C3047" s="99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0"/>
      <c r="E3047" s="78" t="str">
        <f>IF(C3047="","",IFERROR(VLOOKUP(C3047,parametros!$A$11:$E$15,5,0),""))</f>
        <v/>
      </c>
      <c r="F3047" s="79" t="str">
        <f t="shared" si="237"/>
        <v/>
      </c>
      <c r="G3047" s="101"/>
      <c r="H3047" s="91">
        <f t="shared" si="238"/>
        <v>0</v>
      </c>
      <c r="I3047" s="91" t="str">
        <f t="shared" si="239"/>
        <v/>
      </c>
      <c r="J3047" s="91" t="str">
        <f t="shared" si="240"/>
        <v/>
      </c>
      <c r="K3047" s="92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2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58"/>
      <c r="U3047" s="217" t="str">
        <f t="shared" si="241"/>
        <v/>
      </c>
      <c r="V3047" s="215" t="s">
        <v>47</v>
      </c>
      <c r="W3047" s="102" t="s">
        <v>136</v>
      </c>
      <c r="X3047" s="102" t="s">
        <v>137</v>
      </c>
      <c r="Y3047" s="103" t="s">
        <v>138</v>
      </c>
      <c r="Z3047" s="103" t="s">
        <v>139</v>
      </c>
      <c r="AA3047" s="103" t="s">
        <v>47</v>
      </c>
      <c r="AB3047" s="103" t="s">
        <v>140</v>
      </c>
      <c r="AC3047" s="104" t="s">
        <v>141</v>
      </c>
    </row>
    <row r="3048" spans="1:29" ht="25.5" customHeight="1" x14ac:dyDescent="0.35">
      <c r="A3048" s="188"/>
      <c r="B3048" s="190"/>
      <c r="C3048" s="99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0"/>
      <c r="E3048" s="78" t="str">
        <f>IF(C3048="","",IFERROR(VLOOKUP(C3048,parametros!$A$11:$E$15,5,0),""))</f>
        <v/>
      </c>
      <c r="F3048" s="79" t="str">
        <f t="shared" si="237"/>
        <v/>
      </c>
      <c r="G3048" s="101"/>
      <c r="H3048" s="91">
        <f t="shared" si="238"/>
        <v>0</v>
      </c>
      <c r="I3048" s="91" t="str">
        <f t="shared" si="239"/>
        <v/>
      </c>
      <c r="J3048" s="91" t="str">
        <f t="shared" si="240"/>
        <v/>
      </c>
      <c r="K3048" s="92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2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58"/>
      <c r="U3048" s="217" t="str">
        <f t="shared" si="241"/>
        <v/>
      </c>
      <c r="V3048" s="215" t="s">
        <v>47</v>
      </c>
      <c r="W3048" s="102" t="s">
        <v>136</v>
      </c>
      <c r="X3048" s="102" t="s">
        <v>137</v>
      </c>
      <c r="Y3048" s="103" t="s">
        <v>138</v>
      </c>
      <c r="Z3048" s="103" t="s">
        <v>139</v>
      </c>
      <c r="AA3048" s="103" t="s">
        <v>47</v>
      </c>
      <c r="AB3048" s="103" t="s">
        <v>140</v>
      </c>
      <c r="AC3048" s="104" t="s">
        <v>141</v>
      </c>
    </row>
    <row r="3049" spans="1:29" ht="25.5" customHeight="1" x14ac:dyDescent="0.35">
      <c r="A3049" s="188"/>
      <c r="B3049" s="190"/>
      <c r="C3049" s="99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0"/>
      <c r="E3049" s="78" t="str">
        <f>IF(C3049="","",IFERROR(VLOOKUP(C3049,parametros!$A$11:$E$15,5,0),""))</f>
        <v/>
      </c>
      <c r="F3049" s="79" t="str">
        <f t="shared" si="237"/>
        <v/>
      </c>
      <c r="G3049" s="101"/>
      <c r="H3049" s="91">
        <f t="shared" si="238"/>
        <v>0</v>
      </c>
      <c r="I3049" s="91" t="str">
        <f t="shared" si="239"/>
        <v/>
      </c>
      <c r="J3049" s="91" t="str">
        <f t="shared" si="240"/>
        <v/>
      </c>
      <c r="K3049" s="92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2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58"/>
      <c r="U3049" s="217" t="str">
        <f t="shared" si="241"/>
        <v/>
      </c>
      <c r="V3049" s="215" t="s">
        <v>47</v>
      </c>
      <c r="W3049" s="102" t="s">
        <v>136</v>
      </c>
      <c r="X3049" s="102" t="s">
        <v>137</v>
      </c>
      <c r="Y3049" s="103" t="s">
        <v>138</v>
      </c>
      <c r="Z3049" s="103" t="s">
        <v>139</v>
      </c>
      <c r="AA3049" s="103" t="s">
        <v>47</v>
      </c>
      <c r="AB3049" s="103" t="s">
        <v>140</v>
      </c>
      <c r="AC3049" s="104" t="s">
        <v>141</v>
      </c>
    </row>
    <row r="3050" spans="1:29" ht="25.5" customHeight="1" x14ac:dyDescent="0.35">
      <c r="A3050" s="188"/>
      <c r="B3050" s="190"/>
      <c r="C3050" s="99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0"/>
      <c r="E3050" s="78" t="str">
        <f>IF(C3050="","",IFERROR(VLOOKUP(C3050,parametros!$A$11:$E$15,5,0),""))</f>
        <v/>
      </c>
      <c r="F3050" s="79" t="str">
        <f t="shared" si="237"/>
        <v/>
      </c>
      <c r="G3050" s="101"/>
      <c r="H3050" s="91">
        <f t="shared" si="238"/>
        <v>0</v>
      </c>
      <c r="I3050" s="91" t="str">
        <f t="shared" si="239"/>
        <v/>
      </c>
      <c r="J3050" s="91" t="str">
        <f t="shared" si="240"/>
        <v/>
      </c>
      <c r="K3050" s="92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2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58"/>
      <c r="U3050" s="217" t="str">
        <f t="shared" si="241"/>
        <v/>
      </c>
      <c r="V3050" s="215" t="s">
        <v>47</v>
      </c>
      <c r="W3050" s="102" t="s">
        <v>136</v>
      </c>
      <c r="X3050" s="102" t="s">
        <v>137</v>
      </c>
      <c r="Y3050" s="103" t="s">
        <v>138</v>
      </c>
      <c r="Z3050" s="103" t="s">
        <v>139</v>
      </c>
      <c r="AA3050" s="103" t="s">
        <v>47</v>
      </c>
      <c r="AB3050" s="103" t="s">
        <v>140</v>
      </c>
      <c r="AC3050" s="104" t="s">
        <v>141</v>
      </c>
    </row>
    <row r="3051" spans="1:29" ht="25.5" customHeight="1" x14ac:dyDescent="0.35">
      <c r="A3051" s="188"/>
      <c r="B3051" s="190"/>
      <c r="C3051" s="99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0"/>
      <c r="E3051" s="78" t="str">
        <f>IF(C3051="","",IFERROR(VLOOKUP(C3051,parametros!$A$11:$E$15,5,0),""))</f>
        <v/>
      </c>
      <c r="F3051" s="79" t="str">
        <f t="shared" si="237"/>
        <v/>
      </c>
      <c r="G3051" s="101"/>
      <c r="H3051" s="91">
        <f t="shared" si="238"/>
        <v>0</v>
      </c>
      <c r="I3051" s="91" t="str">
        <f t="shared" si="239"/>
        <v/>
      </c>
      <c r="J3051" s="91" t="str">
        <f t="shared" si="240"/>
        <v/>
      </c>
      <c r="K3051" s="92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2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58"/>
      <c r="U3051" s="217" t="str">
        <f t="shared" si="241"/>
        <v/>
      </c>
      <c r="V3051" s="215" t="s">
        <v>47</v>
      </c>
      <c r="W3051" s="102" t="s">
        <v>136</v>
      </c>
      <c r="X3051" s="102" t="s">
        <v>137</v>
      </c>
      <c r="Y3051" s="103" t="s">
        <v>138</v>
      </c>
      <c r="Z3051" s="103" t="s">
        <v>139</v>
      </c>
      <c r="AA3051" s="103" t="s">
        <v>47</v>
      </c>
      <c r="AB3051" s="103" t="s">
        <v>140</v>
      </c>
      <c r="AC3051" s="104" t="s">
        <v>141</v>
      </c>
    </row>
    <row r="3052" spans="1:29" ht="25.5" customHeight="1" x14ac:dyDescent="0.35">
      <c r="A3052" s="188"/>
      <c r="B3052" s="190"/>
      <c r="C3052" s="99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0"/>
      <c r="E3052" s="78" t="str">
        <f>IF(C3052="","",IFERROR(VLOOKUP(C3052,parametros!$A$11:$E$15,5,0),""))</f>
        <v/>
      </c>
      <c r="F3052" s="79" t="str">
        <f t="shared" si="237"/>
        <v/>
      </c>
      <c r="G3052" s="101"/>
      <c r="H3052" s="91">
        <f t="shared" si="238"/>
        <v>0</v>
      </c>
      <c r="I3052" s="91" t="str">
        <f t="shared" si="239"/>
        <v/>
      </c>
      <c r="J3052" s="91" t="str">
        <f t="shared" si="240"/>
        <v/>
      </c>
      <c r="K3052" s="92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2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58"/>
      <c r="U3052" s="217" t="str">
        <f t="shared" si="241"/>
        <v/>
      </c>
      <c r="V3052" s="215" t="s">
        <v>47</v>
      </c>
      <c r="W3052" s="102" t="s">
        <v>136</v>
      </c>
      <c r="X3052" s="102" t="s">
        <v>137</v>
      </c>
      <c r="Y3052" s="103" t="s">
        <v>138</v>
      </c>
      <c r="Z3052" s="103" t="s">
        <v>139</v>
      </c>
      <c r="AA3052" s="103" t="s">
        <v>47</v>
      </c>
      <c r="AB3052" s="103" t="s">
        <v>140</v>
      </c>
      <c r="AC3052" s="104" t="s">
        <v>141</v>
      </c>
    </row>
    <row r="3053" spans="1:29" ht="25.5" customHeight="1" x14ac:dyDescent="0.35">
      <c r="A3053" s="188"/>
      <c r="B3053" s="190"/>
      <c r="C3053" s="99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0"/>
      <c r="E3053" s="78" t="str">
        <f>IF(C3053="","",IFERROR(VLOOKUP(C3053,parametros!$A$11:$E$15,5,0),""))</f>
        <v/>
      </c>
      <c r="F3053" s="79" t="str">
        <f t="shared" si="237"/>
        <v/>
      </c>
      <c r="G3053" s="101"/>
      <c r="H3053" s="91">
        <f t="shared" si="238"/>
        <v>0</v>
      </c>
      <c r="I3053" s="91" t="str">
        <f t="shared" si="239"/>
        <v/>
      </c>
      <c r="J3053" s="91" t="str">
        <f t="shared" si="240"/>
        <v/>
      </c>
      <c r="K3053" s="92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2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58"/>
      <c r="U3053" s="217" t="str">
        <f t="shared" si="241"/>
        <v/>
      </c>
      <c r="V3053" s="215" t="s">
        <v>47</v>
      </c>
      <c r="W3053" s="102" t="s">
        <v>136</v>
      </c>
      <c r="X3053" s="102" t="s">
        <v>137</v>
      </c>
      <c r="Y3053" s="103" t="s">
        <v>138</v>
      </c>
      <c r="Z3053" s="103" t="s">
        <v>139</v>
      </c>
      <c r="AA3053" s="103" t="s">
        <v>47</v>
      </c>
      <c r="AB3053" s="103" t="s">
        <v>140</v>
      </c>
      <c r="AC3053" s="104" t="s">
        <v>141</v>
      </c>
    </row>
    <row r="3054" spans="1:29" ht="25.5" customHeight="1" x14ac:dyDescent="0.35">
      <c r="A3054" s="188"/>
      <c r="B3054" s="190"/>
      <c r="C3054" s="99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0"/>
      <c r="E3054" s="78" t="str">
        <f>IF(C3054="","",IFERROR(VLOOKUP(C3054,parametros!$A$11:$E$15,5,0),""))</f>
        <v/>
      </c>
      <c r="F3054" s="79" t="str">
        <f t="shared" si="237"/>
        <v/>
      </c>
      <c r="G3054" s="101"/>
      <c r="H3054" s="91">
        <f t="shared" si="238"/>
        <v>0</v>
      </c>
      <c r="I3054" s="91" t="str">
        <f t="shared" si="239"/>
        <v/>
      </c>
      <c r="J3054" s="91" t="str">
        <f t="shared" si="240"/>
        <v/>
      </c>
      <c r="K3054" s="92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2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58"/>
      <c r="U3054" s="217" t="str">
        <f t="shared" si="241"/>
        <v/>
      </c>
      <c r="V3054" s="215" t="s">
        <v>47</v>
      </c>
      <c r="W3054" s="102" t="s">
        <v>136</v>
      </c>
      <c r="X3054" s="102" t="s">
        <v>137</v>
      </c>
      <c r="Y3054" s="103" t="s">
        <v>138</v>
      </c>
      <c r="Z3054" s="103" t="s">
        <v>139</v>
      </c>
      <c r="AA3054" s="103" t="s">
        <v>47</v>
      </c>
      <c r="AB3054" s="103" t="s">
        <v>140</v>
      </c>
      <c r="AC3054" s="104" t="s">
        <v>141</v>
      </c>
    </row>
    <row r="3055" spans="1:29" ht="25.5" customHeight="1" x14ac:dyDescent="0.35">
      <c r="A3055" s="188"/>
      <c r="B3055" s="190"/>
      <c r="C3055" s="99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0"/>
      <c r="E3055" s="78" t="str">
        <f>IF(C3055="","",IFERROR(VLOOKUP(C3055,parametros!$A$11:$E$15,5,0),""))</f>
        <v/>
      </c>
      <c r="F3055" s="79" t="str">
        <f t="shared" si="237"/>
        <v/>
      </c>
      <c r="G3055" s="101"/>
      <c r="H3055" s="91">
        <f t="shared" si="238"/>
        <v>0</v>
      </c>
      <c r="I3055" s="91" t="str">
        <f t="shared" si="239"/>
        <v/>
      </c>
      <c r="J3055" s="91" t="str">
        <f t="shared" si="240"/>
        <v/>
      </c>
      <c r="K3055" s="92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2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58"/>
      <c r="U3055" s="217" t="str">
        <f t="shared" si="241"/>
        <v/>
      </c>
      <c r="V3055" s="215" t="s">
        <v>47</v>
      </c>
      <c r="W3055" s="102" t="s">
        <v>136</v>
      </c>
      <c r="X3055" s="102" t="s">
        <v>137</v>
      </c>
      <c r="Y3055" s="103" t="s">
        <v>138</v>
      </c>
      <c r="Z3055" s="103" t="s">
        <v>139</v>
      </c>
      <c r="AA3055" s="103" t="s">
        <v>47</v>
      </c>
      <c r="AB3055" s="103" t="s">
        <v>140</v>
      </c>
      <c r="AC3055" s="104" t="s">
        <v>141</v>
      </c>
    </row>
    <row r="3056" spans="1:29" ht="25.5" customHeight="1" x14ac:dyDescent="0.35">
      <c r="A3056" s="188"/>
      <c r="B3056" s="190"/>
      <c r="C3056" s="99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0"/>
      <c r="E3056" s="78" t="str">
        <f>IF(C3056="","",IFERROR(VLOOKUP(C3056,parametros!$A$11:$E$15,5,0),""))</f>
        <v/>
      </c>
      <c r="F3056" s="79" t="str">
        <f t="shared" si="237"/>
        <v/>
      </c>
      <c r="G3056" s="101"/>
      <c r="H3056" s="91">
        <f t="shared" si="238"/>
        <v>0</v>
      </c>
      <c r="I3056" s="91" t="str">
        <f t="shared" si="239"/>
        <v/>
      </c>
      <c r="J3056" s="91" t="str">
        <f t="shared" si="240"/>
        <v/>
      </c>
      <c r="K3056" s="92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2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58"/>
      <c r="U3056" s="217" t="str">
        <f t="shared" si="241"/>
        <v/>
      </c>
      <c r="V3056" s="215" t="s">
        <v>47</v>
      </c>
      <c r="W3056" s="102" t="s">
        <v>136</v>
      </c>
      <c r="X3056" s="102" t="s">
        <v>137</v>
      </c>
      <c r="Y3056" s="103" t="s">
        <v>138</v>
      </c>
      <c r="Z3056" s="103" t="s">
        <v>139</v>
      </c>
      <c r="AA3056" s="103" t="s">
        <v>47</v>
      </c>
      <c r="AB3056" s="103" t="s">
        <v>140</v>
      </c>
      <c r="AC3056" s="104" t="s">
        <v>141</v>
      </c>
    </row>
    <row r="3057" spans="1:29" ht="25.5" customHeight="1" x14ac:dyDescent="0.35">
      <c r="A3057" s="188"/>
      <c r="B3057" s="190"/>
      <c r="C3057" s="99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0"/>
      <c r="E3057" s="78" t="str">
        <f>IF(C3057="","",IFERROR(VLOOKUP(C3057,parametros!$A$11:$E$15,5,0),""))</f>
        <v/>
      </c>
      <c r="F3057" s="79" t="str">
        <f t="shared" si="237"/>
        <v/>
      </c>
      <c r="G3057" s="101"/>
      <c r="H3057" s="91">
        <f t="shared" si="238"/>
        <v>0</v>
      </c>
      <c r="I3057" s="91" t="str">
        <f t="shared" si="239"/>
        <v/>
      </c>
      <c r="J3057" s="91" t="str">
        <f t="shared" si="240"/>
        <v/>
      </c>
      <c r="K3057" s="92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2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58"/>
      <c r="U3057" s="217" t="str">
        <f t="shared" si="241"/>
        <v/>
      </c>
      <c r="V3057" s="215" t="s">
        <v>47</v>
      </c>
      <c r="W3057" s="102" t="s">
        <v>136</v>
      </c>
      <c r="X3057" s="102" t="s">
        <v>137</v>
      </c>
      <c r="Y3057" s="103" t="s">
        <v>138</v>
      </c>
      <c r="Z3057" s="103" t="s">
        <v>139</v>
      </c>
      <c r="AA3057" s="103" t="s">
        <v>47</v>
      </c>
      <c r="AB3057" s="103" t="s">
        <v>140</v>
      </c>
      <c r="AC3057" s="104" t="s">
        <v>141</v>
      </c>
    </row>
    <row r="3058" spans="1:29" ht="25.5" customHeight="1" x14ac:dyDescent="0.35">
      <c r="A3058" s="188"/>
      <c r="B3058" s="190"/>
      <c r="C3058" s="99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0"/>
      <c r="E3058" s="78" t="str">
        <f>IF(C3058="","",IFERROR(VLOOKUP(C3058,parametros!$A$11:$E$15,5,0),""))</f>
        <v/>
      </c>
      <c r="F3058" s="79" t="str">
        <f t="shared" si="237"/>
        <v/>
      </c>
      <c r="G3058" s="101"/>
      <c r="H3058" s="91">
        <f t="shared" si="238"/>
        <v>0</v>
      </c>
      <c r="I3058" s="91" t="str">
        <f t="shared" si="239"/>
        <v/>
      </c>
      <c r="J3058" s="91" t="str">
        <f t="shared" si="240"/>
        <v/>
      </c>
      <c r="K3058" s="92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2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58"/>
      <c r="U3058" s="217" t="str">
        <f t="shared" si="241"/>
        <v/>
      </c>
      <c r="V3058" s="215" t="s">
        <v>47</v>
      </c>
      <c r="W3058" s="102" t="s">
        <v>136</v>
      </c>
      <c r="X3058" s="102" t="s">
        <v>137</v>
      </c>
      <c r="Y3058" s="103" t="s">
        <v>138</v>
      </c>
      <c r="Z3058" s="103" t="s">
        <v>139</v>
      </c>
      <c r="AA3058" s="103" t="s">
        <v>47</v>
      </c>
      <c r="AB3058" s="103" t="s">
        <v>140</v>
      </c>
      <c r="AC3058" s="104" t="s">
        <v>141</v>
      </c>
    </row>
    <row r="3059" spans="1:29" ht="25.5" customHeight="1" x14ac:dyDescent="0.35">
      <c r="A3059" s="188"/>
      <c r="B3059" s="190"/>
      <c r="C3059" s="99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0"/>
      <c r="E3059" s="78" t="str">
        <f>IF(C3059="","",IFERROR(VLOOKUP(C3059,parametros!$A$11:$E$15,5,0),""))</f>
        <v/>
      </c>
      <c r="F3059" s="79" t="str">
        <f t="shared" si="237"/>
        <v/>
      </c>
      <c r="G3059" s="101"/>
      <c r="H3059" s="91">
        <f t="shared" si="238"/>
        <v>0</v>
      </c>
      <c r="I3059" s="91" t="str">
        <f t="shared" si="239"/>
        <v/>
      </c>
      <c r="J3059" s="91" t="str">
        <f t="shared" si="240"/>
        <v/>
      </c>
      <c r="K3059" s="92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2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58"/>
      <c r="U3059" s="217" t="str">
        <f t="shared" si="241"/>
        <v/>
      </c>
      <c r="V3059" s="215" t="s">
        <v>47</v>
      </c>
      <c r="W3059" s="102" t="s">
        <v>136</v>
      </c>
      <c r="X3059" s="102" t="s">
        <v>137</v>
      </c>
      <c r="Y3059" s="103" t="s">
        <v>138</v>
      </c>
      <c r="Z3059" s="103" t="s">
        <v>139</v>
      </c>
      <c r="AA3059" s="103" t="s">
        <v>47</v>
      </c>
      <c r="AB3059" s="103" t="s">
        <v>140</v>
      </c>
      <c r="AC3059" s="104" t="s">
        <v>141</v>
      </c>
    </row>
    <row r="3060" spans="1:29" ht="25.5" customHeight="1" x14ac:dyDescent="0.35">
      <c r="A3060" s="188"/>
      <c r="B3060" s="190"/>
      <c r="C3060" s="99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0"/>
      <c r="E3060" s="78" t="str">
        <f>IF(C3060="","",IFERROR(VLOOKUP(C3060,parametros!$A$11:$E$15,5,0),""))</f>
        <v/>
      </c>
      <c r="F3060" s="79" t="str">
        <f t="shared" si="237"/>
        <v/>
      </c>
      <c r="G3060" s="101"/>
      <c r="H3060" s="91">
        <f t="shared" si="238"/>
        <v>0</v>
      </c>
      <c r="I3060" s="91" t="str">
        <f t="shared" si="239"/>
        <v/>
      </c>
      <c r="J3060" s="91" t="str">
        <f t="shared" si="240"/>
        <v/>
      </c>
      <c r="K3060" s="92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2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58"/>
      <c r="U3060" s="217" t="str">
        <f t="shared" si="241"/>
        <v/>
      </c>
      <c r="V3060" s="215" t="s">
        <v>47</v>
      </c>
      <c r="W3060" s="102" t="s">
        <v>136</v>
      </c>
      <c r="X3060" s="102" t="s">
        <v>137</v>
      </c>
      <c r="Y3060" s="103" t="s">
        <v>138</v>
      </c>
      <c r="Z3060" s="103" t="s">
        <v>139</v>
      </c>
      <c r="AA3060" s="103" t="s">
        <v>47</v>
      </c>
      <c r="AB3060" s="103" t="s">
        <v>140</v>
      </c>
      <c r="AC3060" s="104" t="s">
        <v>141</v>
      </c>
    </row>
    <row r="3061" spans="1:29" ht="25.5" customHeight="1" x14ac:dyDescent="0.35">
      <c r="A3061" s="188"/>
      <c r="B3061" s="190"/>
      <c r="C3061" s="99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0"/>
      <c r="E3061" s="78" t="str">
        <f>IF(C3061="","",IFERROR(VLOOKUP(C3061,parametros!$A$11:$E$15,5,0),""))</f>
        <v/>
      </c>
      <c r="F3061" s="79" t="str">
        <f t="shared" si="237"/>
        <v/>
      </c>
      <c r="G3061" s="101"/>
      <c r="H3061" s="91">
        <f t="shared" si="238"/>
        <v>0</v>
      </c>
      <c r="I3061" s="91" t="str">
        <f t="shared" si="239"/>
        <v/>
      </c>
      <c r="J3061" s="91" t="str">
        <f t="shared" si="240"/>
        <v/>
      </c>
      <c r="K3061" s="92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2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58"/>
      <c r="U3061" s="217" t="str">
        <f t="shared" si="241"/>
        <v/>
      </c>
      <c r="V3061" s="215" t="s">
        <v>47</v>
      </c>
      <c r="W3061" s="102" t="s">
        <v>136</v>
      </c>
      <c r="X3061" s="102" t="s">
        <v>137</v>
      </c>
      <c r="Y3061" s="103" t="s">
        <v>138</v>
      </c>
      <c r="Z3061" s="103" t="s">
        <v>139</v>
      </c>
      <c r="AA3061" s="103" t="s">
        <v>47</v>
      </c>
      <c r="AB3061" s="103" t="s">
        <v>140</v>
      </c>
      <c r="AC3061" s="104" t="s">
        <v>141</v>
      </c>
    </row>
    <row r="3062" spans="1:29" ht="25.5" customHeight="1" x14ac:dyDescent="0.35">
      <c r="A3062" s="188"/>
      <c r="B3062" s="190"/>
      <c r="C3062" s="99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0"/>
      <c r="E3062" s="78" t="str">
        <f>IF(C3062="","",IFERROR(VLOOKUP(C3062,parametros!$A$11:$E$15,5,0),""))</f>
        <v/>
      </c>
      <c r="F3062" s="79" t="str">
        <f t="shared" si="237"/>
        <v/>
      </c>
      <c r="G3062" s="101"/>
      <c r="H3062" s="91">
        <f t="shared" si="238"/>
        <v>0</v>
      </c>
      <c r="I3062" s="91" t="str">
        <f t="shared" si="239"/>
        <v/>
      </c>
      <c r="J3062" s="91" t="str">
        <f t="shared" si="240"/>
        <v/>
      </c>
      <c r="K3062" s="92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2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58"/>
      <c r="U3062" s="217" t="str">
        <f t="shared" si="241"/>
        <v/>
      </c>
      <c r="V3062" s="215" t="s">
        <v>47</v>
      </c>
      <c r="W3062" s="102" t="s">
        <v>136</v>
      </c>
      <c r="X3062" s="102" t="s">
        <v>137</v>
      </c>
      <c r="Y3062" s="103" t="s">
        <v>138</v>
      </c>
      <c r="Z3062" s="103" t="s">
        <v>139</v>
      </c>
      <c r="AA3062" s="103" t="s">
        <v>47</v>
      </c>
      <c r="AB3062" s="103" t="s">
        <v>140</v>
      </c>
      <c r="AC3062" s="104" t="s">
        <v>141</v>
      </c>
    </row>
    <row r="3063" spans="1:29" ht="25.5" customHeight="1" x14ac:dyDescent="0.35">
      <c r="A3063" s="188"/>
      <c r="B3063" s="190"/>
      <c r="C3063" s="99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0"/>
      <c r="E3063" s="78" t="str">
        <f>IF(C3063="","",IFERROR(VLOOKUP(C3063,parametros!$A$11:$E$15,5,0),""))</f>
        <v/>
      </c>
      <c r="F3063" s="79" t="str">
        <f t="shared" si="237"/>
        <v/>
      </c>
      <c r="G3063" s="101"/>
      <c r="H3063" s="91">
        <f t="shared" si="238"/>
        <v>0</v>
      </c>
      <c r="I3063" s="91" t="str">
        <f t="shared" si="239"/>
        <v/>
      </c>
      <c r="J3063" s="91" t="str">
        <f t="shared" si="240"/>
        <v/>
      </c>
      <c r="K3063" s="92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2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58"/>
      <c r="U3063" s="217" t="str">
        <f t="shared" si="241"/>
        <v/>
      </c>
      <c r="V3063" s="215" t="s">
        <v>47</v>
      </c>
      <c r="W3063" s="102" t="s">
        <v>136</v>
      </c>
      <c r="X3063" s="102" t="s">
        <v>137</v>
      </c>
      <c r="Y3063" s="103" t="s">
        <v>138</v>
      </c>
      <c r="Z3063" s="103" t="s">
        <v>139</v>
      </c>
      <c r="AA3063" s="103" t="s">
        <v>47</v>
      </c>
      <c r="AB3063" s="103" t="s">
        <v>140</v>
      </c>
      <c r="AC3063" s="104" t="s">
        <v>141</v>
      </c>
    </row>
    <row r="3064" spans="1:29" ht="25.5" customHeight="1" x14ac:dyDescent="0.35">
      <c r="A3064" s="188"/>
      <c r="B3064" s="190"/>
      <c r="C3064" s="99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0"/>
      <c r="E3064" s="78" t="str">
        <f>IF(C3064="","",IFERROR(VLOOKUP(C3064,parametros!$A$11:$E$15,5,0),""))</f>
        <v/>
      </c>
      <c r="F3064" s="79" t="str">
        <f t="shared" si="237"/>
        <v/>
      </c>
      <c r="G3064" s="101"/>
      <c r="H3064" s="91">
        <f t="shared" si="238"/>
        <v>0</v>
      </c>
      <c r="I3064" s="91" t="str">
        <f t="shared" si="239"/>
        <v/>
      </c>
      <c r="J3064" s="91" t="str">
        <f t="shared" si="240"/>
        <v/>
      </c>
      <c r="K3064" s="92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2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58"/>
      <c r="U3064" s="217" t="str">
        <f t="shared" si="241"/>
        <v/>
      </c>
      <c r="V3064" s="215" t="s">
        <v>47</v>
      </c>
      <c r="W3064" s="102" t="s">
        <v>136</v>
      </c>
      <c r="X3064" s="102" t="s">
        <v>137</v>
      </c>
      <c r="Y3064" s="103" t="s">
        <v>138</v>
      </c>
      <c r="Z3064" s="103" t="s">
        <v>139</v>
      </c>
      <c r="AA3064" s="103" t="s">
        <v>47</v>
      </c>
      <c r="AB3064" s="103" t="s">
        <v>140</v>
      </c>
      <c r="AC3064" s="104" t="s">
        <v>141</v>
      </c>
    </row>
    <row r="3065" spans="1:29" ht="25.5" customHeight="1" x14ac:dyDescent="0.35">
      <c r="A3065" s="188"/>
      <c r="B3065" s="190"/>
      <c r="C3065" s="99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0"/>
      <c r="E3065" s="78" t="str">
        <f>IF(C3065="","",IFERROR(VLOOKUP(C3065,parametros!$A$11:$E$15,5,0),""))</f>
        <v/>
      </c>
      <c r="F3065" s="79" t="str">
        <f t="shared" si="237"/>
        <v/>
      </c>
      <c r="G3065" s="101"/>
      <c r="H3065" s="91">
        <f t="shared" si="238"/>
        <v>0</v>
      </c>
      <c r="I3065" s="91" t="str">
        <f t="shared" si="239"/>
        <v/>
      </c>
      <c r="J3065" s="91" t="str">
        <f t="shared" si="240"/>
        <v/>
      </c>
      <c r="K3065" s="92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2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58"/>
      <c r="U3065" s="217" t="str">
        <f t="shared" si="241"/>
        <v/>
      </c>
      <c r="V3065" s="215" t="s">
        <v>47</v>
      </c>
      <c r="W3065" s="102" t="s">
        <v>136</v>
      </c>
      <c r="X3065" s="102" t="s">
        <v>137</v>
      </c>
      <c r="Y3065" s="103" t="s">
        <v>138</v>
      </c>
      <c r="Z3065" s="103" t="s">
        <v>139</v>
      </c>
      <c r="AA3065" s="103" t="s">
        <v>47</v>
      </c>
      <c r="AB3065" s="103" t="s">
        <v>140</v>
      </c>
      <c r="AC3065" s="104" t="s">
        <v>141</v>
      </c>
    </row>
    <row r="3066" spans="1:29" ht="25.5" customHeight="1" x14ac:dyDescent="0.35">
      <c r="A3066" s="188"/>
      <c r="B3066" s="190"/>
      <c r="C3066" s="99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0"/>
      <c r="E3066" s="78" t="str">
        <f>IF(C3066="","",IFERROR(VLOOKUP(C3066,parametros!$A$11:$E$15,5,0),""))</f>
        <v/>
      </c>
      <c r="F3066" s="79" t="str">
        <f t="shared" si="237"/>
        <v/>
      </c>
      <c r="G3066" s="101"/>
      <c r="H3066" s="91">
        <f t="shared" si="238"/>
        <v>0</v>
      </c>
      <c r="I3066" s="91" t="str">
        <f t="shared" si="239"/>
        <v/>
      </c>
      <c r="J3066" s="91" t="str">
        <f t="shared" si="240"/>
        <v/>
      </c>
      <c r="K3066" s="92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2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58"/>
      <c r="U3066" s="217" t="str">
        <f t="shared" si="241"/>
        <v/>
      </c>
      <c r="V3066" s="215" t="s">
        <v>47</v>
      </c>
      <c r="W3066" s="102" t="s">
        <v>136</v>
      </c>
      <c r="X3066" s="102" t="s">
        <v>137</v>
      </c>
      <c r="Y3066" s="103" t="s">
        <v>138</v>
      </c>
      <c r="Z3066" s="103" t="s">
        <v>139</v>
      </c>
      <c r="AA3066" s="103" t="s">
        <v>47</v>
      </c>
      <c r="AB3066" s="103" t="s">
        <v>140</v>
      </c>
      <c r="AC3066" s="104" t="s">
        <v>141</v>
      </c>
    </row>
    <row r="3067" spans="1:29" ht="25.5" customHeight="1" x14ac:dyDescent="0.35">
      <c r="A3067" s="188"/>
      <c r="B3067" s="190"/>
      <c r="C3067" s="99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0"/>
      <c r="E3067" s="78" t="str">
        <f>IF(C3067="","",IFERROR(VLOOKUP(C3067,parametros!$A$11:$E$15,5,0),""))</f>
        <v/>
      </c>
      <c r="F3067" s="79" t="str">
        <f t="shared" si="237"/>
        <v/>
      </c>
      <c r="G3067" s="101"/>
      <c r="H3067" s="91">
        <f t="shared" si="238"/>
        <v>0</v>
      </c>
      <c r="I3067" s="91" t="str">
        <f t="shared" si="239"/>
        <v/>
      </c>
      <c r="J3067" s="91" t="str">
        <f t="shared" si="240"/>
        <v/>
      </c>
      <c r="K3067" s="92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2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58"/>
      <c r="U3067" s="217" t="str">
        <f t="shared" si="241"/>
        <v/>
      </c>
      <c r="V3067" s="215" t="s">
        <v>47</v>
      </c>
      <c r="W3067" s="102" t="s">
        <v>136</v>
      </c>
      <c r="X3067" s="102" t="s">
        <v>137</v>
      </c>
      <c r="Y3067" s="103" t="s">
        <v>138</v>
      </c>
      <c r="Z3067" s="103" t="s">
        <v>139</v>
      </c>
      <c r="AA3067" s="103" t="s">
        <v>47</v>
      </c>
      <c r="AB3067" s="103" t="s">
        <v>140</v>
      </c>
      <c r="AC3067" s="104" t="s">
        <v>141</v>
      </c>
    </row>
    <row r="3068" spans="1:29" ht="25.5" customHeight="1" x14ac:dyDescent="0.35">
      <c r="A3068" s="188"/>
      <c r="B3068" s="190"/>
      <c r="C3068" s="99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0"/>
      <c r="E3068" s="78" t="str">
        <f>IF(C3068="","",IFERROR(VLOOKUP(C3068,parametros!$A$11:$E$15,5,0),""))</f>
        <v/>
      </c>
      <c r="F3068" s="79" t="str">
        <f t="shared" si="237"/>
        <v/>
      </c>
      <c r="G3068" s="101"/>
      <c r="H3068" s="91">
        <f t="shared" si="238"/>
        <v>0</v>
      </c>
      <c r="I3068" s="91" t="str">
        <f t="shared" si="239"/>
        <v/>
      </c>
      <c r="J3068" s="91" t="str">
        <f t="shared" si="240"/>
        <v/>
      </c>
      <c r="K3068" s="92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2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58"/>
      <c r="U3068" s="217" t="str">
        <f t="shared" si="241"/>
        <v/>
      </c>
      <c r="V3068" s="215" t="s">
        <v>47</v>
      </c>
      <c r="W3068" s="102" t="s">
        <v>136</v>
      </c>
      <c r="X3068" s="102" t="s">
        <v>137</v>
      </c>
      <c r="Y3068" s="103" t="s">
        <v>138</v>
      </c>
      <c r="Z3068" s="103" t="s">
        <v>139</v>
      </c>
      <c r="AA3068" s="103" t="s">
        <v>47</v>
      </c>
      <c r="AB3068" s="103" t="s">
        <v>140</v>
      </c>
      <c r="AC3068" s="104" t="s">
        <v>141</v>
      </c>
    </row>
    <row r="3069" spans="1:29" ht="25.5" customHeight="1" x14ac:dyDescent="0.35">
      <c r="A3069" s="188"/>
      <c r="B3069" s="190"/>
      <c r="C3069" s="99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0"/>
      <c r="E3069" s="78" t="str">
        <f>IF(C3069="","",IFERROR(VLOOKUP(C3069,parametros!$A$11:$E$15,5,0),""))</f>
        <v/>
      </c>
      <c r="F3069" s="79" t="str">
        <f t="shared" si="237"/>
        <v/>
      </c>
      <c r="G3069" s="101"/>
      <c r="H3069" s="91">
        <f t="shared" si="238"/>
        <v>0</v>
      </c>
      <c r="I3069" s="91" t="str">
        <f t="shared" si="239"/>
        <v/>
      </c>
      <c r="J3069" s="91" t="str">
        <f t="shared" si="240"/>
        <v/>
      </c>
      <c r="K3069" s="92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2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58"/>
      <c r="U3069" s="217" t="str">
        <f t="shared" si="241"/>
        <v/>
      </c>
      <c r="V3069" s="215" t="s">
        <v>47</v>
      </c>
      <c r="W3069" s="102" t="s">
        <v>136</v>
      </c>
      <c r="X3069" s="102" t="s">
        <v>137</v>
      </c>
      <c r="Y3069" s="103" t="s">
        <v>138</v>
      </c>
      <c r="Z3069" s="103" t="s">
        <v>139</v>
      </c>
      <c r="AA3069" s="103" t="s">
        <v>47</v>
      </c>
      <c r="AB3069" s="103" t="s">
        <v>140</v>
      </c>
      <c r="AC3069" s="104" t="s">
        <v>141</v>
      </c>
    </row>
    <row r="3070" spans="1:29" ht="25.5" customHeight="1" x14ac:dyDescent="0.35">
      <c r="A3070" s="188"/>
      <c r="B3070" s="190"/>
      <c r="C3070" s="99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0"/>
      <c r="E3070" s="78" t="str">
        <f>IF(C3070="","",IFERROR(VLOOKUP(C3070,parametros!$A$11:$E$15,5,0),""))</f>
        <v/>
      </c>
      <c r="F3070" s="79" t="str">
        <f t="shared" si="237"/>
        <v/>
      </c>
      <c r="G3070" s="101"/>
      <c r="H3070" s="91">
        <f t="shared" si="238"/>
        <v>0</v>
      </c>
      <c r="I3070" s="91" t="str">
        <f t="shared" si="239"/>
        <v/>
      </c>
      <c r="J3070" s="91" t="str">
        <f t="shared" si="240"/>
        <v/>
      </c>
      <c r="K3070" s="92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2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58"/>
      <c r="U3070" s="217" t="str">
        <f t="shared" si="241"/>
        <v/>
      </c>
      <c r="V3070" s="215" t="s">
        <v>47</v>
      </c>
      <c r="W3070" s="102" t="s">
        <v>136</v>
      </c>
      <c r="X3070" s="102" t="s">
        <v>137</v>
      </c>
      <c r="Y3070" s="103" t="s">
        <v>138</v>
      </c>
      <c r="Z3070" s="103" t="s">
        <v>139</v>
      </c>
      <c r="AA3070" s="103" t="s">
        <v>47</v>
      </c>
      <c r="AB3070" s="103" t="s">
        <v>140</v>
      </c>
      <c r="AC3070" s="104" t="s">
        <v>141</v>
      </c>
    </row>
    <row r="3071" spans="1:29" ht="25.5" customHeight="1" x14ac:dyDescent="0.35">
      <c r="A3071" s="188"/>
      <c r="B3071" s="190"/>
      <c r="C3071" s="99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0"/>
      <c r="E3071" s="78" t="str">
        <f>IF(C3071="","",IFERROR(VLOOKUP(C3071,parametros!$A$11:$E$15,5,0),""))</f>
        <v/>
      </c>
      <c r="F3071" s="79" t="str">
        <f t="shared" si="237"/>
        <v/>
      </c>
      <c r="G3071" s="101"/>
      <c r="H3071" s="91">
        <f t="shared" si="238"/>
        <v>0</v>
      </c>
      <c r="I3071" s="91" t="str">
        <f t="shared" si="239"/>
        <v/>
      </c>
      <c r="J3071" s="91" t="str">
        <f t="shared" si="240"/>
        <v/>
      </c>
      <c r="K3071" s="92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2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58"/>
      <c r="U3071" s="217" t="str">
        <f t="shared" si="241"/>
        <v/>
      </c>
      <c r="V3071" s="215" t="s">
        <v>47</v>
      </c>
      <c r="W3071" s="102" t="s">
        <v>136</v>
      </c>
      <c r="X3071" s="102" t="s">
        <v>137</v>
      </c>
      <c r="Y3071" s="103" t="s">
        <v>138</v>
      </c>
      <c r="Z3071" s="103" t="s">
        <v>139</v>
      </c>
      <c r="AA3071" s="103" t="s">
        <v>47</v>
      </c>
      <c r="AB3071" s="103" t="s">
        <v>140</v>
      </c>
      <c r="AC3071" s="104" t="s">
        <v>141</v>
      </c>
    </row>
    <row r="3072" spans="1:29" ht="25.5" customHeight="1" x14ac:dyDescent="0.35">
      <c r="A3072" s="188"/>
      <c r="B3072" s="190"/>
      <c r="C3072" s="99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0"/>
      <c r="E3072" s="78" t="str">
        <f>IF(C3072="","",IFERROR(VLOOKUP(C3072,parametros!$A$11:$E$15,5,0),""))</f>
        <v/>
      </c>
      <c r="F3072" s="79" t="str">
        <f t="shared" si="237"/>
        <v/>
      </c>
      <c r="G3072" s="101"/>
      <c r="H3072" s="91">
        <f t="shared" si="238"/>
        <v>0</v>
      </c>
      <c r="I3072" s="91" t="str">
        <f t="shared" si="239"/>
        <v/>
      </c>
      <c r="J3072" s="91" t="str">
        <f t="shared" si="240"/>
        <v/>
      </c>
      <c r="K3072" s="92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2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58"/>
      <c r="U3072" s="217" t="str">
        <f t="shared" si="241"/>
        <v/>
      </c>
      <c r="V3072" s="215" t="s">
        <v>47</v>
      </c>
      <c r="W3072" s="102" t="s">
        <v>136</v>
      </c>
      <c r="X3072" s="102" t="s">
        <v>137</v>
      </c>
      <c r="Y3072" s="103" t="s">
        <v>138</v>
      </c>
      <c r="Z3072" s="103" t="s">
        <v>139</v>
      </c>
      <c r="AA3072" s="103" t="s">
        <v>47</v>
      </c>
      <c r="AB3072" s="103" t="s">
        <v>140</v>
      </c>
      <c r="AC3072" s="104" t="s">
        <v>141</v>
      </c>
    </row>
    <row r="3073" spans="1:29" ht="25.5" customHeight="1" x14ac:dyDescent="0.35">
      <c r="A3073" s="188"/>
      <c r="B3073" s="190"/>
      <c r="C3073" s="99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0"/>
      <c r="E3073" s="78" t="str">
        <f>IF(C3073="","",IFERROR(VLOOKUP(C3073,parametros!$A$11:$E$15,5,0),""))</f>
        <v/>
      </c>
      <c r="F3073" s="79" t="str">
        <f t="shared" si="237"/>
        <v/>
      </c>
      <c r="G3073" s="101"/>
      <c r="H3073" s="91">
        <f t="shared" si="238"/>
        <v>0</v>
      </c>
      <c r="I3073" s="91" t="str">
        <f t="shared" si="239"/>
        <v/>
      </c>
      <c r="J3073" s="91" t="str">
        <f t="shared" si="240"/>
        <v/>
      </c>
      <c r="K3073" s="92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2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58"/>
      <c r="U3073" s="217" t="str">
        <f t="shared" si="241"/>
        <v/>
      </c>
      <c r="V3073" s="215" t="s">
        <v>47</v>
      </c>
      <c r="W3073" s="102" t="s">
        <v>136</v>
      </c>
      <c r="X3073" s="102" t="s">
        <v>137</v>
      </c>
      <c r="Y3073" s="103" t="s">
        <v>138</v>
      </c>
      <c r="Z3073" s="103" t="s">
        <v>139</v>
      </c>
      <c r="AA3073" s="103" t="s">
        <v>47</v>
      </c>
      <c r="AB3073" s="103" t="s">
        <v>140</v>
      </c>
      <c r="AC3073" s="104" t="s">
        <v>141</v>
      </c>
    </row>
    <row r="3074" spans="1:29" ht="25.5" customHeight="1" x14ac:dyDescent="0.35">
      <c r="A3074" s="188"/>
      <c r="B3074" s="190"/>
      <c r="C3074" s="99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0"/>
      <c r="E3074" s="78" t="str">
        <f>IF(C3074="","",IFERROR(VLOOKUP(C3074,parametros!$A$11:$E$15,5,0),""))</f>
        <v/>
      </c>
      <c r="F3074" s="79" t="str">
        <f t="shared" ref="F3074:F3137" si="242">IF(OR(D3074="",E3074=""),"",ROUND(D3074*E3074,2))</f>
        <v/>
      </c>
      <c r="G3074" s="101"/>
      <c r="H3074" s="91">
        <f t="shared" ref="H3074:H3137" si="243">IF(G3074="Sim",IF(OR(F3074="",D3074="",L3074=""),"",IF(L3074="Sim",ROUND(F3074-D3074,2),0)),0)</f>
        <v>0</v>
      </c>
      <c r="I3074" s="91" t="str">
        <f t="shared" ref="I3074:I3137" si="244">IF(G3074="Sim",0,IF(OR(F3074="",L3074=""),"",F3074))</f>
        <v/>
      </c>
      <c r="J3074" s="91" t="str">
        <f t="shared" ref="J3074:J3137" si="245">IF(G3074="Sim",0,IF(OR(F3074="",D3074="",L3074=""),"",IF(L3074="Sim",ROUND(F3074-D3074,2),0)))</f>
        <v/>
      </c>
      <c r="K3074" s="92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2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58"/>
      <c r="U3074" s="217" t="str">
        <f t="shared" ref="U3074:U3137" si="246">IF(OR($D3074="",$H3074=""),"",ROUND($D3074+$H3074,2))</f>
        <v/>
      </c>
      <c r="V3074" s="215" t="s">
        <v>47</v>
      </c>
      <c r="W3074" s="102" t="s">
        <v>136</v>
      </c>
      <c r="X3074" s="102" t="s">
        <v>137</v>
      </c>
      <c r="Y3074" s="103" t="s">
        <v>138</v>
      </c>
      <c r="Z3074" s="103" t="s">
        <v>139</v>
      </c>
      <c r="AA3074" s="103" t="s">
        <v>47</v>
      </c>
      <c r="AB3074" s="103" t="s">
        <v>140</v>
      </c>
      <c r="AC3074" s="104" t="s">
        <v>141</v>
      </c>
    </row>
    <row r="3075" spans="1:29" ht="25.5" customHeight="1" x14ac:dyDescent="0.35">
      <c r="A3075" s="188"/>
      <c r="B3075" s="190"/>
      <c r="C3075" s="99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0"/>
      <c r="E3075" s="78" t="str">
        <f>IF(C3075="","",IFERROR(VLOOKUP(C3075,parametros!$A$11:$E$15,5,0),""))</f>
        <v/>
      </c>
      <c r="F3075" s="79" t="str">
        <f t="shared" si="242"/>
        <v/>
      </c>
      <c r="G3075" s="101"/>
      <c r="H3075" s="91">
        <f t="shared" si="243"/>
        <v>0</v>
      </c>
      <c r="I3075" s="91" t="str">
        <f t="shared" si="244"/>
        <v/>
      </c>
      <c r="J3075" s="91" t="str">
        <f t="shared" si="245"/>
        <v/>
      </c>
      <c r="K3075" s="92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2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58"/>
      <c r="U3075" s="217" t="str">
        <f t="shared" si="246"/>
        <v/>
      </c>
      <c r="V3075" s="215" t="s">
        <v>47</v>
      </c>
      <c r="W3075" s="102" t="s">
        <v>136</v>
      </c>
      <c r="X3075" s="102" t="s">
        <v>137</v>
      </c>
      <c r="Y3075" s="103" t="s">
        <v>138</v>
      </c>
      <c r="Z3075" s="103" t="s">
        <v>139</v>
      </c>
      <c r="AA3075" s="103" t="s">
        <v>47</v>
      </c>
      <c r="AB3075" s="103" t="s">
        <v>140</v>
      </c>
      <c r="AC3075" s="104" t="s">
        <v>141</v>
      </c>
    </row>
    <row r="3076" spans="1:29" ht="25.5" customHeight="1" x14ac:dyDescent="0.35">
      <c r="A3076" s="188"/>
      <c r="B3076" s="190"/>
      <c r="C3076" s="99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0"/>
      <c r="E3076" s="78" t="str">
        <f>IF(C3076="","",IFERROR(VLOOKUP(C3076,parametros!$A$11:$E$15,5,0),""))</f>
        <v/>
      </c>
      <c r="F3076" s="79" t="str">
        <f t="shared" si="242"/>
        <v/>
      </c>
      <c r="G3076" s="101"/>
      <c r="H3076" s="91">
        <f t="shared" si="243"/>
        <v>0</v>
      </c>
      <c r="I3076" s="91" t="str">
        <f t="shared" si="244"/>
        <v/>
      </c>
      <c r="J3076" s="91" t="str">
        <f t="shared" si="245"/>
        <v/>
      </c>
      <c r="K3076" s="92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2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58"/>
      <c r="U3076" s="217" t="str">
        <f t="shared" si="246"/>
        <v/>
      </c>
      <c r="V3076" s="215" t="s">
        <v>47</v>
      </c>
      <c r="W3076" s="102" t="s">
        <v>136</v>
      </c>
      <c r="X3076" s="102" t="s">
        <v>137</v>
      </c>
      <c r="Y3076" s="103" t="s">
        <v>138</v>
      </c>
      <c r="Z3076" s="103" t="s">
        <v>139</v>
      </c>
      <c r="AA3076" s="103" t="s">
        <v>47</v>
      </c>
      <c r="AB3076" s="103" t="s">
        <v>140</v>
      </c>
      <c r="AC3076" s="104" t="s">
        <v>141</v>
      </c>
    </row>
    <row r="3077" spans="1:29" ht="25.5" customHeight="1" x14ac:dyDescent="0.35">
      <c r="A3077" s="188"/>
      <c r="B3077" s="190"/>
      <c r="C3077" s="99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0"/>
      <c r="E3077" s="78" t="str">
        <f>IF(C3077="","",IFERROR(VLOOKUP(C3077,parametros!$A$11:$E$15,5,0),""))</f>
        <v/>
      </c>
      <c r="F3077" s="79" t="str">
        <f t="shared" si="242"/>
        <v/>
      </c>
      <c r="G3077" s="101"/>
      <c r="H3077" s="91">
        <f t="shared" si="243"/>
        <v>0</v>
      </c>
      <c r="I3077" s="91" t="str">
        <f t="shared" si="244"/>
        <v/>
      </c>
      <c r="J3077" s="91" t="str">
        <f t="shared" si="245"/>
        <v/>
      </c>
      <c r="K3077" s="92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2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58"/>
      <c r="U3077" s="217" t="str">
        <f t="shared" si="246"/>
        <v/>
      </c>
      <c r="V3077" s="215" t="s">
        <v>47</v>
      </c>
      <c r="W3077" s="102" t="s">
        <v>136</v>
      </c>
      <c r="X3077" s="102" t="s">
        <v>137</v>
      </c>
      <c r="Y3077" s="103" t="s">
        <v>138</v>
      </c>
      <c r="Z3077" s="103" t="s">
        <v>139</v>
      </c>
      <c r="AA3077" s="103" t="s">
        <v>47</v>
      </c>
      <c r="AB3077" s="103" t="s">
        <v>140</v>
      </c>
      <c r="AC3077" s="104" t="s">
        <v>141</v>
      </c>
    </row>
    <row r="3078" spans="1:29" ht="25.5" customHeight="1" x14ac:dyDescent="0.35">
      <c r="A3078" s="188"/>
      <c r="B3078" s="190"/>
      <c r="C3078" s="99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0"/>
      <c r="E3078" s="78" t="str">
        <f>IF(C3078="","",IFERROR(VLOOKUP(C3078,parametros!$A$11:$E$15,5,0),""))</f>
        <v/>
      </c>
      <c r="F3078" s="79" t="str">
        <f t="shared" si="242"/>
        <v/>
      </c>
      <c r="G3078" s="101"/>
      <c r="H3078" s="91">
        <f t="shared" si="243"/>
        <v>0</v>
      </c>
      <c r="I3078" s="91" t="str">
        <f t="shared" si="244"/>
        <v/>
      </c>
      <c r="J3078" s="91" t="str">
        <f t="shared" si="245"/>
        <v/>
      </c>
      <c r="K3078" s="92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2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58"/>
      <c r="U3078" s="217" t="str">
        <f t="shared" si="246"/>
        <v/>
      </c>
      <c r="V3078" s="215" t="s">
        <v>47</v>
      </c>
      <c r="W3078" s="102" t="s">
        <v>136</v>
      </c>
      <c r="X3078" s="102" t="s">
        <v>137</v>
      </c>
      <c r="Y3078" s="103" t="s">
        <v>138</v>
      </c>
      <c r="Z3078" s="103" t="s">
        <v>139</v>
      </c>
      <c r="AA3078" s="103" t="s">
        <v>47</v>
      </c>
      <c r="AB3078" s="103" t="s">
        <v>140</v>
      </c>
      <c r="AC3078" s="104" t="s">
        <v>141</v>
      </c>
    </row>
    <row r="3079" spans="1:29" ht="25.5" customHeight="1" x14ac:dyDescent="0.35">
      <c r="A3079" s="188"/>
      <c r="B3079" s="190"/>
      <c r="C3079" s="99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0"/>
      <c r="E3079" s="78" t="str">
        <f>IF(C3079="","",IFERROR(VLOOKUP(C3079,parametros!$A$11:$E$15,5,0),""))</f>
        <v/>
      </c>
      <c r="F3079" s="79" t="str">
        <f t="shared" si="242"/>
        <v/>
      </c>
      <c r="G3079" s="101"/>
      <c r="H3079" s="91">
        <f t="shared" si="243"/>
        <v>0</v>
      </c>
      <c r="I3079" s="91" t="str">
        <f t="shared" si="244"/>
        <v/>
      </c>
      <c r="J3079" s="91" t="str">
        <f t="shared" si="245"/>
        <v/>
      </c>
      <c r="K3079" s="92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2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58"/>
      <c r="U3079" s="217" t="str">
        <f t="shared" si="246"/>
        <v/>
      </c>
      <c r="V3079" s="215" t="s">
        <v>47</v>
      </c>
      <c r="W3079" s="102" t="s">
        <v>136</v>
      </c>
      <c r="X3079" s="102" t="s">
        <v>137</v>
      </c>
      <c r="Y3079" s="103" t="s">
        <v>138</v>
      </c>
      <c r="Z3079" s="103" t="s">
        <v>139</v>
      </c>
      <c r="AA3079" s="103" t="s">
        <v>47</v>
      </c>
      <c r="AB3079" s="103" t="s">
        <v>140</v>
      </c>
      <c r="AC3079" s="104" t="s">
        <v>141</v>
      </c>
    </row>
    <row r="3080" spans="1:29" ht="25.5" customHeight="1" x14ac:dyDescent="0.35">
      <c r="A3080" s="188"/>
      <c r="B3080" s="190"/>
      <c r="C3080" s="99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0"/>
      <c r="E3080" s="78" t="str">
        <f>IF(C3080="","",IFERROR(VLOOKUP(C3080,parametros!$A$11:$E$15,5,0),""))</f>
        <v/>
      </c>
      <c r="F3080" s="79" t="str">
        <f t="shared" si="242"/>
        <v/>
      </c>
      <c r="G3080" s="101"/>
      <c r="H3080" s="91">
        <f t="shared" si="243"/>
        <v>0</v>
      </c>
      <c r="I3080" s="91" t="str">
        <f t="shared" si="244"/>
        <v/>
      </c>
      <c r="J3080" s="91" t="str">
        <f t="shared" si="245"/>
        <v/>
      </c>
      <c r="K3080" s="92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2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58"/>
      <c r="U3080" s="217" t="str">
        <f t="shared" si="246"/>
        <v/>
      </c>
      <c r="V3080" s="215" t="s">
        <v>47</v>
      </c>
      <c r="W3080" s="102" t="s">
        <v>136</v>
      </c>
      <c r="X3080" s="102" t="s">
        <v>137</v>
      </c>
      <c r="Y3080" s="103" t="s">
        <v>138</v>
      </c>
      <c r="Z3080" s="103" t="s">
        <v>139</v>
      </c>
      <c r="AA3080" s="103" t="s">
        <v>47</v>
      </c>
      <c r="AB3080" s="103" t="s">
        <v>140</v>
      </c>
      <c r="AC3080" s="104" t="s">
        <v>141</v>
      </c>
    </row>
    <row r="3081" spans="1:29" ht="25.5" customHeight="1" x14ac:dyDescent="0.35">
      <c r="A3081" s="188"/>
      <c r="B3081" s="190"/>
      <c r="C3081" s="99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0"/>
      <c r="E3081" s="78" t="str">
        <f>IF(C3081="","",IFERROR(VLOOKUP(C3081,parametros!$A$11:$E$15,5,0),""))</f>
        <v/>
      </c>
      <c r="F3081" s="79" t="str">
        <f t="shared" si="242"/>
        <v/>
      </c>
      <c r="G3081" s="101"/>
      <c r="H3081" s="91">
        <f t="shared" si="243"/>
        <v>0</v>
      </c>
      <c r="I3081" s="91" t="str">
        <f t="shared" si="244"/>
        <v/>
      </c>
      <c r="J3081" s="91" t="str">
        <f t="shared" si="245"/>
        <v/>
      </c>
      <c r="K3081" s="92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2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58"/>
      <c r="U3081" s="217" t="str">
        <f t="shared" si="246"/>
        <v/>
      </c>
      <c r="V3081" s="215" t="s">
        <v>47</v>
      </c>
      <c r="W3081" s="102" t="s">
        <v>136</v>
      </c>
      <c r="X3081" s="102" t="s">
        <v>137</v>
      </c>
      <c r="Y3081" s="103" t="s">
        <v>138</v>
      </c>
      <c r="Z3081" s="103" t="s">
        <v>139</v>
      </c>
      <c r="AA3081" s="103" t="s">
        <v>47</v>
      </c>
      <c r="AB3081" s="103" t="s">
        <v>140</v>
      </c>
      <c r="AC3081" s="104" t="s">
        <v>141</v>
      </c>
    </row>
    <row r="3082" spans="1:29" ht="25.5" customHeight="1" x14ac:dyDescent="0.35">
      <c r="A3082" s="188"/>
      <c r="B3082" s="190"/>
      <c r="C3082" s="99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0"/>
      <c r="E3082" s="78" t="str">
        <f>IF(C3082="","",IFERROR(VLOOKUP(C3082,parametros!$A$11:$E$15,5,0),""))</f>
        <v/>
      </c>
      <c r="F3082" s="79" t="str">
        <f t="shared" si="242"/>
        <v/>
      </c>
      <c r="G3082" s="101"/>
      <c r="H3082" s="91">
        <f t="shared" si="243"/>
        <v>0</v>
      </c>
      <c r="I3082" s="91" t="str">
        <f t="shared" si="244"/>
        <v/>
      </c>
      <c r="J3082" s="91" t="str">
        <f t="shared" si="245"/>
        <v/>
      </c>
      <c r="K3082" s="92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2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58"/>
      <c r="U3082" s="217" t="str">
        <f t="shared" si="246"/>
        <v/>
      </c>
      <c r="V3082" s="215" t="s">
        <v>47</v>
      </c>
      <c r="W3082" s="102" t="s">
        <v>136</v>
      </c>
      <c r="X3082" s="102" t="s">
        <v>137</v>
      </c>
      <c r="Y3082" s="103" t="s">
        <v>138</v>
      </c>
      <c r="Z3082" s="103" t="s">
        <v>139</v>
      </c>
      <c r="AA3082" s="103" t="s">
        <v>47</v>
      </c>
      <c r="AB3082" s="103" t="s">
        <v>140</v>
      </c>
      <c r="AC3082" s="104" t="s">
        <v>141</v>
      </c>
    </row>
    <row r="3083" spans="1:29" ht="25.5" customHeight="1" x14ac:dyDescent="0.35">
      <c r="A3083" s="188"/>
      <c r="B3083" s="190"/>
      <c r="C3083" s="99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0"/>
      <c r="E3083" s="78" t="str">
        <f>IF(C3083="","",IFERROR(VLOOKUP(C3083,parametros!$A$11:$E$15,5,0),""))</f>
        <v/>
      </c>
      <c r="F3083" s="79" t="str">
        <f t="shared" si="242"/>
        <v/>
      </c>
      <c r="G3083" s="101"/>
      <c r="H3083" s="91">
        <f t="shared" si="243"/>
        <v>0</v>
      </c>
      <c r="I3083" s="91" t="str">
        <f t="shared" si="244"/>
        <v/>
      </c>
      <c r="J3083" s="91" t="str">
        <f t="shared" si="245"/>
        <v/>
      </c>
      <c r="K3083" s="92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2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58"/>
      <c r="U3083" s="217" t="str">
        <f t="shared" si="246"/>
        <v/>
      </c>
      <c r="V3083" s="215" t="s">
        <v>47</v>
      </c>
      <c r="W3083" s="102" t="s">
        <v>136</v>
      </c>
      <c r="X3083" s="102" t="s">
        <v>137</v>
      </c>
      <c r="Y3083" s="103" t="s">
        <v>138</v>
      </c>
      <c r="Z3083" s="103" t="s">
        <v>139</v>
      </c>
      <c r="AA3083" s="103" t="s">
        <v>47</v>
      </c>
      <c r="AB3083" s="103" t="s">
        <v>140</v>
      </c>
      <c r="AC3083" s="104" t="s">
        <v>141</v>
      </c>
    </row>
    <row r="3084" spans="1:29" ht="25.5" customHeight="1" x14ac:dyDescent="0.35">
      <c r="A3084" s="188"/>
      <c r="B3084" s="190"/>
      <c r="C3084" s="99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0"/>
      <c r="E3084" s="78" t="str">
        <f>IF(C3084="","",IFERROR(VLOOKUP(C3084,parametros!$A$11:$E$15,5,0),""))</f>
        <v/>
      </c>
      <c r="F3084" s="79" t="str">
        <f t="shared" si="242"/>
        <v/>
      </c>
      <c r="G3084" s="101"/>
      <c r="H3084" s="91">
        <f t="shared" si="243"/>
        <v>0</v>
      </c>
      <c r="I3084" s="91" t="str">
        <f t="shared" si="244"/>
        <v/>
      </c>
      <c r="J3084" s="91" t="str">
        <f t="shared" si="245"/>
        <v/>
      </c>
      <c r="K3084" s="92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2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58"/>
      <c r="U3084" s="217" t="str">
        <f t="shared" si="246"/>
        <v/>
      </c>
      <c r="V3084" s="215" t="s">
        <v>47</v>
      </c>
      <c r="W3084" s="102" t="s">
        <v>136</v>
      </c>
      <c r="X3084" s="102" t="s">
        <v>137</v>
      </c>
      <c r="Y3084" s="103" t="s">
        <v>138</v>
      </c>
      <c r="Z3084" s="103" t="s">
        <v>139</v>
      </c>
      <c r="AA3084" s="103" t="s">
        <v>47</v>
      </c>
      <c r="AB3084" s="103" t="s">
        <v>140</v>
      </c>
      <c r="AC3084" s="104" t="s">
        <v>141</v>
      </c>
    </row>
    <row r="3085" spans="1:29" ht="25.5" customHeight="1" x14ac:dyDescent="0.35">
      <c r="A3085" s="188"/>
      <c r="B3085" s="190"/>
      <c r="C3085" s="99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0"/>
      <c r="E3085" s="78" t="str">
        <f>IF(C3085="","",IFERROR(VLOOKUP(C3085,parametros!$A$11:$E$15,5,0),""))</f>
        <v/>
      </c>
      <c r="F3085" s="79" t="str">
        <f t="shared" si="242"/>
        <v/>
      </c>
      <c r="G3085" s="101"/>
      <c r="H3085" s="91">
        <f t="shared" si="243"/>
        <v>0</v>
      </c>
      <c r="I3085" s="91" t="str">
        <f t="shared" si="244"/>
        <v/>
      </c>
      <c r="J3085" s="91" t="str">
        <f t="shared" si="245"/>
        <v/>
      </c>
      <c r="K3085" s="92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2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58"/>
      <c r="U3085" s="217" t="str">
        <f t="shared" si="246"/>
        <v/>
      </c>
      <c r="V3085" s="215" t="s">
        <v>47</v>
      </c>
      <c r="W3085" s="102" t="s">
        <v>136</v>
      </c>
      <c r="X3085" s="102" t="s">
        <v>137</v>
      </c>
      <c r="Y3085" s="103" t="s">
        <v>138</v>
      </c>
      <c r="Z3085" s="103" t="s">
        <v>139</v>
      </c>
      <c r="AA3085" s="103" t="s">
        <v>47</v>
      </c>
      <c r="AB3085" s="103" t="s">
        <v>140</v>
      </c>
      <c r="AC3085" s="104" t="s">
        <v>141</v>
      </c>
    </row>
    <row r="3086" spans="1:29" ht="25.5" customHeight="1" x14ac:dyDescent="0.35">
      <c r="A3086" s="188"/>
      <c r="B3086" s="190"/>
      <c r="C3086" s="99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0"/>
      <c r="E3086" s="78" t="str">
        <f>IF(C3086="","",IFERROR(VLOOKUP(C3086,parametros!$A$11:$E$15,5,0),""))</f>
        <v/>
      </c>
      <c r="F3086" s="79" t="str">
        <f t="shared" si="242"/>
        <v/>
      </c>
      <c r="G3086" s="101"/>
      <c r="H3086" s="91">
        <f t="shared" si="243"/>
        <v>0</v>
      </c>
      <c r="I3086" s="91" t="str">
        <f t="shared" si="244"/>
        <v/>
      </c>
      <c r="J3086" s="91" t="str">
        <f t="shared" si="245"/>
        <v/>
      </c>
      <c r="K3086" s="92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2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58"/>
      <c r="U3086" s="217" t="str">
        <f t="shared" si="246"/>
        <v/>
      </c>
      <c r="V3086" s="215" t="s">
        <v>47</v>
      </c>
      <c r="W3086" s="102" t="s">
        <v>136</v>
      </c>
      <c r="X3086" s="102" t="s">
        <v>137</v>
      </c>
      <c r="Y3086" s="103" t="s">
        <v>138</v>
      </c>
      <c r="Z3086" s="103" t="s">
        <v>139</v>
      </c>
      <c r="AA3086" s="103" t="s">
        <v>47</v>
      </c>
      <c r="AB3086" s="103" t="s">
        <v>140</v>
      </c>
      <c r="AC3086" s="104" t="s">
        <v>141</v>
      </c>
    </row>
    <row r="3087" spans="1:29" ht="25.5" customHeight="1" x14ac:dyDescent="0.35">
      <c r="A3087" s="188"/>
      <c r="B3087" s="190"/>
      <c r="C3087" s="99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0"/>
      <c r="E3087" s="78" t="str">
        <f>IF(C3087="","",IFERROR(VLOOKUP(C3087,parametros!$A$11:$E$15,5,0),""))</f>
        <v/>
      </c>
      <c r="F3087" s="79" t="str">
        <f t="shared" si="242"/>
        <v/>
      </c>
      <c r="G3087" s="101"/>
      <c r="H3087" s="91">
        <f t="shared" si="243"/>
        <v>0</v>
      </c>
      <c r="I3087" s="91" t="str">
        <f t="shared" si="244"/>
        <v/>
      </c>
      <c r="J3087" s="91" t="str">
        <f t="shared" si="245"/>
        <v/>
      </c>
      <c r="K3087" s="92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2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58"/>
      <c r="U3087" s="217" t="str">
        <f t="shared" si="246"/>
        <v/>
      </c>
      <c r="V3087" s="215" t="s">
        <v>47</v>
      </c>
      <c r="W3087" s="102" t="s">
        <v>136</v>
      </c>
      <c r="X3087" s="102" t="s">
        <v>137</v>
      </c>
      <c r="Y3087" s="103" t="s">
        <v>138</v>
      </c>
      <c r="Z3087" s="103" t="s">
        <v>139</v>
      </c>
      <c r="AA3087" s="103" t="s">
        <v>47</v>
      </c>
      <c r="AB3087" s="103" t="s">
        <v>140</v>
      </c>
      <c r="AC3087" s="104" t="s">
        <v>141</v>
      </c>
    </row>
    <row r="3088" spans="1:29" ht="25.5" customHeight="1" x14ac:dyDescent="0.35">
      <c r="A3088" s="188"/>
      <c r="B3088" s="190"/>
      <c r="C3088" s="99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0"/>
      <c r="E3088" s="78" t="str">
        <f>IF(C3088="","",IFERROR(VLOOKUP(C3088,parametros!$A$11:$E$15,5,0),""))</f>
        <v/>
      </c>
      <c r="F3088" s="79" t="str">
        <f t="shared" si="242"/>
        <v/>
      </c>
      <c r="G3088" s="101"/>
      <c r="H3088" s="91">
        <f t="shared" si="243"/>
        <v>0</v>
      </c>
      <c r="I3088" s="91" t="str">
        <f t="shared" si="244"/>
        <v/>
      </c>
      <c r="J3088" s="91" t="str">
        <f t="shared" si="245"/>
        <v/>
      </c>
      <c r="K3088" s="92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2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58"/>
      <c r="U3088" s="217" t="str">
        <f t="shared" si="246"/>
        <v/>
      </c>
      <c r="V3088" s="215" t="s">
        <v>47</v>
      </c>
      <c r="W3088" s="102" t="s">
        <v>136</v>
      </c>
      <c r="X3088" s="102" t="s">
        <v>137</v>
      </c>
      <c r="Y3088" s="103" t="s">
        <v>138</v>
      </c>
      <c r="Z3088" s="103" t="s">
        <v>139</v>
      </c>
      <c r="AA3088" s="103" t="s">
        <v>47</v>
      </c>
      <c r="AB3088" s="103" t="s">
        <v>140</v>
      </c>
      <c r="AC3088" s="104" t="s">
        <v>141</v>
      </c>
    </row>
    <row r="3089" spans="1:29" ht="25.5" customHeight="1" x14ac:dyDescent="0.35">
      <c r="A3089" s="188"/>
      <c r="B3089" s="190"/>
      <c r="C3089" s="99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0"/>
      <c r="E3089" s="78" t="str">
        <f>IF(C3089="","",IFERROR(VLOOKUP(C3089,parametros!$A$11:$E$15,5,0),""))</f>
        <v/>
      </c>
      <c r="F3089" s="79" t="str">
        <f t="shared" si="242"/>
        <v/>
      </c>
      <c r="G3089" s="101"/>
      <c r="H3089" s="91">
        <f t="shared" si="243"/>
        <v>0</v>
      </c>
      <c r="I3089" s="91" t="str">
        <f t="shared" si="244"/>
        <v/>
      </c>
      <c r="J3089" s="91" t="str">
        <f t="shared" si="245"/>
        <v/>
      </c>
      <c r="K3089" s="92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2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58"/>
      <c r="U3089" s="217" t="str">
        <f t="shared" si="246"/>
        <v/>
      </c>
      <c r="V3089" s="215" t="s">
        <v>47</v>
      </c>
      <c r="W3089" s="102" t="s">
        <v>136</v>
      </c>
      <c r="X3089" s="102" t="s">
        <v>137</v>
      </c>
      <c r="Y3089" s="103" t="s">
        <v>138</v>
      </c>
      <c r="Z3089" s="103" t="s">
        <v>139</v>
      </c>
      <c r="AA3089" s="103" t="s">
        <v>47</v>
      </c>
      <c r="AB3089" s="103" t="s">
        <v>140</v>
      </c>
      <c r="AC3089" s="104" t="s">
        <v>141</v>
      </c>
    </row>
    <row r="3090" spans="1:29" ht="25.5" customHeight="1" x14ac:dyDescent="0.35">
      <c r="A3090" s="188"/>
      <c r="B3090" s="190"/>
      <c r="C3090" s="99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0"/>
      <c r="E3090" s="78" t="str">
        <f>IF(C3090="","",IFERROR(VLOOKUP(C3090,parametros!$A$11:$E$15,5,0),""))</f>
        <v/>
      </c>
      <c r="F3090" s="79" t="str">
        <f t="shared" si="242"/>
        <v/>
      </c>
      <c r="G3090" s="101"/>
      <c r="H3090" s="91">
        <f t="shared" si="243"/>
        <v>0</v>
      </c>
      <c r="I3090" s="91" t="str">
        <f t="shared" si="244"/>
        <v/>
      </c>
      <c r="J3090" s="91" t="str">
        <f t="shared" si="245"/>
        <v/>
      </c>
      <c r="K3090" s="92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2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58"/>
      <c r="U3090" s="217" t="str">
        <f t="shared" si="246"/>
        <v/>
      </c>
      <c r="V3090" s="215" t="s">
        <v>47</v>
      </c>
      <c r="W3090" s="102" t="s">
        <v>136</v>
      </c>
      <c r="X3090" s="102" t="s">
        <v>137</v>
      </c>
      <c r="Y3090" s="103" t="s">
        <v>138</v>
      </c>
      <c r="Z3090" s="103" t="s">
        <v>139</v>
      </c>
      <c r="AA3090" s="103" t="s">
        <v>47</v>
      </c>
      <c r="AB3090" s="103" t="s">
        <v>140</v>
      </c>
      <c r="AC3090" s="104" t="s">
        <v>141</v>
      </c>
    </row>
    <row r="3091" spans="1:29" ht="25.5" customHeight="1" x14ac:dyDescent="0.35">
      <c r="A3091" s="188"/>
      <c r="B3091" s="190"/>
      <c r="C3091" s="99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0"/>
      <c r="E3091" s="78" t="str">
        <f>IF(C3091="","",IFERROR(VLOOKUP(C3091,parametros!$A$11:$E$15,5,0),""))</f>
        <v/>
      </c>
      <c r="F3091" s="79" t="str">
        <f t="shared" si="242"/>
        <v/>
      </c>
      <c r="G3091" s="101"/>
      <c r="H3091" s="91">
        <f t="shared" si="243"/>
        <v>0</v>
      </c>
      <c r="I3091" s="91" t="str">
        <f t="shared" si="244"/>
        <v/>
      </c>
      <c r="J3091" s="91" t="str">
        <f t="shared" si="245"/>
        <v/>
      </c>
      <c r="K3091" s="92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2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58"/>
      <c r="U3091" s="217" t="str">
        <f t="shared" si="246"/>
        <v/>
      </c>
      <c r="V3091" s="215" t="s">
        <v>47</v>
      </c>
      <c r="W3091" s="102" t="s">
        <v>136</v>
      </c>
      <c r="X3091" s="102" t="s">
        <v>137</v>
      </c>
      <c r="Y3091" s="103" t="s">
        <v>138</v>
      </c>
      <c r="Z3091" s="103" t="s">
        <v>139</v>
      </c>
      <c r="AA3091" s="103" t="s">
        <v>47</v>
      </c>
      <c r="AB3091" s="103" t="s">
        <v>140</v>
      </c>
      <c r="AC3091" s="104" t="s">
        <v>141</v>
      </c>
    </row>
    <row r="3092" spans="1:29" ht="25.5" customHeight="1" x14ac:dyDescent="0.35">
      <c r="A3092" s="188"/>
      <c r="B3092" s="190"/>
      <c r="C3092" s="99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0"/>
      <c r="E3092" s="78" t="str">
        <f>IF(C3092="","",IFERROR(VLOOKUP(C3092,parametros!$A$11:$E$15,5,0),""))</f>
        <v/>
      </c>
      <c r="F3092" s="79" t="str">
        <f t="shared" si="242"/>
        <v/>
      </c>
      <c r="G3092" s="101"/>
      <c r="H3092" s="91">
        <f t="shared" si="243"/>
        <v>0</v>
      </c>
      <c r="I3092" s="91" t="str">
        <f t="shared" si="244"/>
        <v/>
      </c>
      <c r="J3092" s="91" t="str">
        <f t="shared" si="245"/>
        <v/>
      </c>
      <c r="K3092" s="92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2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58"/>
      <c r="U3092" s="217" t="str">
        <f t="shared" si="246"/>
        <v/>
      </c>
      <c r="V3092" s="215" t="s">
        <v>47</v>
      </c>
      <c r="W3092" s="102" t="s">
        <v>136</v>
      </c>
      <c r="X3092" s="102" t="s">
        <v>137</v>
      </c>
      <c r="Y3092" s="103" t="s">
        <v>138</v>
      </c>
      <c r="Z3092" s="103" t="s">
        <v>139</v>
      </c>
      <c r="AA3092" s="103" t="s">
        <v>47</v>
      </c>
      <c r="AB3092" s="103" t="s">
        <v>140</v>
      </c>
      <c r="AC3092" s="104" t="s">
        <v>141</v>
      </c>
    </row>
    <row r="3093" spans="1:29" ht="25.5" customHeight="1" x14ac:dyDescent="0.35">
      <c r="A3093" s="188"/>
      <c r="B3093" s="190"/>
      <c r="C3093" s="99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0"/>
      <c r="E3093" s="78" t="str">
        <f>IF(C3093="","",IFERROR(VLOOKUP(C3093,parametros!$A$11:$E$15,5,0),""))</f>
        <v/>
      </c>
      <c r="F3093" s="79" t="str">
        <f t="shared" si="242"/>
        <v/>
      </c>
      <c r="G3093" s="101"/>
      <c r="H3093" s="91">
        <f t="shared" si="243"/>
        <v>0</v>
      </c>
      <c r="I3093" s="91" t="str">
        <f t="shared" si="244"/>
        <v/>
      </c>
      <c r="J3093" s="91" t="str">
        <f t="shared" si="245"/>
        <v/>
      </c>
      <c r="K3093" s="92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2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58"/>
      <c r="U3093" s="217" t="str">
        <f t="shared" si="246"/>
        <v/>
      </c>
      <c r="V3093" s="215" t="s">
        <v>47</v>
      </c>
      <c r="W3093" s="102" t="s">
        <v>136</v>
      </c>
      <c r="X3093" s="102" t="s">
        <v>137</v>
      </c>
      <c r="Y3093" s="103" t="s">
        <v>138</v>
      </c>
      <c r="Z3093" s="103" t="s">
        <v>139</v>
      </c>
      <c r="AA3093" s="103" t="s">
        <v>47</v>
      </c>
      <c r="AB3093" s="103" t="s">
        <v>140</v>
      </c>
      <c r="AC3093" s="104" t="s">
        <v>141</v>
      </c>
    </row>
    <row r="3094" spans="1:29" ht="25.5" customHeight="1" x14ac:dyDescent="0.35">
      <c r="A3094" s="188"/>
      <c r="B3094" s="190"/>
      <c r="C3094" s="99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0"/>
      <c r="E3094" s="78" t="str">
        <f>IF(C3094="","",IFERROR(VLOOKUP(C3094,parametros!$A$11:$E$15,5,0),""))</f>
        <v/>
      </c>
      <c r="F3094" s="79" t="str">
        <f t="shared" si="242"/>
        <v/>
      </c>
      <c r="G3094" s="101"/>
      <c r="H3094" s="91">
        <f t="shared" si="243"/>
        <v>0</v>
      </c>
      <c r="I3094" s="91" t="str">
        <f t="shared" si="244"/>
        <v/>
      </c>
      <c r="J3094" s="91" t="str">
        <f t="shared" si="245"/>
        <v/>
      </c>
      <c r="K3094" s="92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2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58"/>
      <c r="U3094" s="217" t="str">
        <f t="shared" si="246"/>
        <v/>
      </c>
      <c r="V3094" s="215" t="s">
        <v>47</v>
      </c>
      <c r="W3094" s="102" t="s">
        <v>136</v>
      </c>
      <c r="X3094" s="102" t="s">
        <v>137</v>
      </c>
      <c r="Y3094" s="103" t="s">
        <v>138</v>
      </c>
      <c r="Z3094" s="103" t="s">
        <v>139</v>
      </c>
      <c r="AA3094" s="103" t="s">
        <v>47</v>
      </c>
      <c r="AB3094" s="103" t="s">
        <v>140</v>
      </c>
      <c r="AC3094" s="104" t="s">
        <v>141</v>
      </c>
    </row>
    <row r="3095" spans="1:29" ht="25.5" customHeight="1" x14ac:dyDescent="0.35">
      <c r="A3095" s="188"/>
      <c r="B3095" s="190"/>
      <c r="C3095" s="99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0"/>
      <c r="E3095" s="78" t="str">
        <f>IF(C3095="","",IFERROR(VLOOKUP(C3095,parametros!$A$11:$E$15,5,0),""))</f>
        <v/>
      </c>
      <c r="F3095" s="79" t="str">
        <f t="shared" si="242"/>
        <v/>
      </c>
      <c r="G3095" s="101"/>
      <c r="H3095" s="91">
        <f t="shared" si="243"/>
        <v>0</v>
      </c>
      <c r="I3095" s="91" t="str">
        <f t="shared" si="244"/>
        <v/>
      </c>
      <c r="J3095" s="91" t="str">
        <f t="shared" si="245"/>
        <v/>
      </c>
      <c r="K3095" s="92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2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58"/>
      <c r="U3095" s="217" t="str">
        <f t="shared" si="246"/>
        <v/>
      </c>
      <c r="V3095" s="215" t="s">
        <v>47</v>
      </c>
      <c r="W3095" s="102" t="s">
        <v>136</v>
      </c>
      <c r="X3095" s="102" t="s">
        <v>137</v>
      </c>
      <c r="Y3095" s="103" t="s">
        <v>138</v>
      </c>
      <c r="Z3095" s="103" t="s">
        <v>139</v>
      </c>
      <c r="AA3095" s="103" t="s">
        <v>47</v>
      </c>
      <c r="AB3095" s="103" t="s">
        <v>140</v>
      </c>
      <c r="AC3095" s="104" t="s">
        <v>141</v>
      </c>
    </row>
    <row r="3096" spans="1:29" ht="25.5" customHeight="1" x14ac:dyDescent="0.35">
      <c r="A3096" s="188"/>
      <c r="B3096" s="190"/>
      <c r="C3096" s="99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0"/>
      <c r="E3096" s="78" t="str">
        <f>IF(C3096="","",IFERROR(VLOOKUP(C3096,parametros!$A$11:$E$15,5,0),""))</f>
        <v/>
      </c>
      <c r="F3096" s="79" t="str">
        <f t="shared" si="242"/>
        <v/>
      </c>
      <c r="G3096" s="101"/>
      <c r="H3096" s="91">
        <f t="shared" si="243"/>
        <v>0</v>
      </c>
      <c r="I3096" s="91" t="str">
        <f t="shared" si="244"/>
        <v/>
      </c>
      <c r="J3096" s="91" t="str">
        <f t="shared" si="245"/>
        <v/>
      </c>
      <c r="K3096" s="92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2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58"/>
      <c r="U3096" s="217" t="str">
        <f t="shared" si="246"/>
        <v/>
      </c>
      <c r="V3096" s="215" t="s">
        <v>47</v>
      </c>
      <c r="W3096" s="102" t="s">
        <v>136</v>
      </c>
      <c r="X3096" s="102" t="s">
        <v>137</v>
      </c>
      <c r="Y3096" s="103" t="s">
        <v>138</v>
      </c>
      <c r="Z3096" s="103" t="s">
        <v>139</v>
      </c>
      <c r="AA3096" s="103" t="s">
        <v>47</v>
      </c>
      <c r="AB3096" s="103" t="s">
        <v>140</v>
      </c>
      <c r="AC3096" s="104" t="s">
        <v>141</v>
      </c>
    </row>
    <row r="3097" spans="1:29" ht="25.5" customHeight="1" x14ac:dyDescent="0.35">
      <c r="A3097" s="188"/>
      <c r="B3097" s="190"/>
      <c r="C3097" s="99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0"/>
      <c r="E3097" s="78" t="str">
        <f>IF(C3097="","",IFERROR(VLOOKUP(C3097,parametros!$A$11:$E$15,5,0),""))</f>
        <v/>
      </c>
      <c r="F3097" s="79" t="str">
        <f t="shared" si="242"/>
        <v/>
      </c>
      <c r="G3097" s="101"/>
      <c r="H3097" s="91">
        <f t="shared" si="243"/>
        <v>0</v>
      </c>
      <c r="I3097" s="91" t="str">
        <f t="shared" si="244"/>
        <v/>
      </c>
      <c r="J3097" s="91" t="str">
        <f t="shared" si="245"/>
        <v/>
      </c>
      <c r="K3097" s="92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2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58"/>
      <c r="U3097" s="217" t="str">
        <f t="shared" si="246"/>
        <v/>
      </c>
      <c r="V3097" s="215" t="s">
        <v>47</v>
      </c>
      <c r="W3097" s="102" t="s">
        <v>136</v>
      </c>
      <c r="X3097" s="102" t="s">
        <v>137</v>
      </c>
      <c r="Y3097" s="103" t="s">
        <v>138</v>
      </c>
      <c r="Z3097" s="103" t="s">
        <v>139</v>
      </c>
      <c r="AA3097" s="103" t="s">
        <v>47</v>
      </c>
      <c r="AB3097" s="103" t="s">
        <v>140</v>
      </c>
      <c r="AC3097" s="104" t="s">
        <v>141</v>
      </c>
    </row>
    <row r="3098" spans="1:29" ht="25.5" customHeight="1" x14ac:dyDescent="0.35">
      <c r="A3098" s="188"/>
      <c r="B3098" s="190"/>
      <c r="C3098" s="99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0"/>
      <c r="E3098" s="78" t="str">
        <f>IF(C3098="","",IFERROR(VLOOKUP(C3098,parametros!$A$11:$E$15,5,0),""))</f>
        <v/>
      </c>
      <c r="F3098" s="79" t="str">
        <f t="shared" si="242"/>
        <v/>
      </c>
      <c r="G3098" s="101"/>
      <c r="H3098" s="91">
        <f t="shared" si="243"/>
        <v>0</v>
      </c>
      <c r="I3098" s="91" t="str">
        <f t="shared" si="244"/>
        <v/>
      </c>
      <c r="J3098" s="91" t="str">
        <f t="shared" si="245"/>
        <v/>
      </c>
      <c r="K3098" s="92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2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58"/>
      <c r="U3098" s="217" t="str">
        <f t="shared" si="246"/>
        <v/>
      </c>
      <c r="V3098" s="215" t="s">
        <v>47</v>
      </c>
      <c r="W3098" s="102" t="s">
        <v>136</v>
      </c>
      <c r="X3098" s="102" t="s">
        <v>137</v>
      </c>
      <c r="Y3098" s="103" t="s">
        <v>138</v>
      </c>
      <c r="Z3098" s="103" t="s">
        <v>139</v>
      </c>
      <c r="AA3098" s="103" t="s">
        <v>47</v>
      </c>
      <c r="AB3098" s="103" t="s">
        <v>140</v>
      </c>
      <c r="AC3098" s="104" t="s">
        <v>141</v>
      </c>
    </row>
    <row r="3099" spans="1:29" ht="25.5" customHeight="1" x14ac:dyDescent="0.35">
      <c r="A3099" s="188"/>
      <c r="B3099" s="190"/>
      <c r="C3099" s="99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0"/>
      <c r="E3099" s="78" t="str">
        <f>IF(C3099="","",IFERROR(VLOOKUP(C3099,parametros!$A$11:$E$15,5,0),""))</f>
        <v/>
      </c>
      <c r="F3099" s="79" t="str">
        <f t="shared" si="242"/>
        <v/>
      </c>
      <c r="G3099" s="101"/>
      <c r="H3099" s="91">
        <f t="shared" si="243"/>
        <v>0</v>
      </c>
      <c r="I3099" s="91" t="str">
        <f t="shared" si="244"/>
        <v/>
      </c>
      <c r="J3099" s="91" t="str">
        <f t="shared" si="245"/>
        <v/>
      </c>
      <c r="K3099" s="92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2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58"/>
      <c r="U3099" s="217" t="str">
        <f t="shared" si="246"/>
        <v/>
      </c>
      <c r="V3099" s="215" t="s">
        <v>47</v>
      </c>
      <c r="W3099" s="102" t="s">
        <v>136</v>
      </c>
      <c r="X3099" s="102" t="s">
        <v>137</v>
      </c>
      <c r="Y3099" s="103" t="s">
        <v>138</v>
      </c>
      <c r="Z3099" s="103" t="s">
        <v>139</v>
      </c>
      <c r="AA3099" s="103" t="s">
        <v>47</v>
      </c>
      <c r="AB3099" s="103" t="s">
        <v>140</v>
      </c>
      <c r="AC3099" s="104" t="s">
        <v>141</v>
      </c>
    </row>
    <row r="3100" spans="1:29" ht="25.5" customHeight="1" x14ac:dyDescent="0.35">
      <c r="A3100" s="188"/>
      <c r="B3100" s="190"/>
      <c r="C3100" s="99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0"/>
      <c r="E3100" s="78" t="str">
        <f>IF(C3100="","",IFERROR(VLOOKUP(C3100,parametros!$A$11:$E$15,5,0),""))</f>
        <v/>
      </c>
      <c r="F3100" s="79" t="str">
        <f t="shared" si="242"/>
        <v/>
      </c>
      <c r="G3100" s="101"/>
      <c r="H3100" s="91">
        <f t="shared" si="243"/>
        <v>0</v>
      </c>
      <c r="I3100" s="91" t="str">
        <f t="shared" si="244"/>
        <v/>
      </c>
      <c r="J3100" s="91" t="str">
        <f t="shared" si="245"/>
        <v/>
      </c>
      <c r="K3100" s="92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2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58"/>
      <c r="U3100" s="217" t="str">
        <f t="shared" si="246"/>
        <v/>
      </c>
      <c r="V3100" s="215" t="s">
        <v>47</v>
      </c>
      <c r="W3100" s="102" t="s">
        <v>136</v>
      </c>
      <c r="X3100" s="102" t="s">
        <v>137</v>
      </c>
      <c r="Y3100" s="103" t="s">
        <v>138</v>
      </c>
      <c r="Z3100" s="103" t="s">
        <v>139</v>
      </c>
      <c r="AA3100" s="103" t="s">
        <v>47</v>
      </c>
      <c r="AB3100" s="103" t="s">
        <v>140</v>
      </c>
      <c r="AC3100" s="104" t="s">
        <v>141</v>
      </c>
    </row>
    <row r="3101" spans="1:29" ht="25.5" customHeight="1" x14ac:dyDescent="0.35">
      <c r="A3101" s="188"/>
      <c r="B3101" s="190"/>
      <c r="C3101" s="99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0"/>
      <c r="E3101" s="78" t="str">
        <f>IF(C3101="","",IFERROR(VLOOKUP(C3101,parametros!$A$11:$E$15,5,0),""))</f>
        <v/>
      </c>
      <c r="F3101" s="79" t="str">
        <f t="shared" si="242"/>
        <v/>
      </c>
      <c r="G3101" s="101"/>
      <c r="H3101" s="91">
        <f t="shared" si="243"/>
        <v>0</v>
      </c>
      <c r="I3101" s="91" t="str">
        <f t="shared" si="244"/>
        <v/>
      </c>
      <c r="J3101" s="91" t="str">
        <f t="shared" si="245"/>
        <v/>
      </c>
      <c r="K3101" s="92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2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58"/>
      <c r="U3101" s="217" t="str">
        <f t="shared" si="246"/>
        <v/>
      </c>
      <c r="V3101" s="215" t="s">
        <v>47</v>
      </c>
      <c r="W3101" s="102" t="s">
        <v>136</v>
      </c>
      <c r="X3101" s="102" t="s">
        <v>137</v>
      </c>
      <c r="Y3101" s="103" t="s">
        <v>138</v>
      </c>
      <c r="Z3101" s="103" t="s">
        <v>139</v>
      </c>
      <c r="AA3101" s="103" t="s">
        <v>47</v>
      </c>
      <c r="AB3101" s="103" t="s">
        <v>140</v>
      </c>
      <c r="AC3101" s="104" t="s">
        <v>141</v>
      </c>
    </row>
    <row r="3102" spans="1:29" ht="25.5" customHeight="1" x14ac:dyDescent="0.35">
      <c r="A3102" s="188"/>
      <c r="B3102" s="190"/>
      <c r="C3102" s="99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0"/>
      <c r="E3102" s="78" t="str">
        <f>IF(C3102="","",IFERROR(VLOOKUP(C3102,parametros!$A$11:$E$15,5,0),""))</f>
        <v/>
      </c>
      <c r="F3102" s="79" t="str">
        <f t="shared" si="242"/>
        <v/>
      </c>
      <c r="G3102" s="101"/>
      <c r="H3102" s="91">
        <f t="shared" si="243"/>
        <v>0</v>
      </c>
      <c r="I3102" s="91" t="str">
        <f t="shared" si="244"/>
        <v/>
      </c>
      <c r="J3102" s="91" t="str">
        <f t="shared" si="245"/>
        <v/>
      </c>
      <c r="K3102" s="92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2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58"/>
      <c r="U3102" s="217" t="str">
        <f t="shared" si="246"/>
        <v/>
      </c>
      <c r="V3102" s="215" t="s">
        <v>47</v>
      </c>
      <c r="W3102" s="102" t="s">
        <v>136</v>
      </c>
      <c r="X3102" s="102" t="s">
        <v>137</v>
      </c>
      <c r="Y3102" s="103" t="s">
        <v>138</v>
      </c>
      <c r="Z3102" s="103" t="s">
        <v>139</v>
      </c>
      <c r="AA3102" s="103" t="s">
        <v>47</v>
      </c>
      <c r="AB3102" s="103" t="s">
        <v>140</v>
      </c>
      <c r="AC3102" s="104" t="s">
        <v>141</v>
      </c>
    </row>
    <row r="3103" spans="1:29" ht="25.5" customHeight="1" x14ac:dyDescent="0.35">
      <c r="A3103" s="188"/>
      <c r="B3103" s="190"/>
      <c r="C3103" s="99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0"/>
      <c r="E3103" s="78" t="str">
        <f>IF(C3103="","",IFERROR(VLOOKUP(C3103,parametros!$A$11:$E$15,5,0),""))</f>
        <v/>
      </c>
      <c r="F3103" s="79" t="str">
        <f t="shared" si="242"/>
        <v/>
      </c>
      <c r="G3103" s="101"/>
      <c r="H3103" s="91">
        <f t="shared" si="243"/>
        <v>0</v>
      </c>
      <c r="I3103" s="91" t="str">
        <f t="shared" si="244"/>
        <v/>
      </c>
      <c r="J3103" s="91" t="str">
        <f t="shared" si="245"/>
        <v/>
      </c>
      <c r="K3103" s="92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2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58"/>
      <c r="U3103" s="217" t="str">
        <f t="shared" si="246"/>
        <v/>
      </c>
      <c r="V3103" s="215" t="s">
        <v>47</v>
      </c>
      <c r="W3103" s="102" t="s">
        <v>136</v>
      </c>
      <c r="X3103" s="102" t="s">
        <v>137</v>
      </c>
      <c r="Y3103" s="103" t="s">
        <v>138</v>
      </c>
      <c r="Z3103" s="103" t="s">
        <v>139</v>
      </c>
      <c r="AA3103" s="103" t="s">
        <v>47</v>
      </c>
      <c r="AB3103" s="103" t="s">
        <v>140</v>
      </c>
      <c r="AC3103" s="104" t="s">
        <v>141</v>
      </c>
    </row>
    <row r="3104" spans="1:29" ht="25.5" customHeight="1" x14ac:dyDescent="0.35">
      <c r="A3104" s="188"/>
      <c r="B3104" s="190"/>
      <c r="C3104" s="99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0"/>
      <c r="E3104" s="78" t="str">
        <f>IF(C3104="","",IFERROR(VLOOKUP(C3104,parametros!$A$11:$E$15,5,0),""))</f>
        <v/>
      </c>
      <c r="F3104" s="79" t="str">
        <f t="shared" si="242"/>
        <v/>
      </c>
      <c r="G3104" s="101"/>
      <c r="H3104" s="91">
        <f t="shared" si="243"/>
        <v>0</v>
      </c>
      <c r="I3104" s="91" t="str">
        <f t="shared" si="244"/>
        <v/>
      </c>
      <c r="J3104" s="91" t="str">
        <f t="shared" si="245"/>
        <v/>
      </c>
      <c r="K3104" s="92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2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58"/>
      <c r="U3104" s="217" t="str">
        <f t="shared" si="246"/>
        <v/>
      </c>
      <c r="V3104" s="215" t="s">
        <v>47</v>
      </c>
      <c r="W3104" s="102" t="s">
        <v>136</v>
      </c>
      <c r="X3104" s="102" t="s">
        <v>137</v>
      </c>
      <c r="Y3104" s="103" t="s">
        <v>138</v>
      </c>
      <c r="Z3104" s="103" t="s">
        <v>139</v>
      </c>
      <c r="AA3104" s="103" t="s">
        <v>47</v>
      </c>
      <c r="AB3104" s="103" t="s">
        <v>140</v>
      </c>
      <c r="AC3104" s="104" t="s">
        <v>141</v>
      </c>
    </row>
    <row r="3105" spans="1:29" ht="25.5" customHeight="1" x14ac:dyDescent="0.35">
      <c r="A3105" s="188"/>
      <c r="B3105" s="190"/>
      <c r="C3105" s="99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0"/>
      <c r="E3105" s="78" t="str">
        <f>IF(C3105="","",IFERROR(VLOOKUP(C3105,parametros!$A$11:$E$15,5,0),""))</f>
        <v/>
      </c>
      <c r="F3105" s="79" t="str">
        <f t="shared" si="242"/>
        <v/>
      </c>
      <c r="G3105" s="101"/>
      <c r="H3105" s="91">
        <f t="shared" si="243"/>
        <v>0</v>
      </c>
      <c r="I3105" s="91" t="str">
        <f t="shared" si="244"/>
        <v/>
      </c>
      <c r="J3105" s="91" t="str">
        <f t="shared" si="245"/>
        <v/>
      </c>
      <c r="K3105" s="92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2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58"/>
      <c r="U3105" s="217" t="str">
        <f t="shared" si="246"/>
        <v/>
      </c>
      <c r="V3105" s="215" t="s">
        <v>47</v>
      </c>
      <c r="W3105" s="102" t="s">
        <v>136</v>
      </c>
      <c r="X3105" s="102" t="s">
        <v>137</v>
      </c>
      <c r="Y3105" s="103" t="s">
        <v>138</v>
      </c>
      <c r="Z3105" s="103" t="s">
        <v>139</v>
      </c>
      <c r="AA3105" s="103" t="s">
        <v>47</v>
      </c>
      <c r="AB3105" s="103" t="s">
        <v>140</v>
      </c>
      <c r="AC3105" s="104" t="s">
        <v>141</v>
      </c>
    </row>
    <row r="3106" spans="1:29" ht="25.5" customHeight="1" x14ac:dyDescent="0.35">
      <c r="A3106" s="188"/>
      <c r="B3106" s="190"/>
      <c r="C3106" s="99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0"/>
      <c r="E3106" s="78" t="str">
        <f>IF(C3106="","",IFERROR(VLOOKUP(C3106,parametros!$A$11:$E$15,5,0),""))</f>
        <v/>
      </c>
      <c r="F3106" s="79" t="str">
        <f t="shared" si="242"/>
        <v/>
      </c>
      <c r="G3106" s="101"/>
      <c r="H3106" s="91">
        <f t="shared" si="243"/>
        <v>0</v>
      </c>
      <c r="I3106" s="91" t="str">
        <f t="shared" si="244"/>
        <v/>
      </c>
      <c r="J3106" s="91" t="str">
        <f t="shared" si="245"/>
        <v/>
      </c>
      <c r="K3106" s="92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2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58"/>
      <c r="U3106" s="217" t="str">
        <f t="shared" si="246"/>
        <v/>
      </c>
      <c r="V3106" s="215" t="s">
        <v>47</v>
      </c>
      <c r="W3106" s="102" t="s">
        <v>136</v>
      </c>
      <c r="X3106" s="102" t="s">
        <v>137</v>
      </c>
      <c r="Y3106" s="103" t="s">
        <v>138</v>
      </c>
      <c r="Z3106" s="103" t="s">
        <v>139</v>
      </c>
      <c r="AA3106" s="103" t="s">
        <v>47</v>
      </c>
      <c r="AB3106" s="103" t="s">
        <v>140</v>
      </c>
      <c r="AC3106" s="104" t="s">
        <v>141</v>
      </c>
    </row>
    <row r="3107" spans="1:29" ht="25.5" customHeight="1" x14ac:dyDescent="0.35">
      <c r="A3107" s="188"/>
      <c r="B3107" s="190"/>
      <c r="C3107" s="99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0"/>
      <c r="E3107" s="78" t="str">
        <f>IF(C3107="","",IFERROR(VLOOKUP(C3107,parametros!$A$11:$E$15,5,0),""))</f>
        <v/>
      </c>
      <c r="F3107" s="79" t="str">
        <f t="shared" si="242"/>
        <v/>
      </c>
      <c r="G3107" s="101"/>
      <c r="H3107" s="91">
        <f t="shared" si="243"/>
        <v>0</v>
      </c>
      <c r="I3107" s="91" t="str">
        <f t="shared" si="244"/>
        <v/>
      </c>
      <c r="J3107" s="91" t="str">
        <f t="shared" si="245"/>
        <v/>
      </c>
      <c r="K3107" s="92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2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58"/>
      <c r="U3107" s="217" t="str">
        <f t="shared" si="246"/>
        <v/>
      </c>
      <c r="V3107" s="215" t="s">
        <v>47</v>
      </c>
      <c r="W3107" s="102" t="s">
        <v>136</v>
      </c>
      <c r="X3107" s="102" t="s">
        <v>137</v>
      </c>
      <c r="Y3107" s="103" t="s">
        <v>138</v>
      </c>
      <c r="Z3107" s="103" t="s">
        <v>139</v>
      </c>
      <c r="AA3107" s="103" t="s">
        <v>47</v>
      </c>
      <c r="AB3107" s="103" t="s">
        <v>140</v>
      </c>
      <c r="AC3107" s="104" t="s">
        <v>141</v>
      </c>
    </row>
    <row r="3108" spans="1:29" ht="25.5" customHeight="1" x14ac:dyDescent="0.35">
      <c r="A3108" s="188"/>
      <c r="B3108" s="190"/>
      <c r="C3108" s="99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0"/>
      <c r="E3108" s="78" t="str">
        <f>IF(C3108="","",IFERROR(VLOOKUP(C3108,parametros!$A$11:$E$15,5,0),""))</f>
        <v/>
      </c>
      <c r="F3108" s="79" t="str">
        <f t="shared" si="242"/>
        <v/>
      </c>
      <c r="G3108" s="101"/>
      <c r="H3108" s="91">
        <f t="shared" si="243"/>
        <v>0</v>
      </c>
      <c r="I3108" s="91" t="str">
        <f t="shared" si="244"/>
        <v/>
      </c>
      <c r="J3108" s="91" t="str">
        <f t="shared" si="245"/>
        <v/>
      </c>
      <c r="K3108" s="92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2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58"/>
      <c r="U3108" s="217" t="str">
        <f t="shared" si="246"/>
        <v/>
      </c>
      <c r="V3108" s="215" t="s">
        <v>47</v>
      </c>
      <c r="W3108" s="102" t="s">
        <v>136</v>
      </c>
      <c r="X3108" s="102" t="s">
        <v>137</v>
      </c>
      <c r="Y3108" s="103" t="s">
        <v>138</v>
      </c>
      <c r="Z3108" s="103" t="s">
        <v>139</v>
      </c>
      <c r="AA3108" s="103" t="s">
        <v>47</v>
      </c>
      <c r="AB3108" s="103" t="s">
        <v>140</v>
      </c>
      <c r="AC3108" s="104" t="s">
        <v>141</v>
      </c>
    </row>
    <row r="3109" spans="1:29" ht="25.5" customHeight="1" x14ac:dyDescent="0.35">
      <c r="A3109" s="188"/>
      <c r="B3109" s="190"/>
      <c r="C3109" s="99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0"/>
      <c r="E3109" s="78" t="str">
        <f>IF(C3109="","",IFERROR(VLOOKUP(C3109,parametros!$A$11:$E$15,5,0),""))</f>
        <v/>
      </c>
      <c r="F3109" s="79" t="str">
        <f t="shared" si="242"/>
        <v/>
      </c>
      <c r="G3109" s="101"/>
      <c r="H3109" s="91">
        <f t="shared" si="243"/>
        <v>0</v>
      </c>
      <c r="I3109" s="91" t="str">
        <f t="shared" si="244"/>
        <v/>
      </c>
      <c r="J3109" s="91" t="str">
        <f t="shared" si="245"/>
        <v/>
      </c>
      <c r="K3109" s="92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2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58"/>
      <c r="U3109" s="217" t="str">
        <f t="shared" si="246"/>
        <v/>
      </c>
      <c r="V3109" s="215" t="s">
        <v>47</v>
      </c>
      <c r="W3109" s="102" t="s">
        <v>136</v>
      </c>
      <c r="X3109" s="102" t="s">
        <v>137</v>
      </c>
      <c r="Y3109" s="103" t="s">
        <v>138</v>
      </c>
      <c r="Z3109" s="103" t="s">
        <v>139</v>
      </c>
      <c r="AA3109" s="103" t="s">
        <v>47</v>
      </c>
      <c r="AB3109" s="103" t="s">
        <v>140</v>
      </c>
      <c r="AC3109" s="104" t="s">
        <v>141</v>
      </c>
    </row>
    <row r="3110" spans="1:29" ht="25.5" customHeight="1" x14ac:dyDescent="0.35">
      <c r="A3110" s="188"/>
      <c r="B3110" s="190"/>
      <c r="C3110" s="99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0"/>
      <c r="E3110" s="78" t="str">
        <f>IF(C3110="","",IFERROR(VLOOKUP(C3110,parametros!$A$11:$E$15,5,0),""))</f>
        <v/>
      </c>
      <c r="F3110" s="79" t="str">
        <f t="shared" si="242"/>
        <v/>
      </c>
      <c r="G3110" s="101"/>
      <c r="H3110" s="91">
        <f t="shared" si="243"/>
        <v>0</v>
      </c>
      <c r="I3110" s="91" t="str">
        <f t="shared" si="244"/>
        <v/>
      </c>
      <c r="J3110" s="91" t="str">
        <f t="shared" si="245"/>
        <v/>
      </c>
      <c r="K3110" s="92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2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58"/>
      <c r="U3110" s="217" t="str">
        <f t="shared" si="246"/>
        <v/>
      </c>
      <c r="V3110" s="215" t="s">
        <v>47</v>
      </c>
      <c r="W3110" s="102" t="s">
        <v>136</v>
      </c>
      <c r="X3110" s="102" t="s">
        <v>137</v>
      </c>
      <c r="Y3110" s="103" t="s">
        <v>138</v>
      </c>
      <c r="Z3110" s="103" t="s">
        <v>139</v>
      </c>
      <c r="AA3110" s="103" t="s">
        <v>47</v>
      </c>
      <c r="AB3110" s="103" t="s">
        <v>140</v>
      </c>
      <c r="AC3110" s="104" t="s">
        <v>141</v>
      </c>
    </row>
    <row r="3111" spans="1:29" ht="25.5" customHeight="1" x14ac:dyDescent="0.35">
      <c r="A3111" s="188"/>
      <c r="B3111" s="190"/>
      <c r="C3111" s="99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0"/>
      <c r="E3111" s="78" t="str">
        <f>IF(C3111="","",IFERROR(VLOOKUP(C3111,parametros!$A$11:$E$15,5,0),""))</f>
        <v/>
      </c>
      <c r="F3111" s="79" t="str">
        <f t="shared" si="242"/>
        <v/>
      </c>
      <c r="G3111" s="101"/>
      <c r="H3111" s="91">
        <f t="shared" si="243"/>
        <v>0</v>
      </c>
      <c r="I3111" s="91" t="str">
        <f t="shared" si="244"/>
        <v/>
      </c>
      <c r="J3111" s="91" t="str">
        <f t="shared" si="245"/>
        <v/>
      </c>
      <c r="K3111" s="92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2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58"/>
      <c r="U3111" s="217" t="str">
        <f t="shared" si="246"/>
        <v/>
      </c>
      <c r="V3111" s="215" t="s">
        <v>47</v>
      </c>
      <c r="W3111" s="102" t="s">
        <v>136</v>
      </c>
      <c r="X3111" s="102" t="s">
        <v>137</v>
      </c>
      <c r="Y3111" s="103" t="s">
        <v>138</v>
      </c>
      <c r="Z3111" s="103" t="s">
        <v>139</v>
      </c>
      <c r="AA3111" s="103" t="s">
        <v>47</v>
      </c>
      <c r="AB3111" s="103" t="s">
        <v>140</v>
      </c>
      <c r="AC3111" s="104" t="s">
        <v>141</v>
      </c>
    </row>
    <row r="3112" spans="1:29" ht="25.5" customHeight="1" x14ac:dyDescent="0.35">
      <c r="A3112" s="188"/>
      <c r="B3112" s="190"/>
      <c r="C3112" s="99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0"/>
      <c r="E3112" s="78" t="str">
        <f>IF(C3112="","",IFERROR(VLOOKUP(C3112,parametros!$A$11:$E$15,5,0),""))</f>
        <v/>
      </c>
      <c r="F3112" s="79" t="str">
        <f t="shared" si="242"/>
        <v/>
      </c>
      <c r="G3112" s="101"/>
      <c r="H3112" s="91">
        <f t="shared" si="243"/>
        <v>0</v>
      </c>
      <c r="I3112" s="91" t="str">
        <f t="shared" si="244"/>
        <v/>
      </c>
      <c r="J3112" s="91" t="str">
        <f t="shared" si="245"/>
        <v/>
      </c>
      <c r="K3112" s="92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2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58"/>
      <c r="U3112" s="217" t="str">
        <f t="shared" si="246"/>
        <v/>
      </c>
      <c r="V3112" s="215" t="s">
        <v>47</v>
      </c>
      <c r="W3112" s="102" t="s">
        <v>136</v>
      </c>
      <c r="X3112" s="102" t="s">
        <v>137</v>
      </c>
      <c r="Y3112" s="103" t="s">
        <v>138</v>
      </c>
      <c r="Z3112" s="103" t="s">
        <v>139</v>
      </c>
      <c r="AA3112" s="103" t="s">
        <v>47</v>
      </c>
      <c r="AB3112" s="103" t="s">
        <v>140</v>
      </c>
      <c r="AC3112" s="104" t="s">
        <v>141</v>
      </c>
    </row>
    <row r="3113" spans="1:29" ht="25.5" customHeight="1" x14ac:dyDescent="0.35">
      <c r="A3113" s="188"/>
      <c r="B3113" s="190"/>
      <c r="C3113" s="99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0"/>
      <c r="E3113" s="78" t="str">
        <f>IF(C3113="","",IFERROR(VLOOKUP(C3113,parametros!$A$11:$E$15,5,0),""))</f>
        <v/>
      </c>
      <c r="F3113" s="79" t="str">
        <f t="shared" si="242"/>
        <v/>
      </c>
      <c r="G3113" s="101"/>
      <c r="H3113" s="91">
        <f t="shared" si="243"/>
        <v>0</v>
      </c>
      <c r="I3113" s="91" t="str">
        <f t="shared" si="244"/>
        <v/>
      </c>
      <c r="J3113" s="91" t="str">
        <f t="shared" si="245"/>
        <v/>
      </c>
      <c r="K3113" s="92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2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58"/>
      <c r="U3113" s="217" t="str">
        <f t="shared" si="246"/>
        <v/>
      </c>
      <c r="V3113" s="215" t="s">
        <v>47</v>
      </c>
      <c r="W3113" s="102" t="s">
        <v>136</v>
      </c>
      <c r="X3113" s="102" t="s">
        <v>137</v>
      </c>
      <c r="Y3113" s="103" t="s">
        <v>138</v>
      </c>
      <c r="Z3113" s="103" t="s">
        <v>139</v>
      </c>
      <c r="AA3113" s="103" t="s">
        <v>47</v>
      </c>
      <c r="AB3113" s="103" t="s">
        <v>140</v>
      </c>
      <c r="AC3113" s="104" t="s">
        <v>141</v>
      </c>
    </row>
    <row r="3114" spans="1:29" ht="25.5" customHeight="1" x14ac:dyDescent="0.35">
      <c r="A3114" s="188"/>
      <c r="B3114" s="190"/>
      <c r="C3114" s="99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0"/>
      <c r="E3114" s="78" t="str">
        <f>IF(C3114="","",IFERROR(VLOOKUP(C3114,parametros!$A$11:$E$15,5,0),""))</f>
        <v/>
      </c>
      <c r="F3114" s="79" t="str">
        <f t="shared" si="242"/>
        <v/>
      </c>
      <c r="G3114" s="101"/>
      <c r="H3114" s="91">
        <f t="shared" si="243"/>
        <v>0</v>
      </c>
      <c r="I3114" s="91" t="str">
        <f t="shared" si="244"/>
        <v/>
      </c>
      <c r="J3114" s="91" t="str">
        <f t="shared" si="245"/>
        <v/>
      </c>
      <c r="K3114" s="92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2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58"/>
      <c r="U3114" s="217" t="str">
        <f t="shared" si="246"/>
        <v/>
      </c>
      <c r="V3114" s="215" t="s">
        <v>47</v>
      </c>
      <c r="W3114" s="102" t="s">
        <v>136</v>
      </c>
      <c r="X3114" s="102" t="s">
        <v>137</v>
      </c>
      <c r="Y3114" s="103" t="s">
        <v>138</v>
      </c>
      <c r="Z3114" s="103" t="s">
        <v>139</v>
      </c>
      <c r="AA3114" s="103" t="s">
        <v>47</v>
      </c>
      <c r="AB3114" s="103" t="s">
        <v>140</v>
      </c>
      <c r="AC3114" s="104" t="s">
        <v>141</v>
      </c>
    </row>
    <row r="3115" spans="1:29" ht="25.5" customHeight="1" x14ac:dyDescent="0.35">
      <c r="A3115" s="188"/>
      <c r="B3115" s="190"/>
      <c r="C3115" s="99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0"/>
      <c r="E3115" s="78" t="str">
        <f>IF(C3115="","",IFERROR(VLOOKUP(C3115,parametros!$A$11:$E$15,5,0),""))</f>
        <v/>
      </c>
      <c r="F3115" s="79" t="str">
        <f t="shared" si="242"/>
        <v/>
      </c>
      <c r="G3115" s="101"/>
      <c r="H3115" s="91">
        <f t="shared" si="243"/>
        <v>0</v>
      </c>
      <c r="I3115" s="91" t="str">
        <f t="shared" si="244"/>
        <v/>
      </c>
      <c r="J3115" s="91" t="str">
        <f t="shared" si="245"/>
        <v/>
      </c>
      <c r="K3115" s="92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2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58"/>
      <c r="U3115" s="217" t="str">
        <f t="shared" si="246"/>
        <v/>
      </c>
      <c r="V3115" s="215" t="s">
        <v>47</v>
      </c>
      <c r="W3115" s="102" t="s">
        <v>136</v>
      </c>
      <c r="X3115" s="102" t="s">
        <v>137</v>
      </c>
      <c r="Y3115" s="103" t="s">
        <v>138</v>
      </c>
      <c r="Z3115" s="103" t="s">
        <v>139</v>
      </c>
      <c r="AA3115" s="103" t="s">
        <v>47</v>
      </c>
      <c r="AB3115" s="103" t="s">
        <v>140</v>
      </c>
      <c r="AC3115" s="104" t="s">
        <v>141</v>
      </c>
    </row>
    <row r="3116" spans="1:29" ht="25.5" customHeight="1" x14ac:dyDescent="0.35">
      <c r="A3116" s="188"/>
      <c r="B3116" s="190"/>
      <c r="C3116" s="99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0"/>
      <c r="E3116" s="78" t="str">
        <f>IF(C3116="","",IFERROR(VLOOKUP(C3116,parametros!$A$11:$E$15,5,0),""))</f>
        <v/>
      </c>
      <c r="F3116" s="79" t="str">
        <f t="shared" si="242"/>
        <v/>
      </c>
      <c r="G3116" s="101"/>
      <c r="H3116" s="91">
        <f t="shared" si="243"/>
        <v>0</v>
      </c>
      <c r="I3116" s="91" t="str">
        <f t="shared" si="244"/>
        <v/>
      </c>
      <c r="J3116" s="91" t="str">
        <f t="shared" si="245"/>
        <v/>
      </c>
      <c r="K3116" s="92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2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58"/>
      <c r="U3116" s="217" t="str">
        <f t="shared" si="246"/>
        <v/>
      </c>
      <c r="V3116" s="215" t="s">
        <v>47</v>
      </c>
      <c r="W3116" s="102" t="s">
        <v>136</v>
      </c>
      <c r="X3116" s="102" t="s">
        <v>137</v>
      </c>
      <c r="Y3116" s="103" t="s">
        <v>138</v>
      </c>
      <c r="Z3116" s="103" t="s">
        <v>139</v>
      </c>
      <c r="AA3116" s="103" t="s">
        <v>47</v>
      </c>
      <c r="AB3116" s="103" t="s">
        <v>140</v>
      </c>
      <c r="AC3116" s="104" t="s">
        <v>141</v>
      </c>
    </row>
    <row r="3117" spans="1:29" ht="25.5" customHeight="1" x14ac:dyDescent="0.35">
      <c r="A3117" s="188"/>
      <c r="B3117" s="190"/>
      <c r="C3117" s="99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0"/>
      <c r="E3117" s="78" t="str">
        <f>IF(C3117="","",IFERROR(VLOOKUP(C3117,parametros!$A$11:$E$15,5,0),""))</f>
        <v/>
      </c>
      <c r="F3117" s="79" t="str">
        <f t="shared" si="242"/>
        <v/>
      </c>
      <c r="G3117" s="101"/>
      <c r="H3117" s="91">
        <f t="shared" si="243"/>
        <v>0</v>
      </c>
      <c r="I3117" s="91" t="str">
        <f t="shared" si="244"/>
        <v/>
      </c>
      <c r="J3117" s="91" t="str">
        <f t="shared" si="245"/>
        <v/>
      </c>
      <c r="K3117" s="92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2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58"/>
      <c r="U3117" s="217" t="str">
        <f t="shared" si="246"/>
        <v/>
      </c>
      <c r="V3117" s="215" t="s">
        <v>47</v>
      </c>
      <c r="W3117" s="102" t="s">
        <v>136</v>
      </c>
      <c r="X3117" s="102" t="s">
        <v>137</v>
      </c>
      <c r="Y3117" s="103" t="s">
        <v>138</v>
      </c>
      <c r="Z3117" s="103" t="s">
        <v>139</v>
      </c>
      <c r="AA3117" s="103" t="s">
        <v>47</v>
      </c>
      <c r="AB3117" s="103" t="s">
        <v>140</v>
      </c>
      <c r="AC3117" s="104" t="s">
        <v>141</v>
      </c>
    </row>
    <row r="3118" spans="1:29" ht="25.5" customHeight="1" x14ac:dyDescent="0.35">
      <c r="A3118" s="188"/>
      <c r="B3118" s="190"/>
      <c r="C3118" s="99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0"/>
      <c r="E3118" s="78" t="str">
        <f>IF(C3118="","",IFERROR(VLOOKUP(C3118,parametros!$A$11:$E$15,5,0),""))</f>
        <v/>
      </c>
      <c r="F3118" s="79" t="str">
        <f t="shared" si="242"/>
        <v/>
      </c>
      <c r="G3118" s="101"/>
      <c r="H3118" s="91">
        <f t="shared" si="243"/>
        <v>0</v>
      </c>
      <c r="I3118" s="91" t="str">
        <f t="shared" si="244"/>
        <v/>
      </c>
      <c r="J3118" s="91" t="str">
        <f t="shared" si="245"/>
        <v/>
      </c>
      <c r="K3118" s="92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2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58"/>
      <c r="U3118" s="217" t="str">
        <f t="shared" si="246"/>
        <v/>
      </c>
      <c r="V3118" s="215" t="s">
        <v>47</v>
      </c>
      <c r="W3118" s="102" t="s">
        <v>136</v>
      </c>
      <c r="X3118" s="102" t="s">
        <v>137</v>
      </c>
      <c r="Y3118" s="103" t="s">
        <v>138</v>
      </c>
      <c r="Z3118" s="103" t="s">
        <v>139</v>
      </c>
      <c r="AA3118" s="103" t="s">
        <v>47</v>
      </c>
      <c r="AB3118" s="103" t="s">
        <v>140</v>
      </c>
      <c r="AC3118" s="104" t="s">
        <v>141</v>
      </c>
    </row>
    <row r="3119" spans="1:29" ht="25.5" customHeight="1" x14ac:dyDescent="0.35">
      <c r="A3119" s="188"/>
      <c r="B3119" s="190"/>
      <c r="C3119" s="99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0"/>
      <c r="E3119" s="78" t="str">
        <f>IF(C3119="","",IFERROR(VLOOKUP(C3119,parametros!$A$11:$E$15,5,0),""))</f>
        <v/>
      </c>
      <c r="F3119" s="79" t="str">
        <f t="shared" si="242"/>
        <v/>
      </c>
      <c r="G3119" s="101"/>
      <c r="H3119" s="91">
        <f t="shared" si="243"/>
        <v>0</v>
      </c>
      <c r="I3119" s="91" t="str">
        <f t="shared" si="244"/>
        <v/>
      </c>
      <c r="J3119" s="91" t="str">
        <f t="shared" si="245"/>
        <v/>
      </c>
      <c r="K3119" s="92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2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58"/>
      <c r="U3119" s="217" t="str">
        <f t="shared" si="246"/>
        <v/>
      </c>
      <c r="V3119" s="215" t="s">
        <v>47</v>
      </c>
      <c r="W3119" s="102" t="s">
        <v>136</v>
      </c>
      <c r="X3119" s="102" t="s">
        <v>137</v>
      </c>
      <c r="Y3119" s="103" t="s">
        <v>138</v>
      </c>
      <c r="Z3119" s="103" t="s">
        <v>139</v>
      </c>
      <c r="AA3119" s="103" t="s">
        <v>47</v>
      </c>
      <c r="AB3119" s="103" t="s">
        <v>140</v>
      </c>
      <c r="AC3119" s="104" t="s">
        <v>141</v>
      </c>
    </row>
    <row r="3120" spans="1:29" ht="25.5" customHeight="1" x14ac:dyDescent="0.35">
      <c r="A3120" s="188"/>
      <c r="B3120" s="190"/>
      <c r="C3120" s="99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0"/>
      <c r="E3120" s="78" t="str">
        <f>IF(C3120="","",IFERROR(VLOOKUP(C3120,parametros!$A$11:$E$15,5,0),""))</f>
        <v/>
      </c>
      <c r="F3120" s="79" t="str">
        <f t="shared" si="242"/>
        <v/>
      </c>
      <c r="G3120" s="101"/>
      <c r="H3120" s="91">
        <f t="shared" si="243"/>
        <v>0</v>
      </c>
      <c r="I3120" s="91" t="str">
        <f t="shared" si="244"/>
        <v/>
      </c>
      <c r="J3120" s="91" t="str">
        <f t="shared" si="245"/>
        <v/>
      </c>
      <c r="K3120" s="92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2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58"/>
      <c r="U3120" s="217" t="str">
        <f t="shared" si="246"/>
        <v/>
      </c>
      <c r="V3120" s="215" t="s">
        <v>47</v>
      </c>
      <c r="W3120" s="102" t="s">
        <v>136</v>
      </c>
      <c r="X3120" s="102" t="s">
        <v>137</v>
      </c>
      <c r="Y3120" s="103" t="s">
        <v>138</v>
      </c>
      <c r="Z3120" s="103" t="s">
        <v>139</v>
      </c>
      <c r="AA3120" s="103" t="s">
        <v>47</v>
      </c>
      <c r="AB3120" s="103" t="s">
        <v>140</v>
      </c>
      <c r="AC3120" s="104" t="s">
        <v>141</v>
      </c>
    </row>
    <row r="3121" spans="1:29" ht="25.5" customHeight="1" x14ac:dyDescent="0.35">
      <c r="A3121" s="188"/>
      <c r="B3121" s="190"/>
      <c r="C3121" s="99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0"/>
      <c r="E3121" s="78" t="str">
        <f>IF(C3121="","",IFERROR(VLOOKUP(C3121,parametros!$A$11:$E$15,5,0),""))</f>
        <v/>
      </c>
      <c r="F3121" s="79" t="str">
        <f t="shared" si="242"/>
        <v/>
      </c>
      <c r="G3121" s="101"/>
      <c r="H3121" s="91">
        <f t="shared" si="243"/>
        <v>0</v>
      </c>
      <c r="I3121" s="91" t="str">
        <f t="shared" si="244"/>
        <v/>
      </c>
      <c r="J3121" s="91" t="str">
        <f t="shared" si="245"/>
        <v/>
      </c>
      <c r="K3121" s="92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2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58"/>
      <c r="U3121" s="217" t="str">
        <f t="shared" si="246"/>
        <v/>
      </c>
      <c r="V3121" s="215" t="s">
        <v>47</v>
      </c>
      <c r="W3121" s="102" t="s">
        <v>136</v>
      </c>
      <c r="X3121" s="102" t="s">
        <v>137</v>
      </c>
      <c r="Y3121" s="103" t="s">
        <v>138</v>
      </c>
      <c r="Z3121" s="103" t="s">
        <v>139</v>
      </c>
      <c r="AA3121" s="103" t="s">
        <v>47</v>
      </c>
      <c r="AB3121" s="103" t="s">
        <v>140</v>
      </c>
      <c r="AC3121" s="104" t="s">
        <v>141</v>
      </c>
    </row>
    <row r="3122" spans="1:29" ht="25.5" customHeight="1" x14ac:dyDescent="0.35">
      <c r="A3122" s="188"/>
      <c r="B3122" s="190"/>
      <c r="C3122" s="99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0"/>
      <c r="E3122" s="78" t="str">
        <f>IF(C3122="","",IFERROR(VLOOKUP(C3122,parametros!$A$11:$E$15,5,0),""))</f>
        <v/>
      </c>
      <c r="F3122" s="79" t="str">
        <f t="shared" si="242"/>
        <v/>
      </c>
      <c r="G3122" s="101"/>
      <c r="H3122" s="91">
        <f t="shared" si="243"/>
        <v>0</v>
      </c>
      <c r="I3122" s="91" t="str">
        <f t="shared" si="244"/>
        <v/>
      </c>
      <c r="J3122" s="91" t="str">
        <f t="shared" si="245"/>
        <v/>
      </c>
      <c r="K3122" s="92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2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58"/>
      <c r="U3122" s="217" t="str">
        <f t="shared" si="246"/>
        <v/>
      </c>
      <c r="V3122" s="215" t="s">
        <v>47</v>
      </c>
      <c r="W3122" s="102" t="s">
        <v>136</v>
      </c>
      <c r="X3122" s="102" t="s">
        <v>137</v>
      </c>
      <c r="Y3122" s="103" t="s">
        <v>138</v>
      </c>
      <c r="Z3122" s="103" t="s">
        <v>139</v>
      </c>
      <c r="AA3122" s="103" t="s">
        <v>47</v>
      </c>
      <c r="AB3122" s="103" t="s">
        <v>140</v>
      </c>
      <c r="AC3122" s="104" t="s">
        <v>141</v>
      </c>
    </row>
    <row r="3123" spans="1:29" ht="25.5" customHeight="1" x14ac:dyDescent="0.35">
      <c r="A3123" s="188"/>
      <c r="B3123" s="190"/>
      <c r="C3123" s="99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0"/>
      <c r="E3123" s="78" t="str">
        <f>IF(C3123="","",IFERROR(VLOOKUP(C3123,parametros!$A$11:$E$15,5,0),""))</f>
        <v/>
      </c>
      <c r="F3123" s="79" t="str">
        <f t="shared" si="242"/>
        <v/>
      </c>
      <c r="G3123" s="101"/>
      <c r="H3123" s="91">
        <f t="shared" si="243"/>
        <v>0</v>
      </c>
      <c r="I3123" s="91" t="str">
        <f t="shared" si="244"/>
        <v/>
      </c>
      <c r="J3123" s="91" t="str">
        <f t="shared" si="245"/>
        <v/>
      </c>
      <c r="K3123" s="92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2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58"/>
      <c r="U3123" s="217" t="str">
        <f t="shared" si="246"/>
        <v/>
      </c>
      <c r="V3123" s="215" t="s">
        <v>47</v>
      </c>
      <c r="W3123" s="102" t="s">
        <v>136</v>
      </c>
      <c r="X3123" s="102" t="s">
        <v>137</v>
      </c>
      <c r="Y3123" s="103" t="s">
        <v>138</v>
      </c>
      <c r="Z3123" s="103" t="s">
        <v>139</v>
      </c>
      <c r="AA3123" s="103" t="s">
        <v>47</v>
      </c>
      <c r="AB3123" s="103" t="s">
        <v>140</v>
      </c>
      <c r="AC3123" s="104" t="s">
        <v>141</v>
      </c>
    </row>
    <row r="3124" spans="1:29" ht="25.5" customHeight="1" x14ac:dyDescent="0.35">
      <c r="A3124" s="188"/>
      <c r="B3124" s="190"/>
      <c r="C3124" s="99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0"/>
      <c r="E3124" s="78" t="str">
        <f>IF(C3124="","",IFERROR(VLOOKUP(C3124,parametros!$A$11:$E$15,5,0),""))</f>
        <v/>
      </c>
      <c r="F3124" s="79" t="str">
        <f t="shared" si="242"/>
        <v/>
      </c>
      <c r="G3124" s="101"/>
      <c r="H3124" s="91">
        <f t="shared" si="243"/>
        <v>0</v>
      </c>
      <c r="I3124" s="91" t="str">
        <f t="shared" si="244"/>
        <v/>
      </c>
      <c r="J3124" s="91" t="str">
        <f t="shared" si="245"/>
        <v/>
      </c>
      <c r="K3124" s="92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2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58"/>
      <c r="U3124" s="217" t="str">
        <f t="shared" si="246"/>
        <v/>
      </c>
      <c r="V3124" s="215" t="s">
        <v>47</v>
      </c>
      <c r="W3124" s="102" t="s">
        <v>136</v>
      </c>
      <c r="X3124" s="102" t="s">
        <v>137</v>
      </c>
      <c r="Y3124" s="103" t="s">
        <v>138</v>
      </c>
      <c r="Z3124" s="103" t="s">
        <v>139</v>
      </c>
      <c r="AA3124" s="103" t="s">
        <v>47</v>
      </c>
      <c r="AB3124" s="103" t="s">
        <v>140</v>
      </c>
      <c r="AC3124" s="104" t="s">
        <v>141</v>
      </c>
    </row>
    <row r="3125" spans="1:29" ht="25.5" customHeight="1" x14ac:dyDescent="0.35">
      <c r="A3125" s="188"/>
      <c r="B3125" s="190"/>
      <c r="C3125" s="99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0"/>
      <c r="E3125" s="78" t="str">
        <f>IF(C3125="","",IFERROR(VLOOKUP(C3125,parametros!$A$11:$E$15,5,0),""))</f>
        <v/>
      </c>
      <c r="F3125" s="79" t="str">
        <f t="shared" si="242"/>
        <v/>
      </c>
      <c r="G3125" s="101"/>
      <c r="H3125" s="91">
        <f t="shared" si="243"/>
        <v>0</v>
      </c>
      <c r="I3125" s="91" t="str">
        <f t="shared" si="244"/>
        <v/>
      </c>
      <c r="J3125" s="91" t="str">
        <f t="shared" si="245"/>
        <v/>
      </c>
      <c r="K3125" s="92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2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58"/>
      <c r="U3125" s="217" t="str">
        <f t="shared" si="246"/>
        <v/>
      </c>
      <c r="V3125" s="215" t="s">
        <v>47</v>
      </c>
      <c r="W3125" s="102" t="s">
        <v>136</v>
      </c>
      <c r="X3125" s="102" t="s">
        <v>137</v>
      </c>
      <c r="Y3125" s="103" t="s">
        <v>138</v>
      </c>
      <c r="Z3125" s="103" t="s">
        <v>139</v>
      </c>
      <c r="AA3125" s="103" t="s">
        <v>47</v>
      </c>
      <c r="AB3125" s="103" t="s">
        <v>140</v>
      </c>
      <c r="AC3125" s="104" t="s">
        <v>141</v>
      </c>
    </row>
    <row r="3126" spans="1:29" ht="25.5" customHeight="1" x14ac:dyDescent="0.35">
      <c r="A3126" s="188"/>
      <c r="B3126" s="190"/>
      <c r="C3126" s="99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0"/>
      <c r="E3126" s="78" t="str">
        <f>IF(C3126="","",IFERROR(VLOOKUP(C3126,parametros!$A$11:$E$15,5,0),""))</f>
        <v/>
      </c>
      <c r="F3126" s="79" t="str">
        <f t="shared" si="242"/>
        <v/>
      </c>
      <c r="G3126" s="101"/>
      <c r="H3126" s="91">
        <f t="shared" si="243"/>
        <v>0</v>
      </c>
      <c r="I3126" s="91" t="str">
        <f t="shared" si="244"/>
        <v/>
      </c>
      <c r="J3126" s="91" t="str">
        <f t="shared" si="245"/>
        <v/>
      </c>
      <c r="K3126" s="92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2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58"/>
      <c r="U3126" s="217" t="str">
        <f t="shared" si="246"/>
        <v/>
      </c>
      <c r="V3126" s="215" t="s">
        <v>47</v>
      </c>
      <c r="W3126" s="102" t="s">
        <v>136</v>
      </c>
      <c r="X3126" s="102" t="s">
        <v>137</v>
      </c>
      <c r="Y3126" s="103" t="s">
        <v>138</v>
      </c>
      <c r="Z3126" s="103" t="s">
        <v>139</v>
      </c>
      <c r="AA3126" s="103" t="s">
        <v>47</v>
      </c>
      <c r="AB3126" s="103" t="s">
        <v>140</v>
      </c>
      <c r="AC3126" s="104" t="s">
        <v>141</v>
      </c>
    </row>
    <row r="3127" spans="1:29" ht="25.5" customHeight="1" x14ac:dyDescent="0.35">
      <c r="A3127" s="188"/>
      <c r="B3127" s="190"/>
      <c r="C3127" s="99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0"/>
      <c r="E3127" s="78" t="str">
        <f>IF(C3127="","",IFERROR(VLOOKUP(C3127,parametros!$A$11:$E$15,5,0),""))</f>
        <v/>
      </c>
      <c r="F3127" s="79" t="str">
        <f t="shared" si="242"/>
        <v/>
      </c>
      <c r="G3127" s="101"/>
      <c r="H3127" s="91">
        <f t="shared" si="243"/>
        <v>0</v>
      </c>
      <c r="I3127" s="91" t="str">
        <f t="shared" si="244"/>
        <v/>
      </c>
      <c r="J3127" s="91" t="str">
        <f t="shared" si="245"/>
        <v/>
      </c>
      <c r="K3127" s="92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2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58"/>
      <c r="U3127" s="217" t="str">
        <f t="shared" si="246"/>
        <v/>
      </c>
      <c r="V3127" s="215" t="s">
        <v>47</v>
      </c>
      <c r="W3127" s="102" t="s">
        <v>136</v>
      </c>
      <c r="X3127" s="102" t="s">
        <v>137</v>
      </c>
      <c r="Y3127" s="103" t="s">
        <v>138</v>
      </c>
      <c r="Z3127" s="103" t="s">
        <v>139</v>
      </c>
      <c r="AA3127" s="103" t="s">
        <v>47</v>
      </c>
      <c r="AB3127" s="103" t="s">
        <v>140</v>
      </c>
      <c r="AC3127" s="104" t="s">
        <v>141</v>
      </c>
    </row>
    <row r="3128" spans="1:29" ht="25.5" customHeight="1" x14ac:dyDescent="0.35">
      <c r="A3128" s="188"/>
      <c r="B3128" s="190"/>
      <c r="C3128" s="99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0"/>
      <c r="E3128" s="78" t="str">
        <f>IF(C3128="","",IFERROR(VLOOKUP(C3128,parametros!$A$11:$E$15,5,0),""))</f>
        <v/>
      </c>
      <c r="F3128" s="79" t="str">
        <f t="shared" si="242"/>
        <v/>
      </c>
      <c r="G3128" s="101"/>
      <c r="H3128" s="91">
        <f t="shared" si="243"/>
        <v>0</v>
      </c>
      <c r="I3128" s="91" t="str">
        <f t="shared" si="244"/>
        <v/>
      </c>
      <c r="J3128" s="91" t="str">
        <f t="shared" si="245"/>
        <v/>
      </c>
      <c r="K3128" s="92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2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58"/>
      <c r="U3128" s="217" t="str">
        <f t="shared" si="246"/>
        <v/>
      </c>
      <c r="V3128" s="215" t="s">
        <v>47</v>
      </c>
      <c r="W3128" s="102" t="s">
        <v>136</v>
      </c>
      <c r="X3128" s="102" t="s">
        <v>137</v>
      </c>
      <c r="Y3128" s="103" t="s">
        <v>138</v>
      </c>
      <c r="Z3128" s="103" t="s">
        <v>139</v>
      </c>
      <c r="AA3128" s="103" t="s">
        <v>47</v>
      </c>
      <c r="AB3128" s="103" t="s">
        <v>140</v>
      </c>
      <c r="AC3128" s="104" t="s">
        <v>141</v>
      </c>
    </row>
    <row r="3129" spans="1:29" ht="25.5" customHeight="1" x14ac:dyDescent="0.35">
      <c r="A3129" s="188"/>
      <c r="B3129" s="190"/>
      <c r="C3129" s="99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0"/>
      <c r="E3129" s="78" t="str">
        <f>IF(C3129="","",IFERROR(VLOOKUP(C3129,parametros!$A$11:$E$15,5,0),""))</f>
        <v/>
      </c>
      <c r="F3129" s="79" t="str">
        <f t="shared" si="242"/>
        <v/>
      </c>
      <c r="G3129" s="101"/>
      <c r="H3129" s="91">
        <f t="shared" si="243"/>
        <v>0</v>
      </c>
      <c r="I3129" s="91" t="str">
        <f t="shared" si="244"/>
        <v/>
      </c>
      <c r="J3129" s="91" t="str">
        <f t="shared" si="245"/>
        <v/>
      </c>
      <c r="K3129" s="92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2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58"/>
      <c r="U3129" s="217" t="str">
        <f t="shared" si="246"/>
        <v/>
      </c>
      <c r="V3129" s="215" t="s">
        <v>47</v>
      </c>
      <c r="W3129" s="102" t="s">
        <v>136</v>
      </c>
      <c r="X3129" s="102" t="s">
        <v>137</v>
      </c>
      <c r="Y3129" s="103" t="s">
        <v>138</v>
      </c>
      <c r="Z3129" s="103" t="s">
        <v>139</v>
      </c>
      <c r="AA3129" s="103" t="s">
        <v>47</v>
      </c>
      <c r="AB3129" s="103" t="s">
        <v>140</v>
      </c>
      <c r="AC3129" s="104" t="s">
        <v>141</v>
      </c>
    </row>
    <row r="3130" spans="1:29" ht="25.5" customHeight="1" x14ac:dyDescent="0.35">
      <c r="A3130" s="188"/>
      <c r="B3130" s="190"/>
      <c r="C3130" s="99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0"/>
      <c r="E3130" s="78" t="str">
        <f>IF(C3130="","",IFERROR(VLOOKUP(C3130,parametros!$A$11:$E$15,5,0),""))</f>
        <v/>
      </c>
      <c r="F3130" s="79" t="str">
        <f t="shared" si="242"/>
        <v/>
      </c>
      <c r="G3130" s="101"/>
      <c r="H3130" s="91">
        <f t="shared" si="243"/>
        <v>0</v>
      </c>
      <c r="I3130" s="91" t="str">
        <f t="shared" si="244"/>
        <v/>
      </c>
      <c r="J3130" s="91" t="str">
        <f t="shared" si="245"/>
        <v/>
      </c>
      <c r="K3130" s="92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2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58"/>
      <c r="U3130" s="217" t="str">
        <f t="shared" si="246"/>
        <v/>
      </c>
      <c r="V3130" s="215" t="s">
        <v>47</v>
      </c>
      <c r="W3130" s="102" t="s">
        <v>136</v>
      </c>
      <c r="X3130" s="102" t="s">
        <v>137</v>
      </c>
      <c r="Y3130" s="103" t="s">
        <v>138</v>
      </c>
      <c r="Z3130" s="103" t="s">
        <v>139</v>
      </c>
      <c r="AA3130" s="103" t="s">
        <v>47</v>
      </c>
      <c r="AB3130" s="103" t="s">
        <v>140</v>
      </c>
      <c r="AC3130" s="104" t="s">
        <v>141</v>
      </c>
    </row>
    <row r="3131" spans="1:29" ht="25.5" customHeight="1" x14ac:dyDescent="0.35">
      <c r="A3131" s="188"/>
      <c r="B3131" s="190"/>
      <c r="C3131" s="99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0"/>
      <c r="E3131" s="78" t="str">
        <f>IF(C3131="","",IFERROR(VLOOKUP(C3131,parametros!$A$11:$E$15,5,0),""))</f>
        <v/>
      </c>
      <c r="F3131" s="79" t="str">
        <f t="shared" si="242"/>
        <v/>
      </c>
      <c r="G3131" s="101"/>
      <c r="H3131" s="91">
        <f t="shared" si="243"/>
        <v>0</v>
      </c>
      <c r="I3131" s="91" t="str">
        <f t="shared" si="244"/>
        <v/>
      </c>
      <c r="J3131" s="91" t="str">
        <f t="shared" si="245"/>
        <v/>
      </c>
      <c r="K3131" s="92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2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58"/>
      <c r="U3131" s="217" t="str">
        <f t="shared" si="246"/>
        <v/>
      </c>
      <c r="V3131" s="215" t="s">
        <v>47</v>
      </c>
      <c r="W3131" s="102" t="s">
        <v>136</v>
      </c>
      <c r="X3131" s="102" t="s">
        <v>137</v>
      </c>
      <c r="Y3131" s="103" t="s">
        <v>138</v>
      </c>
      <c r="Z3131" s="103" t="s">
        <v>139</v>
      </c>
      <c r="AA3131" s="103" t="s">
        <v>47</v>
      </c>
      <c r="AB3131" s="103" t="s">
        <v>140</v>
      </c>
      <c r="AC3131" s="104" t="s">
        <v>141</v>
      </c>
    </row>
    <row r="3132" spans="1:29" ht="25.5" customHeight="1" x14ac:dyDescent="0.35">
      <c r="A3132" s="188"/>
      <c r="B3132" s="190"/>
      <c r="C3132" s="99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0"/>
      <c r="E3132" s="78" t="str">
        <f>IF(C3132="","",IFERROR(VLOOKUP(C3132,parametros!$A$11:$E$15,5,0),""))</f>
        <v/>
      </c>
      <c r="F3132" s="79" t="str">
        <f t="shared" si="242"/>
        <v/>
      </c>
      <c r="G3132" s="101"/>
      <c r="H3132" s="91">
        <f t="shared" si="243"/>
        <v>0</v>
      </c>
      <c r="I3132" s="91" t="str">
        <f t="shared" si="244"/>
        <v/>
      </c>
      <c r="J3132" s="91" t="str">
        <f t="shared" si="245"/>
        <v/>
      </c>
      <c r="K3132" s="92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2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58"/>
      <c r="U3132" s="217" t="str">
        <f t="shared" si="246"/>
        <v/>
      </c>
      <c r="V3132" s="215" t="s">
        <v>47</v>
      </c>
      <c r="W3132" s="102" t="s">
        <v>136</v>
      </c>
      <c r="X3132" s="102" t="s">
        <v>137</v>
      </c>
      <c r="Y3132" s="103" t="s">
        <v>138</v>
      </c>
      <c r="Z3132" s="103" t="s">
        <v>139</v>
      </c>
      <c r="AA3132" s="103" t="s">
        <v>47</v>
      </c>
      <c r="AB3132" s="103" t="s">
        <v>140</v>
      </c>
      <c r="AC3132" s="104" t="s">
        <v>141</v>
      </c>
    </row>
    <row r="3133" spans="1:29" ht="25.5" customHeight="1" x14ac:dyDescent="0.35">
      <c r="A3133" s="188"/>
      <c r="B3133" s="190"/>
      <c r="C3133" s="99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0"/>
      <c r="E3133" s="78" t="str">
        <f>IF(C3133="","",IFERROR(VLOOKUP(C3133,parametros!$A$11:$E$15,5,0),""))</f>
        <v/>
      </c>
      <c r="F3133" s="79" t="str">
        <f t="shared" si="242"/>
        <v/>
      </c>
      <c r="G3133" s="101"/>
      <c r="H3133" s="91">
        <f t="shared" si="243"/>
        <v>0</v>
      </c>
      <c r="I3133" s="91" t="str">
        <f t="shared" si="244"/>
        <v/>
      </c>
      <c r="J3133" s="91" t="str">
        <f t="shared" si="245"/>
        <v/>
      </c>
      <c r="K3133" s="92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2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58"/>
      <c r="U3133" s="217" t="str">
        <f t="shared" si="246"/>
        <v/>
      </c>
      <c r="V3133" s="215" t="s">
        <v>47</v>
      </c>
      <c r="W3133" s="102" t="s">
        <v>136</v>
      </c>
      <c r="X3133" s="102" t="s">
        <v>137</v>
      </c>
      <c r="Y3133" s="103" t="s">
        <v>138</v>
      </c>
      <c r="Z3133" s="103" t="s">
        <v>139</v>
      </c>
      <c r="AA3133" s="103" t="s">
        <v>47</v>
      </c>
      <c r="AB3133" s="103" t="s">
        <v>140</v>
      </c>
      <c r="AC3133" s="104" t="s">
        <v>141</v>
      </c>
    </row>
    <row r="3134" spans="1:29" ht="25.5" customHeight="1" x14ac:dyDescent="0.35">
      <c r="A3134" s="188"/>
      <c r="B3134" s="190"/>
      <c r="C3134" s="99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0"/>
      <c r="E3134" s="78" t="str">
        <f>IF(C3134="","",IFERROR(VLOOKUP(C3134,parametros!$A$11:$E$15,5,0),""))</f>
        <v/>
      </c>
      <c r="F3134" s="79" t="str">
        <f t="shared" si="242"/>
        <v/>
      </c>
      <c r="G3134" s="101"/>
      <c r="H3134" s="91">
        <f t="shared" si="243"/>
        <v>0</v>
      </c>
      <c r="I3134" s="91" t="str">
        <f t="shared" si="244"/>
        <v/>
      </c>
      <c r="J3134" s="91" t="str">
        <f t="shared" si="245"/>
        <v/>
      </c>
      <c r="K3134" s="92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2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58"/>
      <c r="U3134" s="217" t="str">
        <f t="shared" si="246"/>
        <v/>
      </c>
      <c r="V3134" s="215" t="s">
        <v>47</v>
      </c>
      <c r="W3134" s="102" t="s">
        <v>136</v>
      </c>
      <c r="X3134" s="102" t="s">
        <v>137</v>
      </c>
      <c r="Y3134" s="103" t="s">
        <v>138</v>
      </c>
      <c r="Z3134" s="103" t="s">
        <v>139</v>
      </c>
      <c r="AA3134" s="103" t="s">
        <v>47</v>
      </c>
      <c r="AB3134" s="103" t="s">
        <v>140</v>
      </c>
      <c r="AC3134" s="104" t="s">
        <v>141</v>
      </c>
    </row>
    <row r="3135" spans="1:29" ht="25.5" customHeight="1" x14ac:dyDescent="0.35">
      <c r="A3135" s="188"/>
      <c r="B3135" s="190"/>
      <c r="C3135" s="99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0"/>
      <c r="E3135" s="78" t="str">
        <f>IF(C3135="","",IFERROR(VLOOKUP(C3135,parametros!$A$11:$E$15,5,0),""))</f>
        <v/>
      </c>
      <c r="F3135" s="79" t="str">
        <f t="shared" si="242"/>
        <v/>
      </c>
      <c r="G3135" s="101"/>
      <c r="H3135" s="91">
        <f t="shared" si="243"/>
        <v>0</v>
      </c>
      <c r="I3135" s="91" t="str">
        <f t="shared" si="244"/>
        <v/>
      </c>
      <c r="J3135" s="91" t="str">
        <f t="shared" si="245"/>
        <v/>
      </c>
      <c r="K3135" s="92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2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58"/>
      <c r="U3135" s="217" t="str">
        <f t="shared" si="246"/>
        <v/>
      </c>
      <c r="V3135" s="215" t="s">
        <v>47</v>
      </c>
      <c r="W3135" s="102" t="s">
        <v>136</v>
      </c>
      <c r="X3135" s="102" t="s">
        <v>137</v>
      </c>
      <c r="Y3135" s="103" t="s">
        <v>138</v>
      </c>
      <c r="Z3135" s="103" t="s">
        <v>139</v>
      </c>
      <c r="AA3135" s="103" t="s">
        <v>47</v>
      </c>
      <c r="AB3135" s="103" t="s">
        <v>140</v>
      </c>
      <c r="AC3135" s="104" t="s">
        <v>141</v>
      </c>
    </row>
    <row r="3136" spans="1:29" ht="25.5" customHeight="1" x14ac:dyDescent="0.35">
      <c r="A3136" s="188"/>
      <c r="B3136" s="190"/>
      <c r="C3136" s="99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0"/>
      <c r="E3136" s="78" t="str">
        <f>IF(C3136="","",IFERROR(VLOOKUP(C3136,parametros!$A$11:$E$15,5,0),""))</f>
        <v/>
      </c>
      <c r="F3136" s="79" t="str">
        <f t="shared" si="242"/>
        <v/>
      </c>
      <c r="G3136" s="101"/>
      <c r="H3136" s="91">
        <f t="shared" si="243"/>
        <v>0</v>
      </c>
      <c r="I3136" s="91" t="str">
        <f t="shared" si="244"/>
        <v/>
      </c>
      <c r="J3136" s="91" t="str">
        <f t="shared" si="245"/>
        <v/>
      </c>
      <c r="K3136" s="92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2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58"/>
      <c r="U3136" s="217" t="str">
        <f t="shared" si="246"/>
        <v/>
      </c>
      <c r="V3136" s="215" t="s">
        <v>47</v>
      </c>
      <c r="W3136" s="102" t="s">
        <v>136</v>
      </c>
      <c r="X3136" s="102" t="s">
        <v>137</v>
      </c>
      <c r="Y3136" s="103" t="s">
        <v>138</v>
      </c>
      <c r="Z3136" s="103" t="s">
        <v>139</v>
      </c>
      <c r="AA3136" s="103" t="s">
        <v>47</v>
      </c>
      <c r="AB3136" s="103" t="s">
        <v>140</v>
      </c>
      <c r="AC3136" s="104" t="s">
        <v>141</v>
      </c>
    </row>
    <row r="3137" spans="1:29" ht="25.5" customHeight="1" x14ac:dyDescent="0.35">
      <c r="A3137" s="188"/>
      <c r="B3137" s="190"/>
      <c r="C3137" s="99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0"/>
      <c r="E3137" s="78" t="str">
        <f>IF(C3137="","",IFERROR(VLOOKUP(C3137,parametros!$A$11:$E$15,5,0),""))</f>
        <v/>
      </c>
      <c r="F3137" s="79" t="str">
        <f t="shared" si="242"/>
        <v/>
      </c>
      <c r="G3137" s="101"/>
      <c r="H3137" s="91">
        <f t="shared" si="243"/>
        <v>0</v>
      </c>
      <c r="I3137" s="91" t="str">
        <f t="shared" si="244"/>
        <v/>
      </c>
      <c r="J3137" s="91" t="str">
        <f t="shared" si="245"/>
        <v/>
      </c>
      <c r="K3137" s="92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2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58"/>
      <c r="U3137" s="217" t="str">
        <f t="shared" si="246"/>
        <v/>
      </c>
      <c r="V3137" s="215" t="s">
        <v>47</v>
      </c>
      <c r="W3137" s="102" t="s">
        <v>136</v>
      </c>
      <c r="X3137" s="102" t="s">
        <v>137</v>
      </c>
      <c r="Y3137" s="103" t="s">
        <v>138</v>
      </c>
      <c r="Z3137" s="103" t="s">
        <v>139</v>
      </c>
      <c r="AA3137" s="103" t="s">
        <v>47</v>
      </c>
      <c r="AB3137" s="103" t="s">
        <v>140</v>
      </c>
      <c r="AC3137" s="104" t="s">
        <v>141</v>
      </c>
    </row>
    <row r="3138" spans="1:29" ht="25.5" customHeight="1" x14ac:dyDescent="0.35">
      <c r="A3138" s="188"/>
      <c r="B3138" s="190"/>
      <c r="C3138" s="99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0"/>
      <c r="E3138" s="78" t="str">
        <f>IF(C3138="","",IFERROR(VLOOKUP(C3138,parametros!$A$11:$E$15,5,0),""))</f>
        <v/>
      </c>
      <c r="F3138" s="79" t="str">
        <f t="shared" ref="F3138:F3201" si="247">IF(OR(D3138="",E3138=""),"",ROUND(D3138*E3138,2))</f>
        <v/>
      </c>
      <c r="G3138" s="101"/>
      <c r="H3138" s="91">
        <f t="shared" ref="H3138:H3201" si="248">IF(G3138="Sim",IF(OR(F3138="",D3138="",L3138=""),"",IF(L3138="Sim",ROUND(F3138-D3138,2),0)),0)</f>
        <v>0</v>
      </c>
      <c r="I3138" s="91" t="str">
        <f t="shared" ref="I3138:I3201" si="249">IF(G3138="Sim",0,IF(OR(F3138="",L3138=""),"",F3138))</f>
        <v/>
      </c>
      <c r="J3138" s="91" t="str">
        <f t="shared" ref="J3138:J3201" si="250">IF(G3138="Sim",0,IF(OR(F3138="",D3138="",L3138=""),"",IF(L3138="Sim",ROUND(F3138-D3138,2),0)))</f>
        <v/>
      </c>
      <c r="K3138" s="92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2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58"/>
      <c r="U3138" s="217" t="str">
        <f t="shared" ref="U3138:U3201" si="251">IF(OR($D3138="",$H3138=""),"",ROUND($D3138+$H3138,2))</f>
        <v/>
      </c>
      <c r="V3138" s="215" t="s">
        <v>47</v>
      </c>
      <c r="W3138" s="102" t="s">
        <v>136</v>
      </c>
      <c r="X3138" s="102" t="s">
        <v>137</v>
      </c>
      <c r="Y3138" s="103" t="s">
        <v>138</v>
      </c>
      <c r="Z3138" s="103" t="s">
        <v>139</v>
      </c>
      <c r="AA3138" s="103" t="s">
        <v>47</v>
      </c>
      <c r="AB3138" s="103" t="s">
        <v>140</v>
      </c>
      <c r="AC3138" s="104" t="s">
        <v>141</v>
      </c>
    </row>
    <row r="3139" spans="1:29" ht="25.5" customHeight="1" x14ac:dyDescent="0.35">
      <c r="A3139" s="188"/>
      <c r="B3139" s="190"/>
      <c r="C3139" s="99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0"/>
      <c r="E3139" s="78" t="str">
        <f>IF(C3139="","",IFERROR(VLOOKUP(C3139,parametros!$A$11:$E$15,5,0),""))</f>
        <v/>
      </c>
      <c r="F3139" s="79" t="str">
        <f t="shared" si="247"/>
        <v/>
      </c>
      <c r="G3139" s="101"/>
      <c r="H3139" s="91">
        <f t="shared" si="248"/>
        <v>0</v>
      </c>
      <c r="I3139" s="91" t="str">
        <f t="shared" si="249"/>
        <v/>
      </c>
      <c r="J3139" s="91" t="str">
        <f t="shared" si="250"/>
        <v/>
      </c>
      <c r="K3139" s="92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2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58"/>
      <c r="U3139" s="217" t="str">
        <f t="shared" si="251"/>
        <v/>
      </c>
      <c r="V3139" s="215" t="s">
        <v>47</v>
      </c>
      <c r="W3139" s="102" t="s">
        <v>136</v>
      </c>
      <c r="X3139" s="102" t="s">
        <v>137</v>
      </c>
      <c r="Y3139" s="103" t="s">
        <v>138</v>
      </c>
      <c r="Z3139" s="103" t="s">
        <v>139</v>
      </c>
      <c r="AA3139" s="103" t="s">
        <v>47</v>
      </c>
      <c r="AB3139" s="103" t="s">
        <v>140</v>
      </c>
      <c r="AC3139" s="104" t="s">
        <v>141</v>
      </c>
    </row>
    <row r="3140" spans="1:29" ht="25.5" customHeight="1" x14ac:dyDescent="0.35">
      <c r="A3140" s="188"/>
      <c r="B3140" s="190"/>
      <c r="C3140" s="99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0"/>
      <c r="E3140" s="78" t="str">
        <f>IF(C3140="","",IFERROR(VLOOKUP(C3140,parametros!$A$11:$E$15,5,0),""))</f>
        <v/>
      </c>
      <c r="F3140" s="79" t="str">
        <f t="shared" si="247"/>
        <v/>
      </c>
      <c r="G3140" s="101"/>
      <c r="H3140" s="91">
        <f t="shared" si="248"/>
        <v>0</v>
      </c>
      <c r="I3140" s="91" t="str">
        <f t="shared" si="249"/>
        <v/>
      </c>
      <c r="J3140" s="91" t="str">
        <f t="shared" si="250"/>
        <v/>
      </c>
      <c r="K3140" s="92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2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58"/>
      <c r="U3140" s="217" t="str">
        <f t="shared" si="251"/>
        <v/>
      </c>
      <c r="V3140" s="215" t="s">
        <v>47</v>
      </c>
      <c r="W3140" s="102" t="s">
        <v>136</v>
      </c>
      <c r="X3140" s="102" t="s">
        <v>137</v>
      </c>
      <c r="Y3140" s="103" t="s">
        <v>138</v>
      </c>
      <c r="Z3140" s="103" t="s">
        <v>139</v>
      </c>
      <c r="AA3140" s="103" t="s">
        <v>47</v>
      </c>
      <c r="AB3140" s="103" t="s">
        <v>140</v>
      </c>
      <c r="AC3140" s="104" t="s">
        <v>141</v>
      </c>
    </row>
    <row r="3141" spans="1:29" ht="25.5" customHeight="1" x14ac:dyDescent="0.35">
      <c r="A3141" s="188"/>
      <c r="B3141" s="190"/>
      <c r="C3141" s="99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0"/>
      <c r="E3141" s="78" t="str">
        <f>IF(C3141="","",IFERROR(VLOOKUP(C3141,parametros!$A$11:$E$15,5,0),""))</f>
        <v/>
      </c>
      <c r="F3141" s="79" t="str">
        <f t="shared" si="247"/>
        <v/>
      </c>
      <c r="G3141" s="101"/>
      <c r="H3141" s="91">
        <f t="shared" si="248"/>
        <v>0</v>
      </c>
      <c r="I3141" s="91" t="str">
        <f t="shared" si="249"/>
        <v/>
      </c>
      <c r="J3141" s="91" t="str">
        <f t="shared" si="250"/>
        <v/>
      </c>
      <c r="K3141" s="92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2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58"/>
      <c r="U3141" s="217" t="str">
        <f t="shared" si="251"/>
        <v/>
      </c>
      <c r="V3141" s="215" t="s">
        <v>47</v>
      </c>
      <c r="W3141" s="102" t="s">
        <v>136</v>
      </c>
      <c r="X3141" s="102" t="s">
        <v>137</v>
      </c>
      <c r="Y3141" s="103" t="s">
        <v>138</v>
      </c>
      <c r="Z3141" s="103" t="s">
        <v>139</v>
      </c>
      <c r="AA3141" s="103" t="s">
        <v>47</v>
      </c>
      <c r="AB3141" s="103" t="s">
        <v>140</v>
      </c>
      <c r="AC3141" s="104" t="s">
        <v>141</v>
      </c>
    </row>
    <row r="3142" spans="1:29" ht="25.5" customHeight="1" x14ac:dyDescent="0.35">
      <c r="A3142" s="188"/>
      <c r="B3142" s="190"/>
      <c r="C3142" s="99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0"/>
      <c r="E3142" s="78" t="str">
        <f>IF(C3142="","",IFERROR(VLOOKUP(C3142,parametros!$A$11:$E$15,5,0),""))</f>
        <v/>
      </c>
      <c r="F3142" s="79" t="str">
        <f t="shared" si="247"/>
        <v/>
      </c>
      <c r="G3142" s="101"/>
      <c r="H3142" s="91">
        <f t="shared" si="248"/>
        <v>0</v>
      </c>
      <c r="I3142" s="91" t="str">
        <f t="shared" si="249"/>
        <v/>
      </c>
      <c r="J3142" s="91" t="str">
        <f t="shared" si="250"/>
        <v/>
      </c>
      <c r="K3142" s="92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2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58"/>
      <c r="U3142" s="217" t="str">
        <f t="shared" si="251"/>
        <v/>
      </c>
      <c r="V3142" s="215" t="s">
        <v>47</v>
      </c>
      <c r="W3142" s="102" t="s">
        <v>136</v>
      </c>
      <c r="X3142" s="102" t="s">
        <v>137</v>
      </c>
      <c r="Y3142" s="103" t="s">
        <v>138</v>
      </c>
      <c r="Z3142" s="103" t="s">
        <v>139</v>
      </c>
      <c r="AA3142" s="103" t="s">
        <v>47</v>
      </c>
      <c r="AB3142" s="103" t="s">
        <v>140</v>
      </c>
      <c r="AC3142" s="104" t="s">
        <v>141</v>
      </c>
    </row>
    <row r="3143" spans="1:29" ht="25.5" customHeight="1" x14ac:dyDescent="0.35">
      <c r="A3143" s="188"/>
      <c r="B3143" s="190"/>
      <c r="C3143" s="99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0"/>
      <c r="E3143" s="78" t="str">
        <f>IF(C3143="","",IFERROR(VLOOKUP(C3143,parametros!$A$11:$E$15,5,0),""))</f>
        <v/>
      </c>
      <c r="F3143" s="79" t="str">
        <f t="shared" si="247"/>
        <v/>
      </c>
      <c r="G3143" s="101"/>
      <c r="H3143" s="91">
        <f t="shared" si="248"/>
        <v>0</v>
      </c>
      <c r="I3143" s="91" t="str">
        <f t="shared" si="249"/>
        <v/>
      </c>
      <c r="J3143" s="91" t="str">
        <f t="shared" si="250"/>
        <v/>
      </c>
      <c r="K3143" s="92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2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58"/>
      <c r="U3143" s="217" t="str">
        <f t="shared" si="251"/>
        <v/>
      </c>
      <c r="V3143" s="215" t="s">
        <v>47</v>
      </c>
      <c r="W3143" s="102" t="s">
        <v>136</v>
      </c>
      <c r="X3143" s="102" t="s">
        <v>137</v>
      </c>
      <c r="Y3143" s="103" t="s">
        <v>138</v>
      </c>
      <c r="Z3143" s="103" t="s">
        <v>139</v>
      </c>
      <c r="AA3143" s="103" t="s">
        <v>47</v>
      </c>
      <c r="AB3143" s="103" t="s">
        <v>140</v>
      </c>
      <c r="AC3143" s="104" t="s">
        <v>141</v>
      </c>
    </row>
    <row r="3144" spans="1:29" ht="25.5" customHeight="1" x14ac:dyDescent="0.35">
      <c r="A3144" s="188"/>
      <c r="B3144" s="190"/>
      <c r="C3144" s="99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0"/>
      <c r="E3144" s="78" t="str">
        <f>IF(C3144="","",IFERROR(VLOOKUP(C3144,parametros!$A$11:$E$15,5,0),""))</f>
        <v/>
      </c>
      <c r="F3144" s="79" t="str">
        <f t="shared" si="247"/>
        <v/>
      </c>
      <c r="G3144" s="101"/>
      <c r="H3144" s="91">
        <f t="shared" si="248"/>
        <v>0</v>
      </c>
      <c r="I3144" s="91" t="str">
        <f t="shared" si="249"/>
        <v/>
      </c>
      <c r="J3144" s="91" t="str">
        <f t="shared" si="250"/>
        <v/>
      </c>
      <c r="K3144" s="92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2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58"/>
      <c r="U3144" s="217" t="str">
        <f t="shared" si="251"/>
        <v/>
      </c>
      <c r="V3144" s="215" t="s">
        <v>47</v>
      </c>
      <c r="W3144" s="102" t="s">
        <v>136</v>
      </c>
      <c r="X3144" s="102" t="s">
        <v>137</v>
      </c>
      <c r="Y3144" s="103" t="s">
        <v>138</v>
      </c>
      <c r="Z3144" s="103" t="s">
        <v>139</v>
      </c>
      <c r="AA3144" s="103" t="s">
        <v>47</v>
      </c>
      <c r="AB3144" s="103" t="s">
        <v>140</v>
      </c>
      <c r="AC3144" s="104" t="s">
        <v>141</v>
      </c>
    </row>
    <row r="3145" spans="1:29" ht="25.5" customHeight="1" x14ac:dyDescent="0.35">
      <c r="A3145" s="188"/>
      <c r="B3145" s="190"/>
      <c r="C3145" s="99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0"/>
      <c r="E3145" s="78" t="str">
        <f>IF(C3145="","",IFERROR(VLOOKUP(C3145,parametros!$A$11:$E$15,5,0),""))</f>
        <v/>
      </c>
      <c r="F3145" s="79" t="str">
        <f t="shared" si="247"/>
        <v/>
      </c>
      <c r="G3145" s="101"/>
      <c r="H3145" s="91">
        <f t="shared" si="248"/>
        <v>0</v>
      </c>
      <c r="I3145" s="91" t="str">
        <f t="shared" si="249"/>
        <v/>
      </c>
      <c r="J3145" s="91" t="str">
        <f t="shared" si="250"/>
        <v/>
      </c>
      <c r="K3145" s="92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2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58"/>
      <c r="U3145" s="217" t="str">
        <f t="shared" si="251"/>
        <v/>
      </c>
      <c r="V3145" s="215" t="s">
        <v>47</v>
      </c>
      <c r="W3145" s="102" t="s">
        <v>136</v>
      </c>
      <c r="X3145" s="102" t="s">
        <v>137</v>
      </c>
      <c r="Y3145" s="103" t="s">
        <v>138</v>
      </c>
      <c r="Z3145" s="103" t="s">
        <v>139</v>
      </c>
      <c r="AA3145" s="103" t="s">
        <v>47</v>
      </c>
      <c r="AB3145" s="103" t="s">
        <v>140</v>
      </c>
      <c r="AC3145" s="104" t="s">
        <v>141</v>
      </c>
    </row>
    <row r="3146" spans="1:29" ht="25.5" customHeight="1" x14ac:dyDescent="0.35">
      <c r="A3146" s="188"/>
      <c r="B3146" s="190"/>
      <c r="C3146" s="99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0"/>
      <c r="E3146" s="78" t="str">
        <f>IF(C3146="","",IFERROR(VLOOKUP(C3146,parametros!$A$11:$E$15,5,0),""))</f>
        <v/>
      </c>
      <c r="F3146" s="79" t="str">
        <f t="shared" si="247"/>
        <v/>
      </c>
      <c r="G3146" s="101"/>
      <c r="H3146" s="91">
        <f t="shared" si="248"/>
        <v>0</v>
      </c>
      <c r="I3146" s="91" t="str">
        <f t="shared" si="249"/>
        <v/>
      </c>
      <c r="J3146" s="91" t="str">
        <f t="shared" si="250"/>
        <v/>
      </c>
      <c r="K3146" s="92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2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58"/>
      <c r="U3146" s="217" t="str">
        <f t="shared" si="251"/>
        <v/>
      </c>
      <c r="V3146" s="215" t="s">
        <v>47</v>
      </c>
      <c r="W3146" s="102" t="s">
        <v>136</v>
      </c>
      <c r="X3146" s="102" t="s">
        <v>137</v>
      </c>
      <c r="Y3146" s="103" t="s">
        <v>138</v>
      </c>
      <c r="Z3146" s="103" t="s">
        <v>139</v>
      </c>
      <c r="AA3146" s="103" t="s">
        <v>47</v>
      </c>
      <c r="AB3146" s="103" t="s">
        <v>140</v>
      </c>
      <c r="AC3146" s="104" t="s">
        <v>141</v>
      </c>
    </row>
    <row r="3147" spans="1:29" ht="25.5" customHeight="1" x14ac:dyDescent="0.35">
      <c r="A3147" s="188"/>
      <c r="B3147" s="190"/>
      <c r="C3147" s="99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0"/>
      <c r="E3147" s="78" t="str">
        <f>IF(C3147="","",IFERROR(VLOOKUP(C3147,parametros!$A$11:$E$15,5,0),""))</f>
        <v/>
      </c>
      <c r="F3147" s="79" t="str">
        <f t="shared" si="247"/>
        <v/>
      </c>
      <c r="G3147" s="101"/>
      <c r="H3147" s="91">
        <f t="shared" si="248"/>
        <v>0</v>
      </c>
      <c r="I3147" s="91" t="str">
        <f t="shared" si="249"/>
        <v/>
      </c>
      <c r="J3147" s="91" t="str">
        <f t="shared" si="250"/>
        <v/>
      </c>
      <c r="K3147" s="92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2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58"/>
      <c r="U3147" s="217" t="str">
        <f t="shared" si="251"/>
        <v/>
      </c>
      <c r="V3147" s="215" t="s">
        <v>47</v>
      </c>
      <c r="W3147" s="102" t="s">
        <v>136</v>
      </c>
      <c r="X3147" s="102" t="s">
        <v>137</v>
      </c>
      <c r="Y3147" s="103" t="s">
        <v>138</v>
      </c>
      <c r="Z3147" s="103" t="s">
        <v>139</v>
      </c>
      <c r="AA3147" s="103" t="s">
        <v>47</v>
      </c>
      <c r="AB3147" s="103" t="s">
        <v>140</v>
      </c>
      <c r="AC3147" s="104" t="s">
        <v>141</v>
      </c>
    </row>
    <row r="3148" spans="1:29" ht="25.5" customHeight="1" x14ac:dyDescent="0.35">
      <c r="A3148" s="188"/>
      <c r="B3148" s="190"/>
      <c r="C3148" s="99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0"/>
      <c r="E3148" s="78" t="str">
        <f>IF(C3148="","",IFERROR(VLOOKUP(C3148,parametros!$A$11:$E$15,5,0),""))</f>
        <v/>
      </c>
      <c r="F3148" s="79" t="str">
        <f t="shared" si="247"/>
        <v/>
      </c>
      <c r="G3148" s="101"/>
      <c r="H3148" s="91">
        <f t="shared" si="248"/>
        <v>0</v>
      </c>
      <c r="I3148" s="91" t="str">
        <f t="shared" si="249"/>
        <v/>
      </c>
      <c r="J3148" s="91" t="str">
        <f t="shared" si="250"/>
        <v/>
      </c>
      <c r="K3148" s="92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2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58"/>
      <c r="U3148" s="217" t="str">
        <f t="shared" si="251"/>
        <v/>
      </c>
      <c r="V3148" s="215" t="s">
        <v>47</v>
      </c>
      <c r="W3148" s="102" t="s">
        <v>136</v>
      </c>
      <c r="X3148" s="102" t="s">
        <v>137</v>
      </c>
      <c r="Y3148" s="103" t="s">
        <v>138</v>
      </c>
      <c r="Z3148" s="103" t="s">
        <v>139</v>
      </c>
      <c r="AA3148" s="103" t="s">
        <v>47</v>
      </c>
      <c r="AB3148" s="103" t="s">
        <v>140</v>
      </c>
      <c r="AC3148" s="104" t="s">
        <v>141</v>
      </c>
    </row>
    <row r="3149" spans="1:29" ht="25.5" customHeight="1" x14ac:dyDescent="0.35">
      <c r="A3149" s="188"/>
      <c r="B3149" s="190"/>
      <c r="C3149" s="99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0"/>
      <c r="E3149" s="78" t="str">
        <f>IF(C3149="","",IFERROR(VLOOKUP(C3149,parametros!$A$11:$E$15,5,0),""))</f>
        <v/>
      </c>
      <c r="F3149" s="79" t="str">
        <f t="shared" si="247"/>
        <v/>
      </c>
      <c r="G3149" s="101"/>
      <c r="H3149" s="91">
        <f t="shared" si="248"/>
        <v>0</v>
      </c>
      <c r="I3149" s="91" t="str">
        <f t="shared" si="249"/>
        <v/>
      </c>
      <c r="J3149" s="91" t="str">
        <f t="shared" si="250"/>
        <v/>
      </c>
      <c r="K3149" s="92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2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58"/>
      <c r="U3149" s="217" t="str">
        <f t="shared" si="251"/>
        <v/>
      </c>
      <c r="V3149" s="215" t="s">
        <v>47</v>
      </c>
      <c r="W3149" s="102" t="s">
        <v>136</v>
      </c>
      <c r="X3149" s="102" t="s">
        <v>137</v>
      </c>
      <c r="Y3149" s="103" t="s">
        <v>138</v>
      </c>
      <c r="Z3149" s="103" t="s">
        <v>139</v>
      </c>
      <c r="AA3149" s="103" t="s">
        <v>47</v>
      </c>
      <c r="AB3149" s="103" t="s">
        <v>140</v>
      </c>
      <c r="AC3149" s="104" t="s">
        <v>141</v>
      </c>
    </row>
    <row r="3150" spans="1:29" ht="25.5" customHeight="1" x14ac:dyDescent="0.35">
      <c r="A3150" s="188"/>
      <c r="B3150" s="190"/>
      <c r="C3150" s="99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0"/>
      <c r="E3150" s="78" t="str">
        <f>IF(C3150="","",IFERROR(VLOOKUP(C3150,parametros!$A$11:$E$15,5,0),""))</f>
        <v/>
      </c>
      <c r="F3150" s="79" t="str">
        <f t="shared" si="247"/>
        <v/>
      </c>
      <c r="G3150" s="101"/>
      <c r="H3150" s="91">
        <f t="shared" si="248"/>
        <v>0</v>
      </c>
      <c r="I3150" s="91" t="str">
        <f t="shared" si="249"/>
        <v/>
      </c>
      <c r="J3150" s="91" t="str">
        <f t="shared" si="250"/>
        <v/>
      </c>
      <c r="K3150" s="92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2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58"/>
      <c r="U3150" s="217" t="str">
        <f t="shared" si="251"/>
        <v/>
      </c>
      <c r="V3150" s="215" t="s">
        <v>47</v>
      </c>
      <c r="W3150" s="102" t="s">
        <v>136</v>
      </c>
      <c r="X3150" s="102" t="s">
        <v>137</v>
      </c>
      <c r="Y3150" s="103" t="s">
        <v>138</v>
      </c>
      <c r="Z3150" s="103" t="s">
        <v>139</v>
      </c>
      <c r="AA3150" s="103" t="s">
        <v>47</v>
      </c>
      <c r="AB3150" s="103" t="s">
        <v>140</v>
      </c>
      <c r="AC3150" s="104" t="s">
        <v>141</v>
      </c>
    </row>
    <row r="3151" spans="1:29" ht="25.5" customHeight="1" x14ac:dyDescent="0.35">
      <c r="A3151" s="188"/>
      <c r="B3151" s="190"/>
      <c r="C3151" s="99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0"/>
      <c r="E3151" s="78" t="str">
        <f>IF(C3151="","",IFERROR(VLOOKUP(C3151,parametros!$A$11:$E$15,5,0),""))</f>
        <v/>
      </c>
      <c r="F3151" s="79" t="str">
        <f t="shared" si="247"/>
        <v/>
      </c>
      <c r="G3151" s="101"/>
      <c r="H3151" s="91">
        <f t="shared" si="248"/>
        <v>0</v>
      </c>
      <c r="I3151" s="91" t="str">
        <f t="shared" si="249"/>
        <v/>
      </c>
      <c r="J3151" s="91" t="str">
        <f t="shared" si="250"/>
        <v/>
      </c>
      <c r="K3151" s="92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2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58"/>
      <c r="U3151" s="217" t="str">
        <f t="shared" si="251"/>
        <v/>
      </c>
      <c r="V3151" s="215" t="s">
        <v>47</v>
      </c>
      <c r="W3151" s="102" t="s">
        <v>136</v>
      </c>
      <c r="X3151" s="102" t="s">
        <v>137</v>
      </c>
      <c r="Y3151" s="103" t="s">
        <v>138</v>
      </c>
      <c r="Z3151" s="103" t="s">
        <v>139</v>
      </c>
      <c r="AA3151" s="103" t="s">
        <v>47</v>
      </c>
      <c r="AB3151" s="103" t="s">
        <v>140</v>
      </c>
      <c r="AC3151" s="104" t="s">
        <v>141</v>
      </c>
    </row>
    <row r="3152" spans="1:29" ht="25.5" customHeight="1" x14ac:dyDescent="0.35">
      <c r="A3152" s="188"/>
      <c r="B3152" s="190"/>
      <c r="C3152" s="99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0"/>
      <c r="E3152" s="78" t="str">
        <f>IF(C3152="","",IFERROR(VLOOKUP(C3152,parametros!$A$11:$E$15,5,0),""))</f>
        <v/>
      </c>
      <c r="F3152" s="79" t="str">
        <f t="shared" si="247"/>
        <v/>
      </c>
      <c r="G3152" s="101"/>
      <c r="H3152" s="91">
        <f t="shared" si="248"/>
        <v>0</v>
      </c>
      <c r="I3152" s="91" t="str">
        <f t="shared" si="249"/>
        <v/>
      </c>
      <c r="J3152" s="91" t="str">
        <f t="shared" si="250"/>
        <v/>
      </c>
      <c r="K3152" s="92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2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58"/>
      <c r="U3152" s="217" t="str">
        <f t="shared" si="251"/>
        <v/>
      </c>
      <c r="V3152" s="215" t="s">
        <v>47</v>
      </c>
      <c r="W3152" s="102" t="s">
        <v>136</v>
      </c>
      <c r="X3152" s="102" t="s">
        <v>137</v>
      </c>
      <c r="Y3152" s="103" t="s">
        <v>138</v>
      </c>
      <c r="Z3152" s="103" t="s">
        <v>139</v>
      </c>
      <c r="AA3152" s="103" t="s">
        <v>47</v>
      </c>
      <c r="AB3152" s="103" t="s">
        <v>140</v>
      </c>
      <c r="AC3152" s="104" t="s">
        <v>141</v>
      </c>
    </row>
    <row r="3153" spans="1:29" ht="25.5" customHeight="1" x14ac:dyDescent="0.35">
      <c r="A3153" s="188"/>
      <c r="B3153" s="190"/>
      <c r="C3153" s="99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0"/>
      <c r="E3153" s="78" t="str">
        <f>IF(C3153="","",IFERROR(VLOOKUP(C3153,parametros!$A$11:$E$15,5,0),""))</f>
        <v/>
      </c>
      <c r="F3153" s="79" t="str">
        <f t="shared" si="247"/>
        <v/>
      </c>
      <c r="G3153" s="101"/>
      <c r="H3153" s="91">
        <f t="shared" si="248"/>
        <v>0</v>
      </c>
      <c r="I3153" s="91" t="str">
        <f t="shared" si="249"/>
        <v/>
      </c>
      <c r="J3153" s="91" t="str">
        <f t="shared" si="250"/>
        <v/>
      </c>
      <c r="K3153" s="92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2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58"/>
      <c r="U3153" s="217" t="str">
        <f t="shared" si="251"/>
        <v/>
      </c>
      <c r="V3153" s="215" t="s">
        <v>47</v>
      </c>
      <c r="W3153" s="102" t="s">
        <v>136</v>
      </c>
      <c r="X3153" s="102" t="s">
        <v>137</v>
      </c>
      <c r="Y3153" s="103" t="s">
        <v>138</v>
      </c>
      <c r="Z3153" s="103" t="s">
        <v>139</v>
      </c>
      <c r="AA3153" s="103" t="s">
        <v>47</v>
      </c>
      <c r="AB3153" s="103" t="s">
        <v>140</v>
      </c>
      <c r="AC3153" s="104" t="s">
        <v>141</v>
      </c>
    </row>
    <row r="3154" spans="1:29" ht="25.5" customHeight="1" x14ac:dyDescent="0.35">
      <c r="A3154" s="188"/>
      <c r="B3154" s="190"/>
      <c r="C3154" s="99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0"/>
      <c r="E3154" s="78" t="str">
        <f>IF(C3154="","",IFERROR(VLOOKUP(C3154,parametros!$A$11:$E$15,5,0),""))</f>
        <v/>
      </c>
      <c r="F3154" s="79" t="str">
        <f t="shared" si="247"/>
        <v/>
      </c>
      <c r="G3154" s="101"/>
      <c r="H3154" s="91">
        <f t="shared" si="248"/>
        <v>0</v>
      </c>
      <c r="I3154" s="91" t="str">
        <f t="shared" si="249"/>
        <v/>
      </c>
      <c r="J3154" s="91" t="str">
        <f t="shared" si="250"/>
        <v/>
      </c>
      <c r="K3154" s="92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2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58"/>
      <c r="U3154" s="217" t="str">
        <f t="shared" si="251"/>
        <v/>
      </c>
      <c r="V3154" s="215" t="s">
        <v>47</v>
      </c>
      <c r="W3154" s="102" t="s">
        <v>136</v>
      </c>
      <c r="X3154" s="102" t="s">
        <v>137</v>
      </c>
      <c r="Y3154" s="103" t="s">
        <v>138</v>
      </c>
      <c r="Z3154" s="103" t="s">
        <v>139</v>
      </c>
      <c r="AA3154" s="103" t="s">
        <v>47</v>
      </c>
      <c r="AB3154" s="103" t="s">
        <v>140</v>
      </c>
      <c r="AC3154" s="104" t="s">
        <v>141</v>
      </c>
    </row>
    <row r="3155" spans="1:29" ht="25.5" customHeight="1" x14ac:dyDescent="0.35">
      <c r="A3155" s="188"/>
      <c r="B3155" s="190"/>
      <c r="C3155" s="99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0"/>
      <c r="E3155" s="78" t="str">
        <f>IF(C3155="","",IFERROR(VLOOKUP(C3155,parametros!$A$11:$E$15,5,0),""))</f>
        <v/>
      </c>
      <c r="F3155" s="79" t="str">
        <f t="shared" si="247"/>
        <v/>
      </c>
      <c r="G3155" s="101"/>
      <c r="H3155" s="91">
        <f t="shared" si="248"/>
        <v>0</v>
      </c>
      <c r="I3155" s="91" t="str">
        <f t="shared" si="249"/>
        <v/>
      </c>
      <c r="J3155" s="91" t="str">
        <f t="shared" si="250"/>
        <v/>
      </c>
      <c r="K3155" s="92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2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58"/>
      <c r="U3155" s="217" t="str">
        <f t="shared" si="251"/>
        <v/>
      </c>
      <c r="V3155" s="215" t="s">
        <v>47</v>
      </c>
      <c r="W3155" s="102" t="s">
        <v>136</v>
      </c>
      <c r="X3155" s="102" t="s">
        <v>137</v>
      </c>
      <c r="Y3155" s="103" t="s">
        <v>138</v>
      </c>
      <c r="Z3155" s="103" t="s">
        <v>139</v>
      </c>
      <c r="AA3155" s="103" t="s">
        <v>47</v>
      </c>
      <c r="AB3155" s="103" t="s">
        <v>140</v>
      </c>
      <c r="AC3155" s="104" t="s">
        <v>141</v>
      </c>
    </row>
    <row r="3156" spans="1:29" ht="25.5" customHeight="1" x14ac:dyDescent="0.35">
      <c r="A3156" s="188"/>
      <c r="B3156" s="190"/>
      <c r="C3156" s="99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0"/>
      <c r="E3156" s="78" t="str">
        <f>IF(C3156="","",IFERROR(VLOOKUP(C3156,parametros!$A$11:$E$15,5,0),""))</f>
        <v/>
      </c>
      <c r="F3156" s="79" t="str">
        <f t="shared" si="247"/>
        <v/>
      </c>
      <c r="G3156" s="101"/>
      <c r="H3156" s="91">
        <f t="shared" si="248"/>
        <v>0</v>
      </c>
      <c r="I3156" s="91" t="str">
        <f t="shared" si="249"/>
        <v/>
      </c>
      <c r="J3156" s="91" t="str">
        <f t="shared" si="250"/>
        <v/>
      </c>
      <c r="K3156" s="92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2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58"/>
      <c r="U3156" s="217" t="str">
        <f t="shared" si="251"/>
        <v/>
      </c>
      <c r="V3156" s="215" t="s">
        <v>47</v>
      </c>
      <c r="W3156" s="102" t="s">
        <v>136</v>
      </c>
      <c r="X3156" s="102" t="s">
        <v>137</v>
      </c>
      <c r="Y3156" s="103" t="s">
        <v>138</v>
      </c>
      <c r="Z3156" s="103" t="s">
        <v>139</v>
      </c>
      <c r="AA3156" s="103" t="s">
        <v>47</v>
      </c>
      <c r="AB3156" s="103" t="s">
        <v>140</v>
      </c>
      <c r="AC3156" s="104" t="s">
        <v>141</v>
      </c>
    </row>
    <row r="3157" spans="1:29" ht="25.5" customHeight="1" x14ac:dyDescent="0.35">
      <c r="A3157" s="188"/>
      <c r="B3157" s="190"/>
      <c r="C3157" s="99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0"/>
      <c r="E3157" s="78" t="str">
        <f>IF(C3157="","",IFERROR(VLOOKUP(C3157,parametros!$A$11:$E$15,5,0),""))</f>
        <v/>
      </c>
      <c r="F3157" s="79" t="str">
        <f t="shared" si="247"/>
        <v/>
      </c>
      <c r="G3157" s="101"/>
      <c r="H3157" s="91">
        <f t="shared" si="248"/>
        <v>0</v>
      </c>
      <c r="I3157" s="91" t="str">
        <f t="shared" si="249"/>
        <v/>
      </c>
      <c r="J3157" s="91" t="str">
        <f t="shared" si="250"/>
        <v/>
      </c>
      <c r="K3157" s="92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2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58"/>
      <c r="U3157" s="217" t="str">
        <f t="shared" si="251"/>
        <v/>
      </c>
      <c r="V3157" s="215" t="s">
        <v>47</v>
      </c>
      <c r="W3157" s="102" t="s">
        <v>136</v>
      </c>
      <c r="X3157" s="102" t="s">
        <v>137</v>
      </c>
      <c r="Y3157" s="103" t="s">
        <v>138</v>
      </c>
      <c r="Z3157" s="103" t="s">
        <v>139</v>
      </c>
      <c r="AA3157" s="103" t="s">
        <v>47</v>
      </c>
      <c r="AB3157" s="103" t="s">
        <v>140</v>
      </c>
      <c r="AC3157" s="104" t="s">
        <v>141</v>
      </c>
    </row>
    <row r="3158" spans="1:29" ht="25.5" customHeight="1" x14ac:dyDescent="0.35">
      <c r="A3158" s="188"/>
      <c r="B3158" s="190"/>
      <c r="C3158" s="99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0"/>
      <c r="E3158" s="78" t="str">
        <f>IF(C3158="","",IFERROR(VLOOKUP(C3158,parametros!$A$11:$E$15,5,0),""))</f>
        <v/>
      </c>
      <c r="F3158" s="79" t="str">
        <f t="shared" si="247"/>
        <v/>
      </c>
      <c r="G3158" s="101"/>
      <c r="H3158" s="91">
        <f t="shared" si="248"/>
        <v>0</v>
      </c>
      <c r="I3158" s="91" t="str">
        <f t="shared" si="249"/>
        <v/>
      </c>
      <c r="J3158" s="91" t="str">
        <f t="shared" si="250"/>
        <v/>
      </c>
      <c r="K3158" s="92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2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58"/>
      <c r="U3158" s="217" t="str">
        <f t="shared" si="251"/>
        <v/>
      </c>
      <c r="V3158" s="215" t="s">
        <v>47</v>
      </c>
      <c r="W3158" s="102" t="s">
        <v>136</v>
      </c>
      <c r="X3158" s="102" t="s">
        <v>137</v>
      </c>
      <c r="Y3158" s="103" t="s">
        <v>138</v>
      </c>
      <c r="Z3158" s="103" t="s">
        <v>139</v>
      </c>
      <c r="AA3158" s="103" t="s">
        <v>47</v>
      </c>
      <c r="AB3158" s="103" t="s">
        <v>140</v>
      </c>
      <c r="AC3158" s="104" t="s">
        <v>141</v>
      </c>
    </row>
    <row r="3159" spans="1:29" ht="25.5" customHeight="1" x14ac:dyDescent="0.35">
      <c r="A3159" s="188"/>
      <c r="B3159" s="190"/>
      <c r="C3159" s="99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0"/>
      <c r="E3159" s="78" t="str">
        <f>IF(C3159="","",IFERROR(VLOOKUP(C3159,parametros!$A$11:$E$15,5,0),""))</f>
        <v/>
      </c>
      <c r="F3159" s="79" t="str">
        <f t="shared" si="247"/>
        <v/>
      </c>
      <c r="G3159" s="101"/>
      <c r="H3159" s="91">
        <f t="shared" si="248"/>
        <v>0</v>
      </c>
      <c r="I3159" s="91" t="str">
        <f t="shared" si="249"/>
        <v/>
      </c>
      <c r="J3159" s="91" t="str">
        <f t="shared" si="250"/>
        <v/>
      </c>
      <c r="K3159" s="92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2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58"/>
      <c r="U3159" s="217" t="str">
        <f t="shared" si="251"/>
        <v/>
      </c>
      <c r="V3159" s="215" t="s">
        <v>47</v>
      </c>
      <c r="W3159" s="102" t="s">
        <v>136</v>
      </c>
      <c r="X3159" s="102" t="s">
        <v>137</v>
      </c>
      <c r="Y3159" s="103" t="s">
        <v>138</v>
      </c>
      <c r="Z3159" s="103" t="s">
        <v>139</v>
      </c>
      <c r="AA3159" s="103" t="s">
        <v>47</v>
      </c>
      <c r="AB3159" s="103" t="s">
        <v>140</v>
      </c>
      <c r="AC3159" s="104" t="s">
        <v>141</v>
      </c>
    </row>
    <row r="3160" spans="1:29" ht="25.5" customHeight="1" x14ac:dyDescent="0.35">
      <c r="A3160" s="188"/>
      <c r="B3160" s="190"/>
      <c r="C3160" s="99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0"/>
      <c r="E3160" s="78" t="str">
        <f>IF(C3160="","",IFERROR(VLOOKUP(C3160,parametros!$A$11:$E$15,5,0),""))</f>
        <v/>
      </c>
      <c r="F3160" s="79" t="str">
        <f t="shared" si="247"/>
        <v/>
      </c>
      <c r="G3160" s="101"/>
      <c r="H3160" s="91">
        <f t="shared" si="248"/>
        <v>0</v>
      </c>
      <c r="I3160" s="91" t="str">
        <f t="shared" si="249"/>
        <v/>
      </c>
      <c r="J3160" s="91" t="str">
        <f t="shared" si="250"/>
        <v/>
      </c>
      <c r="K3160" s="92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2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58"/>
      <c r="U3160" s="217" t="str">
        <f t="shared" si="251"/>
        <v/>
      </c>
      <c r="V3160" s="215" t="s">
        <v>47</v>
      </c>
      <c r="W3160" s="102" t="s">
        <v>136</v>
      </c>
      <c r="X3160" s="102" t="s">
        <v>137</v>
      </c>
      <c r="Y3160" s="103" t="s">
        <v>138</v>
      </c>
      <c r="Z3160" s="103" t="s">
        <v>139</v>
      </c>
      <c r="AA3160" s="103" t="s">
        <v>47</v>
      </c>
      <c r="AB3160" s="103" t="s">
        <v>140</v>
      </c>
      <c r="AC3160" s="104" t="s">
        <v>141</v>
      </c>
    </row>
    <row r="3161" spans="1:29" ht="25.5" customHeight="1" x14ac:dyDescent="0.35">
      <c r="A3161" s="188"/>
      <c r="B3161" s="190"/>
      <c r="C3161" s="99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0"/>
      <c r="E3161" s="78" t="str">
        <f>IF(C3161="","",IFERROR(VLOOKUP(C3161,parametros!$A$11:$E$15,5,0),""))</f>
        <v/>
      </c>
      <c r="F3161" s="79" t="str">
        <f t="shared" si="247"/>
        <v/>
      </c>
      <c r="G3161" s="101"/>
      <c r="H3161" s="91">
        <f t="shared" si="248"/>
        <v>0</v>
      </c>
      <c r="I3161" s="91" t="str">
        <f t="shared" si="249"/>
        <v/>
      </c>
      <c r="J3161" s="91" t="str">
        <f t="shared" si="250"/>
        <v/>
      </c>
      <c r="K3161" s="92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2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58"/>
      <c r="U3161" s="217" t="str">
        <f t="shared" si="251"/>
        <v/>
      </c>
      <c r="V3161" s="215" t="s">
        <v>47</v>
      </c>
      <c r="W3161" s="102" t="s">
        <v>136</v>
      </c>
      <c r="X3161" s="102" t="s">
        <v>137</v>
      </c>
      <c r="Y3161" s="103" t="s">
        <v>138</v>
      </c>
      <c r="Z3161" s="103" t="s">
        <v>139</v>
      </c>
      <c r="AA3161" s="103" t="s">
        <v>47</v>
      </c>
      <c r="AB3161" s="103" t="s">
        <v>140</v>
      </c>
      <c r="AC3161" s="104" t="s">
        <v>141</v>
      </c>
    </row>
    <row r="3162" spans="1:29" ht="25.5" customHeight="1" x14ac:dyDescent="0.35">
      <c r="A3162" s="188"/>
      <c r="B3162" s="190"/>
      <c r="C3162" s="99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0"/>
      <c r="E3162" s="78" t="str">
        <f>IF(C3162="","",IFERROR(VLOOKUP(C3162,parametros!$A$11:$E$15,5,0),""))</f>
        <v/>
      </c>
      <c r="F3162" s="79" t="str">
        <f t="shared" si="247"/>
        <v/>
      </c>
      <c r="G3162" s="101"/>
      <c r="H3162" s="91">
        <f t="shared" si="248"/>
        <v>0</v>
      </c>
      <c r="I3162" s="91" t="str">
        <f t="shared" si="249"/>
        <v/>
      </c>
      <c r="J3162" s="91" t="str">
        <f t="shared" si="250"/>
        <v/>
      </c>
      <c r="K3162" s="92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2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58"/>
      <c r="U3162" s="217" t="str">
        <f t="shared" si="251"/>
        <v/>
      </c>
      <c r="V3162" s="215" t="s">
        <v>47</v>
      </c>
      <c r="W3162" s="102" t="s">
        <v>136</v>
      </c>
      <c r="X3162" s="102" t="s">
        <v>137</v>
      </c>
      <c r="Y3162" s="103" t="s">
        <v>138</v>
      </c>
      <c r="Z3162" s="103" t="s">
        <v>139</v>
      </c>
      <c r="AA3162" s="103" t="s">
        <v>47</v>
      </c>
      <c r="AB3162" s="103" t="s">
        <v>140</v>
      </c>
      <c r="AC3162" s="104" t="s">
        <v>141</v>
      </c>
    </row>
    <row r="3163" spans="1:29" ht="25.5" customHeight="1" x14ac:dyDescent="0.35">
      <c r="A3163" s="188"/>
      <c r="B3163" s="190"/>
      <c r="C3163" s="99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0"/>
      <c r="E3163" s="78" t="str">
        <f>IF(C3163="","",IFERROR(VLOOKUP(C3163,parametros!$A$11:$E$15,5,0),""))</f>
        <v/>
      </c>
      <c r="F3163" s="79" t="str">
        <f t="shared" si="247"/>
        <v/>
      </c>
      <c r="G3163" s="101"/>
      <c r="H3163" s="91">
        <f t="shared" si="248"/>
        <v>0</v>
      </c>
      <c r="I3163" s="91" t="str">
        <f t="shared" si="249"/>
        <v/>
      </c>
      <c r="J3163" s="91" t="str">
        <f t="shared" si="250"/>
        <v/>
      </c>
      <c r="K3163" s="92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2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58"/>
      <c r="U3163" s="217" t="str">
        <f t="shared" si="251"/>
        <v/>
      </c>
      <c r="V3163" s="215" t="s">
        <v>47</v>
      </c>
      <c r="W3163" s="102" t="s">
        <v>136</v>
      </c>
      <c r="X3163" s="102" t="s">
        <v>137</v>
      </c>
      <c r="Y3163" s="103" t="s">
        <v>138</v>
      </c>
      <c r="Z3163" s="103" t="s">
        <v>139</v>
      </c>
      <c r="AA3163" s="103" t="s">
        <v>47</v>
      </c>
      <c r="AB3163" s="103" t="s">
        <v>140</v>
      </c>
      <c r="AC3163" s="104" t="s">
        <v>141</v>
      </c>
    </row>
    <row r="3164" spans="1:29" ht="25.5" customHeight="1" x14ac:dyDescent="0.35">
      <c r="A3164" s="188"/>
      <c r="B3164" s="190"/>
      <c r="C3164" s="99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0"/>
      <c r="E3164" s="78" t="str">
        <f>IF(C3164="","",IFERROR(VLOOKUP(C3164,parametros!$A$11:$E$15,5,0),""))</f>
        <v/>
      </c>
      <c r="F3164" s="79" t="str">
        <f t="shared" si="247"/>
        <v/>
      </c>
      <c r="G3164" s="101"/>
      <c r="H3164" s="91">
        <f t="shared" si="248"/>
        <v>0</v>
      </c>
      <c r="I3164" s="91" t="str">
        <f t="shared" si="249"/>
        <v/>
      </c>
      <c r="J3164" s="91" t="str">
        <f t="shared" si="250"/>
        <v/>
      </c>
      <c r="K3164" s="92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2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58"/>
      <c r="U3164" s="217" t="str">
        <f t="shared" si="251"/>
        <v/>
      </c>
      <c r="V3164" s="215" t="s">
        <v>47</v>
      </c>
      <c r="W3164" s="102" t="s">
        <v>136</v>
      </c>
      <c r="X3164" s="102" t="s">
        <v>137</v>
      </c>
      <c r="Y3164" s="103" t="s">
        <v>138</v>
      </c>
      <c r="Z3164" s="103" t="s">
        <v>139</v>
      </c>
      <c r="AA3164" s="103" t="s">
        <v>47</v>
      </c>
      <c r="AB3164" s="103" t="s">
        <v>140</v>
      </c>
      <c r="AC3164" s="104" t="s">
        <v>141</v>
      </c>
    </row>
    <row r="3165" spans="1:29" ht="25.5" customHeight="1" x14ac:dyDescent="0.35">
      <c r="A3165" s="188"/>
      <c r="B3165" s="190"/>
      <c r="C3165" s="99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0"/>
      <c r="E3165" s="78" t="str">
        <f>IF(C3165="","",IFERROR(VLOOKUP(C3165,parametros!$A$11:$E$15,5,0),""))</f>
        <v/>
      </c>
      <c r="F3165" s="79" t="str">
        <f t="shared" si="247"/>
        <v/>
      </c>
      <c r="G3165" s="101"/>
      <c r="H3165" s="91">
        <f t="shared" si="248"/>
        <v>0</v>
      </c>
      <c r="I3165" s="91" t="str">
        <f t="shared" si="249"/>
        <v/>
      </c>
      <c r="J3165" s="91" t="str">
        <f t="shared" si="250"/>
        <v/>
      </c>
      <c r="K3165" s="92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2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58"/>
      <c r="U3165" s="217" t="str">
        <f t="shared" si="251"/>
        <v/>
      </c>
      <c r="V3165" s="215" t="s">
        <v>47</v>
      </c>
      <c r="W3165" s="102" t="s">
        <v>136</v>
      </c>
      <c r="X3165" s="102" t="s">
        <v>137</v>
      </c>
      <c r="Y3165" s="103" t="s">
        <v>138</v>
      </c>
      <c r="Z3165" s="103" t="s">
        <v>139</v>
      </c>
      <c r="AA3165" s="103" t="s">
        <v>47</v>
      </c>
      <c r="AB3165" s="103" t="s">
        <v>140</v>
      </c>
      <c r="AC3165" s="104" t="s">
        <v>141</v>
      </c>
    </row>
    <row r="3166" spans="1:29" ht="25.5" customHeight="1" x14ac:dyDescent="0.35">
      <c r="A3166" s="188"/>
      <c r="B3166" s="190"/>
      <c r="C3166" s="99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0"/>
      <c r="E3166" s="78" t="str">
        <f>IF(C3166="","",IFERROR(VLOOKUP(C3166,parametros!$A$11:$E$15,5,0),""))</f>
        <v/>
      </c>
      <c r="F3166" s="79" t="str">
        <f t="shared" si="247"/>
        <v/>
      </c>
      <c r="G3166" s="101"/>
      <c r="H3166" s="91">
        <f t="shared" si="248"/>
        <v>0</v>
      </c>
      <c r="I3166" s="91" t="str">
        <f t="shared" si="249"/>
        <v/>
      </c>
      <c r="J3166" s="91" t="str">
        <f t="shared" si="250"/>
        <v/>
      </c>
      <c r="K3166" s="92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2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58"/>
      <c r="U3166" s="217" t="str">
        <f t="shared" si="251"/>
        <v/>
      </c>
      <c r="V3166" s="215" t="s">
        <v>47</v>
      </c>
      <c r="W3166" s="102" t="s">
        <v>136</v>
      </c>
      <c r="X3166" s="102" t="s">
        <v>137</v>
      </c>
      <c r="Y3166" s="103" t="s">
        <v>138</v>
      </c>
      <c r="Z3166" s="103" t="s">
        <v>139</v>
      </c>
      <c r="AA3166" s="103" t="s">
        <v>47</v>
      </c>
      <c r="AB3166" s="103" t="s">
        <v>140</v>
      </c>
      <c r="AC3166" s="104" t="s">
        <v>141</v>
      </c>
    </row>
    <row r="3167" spans="1:29" ht="25.5" customHeight="1" x14ac:dyDescent="0.35">
      <c r="A3167" s="188"/>
      <c r="B3167" s="190"/>
      <c r="C3167" s="99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0"/>
      <c r="E3167" s="78" t="str">
        <f>IF(C3167="","",IFERROR(VLOOKUP(C3167,parametros!$A$11:$E$15,5,0),""))</f>
        <v/>
      </c>
      <c r="F3167" s="79" t="str">
        <f t="shared" si="247"/>
        <v/>
      </c>
      <c r="G3167" s="101"/>
      <c r="H3167" s="91">
        <f t="shared" si="248"/>
        <v>0</v>
      </c>
      <c r="I3167" s="91" t="str">
        <f t="shared" si="249"/>
        <v/>
      </c>
      <c r="J3167" s="91" t="str">
        <f t="shared" si="250"/>
        <v/>
      </c>
      <c r="K3167" s="92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2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58"/>
      <c r="U3167" s="217" t="str">
        <f t="shared" si="251"/>
        <v/>
      </c>
      <c r="V3167" s="215" t="s">
        <v>47</v>
      </c>
      <c r="W3167" s="102" t="s">
        <v>136</v>
      </c>
      <c r="X3167" s="102" t="s">
        <v>137</v>
      </c>
      <c r="Y3167" s="103" t="s">
        <v>138</v>
      </c>
      <c r="Z3167" s="103" t="s">
        <v>139</v>
      </c>
      <c r="AA3167" s="103" t="s">
        <v>47</v>
      </c>
      <c r="AB3167" s="103" t="s">
        <v>140</v>
      </c>
      <c r="AC3167" s="104" t="s">
        <v>141</v>
      </c>
    </row>
    <row r="3168" spans="1:29" ht="25.5" customHeight="1" x14ac:dyDescent="0.35">
      <c r="A3168" s="188"/>
      <c r="B3168" s="190"/>
      <c r="C3168" s="99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0"/>
      <c r="E3168" s="78" t="str">
        <f>IF(C3168="","",IFERROR(VLOOKUP(C3168,parametros!$A$11:$E$15,5,0),""))</f>
        <v/>
      </c>
      <c r="F3168" s="79" t="str">
        <f t="shared" si="247"/>
        <v/>
      </c>
      <c r="G3168" s="101"/>
      <c r="H3168" s="91">
        <f t="shared" si="248"/>
        <v>0</v>
      </c>
      <c r="I3168" s="91" t="str">
        <f t="shared" si="249"/>
        <v/>
      </c>
      <c r="J3168" s="91" t="str">
        <f t="shared" si="250"/>
        <v/>
      </c>
      <c r="K3168" s="92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2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58"/>
      <c r="U3168" s="217" t="str">
        <f t="shared" si="251"/>
        <v/>
      </c>
      <c r="V3168" s="215" t="s">
        <v>47</v>
      </c>
      <c r="W3168" s="102" t="s">
        <v>136</v>
      </c>
      <c r="X3168" s="102" t="s">
        <v>137</v>
      </c>
      <c r="Y3168" s="103" t="s">
        <v>138</v>
      </c>
      <c r="Z3168" s="103" t="s">
        <v>139</v>
      </c>
      <c r="AA3168" s="103" t="s">
        <v>47</v>
      </c>
      <c r="AB3168" s="103" t="s">
        <v>140</v>
      </c>
      <c r="AC3168" s="104" t="s">
        <v>141</v>
      </c>
    </row>
    <row r="3169" spans="1:29" ht="25.5" customHeight="1" x14ac:dyDescent="0.35">
      <c r="A3169" s="188"/>
      <c r="B3169" s="190"/>
      <c r="C3169" s="99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0"/>
      <c r="E3169" s="78" t="str">
        <f>IF(C3169="","",IFERROR(VLOOKUP(C3169,parametros!$A$11:$E$15,5,0),""))</f>
        <v/>
      </c>
      <c r="F3169" s="79" t="str">
        <f t="shared" si="247"/>
        <v/>
      </c>
      <c r="G3169" s="101"/>
      <c r="H3169" s="91">
        <f t="shared" si="248"/>
        <v>0</v>
      </c>
      <c r="I3169" s="91" t="str">
        <f t="shared" si="249"/>
        <v/>
      </c>
      <c r="J3169" s="91" t="str">
        <f t="shared" si="250"/>
        <v/>
      </c>
      <c r="K3169" s="92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2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58"/>
      <c r="U3169" s="217" t="str">
        <f t="shared" si="251"/>
        <v/>
      </c>
      <c r="V3169" s="215" t="s">
        <v>47</v>
      </c>
      <c r="W3169" s="102" t="s">
        <v>136</v>
      </c>
      <c r="X3169" s="102" t="s">
        <v>137</v>
      </c>
      <c r="Y3169" s="103" t="s">
        <v>138</v>
      </c>
      <c r="Z3169" s="103" t="s">
        <v>139</v>
      </c>
      <c r="AA3169" s="103" t="s">
        <v>47</v>
      </c>
      <c r="AB3169" s="103" t="s">
        <v>140</v>
      </c>
      <c r="AC3169" s="104" t="s">
        <v>141</v>
      </c>
    </row>
    <row r="3170" spans="1:29" ht="25.5" customHeight="1" x14ac:dyDescent="0.35">
      <c r="A3170" s="188"/>
      <c r="B3170" s="190"/>
      <c r="C3170" s="99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0"/>
      <c r="E3170" s="78" t="str">
        <f>IF(C3170="","",IFERROR(VLOOKUP(C3170,parametros!$A$11:$E$15,5,0),""))</f>
        <v/>
      </c>
      <c r="F3170" s="79" t="str">
        <f t="shared" si="247"/>
        <v/>
      </c>
      <c r="G3170" s="101"/>
      <c r="H3170" s="91">
        <f t="shared" si="248"/>
        <v>0</v>
      </c>
      <c r="I3170" s="91" t="str">
        <f t="shared" si="249"/>
        <v/>
      </c>
      <c r="J3170" s="91" t="str">
        <f t="shared" si="250"/>
        <v/>
      </c>
      <c r="K3170" s="92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2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58"/>
      <c r="U3170" s="217" t="str">
        <f t="shared" si="251"/>
        <v/>
      </c>
      <c r="V3170" s="215" t="s">
        <v>47</v>
      </c>
      <c r="W3170" s="102" t="s">
        <v>136</v>
      </c>
      <c r="X3170" s="102" t="s">
        <v>137</v>
      </c>
      <c r="Y3170" s="103" t="s">
        <v>138</v>
      </c>
      <c r="Z3170" s="103" t="s">
        <v>139</v>
      </c>
      <c r="AA3170" s="103" t="s">
        <v>47</v>
      </c>
      <c r="AB3170" s="103" t="s">
        <v>140</v>
      </c>
      <c r="AC3170" s="104" t="s">
        <v>141</v>
      </c>
    </row>
    <row r="3171" spans="1:29" ht="25.5" customHeight="1" x14ac:dyDescent="0.35">
      <c r="A3171" s="188"/>
      <c r="B3171" s="190"/>
      <c r="C3171" s="99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0"/>
      <c r="E3171" s="78" t="str">
        <f>IF(C3171="","",IFERROR(VLOOKUP(C3171,parametros!$A$11:$E$15,5,0),""))</f>
        <v/>
      </c>
      <c r="F3171" s="79" t="str">
        <f t="shared" si="247"/>
        <v/>
      </c>
      <c r="G3171" s="101"/>
      <c r="H3171" s="91">
        <f t="shared" si="248"/>
        <v>0</v>
      </c>
      <c r="I3171" s="91" t="str">
        <f t="shared" si="249"/>
        <v/>
      </c>
      <c r="J3171" s="91" t="str">
        <f t="shared" si="250"/>
        <v/>
      </c>
      <c r="K3171" s="92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2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58"/>
      <c r="U3171" s="217" t="str">
        <f t="shared" si="251"/>
        <v/>
      </c>
      <c r="V3171" s="215" t="s">
        <v>47</v>
      </c>
      <c r="W3171" s="102" t="s">
        <v>136</v>
      </c>
      <c r="X3171" s="102" t="s">
        <v>137</v>
      </c>
      <c r="Y3171" s="103" t="s">
        <v>138</v>
      </c>
      <c r="Z3171" s="103" t="s">
        <v>139</v>
      </c>
      <c r="AA3171" s="103" t="s">
        <v>47</v>
      </c>
      <c r="AB3171" s="103" t="s">
        <v>140</v>
      </c>
      <c r="AC3171" s="104" t="s">
        <v>141</v>
      </c>
    </row>
    <row r="3172" spans="1:29" ht="25.5" customHeight="1" x14ac:dyDescent="0.35">
      <c r="A3172" s="188"/>
      <c r="B3172" s="190"/>
      <c r="C3172" s="99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0"/>
      <c r="E3172" s="78" t="str">
        <f>IF(C3172="","",IFERROR(VLOOKUP(C3172,parametros!$A$11:$E$15,5,0),""))</f>
        <v/>
      </c>
      <c r="F3172" s="79" t="str">
        <f t="shared" si="247"/>
        <v/>
      </c>
      <c r="G3172" s="101"/>
      <c r="H3172" s="91">
        <f t="shared" si="248"/>
        <v>0</v>
      </c>
      <c r="I3172" s="91" t="str">
        <f t="shared" si="249"/>
        <v/>
      </c>
      <c r="J3172" s="91" t="str">
        <f t="shared" si="250"/>
        <v/>
      </c>
      <c r="K3172" s="92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2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58"/>
      <c r="U3172" s="217" t="str">
        <f t="shared" si="251"/>
        <v/>
      </c>
      <c r="V3172" s="215" t="s">
        <v>47</v>
      </c>
      <c r="W3172" s="102" t="s">
        <v>136</v>
      </c>
      <c r="X3172" s="102" t="s">
        <v>137</v>
      </c>
      <c r="Y3172" s="103" t="s">
        <v>138</v>
      </c>
      <c r="Z3172" s="103" t="s">
        <v>139</v>
      </c>
      <c r="AA3172" s="103" t="s">
        <v>47</v>
      </c>
      <c r="AB3172" s="103" t="s">
        <v>140</v>
      </c>
      <c r="AC3172" s="104" t="s">
        <v>141</v>
      </c>
    </row>
    <row r="3173" spans="1:29" ht="25.5" customHeight="1" x14ac:dyDescent="0.35">
      <c r="A3173" s="188"/>
      <c r="B3173" s="190"/>
      <c r="C3173" s="99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0"/>
      <c r="E3173" s="78" t="str">
        <f>IF(C3173="","",IFERROR(VLOOKUP(C3173,parametros!$A$11:$E$15,5,0),""))</f>
        <v/>
      </c>
      <c r="F3173" s="79" t="str">
        <f t="shared" si="247"/>
        <v/>
      </c>
      <c r="G3173" s="101"/>
      <c r="H3173" s="91">
        <f t="shared" si="248"/>
        <v>0</v>
      </c>
      <c r="I3173" s="91" t="str">
        <f t="shared" si="249"/>
        <v/>
      </c>
      <c r="J3173" s="91" t="str">
        <f t="shared" si="250"/>
        <v/>
      </c>
      <c r="K3173" s="92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2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58"/>
      <c r="U3173" s="217" t="str">
        <f t="shared" si="251"/>
        <v/>
      </c>
      <c r="V3173" s="215" t="s">
        <v>47</v>
      </c>
      <c r="W3173" s="102" t="s">
        <v>136</v>
      </c>
      <c r="X3173" s="102" t="s">
        <v>137</v>
      </c>
      <c r="Y3173" s="103" t="s">
        <v>138</v>
      </c>
      <c r="Z3173" s="103" t="s">
        <v>139</v>
      </c>
      <c r="AA3173" s="103" t="s">
        <v>47</v>
      </c>
      <c r="AB3173" s="103" t="s">
        <v>140</v>
      </c>
      <c r="AC3173" s="104" t="s">
        <v>141</v>
      </c>
    </row>
    <row r="3174" spans="1:29" ht="25.5" customHeight="1" x14ac:dyDescent="0.35">
      <c r="A3174" s="188"/>
      <c r="B3174" s="190"/>
      <c r="C3174" s="99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0"/>
      <c r="E3174" s="78" t="str">
        <f>IF(C3174="","",IFERROR(VLOOKUP(C3174,parametros!$A$11:$E$15,5,0),""))</f>
        <v/>
      </c>
      <c r="F3174" s="79" t="str">
        <f t="shared" si="247"/>
        <v/>
      </c>
      <c r="G3174" s="101"/>
      <c r="H3174" s="91">
        <f t="shared" si="248"/>
        <v>0</v>
      </c>
      <c r="I3174" s="91" t="str">
        <f t="shared" si="249"/>
        <v/>
      </c>
      <c r="J3174" s="91" t="str">
        <f t="shared" si="250"/>
        <v/>
      </c>
      <c r="K3174" s="92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2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58"/>
      <c r="U3174" s="217" t="str">
        <f t="shared" si="251"/>
        <v/>
      </c>
      <c r="V3174" s="215" t="s">
        <v>47</v>
      </c>
      <c r="W3174" s="102" t="s">
        <v>136</v>
      </c>
      <c r="X3174" s="102" t="s">
        <v>137</v>
      </c>
      <c r="Y3174" s="103" t="s">
        <v>138</v>
      </c>
      <c r="Z3174" s="103" t="s">
        <v>139</v>
      </c>
      <c r="AA3174" s="103" t="s">
        <v>47</v>
      </c>
      <c r="AB3174" s="103" t="s">
        <v>140</v>
      </c>
      <c r="AC3174" s="104" t="s">
        <v>141</v>
      </c>
    </row>
    <row r="3175" spans="1:29" ht="25.5" customHeight="1" x14ac:dyDescent="0.35">
      <c r="A3175" s="188"/>
      <c r="B3175" s="190"/>
      <c r="C3175" s="99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0"/>
      <c r="E3175" s="78" t="str">
        <f>IF(C3175="","",IFERROR(VLOOKUP(C3175,parametros!$A$11:$E$15,5,0),""))</f>
        <v/>
      </c>
      <c r="F3175" s="79" t="str">
        <f t="shared" si="247"/>
        <v/>
      </c>
      <c r="G3175" s="101"/>
      <c r="H3175" s="91">
        <f t="shared" si="248"/>
        <v>0</v>
      </c>
      <c r="I3175" s="91" t="str">
        <f t="shared" si="249"/>
        <v/>
      </c>
      <c r="J3175" s="91" t="str">
        <f t="shared" si="250"/>
        <v/>
      </c>
      <c r="K3175" s="92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2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58"/>
      <c r="U3175" s="217" t="str">
        <f t="shared" si="251"/>
        <v/>
      </c>
      <c r="V3175" s="215" t="s">
        <v>47</v>
      </c>
      <c r="W3175" s="102" t="s">
        <v>136</v>
      </c>
      <c r="X3175" s="102" t="s">
        <v>137</v>
      </c>
      <c r="Y3175" s="103" t="s">
        <v>138</v>
      </c>
      <c r="Z3175" s="103" t="s">
        <v>139</v>
      </c>
      <c r="AA3175" s="103" t="s">
        <v>47</v>
      </c>
      <c r="AB3175" s="103" t="s">
        <v>140</v>
      </c>
      <c r="AC3175" s="104" t="s">
        <v>141</v>
      </c>
    </row>
    <row r="3176" spans="1:29" ht="25.5" customHeight="1" x14ac:dyDescent="0.35">
      <c r="A3176" s="188"/>
      <c r="B3176" s="190"/>
      <c r="C3176" s="99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0"/>
      <c r="E3176" s="78" t="str">
        <f>IF(C3176="","",IFERROR(VLOOKUP(C3176,parametros!$A$11:$E$15,5,0),""))</f>
        <v/>
      </c>
      <c r="F3176" s="79" t="str">
        <f t="shared" si="247"/>
        <v/>
      </c>
      <c r="G3176" s="101"/>
      <c r="H3176" s="91">
        <f t="shared" si="248"/>
        <v>0</v>
      </c>
      <c r="I3176" s="91" t="str">
        <f t="shared" si="249"/>
        <v/>
      </c>
      <c r="J3176" s="91" t="str">
        <f t="shared" si="250"/>
        <v/>
      </c>
      <c r="K3176" s="92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2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58"/>
      <c r="U3176" s="217" t="str">
        <f t="shared" si="251"/>
        <v/>
      </c>
      <c r="V3176" s="215" t="s">
        <v>47</v>
      </c>
      <c r="W3176" s="102" t="s">
        <v>136</v>
      </c>
      <c r="X3176" s="102" t="s">
        <v>137</v>
      </c>
      <c r="Y3176" s="103" t="s">
        <v>138</v>
      </c>
      <c r="Z3176" s="103" t="s">
        <v>139</v>
      </c>
      <c r="AA3176" s="103" t="s">
        <v>47</v>
      </c>
      <c r="AB3176" s="103" t="s">
        <v>140</v>
      </c>
      <c r="AC3176" s="104" t="s">
        <v>141</v>
      </c>
    </row>
    <row r="3177" spans="1:29" ht="25.5" customHeight="1" x14ac:dyDescent="0.35">
      <c r="A3177" s="188"/>
      <c r="B3177" s="190"/>
      <c r="C3177" s="99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0"/>
      <c r="E3177" s="78" t="str">
        <f>IF(C3177="","",IFERROR(VLOOKUP(C3177,parametros!$A$11:$E$15,5,0),""))</f>
        <v/>
      </c>
      <c r="F3177" s="79" t="str">
        <f t="shared" si="247"/>
        <v/>
      </c>
      <c r="G3177" s="101"/>
      <c r="H3177" s="91">
        <f t="shared" si="248"/>
        <v>0</v>
      </c>
      <c r="I3177" s="91" t="str">
        <f t="shared" si="249"/>
        <v/>
      </c>
      <c r="J3177" s="91" t="str">
        <f t="shared" si="250"/>
        <v/>
      </c>
      <c r="K3177" s="92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2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58"/>
      <c r="U3177" s="217" t="str">
        <f t="shared" si="251"/>
        <v/>
      </c>
      <c r="V3177" s="215" t="s">
        <v>47</v>
      </c>
      <c r="W3177" s="102" t="s">
        <v>136</v>
      </c>
      <c r="X3177" s="102" t="s">
        <v>137</v>
      </c>
      <c r="Y3177" s="103" t="s">
        <v>138</v>
      </c>
      <c r="Z3177" s="103" t="s">
        <v>139</v>
      </c>
      <c r="AA3177" s="103" t="s">
        <v>47</v>
      </c>
      <c r="AB3177" s="103" t="s">
        <v>140</v>
      </c>
      <c r="AC3177" s="104" t="s">
        <v>141</v>
      </c>
    </row>
    <row r="3178" spans="1:29" ht="25.5" customHeight="1" x14ac:dyDescent="0.35">
      <c r="A3178" s="188"/>
      <c r="B3178" s="190"/>
      <c r="C3178" s="99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0"/>
      <c r="E3178" s="78" t="str">
        <f>IF(C3178="","",IFERROR(VLOOKUP(C3178,parametros!$A$11:$E$15,5,0),""))</f>
        <v/>
      </c>
      <c r="F3178" s="79" t="str">
        <f t="shared" si="247"/>
        <v/>
      </c>
      <c r="G3178" s="101"/>
      <c r="H3178" s="91">
        <f t="shared" si="248"/>
        <v>0</v>
      </c>
      <c r="I3178" s="91" t="str">
        <f t="shared" si="249"/>
        <v/>
      </c>
      <c r="J3178" s="91" t="str">
        <f t="shared" si="250"/>
        <v/>
      </c>
      <c r="K3178" s="92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2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58"/>
      <c r="U3178" s="217" t="str">
        <f t="shared" si="251"/>
        <v/>
      </c>
      <c r="V3178" s="215" t="s">
        <v>47</v>
      </c>
      <c r="W3178" s="102" t="s">
        <v>136</v>
      </c>
      <c r="X3178" s="102" t="s">
        <v>137</v>
      </c>
      <c r="Y3178" s="103" t="s">
        <v>138</v>
      </c>
      <c r="Z3178" s="103" t="s">
        <v>139</v>
      </c>
      <c r="AA3178" s="103" t="s">
        <v>47</v>
      </c>
      <c r="AB3178" s="103" t="s">
        <v>140</v>
      </c>
      <c r="AC3178" s="104" t="s">
        <v>141</v>
      </c>
    </row>
    <row r="3179" spans="1:29" ht="25.5" customHeight="1" x14ac:dyDescent="0.35">
      <c r="A3179" s="188"/>
      <c r="B3179" s="190"/>
      <c r="C3179" s="99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0"/>
      <c r="E3179" s="78" t="str">
        <f>IF(C3179="","",IFERROR(VLOOKUP(C3179,parametros!$A$11:$E$15,5,0),""))</f>
        <v/>
      </c>
      <c r="F3179" s="79" t="str">
        <f t="shared" si="247"/>
        <v/>
      </c>
      <c r="G3179" s="101"/>
      <c r="H3179" s="91">
        <f t="shared" si="248"/>
        <v>0</v>
      </c>
      <c r="I3179" s="91" t="str">
        <f t="shared" si="249"/>
        <v/>
      </c>
      <c r="J3179" s="91" t="str">
        <f t="shared" si="250"/>
        <v/>
      </c>
      <c r="K3179" s="92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2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58"/>
      <c r="U3179" s="217" t="str">
        <f t="shared" si="251"/>
        <v/>
      </c>
      <c r="V3179" s="215" t="s">
        <v>47</v>
      </c>
      <c r="W3179" s="102" t="s">
        <v>136</v>
      </c>
      <c r="X3179" s="102" t="s">
        <v>137</v>
      </c>
      <c r="Y3179" s="103" t="s">
        <v>138</v>
      </c>
      <c r="Z3179" s="103" t="s">
        <v>139</v>
      </c>
      <c r="AA3179" s="103" t="s">
        <v>47</v>
      </c>
      <c r="AB3179" s="103" t="s">
        <v>140</v>
      </c>
      <c r="AC3179" s="104" t="s">
        <v>141</v>
      </c>
    </row>
    <row r="3180" spans="1:29" ht="25.5" customHeight="1" x14ac:dyDescent="0.35">
      <c r="A3180" s="188"/>
      <c r="B3180" s="190"/>
      <c r="C3180" s="99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0"/>
      <c r="E3180" s="78" t="str">
        <f>IF(C3180="","",IFERROR(VLOOKUP(C3180,parametros!$A$11:$E$15,5,0),""))</f>
        <v/>
      </c>
      <c r="F3180" s="79" t="str">
        <f t="shared" si="247"/>
        <v/>
      </c>
      <c r="G3180" s="101"/>
      <c r="H3180" s="91">
        <f t="shared" si="248"/>
        <v>0</v>
      </c>
      <c r="I3180" s="91" t="str">
        <f t="shared" si="249"/>
        <v/>
      </c>
      <c r="J3180" s="91" t="str">
        <f t="shared" si="250"/>
        <v/>
      </c>
      <c r="K3180" s="92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2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58"/>
      <c r="U3180" s="217" t="str">
        <f t="shared" si="251"/>
        <v/>
      </c>
      <c r="V3180" s="215" t="s">
        <v>47</v>
      </c>
      <c r="W3180" s="102" t="s">
        <v>136</v>
      </c>
      <c r="X3180" s="102" t="s">
        <v>137</v>
      </c>
      <c r="Y3180" s="103" t="s">
        <v>138</v>
      </c>
      <c r="Z3180" s="103" t="s">
        <v>139</v>
      </c>
      <c r="AA3180" s="103" t="s">
        <v>47</v>
      </c>
      <c r="AB3180" s="103" t="s">
        <v>140</v>
      </c>
      <c r="AC3180" s="104" t="s">
        <v>141</v>
      </c>
    </row>
    <row r="3181" spans="1:29" ht="25.5" customHeight="1" x14ac:dyDescent="0.35">
      <c r="A3181" s="188"/>
      <c r="B3181" s="190"/>
      <c r="C3181" s="99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0"/>
      <c r="E3181" s="78" t="str">
        <f>IF(C3181="","",IFERROR(VLOOKUP(C3181,parametros!$A$11:$E$15,5,0),""))</f>
        <v/>
      </c>
      <c r="F3181" s="79" t="str">
        <f t="shared" si="247"/>
        <v/>
      </c>
      <c r="G3181" s="101"/>
      <c r="H3181" s="91">
        <f t="shared" si="248"/>
        <v>0</v>
      </c>
      <c r="I3181" s="91" t="str">
        <f t="shared" si="249"/>
        <v/>
      </c>
      <c r="J3181" s="91" t="str">
        <f t="shared" si="250"/>
        <v/>
      </c>
      <c r="K3181" s="92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2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58"/>
      <c r="U3181" s="217" t="str">
        <f t="shared" si="251"/>
        <v/>
      </c>
      <c r="V3181" s="215" t="s">
        <v>47</v>
      </c>
      <c r="W3181" s="102" t="s">
        <v>136</v>
      </c>
      <c r="X3181" s="102" t="s">
        <v>137</v>
      </c>
      <c r="Y3181" s="103" t="s">
        <v>138</v>
      </c>
      <c r="Z3181" s="103" t="s">
        <v>139</v>
      </c>
      <c r="AA3181" s="103" t="s">
        <v>47</v>
      </c>
      <c r="AB3181" s="103" t="s">
        <v>140</v>
      </c>
      <c r="AC3181" s="104" t="s">
        <v>141</v>
      </c>
    </row>
    <row r="3182" spans="1:29" ht="25.5" customHeight="1" x14ac:dyDescent="0.35">
      <c r="A3182" s="188"/>
      <c r="B3182" s="190"/>
      <c r="C3182" s="99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0"/>
      <c r="E3182" s="78" t="str">
        <f>IF(C3182="","",IFERROR(VLOOKUP(C3182,parametros!$A$11:$E$15,5,0),""))</f>
        <v/>
      </c>
      <c r="F3182" s="79" t="str">
        <f t="shared" si="247"/>
        <v/>
      </c>
      <c r="G3182" s="101"/>
      <c r="H3182" s="91">
        <f t="shared" si="248"/>
        <v>0</v>
      </c>
      <c r="I3182" s="91" t="str">
        <f t="shared" si="249"/>
        <v/>
      </c>
      <c r="J3182" s="91" t="str">
        <f t="shared" si="250"/>
        <v/>
      </c>
      <c r="K3182" s="92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2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58"/>
      <c r="U3182" s="217" t="str">
        <f t="shared" si="251"/>
        <v/>
      </c>
      <c r="V3182" s="215" t="s">
        <v>47</v>
      </c>
      <c r="W3182" s="102" t="s">
        <v>136</v>
      </c>
      <c r="X3182" s="102" t="s">
        <v>137</v>
      </c>
      <c r="Y3182" s="103" t="s">
        <v>138</v>
      </c>
      <c r="Z3182" s="103" t="s">
        <v>139</v>
      </c>
      <c r="AA3182" s="103" t="s">
        <v>47</v>
      </c>
      <c r="AB3182" s="103" t="s">
        <v>140</v>
      </c>
      <c r="AC3182" s="104" t="s">
        <v>141</v>
      </c>
    </row>
    <row r="3183" spans="1:29" ht="25.5" customHeight="1" x14ac:dyDescent="0.35">
      <c r="A3183" s="188"/>
      <c r="B3183" s="190"/>
      <c r="C3183" s="99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0"/>
      <c r="E3183" s="78" t="str">
        <f>IF(C3183="","",IFERROR(VLOOKUP(C3183,parametros!$A$11:$E$15,5,0),""))</f>
        <v/>
      </c>
      <c r="F3183" s="79" t="str">
        <f t="shared" si="247"/>
        <v/>
      </c>
      <c r="G3183" s="101"/>
      <c r="H3183" s="91">
        <f t="shared" si="248"/>
        <v>0</v>
      </c>
      <c r="I3183" s="91" t="str">
        <f t="shared" si="249"/>
        <v/>
      </c>
      <c r="J3183" s="91" t="str">
        <f t="shared" si="250"/>
        <v/>
      </c>
      <c r="K3183" s="92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2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58"/>
      <c r="U3183" s="217" t="str">
        <f t="shared" si="251"/>
        <v/>
      </c>
      <c r="V3183" s="215" t="s">
        <v>47</v>
      </c>
      <c r="W3183" s="102" t="s">
        <v>136</v>
      </c>
      <c r="X3183" s="102" t="s">
        <v>137</v>
      </c>
      <c r="Y3183" s="103" t="s">
        <v>138</v>
      </c>
      <c r="Z3183" s="103" t="s">
        <v>139</v>
      </c>
      <c r="AA3183" s="103" t="s">
        <v>47</v>
      </c>
      <c r="AB3183" s="103" t="s">
        <v>140</v>
      </c>
      <c r="AC3183" s="104" t="s">
        <v>141</v>
      </c>
    </row>
    <row r="3184" spans="1:29" ht="25.5" customHeight="1" x14ac:dyDescent="0.35">
      <c r="A3184" s="188"/>
      <c r="B3184" s="190"/>
      <c r="C3184" s="99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0"/>
      <c r="E3184" s="78" t="str">
        <f>IF(C3184="","",IFERROR(VLOOKUP(C3184,parametros!$A$11:$E$15,5,0),""))</f>
        <v/>
      </c>
      <c r="F3184" s="79" t="str">
        <f t="shared" si="247"/>
        <v/>
      </c>
      <c r="G3184" s="101"/>
      <c r="H3184" s="91">
        <f t="shared" si="248"/>
        <v>0</v>
      </c>
      <c r="I3184" s="91" t="str">
        <f t="shared" si="249"/>
        <v/>
      </c>
      <c r="J3184" s="91" t="str">
        <f t="shared" si="250"/>
        <v/>
      </c>
      <c r="K3184" s="92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2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58"/>
      <c r="U3184" s="217" t="str">
        <f t="shared" si="251"/>
        <v/>
      </c>
      <c r="V3184" s="215" t="s">
        <v>47</v>
      </c>
      <c r="W3184" s="102" t="s">
        <v>136</v>
      </c>
      <c r="X3184" s="102" t="s">
        <v>137</v>
      </c>
      <c r="Y3184" s="103" t="s">
        <v>138</v>
      </c>
      <c r="Z3184" s="103" t="s">
        <v>139</v>
      </c>
      <c r="AA3184" s="103" t="s">
        <v>47</v>
      </c>
      <c r="AB3184" s="103" t="s">
        <v>140</v>
      </c>
      <c r="AC3184" s="104" t="s">
        <v>141</v>
      </c>
    </row>
    <row r="3185" spans="1:29" ht="25.5" customHeight="1" x14ac:dyDescent="0.35">
      <c r="A3185" s="188"/>
      <c r="B3185" s="190"/>
      <c r="C3185" s="99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0"/>
      <c r="E3185" s="78" t="str">
        <f>IF(C3185="","",IFERROR(VLOOKUP(C3185,parametros!$A$11:$E$15,5,0),""))</f>
        <v/>
      </c>
      <c r="F3185" s="79" t="str">
        <f t="shared" si="247"/>
        <v/>
      </c>
      <c r="G3185" s="101"/>
      <c r="H3185" s="91">
        <f t="shared" si="248"/>
        <v>0</v>
      </c>
      <c r="I3185" s="91" t="str">
        <f t="shared" si="249"/>
        <v/>
      </c>
      <c r="J3185" s="91" t="str">
        <f t="shared" si="250"/>
        <v/>
      </c>
      <c r="K3185" s="92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2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58"/>
      <c r="U3185" s="217" t="str">
        <f t="shared" si="251"/>
        <v/>
      </c>
      <c r="V3185" s="215" t="s">
        <v>47</v>
      </c>
      <c r="W3185" s="102" t="s">
        <v>136</v>
      </c>
      <c r="X3185" s="102" t="s">
        <v>137</v>
      </c>
      <c r="Y3185" s="103" t="s">
        <v>138</v>
      </c>
      <c r="Z3185" s="103" t="s">
        <v>139</v>
      </c>
      <c r="AA3185" s="103" t="s">
        <v>47</v>
      </c>
      <c r="AB3185" s="103" t="s">
        <v>140</v>
      </c>
      <c r="AC3185" s="104" t="s">
        <v>141</v>
      </c>
    </row>
    <row r="3186" spans="1:29" ht="25.5" customHeight="1" x14ac:dyDescent="0.35">
      <c r="A3186" s="188"/>
      <c r="B3186" s="190"/>
      <c r="C3186" s="99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0"/>
      <c r="E3186" s="78" t="str">
        <f>IF(C3186="","",IFERROR(VLOOKUP(C3186,parametros!$A$11:$E$15,5,0),""))</f>
        <v/>
      </c>
      <c r="F3186" s="79" t="str">
        <f t="shared" si="247"/>
        <v/>
      </c>
      <c r="G3186" s="101"/>
      <c r="H3186" s="91">
        <f t="shared" si="248"/>
        <v>0</v>
      </c>
      <c r="I3186" s="91" t="str">
        <f t="shared" si="249"/>
        <v/>
      </c>
      <c r="J3186" s="91" t="str">
        <f t="shared" si="250"/>
        <v/>
      </c>
      <c r="K3186" s="92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2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58"/>
      <c r="U3186" s="217" t="str">
        <f t="shared" si="251"/>
        <v/>
      </c>
      <c r="V3186" s="215" t="s">
        <v>47</v>
      </c>
      <c r="W3186" s="102" t="s">
        <v>136</v>
      </c>
      <c r="X3186" s="102" t="s">
        <v>137</v>
      </c>
      <c r="Y3186" s="103" t="s">
        <v>138</v>
      </c>
      <c r="Z3186" s="103" t="s">
        <v>139</v>
      </c>
      <c r="AA3186" s="103" t="s">
        <v>47</v>
      </c>
      <c r="AB3186" s="103" t="s">
        <v>140</v>
      </c>
      <c r="AC3186" s="104" t="s">
        <v>141</v>
      </c>
    </row>
    <row r="3187" spans="1:29" ht="25.5" customHeight="1" x14ac:dyDescent="0.35">
      <c r="A3187" s="188"/>
      <c r="B3187" s="190"/>
      <c r="C3187" s="99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0"/>
      <c r="E3187" s="78" t="str">
        <f>IF(C3187="","",IFERROR(VLOOKUP(C3187,parametros!$A$11:$E$15,5,0),""))</f>
        <v/>
      </c>
      <c r="F3187" s="79" t="str">
        <f t="shared" si="247"/>
        <v/>
      </c>
      <c r="G3187" s="101"/>
      <c r="H3187" s="91">
        <f t="shared" si="248"/>
        <v>0</v>
      </c>
      <c r="I3187" s="91" t="str">
        <f t="shared" si="249"/>
        <v/>
      </c>
      <c r="J3187" s="91" t="str">
        <f t="shared" si="250"/>
        <v/>
      </c>
      <c r="K3187" s="92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2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58"/>
      <c r="U3187" s="217" t="str">
        <f t="shared" si="251"/>
        <v/>
      </c>
      <c r="V3187" s="215" t="s">
        <v>47</v>
      </c>
      <c r="W3187" s="102" t="s">
        <v>136</v>
      </c>
      <c r="X3187" s="102" t="s">
        <v>137</v>
      </c>
      <c r="Y3187" s="103" t="s">
        <v>138</v>
      </c>
      <c r="Z3187" s="103" t="s">
        <v>139</v>
      </c>
      <c r="AA3187" s="103" t="s">
        <v>47</v>
      </c>
      <c r="AB3187" s="103" t="s">
        <v>140</v>
      </c>
      <c r="AC3187" s="104" t="s">
        <v>141</v>
      </c>
    </row>
    <row r="3188" spans="1:29" ht="25.5" customHeight="1" x14ac:dyDescent="0.35">
      <c r="A3188" s="188"/>
      <c r="B3188" s="190"/>
      <c r="C3188" s="99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0"/>
      <c r="E3188" s="78" t="str">
        <f>IF(C3188="","",IFERROR(VLOOKUP(C3188,parametros!$A$11:$E$15,5,0),""))</f>
        <v/>
      </c>
      <c r="F3188" s="79" t="str">
        <f t="shared" si="247"/>
        <v/>
      </c>
      <c r="G3188" s="101"/>
      <c r="H3188" s="91">
        <f t="shared" si="248"/>
        <v>0</v>
      </c>
      <c r="I3188" s="91" t="str">
        <f t="shared" si="249"/>
        <v/>
      </c>
      <c r="J3188" s="91" t="str">
        <f t="shared" si="250"/>
        <v/>
      </c>
      <c r="K3188" s="92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2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58"/>
      <c r="U3188" s="217" t="str">
        <f t="shared" si="251"/>
        <v/>
      </c>
      <c r="V3188" s="215" t="s">
        <v>47</v>
      </c>
      <c r="W3188" s="102" t="s">
        <v>136</v>
      </c>
      <c r="X3188" s="102" t="s">
        <v>137</v>
      </c>
      <c r="Y3188" s="103" t="s">
        <v>138</v>
      </c>
      <c r="Z3188" s="103" t="s">
        <v>139</v>
      </c>
      <c r="AA3188" s="103" t="s">
        <v>47</v>
      </c>
      <c r="AB3188" s="103" t="s">
        <v>140</v>
      </c>
      <c r="AC3188" s="104" t="s">
        <v>141</v>
      </c>
    </row>
    <row r="3189" spans="1:29" ht="25.5" customHeight="1" x14ac:dyDescent="0.35">
      <c r="A3189" s="188"/>
      <c r="B3189" s="190"/>
      <c r="C3189" s="99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0"/>
      <c r="E3189" s="78" t="str">
        <f>IF(C3189="","",IFERROR(VLOOKUP(C3189,parametros!$A$11:$E$15,5,0),""))</f>
        <v/>
      </c>
      <c r="F3189" s="79" t="str">
        <f t="shared" si="247"/>
        <v/>
      </c>
      <c r="G3189" s="101"/>
      <c r="H3189" s="91">
        <f t="shared" si="248"/>
        <v>0</v>
      </c>
      <c r="I3189" s="91" t="str">
        <f t="shared" si="249"/>
        <v/>
      </c>
      <c r="J3189" s="91" t="str">
        <f t="shared" si="250"/>
        <v/>
      </c>
      <c r="K3189" s="92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2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58"/>
      <c r="U3189" s="217" t="str">
        <f t="shared" si="251"/>
        <v/>
      </c>
      <c r="V3189" s="215" t="s">
        <v>47</v>
      </c>
      <c r="W3189" s="102" t="s">
        <v>136</v>
      </c>
      <c r="X3189" s="102" t="s">
        <v>137</v>
      </c>
      <c r="Y3189" s="103" t="s">
        <v>138</v>
      </c>
      <c r="Z3189" s="103" t="s">
        <v>139</v>
      </c>
      <c r="AA3189" s="103" t="s">
        <v>47</v>
      </c>
      <c r="AB3189" s="103" t="s">
        <v>140</v>
      </c>
      <c r="AC3189" s="104" t="s">
        <v>141</v>
      </c>
    </row>
    <row r="3190" spans="1:29" ht="25.5" customHeight="1" x14ac:dyDescent="0.35">
      <c r="A3190" s="188"/>
      <c r="B3190" s="190"/>
      <c r="C3190" s="99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0"/>
      <c r="E3190" s="78" t="str">
        <f>IF(C3190="","",IFERROR(VLOOKUP(C3190,parametros!$A$11:$E$15,5,0),""))</f>
        <v/>
      </c>
      <c r="F3190" s="79" t="str">
        <f t="shared" si="247"/>
        <v/>
      </c>
      <c r="G3190" s="101"/>
      <c r="H3190" s="91">
        <f t="shared" si="248"/>
        <v>0</v>
      </c>
      <c r="I3190" s="91" t="str">
        <f t="shared" si="249"/>
        <v/>
      </c>
      <c r="J3190" s="91" t="str">
        <f t="shared" si="250"/>
        <v/>
      </c>
      <c r="K3190" s="92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2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58"/>
      <c r="U3190" s="217" t="str">
        <f t="shared" si="251"/>
        <v/>
      </c>
      <c r="V3190" s="215" t="s">
        <v>47</v>
      </c>
      <c r="W3190" s="102" t="s">
        <v>136</v>
      </c>
      <c r="X3190" s="102" t="s">
        <v>137</v>
      </c>
      <c r="Y3190" s="103" t="s">
        <v>138</v>
      </c>
      <c r="Z3190" s="103" t="s">
        <v>139</v>
      </c>
      <c r="AA3190" s="103" t="s">
        <v>47</v>
      </c>
      <c r="AB3190" s="103" t="s">
        <v>140</v>
      </c>
      <c r="AC3190" s="104" t="s">
        <v>141</v>
      </c>
    </row>
    <row r="3191" spans="1:29" ht="25.5" customHeight="1" x14ac:dyDescent="0.35">
      <c r="A3191" s="188"/>
      <c r="B3191" s="190"/>
      <c r="C3191" s="99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0"/>
      <c r="E3191" s="78" t="str">
        <f>IF(C3191="","",IFERROR(VLOOKUP(C3191,parametros!$A$11:$E$15,5,0),""))</f>
        <v/>
      </c>
      <c r="F3191" s="79" t="str">
        <f t="shared" si="247"/>
        <v/>
      </c>
      <c r="G3191" s="101"/>
      <c r="H3191" s="91">
        <f t="shared" si="248"/>
        <v>0</v>
      </c>
      <c r="I3191" s="91" t="str">
        <f t="shared" si="249"/>
        <v/>
      </c>
      <c r="J3191" s="91" t="str">
        <f t="shared" si="250"/>
        <v/>
      </c>
      <c r="K3191" s="92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2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58"/>
      <c r="U3191" s="217" t="str">
        <f t="shared" si="251"/>
        <v/>
      </c>
      <c r="V3191" s="215" t="s">
        <v>47</v>
      </c>
      <c r="W3191" s="102" t="s">
        <v>136</v>
      </c>
      <c r="X3191" s="102" t="s">
        <v>137</v>
      </c>
      <c r="Y3191" s="103" t="s">
        <v>138</v>
      </c>
      <c r="Z3191" s="103" t="s">
        <v>139</v>
      </c>
      <c r="AA3191" s="103" t="s">
        <v>47</v>
      </c>
      <c r="AB3191" s="103" t="s">
        <v>140</v>
      </c>
      <c r="AC3191" s="104" t="s">
        <v>141</v>
      </c>
    </row>
    <row r="3192" spans="1:29" ht="25.5" customHeight="1" x14ac:dyDescent="0.35">
      <c r="A3192" s="188"/>
      <c r="B3192" s="190"/>
      <c r="C3192" s="99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0"/>
      <c r="E3192" s="78" t="str">
        <f>IF(C3192="","",IFERROR(VLOOKUP(C3192,parametros!$A$11:$E$15,5,0),""))</f>
        <v/>
      </c>
      <c r="F3192" s="79" t="str">
        <f t="shared" si="247"/>
        <v/>
      </c>
      <c r="G3192" s="101"/>
      <c r="H3192" s="91">
        <f t="shared" si="248"/>
        <v>0</v>
      </c>
      <c r="I3192" s="91" t="str">
        <f t="shared" si="249"/>
        <v/>
      </c>
      <c r="J3192" s="91" t="str">
        <f t="shared" si="250"/>
        <v/>
      </c>
      <c r="K3192" s="92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2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58"/>
      <c r="U3192" s="217" t="str">
        <f t="shared" si="251"/>
        <v/>
      </c>
      <c r="V3192" s="215" t="s">
        <v>47</v>
      </c>
      <c r="W3192" s="102" t="s">
        <v>136</v>
      </c>
      <c r="X3192" s="102" t="s">
        <v>137</v>
      </c>
      <c r="Y3192" s="103" t="s">
        <v>138</v>
      </c>
      <c r="Z3192" s="103" t="s">
        <v>139</v>
      </c>
      <c r="AA3192" s="103" t="s">
        <v>47</v>
      </c>
      <c r="AB3192" s="103" t="s">
        <v>140</v>
      </c>
      <c r="AC3192" s="104" t="s">
        <v>141</v>
      </c>
    </row>
    <row r="3193" spans="1:29" ht="25.5" customHeight="1" x14ac:dyDescent="0.35">
      <c r="A3193" s="188"/>
      <c r="B3193" s="190"/>
      <c r="C3193" s="99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0"/>
      <c r="E3193" s="78" t="str">
        <f>IF(C3193="","",IFERROR(VLOOKUP(C3193,parametros!$A$11:$E$15,5,0),""))</f>
        <v/>
      </c>
      <c r="F3193" s="79" t="str">
        <f t="shared" si="247"/>
        <v/>
      </c>
      <c r="G3193" s="101"/>
      <c r="H3193" s="91">
        <f t="shared" si="248"/>
        <v>0</v>
      </c>
      <c r="I3193" s="91" t="str">
        <f t="shared" si="249"/>
        <v/>
      </c>
      <c r="J3193" s="91" t="str">
        <f t="shared" si="250"/>
        <v/>
      </c>
      <c r="K3193" s="92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2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58"/>
      <c r="U3193" s="217" t="str">
        <f t="shared" si="251"/>
        <v/>
      </c>
      <c r="V3193" s="215" t="s">
        <v>47</v>
      </c>
      <c r="W3193" s="102" t="s">
        <v>136</v>
      </c>
      <c r="X3193" s="102" t="s">
        <v>137</v>
      </c>
      <c r="Y3193" s="103" t="s">
        <v>138</v>
      </c>
      <c r="Z3193" s="103" t="s">
        <v>139</v>
      </c>
      <c r="AA3193" s="103" t="s">
        <v>47</v>
      </c>
      <c r="AB3193" s="103" t="s">
        <v>140</v>
      </c>
      <c r="AC3193" s="104" t="s">
        <v>141</v>
      </c>
    </row>
    <row r="3194" spans="1:29" ht="25.5" customHeight="1" x14ac:dyDescent="0.35">
      <c r="A3194" s="188"/>
      <c r="B3194" s="190"/>
      <c r="C3194" s="99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0"/>
      <c r="E3194" s="78" t="str">
        <f>IF(C3194="","",IFERROR(VLOOKUP(C3194,parametros!$A$11:$E$15,5,0),""))</f>
        <v/>
      </c>
      <c r="F3194" s="79" t="str">
        <f t="shared" si="247"/>
        <v/>
      </c>
      <c r="G3194" s="101"/>
      <c r="H3194" s="91">
        <f t="shared" si="248"/>
        <v>0</v>
      </c>
      <c r="I3194" s="91" t="str">
        <f t="shared" si="249"/>
        <v/>
      </c>
      <c r="J3194" s="91" t="str">
        <f t="shared" si="250"/>
        <v/>
      </c>
      <c r="K3194" s="92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2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58"/>
      <c r="U3194" s="217" t="str">
        <f t="shared" si="251"/>
        <v/>
      </c>
      <c r="V3194" s="215" t="s">
        <v>47</v>
      </c>
      <c r="W3194" s="102" t="s">
        <v>136</v>
      </c>
      <c r="X3194" s="102" t="s">
        <v>137</v>
      </c>
      <c r="Y3194" s="103" t="s">
        <v>138</v>
      </c>
      <c r="Z3194" s="103" t="s">
        <v>139</v>
      </c>
      <c r="AA3194" s="103" t="s">
        <v>47</v>
      </c>
      <c r="AB3194" s="103" t="s">
        <v>140</v>
      </c>
      <c r="AC3194" s="104" t="s">
        <v>141</v>
      </c>
    </row>
    <row r="3195" spans="1:29" ht="25.5" customHeight="1" x14ac:dyDescent="0.35">
      <c r="A3195" s="188"/>
      <c r="B3195" s="190"/>
      <c r="C3195" s="99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0"/>
      <c r="E3195" s="78" t="str">
        <f>IF(C3195="","",IFERROR(VLOOKUP(C3195,parametros!$A$11:$E$15,5,0),""))</f>
        <v/>
      </c>
      <c r="F3195" s="79" t="str">
        <f t="shared" si="247"/>
        <v/>
      </c>
      <c r="G3195" s="101"/>
      <c r="H3195" s="91">
        <f t="shared" si="248"/>
        <v>0</v>
      </c>
      <c r="I3195" s="91" t="str">
        <f t="shared" si="249"/>
        <v/>
      </c>
      <c r="J3195" s="91" t="str">
        <f t="shared" si="250"/>
        <v/>
      </c>
      <c r="K3195" s="92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2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58"/>
      <c r="U3195" s="217" t="str">
        <f t="shared" si="251"/>
        <v/>
      </c>
      <c r="V3195" s="215" t="s">
        <v>47</v>
      </c>
      <c r="W3195" s="102" t="s">
        <v>136</v>
      </c>
      <c r="X3195" s="102" t="s">
        <v>137</v>
      </c>
      <c r="Y3195" s="103" t="s">
        <v>138</v>
      </c>
      <c r="Z3195" s="103" t="s">
        <v>139</v>
      </c>
      <c r="AA3195" s="103" t="s">
        <v>47</v>
      </c>
      <c r="AB3195" s="103" t="s">
        <v>140</v>
      </c>
      <c r="AC3195" s="104" t="s">
        <v>141</v>
      </c>
    </row>
    <row r="3196" spans="1:29" ht="25.5" customHeight="1" x14ac:dyDescent="0.35">
      <c r="A3196" s="188"/>
      <c r="B3196" s="190"/>
      <c r="C3196" s="99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0"/>
      <c r="E3196" s="78" t="str">
        <f>IF(C3196="","",IFERROR(VLOOKUP(C3196,parametros!$A$11:$E$15,5,0),""))</f>
        <v/>
      </c>
      <c r="F3196" s="79" t="str">
        <f t="shared" si="247"/>
        <v/>
      </c>
      <c r="G3196" s="101"/>
      <c r="H3196" s="91">
        <f t="shared" si="248"/>
        <v>0</v>
      </c>
      <c r="I3196" s="91" t="str">
        <f t="shared" si="249"/>
        <v/>
      </c>
      <c r="J3196" s="91" t="str">
        <f t="shared" si="250"/>
        <v/>
      </c>
      <c r="K3196" s="92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2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58"/>
      <c r="U3196" s="217" t="str">
        <f t="shared" si="251"/>
        <v/>
      </c>
      <c r="V3196" s="215" t="s">
        <v>47</v>
      </c>
      <c r="W3196" s="102" t="s">
        <v>136</v>
      </c>
      <c r="X3196" s="102" t="s">
        <v>137</v>
      </c>
      <c r="Y3196" s="103" t="s">
        <v>138</v>
      </c>
      <c r="Z3196" s="103" t="s">
        <v>139</v>
      </c>
      <c r="AA3196" s="103" t="s">
        <v>47</v>
      </c>
      <c r="AB3196" s="103" t="s">
        <v>140</v>
      </c>
      <c r="AC3196" s="104" t="s">
        <v>141</v>
      </c>
    </row>
    <row r="3197" spans="1:29" ht="25.5" customHeight="1" x14ac:dyDescent="0.35">
      <c r="A3197" s="188"/>
      <c r="B3197" s="190"/>
      <c r="C3197" s="99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0"/>
      <c r="E3197" s="78" t="str">
        <f>IF(C3197="","",IFERROR(VLOOKUP(C3197,parametros!$A$11:$E$15,5,0),""))</f>
        <v/>
      </c>
      <c r="F3197" s="79" t="str">
        <f t="shared" si="247"/>
        <v/>
      </c>
      <c r="G3197" s="101"/>
      <c r="H3197" s="91">
        <f t="shared" si="248"/>
        <v>0</v>
      </c>
      <c r="I3197" s="91" t="str">
        <f t="shared" si="249"/>
        <v/>
      </c>
      <c r="J3197" s="91" t="str">
        <f t="shared" si="250"/>
        <v/>
      </c>
      <c r="K3197" s="92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2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58"/>
      <c r="U3197" s="217" t="str">
        <f t="shared" si="251"/>
        <v/>
      </c>
      <c r="V3197" s="215" t="s">
        <v>47</v>
      </c>
      <c r="W3197" s="102" t="s">
        <v>136</v>
      </c>
      <c r="X3197" s="102" t="s">
        <v>137</v>
      </c>
      <c r="Y3197" s="103" t="s">
        <v>138</v>
      </c>
      <c r="Z3197" s="103" t="s">
        <v>139</v>
      </c>
      <c r="AA3197" s="103" t="s">
        <v>47</v>
      </c>
      <c r="AB3197" s="103" t="s">
        <v>140</v>
      </c>
      <c r="AC3197" s="104" t="s">
        <v>141</v>
      </c>
    </row>
    <row r="3198" spans="1:29" ht="25.5" customHeight="1" x14ac:dyDescent="0.35">
      <c r="A3198" s="188"/>
      <c r="B3198" s="190"/>
      <c r="C3198" s="99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0"/>
      <c r="E3198" s="78" t="str">
        <f>IF(C3198="","",IFERROR(VLOOKUP(C3198,parametros!$A$11:$E$15,5,0),""))</f>
        <v/>
      </c>
      <c r="F3198" s="79" t="str">
        <f t="shared" si="247"/>
        <v/>
      </c>
      <c r="G3198" s="101"/>
      <c r="H3198" s="91">
        <f t="shared" si="248"/>
        <v>0</v>
      </c>
      <c r="I3198" s="91" t="str">
        <f t="shared" si="249"/>
        <v/>
      </c>
      <c r="J3198" s="91" t="str">
        <f t="shared" si="250"/>
        <v/>
      </c>
      <c r="K3198" s="92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2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58"/>
      <c r="U3198" s="217" t="str">
        <f t="shared" si="251"/>
        <v/>
      </c>
      <c r="V3198" s="215" t="s">
        <v>47</v>
      </c>
      <c r="W3198" s="102" t="s">
        <v>136</v>
      </c>
      <c r="X3198" s="102" t="s">
        <v>137</v>
      </c>
      <c r="Y3198" s="103" t="s">
        <v>138</v>
      </c>
      <c r="Z3198" s="103" t="s">
        <v>139</v>
      </c>
      <c r="AA3198" s="103" t="s">
        <v>47</v>
      </c>
      <c r="AB3198" s="103" t="s">
        <v>140</v>
      </c>
      <c r="AC3198" s="104" t="s">
        <v>141</v>
      </c>
    </row>
    <row r="3199" spans="1:29" ht="25.5" customHeight="1" x14ac:dyDescent="0.35">
      <c r="A3199" s="188"/>
      <c r="B3199" s="190"/>
      <c r="C3199" s="99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0"/>
      <c r="E3199" s="78" t="str">
        <f>IF(C3199="","",IFERROR(VLOOKUP(C3199,parametros!$A$11:$E$15,5,0),""))</f>
        <v/>
      </c>
      <c r="F3199" s="79" t="str">
        <f t="shared" si="247"/>
        <v/>
      </c>
      <c r="G3199" s="101"/>
      <c r="H3199" s="91">
        <f t="shared" si="248"/>
        <v>0</v>
      </c>
      <c r="I3199" s="91" t="str">
        <f t="shared" si="249"/>
        <v/>
      </c>
      <c r="J3199" s="91" t="str">
        <f t="shared" si="250"/>
        <v/>
      </c>
      <c r="K3199" s="92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2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58"/>
      <c r="U3199" s="217" t="str">
        <f t="shared" si="251"/>
        <v/>
      </c>
      <c r="V3199" s="215" t="s">
        <v>47</v>
      </c>
      <c r="W3199" s="102" t="s">
        <v>136</v>
      </c>
      <c r="X3199" s="102" t="s">
        <v>137</v>
      </c>
      <c r="Y3199" s="103" t="s">
        <v>138</v>
      </c>
      <c r="Z3199" s="103" t="s">
        <v>139</v>
      </c>
      <c r="AA3199" s="103" t="s">
        <v>47</v>
      </c>
      <c r="AB3199" s="103" t="s">
        <v>140</v>
      </c>
      <c r="AC3199" s="104" t="s">
        <v>141</v>
      </c>
    </row>
    <row r="3200" spans="1:29" ht="25.5" customHeight="1" x14ac:dyDescent="0.35">
      <c r="A3200" s="188"/>
      <c r="B3200" s="190"/>
      <c r="C3200" s="99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0"/>
      <c r="E3200" s="78" t="str">
        <f>IF(C3200="","",IFERROR(VLOOKUP(C3200,parametros!$A$11:$E$15,5,0),""))</f>
        <v/>
      </c>
      <c r="F3200" s="79" t="str">
        <f t="shared" si="247"/>
        <v/>
      </c>
      <c r="G3200" s="101"/>
      <c r="H3200" s="91">
        <f t="shared" si="248"/>
        <v>0</v>
      </c>
      <c r="I3200" s="91" t="str">
        <f t="shared" si="249"/>
        <v/>
      </c>
      <c r="J3200" s="91" t="str">
        <f t="shared" si="250"/>
        <v/>
      </c>
      <c r="K3200" s="92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2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58"/>
      <c r="U3200" s="217" t="str">
        <f t="shared" si="251"/>
        <v/>
      </c>
      <c r="V3200" s="215" t="s">
        <v>47</v>
      </c>
      <c r="W3200" s="102" t="s">
        <v>136</v>
      </c>
      <c r="X3200" s="102" t="s">
        <v>137</v>
      </c>
      <c r="Y3200" s="103" t="s">
        <v>138</v>
      </c>
      <c r="Z3200" s="103" t="s">
        <v>139</v>
      </c>
      <c r="AA3200" s="103" t="s">
        <v>47</v>
      </c>
      <c r="AB3200" s="103" t="s">
        <v>140</v>
      </c>
      <c r="AC3200" s="104" t="s">
        <v>141</v>
      </c>
    </row>
    <row r="3201" spans="1:29" ht="25.5" customHeight="1" x14ac:dyDescent="0.35">
      <c r="A3201" s="188"/>
      <c r="B3201" s="190"/>
      <c r="C3201" s="99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0"/>
      <c r="E3201" s="78" t="str">
        <f>IF(C3201="","",IFERROR(VLOOKUP(C3201,parametros!$A$11:$E$15,5,0),""))</f>
        <v/>
      </c>
      <c r="F3201" s="79" t="str">
        <f t="shared" si="247"/>
        <v/>
      </c>
      <c r="G3201" s="101"/>
      <c r="H3201" s="91">
        <f t="shared" si="248"/>
        <v>0</v>
      </c>
      <c r="I3201" s="91" t="str">
        <f t="shared" si="249"/>
        <v/>
      </c>
      <c r="J3201" s="91" t="str">
        <f t="shared" si="250"/>
        <v/>
      </c>
      <c r="K3201" s="92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2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58"/>
      <c r="U3201" s="217" t="str">
        <f t="shared" si="251"/>
        <v/>
      </c>
      <c r="V3201" s="215" t="s">
        <v>47</v>
      </c>
      <c r="W3201" s="102" t="s">
        <v>136</v>
      </c>
      <c r="X3201" s="102" t="s">
        <v>137</v>
      </c>
      <c r="Y3201" s="103" t="s">
        <v>138</v>
      </c>
      <c r="Z3201" s="103" t="s">
        <v>139</v>
      </c>
      <c r="AA3201" s="103" t="s">
        <v>47</v>
      </c>
      <c r="AB3201" s="103" t="s">
        <v>140</v>
      </c>
      <c r="AC3201" s="104" t="s">
        <v>141</v>
      </c>
    </row>
    <row r="3202" spans="1:29" ht="25.5" customHeight="1" x14ac:dyDescent="0.35">
      <c r="A3202" s="188"/>
      <c r="B3202" s="190"/>
      <c r="C3202" s="99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0"/>
      <c r="E3202" s="78" t="str">
        <f>IF(C3202="","",IFERROR(VLOOKUP(C3202,parametros!$A$11:$E$15,5,0),""))</f>
        <v/>
      </c>
      <c r="F3202" s="79" t="str">
        <f t="shared" ref="F3202:F3265" si="252">IF(OR(D3202="",E3202=""),"",ROUND(D3202*E3202,2))</f>
        <v/>
      </c>
      <c r="G3202" s="101"/>
      <c r="H3202" s="91">
        <f t="shared" ref="H3202:H3265" si="253">IF(G3202="Sim",IF(OR(F3202="",D3202="",L3202=""),"",IF(L3202="Sim",ROUND(F3202-D3202,2),0)),0)</f>
        <v>0</v>
      </c>
      <c r="I3202" s="91" t="str">
        <f t="shared" ref="I3202:I3265" si="254">IF(G3202="Sim",0,IF(OR(F3202="",L3202=""),"",F3202))</f>
        <v/>
      </c>
      <c r="J3202" s="91" t="str">
        <f t="shared" ref="J3202:J3265" si="255">IF(G3202="Sim",0,IF(OR(F3202="",D3202="",L3202=""),"",IF(L3202="Sim",ROUND(F3202-D3202,2),0)))</f>
        <v/>
      </c>
      <c r="K3202" s="92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2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58"/>
      <c r="U3202" s="217" t="str">
        <f t="shared" ref="U3202:U3265" si="256">IF(OR($D3202="",$H3202=""),"",ROUND($D3202+$H3202,2))</f>
        <v/>
      </c>
      <c r="V3202" s="215" t="s">
        <v>47</v>
      </c>
      <c r="W3202" s="102" t="s">
        <v>136</v>
      </c>
      <c r="X3202" s="102" t="s">
        <v>137</v>
      </c>
      <c r="Y3202" s="103" t="s">
        <v>138</v>
      </c>
      <c r="Z3202" s="103" t="s">
        <v>139</v>
      </c>
      <c r="AA3202" s="103" t="s">
        <v>47</v>
      </c>
      <c r="AB3202" s="103" t="s">
        <v>140</v>
      </c>
      <c r="AC3202" s="104" t="s">
        <v>141</v>
      </c>
    </row>
    <row r="3203" spans="1:29" ht="25.5" customHeight="1" x14ac:dyDescent="0.35">
      <c r="A3203" s="188"/>
      <c r="B3203" s="190"/>
      <c r="C3203" s="99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0"/>
      <c r="E3203" s="78" t="str">
        <f>IF(C3203="","",IFERROR(VLOOKUP(C3203,parametros!$A$11:$E$15,5,0),""))</f>
        <v/>
      </c>
      <c r="F3203" s="79" t="str">
        <f t="shared" si="252"/>
        <v/>
      </c>
      <c r="G3203" s="101"/>
      <c r="H3203" s="91">
        <f t="shared" si="253"/>
        <v>0</v>
      </c>
      <c r="I3203" s="91" t="str">
        <f t="shared" si="254"/>
        <v/>
      </c>
      <c r="J3203" s="91" t="str">
        <f t="shared" si="255"/>
        <v/>
      </c>
      <c r="K3203" s="92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2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58"/>
      <c r="U3203" s="217" t="str">
        <f t="shared" si="256"/>
        <v/>
      </c>
      <c r="V3203" s="215" t="s">
        <v>47</v>
      </c>
      <c r="W3203" s="102" t="s">
        <v>136</v>
      </c>
      <c r="X3203" s="102" t="s">
        <v>137</v>
      </c>
      <c r="Y3203" s="103" t="s">
        <v>138</v>
      </c>
      <c r="Z3203" s="103" t="s">
        <v>139</v>
      </c>
      <c r="AA3203" s="103" t="s">
        <v>47</v>
      </c>
      <c r="AB3203" s="103" t="s">
        <v>140</v>
      </c>
      <c r="AC3203" s="104" t="s">
        <v>141</v>
      </c>
    </row>
    <row r="3204" spans="1:29" ht="25.5" customHeight="1" x14ac:dyDescent="0.35">
      <c r="A3204" s="188"/>
      <c r="B3204" s="190"/>
      <c r="C3204" s="99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0"/>
      <c r="E3204" s="78" t="str">
        <f>IF(C3204="","",IFERROR(VLOOKUP(C3204,parametros!$A$11:$E$15,5,0),""))</f>
        <v/>
      </c>
      <c r="F3204" s="79" t="str">
        <f t="shared" si="252"/>
        <v/>
      </c>
      <c r="G3204" s="101"/>
      <c r="H3204" s="91">
        <f t="shared" si="253"/>
        <v>0</v>
      </c>
      <c r="I3204" s="91" t="str">
        <f t="shared" si="254"/>
        <v/>
      </c>
      <c r="J3204" s="91" t="str">
        <f t="shared" si="255"/>
        <v/>
      </c>
      <c r="K3204" s="92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2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58"/>
      <c r="U3204" s="217" t="str">
        <f t="shared" si="256"/>
        <v/>
      </c>
      <c r="V3204" s="215" t="s">
        <v>47</v>
      </c>
      <c r="W3204" s="102" t="s">
        <v>136</v>
      </c>
      <c r="X3204" s="102" t="s">
        <v>137</v>
      </c>
      <c r="Y3204" s="103" t="s">
        <v>138</v>
      </c>
      <c r="Z3204" s="103" t="s">
        <v>139</v>
      </c>
      <c r="AA3204" s="103" t="s">
        <v>47</v>
      </c>
      <c r="AB3204" s="103" t="s">
        <v>140</v>
      </c>
      <c r="AC3204" s="104" t="s">
        <v>141</v>
      </c>
    </row>
    <row r="3205" spans="1:29" ht="25.5" customHeight="1" x14ac:dyDescent="0.35">
      <c r="A3205" s="188"/>
      <c r="B3205" s="190"/>
      <c r="C3205" s="99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0"/>
      <c r="E3205" s="78" t="str">
        <f>IF(C3205="","",IFERROR(VLOOKUP(C3205,parametros!$A$11:$E$15,5,0),""))</f>
        <v/>
      </c>
      <c r="F3205" s="79" t="str">
        <f t="shared" si="252"/>
        <v/>
      </c>
      <c r="G3205" s="101"/>
      <c r="H3205" s="91">
        <f t="shared" si="253"/>
        <v>0</v>
      </c>
      <c r="I3205" s="91" t="str">
        <f t="shared" si="254"/>
        <v/>
      </c>
      <c r="J3205" s="91" t="str">
        <f t="shared" si="255"/>
        <v/>
      </c>
      <c r="K3205" s="92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2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58"/>
      <c r="U3205" s="217" t="str">
        <f t="shared" si="256"/>
        <v/>
      </c>
      <c r="V3205" s="215" t="s">
        <v>47</v>
      </c>
      <c r="W3205" s="102" t="s">
        <v>136</v>
      </c>
      <c r="X3205" s="102" t="s">
        <v>137</v>
      </c>
      <c r="Y3205" s="103" t="s">
        <v>138</v>
      </c>
      <c r="Z3205" s="103" t="s">
        <v>139</v>
      </c>
      <c r="AA3205" s="103" t="s">
        <v>47</v>
      </c>
      <c r="AB3205" s="103" t="s">
        <v>140</v>
      </c>
      <c r="AC3205" s="104" t="s">
        <v>141</v>
      </c>
    </row>
    <row r="3206" spans="1:29" ht="25.5" customHeight="1" x14ac:dyDescent="0.35">
      <c r="A3206" s="188"/>
      <c r="B3206" s="190"/>
      <c r="C3206" s="99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0"/>
      <c r="E3206" s="78" t="str">
        <f>IF(C3206="","",IFERROR(VLOOKUP(C3206,parametros!$A$11:$E$15,5,0),""))</f>
        <v/>
      </c>
      <c r="F3206" s="79" t="str">
        <f t="shared" si="252"/>
        <v/>
      </c>
      <c r="G3206" s="101"/>
      <c r="H3206" s="91">
        <f t="shared" si="253"/>
        <v>0</v>
      </c>
      <c r="I3206" s="91" t="str">
        <f t="shared" si="254"/>
        <v/>
      </c>
      <c r="J3206" s="91" t="str">
        <f t="shared" si="255"/>
        <v/>
      </c>
      <c r="K3206" s="92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2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58"/>
      <c r="U3206" s="217" t="str">
        <f t="shared" si="256"/>
        <v/>
      </c>
      <c r="V3206" s="215" t="s">
        <v>47</v>
      </c>
      <c r="W3206" s="102" t="s">
        <v>136</v>
      </c>
      <c r="X3206" s="102" t="s">
        <v>137</v>
      </c>
      <c r="Y3206" s="103" t="s">
        <v>138</v>
      </c>
      <c r="Z3206" s="103" t="s">
        <v>139</v>
      </c>
      <c r="AA3206" s="103" t="s">
        <v>47</v>
      </c>
      <c r="AB3206" s="103" t="s">
        <v>140</v>
      </c>
      <c r="AC3206" s="104" t="s">
        <v>141</v>
      </c>
    </row>
    <row r="3207" spans="1:29" ht="25.5" customHeight="1" x14ac:dyDescent="0.35">
      <c r="A3207" s="188"/>
      <c r="B3207" s="190"/>
      <c r="C3207" s="99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0"/>
      <c r="E3207" s="78" t="str">
        <f>IF(C3207="","",IFERROR(VLOOKUP(C3207,parametros!$A$11:$E$15,5,0),""))</f>
        <v/>
      </c>
      <c r="F3207" s="79" t="str">
        <f t="shared" si="252"/>
        <v/>
      </c>
      <c r="G3207" s="101"/>
      <c r="H3207" s="91">
        <f t="shared" si="253"/>
        <v>0</v>
      </c>
      <c r="I3207" s="91" t="str">
        <f t="shared" si="254"/>
        <v/>
      </c>
      <c r="J3207" s="91" t="str">
        <f t="shared" si="255"/>
        <v/>
      </c>
      <c r="K3207" s="92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2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58"/>
      <c r="U3207" s="217" t="str">
        <f t="shared" si="256"/>
        <v/>
      </c>
      <c r="V3207" s="215" t="s">
        <v>47</v>
      </c>
      <c r="W3207" s="102" t="s">
        <v>136</v>
      </c>
      <c r="X3207" s="102" t="s">
        <v>137</v>
      </c>
      <c r="Y3207" s="103" t="s">
        <v>138</v>
      </c>
      <c r="Z3207" s="103" t="s">
        <v>139</v>
      </c>
      <c r="AA3207" s="103" t="s">
        <v>47</v>
      </c>
      <c r="AB3207" s="103" t="s">
        <v>140</v>
      </c>
      <c r="AC3207" s="104" t="s">
        <v>141</v>
      </c>
    </row>
    <row r="3208" spans="1:29" ht="25.5" customHeight="1" x14ac:dyDescent="0.35">
      <c r="A3208" s="188"/>
      <c r="B3208" s="190"/>
      <c r="C3208" s="99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0"/>
      <c r="E3208" s="78" t="str">
        <f>IF(C3208="","",IFERROR(VLOOKUP(C3208,parametros!$A$11:$E$15,5,0),""))</f>
        <v/>
      </c>
      <c r="F3208" s="79" t="str">
        <f t="shared" si="252"/>
        <v/>
      </c>
      <c r="G3208" s="101"/>
      <c r="H3208" s="91">
        <f t="shared" si="253"/>
        <v>0</v>
      </c>
      <c r="I3208" s="91" t="str">
        <f t="shared" si="254"/>
        <v/>
      </c>
      <c r="J3208" s="91" t="str">
        <f t="shared" si="255"/>
        <v/>
      </c>
      <c r="K3208" s="92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2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58"/>
      <c r="U3208" s="217" t="str">
        <f t="shared" si="256"/>
        <v/>
      </c>
      <c r="V3208" s="215" t="s">
        <v>47</v>
      </c>
      <c r="W3208" s="102" t="s">
        <v>136</v>
      </c>
      <c r="X3208" s="102" t="s">
        <v>137</v>
      </c>
      <c r="Y3208" s="103" t="s">
        <v>138</v>
      </c>
      <c r="Z3208" s="103" t="s">
        <v>139</v>
      </c>
      <c r="AA3208" s="103" t="s">
        <v>47</v>
      </c>
      <c r="AB3208" s="103" t="s">
        <v>140</v>
      </c>
      <c r="AC3208" s="104" t="s">
        <v>141</v>
      </c>
    </row>
    <row r="3209" spans="1:29" ht="25.5" customHeight="1" x14ac:dyDescent="0.35">
      <c r="A3209" s="188"/>
      <c r="B3209" s="190"/>
      <c r="C3209" s="99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0"/>
      <c r="E3209" s="78" t="str">
        <f>IF(C3209="","",IFERROR(VLOOKUP(C3209,parametros!$A$11:$E$15,5,0),""))</f>
        <v/>
      </c>
      <c r="F3209" s="79" t="str">
        <f t="shared" si="252"/>
        <v/>
      </c>
      <c r="G3209" s="101"/>
      <c r="H3209" s="91">
        <f t="shared" si="253"/>
        <v>0</v>
      </c>
      <c r="I3209" s="91" t="str">
        <f t="shared" si="254"/>
        <v/>
      </c>
      <c r="J3209" s="91" t="str">
        <f t="shared" si="255"/>
        <v/>
      </c>
      <c r="K3209" s="92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2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58"/>
      <c r="U3209" s="217" t="str">
        <f t="shared" si="256"/>
        <v/>
      </c>
      <c r="V3209" s="215" t="s">
        <v>47</v>
      </c>
      <c r="W3209" s="102" t="s">
        <v>136</v>
      </c>
      <c r="X3209" s="102" t="s">
        <v>137</v>
      </c>
      <c r="Y3209" s="103" t="s">
        <v>138</v>
      </c>
      <c r="Z3209" s="103" t="s">
        <v>139</v>
      </c>
      <c r="AA3209" s="103" t="s">
        <v>47</v>
      </c>
      <c r="AB3209" s="103" t="s">
        <v>140</v>
      </c>
      <c r="AC3209" s="104" t="s">
        <v>141</v>
      </c>
    </row>
    <row r="3210" spans="1:29" ht="25.5" customHeight="1" x14ac:dyDescent="0.35">
      <c r="A3210" s="188"/>
      <c r="B3210" s="190"/>
      <c r="C3210" s="99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0"/>
      <c r="E3210" s="78" t="str">
        <f>IF(C3210="","",IFERROR(VLOOKUP(C3210,parametros!$A$11:$E$15,5,0),""))</f>
        <v/>
      </c>
      <c r="F3210" s="79" t="str">
        <f t="shared" si="252"/>
        <v/>
      </c>
      <c r="G3210" s="101"/>
      <c r="H3210" s="91">
        <f t="shared" si="253"/>
        <v>0</v>
      </c>
      <c r="I3210" s="91" t="str">
        <f t="shared" si="254"/>
        <v/>
      </c>
      <c r="J3210" s="91" t="str">
        <f t="shared" si="255"/>
        <v/>
      </c>
      <c r="K3210" s="92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2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58"/>
      <c r="U3210" s="217" t="str">
        <f t="shared" si="256"/>
        <v/>
      </c>
      <c r="V3210" s="215" t="s">
        <v>47</v>
      </c>
      <c r="W3210" s="102" t="s">
        <v>136</v>
      </c>
      <c r="X3210" s="102" t="s">
        <v>137</v>
      </c>
      <c r="Y3210" s="103" t="s">
        <v>138</v>
      </c>
      <c r="Z3210" s="103" t="s">
        <v>139</v>
      </c>
      <c r="AA3210" s="103" t="s">
        <v>47</v>
      </c>
      <c r="AB3210" s="103" t="s">
        <v>140</v>
      </c>
      <c r="AC3210" s="104" t="s">
        <v>141</v>
      </c>
    </row>
    <row r="3211" spans="1:29" ht="25.5" customHeight="1" x14ac:dyDescent="0.35">
      <c r="A3211" s="188"/>
      <c r="B3211" s="190"/>
      <c r="C3211" s="99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0"/>
      <c r="E3211" s="78" t="str">
        <f>IF(C3211="","",IFERROR(VLOOKUP(C3211,parametros!$A$11:$E$15,5,0),""))</f>
        <v/>
      </c>
      <c r="F3211" s="79" t="str">
        <f t="shared" si="252"/>
        <v/>
      </c>
      <c r="G3211" s="101"/>
      <c r="H3211" s="91">
        <f t="shared" si="253"/>
        <v>0</v>
      </c>
      <c r="I3211" s="91" t="str">
        <f t="shared" si="254"/>
        <v/>
      </c>
      <c r="J3211" s="91" t="str">
        <f t="shared" si="255"/>
        <v/>
      </c>
      <c r="K3211" s="92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2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58"/>
      <c r="U3211" s="217" t="str">
        <f t="shared" si="256"/>
        <v/>
      </c>
      <c r="V3211" s="215" t="s">
        <v>47</v>
      </c>
      <c r="W3211" s="102" t="s">
        <v>136</v>
      </c>
      <c r="X3211" s="102" t="s">
        <v>137</v>
      </c>
      <c r="Y3211" s="103" t="s">
        <v>138</v>
      </c>
      <c r="Z3211" s="103" t="s">
        <v>139</v>
      </c>
      <c r="AA3211" s="103" t="s">
        <v>47</v>
      </c>
      <c r="AB3211" s="103" t="s">
        <v>140</v>
      </c>
      <c r="AC3211" s="104" t="s">
        <v>141</v>
      </c>
    </row>
    <row r="3212" spans="1:29" ht="25.5" customHeight="1" x14ac:dyDescent="0.35">
      <c r="A3212" s="188"/>
      <c r="B3212" s="190"/>
      <c r="C3212" s="99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0"/>
      <c r="E3212" s="78" t="str">
        <f>IF(C3212="","",IFERROR(VLOOKUP(C3212,parametros!$A$11:$E$15,5,0),""))</f>
        <v/>
      </c>
      <c r="F3212" s="79" t="str">
        <f t="shared" si="252"/>
        <v/>
      </c>
      <c r="G3212" s="101"/>
      <c r="H3212" s="91">
        <f t="shared" si="253"/>
        <v>0</v>
      </c>
      <c r="I3212" s="91" t="str">
        <f t="shared" si="254"/>
        <v/>
      </c>
      <c r="J3212" s="91" t="str">
        <f t="shared" si="255"/>
        <v/>
      </c>
      <c r="K3212" s="92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2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58"/>
      <c r="U3212" s="217" t="str">
        <f t="shared" si="256"/>
        <v/>
      </c>
      <c r="V3212" s="215" t="s">
        <v>47</v>
      </c>
      <c r="W3212" s="102" t="s">
        <v>136</v>
      </c>
      <c r="X3212" s="102" t="s">
        <v>137</v>
      </c>
      <c r="Y3212" s="103" t="s">
        <v>138</v>
      </c>
      <c r="Z3212" s="103" t="s">
        <v>139</v>
      </c>
      <c r="AA3212" s="103" t="s">
        <v>47</v>
      </c>
      <c r="AB3212" s="103" t="s">
        <v>140</v>
      </c>
      <c r="AC3212" s="104" t="s">
        <v>141</v>
      </c>
    </row>
    <row r="3213" spans="1:29" ht="25.5" customHeight="1" x14ac:dyDescent="0.35">
      <c r="A3213" s="188"/>
      <c r="B3213" s="190"/>
      <c r="C3213" s="99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0"/>
      <c r="E3213" s="78" t="str">
        <f>IF(C3213="","",IFERROR(VLOOKUP(C3213,parametros!$A$11:$E$15,5,0),""))</f>
        <v/>
      </c>
      <c r="F3213" s="79" t="str">
        <f t="shared" si="252"/>
        <v/>
      </c>
      <c r="G3213" s="101"/>
      <c r="H3213" s="91">
        <f t="shared" si="253"/>
        <v>0</v>
      </c>
      <c r="I3213" s="91" t="str">
        <f t="shared" si="254"/>
        <v/>
      </c>
      <c r="J3213" s="91" t="str">
        <f t="shared" si="255"/>
        <v/>
      </c>
      <c r="K3213" s="92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2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58"/>
      <c r="U3213" s="217" t="str">
        <f t="shared" si="256"/>
        <v/>
      </c>
      <c r="V3213" s="215" t="s">
        <v>47</v>
      </c>
      <c r="W3213" s="102" t="s">
        <v>136</v>
      </c>
      <c r="X3213" s="102" t="s">
        <v>137</v>
      </c>
      <c r="Y3213" s="103" t="s">
        <v>138</v>
      </c>
      <c r="Z3213" s="103" t="s">
        <v>139</v>
      </c>
      <c r="AA3213" s="103" t="s">
        <v>47</v>
      </c>
      <c r="AB3213" s="103" t="s">
        <v>140</v>
      </c>
      <c r="AC3213" s="104" t="s">
        <v>141</v>
      </c>
    </row>
    <row r="3214" spans="1:29" ht="25.5" customHeight="1" x14ac:dyDescent="0.35">
      <c r="A3214" s="188"/>
      <c r="B3214" s="190"/>
      <c r="C3214" s="99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0"/>
      <c r="E3214" s="78" t="str">
        <f>IF(C3214="","",IFERROR(VLOOKUP(C3214,parametros!$A$11:$E$15,5,0),""))</f>
        <v/>
      </c>
      <c r="F3214" s="79" t="str">
        <f t="shared" si="252"/>
        <v/>
      </c>
      <c r="G3214" s="101"/>
      <c r="H3214" s="91">
        <f t="shared" si="253"/>
        <v>0</v>
      </c>
      <c r="I3214" s="91" t="str">
        <f t="shared" si="254"/>
        <v/>
      </c>
      <c r="J3214" s="91" t="str">
        <f t="shared" si="255"/>
        <v/>
      </c>
      <c r="K3214" s="92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2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58"/>
      <c r="U3214" s="217" t="str">
        <f t="shared" si="256"/>
        <v/>
      </c>
      <c r="V3214" s="215" t="s">
        <v>47</v>
      </c>
      <c r="W3214" s="102" t="s">
        <v>136</v>
      </c>
      <c r="X3214" s="102" t="s">
        <v>137</v>
      </c>
      <c r="Y3214" s="103" t="s">
        <v>138</v>
      </c>
      <c r="Z3214" s="103" t="s">
        <v>139</v>
      </c>
      <c r="AA3214" s="103" t="s">
        <v>47</v>
      </c>
      <c r="AB3214" s="103" t="s">
        <v>140</v>
      </c>
      <c r="AC3214" s="104" t="s">
        <v>141</v>
      </c>
    </row>
    <row r="3215" spans="1:29" ht="25.5" customHeight="1" x14ac:dyDescent="0.35">
      <c r="A3215" s="188"/>
      <c r="B3215" s="190"/>
      <c r="C3215" s="99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0"/>
      <c r="E3215" s="78" t="str">
        <f>IF(C3215="","",IFERROR(VLOOKUP(C3215,parametros!$A$11:$E$15,5,0),""))</f>
        <v/>
      </c>
      <c r="F3215" s="79" t="str">
        <f t="shared" si="252"/>
        <v/>
      </c>
      <c r="G3215" s="101"/>
      <c r="H3215" s="91">
        <f t="shared" si="253"/>
        <v>0</v>
      </c>
      <c r="I3215" s="91" t="str">
        <f t="shared" si="254"/>
        <v/>
      </c>
      <c r="J3215" s="91" t="str">
        <f t="shared" si="255"/>
        <v/>
      </c>
      <c r="K3215" s="92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2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58"/>
      <c r="U3215" s="217" t="str">
        <f t="shared" si="256"/>
        <v/>
      </c>
      <c r="V3215" s="215" t="s">
        <v>47</v>
      </c>
      <c r="W3215" s="102" t="s">
        <v>136</v>
      </c>
      <c r="X3215" s="102" t="s">
        <v>137</v>
      </c>
      <c r="Y3215" s="103" t="s">
        <v>138</v>
      </c>
      <c r="Z3215" s="103" t="s">
        <v>139</v>
      </c>
      <c r="AA3215" s="103" t="s">
        <v>47</v>
      </c>
      <c r="AB3215" s="103" t="s">
        <v>140</v>
      </c>
      <c r="AC3215" s="104" t="s">
        <v>141</v>
      </c>
    </row>
    <row r="3216" spans="1:29" ht="25.5" customHeight="1" x14ac:dyDescent="0.35">
      <c r="A3216" s="188"/>
      <c r="B3216" s="190"/>
      <c r="C3216" s="99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0"/>
      <c r="E3216" s="78" t="str">
        <f>IF(C3216="","",IFERROR(VLOOKUP(C3216,parametros!$A$11:$E$15,5,0),""))</f>
        <v/>
      </c>
      <c r="F3216" s="79" t="str">
        <f t="shared" si="252"/>
        <v/>
      </c>
      <c r="G3216" s="101"/>
      <c r="H3216" s="91">
        <f t="shared" si="253"/>
        <v>0</v>
      </c>
      <c r="I3216" s="91" t="str">
        <f t="shared" si="254"/>
        <v/>
      </c>
      <c r="J3216" s="91" t="str">
        <f t="shared" si="255"/>
        <v/>
      </c>
      <c r="K3216" s="92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2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58"/>
      <c r="U3216" s="217" t="str">
        <f t="shared" si="256"/>
        <v/>
      </c>
      <c r="V3216" s="215" t="s">
        <v>47</v>
      </c>
      <c r="W3216" s="102" t="s">
        <v>136</v>
      </c>
      <c r="X3216" s="102" t="s">
        <v>137</v>
      </c>
      <c r="Y3216" s="103" t="s">
        <v>138</v>
      </c>
      <c r="Z3216" s="103" t="s">
        <v>139</v>
      </c>
      <c r="AA3216" s="103" t="s">
        <v>47</v>
      </c>
      <c r="AB3216" s="103" t="s">
        <v>140</v>
      </c>
      <c r="AC3216" s="104" t="s">
        <v>141</v>
      </c>
    </row>
    <row r="3217" spans="1:29" ht="25.5" customHeight="1" x14ac:dyDescent="0.35">
      <c r="A3217" s="188"/>
      <c r="B3217" s="190"/>
      <c r="C3217" s="99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0"/>
      <c r="E3217" s="78" t="str">
        <f>IF(C3217="","",IFERROR(VLOOKUP(C3217,parametros!$A$11:$E$15,5,0),""))</f>
        <v/>
      </c>
      <c r="F3217" s="79" t="str">
        <f t="shared" si="252"/>
        <v/>
      </c>
      <c r="G3217" s="101"/>
      <c r="H3217" s="91">
        <f t="shared" si="253"/>
        <v>0</v>
      </c>
      <c r="I3217" s="91" t="str">
        <f t="shared" si="254"/>
        <v/>
      </c>
      <c r="J3217" s="91" t="str">
        <f t="shared" si="255"/>
        <v/>
      </c>
      <c r="K3217" s="92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2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58"/>
      <c r="U3217" s="217" t="str">
        <f t="shared" si="256"/>
        <v/>
      </c>
      <c r="V3217" s="215" t="s">
        <v>47</v>
      </c>
      <c r="W3217" s="102" t="s">
        <v>136</v>
      </c>
      <c r="X3217" s="102" t="s">
        <v>137</v>
      </c>
      <c r="Y3217" s="103" t="s">
        <v>138</v>
      </c>
      <c r="Z3217" s="103" t="s">
        <v>139</v>
      </c>
      <c r="AA3217" s="103" t="s">
        <v>47</v>
      </c>
      <c r="AB3217" s="103" t="s">
        <v>140</v>
      </c>
      <c r="AC3217" s="104" t="s">
        <v>141</v>
      </c>
    </row>
    <row r="3218" spans="1:29" ht="25.5" customHeight="1" x14ac:dyDescent="0.35">
      <c r="A3218" s="188"/>
      <c r="B3218" s="190"/>
      <c r="C3218" s="99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0"/>
      <c r="E3218" s="78" t="str">
        <f>IF(C3218="","",IFERROR(VLOOKUP(C3218,parametros!$A$11:$E$15,5,0),""))</f>
        <v/>
      </c>
      <c r="F3218" s="79" t="str">
        <f t="shared" si="252"/>
        <v/>
      </c>
      <c r="G3218" s="101"/>
      <c r="H3218" s="91">
        <f t="shared" si="253"/>
        <v>0</v>
      </c>
      <c r="I3218" s="91" t="str">
        <f t="shared" si="254"/>
        <v/>
      </c>
      <c r="J3218" s="91" t="str">
        <f t="shared" si="255"/>
        <v/>
      </c>
      <c r="K3218" s="92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2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58"/>
      <c r="U3218" s="217" t="str">
        <f t="shared" si="256"/>
        <v/>
      </c>
      <c r="V3218" s="215" t="s">
        <v>47</v>
      </c>
      <c r="W3218" s="102" t="s">
        <v>136</v>
      </c>
      <c r="X3218" s="102" t="s">
        <v>137</v>
      </c>
      <c r="Y3218" s="103" t="s">
        <v>138</v>
      </c>
      <c r="Z3218" s="103" t="s">
        <v>139</v>
      </c>
      <c r="AA3218" s="103" t="s">
        <v>47</v>
      </c>
      <c r="AB3218" s="103" t="s">
        <v>140</v>
      </c>
      <c r="AC3218" s="104" t="s">
        <v>141</v>
      </c>
    </row>
    <row r="3219" spans="1:29" ht="25.5" customHeight="1" x14ac:dyDescent="0.35">
      <c r="A3219" s="188"/>
      <c r="B3219" s="190"/>
      <c r="C3219" s="99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0"/>
      <c r="E3219" s="78" t="str">
        <f>IF(C3219="","",IFERROR(VLOOKUP(C3219,parametros!$A$11:$E$15,5,0),""))</f>
        <v/>
      </c>
      <c r="F3219" s="79" t="str">
        <f t="shared" si="252"/>
        <v/>
      </c>
      <c r="G3219" s="101"/>
      <c r="H3219" s="91">
        <f t="shared" si="253"/>
        <v>0</v>
      </c>
      <c r="I3219" s="91" t="str">
        <f t="shared" si="254"/>
        <v/>
      </c>
      <c r="J3219" s="91" t="str">
        <f t="shared" si="255"/>
        <v/>
      </c>
      <c r="K3219" s="92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2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58"/>
      <c r="U3219" s="217" t="str">
        <f t="shared" si="256"/>
        <v/>
      </c>
      <c r="V3219" s="215" t="s">
        <v>47</v>
      </c>
      <c r="W3219" s="102" t="s">
        <v>136</v>
      </c>
      <c r="X3219" s="102" t="s">
        <v>137</v>
      </c>
      <c r="Y3219" s="103" t="s">
        <v>138</v>
      </c>
      <c r="Z3219" s="103" t="s">
        <v>139</v>
      </c>
      <c r="AA3219" s="103" t="s">
        <v>47</v>
      </c>
      <c r="AB3219" s="103" t="s">
        <v>140</v>
      </c>
      <c r="AC3219" s="104" t="s">
        <v>141</v>
      </c>
    </row>
    <row r="3220" spans="1:29" ht="25.5" customHeight="1" x14ac:dyDescent="0.35">
      <c r="A3220" s="188"/>
      <c r="B3220" s="190"/>
      <c r="C3220" s="99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0"/>
      <c r="E3220" s="78" t="str">
        <f>IF(C3220="","",IFERROR(VLOOKUP(C3220,parametros!$A$11:$E$15,5,0),""))</f>
        <v/>
      </c>
      <c r="F3220" s="79" t="str">
        <f t="shared" si="252"/>
        <v/>
      </c>
      <c r="G3220" s="101"/>
      <c r="H3220" s="91">
        <f t="shared" si="253"/>
        <v>0</v>
      </c>
      <c r="I3220" s="91" t="str">
        <f t="shared" si="254"/>
        <v/>
      </c>
      <c r="J3220" s="91" t="str">
        <f t="shared" si="255"/>
        <v/>
      </c>
      <c r="K3220" s="92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2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58"/>
      <c r="U3220" s="217" t="str">
        <f t="shared" si="256"/>
        <v/>
      </c>
      <c r="V3220" s="215" t="s">
        <v>47</v>
      </c>
      <c r="W3220" s="102" t="s">
        <v>136</v>
      </c>
      <c r="X3220" s="102" t="s">
        <v>137</v>
      </c>
      <c r="Y3220" s="103" t="s">
        <v>138</v>
      </c>
      <c r="Z3220" s="103" t="s">
        <v>139</v>
      </c>
      <c r="AA3220" s="103" t="s">
        <v>47</v>
      </c>
      <c r="AB3220" s="103" t="s">
        <v>140</v>
      </c>
      <c r="AC3220" s="104" t="s">
        <v>141</v>
      </c>
    </row>
    <row r="3221" spans="1:29" ht="25.5" customHeight="1" x14ac:dyDescent="0.35">
      <c r="A3221" s="188"/>
      <c r="B3221" s="190"/>
      <c r="C3221" s="99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0"/>
      <c r="E3221" s="78" t="str">
        <f>IF(C3221="","",IFERROR(VLOOKUP(C3221,parametros!$A$11:$E$15,5,0),""))</f>
        <v/>
      </c>
      <c r="F3221" s="79" t="str">
        <f t="shared" si="252"/>
        <v/>
      </c>
      <c r="G3221" s="101"/>
      <c r="H3221" s="91">
        <f t="shared" si="253"/>
        <v>0</v>
      </c>
      <c r="I3221" s="91" t="str">
        <f t="shared" si="254"/>
        <v/>
      </c>
      <c r="J3221" s="91" t="str">
        <f t="shared" si="255"/>
        <v/>
      </c>
      <c r="K3221" s="92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2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58"/>
      <c r="U3221" s="217" t="str">
        <f t="shared" si="256"/>
        <v/>
      </c>
      <c r="V3221" s="215" t="s">
        <v>47</v>
      </c>
      <c r="W3221" s="102" t="s">
        <v>136</v>
      </c>
      <c r="X3221" s="102" t="s">
        <v>137</v>
      </c>
      <c r="Y3221" s="103" t="s">
        <v>138</v>
      </c>
      <c r="Z3221" s="103" t="s">
        <v>139</v>
      </c>
      <c r="AA3221" s="103" t="s">
        <v>47</v>
      </c>
      <c r="AB3221" s="103" t="s">
        <v>140</v>
      </c>
      <c r="AC3221" s="104" t="s">
        <v>141</v>
      </c>
    </row>
    <row r="3222" spans="1:29" ht="25.5" customHeight="1" x14ac:dyDescent="0.35">
      <c r="A3222" s="188"/>
      <c r="B3222" s="190"/>
      <c r="C3222" s="99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0"/>
      <c r="E3222" s="78" t="str">
        <f>IF(C3222="","",IFERROR(VLOOKUP(C3222,parametros!$A$11:$E$15,5,0),""))</f>
        <v/>
      </c>
      <c r="F3222" s="79" t="str">
        <f t="shared" si="252"/>
        <v/>
      </c>
      <c r="G3222" s="101"/>
      <c r="H3222" s="91">
        <f t="shared" si="253"/>
        <v>0</v>
      </c>
      <c r="I3222" s="91" t="str">
        <f t="shared" si="254"/>
        <v/>
      </c>
      <c r="J3222" s="91" t="str">
        <f t="shared" si="255"/>
        <v/>
      </c>
      <c r="K3222" s="92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2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58"/>
      <c r="U3222" s="217" t="str">
        <f t="shared" si="256"/>
        <v/>
      </c>
      <c r="V3222" s="215" t="s">
        <v>47</v>
      </c>
      <c r="W3222" s="102" t="s">
        <v>136</v>
      </c>
      <c r="X3222" s="102" t="s">
        <v>137</v>
      </c>
      <c r="Y3222" s="103" t="s">
        <v>138</v>
      </c>
      <c r="Z3222" s="103" t="s">
        <v>139</v>
      </c>
      <c r="AA3222" s="103" t="s">
        <v>47</v>
      </c>
      <c r="AB3222" s="103" t="s">
        <v>140</v>
      </c>
      <c r="AC3222" s="104" t="s">
        <v>141</v>
      </c>
    </row>
    <row r="3223" spans="1:29" ht="25.5" customHeight="1" x14ac:dyDescent="0.35">
      <c r="A3223" s="188"/>
      <c r="B3223" s="190"/>
      <c r="C3223" s="99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0"/>
      <c r="E3223" s="78" t="str">
        <f>IF(C3223="","",IFERROR(VLOOKUP(C3223,parametros!$A$11:$E$15,5,0),""))</f>
        <v/>
      </c>
      <c r="F3223" s="79" t="str">
        <f t="shared" si="252"/>
        <v/>
      </c>
      <c r="G3223" s="101"/>
      <c r="H3223" s="91">
        <f t="shared" si="253"/>
        <v>0</v>
      </c>
      <c r="I3223" s="91" t="str">
        <f t="shared" si="254"/>
        <v/>
      </c>
      <c r="J3223" s="91" t="str">
        <f t="shared" si="255"/>
        <v/>
      </c>
      <c r="K3223" s="92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2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58"/>
      <c r="U3223" s="217" t="str">
        <f t="shared" si="256"/>
        <v/>
      </c>
      <c r="V3223" s="215" t="s">
        <v>47</v>
      </c>
      <c r="W3223" s="102" t="s">
        <v>136</v>
      </c>
      <c r="X3223" s="102" t="s">
        <v>137</v>
      </c>
      <c r="Y3223" s="103" t="s">
        <v>138</v>
      </c>
      <c r="Z3223" s="103" t="s">
        <v>139</v>
      </c>
      <c r="AA3223" s="103" t="s">
        <v>47</v>
      </c>
      <c r="AB3223" s="103" t="s">
        <v>140</v>
      </c>
      <c r="AC3223" s="104" t="s">
        <v>141</v>
      </c>
    </row>
    <row r="3224" spans="1:29" ht="25.5" customHeight="1" x14ac:dyDescent="0.35">
      <c r="A3224" s="188"/>
      <c r="B3224" s="190"/>
      <c r="C3224" s="99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0"/>
      <c r="E3224" s="78" t="str">
        <f>IF(C3224="","",IFERROR(VLOOKUP(C3224,parametros!$A$11:$E$15,5,0),""))</f>
        <v/>
      </c>
      <c r="F3224" s="79" t="str">
        <f t="shared" si="252"/>
        <v/>
      </c>
      <c r="G3224" s="101"/>
      <c r="H3224" s="91">
        <f t="shared" si="253"/>
        <v>0</v>
      </c>
      <c r="I3224" s="91" t="str">
        <f t="shared" si="254"/>
        <v/>
      </c>
      <c r="J3224" s="91" t="str">
        <f t="shared" si="255"/>
        <v/>
      </c>
      <c r="K3224" s="92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2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58"/>
      <c r="U3224" s="217" t="str">
        <f t="shared" si="256"/>
        <v/>
      </c>
      <c r="V3224" s="215" t="s">
        <v>47</v>
      </c>
      <c r="W3224" s="102" t="s">
        <v>136</v>
      </c>
      <c r="X3224" s="102" t="s">
        <v>137</v>
      </c>
      <c r="Y3224" s="103" t="s">
        <v>138</v>
      </c>
      <c r="Z3224" s="103" t="s">
        <v>139</v>
      </c>
      <c r="AA3224" s="103" t="s">
        <v>47</v>
      </c>
      <c r="AB3224" s="103" t="s">
        <v>140</v>
      </c>
      <c r="AC3224" s="104" t="s">
        <v>141</v>
      </c>
    </row>
    <row r="3225" spans="1:29" ht="25.5" customHeight="1" x14ac:dyDescent="0.35">
      <c r="A3225" s="188"/>
      <c r="B3225" s="190"/>
      <c r="C3225" s="99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0"/>
      <c r="E3225" s="78" t="str">
        <f>IF(C3225="","",IFERROR(VLOOKUP(C3225,parametros!$A$11:$E$15,5,0),""))</f>
        <v/>
      </c>
      <c r="F3225" s="79" t="str">
        <f t="shared" si="252"/>
        <v/>
      </c>
      <c r="G3225" s="101"/>
      <c r="H3225" s="91">
        <f t="shared" si="253"/>
        <v>0</v>
      </c>
      <c r="I3225" s="91" t="str">
        <f t="shared" si="254"/>
        <v/>
      </c>
      <c r="J3225" s="91" t="str">
        <f t="shared" si="255"/>
        <v/>
      </c>
      <c r="K3225" s="92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2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58"/>
      <c r="U3225" s="217" t="str">
        <f t="shared" si="256"/>
        <v/>
      </c>
      <c r="V3225" s="215" t="s">
        <v>47</v>
      </c>
      <c r="W3225" s="102" t="s">
        <v>136</v>
      </c>
      <c r="X3225" s="102" t="s">
        <v>137</v>
      </c>
      <c r="Y3225" s="103" t="s">
        <v>138</v>
      </c>
      <c r="Z3225" s="103" t="s">
        <v>139</v>
      </c>
      <c r="AA3225" s="103" t="s">
        <v>47</v>
      </c>
      <c r="AB3225" s="103" t="s">
        <v>140</v>
      </c>
      <c r="AC3225" s="104" t="s">
        <v>141</v>
      </c>
    </row>
    <row r="3226" spans="1:29" ht="25.5" customHeight="1" x14ac:dyDescent="0.35">
      <c r="A3226" s="188"/>
      <c r="B3226" s="190"/>
      <c r="C3226" s="99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0"/>
      <c r="E3226" s="78" t="str">
        <f>IF(C3226="","",IFERROR(VLOOKUP(C3226,parametros!$A$11:$E$15,5,0),""))</f>
        <v/>
      </c>
      <c r="F3226" s="79" t="str">
        <f t="shared" si="252"/>
        <v/>
      </c>
      <c r="G3226" s="101"/>
      <c r="H3226" s="91">
        <f t="shared" si="253"/>
        <v>0</v>
      </c>
      <c r="I3226" s="91" t="str">
        <f t="shared" si="254"/>
        <v/>
      </c>
      <c r="J3226" s="91" t="str">
        <f t="shared" si="255"/>
        <v/>
      </c>
      <c r="K3226" s="92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2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58"/>
      <c r="U3226" s="217" t="str">
        <f t="shared" si="256"/>
        <v/>
      </c>
      <c r="V3226" s="215" t="s">
        <v>47</v>
      </c>
      <c r="W3226" s="102" t="s">
        <v>136</v>
      </c>
      <c r="X3226" s="102" t="s">
        <v>137</v>
      </c>
      <c r="Y3226" s="103" t="s">
        <v>138</v>
      </c>
      <c r="Z3226" s="103" t="s">
        <v>139</v>
      </c>
      <c r="AA3226" s="103" t="s">
        <v>47</v>
      </c>
      <c r="AB3226" s="103" t="s">
        <v>140</v>
      </c>
      <c r="AC3226" s="104" t="s">
        <v>141</v>
      </c>
    </row>
    <row r="3227" spans="1:29" ht="25.5" customHeight="1" x14ac:dyDescent="0.35">
      <c r="A3227" s="188"/>
      <c r="B3227" s="190"/>
      <c r="C3227" s="99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0"/>
      <c r="E3227" s="78" t="str">
        <f>IF(C3227="","",IFERROR(VLOOKUP(C3227,parametros!$A$11:$E$15,5,0),""))</f>
        <v/>
      </c>
      <c r="F3227" s="79" t="str">
        <f t="shared" si="252"/>
        <v/>
      </c>
      <c r="G3227" s="101"/>
      <c r="H3227" s="91">
        <f t="shared" si="253"/>
        <v>0</v>
      </c>
      <c r="I3227" s="91" t="str">
        <f t="shared" si="254"/>
        <v/>
      </c>
      <c r="J3227" s="91" t="str">
        <f t="shared" si="255"/>
        <v/>
      </c>
      <c r="K3227" s="92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2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58"/>
      <c r="U3227" s="217" t="str">
        <f t="shared" si="256"/>
        <v/>
      </c>
      <c r="V3227" s="215" t="s">
        <v>47</v>
      </c>
      <c r="W3227" s="102" t="s">
        <v>136</v>
      </c>
      <c r="X3227" s="102" t="s">
        <v>137</v>
      </c>
      <c r="Y3227" s="103" t="s">
        <v>138</v>
      </c>
      <c r="Z3227" s="103" t="s">
        <v>139</v>
      </c>
      <c r="AA3227" s="103" t="s">
        <v>47</v>
      </c>
      <c r="AB3227" s="103" t="s">
        <v>140</v>
      </c>
      <c r="AC3227" s="104" t="s">
        <v>141</v>
      </c>
    </row>
    <row r="3228" spans="1:29" ht="25.5" customHeight="1" x14ac:dyDescent="0.35">
      <c r="A3228" s="188"/>
      <c r="B3228" s="190"/>
      <c r="C3228" s="99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0"/>
      <c r="E3228" s="78" t="str">
        <f>IF(C3228="","",IFERROR(VLOOKUP(C3228,parametros!$A$11:$E$15,5,0),""))</f>
        <v/>
      </c>
      <c r="F3228" s="79" t="str">
        <f t="shared" si="252"/>
        <v/>
      </c>
      <c r="G3228" s="101"/>
      <c r="H3228" s="91">
        <f t="shared" si="253"/>
        <v>0</v>
      </c>
      <c r="I3228" s="91" t="str">
        <f t="shared" si="254"/>
        <v/>
      </c>
      <c r="J3228" s="91" t="str">
        <f t="shared" si="255"/>
        <v/>
      </c>
      <c r="K3228" s="92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2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58"/>
      <c r="U3228" s="217" t="str">
        <f t="shared" si="256"/>
        <v/>
      </c>
      <c r="V3228" s="215" t="s">
        <v>47</v>
      </c>
      <c r="W3228" s="102" t="s">
        <v>136</v>
      </c>
      <c r="X3228" s="102" t="s">
        <v>137</v>
      </c>
      <c r="Y3228" s="103" t="s">
        <v>138</v>
      </c>
      <c r="Z3228" s="103" t="s">
        <v>139</v>
      </c>
      <c r="AA3228" s="103" t="s">
        <v>47</v>
      </c>
      <c r="AB3228" s="103" t="s">
        <v>140</v>
      </c>
      <c r="AC3228" s="104" t="s">
        <v>141</v>
      </c>
    </row>
    <row r="3229" spans="1:29" ht="25.5" customHeight="1" x14ac:dyDescent="0.35">
      <c r="A3229" s="188"/>
      <c r="B3229" s="190"/>
      <c r="C3229" s="99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0"/>
      <c r="E3229" s="78" t="str">
        <f>IF(C3229="","",IFERROR(VLOOKUP(C3229,parametros!$A$11:$E$15,5,0),""))</f>
        <v/>
      </c>
      <c r="F3229" s="79" t="str">
        <f t="shared" si="252"/>
        <v/>
      </c>
      <c r="G3229" s="101"/>
      <c r="H3229" s="91">
        <f t="shared" si="253"/>
        <v>0</v>
      </c>
      <c r="I3229" s="91" t="str">
        <f t="shared" si="254"/>
        <v/>
      </c>
      <c r="J3229" s="91" t="str">
        <f t="shared" si="255"/>
        <v/>
      </c>
      <c r="K3229" s="92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2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58"/>
      <c r="U3229" s="217" t="str">
        <f t="shared" si="256"/>
        <v/>
      </c>
      <c r="V3229" s="215" t="s">
        <v>47</v>
      </c>
      <c r="W3229" s="102" t="s">
        <v>136</v>
      </c>
      <c r="X3229" s="102" t="s">
        <v>137</v>
      </c>
      <c r="Y3229" s="103" t="s">
        <v>138</v>
      </c>
      <c r="Z3229" s="103" t="s">
        <v>139</v>
      </c>
      <c r="AA3229" s="103" t="s">
        <v>47</v>
      </c>
      <c r="AB3229" s="103" t="s">
        <v>140</v>
      </c>
      <c r="AC3229" s="104" t="s">
        <v>141</v>
      </c>
    </row>
    <row r="3230" spans="1:29" ht="25.5" customHeight="1" x14ac:dyDescent="0.35">
      <c r="A3230" s="188"/>
      <c r="B3230" s="190"/>
      <c r="C3230" s="99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0"/>
      <c r="E3230" s="78" t="str">
        <f>IF(C3230="","",IFERROR(VLOOKUP(C3230,parametros!$A$11:$E$15,5,0),""))</f>
        <v/>
      </c>
      <c r="F3230" s="79" t="str">
        <f t="shared" si="252"/>
        <v/>
      </c>
      <c r="G3230" s="101"/>
      <c r="H3230" s="91">
        <f t="shared" si="253"/>
        <v>0</v>
      </c>
      <c r="I3230" s="91" t="str">
        <f t="shared" si="254"/>
        <v/>
      </c>
      <c r="J3230" s="91" t="str">
        <f t="shared" si="255"/>
        <v/>
      </c>
      <c r="K3230" s="92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2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58"/>
      <c r="U3230" s="217" t="str">
        <f t="shared" si="256"/>
        <v/>
      </c>
      <c r="V3230" s="215" t="s">
        <v>47</v>
      </c>
      <c r="W3230" s="102" t="s">
        <v>136</v>
      </c>
      <c r="X3230" s="102" t="s">
        <v>137</v>
      </c>
      <c r="Y3230" s="103" t="s">
        <v>138</v>
      </c>
      <c r="Z3230" s="103" t="s">
        <v>139</v>
      </c>
      <c r="AA3230" s="103" t="s">
        <v>47</v>
      </c>
      <c r="AB3230" s="103" t="s">
        <v>140</v>
      </c>
      <c r="AC3230" s="104" t="s">
        <v>141</v>
      </c>
    </row>
    <row r="3231" spans="1:29" ht="25.5" customHeight="1" x14ac:dyDescent="0.35">
      <c r="A3231" s="188"/>
      <c r="B3231" s="190"/>
      <c r="C3231" s="99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0"/>
      <c r="E3231" s="78" t="str">
        <f>IF(C3231="","",IFERROR(VLOOKUP(C3231,parametros!$A$11:$E$15,5,0),""))</f>
        <v/>
      </c>
      <c r="F3231" s="79" t="str">
        <f t="shared" si="252"/>
        <v/>
      </c>
      <c r="G3231" s="101"/>
      <c r="H3231" s="91">
        <f t="shared" si="253"/>
        <v>0</v>
      </c>
      <c r="I3231" s="91" t="str">
        <f t="shared" si="254"/>
        <v/>
      </c>
      <c r="J3231" s="91" t="str">
        <f t="shared" si="255"/>
        <v/>
      </c>
      <c r="K3231" s="92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2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58"/>
      <c r="U3231" s="217" t="str">
        <f t="shared" si="256"/>
        <v/>
      </c>
      <c r="V3231" s="215" t="s">
        <v>47</v>
      </c>
      <c r="W3231" s="102" t="s">
        <v>136</v>
      </c>
      <c r="X3231" s="102" t="s">
        <v>137</v>
      </c>
      <c r="Y3231" s="103" t="s">
        <v>138</v>
      </c>
      <c r="Z3231" s="103" t="s">
        <v>139</v>
      </c>
      <c r="AA3231" s="103" t="s">
        <v>47</v>
      </c>
      <c r="AB3231" s="103" t="s">
        <v>140</v>
      </c>
      <c r="AC3231" s="104" t="s">
        <v>141</v>
      </c>
    </row>
    <row r="3232" spans="1:29" ht="25.5" customHeight="1" x14ac:dyDescent="0.35">
      <c r="A3232" s="188"/>
      <c r="B3232" s="190"/>
      <c r="C3232" s="99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0"/>
      <c r="E3232" s="78" t="str">
        <f>IF(C3232="","",IFERROR(VLOOKUP(C3232,parametros!$A$11:$E$15,5,0),""))</f>
        <v/>
      </c>
      <c r="F3232" s="79" t="str">
        <f t="shared" si="252"/>
        <v/>
      </c>
      <c r="G3232" s="101"/>
      <c r="H3232" s="91">
        <f t="shared" si="253"/>
        <v>0</v>
      </c>
      <c r="I3232" s="91" t="str">
        <f t="shared" si="254"/>
        <v/>
      </c>
      <c r="J3232" s="91" t="str">
        <f t="shared" si="255"/>
        <v/>
      </c>
      <c r="K3232" s="92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2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58"/>
      <c r="U3232" s="217" t="str">
        <f t="shared" si="256"/>
        <v/>
      </c>
      <c r="V3232" s="215" t="s">
        <v>47</v>
      </c>
      <c r="W3232" s="102" t="s">
        <v>136</v>
      </c>
      <c r="X3232" s="102" t="s">
        <v>137</v>
      </c>
      <c r="Y3232" s="103" t="s">
        <v>138</v>
      </c>
      <c r="Z3232" s="103" t="s">
        <v>139</v>
      </c>
      <c r="AA3232" s="103" t="s">
        <v>47</v>
      </c>
      <c r="AB3232" s="103" t="s">
        <v>140</v>
      </c>
      <c r="AC3232" s="104" t="s">
        <v>141</v>
      </c>
    </row>
    <row r="3233" spans="1:29" ht="25.5" customHeight="1" x14ac:dyDescent="0.35">
      <c r="A3233" s="188"/>
      <c r="B3233" s="190"/>
      <c r="C3233" s="99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0"/>
      <c r="E3233" s="78" t="str">
        <f>IF(C3233="","",IFERROR(VLOOKUP(C3233,parametros!$A$11:$E$15,5,0),""))</f>
        <v/>
      </c>
      <c r="F3233" s="79" t="str">
        <f t="shared" si="252"/>
        <v/>
      </c>
      <c r="G3233" s="101"/>
      <c r="H3233" s="91">
        <f t="shared" si="253"/>
        <v>0</v>
      </c>
      <c r="I3233" s="91" t="str">
        <f t="shared" si="254"/>
        <v/>
      </c>
      <c r="J3233" s="91" t="str">
        <f t="shared" si="255"/>
        <v/>
      </c>
      <c r="K3233" s="92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2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58"/>
      <c r="U3233" s="217" t="str">
        <f t="shared" si="256"/>
        <v/>
      </c>
      <c r="V3233" s="215" t="s">
        <v>47</v>
      </c>
      <c r="W3233" s="102" t="s">
        <v>136</v>
      </c>
      <c r="X3233" s="102" t="s">
        <v>137</v>
      </c>
      <c r="Y3233" s="103" t="s">
        <v>138</v>
      </c>
      <c r="Z3233" s="103" t="s">
        <v>139</v>
      </c>
      <c r="AA3233" s="103" t="s">
        <v>47</v>
      </c>
      <c r="AB3233" s="103" t="s">
        <v>140</v>
      </c>
      <c r="AC3233" s="104" t="s">
        <v>141</v>
      </c>
    </row>
    <row r="3234" spans="1:29" ht="25.5" customHeight="1" x14ac:dyDescent="0.35">
      <c r="A3234" s="188"/>
      <c r="B3234" s="190"/>
      <c r="C3234" s="99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0"/>
      <c r="E3234" s="78" t="str">
        <f>IF(C3234="","",IFERROR(VLOOKUP(C3234,parametros!$A$11:$E$15,5,0),""))</f>
        <v/>
      </c>
      <c r="F3234" s="79" t="str">
        <f t="shared" si="252"/>
        <v/>
      </c>
      <c r="G3234" s="101"/>
      <c r="H3234" s="91">
        <f t="shared" si="253"/>
        <v>0</v>
      </c>
      <c r="I3234" s="91" t="str">
        <f t="shared" si="254"/>
        <v/>
      </c>
      <c r="J3234" s="91" t="str">
        <f t="shared" si="255"/>
        <v/>
      </c>
      <c r="K3234" s="92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2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58"/>
      <c r="U3234" s="217" t="str">
        <f t="shared" si="256"/>
        <v/>
      </c>
      <c r="V3234" s="215" t="s">
        <v>47</v>
      </c>
      <c r="W3234" s="102" t="s">
        <v>136</v>
      </c>
      <c r="X3234" s="102" t="s">
        <v>137</v>
      </c>
      <c r="Y3234" s="103" t="s">
        <v>138</v>
      </c>
      <c r="Z3234" s="103" t="s">
        <v>139</v>
      </c>
      <c r="AA3234" s="103" t="s">
        <v>47</v>
      </c>
      <c r="AB3234" s="103" t="s">
        <v>140</v>
      </c>
      <c r="AC3234" s="104" t="s">
        <v>141</v>
      </c>
    </row>
    <row r="3235" spans="1:29" ht="25.5" customHeight="1" x14ac:dyDescent="0.35">
      <c r="A3235" s="188"/>
      <c r="B3235" s="190"/>
      <c r="C3235" s="99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0"/>
      <c r="E3235" s="78" t="str">
        <f>IF(C3235="","",IFERROR(VLOOKUP(C3235,parametros!$A$11:$E$15,5,0),""))</f>
        <v/>
      </c>
      <c r="F3235" s="79" t="str">
        <f t="shared" si="252"/>
        <v/>
      </c>
      <c r="G3235" s="101"/>
      <c r="H3235" s="91">
        <f t="shared" si="253"/>
        <v>0</v>
      </c>
      <c r="I3235" s="91" t="str">
        <f t="shared" si="254"/>
        <v/>
      </c>
      <c r="J3235" s="91" t="str">
        <f t="shared" si="255"/>
        <v/>
      </c>
      <c r="K3235" s="92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2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58"/>
      <c r="U3235" s="217" t="str">
        <f t="shared" si="256"/>
        <v/>
      </c>
      <c r="V3235" s="215" t="s">
        <v>47</v>
      </c>
      <c r="W3235" s="102" t="s">
        <v>136</v>
      </c>
      <c r="X3235" s="102" t="s">
        <v>137</v>
      </c>
      <c r="Y3235" s="103" t="s">
        <v>138</v>
      </c>
      <c r="Z3235" s="103" t="s">
        <v>139</v>
      </c>
      <c r="AA3235" s="103" t="s">
        <v>47</v>
      </c>
      <c r="AB3235" s="103" t="s">
        <v>140</v>
      </c>
      <c r="AC3235" s="104" t="s">
        <v>141</v>
      </c>
    </row>
    <row r="3236" spans="1:29" ht="25.5" customHeight="1" x14ac:dyDescent="0.35">
      <c r="A3236" s="188"/>
      <c r="B3236" s="190"/>
      <c r="C3236" s="99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0"/>
      <c r="E3236" s="78" t="str">
        <f>IF(C3236="","",IFERROR(VLOOKUP(C3236,parametros!$A$11:$E$15,5,0),""))</f>
        <v/>
      </c>
      <c r="F3236" s="79" t="str">
        <f t="shared" si="252"/>
        <v/>
      </c>
      <c r="G3236" s="101"/>
      <c r="H3236" s="91">
        <f t="shared" si="253"/>
        <v>0</v>
      </c>
      <c r="I3236" s="91" t="str">
        <f t="shared" si="254"/>
        <v/>
      </c>
      <c r="J3236" s="91" t="str">
        <f t="shared" si="255"/>
        <v/>
      </c>
      <c r="K3236" s="92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2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58"/>
      <c r="U3236" s="217" t="str">
        <f t="shared" si="256"/>
        <v/>
      </c>
      <c r="V3236" s="215" t="s">
        <v>47</v>
      </c>
      <c r="W3236" s="102" t="s">
        <v>136</v>
      </c>
      <c r="X3236" s="102" t="s">
        <v>137</v>
      </c>
      <c r="Y3236" s="103" t="s">
        <v>138</v>
      </c>
      <c r="Z3236" s="103" t="s">
        <v>139</v>
      </c>
      <c r="AA3236" s="103" t="s">
        <v>47</v>
      </c>
      <c r="AB3236" s="103" t="s">
        <v>140</v>
      </c>
      <c r="AC3236" s="104" t="s">
        <v>141</v>
      </c>
    </row>
    <row r="3237" spans="1:29" ht="25.5" customHeight="1" x14ac:dyDescent="0.35">
      <c r="A3237" s="188"/>
      <c r="B3237" s="190"/>
      <c r="C3237" s="99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0"/>
      <c r="E3237" s="78" t="str">
        <f>IF(C3237="","",IFERROR(VLOOKUP(C3237,parametros!$A$11:$E$15,5,0),""))</f>
        <v/>
      </c>
      <c r="F3237" s="79" t="str">
        <f t="shared" si="252"/>
        <v/>
      </c>
      <c r="G3237" s="101"/>
      <c r="H3237" s="91">
        <f t="shared" si="253"/>
        <v>0</v>
      </c>
      <c r="I3237" s="91" t="str">
        <f t="shared" si="254"/>
        <v/>
      </c>
      <c r="J3237" s="91" t="str">
        <f t="shared" si="255"/>
        <v/>
      </c>
      <c r="K3237" s="92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2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58"/>
      <c r="U3237" s="217" t="str">
        <f t="shared" si="256"/>
        <v/>
      </c>
      <c r="V3237" s="215" t="s">
        <v>47</v>
      </c>
      <c r="W3237" s="102" t="s">
        <v>136</v>
      </c>
      <c r="X3237" s="102" t="s">
        <v>137</v>
      </c>
      <c r="Y3237" s="103" t="s">
        <v>138</v>
      </c>
      <c r="Z3237" s="103" t="s">
        <v>139</v>
      </c>
      <c r="AA3237" s="103" t="s">
        <v>47</v>
      </c>
      <c r="AB3237" s="103" t="s">
        <v>140</v>
      </c>
      <c r="AC3237" s="104" t="s">
        <v>141</v>
      </c>
    </row>
    <row r="3238" spans="1:29" ht="25.5" customHeight="1" x14ac:dyDescent="0.35">
      <c r="A3238" s="188"/>
      <c r="B3238" s="190"/>
      <c r="C3238" s="99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0"/>
      <c r="E3238" s="78" t="str">
        <f>IF(C3238="","",IFERROR(VLOOKUP(C3238,parametros!$A$11:$E$15,5,0),""))</f>
        <v/>
      </c>
      <c r="F3238" s="79" t="str">
        <f t="shared" si="252"/>
        <v/>
      </c>
      <c r="G3238" s="101"/>
      <c r="H3238" s="91">
        <f t="shared" si="253"/>
        <v>0</v>
      </c>
      <c r="I3238" s="91" t="str">
        <f t="shared" si="254"/>
        <v/>
      </c>
      <c r="J3238" s="91" t="str">
        <f t="shared" si="255"/>
        <v/>
      </c>
      <c r="K3238" s="92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2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58"/>
      <c r="U3238" s="217" t="str">
        <f t="shared" si="256"/>
        <v/>
      </c>
      <c r="V3238" s="215" t="s">
        <v>47</v>
      </c>
      <c r="W3238" s="102" t="s">
        <v>136</v>
      </c>
      <c r="X3238" s="102" t="s">
        <v>137</v>
      </c>
      <c r="Y3238" s="103" t="s">
        <v>138</v>
      </c>
      <c r="Z3238" s="103" t="s">
        <v>139</v>
      </c>
      <c r="AA3238" s="103" t="s">
        <v>47</v>
      </c>
      <c r="AB3238" s="103" t="s">
        <v>140</v>
      </c>
      <c r="AC3238" s="104" t="s">
        <v>141</v>
      </c>
    </row>
    <row r="3239" spans="1:29" ht="25.5" customHeight="1" x14ac:dyDescent="0.35">
      <c r="A3239" s="188"/>
      <c r="B3239" s="190"/>
      <c r="C3239" s="99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0"/>
      <c r="E3239" s="78" t="str">
        <f>IF(C3239="","",IFERROR(VLOOKUP(C3239,parametros!$A$11:$E$15,5,0),""))</f>
        <v/>
      </c>
      <c r="F3239" s="79" t="str">
        <f t="shared" si="252"/>
        <v/>
      </c>
      <c r="G3239" s="101"/>
      <c r="H3239" s="91">
        <f t="shared" si="253"/>
        <v>0</v>
      </c>
      <c r="I3239" s="91" t="str">
        <f t="shared" si="254"/>
        <v/>
      </c>
      <c r="J3239" s="91" t="str">
        <f t="shared" si="255"/>
        <v/>
      </c>
      <c r="K3239" s="92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2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58"/>
      <c r="U3239" s="217" t="str">
        <f t="shared" si="256"/>
        <v/>
      </c>
      <c r="V3239" s="215" t="s">
        <v>47</v>
      </c>
      <c r="W3239" s="102" t="s">
        <v>136</v>
      </c>
      <c r="X3239" s="102" t="s">
        <v>137</v>
      </c>
      <c r="Y3239" s="103" t="s">
        <v>138</v>
      </c>
      <c r="Z3239" s="103" t="s">
        <v>139</v>
      </c>
      <c r="AA3239" s="103" t="s">
        <v>47</v>
      </c>
      <c r="AB3239" s="103" t="s">
        <v>140</v>
      </c>
      <c r="AC3239" s="104" t="s">
        <v>141</v>
      </c>
    </row>
    <row r="3240" spans="1:29" ht="25.5" customHeight="1" x14ac:dyDescent="0.35">
      <c r="A3240" s="188"/>
      <c r="B3240" s="190"/>
      <c r="C3240" s="99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0"/>
      <c r="E3240" s="78" t="str">
        <f>IF(C3240="","",IFERROR(VLOOKUP(C3240,parametros!$A$11:$E$15,5,0),""))</f>
        <v/>
      </c>
      <c r="F3240" s="79" t="str">
        <f t="shared" si="252"/>
        <v/>
      </c>
      <c r="G3240" s="101"/>
      <c r="H3240" s="91">
        <f t="shared" si="253"/>
        <v>0</v>
      </c>
      <c r="I3240" s="91" t="str">
        <f t="shared" si="254"/>
        <v/>
      </c>
      <c r="J3240" s="91" t="str">
        <f t="shared" si="255"/>
        <v/>
      </c>
      <c r="K3240" s="92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2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58"/>
      <c r="U3240" s="217" t="str">
        <f t="shared" si="256"/>
        <v/>
      </c>
      <c r="V3240" s="215" t="s">
        <v>47</v>
      </c>
      <c r="W3240" s="102" t="s">
        <v>136</v>
      </c>
      <c r="X3240" s="102" t="s">
        <v>137</v>
      </c>
      <c r="Y3240" s="103" t="s">
        <v>138</v>
      </c>
      <c r="Z3240" s="103" t="s">
        <v>139</v>
      </c>
      <c r="AA3240" s="103" t="s">
        <v>47</v>
      </c>
      <c r="AB3240" s="103" t="s">
        <v>140</v>
      </c>
      <c r="AC3240" s="104" t="s">
        <v>141</v>
      </c>
    </row>
    <row r="3241" spans="1:29" ht="25.5" customHeight="1" x14ac:dyDescent="0.35">
      <c r="A3241" s="188"/>
      <c r="B3241" s="190"/>
      <c r="C3241" s="99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0"/>
      <c r="E3241" s="78" t="str">
        <f>IF(C3241="","",IFERROR(VLOOKUP(C3241,parametros!$A$11:$E$15,5,0),""))</f>
        <v/>
      </c>
      <c r="F3241" s="79" t="str">
        <f t="shared" si="252"/>
        <v/>
      </c>
      <c r="G3241" s="101"/>
      <c r="H3241" s="91">
        <f t="shared" si="253"/>
        <v>0</v>
      </c>
      <c r="I3241" s="91" t="str">
        <f t="shared" si="254"/>
        <v/>
      </c>
      <c r="J3241" s="91" t="str">
        <f t="shared" si="255"/>
        <v/>
      </c>
      <c r="K3241" s="92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2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58"/>
      <c r="U3241" s="217" t="str">
        <f t="shared" si="256"/>
        <v/>
      </c>
      <c r="V3241" s="215" t="s">
        <v>47</v>
      </c>
      <c r="W3241" s="102" t="s">
        <v>136</v>
      </c>
      <c r="X3241" s="102" t="s">
        <v>137</v>
      </c>
      <c r="Y3241" s="103" t="s">
        <v>138</v>
      </c>
      <c r="Z3241" s="103" t="s">
        <v>139</v>
      </c>
      <c r="AA3241" s="103" t="s">
        <v>47</v>
      </c>
      <c r="AB3241" s="103" t="s">
        <v>140</v>
      </c>
      <c r="AC3241" s="104" t="s">
        <v>141</v>
      </c>
    </row>
    <row r="3242" spans="1:29" ht="25.5" customHeight="1" x14ac:dyDescent="0.35">
      <c r="A3242" s="188"/>
      <c r="B3242" s="190"/>
      <c r="C3242" s="99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0"/>
      <c r="E3242" s="78" t="str">
        <f>IF(C3242="","",IFERROR(VLOOKUP(C3242,parametros!$A$11:$E$15,5,0),""))</f>
        <v/>
      </c>
      <c r="F3242" s="79" t="str">
        <f t="shared" si="252"/>
        <v/>
      </c>
      <c r="G3242" s="101"/>
      <c r="H3242" s="91">
        <f t="shared" si="253"/>
        <v>0</v>
      </c>
      <c r="I3242" s="91" t="str">
        <f t="shared" si="254"/>
        <v/>
      </c>
      <c r="J3242" s="91" t="str">
        <f t="shared" si="255"/>
        <v/>
      </c>
      <c r="K3242" s="92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2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58"/>
      <c r="U3242" s="217" t="str">
        <f t="shared" si="256"/>
        <v/>
      </c>
      <c r="V3242" s="215" t="s">
        <v>47</v>
      </c>
      <c r="W3242" s="102" t="s">
        <v>136</v>
      </c>
      <c r="X3242" s="102" t="s">
        <v>137</v>
      </c>
      <c r="Y3242" s="103" t="s">
        <v>138</v>
      </c>
      <c r="Z3242" s="103" t="s">
        <v>139</v>
      </c>
      <c r="AA3242" s="103" t="s">
        <v>47</v>
      </c>
      <c r="AB3242" s="103" t="s">
        <v>140</v>
      </c>
      <c r="AC3242" s="104" t="s">
        <v>141</v>
      </c>
    </row>
    <row r="3243" spans="1:29" ht="25.5" customHeight="1" x14ac:dyDescent="0.35">
      <c r="A3243" s="188"/>
      <c r="B3243" s="190"/>
      <c r="C3243" s="99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0"/>
      <c r="E3243" s="78" t="str">
        <f>IF(C3243="","",IFERROR(VLOOKUP(C3243,parametros!$A$11:$E$15,5,0),""))</f>
        <v/>
      </c>
      <c r="F3243" s="79" t="str">
        <f t="shared" si="252"/>
        <v/>
      </c>
      <c r="G3243" s="101"/>
      <c r="H3243" s="91">
        <f t="shared" si="253"/>
        <v>0</v>
      </c>
      <c r="I3243" s="91" t="str">
        <f t="shared" si="254"/>
        <v/>
      </c>
      <c r="J3243" s="91" t="str">
        <f t="shared" si="255"/>
        <v/>
      </c>
      <c r="K3243" s="92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2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58"/>
      <c r="U3243" s="217" t="str">
        <f t="shared" si="256"/>
        <v/>
      </c>
      <c r="V3243" s="215" t="s">
        <v>47</v>
      </c>
      <c r="W3243" s="102" t="s">
        <v>136</v>
      </c>
      <c r="X3243" s="102" t="s">
        <v>137</v>
      </c>
      <c r="Y3243" s="103" t="s">
        <v>138</v>
      </c>
      <c r="Z3243" s="103" t="s">
        <v>139</v>
      </c>
      <c r="AA3243" s="103" t="s">
        <v>47</v>
      </c>
      <c r="AB3243" s="103" t="s">
        <v>140</v>
      </c>
      <c r="AC3243" s="104" t="s">
        <v>141</v>
      </c>
    </row>
    <row r="3244" spans="1:29" ht="25.5" customHeight="1" x14ac:dyDescent="0.35">
      <c r="A3244" s="188"/>
      <c r="B3244" s="190"/>
      <c r="C3244" s="99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0"/>
      <c r="E3244" s="78" t="str">
        <f>IF(C3244="","",IFERROR(VLOOKUP(C3244,parametros!$A$11:$E$15,5,0),""))</f>
        <v/>
      </c>
      <c r="F3244" s="79" t="str">
        <f t="shared" si="252"/>
        <v/>
      </c>
      <c r="G3244" s="101"/>
      <c r="H3244" s="91">
        <f t="shared" si="253"/>
        <v>0</v>
      </c>
      <c r="I3244" s="91" t="str">
        <f t="shared" si="254"/>
        <v/>
      </c>
      <c r="J3244" s="91" t="str">
        <f t="shared" si="255"/>
        <v/>
      </c>
      <c r="K3244" s="92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2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58"/>
      <c r="U3244" s="217" t="str">
        <f t="shared" si="256"/>
        <v/>
      </c>
      <c r="V3244" s="215" t="s">
        <v>47</v>
      </c>
      <c r="W3244" s="102" t="s">
        <v>136</v>
      </c>
      <c r="X3244" s="102" t="s">
        <v>137</v>
      </c>
      <c r="Y3244" s="103" t="s">
        <v>138</v>
      </c>
      <c r="Z3244" s="103" t="s">
        <v>139</v>
      </c>
      <c r="AA3244" s="103" t="s">
        <v>47</v>
      </c>
      <c r="AB3244" s="103" t="s">
        <v>140</v>
      </c>
      <c r="AC3244" s="104" t="s">
        <v>141</v>
      </c>
    </row>
    <row r="3245" spans="1:29" ht="25.5" customHeight="1" x14ac:dyDescent="0.35">
      <c r="A3245" s="188"/>
      <c r="B3245" s="190"/>
      <c r="C3245" s="99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0"/>
      <c r="E3245" s="78" t="str">
        <f>IF(C3245="","",IFERROR(VLOOKUP(C3245,parametros!$A$11:$E$15,5,0),""))</f>
        <v/>
      </c>
      <c r="F3245" s="79" t="str">
        <f t="shared" si="252"/>
        <v/>
      </c>
      <c r="G3245" s="101"/>
      <c r="H3245" s="91">
        <f t="shared" si="253"/>
        <v>0</v>
      </c>
      <c r="I3245" s="91" t="str">
        <f t="shared" si="254"/>
        <v/>
      </c>
      <c r="J3245" s="91" t="str">
        <f t="shared" si="255"/>
        <v/>
      </c>
      <c r="K3245" s="92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2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58"/>
      <c r="U3245" s="217" t="str">
        <f t="shared" si="256"/>
        <v/>
      </c>
      <c r="V3245" s="215" t="s">
        <v>47</v>
      </c>
      <c r="W3245" s="102" t="s">
        <v>136</v>
      </c>
      <c r="X3245" s="102" t="s">
        <v>137</v>
      </c>
      <c r="Y3245" s="103" t="s">
        <v>138</v>
      </c>
      <c r="Z3245" s="103" t="s">
        <v>139</v>
      </c>
      <c r="AA3245" s="103" t="s">
        <v>47</v>
      </c>
      <c r="AB3245" s="103" t="s">
        <v>140</v>
      </c>
      <c r="AC3245" s="104" t="s">
        <v>141</v>
      </c>
    </row>
    <row r="3246" spans="1:29" ht="25.5" customHeight="1" x14ac:dyDescent="0.35">
      <c r="A3246" s="188"/>
      <c r="B3246" s="190"/>
      <c r="C3246" s="99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0"/>
      <c r="E3246" s="78" t="str">
        <f>IF(C3246="","",IFERROR(VLOOKUP(C3246,parametros!$A$11:$E$15,5,0),""))</f>
        <v/>
      </c>
      <c r="F3246" s="79" t="str">
        <f t="shared" si="252"/>
        <v/>
      </c>
      <c r="G3246" s="101"/>
      <c r="H3246" s="91">
        <f t="shared" si="253"/>
        <v>0</v>
      </c>
      <c r="I3246" s="91" t="str">
        <f t="shared" si="254"/>
        <v/>
      </c>
      <c r="J3246" s="91" t="str">
        <f t="shared" si="255"/>
        <v/>
      </c>
      <c r="K3246" s="92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2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58"/>
      <c r="U3246" s="217" t="str">
        <f t="shared" si="256"/>
        <v/>
      </c>
      <c r="V3246" s="215" t="s">
        <v>47</v>
      </c>
      <c r="W3246" s="102" t="s">
        <v>136</v>
      </c>
      <c r="X3246" s="102" t="s">
        <v>137</v>
      </c>
      <c r="Y3246" s="103" t="s">
        <v>138</v>
      </c>
      <c r="Z3246" s="103" t="s">
        <v>139</v>
      </c>
      <c r="AA3246" s="103" t="s">
        <v>47</v>
      </c>
      <c r="AB3246" s="103" t="s">
        <v>140</v>
      </c>
      <c r="AC3246" s="104" t="s">
        <v>141</v>
      </c>
    </row>
    <row r="3247" spans="1:29" ht="25.5" customHeight="1" x14ac:dyDescent="0.35">
      <c r="A3247" s="188"/>
      <c r="B3247" s="190"/>
      <c r="C3247" s="99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0"/>
      <c r="E3247" s="78" t="str">
        <f>IF(C3247="","",IFERROR(VLOOKUP(C3247,parametros!$A$11:$E$15,5,0),""))</f>
        <v/>
      </c>
      <c r="F3247" s="79" t="str">
        <f t="shared" si="252"/>
        <v/>
      </c>
      <c r="G3247" s="101"/>
      <c r="H3247" s="91">
        <f t="shared" si="253"/>
        <v>0</v>
      </c>
      <c r="I3247" s="91" t="str">
        <f t="shared" si="254"/>
        <v/>
      </c>
      <c r="J3247" s="91" t="str">
        <f t="shared" si="255"/>
        <v/>
      </c>
      <c r="K3247" s="92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2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58"/>
      <c r="U3247" s="217" t="str">
        <f t="shared" si="256"/>
        <v/>
      </c>
      <c r="V3247" s="215" t="s">
        <v>47</v>
      </c>
      <c r="W3247" s="102" t="s">
        <v>136</v>
      </c>
      <c r="X3247" s="102" t="s">
        <v>137</v>
      </c>
      <c r="Y3247" s="103" t="s">
        <v>138</v>
      </c>
      <c r="Z3247" s="103" t="s">
        <v>139</v>
      </c>
      <c r="AA3247" s="103" t="s">
        <v>47</v>
      </c>
      <c r="AB3247" s="103" t="s">
        <v>140</v>
      </c>
      <c r="AC3247" s="104" t="s">
        <v>141</v>
      </c>
    </row>
    <row r="3248" spans="1:29" ht="25.5" customHeight="1" x14ac:dyDescent="0.35">
      <c r="A3248" s="188"/>
      <c r="B3248" s="190"/>
      <c r="C3248" s="99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0"/>
      <c r="E3248" s="78" t="str">
        <f>IF(C3248="","",IFERROR(VLOOKUP(C3248,parametros!$A$11:$E$15,5,0),""))</f>
        <v/>
      </c>
      <c r="F3248" s="79" t="str">
        <f t="shared" si="252"/>
        <v/>
      </c>
      <c r="G3248" s="101"/>
      <c r="H3248" s="91">
        <f t="shared" si="253"/>
        <v>0</v>
      </c>
      <c r="I3248" s="91" t="str">
        <f t="shared" si="254"/>
        <v/>
      </c>
      <c r="J3248" s="91" t="str">
        <f t="shared" si="255"/>
        <v/>
      </c>
      <c r="K3248" s="92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2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58"/>
      <c r="U3248" s="217" t="str">
        <f t="shared" si="256"/>
        <v/>
      </c>
      <c r="V3248" s="215" t="s">
        <v>47</v>
      </c>
      <c r="W3248" s="102" t="s">
        <v>136</v>
      </c>
      <c r="X3248" s="102" t="s">
        <v>137</v>
      </c>
      <c r="Y3248" s="103" t="s">
        <v>138</v>
      </c>
      <c r="Z3248" s="103" t="s">
        <v>139</v>
      </c>
      <c r="AA3248" s="103" t="s">
        <v>47</v>
      </c>
      <c r="AB3248" s="103" t="s">
        <v>140</v>
      </c>
      <c r="AC3248" s="104" t="s">
        <v>141</v>
      </c>
    </row>
    <row r="3249" spans="1:29" ht="25.5" customHeight="1" x14ac:dyDescent="0.35">
      <c r="A3249" s="188"/>
      <c r="B3249" s="190"/>
      <c r="C3249" s="99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0"/>
      <c r="E3249" s="78" t="str">
        <f>IF(C3249="","",IFERROR(VLOOKUP(C3249,parametros!$A$11:$E$15,5,0),""))</f>
        <v/>
      </c>
      <c r="F3249" s="79" t="str">
        <f t="shared" si="252"/>
        <v/>
      </c>
      <c r="G3249" s="101"/>
      <c r="H3249" s="91">
        <f t="shared" si="253"/>
        <v>0</v>
      </c>
      <c r="I3249" s="91" t="str">
        <f t="shared" si="254"/>
        <v/>
      </c>
      <c r="J3249" s="91" t="str">
        <f t="shared" si="255"/>
        <v/>
      </c>
      <c r="K3249" s="92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2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58"/>
      <c r="U3249" s="217" t="str">
        <f t="shared" si="256"/>
        <v/>
      </c>
      <c r="V3249" s="215" t="s">
        <v>47</v>
      </c>
      <c r="W3249" s="102" t="s">
        <v>136</v>
      </c>
      <c r="X3249" s="102" t="s">
        <v>137</v>
      </c>
      <c r="Y3249" s="103" t="s">
        <v>138</v>
      </c>
      <c r="Z3249" s="103" t="s">
        <v>139</v>
      </c>
      <c r="AA3249" s="103" t="s">
        <v>47</v>
      </c>
      <c r="AB3249" s="103" t="s">
        <v>140</v>
      </c>
      <c r="AC3249" s="104" t="s">
        <v>141</v>
      </c>
    </row>
    <row r="3250" spans="1:29" ht="25.5" customHeight="1" x14ac:dyDescent="0.35">
      <c r="A3250" s="188"/>
      <c r="B3250" s="190"/>
      <c r="C3250" s="99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0"/>
      <c r="E3250" s="78" t="str">
        <f>IF(C3250="","",IFERROR(VLOOKUP(C3250,parametros!$A$11:$E$15,5,0),""))</f>
        <v/>
      </c>
      <c r="F3250" s="79" t="str">
        <f t="shared" si="252"/>
        <v/>
      </c>
      <c r="G3250" s="101"/>
      <c r="H3250" s="91">
        <f t="shared" si="253"/>
        <v>0</v>
      </c>
      <c r="I3250" s="91" t="str">
        <f t="shared" si="254"/>
        <v/>
      </c>
      <c r="J3250" s="91" t="str">
        <f t="shared" si="255"/>
        <v/>
      </c>
      <c r="K3250" s="92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2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58"/>
      <c r="U3250" s="217" t="str">
        <f t="shared" si="256"/>
        <v/>
      </c>
      <c r="V3250" s="215" t="s">
        <v>47</v>
      </c>
      <c r="W3250" s="102" t="s">
        <v>136</v>
      </c>
      <c r="X3250" s="102" t="s">
        <v>137</v>
      </c>
      <c r="Y3250" s="103" t="s">
        <v>138</v>
      </c>
      <c r="Z3250" s="103" t="s">
        <v>139</v>
      </c>
      <c r="AA3250" s="103" t="s">
        <v>47</v>
      </c>
      <c r="AB3250" s="103" t="s">
        <v>140</v>
      </c>
      <c r="AC3250" s="104" t="s">
        <v>141</v>
      </c>
    </row>
    <row r="3251" spans="1:29" ht="25.5" customHeight="1" x14ac:dyDescent="0.35">
      <c r="A3251" s="188"/>
      <c r="B3251" s="190"/>
      <c r="C3251" s="99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0"/>
      <c r="E3251" s="78" t="str">
        <f>IF(C3251="","",IFERROR(VLOOKUP(C3251,parametros!$A$11:$E$15,5,0),""))</f>
        <v/>
      </c>
      <c r="F3251" s="79" t="str">
        <f t="shared" si="252"/>
        <v/>
      </c>
      <c r="G3251" s="101"/>
      <c r="H3251" s="91">
        <f t="shared" si="253"/>
        <v>0</v>
      </c>
      <c r="I3251" s="91" t="str">
        <f t="shared" si="254"/>
        <v/>
      </c>
      <c r="J3251" s="91" t="str">
        <f t="shared" si="255"/>
        <v/>
      </c>
      <c r="K3251" s="92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2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58"/>
      <c r="U3251" s="217" t="str">
        <f t="shared" si="256"/>
        <v/>
      </c>
      <c r="V3251" s="215" t="s">
        <v>47</v>
      </c>
      <c r="W3251" s="102" t="s">
        <v>136</v>
      </c>
      <c r="X3251" s="102" t="s">
        <v>137</v>
      </c>
      <c r="Y3251" s="103" t="s">
        <v>138</v>
      </c>
      <c r="Z3251" s="103" t="s">
        <v>139</v>
      </c>
      <c r="AA3251" s="103" t="s">
        <v>47</v>
      </c>
      <c r="AB3251" s="103" t="s">
        <v>140</v>
      </c>
      <c r="AC3251" s="104" t="s">
        <v>141</v>
      </c>
    </row>
    <row r="3252" spans="1:29" ht="25.5" customHeight="1" x14ac:dyDescent="0.35">
      <c r="A3252" s="188"/>
      <c r="B3252" s="190"/>
      <c r="C3252" s="99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0"/>
      <c r="E3252" s="78" t="str">
        <f>IF(C3252="","",IFERROR(VLOOKUP(C3252,parametros!$A$11:$E$15,5,0),""))</f>
        <v/>
      </c>
      <c r="F3252" s="79" t="str">
        <f t="shared" si="252"/>
        <v/>
      </c>
      <c r="G3252" s="101"/>
      <c r="H3252" s="91">
        <f t="shared" si="253"/>
        <v>0</v>
      </c>
      <c r="I3252" s="91" t="str">
        <f t="shared" si="254"/>
        <v/>
      </c>
      <c r="J3252" s="91" t="str">
        <f t="shared" si="255"/>
        <v/>
      </c>
      <c r="K3252" s="92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2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58"/>
      <c r="U3252" s="217" t="str">
        <f t="shared" si="256"/>
        <v/>
      </c>
      <c r="V3252" s="215" t="s">
        <v>47</v>
      </c>
      <c r="W3252" s="102" t="s">
        <v>136</v>
      </c>
      <c r="X3252" s="102" t="s">
        <v>137</v>
      </c>
      <c r="Y3252" s="103" t="s">
        <v>138</v>
      </c>
      <c r="Z3252" s="103" t="s">
        <v>139</v>
      </c>
      <c r="AA3252" s="103" t="s">
        <v>47</v>
      </c>
      <c r="AB3252" s="103" t="s">
        <v>140</v>
      </c>
      <c r="AC3252" s="104" t="s">
        <v>141</v>
      </c>
    </row>
    <row r="3253" spans="1:29" ht="25.5" customHeight="1" x14ac:dyDescent="0.35">
      <c r="A3253" s="188"/>
      <c r="B3253" s="190"/>
      <c r="C3253" s="99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0"/>
      <c r="E3253" s="78" t="str">
        <f>IF(C3253="","",IFERROR(VLOOKUP(C3253,parametros!$A$11:$E$15,5,0),""))</f>
        <v/>
      </c>
      <c r="F3253" s="79" t="str">
        <f t="shared" si="252"/>
        <v/>
      </c>
      <c r="G3253" s="101"/>
      <c r="H3253" s="91">
        <f t="shared" si="253"/>
        <v>0</v>
      </c>
      <c r="I3253" s="91" t="str">
        <f t="shared" si="254"/>
        <v/>
      </c>
      <c r="J3253" s="91" t="str">
        <f t="shared" si="255"/>
        <v/>
      </c>
      <c r="K3253" s="92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2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58"/>
      <c r="U3253" s="217" t="str">
        <f t="shared" si="256"/>
        <v/>
      </c>
      <c r="V3253" s="215" t="s">
        <v>47</v>
      </c>
      <c r="W3253" s="102" t="s">
        <v>136</v>
      </c>
      <c r="X3253" s="102" t="s">
        <v>137</v>
      </c>
      <c r="Y3253" s="103" t="s">
        <v>138</v>
      </c>
      <c r="Z3253" s="103" t="s">
        <v>139</v>
      </c>
      <c r="AA3253" s="103" t="s">
        <v>47</v>
      </c>
      <c r="AB3253" s="103" t="s">
        <v>140</v>
      </c>
      <c r="AC3253" s="104" t="s">
        <v>141</v>
      </c>
    </row>
    <row r="3254" spans="1:29" ht="25.5" customHeight="1" x14ac:dyDescent="0.35">
      <c r="A3254" s="188"/>
      <c r="B3254" s="190"/>
      <c r="C3254" s="99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0"/>
      <c r="E3254" s="78" t="str">
        <f>IF(C3254="","",IFERROR(VLOOKUP(C3254,parametros!$A$11:$E$15,5,0),""))</f>
        <v/>
      </c>
      <c r="F3254" s="79" t="str">
        <f t="shared" si="252"/>
        <v/>
      </c>
      <c r="G3254" s="101"/>
      <c r="H3254" s="91">
        <f t="shared" si="253"/>
        <v>0</v>
      </c>
      <c r="I3254" s="91" t="str">
        <f t="shared" si="254"/>
        <v/>
      </c>
      <c r="J3254" s="91" t="str">
        <f t="shared" si="255"/>
        <v/>
      </c>
      <c r="K3254" s="92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2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58"/>
      <c r="U3254" s="217" t="str">
        <f t="shared" si="256"/>
        <v/>
      </c>
      <c r="V3254" s="215" t="s">
        <v>47</v>
      </c>
      <c r="W3254" s="102" t="s">
        <v>136</v>
      </c>
      <c r="X3254" s="102" t="s">
        <v>137</v>
      </c>
      <c r="Y3254" s="103" t="s">
        <v>138</v>
      </c>
      <c r="Z3254" s="103" t="s">
        <v>139</v>
      </c>
      <c r="AA3254" s="103" t="s">
        <v>47</v>
      </c>
      <c r="AB3254" s="103" t="s">
        <v>140</v>
      </c>
      <c r="AC3254" s="104" t="s">
        <v>141</v>
      </c>
    </row>
    <row r="3255" spans="1:29" ht="25.5" customHeight="1" x14ac:dyDescent="0.35">
      <c r="A3255" s="188"/>
      <c r="B3255" s="190"/>
      <c r="C3255" s="99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0"/>
      <c r="E3255" s="78" t="str">
        <f>IF(C3255="","",IFERROR(VLOOKUP(C3255,parametros!$A$11:$E$15,5,0),""))</f>
        <v/>
      </c>
      <c r="F3255" s="79" t="str">
        <f t="shared" si="252"/>
        <v/>
      </c>
      <c r="G3255" s="101"/>
      <c r="H3255" s="91">
        <f t="shared" si="253"/>
        <v>0</v>
      </c>
      <c r="I3255" s="91" t="str">
        <f t="shared" si="254"/>
        <v/>
      </c>
      <c r="J3255" s="91" t="str">
        <f t="shared" si="255"/>
        <v/>
      </c>
      <c r="K3255" s="92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2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58"/>
      <c r="U3255" s="217" t="str">
        <f t="shared" si="256"/>
        <v/>
      </c>
      <c r="V3255" s="215" t="s">
        <v>47</v>
      </c>
      <c r="W3255" s="102" t="s">
        <v>136</v>
      </c>
      <c r="X3255" s="102" t="s">
        <v>137</v>
      </c>
      <c r="Y3255" s="103" t="s">
        <v>138</v>
      </c>
      <c r="Z3255" s="103" t="s">
        <v>139</v>
      </c>
      <c r="AA3255" s="103" t="s">
        <v>47</v>
      </c>
      <c r="AB3255" s="103" t="s">
        <v>140</v>
      </c>
      <c r="AC3255" s="104" t="s">
        <v>141</v>
      </c>
    </row>
    <row r="3256" spans="1:29" ht="25.5" customHeight="1" x14ac:dyDescent="0.35">
      <c r="A3256" s="188"/>
      <c r="B3256" s="190"/>
      <c r="C3256" s="99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0"/>
      <c r="E3256" s="78" t="str">
        <f>IF(C3256="","",IFERROR(VLOOKUP(C3256,parametros!$A$11:$E$15,5,0),""))</f>
        <v/>
      </c>
      <c r="F3256" s="79" t="str">
        <f t="shared" si="252"/>
        <v/>
      </c>
      <c r="G3256" s="101"/>
      <c r="H3256" s="91">
        <f t="shared" si="253"/>
        <v>0</v>
      </c>
      <c r="I3256" s="91" t="str">
        <f t="shared" si="254"/>
        <v/>
      </c>
      <c r="J3256" s="91" t="str">
        <f t="shared" si="255"/>
        <v/>
      </c>
      <c r="K3256" s="92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2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58"/>
      <c r="U3256" s="217" t="str">
        <f t="shared" si="256"/>
        <v/>
      </c>
      <c r="V3256" s="215" t="s">
        <v>47</v>
      </c>
      <c r="W3256" s="102" t="s">
        <v>136</v>
      </c>
      <c r="X3256" s="102" t="s">
        <v>137</v>
      </c>
      <c r="Y3256" s="103" t="s">
        <v>138</v>
      </c>
      <c r="Z3256" s="103" t="s">
        <v>139</v>
      </c>
      <c r="AA3256" s="103" t="s">
        <v>47</v>
      </c>
      <c r="AB3256" s="103" t="s">
        <v>140</v>
      </c>
      <c r="AC3256" s="104" t="s">
        <v>141</v>
      </c>
    </row>
    <row r="3257" spans="1:29" ht="25.5" customHeight="1" x14ac:dyDescent="0.35">
      <c r="A3257" s="188"/>
      <c r="B3257" s="190"/>
      <c r="C3257" s="99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0"/>
      <c r="E3257" s="78" t="str">
        <f>IF(C3257="","",IFERROR(VLOOKUP(C3257,parametros!$A$11:$E$15,5,0),""))</f>
        <v/>
      </c>
      <c r="F3257" s="79" t="str">
        <f t="shared" si="252"/>
        <v/>
      </c>
      <c r="G3257" s="101"/>
      <c r="H3257" s="91">
        <f t="shared" si="253"/>
        <v>0</v>
      </c>
      <c r="I3257" s="91" t="str">
        <f t="shared" si="254"/>
        <v/>
      </c>
      <c r="J3257" s="91" t="str">
        <f t="shared" si="255"/>
        <v/>
      </c>
      <c r="K3257" s="92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2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58"/>
      <c r="U3257" s="217" t="str">
        <f t="shared" si="256"/>
        <v/>
      </c>
      <c r="V3257" s="215" t="s">
        <v>47</v>
      </c>
      <c r="W3257" s="102" t="s">
        <v>136</v>
      </c>
      <c r="X3257" s="102" t="s">
        <v>137</v>
      </c>
      <c r="Y3257" s="103" t="s">
        <v>138</v>
      </c>
      <c r="Z3257" s="103" t="s">
        <v>139</v>
      </c>
      <c r="AA3257" s="103" t="s">
        <v>47</v>
      </c>
      <c r="AB3257" s="103" t="s">
        <v>140</v>
      </c>
      <c r="AC3257" s="104" t="s">
        <v>141</v>
      </c>
    </row>
    <row r="3258" spans="1:29" ht="25.5" customHeight="1" x14ac:dyDescent="0.35">
      <c r="A3258" s="188"/>
      <c r="B3258" s="190"/>
      <c r="C3258" s="99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0"/>
      <c r="E3258" s="78" t="str">
        <f>IF(C3258="","",IFERROR(VLOOKUP(C3258,parametros!$A$11:$E$15,5,0),""))</f>
        <v/>
      </c>
      <c r="F3258" s="79" t="str">
        <f t="shared" si="252"/>
        <v/>
      </c>
      <c r="G3258" s="101"/>
      <c r="H3258" s="91">
        <f t="shared" si="253"/>
        <v>0</v>
      </c>
      <c r="I3258" s="91" t="str">
        <f t="shared" si="254"/>
        <v/>
      </c>
      <c r="J3258" s="91" t="str">
        <f t="shared" si="255"/>
        <v/>
      </c>
      <c r="K3258" s="92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2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58"/>
      <c r="U3258" s="217" t="str">
        <f t="shared" si="256"/>
        <v/>
      </c>
      <c r="V3258" s="215" t="s">
        <v>47</v>
      </c>
      <c r="W3258" s="102" t="s">
        <v>136</v>
      </c>
      <c r="X3258" s="102" t="s">
        <v>137</v>
      </c>
      <c r="Y3258" s="103" t="s">
        <v>138</v>
      </c>
      <c r="Z3258" s="103" t="s">
        <v>139</v>
      </c>
      <c r="AA3258" s="103" t="s">
        <v>47</v>
      </c>
      <c r="AB3258" s="103" t="s">
        <v>140</v>
      </c>
      <c r="AC3258" s="104" t="s">
        <v>141</v>
      </c>
    </row>
    <row r="3259" spans="1:29" ht="25.5" customHeight="1" x14ac:dyDescent="0.35">
      <c r="A3259" s="188"/>
      <c r="B3259" s="190"/>
      <c r="C3259" s="99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0"/>
      <c r="E3259" s="78" t="str">
        <f>IF(C3259="","",IFERROR(VLOOKUP(C3259,parametros!$A$11:$E$15,5,0),""))</f>
        <v/>
      </c>
      <c r="F3259" s="79" t="str">
        <f t="shared" si="252"/>
        <v/>
      </c>
      <c r="G3259" s="101"/>
      <c r="H3259" s="91">
        <f t="shared" si="253"/>
        <v>0</v>
      </c>
      <c r="I3259" s="91" t="str">
        <f t="shared" si="254"/>
        <v/>
      </c>
      <c r="J3259" s="91" t="str">
        <f t="shared" si="255"/>
        <v/>
      </c>
      <c r="K3259" s="92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2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58"/>
      <c r="U3259" s="217" t="str">
        <f t="shared" si="256"/>
        <v/>
      </c>
      <c r="V3259" s="215" t="s">
        <v>47</v>
      </c>
      <c r="W3259" s="102" t="s">
        <v>136</v>
      </c>
      <c r="X3259" s="102" t="s">
        <v>137</v>
      </c>
      <c r="Y3259" s="103" t="s">
        <v>138</v>
      </c>
      <c r="Z3259" s="103" t="s">
        <v>139</v>
      </c>
      <c r="AA3259" s="103" t="s">
        <v>47</v>
      </c>
      <c r="AB3259" s="103" t="s">
        <v>140</v>
      </c>
      <c r="AC3259" s="104" t="s">
        <v>141</v>
      </c>
    </row>
    <row r="3260" spans="1:29" ht="25.5" customHeight="1" x14ac:dyDescent="0.35">
      <c r="A3260" s="188"/>
      <c r="B3260" s="190"/>
      <c r="C3260" s="99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0"/>
      <c r="E3260" s="78" t="str">
        <f>IF(C3260="","",IFERROR(VLOOKUP(C3260,parametros!$A$11:$E$15,5,0),""))</f>
        <v/>
      </c>
      <c r="F3260" s="79" t="str">
        <f t="shared" si="252"/>
        <v/>
      </c>
      <c r="G3260" s="101"/>
      <c r="H3260" s="91">
        <f t="shared" si="253"/>
        <v>0</v>
      </c>
      <c r="I3260" s="91" t="str">
        <f t="shared" si="254"/>
        <v/>
      </c>
      <c r="J3260" s="91" t="str">
        <f t="shared" si="255"/>
        <v/>
      </c>
      <c r="K3260" s="92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2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58"/>
      <c r="U3260" s="217" t="str">
        <f t="shared" si="256"/>
        <v/>
      </c>
      <c r="V3260" s="215" t="s">
        <v>47</v>
      </c>
      <c r="W3260" s="102" t="s">
        <v>136</v>
      </c>
      <c r="X3260" s="102" t="s">
        <v>137</v>
      </c>
      <c r="Y3260" s="103" t="s">
        <v>138</v>
      </c>
      <c r="Z3260" s="103" t="s">
        <v>139</v>
      </c>
      <c r="AA3260" s="103" t="s">
        <v>47</v>
      </c>
      <c r="AB3260" s="103" t="s">
        <v>140</v>
      </c>
      <c r="AC3260" s="104" t="s">
        <v>141</v>
      </c>
    </row>
    <row r="3261" spans="1:29" ht="25.5" customHeight="1" x14ac:dyDescent="0.35">
      <c r="A3261" s="188"/>
      <c r="B3261" s="190"/>
      <c r="C3261" s="99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0"/>
      <c r="E3261" s="78" t="str">
        <f>IF(C3261="","",IFERROR(VLOOKUP(C3261,parametros!$A$11:$E$15,5,0),""))</f>
        <v/>
      </c>
      <c r="F3261" s="79" t="str">
        <f t="shared" si="252"/>
        <v/>
      </c>
      <c r="G3261" s="101"/>
      <c r="H3261" s="91">
        <f t="shared" si="253"/>
        <v>0</v>
      </c>
      <c r="I3261" s="91" t="str">
        <f t="shared" si="254"/>
        <v/>
      </c>
      <c r="J3261" s="91" t="str">
        <f t="shared" si="255"/>
        <v/>
      </c>
      <c r="K3261" s="92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2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58"/>
      <c r="U3261" s="217" t="str">
        <f t="shared" si="256"/>
        <v/>
      </c>
      <c r="V3261" s="215" t="s">
        <v>47</v>
      </c>
      <c r="W3261" s="102" t="s">
        <v>136</v>
      </c>
      <c r="X3261" s="102" t="s">
        <v>137</v>
      </c>
      <c r="Y3261" s="103" t="s">
        <v>138</v>
      </c>
      <c r="Z3261" s="103" t="s">
        <v>139</v>
      </c>
      <c r="AA3261" s="103" t="s">
        <v>47</v>
      </c>
      <c r="AB3261" s="103" t="s">
        <v>140</v>
      </c>
      <c r="AC3261" s="104" t="s">
        <v>141</v>
      </c>
    </row>
    <row r="3262" spans="1:29" ht="25.5" customHeight="1" x14ac:dyDescent="0.35">
      <c r="A3262" s="188"/>
      <c r="B3262" s="190"/>
      <c r="C3262" s="99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0"/>
      <c r="E3262" s="78" t="str">
        <f>IF(C3262="","",IFERROR(VLOOKUP(C3262,parametros!$A$11:$E$15,5,0),""))</f>
        <v/>
      </c>
      <c r="F3262" s="79" t="str">
        <f t="shared" si="252"/>
        <v/>
      </c>
      <c r="G3262" s="101"/>
      <c r="H3262" s="91">
        <f t="shared" si="253"/>
        <v>0</v>
      </c>
      <c r="I3262" s="91" t="str">
        <f t="shared" si="254"/>
        <v/>
      </c>
      <c r="J3262" s="91" t="str">
        <f t="shared" si="255"/>
        <v/>
      </c>
      <c r="K3262" s="92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2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58"/>
      <c r="U3262" s="217" t="str">
        <f t="shared" si="256"/>
        <v/>
      </c>
      <c r="V3262" s="215" t="s">
        <v>47</v>
      </c>
      <c r="W3262" s="102" t="s">
        <v>136</v>
      </c>
      <c r="X3262" s="102" t="s">
        <v>137</v>
      </c>
      <c r="Y3262" s="103" t="s">
        <v>138</v>
      </c>
      <c r="Z3262" s="103" t="s">
        <v>139</v>
      </c>
      <c r="AA3262" s="103" t="s">
        <v>47</v>
      </c>
      <c r="AB3262" s="103" t="s">
        <v>140</v>
      </c>
      <c r="AC3262" s="104" t="s">
        <v>141</v>
      </c>
    </row>
    <row r="3263" spans="1:29" ht="25.5" customHeight="1" x14ac:dyDescent="0.35">
      <c r="A3263" s="188"/>
      <c r="B3263" s="190"/>
      <c r="C3263" s="99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0"/>
      <c r="E3263" s="78" t="str">
        <f>IF(C3263="","",IFERROR(VLOOKUP(C3263,parametros!$A$11:$E$15,5,0),""))</f>
        <v/>
      </c>
      <c r="F3263" s="79" t="str">
        <f t="shared" si="252"/>
        <v/>
      </c>
      <c r="G3263" s="101"/>
      <c r="H3263" s="91">
        <f t="shared" si="253"/>
        <v>0</v>
      </c>
      <c r="I3263" s="91" t="str">
        <f t="shared" si="254"/>
        <v/>
      </c>
      <c r="J3263" s="91" t="str">
        <f t="shared" si="255"/>
        <v/>
      </c>
      <c r="K3263" s="92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2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58"/>
      <c r="U3263" s="217" t="str">
        <f t="shared" si="256"/>
        <v/>
      </c>
      <c r="V3263" s="215" t="s">
        <v>47</v>
      </c>
      <c r="W3263" s="102" t="s">
        <v>136</v>
      </c>
      <c r="X3263" s="102" t="s">
        <v>137</v>
      </c>
      <c r="Y3263" s="103" t="s">
        <v>138</v>
      </c>
      <c r="Z3263" s="103" t="s">
        <v>139</v>
      </c>
      <c r="AA3263" s="103" t="s">
        <v>47</v>
      </c>
      <c r="AB3263" s="103" t="s">
        <v>140</v>
      </c>
      <c r="AC3263" s="104" t="s">
        <v>141</v>
      </c>
    </row>
    <row r="3264" spans="1:29" ht="25.5" customHeight="1" x14ac:dyDescent="0.35">
      <c r="A3264" s="188"/>
      <c r="B3264" s="190"/>
      <c r="C3264" s="99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0"/>
      <c r="E3264" s="78" t="str">
        <f>IF(C3264="","",IFERROR(VLOOKUP(C3264,parametros!$A$11:$E$15,5,0),""))</f>
        <v/>
      </c>
      <c r="F3264" s="79" t="str">
        <f t="shared" si="252"/>
        <v/>
      </c>
      <c r="G3264" s="101"/>
      <c r="H3264" s="91">
        <f t="shared" si="253"/>
        <v>0</v>
      </c>
      <c r="I3264" s="91" t="str">
        <f t="shared" si="254"/>
        <v/>
      </c>
      <c r="J3264" s="91" t="str">
        <f t="shared" si="255"/>
        <v/>
      </c>
      <c r="K3264" s="92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2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58"/>
      <c r="U3264" s="217" t="str">
        <f t="shared" si="256"/>
        <v/>
      </c>
      <c r="V3264" s="215" t="s">
        <v>47</v>
      </c>
      <c r="W3264" s="102" t="s">
        <v>136</v>
      </c>
      <c r="X3264" s="102" t="s">
        <v>137</v>
      </c>
      <c r="Y3264" s="103" t="s">
        <v>138</v>
      </c>
      <c r="Z3264" s="103" t="s">
        <v>139</v>
      </c>
      <c r="AA3264" s="103" t="s">
        <v>47</v>
      </c>
      <c r="AB3264" s="103" t="s">
        <v>140</v>
      </c>
      <c r="AC3264" s="104" t="s">
        <v>141</v>
      </c>
    </row>
    <row r="3265" spans="1:29" ht="25.5" customHeight="1" x14ac:dyDescent="0.35">
      <c r="A3265" s="188"/>
      <c r="B3265" s="190"/>
      <c r="C3265" s="99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0"/>
      <c r="E3265" s="78" t="str">
        <f>IF(C3265="","",IFERROR(VLOOKUP(C3265,parametros!$A$11:$E$15,5,0),""))</f>
        <v/>
      </c>
      <c r="F3265" s="79" t="str">
        <f t="shared" si="252"/>
        <v/>
      </c>
      <c r="G3265" s="101"/>
      <c r="H3265" s="91">
        <f t="shared" si="253"/>
        <v>0</v>
      </c>
      <c r="I3265" s="91" t="str">
        <f t="shared" si="254"/>
        <v/>
      </c>
      <c r="J3265" s="91" t="str">
        <f t="shared" si="255"/>
        <v/>
      </c>
      <c r="K3265" s="92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2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58"/>
      <c r="U3265" s="217" t="str">
        <f t="shared" si="256"/>
        <v/>
      </c>
      <c r="V3265" s="215" t="s">
        <v>47</v>
      </c>
      <c r="W3265" s="102" t="s">
        <v>136</v>
      </c>
      <c r="X3265" s="102" t="s">
        <v>137</v>
      </c>
      <c r="Y3265" s="103" t="s">
        <v>138</v>
      </c>
      <c r="Z3265" s="103" t="s">
        <v>139</v>
      </c>
      <c r="AA3265" s="103" t="s">
        <v>47</v>
      </c>
      <c r="AB3265" s="103" t="s">
        <v>140</v>
      </c>
      <c r="AC3265" s="104" t="s">
        <v>141</v>
      </c>
    </row>
    <row r="3266" spans="1:29" ht="25.5" customHeight="1" x14ac:dyDescent="0.35">
      <c r="A3266" s="188"/>
      <c r="B3266" s="190"/>
      <c r="C3266" s="99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0"/>
      <c r="E3266" s="78" t="str">
        <f>IF(C3266="","",IFERROR(VLOOKUP(C3266,parametros!$A$11:$E$15,5,0),""))</f>
        <v/>
      </c>
      <c r="F3266" s="79" t="str">
        <f t="shared" ref="F3266:F3329" si="257">IF(OR(D3266="",E3266=""),"",ROUND(D3266*E3266,2))</f>
        <v/>
      </c>
      <c r="G3266" s="101"/>
      <c r="H3266" s="91">
        <f t="shared" ref="H3266:H3329" si="258">IF(G3266="Sim",IF(OR(F3266="",D3266="",L3266=""),"",IF(L3266="Sim",ROUND(F3266-D3266,2),0)),0)</f>
        <v>0</v>
      </c>
      <c r="I3266" s="91" t="str">
        <f t="shared" ref="I3266:I3329" si="259">IF(G3266="Sim",0,IF(OR(F3266="",L3266=""),"",F3266))</f>
        <v/>
      </c>
      <c r="J3266" s="91" t="str">
        <f t="shared" ref="J3266:J3329" si="260">IF(G3266="Sim",0,IF(OR(F3266="",D3266="",L3266=""),"",IF(L3266="Sim",ROUND(F3266-D3266,2),0)))</f>
        <v/>
      </c>
      <c r="K3266" s="92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2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58"/>
      <c r="U3266" s="217" t="str">
        <f t="shared" ref="U3266:U3329" si="261">IF(OR($D3266="",$H3266=""),"",ROUND($D3266+$H3266,2))</f>
        <v/>
      </c>
      <c r="V3266" s="215" t="s">
        <v>47</v>
      </c>
      <c r="W3266" s="102" t="s">
        <v>136</v>
      </c>
      <c r="X3266" s="102" t="s">
        <v>137</v>
      </c>
      <c r="Y3266" s="103" t="s">
        <v>138</v>
      </c>
      <c r="Z3266" s="103" t="s">
        <v>139</v>
      </c>
      <c r="AA3266" s="103" t="s">
        <v>47</v>
      </c>
      <c r="AB3266" s="103" t="s">
        <v>140</v>
      </c>
      <c r="AC3266" s="104" t="s">
        <v>141</v>
      </c>
    </row>
    <row r="3267" spans="1:29" ht="25.5" customHeight="1" x14ac:dyDescent="0.35">
      <c r="A3267" s="188"/>
      <c r="B3267" s="190"/>
      <c r="C3267" s="99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0"/>
      <c r="E3267" s="78" t="str">
        <f>IF(C3267="","",IFERROR(VLOOKUP(C3267,parametros!$A$11:$E$15,5,0),""))</f>
        <v/>
      </c>
      <c r="F3267" s="79" t="str">
        <f t="shared" si="257"/>
        <v/>
      </c>
      <c r="G3267" s="101"/>
      <c r="H3267" s="91">
        <f t="shared" si="258"/>
        <v>0</v>
      </c>
      <c r="I3267" s="91" t="str">
        <f t="shared" si="259"/>
        <v/>
      </c>
      <c r="J3267" s="91" t="str">
        <f t="shared" si="260"/>
        <v/>
      </c>
      <c r="K3267" s="92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2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58"/>
      <c r="U3267" s="217" t="str">
        <f t="shared" si="261"/>
        <v/>
      </c>
      <c r="V3267" s="215" t="s">
        <v>47</v>
      </c>
      <c r="W3267" s="102" t="s">
        <v>136</v>
      </c>
      <c r="X3267" s="102" t="s">
        <v>137</v>
      </c>
      <c r="Y3267" s="103" t="s">
        <v>138</v>
      </c>
      <c r="Z3267" s="103" t="s">
        <v>139</v>
      </c>
      <c r="AA3267" s="103" t="s">
        <v>47</v>
      </c>
      <c r="AB3267" s="103" t="s">
        <v>140</v>
      </c>
      <c r="AC3267" s="104" t="s">
        <v>141</v>
      </c>
    </row>
    <row r="3268" spans="1:29" ht="25.5" customHeight="1" x14ac:dyDescent="0.35">
      <c r="A3268" s="188"/>
      <c r="B3268" s="190"/>
      <c r="C3268" s="99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0"/>
      <c r="E3268" s="78" t="str">
        <f>IF(C3268="","",IFERROR(VLOOKUP(C3268,parametros!$A$11:$E$15,5,0),""))</f>
        <v/>
      </c>
      <c r="F3268" s="79" t="str">
        <f t="shared" si="257"/>
        <v/>
      </c>
      <c r="G3268" s="101"/>
      <c r="H3268" s="91">
        <f t="shared" si="258"/>
        <v>0</v>
      </c>
      <c r="I3268" s="91" t="str">
        <f t="shared" si="259"/>
        <v/>
      </c>
      <c r="J3268" s="91" t="str">
        <f t="shared" si="260"/>
        <v/>
      </c>
      <c r="K3268" s="92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2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58"/>
      <c r="U3268" s="217" t="str">
        <f t="shared" si="261"/>
        <v/>
      </c>
      <c r="V3268" s="215" t="s">
        <v>47</v>
      </c>
      <c r="W3268" s="102" t="s">
        <v>136</v>
      </c>
      <c r="X3268" s="102" t="s">
        <v>137</v>
      </c>
      <c r="Y3268" s="103" t="s">
        <v>138</v>
      </c>
      <c r="Z3268" s="103" t="s">
        <v>139</v>
      </c>
      <c r="AA3268" s="103" t="s">
        <v>47</v>
      </c>
      <c r="AB3268" s="103" t="s">
        <v>140</v>
      </c>
      <c r="AC3268" s="104" t="s">
        <v>141</v>
      </c>
    </row>
    <row r="3269" spans="1:29" ht="25.5" customHeight="1" x14ac:dyDescent="0.35">
      <c r="A3269" s="188"/>
      <c r="B3269" s="190"/>
      <c r="C3269" s="99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0"/>
      <c r="E3269" s="78" t="str">
        <f>IF(C3269="","",IFERROR(VLOOKUP(C3269,parametros!$A$11:$E$15,5,0),""))</f>
        <v/>
      </c>
      <c r="F3269" s="79" t="str">
        <f t="shared" si="257"/>
        <v/>
      </c>
      <c r="G3269" s="101"/>
      <c r="H3269" s="91">
        <f t="shared" si="258"/>
        <v>0</v>
      </c>
      <c r="I3269" s="91" t="str">
        <f t="shared" si="259"/>
        <v/>
      </c>
      <c r="J3269" s="91" t="str">
        <f t="shared" si="260"/>
        <v/>
      </c>
      <c r="K3269" s="92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2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58"/>
      <c r="U3269" s="217" t="str">
        <f t="shared" si="261"/>
        <v/>
      </c>
      <c r="V3269" s="215" t="s">
        <v>47</v>
      </c>
      <c r="W3269" s="102" t="s">
        <v>136</v>
      </c>
      <c r="X3269" s="102" t="s">
        <v>137</v>
      </c>
      <c r="Y3269" s="103" t="s">
        <v>138</v>
      </c>
      <c r="Z3269" s="103" t="s">
        <v>139</v>
      </c>
      <c r="AA3269" s="103" t="s">
        <v>47</v>
      </c>
      <c r="AB3269" s="103" t="s">
        <v>140</v>
      </c>
      <c r="AC3269" s="104" t="s">
        <v>141</v>
      </c>
    </row>
    <row r="3270" spans="1:29" ht="25.5" customHeight="1" x14ac:dyDescent="0.35">
      <c r="A3270" s="188"/>
      <c r="B3270" s="190"/>
      <c r="C3270" s="99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0"/>
      <c r="E3270" s="78" t="str">
        <f>IF(C3270="","",IFERROR(VLOOKUP(C3270,parametros!$A$11:$E$15,5,0),""))</f>
        <v/>
      </c>
      <c r="F3270" s="79" t="str">
        <f t="shared" si="257"/>
        <v/>
      </c>
      <c r="G3270" s="101"/>
      <c r="H3270" s="91">
        <f t="shared" si="258"/>
        <v>0</v>
      </c>
      <c r="I3270" s="91" t="str">
        <f t="shared" si="259"/>
        <v/>
      </c>
      <c r="J3270" s="91" t="str">
        <f t="shared" si="260"/>
        <v/>
      </c>
      <c r="K3270" s="92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2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58"/>
      <c r="U3270" s="217" t="str">
        <f t="shared" si="261"/>
        <v/>
      </c>
      <c r="V3270" s="215" t="s">
        <v>47</v>
      </c>
      <c r="W3270" s="102" t="s">
        <v>136</v>
      </c>
      <c r="X3270" s="102" t="s">
        <v>137</v>
      </c>
      <c r="Y3270" s="103" t="s">
        <v>138</v>
      </c>
      <c r="Z3270" s="103" t="s">
        <v>139</v>
      </c>
      <c r="AA3270" s="103" t="s">
        <v>47</v>
      </c>
      <c r="AB3270" s="103" t="s">
        <v>140</v>
      </c>
      <c r="AC3270" s="104" t="s">
        <v>141</v>
      </c>
    </row>
    <row r="3271" spans="1:29" ht="25.5" customHeight="1" x14ac:dyDescent="0.35">
      <c r="A3271" s="188"/>
      <c r="B3271" s="190"/>
      <c r="C3271" s="99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0"/>
      <c r="E3271" s="78" t="str">
        <f>IF(C3271="","",IFERROR(VLOOKUP(C3271,parametros!$A$11:$E$15,5,0),""))</f>
        <v/>
      </c>
      <c r="F3271" s="79" t="str">
        <f t="shared" si="257"/>
        <v/>
      </c>
      <c r="G3271" s="101"/>
      <c r="H3271" s="91">
        <f t="shared" si="258"/>
        <v>0</v>
      </c>
      <c r="I3271" s="91" t="str">
        <f t="shared" si="259"/>
        <v/>
      </c>
      <c r="J3271" s="91" t="str">
        <f t="shared" si="260"/>
        <v/>
      </c>
      <c r="K3271" s="92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2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58"/>
      <c r="U3271" s="217" t="str">
        <f t="shared" si="261"/>
        <v/>
      </c>
      <c r="V3271" s="215" t="s">
        <v>47</v>
      </c>
      <c r="W3271" s="102" t="s">
        <v>136</v>
      </c>
      <c r="X3271" s="102" t="s">
        <v>137</v>
      </c>
      <c r="Y3271" s="103" t="s">
        <v>138</v>
      </c>
      <c r="Z3271" s="103" t="s">
        <v>139</v>
      </c>
      <c r="AA3271" s="103" t="s">
        <v>47</v>
      </c>
      <c r="AB3271" s="103" t="s">
        <v>140</v>
      </c>
      <c r="AC3271" s="104" t="s">
        <v>141</v>
      </c>
    </row>
    <row r="3272" spans="1:29" ht="25.5" customHeight="1" x14ac:dyDescent="0.35">
      <c r="A3272" s="188"/>
      <c r="B3272" s="190"/>
      <c r="C3272" s="99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0"/>
      <c r="E3272" s="78" t="str">
        <f>IF(C3272="","",IFERROR(VLOOKUP(C3272,parametros!$A$11:$E$15,5,0),""))</f>
        <v/>
      </c>
      <c r="F3272" s="79" t="str">
        <f t="shared" si="257"/>
        <v/>
      </c>
      <c r="G3272" s="101"/>
      <c r="H3272" s="91">
        <f t="shared" si="258"/>
        <v>0</v>
      </c>
      <c r="I3272" s="91" t="str">
        <f t="shared" si="259"/>
        <v/>
      </c>
      <c r="J3272" s="91" t="str">
        <f t="shared" si="260"/>
        <v/>
      </c>
      <c r="K3272" s="92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2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58"/>
      <c r="U3272" s="217" t="str">
        <f t="shared" si="261"/>
        <v/>
      </c>
      <c r="V3272" s="215" t="s">
        <v>47</v>
      </c>
      <c r="W3272" s="102" t="s">
        <v>136</v>
      </c>
      <c r="X3272" s="102" t="s">
        <v>137</v>
      </c>
      <c r="Y3272" s="103" t="s">
        <v>138</v>
      </c>
      <c r="Z3272" s="103" t="s">
        <v>139</v>
      </c>
      <c r="AA3272" s="103" t="s">
        <v>47</v>
      </c>
      <c r="AB3272" s="103" t="s">
        <v>140</v>
      </c>
      <c r="AC3272" s="104" t="s">
        <v>141</v>
      </c>
    </row>
    <row r="3273" spans="1:29" ht="25.5" customHeight="1" x14ac:dyDescent="0.35">
      <c r="A3273" s="188"/>
      <c r="B3273" s="190"/>
      <c r="C3273" s="99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0"/>
      <c r="E3273" s="78" t="str">
        <f>IF(C3273="","",IFERROR(VLOOKUP(C3273,parametros!$A$11:$E$15,5,0),""))</f>
        <v/>
      </c>
      <c r="F3273" s="79" t="str">
        <f t="shared" si="257"/>
        <v/>
      </c>
      <c r="G3273" s="101"/>
      <c r="H3273" s="91">
        <f t="shared" si="258"/>
        <v>0</v>
      </c>
      <c r="I3273" s="91" t="str">
        <f t="shared" si="259"/>
        <v/>
      </c>
      <c r="J3273" s="91" t="str">
        <f t="shared" si="260"/>
        <v/>
      </c>
      <c r="K3273" s="92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2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58"/>
      <c r="U3273" s="217" t="str">
        <f t="shared" si="261"/>
        <v/>
      </c>
      <c r="V3273" s="215" t="s">
        <v>47</v>
      </c>
      <c r="W3273" s="102" t="s">
        <v>136</v>
      </c>
      <c r="X3273" s="102" t="s">
        <v>137</v>
      </c>
      <c r="Y3273" s="103" t="s">
        <v>138</v>
      </c>
      <c r="Z3273" s="103" t="s">
        <v>139</v>
      </c>
      <c r="AA3273" s="103" t="s">
        <v>47</v>
      </c>
      <c r="AB3273" s="103" t="s">
        <v>140</v>
      </c>
      <c r="AC3273" s="104" t="s">
        <v>141</v>
      </c>
    </row>
    <row r="3274" spans="1:29" ht="25.5" customHeight="1" x14ac:dyDescent="0.35">
      <c r="A3274" s="188"/>
      <c r="B3274" s="190"/>
      <c r="C3274" s="99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0"/>
      <c r="E3274" s="78" t="str">
        <f>IF(C3274="","",IFERROR(VLOOKUP(C3274,parametros!$A$11:$E$15,5,0),""))</f>
        <v/>
      </c>
      <c r="F3274" s="79" t="str">
        <f t="shared" si="257"/>
        <v/>
      </c>
      <c r="G3274" s="101"/>
      <c r="H3274" s="91">
        <f t="shared" si="258"/>
        <v>0</v>
      </c>
      <c r="I3274" s="91" t="str">
        <f t="shared" si="259"/>
        <v/>
      </c>
      <c r="J3274" s="91" t="str">
        <f t="shared" si="260"/>
        <v/>
      </c>
      <c r="K3274" s="92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2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58"/>
      <c r="U3274" s="217" t="str">
        <f t="shared" si="261"/>
        <v/>
      </c>
      <c r="V3274" s="215" t="s">
        <v>47</v>
      </c>
      <c r="W3274" s="102" t="s">
        <v>136</v>
      </c>
      <c r="X3274" s="102" t="s">
        <v>137</v>
      </c>
      <c r="Y3274" s="103" t="s">
        <v>138</v>
      </c>
      <c r="Z3274" s="103" t="s">
        <v>139</v>
      </c>
      <c r="AA3274" s="103" t="s">
        <v>47</v>
      </c>
      <c r="AB3274" s="103" t="s">
        <v>140</v>
      </c>
      <c r="AC3274" s="104" t="s">
        <v>141</v>
      </c>
    </row>
    <row r="3275" spans="1:29" ht="25.5" customHeight="1" x14ac:dyDescent="0.35">
      <c r="A3275" s="188"/>
      <c r="B3275" s="190"/>
      <c r="C3275" s="99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0"/>
      <c r="E3275" s="78" t="str">
        <f>IF(C3275="","",IFERROR(VLOOKUP(C3275,parametros!$A$11:$E$15,5,0),""))</f>
        <v/>
      </c>
      <c r="F3275" s="79" t="str">
        <f t="shared" si="257"/>
        <v/>
      </c>
      <c r="G3275" s="101"/>
      <c r="H3275" s="91">
        <f t="shared" si="258"/>
        <v>0</v>
      </c>
      <c r="I3275" s="91" t="str">
        <f t="shared" si="259"/>
        <v/>
      </c>
      <c r="J3275" s="91" t="str">
        <f t="shared" si="260"/>
        <v/>
      </c>
      <c r="K3275" s="92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2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58"/>
      <c r="U3275" s="217" t="str">
        <f t="shared" si="261"/>
        <v/>
      </c>
      <c r="V3275" s="215" t="s">
        <v>47</v>
      </c>
      <c r="W3275" s="102" t="s">
        <v>136</v>
      </c>
      <c r="X3275" s="102" t="s">
        <v>137</v>
      </c>
      <c r="Y3275" s="103" t="s">
        <v>138</v>
      </c>
      <c r="Z3275" s="103" t="s">
        <v>139</v>
      </c>
      <c r="AA3275" s="103" t="s">
        <v>47</v>
      </c>
      <c r="AB3275" s="103" t="s">
        <v>140</v>
      </c>
      <c r="AC3275" s="104" t="s">
        <v>141</v>
      </c>
    </row>
    <row r="3276" spans="1:29" ht="25.5" customHeight="1" x14ac:dyDescent="0.35">
      <c r="A3276" s="188"/>
      <c r="B3276" s="190"/>
      <c r="C3276" s="99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0"/>
      <c r="E3276" s="78" t="str">
        <f>IF(C3276="","",IFERROR(VLOOKUP(C3276,parametros!$A$11:$E$15,5,0),""))</f>
        <v/>
      </c>
      <c r="F3276" s="79" t="str">
        <f t="shared" si="257"/>
        <v/>
      </c>
      <c r="G3276" s="101"/>
      <c r="H3276" s="91">
        <f t="shared" si="258"/>
        <v>0</v>
      </c>
      <c r="I3276" s="91" t="str">
        <f t="shared" si="259"/>
        <v/>
      </c>
      <c r="J3276" s="91" t="str">
        <f t="shared" si="260"/>
        <v/>
      </c>
      <c r="K3276" s="92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2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58"/>
      <c r="U3276" s="217" t="str">
        <f t="shared" si="261"/>
        <v/>
      </c>
      <c r="V3276" s="215" t="s">
        <v>47</v>
      </c>
      <c r="W3276" s="102" t="s">
        <v>136</v>
      </c>
      <c r="X3276" s="102" t="s">
        <v>137</v>
      </c>
      <c r="Y3276" s="103" t="s">
        <v>138</v>
      </c>
      <c r="Z3276" s="103" t="s">
        <v>139</v>
      </c>
      <c r="AA3276" s="103" t="s">
        <v>47</v>
      </c>
      <c r="AB3276" s="103" t="s">
        <v>140</v>
      </c>
      <c r="AC3276" s="104" t="s">
        <v>141</v>
      </c>
    </row>
    <row r="3277" spans="1:29" ht="25.5" customHeight="1" x14ac:dyDescent="0.35">
      <c r="A3277" s="188"/>
      <c r="B3277" s="190"/>
      <c r="C3277" s="99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0"/>
      <c r="E3277" s="78" t="str">
        <f>IF(C3277="","",IFERROR(VLOOKUP(C3277,parametros!$A$11:$E$15,5,0),""))</f>
        <v/>
      </c>
      <c r="F3277" s="79" t="str">
        <f t="shared" si="257"/>
        <v/>
      </c>
      <c r="G3277" s="101"/>
      <c r="H3277" s="91">
        <f t="shared" si="258"/>
        <v>0</v>
      </c>
      <c r="I3277" s="91" t="str">
        <f t="shared" si="259"/>
        <v/>
      </c>
      <c r="J3277" s="91" t="str">
        <f t="shared" si="260"/>
        <v/>
      </c>
      <c r="K3277" s="92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2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58"/>
      <c r="U3277" s="217" t="str">
        <f t="shared" si="261"/>
        <v/>
      </c>
      <c r="V3277" s="215" t="s">
        <v>47</v>
      </c>
      <c r="W3277" s="102" t="s">
        <v>136</v>
      </c>
      <c r="X3277" s="102" t="s">
        <v>137</v>
      </c>
      <c r="Y3277" s="103" t="s">
        <v>138</v>
      </c>
      <c r="Z3277" s="103" t="s">
        <v>139</v>
      </c>
      <c r="AA3277" s="103" t="s">
        <v>47</v>
      </c>
      <c r="AB3277" s="103" t="s">
        <v>140</v>
      </c>
      <c r="AC3277" s="104" t="s">
        <v>141</v>
      </c>
    </row>
    <row r="3278" spans="1:29" ht="25.5" customHeight="1" x14ac:dyDescent="0.35">
      <c r="A3278" s="188"/>
      <c r="B3278" s="190"/>
      <c r="C3278" s="99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0"/>
      <c r="E3278" s="78" t="str">
        <f>IF(C3278="","",IFERROR(VLOOKUP(C3278,parametros!$A$11:$E$15,5,0),""))</f>
        <v/>
      </c>
      <c r="F3278" s="79" t="str">
        <f t="shared" si="257"/>
        <v/>
      </c>
      <c r="G3278" s="101"/>
      <c r="H3278" s="91">
        <f t="shared" si="258"/>
        <v>0</v>
      </c>
      <c r="I3278" s="91" t="str">
        <f t="shared" si="259"/>
        <v/>
      </c>
      <c r="J3278" s="91" t="str">
        <f t="shared" si="260"/>
        <v/>
      </c>
      <c r="K3278" s="92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2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58"/>
      <c r="U3278" s="217" t="str">
        <f t="shared" si="261"/>
        <v/>
      </c>
      <c r="V3278" s="215" t="s">
        <v>47</v>
      </c>
      <c r="W3278" s="102" t="s">
        <v>136</v>
      </c>
      <c r="X3278" s="102" t="s">
        <v>137</v>
      </c>
      <c r="Y3278" s="103" t="s">
        <v>138</v>
      </c>
      <c r="Z3278" s="103" t="s">
        <v>139</v>
      </c>
      <c r="AA3278" s="103" t="s">
        <v>47</v>
      </c>
      <c r="AB3278" s="103" t="s">
        <v>140</v>
      </c>
      <c r="AC3278" s="104" t="s">
        <v>141</v>
      </c>
    </row>
    <row r="3279" spans="1:29" ht="25.5" customHeight="1" x14ac:dyDescent="0.35">
      <c r="A3279" s="188"/>
      <c r="B3279" s="190"/>
      <c r="C3279" s="99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0"/>
      <c r="E3279" s="78" t="str">
        <f>IF(C3279="","",IFERROR(VLOOKUP(C3279,parametros!$A$11:$E$15,5,0),""))</f>
        <v/>
      </c>
      <c r="F3279" s="79" t="str">
        <f t="shared" si="257"/>
        <v/>
      </c>
      <c r="G3279" s="101"/>
      <c r="H3279" s="91">
        <f t="shared" si="258"/>
        <v>0</v>
      </c>
      <c r="I3279" s="91" t="str">
        <f t="shared" si="259"/>
        <v/>
      </c>
      <c r="J3279" s="91" t="str">
        <f t="shared" si="260"/>
        <v/>
      </c>
      <c r="K3279" s="92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2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58"/>
      <c r="U3279" s="217" t="str">
        <f t="shared" si="261"/>
        <v/>
      </c>
      <c r="V3279" s="215" t="s">
        <v>47</v>
      </c>
      <c r="W3279" s="102" t="s">
        <v>136</v>
      </c>
      <c r="X3279" s="102" t="s">
        <v>137</v>
      </c>
      <c r="Y3279" s="103" t="s">
        <v>138</v>
      </c>
      <c r="Z3279" s="103" t="s">
        <v>139</v>
      </c>
      <c r="AA3279" s="103" t="s">
        <v>47</v>
      </c>
      <c r="AB3279" s="103" t="s">
        <v>140</v>
      </c>
      <c r="AC3279" s="104" t="s">
        <v>141</v>
      </c>
    </row>
    <row r="3280" spans="1:29" ht="25.5" customHeight="1" x14ac:dyDescent="0.35">
      <c r="A3280" s="188"/>
      <c r="B3280" s="190"/>
      <c r="C3280" s="99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0"/>
      <c r="E3280" s="78" t="str">
        <f>IF(C3280="","",IFERROR(VLOOKUP(C3280,parametros!$A$11:$E$15,5,0),""))</f>
        <v/>
      </c>
      <c r="F3280" s="79" t="str">
        <f t="shared" si="257"/>
        <v/>
      </c>
      <c r="G3280" s="101"/>
      <c r="H3280" s="91">
        <f t="shared" si="258"/>
        <v>0</v>
      </c>
      <c r="I3280" s="91" t="str">
        <f t="shared" si="259"/>
        <v/>
      </c>
      <c r="J3280" s="91" t="str">
        <f t="shared" si="260"/>
        <v/>
      </c>
      <c r="K3280" s="92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2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58"/>
      <c r="U3280" s="217" t="str">
        <f t="shared" si="261"/>
        <v/>
      </c>
      <c r="V3280" s="215" t="s">
        <v>47</v>
      </c>
      <c r="W3280" s="102" t="s">
        <v>136</v>
      </c>
      <c r="X3280" s="102" t="s">
        <v>137</v>
      </c>
      <c r="Y3280" s="103" t="s">
        <v>138</v>
      </c>
      <c r="Z3280" s="103" t="s">
        <v>139</v>
      </c>
      <c r="AA3280" s="103" t="s">
        <v>47</v>
      </c>
      <c r="AB3280" s="103" t="s">
        <v>140</v>
      </c>
      <c r="AC3280" s="104" t="s">
        <v>141</v>
      </c>
    </row>
    <row r="3281" spans="1:29" ht="25.5" customHeight="1" x14ac:dyDescent="0.35">
      <c r="A3281" s="188"/>
      <c r="B3281" s="190"/>
      <c r="C3281" s="99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0"/>
      <c r="E3281" s="78" t="str">
        <f>IF(C3281="","",IFERROR(VLOOKUP(C3281,parametros!$A$11:$E$15,5,0),""))</f>
        <v/>
      </c>
      <c r="F3281" s="79" t="str">
        <f t="shared" si="257"/>
        <v/>
      </c>
      <c r="G3281" s="101"/>
      <c r="H3281" s="91">
        <f t="shared" si="258"/>
        <v>0</v>
      </c>
      <c r="I3281" s="91" t="str">
        <f t="shared" si="259"/>
        <v/>
      </c>
      <c r="J3281" s="91" t="str">
        <f t="shared" si="260"/>
        <v/>
      </c>
      <c r="K3281" s="92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2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58"/>
      <c r="U3281" s="217" t="str">
        <f t="shared" si="261"/>
        <v/>
      </c>
      <c r="V3281" s="215" t="s">
        <v>47</v>
      </c>
      <c r="W3281" s="102" t="s">
        <v>136</v>
      </c>
      <c r="X3281" s="102" t="s">
        <v>137</v>
      </c>
      <c r="Y3281" s="103" t="s">
        <v>138</v>
      </c>
      <c r="Z3281" s="103" t="s">
        <v>139</v>
      </c>
      <c r="AA3281" s="103" t="s">
        <v>47</v>
      </c>
      <c r="AB3281" s="103" t="s">
        <v>140</v>
      </c>
      <c r="AC3281" s="104" t="s">
        <v>141</v>
      </c>
    </row>
    <row r="3282" spans="1:29" ht="25.5" customHeight="1" x14ac:dyDescent="0.35">
      <c r="A3282" s="188"/>
      <c r="B3282" s="190"/>
      <c r="C3282" s="99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0"/>
      <c r="E3282" s="78" t="str">
        <f>IF(C3282="","",IFERROR(VLOOKUP(C3282,parametros!$A$11:$E$15,5,0),""))</f>
        <v/>
      </c>
      <c r="F3282" s="79" t="str">
        <f t="shared" si="257"/>
        <v/>
      </c>
      <c r="G3282" s="101"/>
      <c r="H3282" s="91">
        <f t="shared" si="258"/>
        <v>0</v>
      </c>
      <c r="I3282" s="91" t="str">
        <f t="shared" si="259"/>
        <v/>
      </c>
      <c r="J3282" s="91" t="str">
        <f t="shared" si="260"/>
        <v/>
      </c>
      <c r="K3282" s="92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2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58"/>
      <c r="U3282" s="217" t="str">
        <f t="shared" si="261"/>
        <v/>
      </c>
      <c r="V3282" s="215" t="s">
        <v>47</v>
      </c>
      <c r="W3282" s="102" t="s">
        <v>136</v>
      </c>
      <c r="X3282" s="102" t="s">
        <v>137</v>
      </c>
      <c r="Y3282" s="103" t="s">
        <v>138</v>
      </c>
      <c r="Z3282" s="103" t="s">
        <v>139</v>
      </c>
      <c r="AA3282" s="103" t="s">
        <v>47</v>
      </c>
      <c r="AB3282" s="103" t="s">
        <v>140</v>
      </c>
      <c r="AC3282" s="104" t="s">
        <v>141</v>
      </c>
    </row>
    <row r="3283" spans="1:29" ht="25.5" customHeight="1" x14ac:dyDescent="0.35">
      <c r="A3283" s="188"/>
      <c r="B3283" s="190"/>
      <c r="C3283" s="99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0"/>
      <c r="E3283" s="78" t="str">
        <f>IF(C3283="","",IFERROR(VLOOKUP(C3283,parametros!$A$11:$E$15,5,0),""))</f>
        <v/>
      </c>
      <c r="F3283" s="79" t="str">
        <f t="shared" si="257"/>
        <v/>
      </c>
      <c r="G3283" s="101"/>
      <c r="H3283" s="91">
        <f t="shared" si="258"/>
        <v>0</v>
      </c>
      <c r="I3283" s="91" t="str">
        <f t="shared" si="259"/>
        <v/>
      </c>
      <c r="J3283" s="91" t="str">
        <f t="shared" si="260"/>
        <v/>
      </c>
      <c r="K3283" s="92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2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58"/>
      <c r="U3283" s="217" t="str">
        <f t="shared" si="261"/>
        <v/>
      </c>
      <c r="V3283" s="215" t="s">
        <v>47</v>
      </c>
      <c r="W3283" s="102" t="s">
        <v>136</v>
      </c>
      <c r="X3283" s="102" t="s">
        <v>137</v>
      </c>
      <c r="Y3283" s="103" t="s">
        <v>138</v>
      </c>
      <c r="Z3283" s="103" t="s">
        <v>139</v>
      </c>
      <c r="AA3283" s="103" t="s">
        <v>47</v>
      </c>
      <c r="AB3283" s="103" t="s">
        <v>140</v>
      </c>
      <c r="AC3283" s="104" t="s">
        <v>141</v>
      </c>
    </row>
    <row r="3284" spans="1:29" ht="25.5" customHeight="1" x14ac:dyDescent="0.35">
      <c r="A3284" s="188"/>
      <c r="B3284" s="190"/>
      <c r="C3284" s="99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0"/>
      <c r="E3284" s="78" t="str">
        <f>IF(C3284="","",IFERROR(VLOOKUP(C3284,parametros!$A$11:$E$15,5,0),""))</f>
        <v/>
      </c>
      <c r="F3284" s="79" t="str">
        <f t="shared" si="257"/>
        <v/>
      </c>
      <c r="G3284" s="101"/>
      <c r="H3284" s="91">
        <f t="shared" si="258"/>
        <v>0</v>
      </c>
      <c r="I3284" s="91" t="str">
        <f t="shared" si="259"/>
        <v/>
      </c>
      <c r="J3284" s="91" t="str">
        <f t="shared" si="260"/>
        <v/>
      </c>
      <c r="K3284" s="92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2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58"/>
      <c r="U3284" s="217" t="str">
        <f t="shared" si="261"/>
        <v/>
      </c>
      <c r="V3284" s="215" t="s">
        <v>47</v>
      </c>
      <c r="W3284" s="102" t="s">
        <v>136</v>
      </c>
      <c r="X3284" s="102" t="s">
        <v>137</v>
      </c>
      <c r="Y3284" s="103" t="s">
        <v>138</v>
      </c>
      <c r="Z3284" s="103" t="s">
        <v>139</v>
      </c>
      <c r="AA3284" s="103" t="s">
        <v>47</v>
      </c>
      <c r="AB3284" s="103" t="s">
        <v>140</v>
      </c>
      <c r="AC3284" s="104" t="s">
        <v>141</v>
      </c>
    </row>
    <row r="3285" spans="1:29" ht="25.5" customHeight="1" x14ac:dyDescent="0.35">
      <c r="A3285" s="188"/>
      <c r="B3285" s="190"/>
      <c r="C3285" s="99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0"/>
      <c r="E3285" s="78" t="str">
        <f>IF(C3285="","",IFERROR(VLOOKUP(C3285,parametros!$A$11:$E$15,5,0),""))</f>
        <v/>
      </c>
      <c r="F3285" s="79" t="str">
        <f t="shared" si="257"/>
        <v/>
      </c>
      <c r="G3285" s="101"/>
      <c r="H3285" s="91">
        <f t="shared" si="258"/>
        <v>0</v>
      </c>
      <c r="I3285" s="91" t="str">
        <f t="shared" si="259"/>
        <v/>
      </c>
      <c r="J3285" s="91" t="str">
        <f t="shared" si="260"/>
        <v/>
      </c>
      <c r="K3285" s="92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2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58"/>
      <c r="U3285" s="217" t="str">
        <f t="shared" si="261"/>
        <v/>
      </c>
      <c r="V3285" s="215" t="s">
        <v>47</v>
      </c>
      <c r="W3285" s="102" t="s">
        <v>136</v>
      </c>
      <c r="X3285" s="102" t="s">
        <v>137</v>
      </c>
      <c r="Y3285" s="103" t="s">
        <v>138</v>
      </c>
      <c r="Z3285" s="103" t="s">
        <v>139</v>
      </c>
      <c r="AA3285" s="103" t="s">
        <v>47</v>
      </c>
      <c r="AB3285" s="103" t="s">
        <v>140</v>
      </c>
      <c r="AC3285" s="104" t="s">
        <v>141</v>
      </c>
    </row>
    <row r="3286" spans="1:29" ht="25.5" customHeight="1" x14ac:dyDescent="0.35">
      <c r="A3286" s="188"/>
      <c r="B3286" s="190"/>
      <c r="C3286" s="99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0"/>
      <c r="E3286" s="78" t="str">
        <f>IF(C3286="","",IFERROR(VLOOKUP(C3286,parametros!$A$11:$E$15,5,0),""))</f>
        <v/>
      </c>
      <c r="F3286" s="79" t="str">
        <f t="shared" si="257"/>
        <v/>
      </c>
      <c r="G3286" s="101"/>
      <c r="H3286" s="91">
        <f t="shared" si="258"/>
        <v>0</v>
      </c>
      <c r="I3286" s="91" t="str">
        <f t="shared" si="259"/>
        <v/>
      </c>
      <c r="J3286" s="91" t="str">
        <f t="shared" si="260"/>
        <v/>
      </c>
      <c r="K3286" s="92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2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58"/>
      <c r="U3286" s="217" t="str">
        <f t="shared" si="261"/>
        <v/>
      </c>
      <c r="V3286" s="215" t="s">
        <v>47</v>
      </c>
      <c r="W3286" s="102" t="s">
        <v>136</v>
      </c>
      <c r="X3286" s="102" t="s">
        <v>137</v>
      </c>
      <c r="Y3286" s="103" t="s">
        <v>138</v>
      </c>
      <c r="Z3286" s="103" t="s">
        <v>139</v>
      </c>
      <c r="AA3286" s="103" t="s">
        <v>47</v>
      </c>
      <c r="AB3286" s="103" t="s">
        <v>140</v>
      </c>
      <c r="AC3286" s="104" t="s">
        <v>141</v>
      </c>
    </row>
    <row r="3287" spans="1:29" ht="25.5" customHeight="1" x14ac:dyDescent="0.35">
      <c r="A3287" s="188"/>
      <c r="B3287" s="190"/>
      <c r="C3287" s="99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0"/>
      <c r="E3287" s="78" t="str">
        <f>IF(C3287="","",IFERROR(VLOOKUP(C3287,parametros!$A$11:$E$15,5,0),""))</f>
        <v/>
      </c>
      <c r="F3287" s="79" t="str">
        <f t="shared" si="257"/>
        <v/>
      </c>
      <c r="G3287" s="101"/>
      <c r="H3287" s="91">
        <f t="shared" si="258"/>
        <v>0</v>
      </c>
      <c r="I3287" s="91" t="str">
        <f t="shared" si="259"/>
        <v/>
      </c>
      <c r="J3287" s="91" t="str">
        <f t="shared" si="260"/>
        <v/>
      </c>
      <c r="K3287" s="92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2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58"/>
      <c r="U3287" s="217" t="str">
        <f t="shared" si="261"/>
        <v/>
      </c>
      <c r="V3287" s="215" t="s">
        <v>47</v>
      </c>
      <c r="W3287" s="102" t="s">
        <v>136</v>
      </c>
      <c r="X3287" s="102" t="s">
        <v>137</v>
      </c>
      <c r="Y3287" s="103" t="s">
        <v>138</v>
      </c>
      <c r="Z3287" s="103" t="s">
        <v>139</v>
      </c>
      <c r="AA3287" s="103" t="s">
        <v>47</v>
      </c>
      <c r="AB3287" s="103" t="s">
        <v>140</v>
      </c>
      <c r="AC3287" s="104" t="s">
        <v>141</v>
      </c>
    </row>
    <row r="3288" spans="1:29" ht="25.5" customHeight="1" x14ac:dyDescent="0.35">
      <c r="A3288" s="188"/>
      <c r="B3288" s="190"/>
      <c r="C3288" s="99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0"/>
      <c r="E3288" s="78" t="str">
        <f>IF(C3288="","",IFERROR(VLOOKUP(C3288,parametros!$A$11:$E$15,5,0),""))</f>
        <v/>
      </c>
      <c r="F3288" s="79" t="str">
        <f t="shared" si="257"/>
        <v/>
      </c>
      <c r="G3288" s="101"/>
      <c r="H3288" s="91">
        <f t="shared" si="258"/>
        <v>0</v>
      </c>
      <c r="I3288" s="91" t="str">
        <f t="shared" si="259"/>
        <v/>
      </c>
      <c r="J3288" s="91" t="str">
        <f t="shared" si="260"/>
        <v/>
      </c>
      <c r="K3288" s="92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2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58"/>
      <c r="U3288" s="217" t="str">
        <f t="shared" si="261"/>
        <v/>
      </c>
      <c r="V3288" s="215" t="s">
        <v>47</v>
      </c>
      <c r="W3288" s="102" t="s">
        <v>136</v>
      </c>
      <c r="X3288" s="102" t="s">
        <v>137</v>
      </c>
      <c r="Y3288" s="103" t="s">
        <v>138</v>
      </c>
      <c r="Z3288" s="103" t="s">
        <v>139</v>
      </c>
      <c r="AA3288" s="103" t="s">
        <v>47</v>
      </c>
      <c r="AB3288" s="103" t="s">
        <v>140</v>
      </c>
      <c r="AC3288" s="104" t="s">
        <v>141</v>
      </c>
    </row>
    <row r="3289" spans="1:29" ht="25.5" customHeight="1" x14ac:dyDescent="0.35">
      <c r="A3289" s="188"/>
      <c r="B3289" s="190"/>
      <c r="C3289" s="99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0"/>
      <c r="E3289" s="78" t="str">
        <f>IF(C3289="","",IFERROR(VLOOKUP(C3289,parametros!$A$11:$E$15,5,0),""))</f>
        <v/>
      </c>
      <c r="F3289" s="79" t="str">
        <f t="shared" si="257"/>
        <v/>
      </c>
      <c r="G3289" s="101"/>
      <c r="H3289" s="91">
        <f t="shared" si="258"/>
        <v>0</v>
      </c>
      <c r="I3289" s="91" t="str">
        <f t="shared" si="259"/>
        <v/>
      </c>
      <c r="J3289" s="91" t="str">
        <f t="shared" si="260"/>
        <v/>
      </c>
      <c r="K3289" s="92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2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58"/>
      <c r="U3289" s="217" t="str">
        <f t="shared" si="261"/>
        <v/>
      </c>
      <c r="V3289" s="215" t="s">
        <v>47</v>
      </c>
      <c r="W3289" s="102" t="s">
        <v>136</v>
      </c>
      <c r="X3289" s="102" t="s">
        <v>137</v>
      </c>
      <c r="Y3289" s="103" t="s">
        <v>138</v>
      </c>
      <c r="Z3289" s="103" t="s">
        <v>139</v>
      </c>
      <c r="AA3289" s="103" t="s">
        <v>47</v>
      </c>
      <c r="AB3289" s="103" t="s">
        <v>140</v>
      </c>
      <c r="AC3289" s="104" t="s">
        <v>141</v>
      </c>
    </row>
    <row r="3290" spans="1:29" ht="25.5" customHeight="1" x14ac:dyDescent="0.35">
      <c r="A3290" s="188"/>
      <c r="B3290" s="190"/>
      <c r="C3290" s="99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0"/>
      <c r="E3290" s="78" t="str">
        <f>IF(C3290="","",IFERROR(VLOOKUP(C3290,parametros!$A$11:$E$15,5,0),""))</f>
        <v/>
      </c>
      <c r="F3290" s="79" t="str">
        <f t="shared" si="257"/>
        <v/>
      </c>
      <c r="G3290" s="101"/>
      <c r="H3290" s="91">
        <f t="shared" si="258"/>
        <v>0</v>
      </c>
      <c r="I3290" s="91" t="str">
        <f t="shared" si="259"/>
        <v/>
      </c>
      <c r="J3290" s="91" t="str">
        <f t="shared" si="260"/>
        <v/>
      </c>
      <c r="K3290" s="92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2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58"/>
      <c r="U3290" s="217" t="str">
        <f t="shared" si="261"/>
        <v/>
      </c>
      <c r="V3290" s="215" t="s">
        <v>47</v>
      </c>
      <c r="W3290" s="102" t="s">
        <v>136</v>
      </c>
      <c r="X3290" s="102" t="s">
        <v>137</v>
      </c>
      <c r="Y3290" s="103" t="s">
        <v>138</v>
      </c>
      <c r="Z3290" s="103" t="s">
        <v>139</v>
      </c>
      <c r="AA3290" s="103" t="s">
        <v>47</v>
      </c>
      <c r="AB3290" s="103" t="s">
        <v>140</v>
      </c>
      <c r="AC3290" s="104" t="s">
        <v>141</v>
      </c>
    </row>
    <row r="3291" spans="1:29" ht="25.5" customHeight="1" x14ac:dyDescent="0.35">
      <c r="A3291" s="188"/>
      <c r="B3291" s="190"/>
      <c r="C3291" s="99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0"/>
      <c r="E3291" s="78" t="str">
        <f>IF(C3291="","",IFERROR(VLOOKUP(C3291,parametros!$A$11:$E$15,5,0),""))</f>
        <v/>
      </c>
      <c r="F3291" s="79" t="str">
        <f t="shared" si="257"/>
        <v/>
      </c>
      <c r="G3291" s="101"/>
      <c r="H3291" s="91">
        <f t="shared" si="258"/>
        <v>0</v>
      </c>
      <c r="I3291" s="91" t="str">
        <f t="shared" si="259"/>
        <v/>
      </c>
      <c r="J3291" s="91" t="str">
        <f t="shared" si="260"/>
        <v/>
      </c>
      <c r="K3291" s="92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2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58"/>
      <c r="U3291" s="217" t="str">
        <f t="shared" si="261"/>
        <v/>
      </c>
      <c r="V3291" s="215" t="s">
        <v>47</v>
      </c>
      <c r="W3291" s="102" t="s">
        <v>136</v>
      </c>
      <c r="X3291" s="102" t="s">
        <v>137</v>
      </c>
      <c r="Y3291" s="103" t="s">
        <v>138</v>
      </c>
      <c r="Z3291" s="103" t="s">
        <v>139</v>
      </c>
      <c r="AA3291" s="103" t="s">
        <v>47</v>
      </c>
      <c r="AB3291" s="103" t="s">
        <v>140</v>
      </c>
      <c r="AC3291" s="104" t="s">
        <v>141</v>
      </c>
    </row>
    <row r="3292" spans="1:29" ht="25.5" customHeight="1" x14ac:dyDescent="0.35">
      <c r="A3292" s="188"/>
      <c r="B3292" s="190"/>
      <c r="C3292" s="99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0"/>
      <c r="E3292" s="78" t="str">
        <f>IF(C3292="","",IFERROR(VLOOKUP(C3292,parametros!$A$11:$E$15,5,0),""))</f>
        <v/>
      </c>
      <c r="F3292" s="79" t="str">
        <f t="shared" si="257"/>
        <v/>
      </c>
      <c r="G3292" s="101"/>
      <c r="H3292" s="91">
        <f t="shared" si="258"/>
        <v>0</v>
      </c>
      <c r="I3292" s="91" t="str">
        <f t="shared" si="259"/>
        <v/>
      </c>
      <c r="J3292" s="91" t="str">
        <f t="shared" si="260"/>
        <v/>
      </c>
      <c r="K3292" s="92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2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58"/>
      <c r="U3292" s="217" t="str">
        <f t="shared" si="261"/>
        <v/>
      </c>
      <c r="V3292" s="215" t="s">
        <v>47</v>
      </c>
      <c r="W3292" s="102" t="s">
        <v>136</v>
      </c>
      <c r="X3292" s="102" t="s">
        <v>137</v>
      </c>
      <c r="Y3292" s="103" t="s">
        <v>138</v>
      </c>
      <c r="Z3292" s="103" t="s">
        <v>139</v>
      </c>
      <c r="AA3292" s="103" t="s">
        <v>47</v>
      </c>
      <c r="AB3292" s="103" t="s">
        <v>140</v>
      </c>
      <c r="AC3292" s="104" t="s">
        <v>141</v>
      </c>
    </row>
    <row r="3293" spans="1:29" ht="25.5" customHeight="1" x14ac:dyDescent="0.35">
      <c r="A3293" s="188"/>
      <c r="B3293" s="190"/>
      <c r="C3293" s="99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0"/>
      <c r="E3293" s="78" t="str">
        <f>IF(C3293="","",IFERROR(VLOOKUP(C3293,parametros!$A$11:$E$15,5,0),""))</f>
        <v/>
      </c>
      <c r="F3293" s="79" t="str">
        <f t="shared" si="257"/>
        <v/>
      </c>
      <c r="G3293" s="101"/>
      <c r="H3293" s="91">
        <f t="shared" si="258"/>
        <v>0</v>
      </c>
      <c r="I3293" s="91" t="str">
        <f t="shared" si="259"/>
        <v/>
      </c>
      <c r="J3293" s="91" t="str">
        <f t="shared" si="260"/>
        <v/>
      </c>
      <c r="K3293" s="92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2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58"/>
      <c r="U3293" s="217" t="str">
        <f t="shared" si="261"/>
        <v/>
      </c>
      <c r="V3293" s="215" t="s">
        <v>47</v>
      </c>
      <c r="W3293" s="102" t="s">
        <v>136</v>
      </c>
      <c r="X3293" s="102" t="s">
        <v>137</v>
      </c>
      <c r="Y3293" s="103" t="s">
        <v>138</v>
      </c>
      <c r="Z3293" s="103" t="s">
        <v>139</v>
      </c>
      <c r="AA3293" s="103" t="s">
        <v>47</v>
      </c>
      <c r="AB3293" s="103" t="s">
        <v>140</v>
      </c>
      <c r="AC3293" s="104" t="s">
        <v>141</v>
      </c>
    </row>
    <row r="3294" spans="1:29" ht="25.5" customHeight="1" x14ac:dyDescent="0.35">
      <c r="A3294" s="188"/>
      <c r="B3294" s="190"/>
      <c r="C3294" s="99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0"/>
      <c r="E3294" s="78" t="str">
        <f>IF(C3294="","",IFERROR(VLOOKUP(C3294,parametros!$A$11:$E$15,5,0),""))</f>
        <v/>
      </c>
      <c r="F3294" s="79" t="str">
        <f t="shared" si="257"/>
        <v/>
      </c>
      <c r="G3294" s="101"/>
      <c r="H3294" s="91">
        <f t="shared" si="258"/>
        <v>0</v>
      </c>
      <c r="I3294" s="91" t="str">
        <f t="shared" si="259"/>
        <v/>
      </c>
      <c r="J3294" s="91" t="str">
        <f t="shared" si="260"/>
        <v/>
      </c>
      <c r="K3294" s="92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2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58"/>
      <c r="U3294" s="217" t="str">
        <f t="shared" si="261"/>
        <v/>
      </c>
      <c r="V3294" s="215" t="s">
        <v>47</v>
      </c>
      <c r="W3294" s="102" t="s">
        <v>136</v>
      </c>
      <c r="X3294" s="102" t="s">
        <v>137</v>
      </c>
      <c r="Y3294" s="103" t="s">
        <v>138</v>
      </c>
      <c r="Z3294" s="103" t="s">
        <v>139</v>
      </c>
      <c r="AA3294" s="103" t="s">
        <v>47</v>
      </c>
      <c r="AB3294" s="103" t="s">
        <v>140</v>
      </c>
      <c r="AC3294" s="104" t="s">
        <v>141</v>
      </c>
    </row>
    <row r="3295" spans="1:29" ht="25.5" customHeight="1" x14ac:dyDescent="0.35">
      <c r="A3295" s="188"/>
      <c r="B3295" s="190"/>
      <c r="C3295" s="99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0"/>
      <c r="E3295" s="78" t="str">
        <f>IF(C3295="","",IFERROR(VLOOKUP(C3295,parametros!$A$11:$E$15,5,0),""))</f>
        <v/>
      </c>
      <c r="F3295" s="79" t="str">
        <f t="shared" si="257"/>
        <v/>
      </c>
      <c r="G3295" s="101"/>
      <c r="H3295" s="91">
        <f t="shared" si="258"/>
        <v>0</v>
      </c>
      <c r="I3295" s="91" t="str">
        <f t="shared" si="259"/>
        <v/>
      </c>
      <c r="J3295" s="91" t="str">
        <f t="shared" si="260"/>
        <v/>
      </c>
      <c r="K3295" s="92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2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58"/>
      <c r="U3295" s="217" t="str">
        <f t="shared" si="261"/>
        <v/>
      </c>
      <c r="V3295" s="215" t="s">
        <v>47</v>
      </c>
      <c r="W3295" s="102" t="s">
        <v>136</v>
      </c>
      <c r="X3295" s="102" t="s">
        <v>137</v>
      </c>
      <c r="Y3295" s="103" t="s">
        <v>138</v>
      </c>
      <c r="Z3295" s="103" t="s">
        <v>139</v>
      </c>
      <c r="AA3295" s="103" t="s">
        <v>47</v>
      </c>
      <c r="AB3295" s="103" t="s">
        <v>140</v>
      </c>
      <c r="AC3295" s="104" t="s">
        <v>141</v>
      </c>
    </row>
    <row r="3296" spans="1:29" ht="25.5" customHeight="1" x14ac:dyDescent="0.35">
      <c r="A3296" s="188"/>
      <c r="B3296" s="190"/>
      <c r="C3296" s="99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0"/>
      <c r="E3296" s="78" t="str">
        <f>IF(C3296="","",IFERROR(VLOOKUP(C3296,parametros!$A$11:$E$15,5,0),""))</f>
        <v/>
      </c>
      <c r="F3296" s="79" t="str">
        <f t="shared" si="257"/>
        <v/>
      </c>
      <c r="G3296" s="101"/>
      <c r="H3296" s="91">
        <f t="shared" si="258"/>
        <v>0</v>
      </c>
      <c r="I3296" s="91" t="str">
        <f t="shared" si="259"/>
        <v/>
      </c>
      <c r="J3296" s="91" t="str">
        <f t="shared" si="260"/>
        <v/>
      </c>
      <c r="K3296" s="92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2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58"/>
      <c r="U3296" s="217" t="str">
        <f t="shared" si="261"/>
        <v/>
      </c>
      <c r="V3296" s="215" t="s">
        <v>47</v>
      </c>
      <c r="W3296" s="102" t="s">
        <v>136</v>
      </c>
      <c r="X3296" s="102" t="s">
        <v>137</v>
      </c>
      <c r="Y3296" s="103" t="s">
        <v>138</v>
      </c>
      <c r="Z3296" s="103" t="s">
        <v>139</v>
      </c>
      <c r="AA3296" s="103" t="s">
        <v>47</v>
      </c>
      <c r="AB3296" s="103" t="s">
        <v>140</v>
      </c>
      <c r="AC3296" s="104" t="s">
        <v>141</v>
      </c>
    </row>
    <row r="3297" spans="1:29" ht="25.5" customHeight="1" x14ac:dyDescent="0.35">
      <c r="A3297" s="188"/>
      <c r="B3297" s="190"/>
      <c r="C3297" s="99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0"/>
      <c r="E3297" s="78" t="str">
        <f>IF(C3297="","",IFERROR(VLOOKUP(C3297,parametros!$A$11:$E$15,5,0),""))</f>
        <v/>
      </c>
      <c r="F3297" s="79" t="str">
        <f t="shared" si="257"/>
        <v/>
      </c>
      <c r="G3297" s="101"/>
      <c r="H3297" s="91">
        <f t="shared" si="258"/>
        <v>0</v>
      </c>
      <c r="I3297" s="91" t="str">
        <f t="shared" si="259"/>
        <v/>
      </c>
      <c r="J3297" s="91" t="str">
        <f t="shared" si="260"/>
        <v/>
      </c>
      <c r="K3297" s="92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2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58"/>
      <c r="U3297" s="217" t="str">
        <f t="shared" si="261"/>
        <v/>
      </c>
      <c r="V3297" s="215" t="s">
        <v>47</v>
      </c>
      <c r="W3297" s="102" t="s">
        <v>136</v>
      </c>
      <c r="X3297" s="102" t="s">
        <v>137</v>
      </c>
      <c r="Y3297" s="103" t="s">
        <v>138</v>
      </c>
      <c r="Z3297" s="103" t="s">
        <v>139</v>
      </c>
      <c r="AA3297" s="103" t="s">
        <v>47</v>
      </c>
      <c r="AB3297" s="103" t="s">
        <v>140</v>
      </c>
      <c r="AC3297" s="104" t="s">
        <v>141</v>
      </c>
    </row>
    <row r="3298" spans="1:29" ht="25.5" customHeight="1" x14ac:dyDescent="0.35">
      <c r="A3298" s="188"/>
      <c r="B3298" s="190"/>
      <c r="C3298" s="99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0"/>
      <c r="E3298" s="78" t="str">
        <f>IF(C3298="","",IFERROR(VLOOKUP(C3298,parametros!$A$11:$E$15,5,0),""))</f>
        <v/>
      </c>
      <c r="F3298" s="79" t="str">
        <f t="shared" si="257"/>
        <v/>
      </c>
      <c r="G3298" s="101"/>
      <c r="H3298" s="91">
        <f t="shared" si="258"/>
        <v>0</v>
      </c>
      <c r="I3298" s="91" t="str">
        <f t="shared" si="259"/>
        <v/>
      </c>
      <c r="J3298" s="91" t="str">
        <f t="shared" si="260"/>
        <v/>
      </c>
      <c r="K3298" s="92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2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58"/>
      <c r="U3298" s="217" t="str">
        <f t="shared" si="261"/>
        <v/>
      </c>
      <c r="V3298" s="215" t="s">
        <v>47</v>
      </c>
      <c r="W3298" s="102" t="s">
        <v>136</v>
      </c>
      <c r="X3298" s="102" t="s">
        <v>137</v>
      </c>
      <c r="Y3298" s="103" t="s">
        <v>138</v>
      </c>
      <c r="Z3298" s="103" t="s">
        <v>139</v>
      </c>
      <c r="AA3298" s="103" t="s">
        <v>47</v>
      </c>
      <c r="AB3298" s="103" t="s">
        <v>140</v>
      </c>
      <c r="AC3298" s="104" t="s">
        <v>141</v>
      </c>
    </row>
    <row r="3299" spans="1:29" ht="25.5" customHeight="1" x14ac:dyDescent="0.35">
      <c r="A3299" s="188"/>
      <c r="B3299" s="190"/>
      <c r="C3299" s="99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0"/>
      <c r="E3299" s="78" t="str">
        <f>IF(C3299="","",IFERROR(VLOOKUP(C3299,parametros!$A$11:$E$15,5,0),""))</f>
        <v/>
      </c>
      <c r="F3299" s="79" t="str">
        <f t="shared" si="257"/>
        <v/>
      </c>
      <c r="G3299" s="101"/>
      <c r="H3299" s="91">
        <f t="shared" si="258"/>
        <v>0</v>
      </c>
      <c r="I3299" s="91" t="str">
        <f t="shared" si="259"/>
        <v/>
      </c>
      <c r="J3299" s="91" t="str">
        <f t="shared" si="260"/>
        <v/>
      </c>
      <c r="K3299" s="92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2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58"/>
      <c r="U3299" s="217" t="str">
        <f t="shared" si="261"/>
        <v/>
      </c>
      <c r="V3299" s="215" t="s">
        <v>47</v>
      </c>
      <c r="W3299" s="102" t="s">
        <v>136</v>
      </c>
      <c r="X3299" s="102" t="s">
        <v>137</v>
      </c>
      <c r="Y3299" s="103" t="s">
        <v>138</v>
      </c>
      <c r="Z3299" s="103" t="s">
        <v>139</v>
      </c>
      <c r="AA3299" s="103" t="s">
        <v>47</v>
      </c>
      <c r="AB3299" s="103" t="s">
        <v>140</v>
      </c>
      <c r="AC3299" s="104" t="s">
        <v>141</v>
      </c>
    </row>
    <row r="3300" spans="1:29" ht="25.5" customHeight="1" x14ac:dyDescent="0.35">
      <c r="A3300" s="188"/>
      <c r="B3300" s="190"/>
      <c r="C3300" s="99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0"/>
      <c r="E3300" s="78" t="str">
        <f>IF(C3300="","",IFERROR(VLOOKUP(C3300,parametros!$A$11:$E$15,5,0),""))</f>
        <v/>
      </c>
      <c r="F3300" s="79" t="str">
        <f t="shared" si="257"/>
        <v/>
      </c>
      <c r="G3300" s="101"/>
      <c r="H3300" s="91">
        <f t="shared" si="258"/>
        <v>0</v>
      </c>
      <c r="I3300" s="91" t="str">
        <f t="shared" si="259"/>
        <v/>
      </c>
      <c r="J3300" s="91" t="str">
        <f t="shared" si="260"/>
        <v/>
      </c>
      <c r="K3300" s="92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2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58"/>
      <c r="U3300" s="217" t="str">
        <f t="shared" si="261"/>
        <v/>
      </c>
      <c r="V3300" s="215" t="s">
        <v>47</v>
      </c>
      <c r="W3300" s="102" t="s">
        <v>136</v>
      </c>
      <c r="X3300" s="102" t="s">
        <v>137</v>
      </c>
      <c r="Y3300" s="103" t="s">
        <v>138</v>
      </c>
      <c r="Z3300" s="103" t="s">
        <v>139</v>
      </c>
      <c r="AA3300" s="103" t="s">
        <v>47</v>
      </c>
      <c r="AB3300" s="103" t="s">
        <v>140</v>
      </c>
      <c r="AC3300" s="104" t="s">
        <v>141</v>
      </c>
    </row>
    <row r="3301" spans="1:29" ht="25.5" customHeight="1" x14ac:dyDescent="0.35">
      <c r="A3301" s="188"/>
      <c r="B3301" s="190"/>
      <c r="C3301" s="99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0"/>
      <c r="E3301" s="78" t="str">
        <f>IF(C3301="","",IFERROR(VLOOKUP(C3301,parametros!$A$11:$E$15,5,0),""))</f>
        <v/>
      </c>
      <c r="F3301" s="79" t="str">
        <f t="shared" si="257"/>
        <v/>
      </c>
      <c r="G3301" s="101"/>
      <c r="H3301" s="91">
        <f t="shared" si="258"/>
        <v>0</v>
      </c>
      <c r="I3301" s="91" t="str">
        <f t="shared" si="259"/>
        <v/>
      </c>
      <c r="J3301" s="91" t="str">
        <f t="shared" si="260"/>
        <v/>
      </c>
      <c r="K3301" s="92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2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58"/>
      <c r="U3301" s="217" t="str">
        <f t="shared" si="261"/>
        <v/>
      </c>
      <c r="V3301" s="215" t="s">
        <v>47</v>
      </c>
      <c r="W3301" s="102" t="s">
        <v>136</v>
      </c>
      <c r="X3301" s="102" t="s">
        <v>137</v>
      </c>
      <c r="Y3301" s="103" t="s">
        <v>138</v>
      </c>
      <c r="Z3301" s="103" t="s">
        <v>139</v>
      </c>
      <c r="AA3301" s="103" t="s">
        <v>47</v>
      </c>
      <c r="AB3301" s="103" t="s">
        <v>140</v>
      </c>
      <c r="AC3301" s="104" t="s">
        <v>141</v>
      </c>
    </row>
    <row r="3302" spans="1:29" ht="25.5" customHeight="1" x14ac:dyDescent="0.35">
      <c r="A3302" s="188"/>
      <c r="B3302" s="190"/>
      <c r="C3302" s="99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0"/>
      <c r="E3302" s="78" t="str">
        <f>IF(C3302="","",IFERROR(VLOOKUP(C3302,parametros!$A$11:$E$15,5,0),""))</f>
        <v/>
      </c>
      <c r="F3302" s="79" t="str">
        <f t="shared" si="257"/>
        <v/>
      </c>
      <c r="G3302" s="101"/>
      <c r="H3302" s="91">
        <f t="shared" si="258"/>
        <v>0</v>
      </c>
      <c r="I3302" s="91" t="str">
        <f t="shared" si="259"/>
        <v/>
      </c>
      <c r="J3302" s="91" t="str">
        <f t="shared" si="260"/>
        <v/>
      </c>
      <c r="K3302" s="92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2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58"/>
      <c r="U3302" s="217" t="str">
        <f t="shared" si="261"/>
        <v/>
      </c>
      <c r="V3302" s="215" t="s">
        <v>47</v>
      </c>
      <c r="W3302" s="102" t="s">
        <v>136</v>
      </c>
      <c r="X3302" s="102" t="s">
        <v>137</v>
      </c>
      <c r="Y3302" s="103" t="s">
        <v>138</v>
      </c>
      <c r="Z3302" s="103" t="s">
        <v>139</v>
      </c>
      <c r="AA3302" s="103" t="s">
        <v>47</v>
      </c>
      <c r="AB3302" s="103" t="s">
        <v>140</v>
      </c>
      <c r="AC3302" s="104" t="s">
        <v>141</v>
      </c>
    </row>
    <row r="3303" spans="1:29" ht="25.5" customHeight="1" x14ac:dyDescent="0.35">
      <c r="A3303" s="188"/>
      <c r="B3303" s="190"/>
      <c r="C3303" s="99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0"/>
      <c r="E3303" s="78" t="str">
        <f>IF(C3303="","",IFERROR(VLOOKUP(C3303,parametros!$A$11:$E$15,5,0),""))</f>
        <v/>
      </c>
      <c r="F3303" s="79" t="str">
        <f t="shared" si="257"/>
        <v/>
      </c>
      <c r="G3303" s="101"/>
      <c r="H3303" s="91">
        <f t="shared" si="258"/>
        <v>0</v>
      </c>
      <c r="I3303" s="91" t="str">
        <f t="shared" si="259"/>
        <v/>
      </c>
      <c r="J3303" s="91" t="str">
        <f t="shared" si="260"/>
        <v/>
      </c>
      <c r="K3303" s="92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2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58"/>
      <c r="U3303" s="217" t="str">
        <f t="shared" si="261"/>
        <v/>
      </c>
      <c r="V3303" s="215" t="s">
        <v>47</v>
      </c>
      <c r="W3303" s="102" t="s">
        <v>136</v>
      </c>
      <c r="X3303" s="102" t="s">
        <v>137</v>
      </c>
      <c r="Y3303" s="103" t="s">
        <v>138</v>
      </c>
      <c r="Z3303" s="103" t="s">
        <v>139</v>
      </c>
      <c r="AA3303" s="103" t="s">
        <v>47</v>
      </c>
      <c r="AB3303" s="103" t="s">
        <v>140</v>
      </c>
      <c r="AC3303" s="104" t="s">
        <v>141</v>
      </c>
    </row>
    <row r="3304" spans="1:29" ht="25.5" customHeight="1" x14ac:dyDescent="0.35">
      <c r="A3304" s="188"/>
      <c r="B3304" s="190"/>
      <c r="C3304" s="99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0"/>
      <c r="E3304" s="78" t="str">
        <f>IF(C3304="","",IFERROR(VLOOKUP(C3304,parametros!$A$11:$E$15,5,0),""))</f>
        <v/>
      </c>
      <c r="F3304" s="79" t="str">
        <f t="shared" si="257"/>
        <v/>
      </c>
      <c r="G3304" s="101"/>
      <c r="H3304" s="91">
        <f t="shared" si="258"/>
        <v>0</v>
      </c>
      <c r="I3304" s="91" t="str">
        <f t="shared" si="259"/>
        <v/>
      </c>
      <c r="J3304" s="91" t="str">
        <f t="shared" si="260"/>
        <v/>
      </c>
      <c r="K3304" s="92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2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58"/>
      <c r="U3304" s="217" t="str">
        <f t="shared" si="261"/>
        <v/>
      </c>
      <c r="V3304" s="215" t="s">
        <v>47</v>
      </c>
      <c r="W3304" s="102" t="s">
        <v>136</v>
      </c>
      <c r="X3304" s="102" t="s">
        <v>137</v>
      </c>
      <c r="Y3304" s="103" t="s">
        <v>138</v>
      </c>
      <c r="Z3304" s="103" t="s">
        <v>139</v>
      </c>
      <c r="AA3304" s="103" t="s">
        <v>47</v>
      </c>
      <c r="AB3304" s="103" t="s">
        <v>140</v>
      </c>
      <c r="AC3304" s="104" t="s">
        <v>141</v>
      </c>
    </row>
    <row r="3305" spans="1:29" ht="25.5" customHeight="1" x14ac:dyDescent="0.35">
      <c r="A3305" s="188"/>
      <c r="B3305" s="190"/>
      <c r="C3305" s="99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0"/>
      <c r="E3305" s="78" t="str">
        <f>IF(C3305="","",IFERROR(VLOOKUP(C3305,parametros!$A$11:$E$15,5,0),""))</f>
        <v/>
      </c>
      <c r="F3305" s="79" t="str">
        <f t="shared" si="257"/>
        <v/>
      </c>
      <c r="G3305" s="101"/>
      <c r="H3305" s="91">
        <f t="shared" si="258"/>
        <v>0</v>
      </c>
      <c r="I3305" s="91" t="str">
        <f t="shared" si="259"/>
        <v/>
      </c>
      <c r="J3305" s="91" t="str">
        <f t="shared" si="260"/>
        <v/>
      </c>
      <c r="K3305" s="92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2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58"/>
      <c r="U3305" s="217" t="str">
        <f t="shared" si="261"/>
        <v/>
      </c>
      <c r="V3305" s="215" t="s">
        <v>47</v>
      </c>
      <c r="W3305" s="102" t="s">
        <v>136</v>
      </c>
      <c r="X3305" s="102" t="s">
        <v>137</v>
      </c>
      <c r="Y3305" s="103" t="s">
        <v>138</v>
      </c>
      <c r="Z3305" s="103" t="s">
        <v>139</v>
      </c>
      <c r="AA3305" s="103" t="s">
        <v>47</v>
      </c>
      <c r="AB3305" s="103" t="s">
        <v>140</v>
      </c>
      <c r="AC3305" s="104" t="s">
        <v>141</v>
      </c>
    </row>
    <row r="3306" spans="1:29" ht="25.5" customHeight="1" x14ac:dyDescent="0.35">
      <c r="A3306" s="188"/>
      <c r="B3306" s="190"/>
      <c r="C3306" s="99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0"/>
      <c r="E3306" s="78" t="str">
        <f>IF(C3306="","",IFERROR(VLOOKUP(C3306,parametros!$A$11:$E$15,5,0),""))</f>
        <v/>
      </c>
      <c r="F3306" s="79" t="str">
        <f t="shared" si="257"/>
        <v/>
      </c>
      <c r="G3306" s="101"/>
      <c r="H3306" s="91">
        <f t="shared" si="258"/>
        <v>0</v>
      </c>
      <c r="I3306" s="91" t="str">
        <f t="shared" si="259"/>
        <v/>
      </c>
      <c r="J3306" s="91" t="str">
        <f t="shared" si="260"/>
        <v/>
      </c>
      <c r="K3306" s="92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2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58"/>
      <c r="U3306" s="217" t="str">
        <f t="shared" si="261"/>
        <v/>
      </c>
      <c r="V3306" s="215" t="s">
        <v>47</v>
      </c>
      <c r="W3306" s="102" t="s">
        <v>136</v>
      </c>
      <c r="X3306" s="102" t="s">
        <v>137</v>
      </c>
      <c r="Y3306" s="103" t="s">
        <v>138</v>
      </c>
      <c r="Z3306" s="103" t="s">
        <v>139</v>
      </c>
      <c r="AA3306" s="103" t="s">
        <v>47</v>
      </c>
      <c r="AB3306" s="103" t="s">
        <v>140</v>
      </c>
      <c r="AC3306" s="104" t="s">
        <v>141</v>
      </c>
    </row>
    <row r="3307" spans="1:29" ht="25.5" customHeight="1" x14ac:dyDescent="0.35">
      <c r="A3307" s="188"/>
      <c r="B3307" s="190"/>
      <c r="C3307" s="99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0"/>
      <c r="E3307" s="78" t="str">
        <f>IF(C3307="","",IFERROR(VLOOKUP(C3307,parametros!$A$11:$E$15,5,0),""))</f>
        <v/>
      </c>
      <c r="F3307" s="79" t="str">
        <f t="shared" si="257"/>
        <v/>
      </c>
      <c r="G3307" s="101"/>
      <c r="H3307" s="91">
        <f t="shared" si="258"/>
        <v>0</v>
      </c>
      <c r="I3307" s="91" t="str">
        <f t="shared" si="259"/>
        <v/>
      </c>
      <c r="J3307" s="91" t="str">
        <f t="shared" si="260"/>
        <v/>
      </c>
      <c r="K3307" s="92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2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58"/>
      <c r="U3307" s="217" t="str">
        <f t="shared" si="261"/>
        <v/>
      </c>
      <c r="V3307" s="215" t="s">
        <v>47</v>
      </c>
      <c r="W3307" s="102" t="s">
        <v>136</v>
      </c>
      <c r="X3307" s="102" t="s">
        <v>137</v>
      </c>
      <c r="Y3307" s="103" t="s">
        <v>138</v>
      </c>
      <c r="Z3307" s="103" t="s">
        <v>139</v>
      </c>
      <c r="AA3307" s="103" t="s">
        <v>47</v>
      </c>
      <c r="AB3307" s="103" t="s">
        <v>140</v>
      </c>
      <c r="AC3307" s="104" t="s">
        <v>141</v>
      </c>
    </row>
    <row r="3308" spans="1:29" ht="25.5" customHeight="1" x14ac:dyDescent="0.35">
      <c r="A3308" s="188"/>
      <c r="B3308" s="190"/>
      <c r="C3308" s="99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0"/>
      <c r="E3308" s="78" t="str">
        <f>IF(C3308="","",IFERROR(VLOOKUP(C3308,parametros!$A$11:$E$15,5,0),""))</f>
        <v/>
      </c>
      <c r="F3308" s="79" t="str">
        <f t="shared" si="257"/>
        <v/>
      </c>
      <c r="G3308" s="101"/>
      <c r="H3308" s="91">
        <f t="shared" si="258"/>
        <v>0</v>
      </c>
      <c r="I3308" s="91" t="str">
        <f t="shared" si="259"/>
        <v/>
      </c>
      <c r="J3308" s="91" t="str">
        <f t="shared" si="260"/>
        <v/>
      </c>
      <c r="K3308" s="92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2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58"/>
      <c r="U3308" s="217" t="str">
        <f t="shared" si="261"/>
        <v/>
      </c>
      <c r="V3308" s="215" t="s">
        <v>47</v>
      </c>
      <c r="W3308" s="102" t="s">
        <v>136</v>
      </c>
      <c r="X3308" s="102" t="s">
        <v>137</v>
      </c>
      <c r="Y3308" s="103" t="s">
        <v>138</v>
      </c>
      <c r="Z3308" s="103" t="s">
        <v>139</v>
      </c>
      <c r="AA3308" s="103" t="s">
        <v>47</v>
      </c>
      <c r="AB3308" s="103" t="s">
        <v>140</v>
      </c>
      <c r="AC3308" s="104" t="s">
        <v>141</v>
      </c>
    </row>
    <row r="3309" spans="1:29" ht="25.5" customHeight="1" x14ac:dyDescent="0.35">
      <c r="A3309" s="188"/>
      <c r="B3309" s="190"/>
      <c r="C3309" s="99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0"/>
      <c r="E3309" s="78" t="str">
        <f>IF(C3309="","",IFERROR(VLOOKUP(C3309,parametros!$A$11:$E$15,5,0),""))</f>
        <v/>
      </c>
      <c r="F3309" s="79" t="str">
        <f t="shared" si="257"/>
        <v/>
      </c>
      <c r="G3309" s="101"/>
      <c r="H3309" s="91">
        <f t="shared" si="258"/>
        <v>0</v>
      </c>
      <c r="I3309" s="91" t="str">
        <f t="shared" si="259"/>
        <v/>
      </c>
      <c r="J3309" s="91" t="str">
        <f t="shared" si="260"/>
        <v/>
      </c>
      <c r="K3309" s="92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2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58"/>
      <c r="U3309" s="217" t="str">
        <f t="shared" si="261"/>
        <v/>
      </c>
      <c r="V3309" s="215" t="s">
        <v>47</v>
      </c>
      <c r="W3309" s="102" t="s">
        <v>136</v>
      </c>
      <c r="X3309" s="102" t="s">
        <v>137</v>
      </c>
      <c r="Y3309" s="103" t="s">
        <v>138</v>
      </c>
      <c r="Z3309" s="103" t="s">
        <v>139</v>
      </c>
      <c r="AA3309" s="103" t="s">
        <v>47</v>
      </c>
      <c r="AB3309" s="103" t="s">
        <v>140</v>
      </c>
      <c r="AC3309" s="104" t="s">
        <v>141</v>
      </c>
    </row>
    <row r="3310" spans="1:29" ht="25.5" customHeight="1" x14ac:dyDescent="0.35">
      <c r="A3310" s="188"/>
      <c r="B3310" s="190"/>
      <c r="C3310" s="99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0"/>
      <c r="E3310" s="78" t="str">
        <f>IF(C3310="","",IFERROR(VLOOKUP(C3310,parametros!$A$11:$E$15,5,0),""))</f>
        <v/>
      </c>
      <c r="F3310" s="79" t="str">
        <f t="shared" si="257"/>
        <v/>
      </c>
      <c r="G3310" s="101"/>
      <c r="H3310" s="91">
        <f t="shared" si="258"/>
        <v>0</v>
      </c>
      <c r="I3310" s="91" t="str">
        <f t="shared" si="259"/>
        <v/>
      </c>
      <c r="J3310" s="91" t="str">
        <f t="shared" si="260"/>
        <v/>
      </c>
      <c r="K3310" s="92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2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58"/>
      <c r="U3310" s="217" t="str">
        <f t="shared" si="261"/>
        <v/>
      </c>
      <c r="V3310" s="215" t="s">
        <v>47</v>
      </c>
      <c r="W3310" s="102" t="s">
        <v>136</v>
      </c>
      <c r="X3310" s="102" t="s">
        <v>137</v>
      </c>
      <c r="Y3310" s="103" t="s">
        <v>138</v>
      </c>
      <c r="Z3310" s="103" t="s">
        <v>139</v>
      </c>
      <c r="AA3310" s="103" t="s">
        <v>47</v>
      </c>
      <c r="AB3310" s="103" t="s">
        <v>140</v>
      </c>
      <c r="AC3310" s="104" t="s">
        <v>141</v>
      </c>
    </row>
    <row r="3311" spans="1:29" ht="25.5" customHeight="1" x14ac:dyDescent="0.35">
      <c r="A3311" s="188"/>
      <c r="B3311" s="190"/>
      <c r="C3311" s="99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0"/>
      <c r="E3311" s="78" t="str">
        <f>IF(C3311="","",IFERROR(VLOOKUP(C3311,parametros!$A$11:$E$15,5,0),""))</f>
        <v/>
      </c>
      <c r="F3311" s="79" t="str">
        <f t="shared" si="257"/>
        <v/>
      </c>
      <c r="G3311" s="101"/>
      <c r="H3311" s="91">
        <f t="shared" si="258"/>
        <v>0</v>
      </c>
      <c r="I3311" s="91" t="str">
        <f t="shared" si="259"/>
        <v/>
      </c>
      <c r="J3311" s="91" t="str">
        <f t="shared" si="260"/>
        <v/>
      </c>
      <c r="K3311" s="92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2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58"/>
      <c r="U3311" s="217" t="str">
        <f t="shared" si="261"/>
        <v/>
      </c>
      <c r="V3311" s="215" t="s">
        <v>47</v>
      </c>
      <c r="W3311" s="102" t="s">
        <v>136</v>
      </c>
      <c r="X3311" s="102" t="s">
        <v>137</v>
      </c>
      <c r="Y3311" s="103" t="s">
        <v>138</v>
      </c>
      <c r="Z3311" s="103" t="s">
        <v>139</v>
      </c>
      <c r="AA3311" s="103" t="s">
        <v>47</v>
      </c>
      <c r="AB3311" s="103" t="s">
        <v>140</v>
      </c>
      <c r="AC3311" s="104" t="s">
        <v>141</v>
      </c>
    </row>
    <row r="3312" spans="1:29" ht="25.5" customHeight="1" x14ac:dyDescent="0.35">
      <c r="A3312" s="188"/>
      <c r="B3312" s="190"/>
      <c r="C3312" s="99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0"/>
      <c r="E3312" s="78" t="str">
        <f>IF(C3312="","",IFERROR(VLOOKUP(C3312,parametros!$A$11:$E$15,5,0),""))</f>
        <v/>
      </c>
      <c r="F3312" s="79" t="str">
        <f t="shared" si="257"/>
        <v/>
      </c>
      <c r="G3312" s="101"/>
      <c r="H3312" s="91">
        <f t="shared" si="258"/>
        <v>0</v>
      </c>
      <c r="I3312" s="91" t="str">
        <f t="shared" si="259"/>
        <v/>
      </c>
      <c r="J3312" s="91" t="str">
        <f t="shared" si="260"/>
        <v/>
      </c>
      <c r="K3312" s="92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2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58"/>
      <c r="U3312" s="217" t="str">
        <f t="shared" si="261"/>
        <v/>
      </c>
      <c r="V3312" s="215" t="s">
        <v>47</v>
      </c>
      <c r="W3312" s="102" t="s">
        <v>136</v>
      </c>
      <c r="X3312" s="102" t="s">
        <v>137</v>
      </c>
      <c r="Y3312" s="103" t="s">
        <v>138</v>
      </c>
      <c r="Z3312" s="103" t="s">
        <v>139</v>
      </c>
      <c r="AA3312" s="103" t="s">
        <v>47</v>
      </c>
      <c r="AB3312" s="103" t="s">
        <v>140</v>
      </c>
      <c r="AC3312" s="104" t="s">
        <v>141</v>
      </c>
    </row>
    <row r="3313" spans="1:29" ht="25.5" customHeight="1" x14ac:dyDescent="0.35">
      <c r="A3313" s="188"/>
      <c r="B3313" s="190"/>
      <c r="C3313" s="99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0"/>
      <c r="E3313" s="78" t="str">
        <f>IF(C3313="","",IFERROR(VLOOKUP(C3313,parametros!$A$11:$E$15,5,0),""))</f>
        <v/>
      </c>
      <c r="F3313" s="79" t="str">
        <f t="shared" si="257"/>
        <v/>
      </c>
      <c r="G3313" s="101"/>
      <c r="H3313" s="91">
        <f t="shared" si="258"/>
        <v>0</v>
      </c>
      <c r="I3313" s="91" t="str">
        <f t="shared" si="259"/>
        <v/>
      </c>
      <c r="J3313" s="91" t="str">
        <f t="shared" si="260"/>
        <v/>
      </c>
      <c r="K3313" s="92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2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58"/>
      <c r="U3313" s="217" t="str">
        <f t="shared" si="261"/>
        <v/>
      </c>
      <c r="V3313" s="215" t="s">
        <v>47</v>
      </c>
      <c r="W3313" s="102" t="s">
        <v>136</v>
      </c>
      <c r="X3313" s="102" t="s">
        <v>137</v>
      </c>
      <c r="Y3313" s="103" t="s">
        <v>138</v>
      </c>
      <c r="Z3313" s="103" t="s">
        <v>139</v>
      </c>
      <c r="AA3313" s="103" t="s">
        <v>47</v>
      </c>
      <c r="AB3313" s="103" t="s">
        <v>140</v>
      </c>
      <c r="AC3313" s="104" t="s">
        <v>141</v>
      </c>
    </row>
    <row r="3314" spans="1:29" ht="25.5" customHeight="1" x14ac:dyDescent="0.35">
      <c r="A3314" s="188"/>
      <c r="B3314" s="190"/>
      <c r="C3314" s="99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0"/>
      <c r="E3314" s="78" t="str">
        <f>IF(C3314="","",IFERROR(VLOOKUP(C3314,parametros!$A$11:$E$15,5,0),""))</f>
        <v/>
      </c>
      <c r="F3314" s="79" t="str">
        <f t="shared" si="257"/>
        <v/>
      </c>
      <c r="G3314" s="101"/>
      <c r="H3314" s="91">
        <f t="shared" si="258"/>
        <v>0</v>
      </c>
      <c r="I3314" s="91" t="str">
        <f t="shared" si="259"/>
        <v/>
      </c>
      <c r="J3314" s="91" t="str">
        <f t="shared" si="260"/>
        <v/>
      </c>
      <c r="K3314" s="92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2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58"/>
      <c r="U3314" s="217" t="str">
        <f t="shared" si="261"/>
        <v/>
      </c>
      <c r="V3314" s="215" t="s">
        <v>47</v>
      </c>
      <c r="W3314" s="102" t="s">
        <v>136</v>
      </c>
      <c r="X3314" s="102" t="s">
        <v>137</v>
      </c>
      <c r="Y3314" s="103" t="s">
        <v>138</v>
      </c>
      <c r="Z3314" s="103" t="s">
        <v>139</v>
      </c>
      <c r="AA3314" s="103" t="s">
        <v>47</v>
      </c>
      <c r="AB3314" s="103" t="s">
        <v>140</v>
      </c>
      <c r="AC3314" s="104" t="s">
        <v>141</v>
      </c>
    </row>
    <row r="3315" spans="1:29" ht="25.5" customHeight="1" x14ac:dyDescent="0.35">
      <c r="A3315" s="188"/>
      <c r="B3315" s="190"/>
      <c r="C3315" s="99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0"/>
      <c r="E3315" s="78" t="str">
        <f>IF(C3315="","",IFERROR(VLOOKUP(C3315,parametros!$A$11:$E$15,5,0),""))</f>
        <v/>
      </c>
      <c r="F3315" s="79" t="str">
        <f t="shared" si="257"/>
        <v/>
      </c>
      <c r="G3315" s="101"/>
      <c r="H3315" s="91">
        <f t="shared" si="258"/>
        <v>0</v>
      </c>
      <c r="I3315" s="91" t="str">
        <f t="shared" si="259"/>
        <v/>
      </c>
      <c r="J3315" s="91" t="str">
        <f t="shared" si="260"/>
        <v/>
      </c>
      <c r="K3315" s="92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2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58"/>
      <c r="U3315" s="217" t="str">
        <f t="shared" si="261"/>
        <v/>
      </c>
      <c r="V3315" s="215" t="s">
        <v>47</v>
      </c>
      <c r="W3315" s="102" t="s">
        <v>136</v>
      </c>
      <c r="X3315" s="102" t="s">
        <v>137</v>
      </c>
      <c r="Y3315" s="103" t="s">
        <v>138</v>
      </c>
      <c r="Z3315" s="103" t="s">
        <v>139</v>
      </c>
      <c r="AA3315" s="103" t="s">
        <v>47</v>
      </c>
      <c r="AB3315" s="103" t="s">
        <v>140</v>
      </c>
      <c r="AC3315" s="104" t="s">
        <v>141</v>
      </c>
    </row>
    <row r="3316" spans="1:29" ht="25.5" customHeight="1" x14ac:dyDescent="0.35">
      <c r="A3316" s="188"/>
      <c r="B3316" s="190"/>
      <c r="C3316" s="99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0"/>
      <c r="E3316" s="78" t="str">
        <f>IF(C3316="","",IFERROR(VLOOKUP(C3316,parametros!$A$11:$E$15,5,0),""))</f>
        <v/>
      </c>
      <c r="F3316" s="79" t="str">
        <f t="shared" si="257"/>
        <v/>
      </c>
      <c r="G3316" s="101"/>
      <c r="H3316" s="91">
        <f t="shared" si="258"/>
        <v>0</v>
      </c>
      <c r="I3316" s="91" t="str">
        <f t="shared" si="259"/>
        <v/>
      </c>
      <c r="J3316" s="91" t="str">
        <f t="shared" si="260"/>
        <v/>
      </c>
      <c r="K3316" s="92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2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58"/>
      <c r="U3316" s="217" t="str">
        <f t="shared" si="261"/>
        <v/>
      </c>
      <c r="V3316" s="215" t="s">
        <v>47</v>
      </c>
      <c r="W3316" s="102" t="s">
        <v>136</v>
      </c>
      <c r="X3316" s="102" t="s">
        <v>137</v>
      </c>
      <c r="Y3316" s="103" t="s">
        <v>138</v>
      </c>
      <c r="Z3316" s="103" t="s">
        <v>139</v>
      </c>
      <c r="AA3316" s="103" t="s">
        <v>47</v>
      </c>
      <c r="AB3316" s="103" t="s">
        <v>140</v>
      </c>
      <c r="AC3316" s="104" t="s">
        <v>141</v>
      </c>
    </row>
    <row r="3317" spans="1:29" ht="25.5" customHeight="1" x14ac:dyDescent="0.35">
      <c r="A3317" s="188"/>
      <c r="B3317" s="190"/>
      <c r="C3317" s="99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0"/>
      <c r="E3317" s="78" t="str">
        <f>IF(C3317="","",IFERROR(VLOOKUP(C3317,parametros!$A$11:$E$15,5,0),""))</f>
        <v/>
      </c>
      <c r="F3317" s="79" t="str">
        <f t="shared" si="257"/>
        <v/>
      </c>
      <c r="G3317" s="101"/>
      <c r="H3317" s="91">
        <f t="shared" si="258"/>
        <v>0</v>
      </c>
      <c r="I3317" s="91" t="str">
        <f t="shared" si="259"/>
        <v/>
      </c>
      <c r="J3317" s="91" t="str">
        <f t="shared" si="260"/>
        <v/>
      </c>
      <c r="K3317" s="92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2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58"/>
      <c r="U3317" s="217" t="str">
        <f t="shared" si="261"/>
        <v/>
      </c>
      <c r="V3317" s="215" t="s">
        <v>47</v>
      </c>
      <c r="W3317" s="102" t="s">
        <v>136</v>
      </c>
      <c r="X3317" s="102" t="s">
        <v>137</v>
      </c>
      <c r="Y3317" s="103" t="s">
        <v>138</v>
      </c>
      <c r="Z3317" s="103" t="s">
        <v>139</v>
      </c>
      <c r="AA3317" s="103" t="s">
        <v>47</v>
      </c>
      <c r="AB3317" s="103" t="s">
        <v>140</v>
      </c>
      <c r="AC3317" s="104" t="s">
        <v>141</v>
      </c>
    </row>
    <row r="3318" spans="1:29" ht="25.5" customHeight="1" x14ac:dyDescent="0.35">
      <c r="A3318" s="188"/>
      <c r="B3318" s="190"/>
      <c r="C3318" s="99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0"/>
      <c r="E3318" s="78" t="str">
        <f>IF(C3318="","",IFERROR(VLOOKUP(C3318,parametros!$A$11:$E$15,5,0),""))</f>
        <v/>
      </c>
      <c r="F3318" s="79" t="str">
        <f t="shared" si="257"/>
        <v/>
      </c>
      <c r="G3318" s="101"/>
      <c r="H3318" s="91">
        <f t="shared" si="258"/>
        <v>0</v>
      </c>
      <c r="I3318" s="91" t="str">
        <f t="shared" si="259"/>
        <v/>
      </c>
      <c r="J3318" s="91" t="str">
        <f t="shared" si="260"/>
        <v/>
      </c>
      <c r="K3318" s="92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2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58"/>
      <c r="U3318" s="217" t="str">
        <f t="shared" si="261"/>
        <v/>
      </c>
      <c r="V3318" s="215" t="s">
        <v>47</v>
      </c>
      <c r="W3318" s="102" t="s">
        <v>136</v>
      </c>
      <c r="X3318" s="102" t="s">
        <v>137</v>
      </c>
      <c r="Y3318" s="103" t="s">
        <v>138</v>
      </c>
      <c r="Z3318" s="103" t="s">
        <v>139</v>
      </c>
      <c r="AA3318" s="103" t="s">
        <v>47</v>
      </c>
      <c r="AB3318" s="103" t="s">
        <v>140</v>
      </c>
      <c r="AC3318" s="104" t="s">
        <v>141</v>
      </c>
    </row>
    <row r="3319" spans="1:29" ht="25.5" customHeight="1" x14ac:dyDescent="0.35">
      <c r="A3319" s="188"/>
      <c r="B3319" s="190"/>
      <c r="C3319" s="99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0"/>
      <c r="E3319" s="78" t="str">
        <f>IF(C3319="","",IFERROR(VLOOKUP(C3319,parametros!$A$11:$E$15,5,0),""))</f>
        <v/>
      </c>
      <c r="F3319" s="79" t="str">
        <f t="shared" si="257"/>
        <v/>
      </c>
      <c r="G3319" s="101"/>
      <c r="H3319" s="91">
        <f t="shared" si="258"/>
        <v>0</v>
      </c>
      <c r="I3319" s="91" t="str">
        <f t="shared" si="259"/>
        <v/>
      </c>
      <c r="J3319" s="91" t="str">
        <f t="shared" si="260"/>
        <v/>
      </c>
      <c r="K3319" s="92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2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58"/>
      <c r="U3319" s="217" t="str">
        <f t="shared" si="261"/>
        <v/>
      </c>
      <c r="V3319" s="215" t="s">
        <v>47</v>
      </c>
      <c r="W3319" s="102" t="s">
        <v>136</v>
      </c>
      <c r="X3319" s="102" t="s">
        <v>137</v>
      </c>
      <c r="Y3319" s="103" t="s">
        <v>138</v>
      </c>
      <c r="Z3319" s="103" t="s">
        <v>139</v>
      </c>
      <c r="AA3319" s="103" t="s">
        <v>47</v>
      </c>
      <c r="AB3319" s="103" t="s">
        <v>140</v>
      </c>
      <c r="AC3319" s="104" t="s">
        <v>141</v>
      </c>
    </row>
    <row r="3320" spans="1:29" ht="25.5" customHeight="1" x14ac:dyDescent="0.35">
      <c r="A3320" s="188"/>
      <c r="B3320" s="190"/>
      <c r="C3320" s="99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0"/>
      <c r="E3320" s="78" t="str">
        <f>IF(C3320="","",IFERROR(VLOOKUP(C3320,parametros!$A$11:$E$15,5,0),""))</f>
        <v/>
      </c>
      <c r="F3320" s="79" t="str">
        <f t="shared" si="257"/>
        <v/>
      </c>
      <c r="G3320" s="101"/>
      <c r="H3320" s="91">
        <f t="shared" si="258"/>
        <v>0</v>
      </c>
      <c r="I3320" s="91" t="str">
        <f t="shared" si="259"/>
        <v/>
      </c>
      <c r="J3320" s="91" t="str">
        <f t="shared" si="260"/>
        <v/>
      </c>
      <c r="K3320" s="92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2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58"/>
      <c r="U3320" s="217" t="str">
        <f t="shared" si="261"/>
        <v/>
      </c>
      <c r="V3320" s="215" t="s">
        <v>47</v>
      </c>
      <c r="W3320" s="102" t="s">
        <v>136</v>
      </c>
      <c r="X3320" s="102" t="s">
        <v>137</v>
      </c>
      <c r="Y3320" s="103" t="s">
        <v>138</v>
      </c>
      <c r="Z3320" s="103" t="s">
        <v>139</v>
      </c>
      <c r="AA3320" s="103" t="s">
        <v>47</v>
      </c>
      <c r="AB3320" s="103" t="s">
        <v>140</v>
      </c>
      <c r="AC3320" s="104" t="s">
        <v>141</v>
      </c>
    </row>
    <row r="3321" spans="1:29" ht="25.5" customHeight="1" x14ac:dyDescent="0.35">
      <c r="A3321" s="188"/>
      <c r="B3321" s="190"/>
      <c r="C3321" s="99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0"/>
      <c r="E3321" s="78" t="str">
        <f>IF(C3321="","",IFERROR(VLOOKUP(C3321,parametros!$A$11:$E$15,5,0),""))</f>
        <v/>
      </c>
      <c r="F3321" s="79" t="str">
        <f t="shared" si="257"/>
        <v/>
      </c>
      <c r="G3321" s="101"/>
      <c r="H3321" s="91">
        <f t="shared" si="258"/>
        <v>0</v>
      </c>
      <c r="I3321" s="91" t="str">
        <f t="shared" si="259"/>
        <v/>
      </c>
      <c r="J3321" s="91" t="str">
        <f t="shared" si="260"/>
        <v/>
      </c>
      <c r="K3321" s="92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2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58"/>
      <c r="U3321" s="217" t="str">
        <f t="shared" si="261"/>
        <v/>
      </c>
      <c r="V3321" s="215" t="s">
        <v>47</v>
      </c>
      <c r="W3321" s="102" t="s">
        <v>136</v>
      </c>
      <c r="X3321" s="102" t="s">
        <v>137</v>
      </c>
      <c r="Y3321" s="103" t="s">
        <v>138</v>
      </c>
      <c r="Z3321" s="103" t="s">
        <v>139</v>
      </c>
      <c r="AA3321" s="103" t="s">
        <v>47</v>
      </c>
      <c r="AB3321" s="103" t="s">
        <v>140</v>
      </c>
      <c r="AC3321" s="104" t="s">
        <v>141</v>
      </c>
    </row>
    <row r="3322" spans="1:29" ht="25.5" customHeight="1" x14ac:dyDescent="0.35">
      <c r="A3322" s="188"/>
      <c r="B3322" s="190"/>
      <c r="C3322" s="99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0"/>
      <c r="E3322" s="78" t="str">
        <f>IF(C3322="","",IFERROR(VLOOKUP(C3322,parametros!$A$11:$E$15,5,0),""))</f>
        <v/>
      </c>
      <c r="F3322" s="79" t="str">
        <f t="shared" si="257"/>
        <v/>
      </c>
      <c r="G3322" s="101"/>
      <c r="H3322" s="91">
        <f t="shared" si="258"/>
        <v>0</v>
      </c>
      <c r="I3322" s="91" t="str">
        <f t="shared" si="259"/>
        <v/>
      </c>
      <c r="J3322" s="91" t="str">
        <f t="shared" si="260"/>
        <v/>
      </c>
      <c r="K3322" s="92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2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58"/>
      <c r="U3322" s="217" t="str">
        <f t="shared" si="261"/>
        <v/>
      </c>
      <c r="V3322" s="215" t="s">
        <v>47</v>
      </c>
      <c r="W3322" s="102" t="s">
        <v>136</v>
      </c>
      <c r="X3322" s="102" t="s">
        <v>137</v>
      </c>
      <c r="Y3322" s="103" t="s">
        <v>138</v>
      </c>
      <c r="Z3322" s="103" t="s">
        <v>139</v>
      </c>
      <c r="AA3322" s="103" t="s">
        <v>47</v>
      </c>
      <c r="AB3322" s="103" t="s">
        <v>140</v>
      </c>
      <c r="AC3322" s="104" t="s">
        <v>141</v>
      </c>
    </row>
    <row r="3323" spans="1:29" ht="25.5" customHeight="1" x14ac:dyDescent="0.35">
      <c r="A3323" s="188"/>
      <c r="B3323" s="190"/>
      <c r="C3323" s="99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0"/>
      <c r="E3323" s="78" t="str">
        <f>IF(C3323="","",IFERROR(VLOOKUP(C3323,parametros!$A$11:$E$15,5,0),""))</f>
        <v/>
      </c>
      <c r="F3323" s="79" t="str">
        <f t="shared" si="257"/>
        <v/>
      </c>
      <c r="G3323" s="101"/>
      <c r="H3323" s="91">
        <f t="shared" si="258"/>
        <v>0</v>
      </c>
      <c r="I3323" s="91" t="str">
        <f t="shared" si="259"/>
        <v/>
      </c>
      <c r="J3323" s="91" t="str">
        <f t="shared" si="260"/>
        <v/>
      </c>
      <c r="K3323" s="92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2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58"/>
      <c r="U3323" s="217" t="str">
        <f t="shared" si="261"/>
        <v/>
      </c>
      <c r="V3323" s="215" t="s">
        <v>47</v>
      </c>
      <c r="W3323" s="102" t="s">
        <v>136</v>
      </c>
      <c r="X3323" s="102" t="s">
        <v>137</v>
      </c>
      <c r="Y3323" s="103" t="s">
        <v>138</v>
      </c>
      <c r="Z3323" s="103" t="s">
        <v>139</v>
      </c>
      <c r="AA3323" s="103" t="s">
        <v>47</v>
      </c>
      <c r="AB3323" s="103" t="s">
        <v>140</v>
      </c>
      <c r="AC3323" s="104" t="s">
        <v>141</v>
      </c>
    </row>
    <row r="3324" spans="1:29" ht="25.5" customHeight="1" x14ac:dyDescent="0.35">
      <c r="A3324" s="188"/>
      <c r="B3324" s="190"/>
      <c r="C3324" s="99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0"/>
      <c r="E3324" s="78" t="str">
        <f>IF(C3324="","",IFERROR(VLOOKUP(C3324,parametros!$A$11:$E$15,5,0),""))</f>
        <v/>
      </c>
      <c r="F3324" s="79" t="str">
        <f t="shared" si="257"/>
        <v/>
      </c>
      <c r="G3324" s="101"/>
      <c r="H3324" s="91">
        <f t="shared" si="258"/>
        <v>0</v>
      </c>
      <c r="I3324" s="91" t="str">
        <f t="shared" si="259"/>
        <v/>
      </c>
      <c r="J3324" s="91" t="str">
        <f t="shared" si="260"/>
        <v/>
      </c>
      <c r="K3324" s="92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2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58"/>
      <c r="U3324" s="217" t="str">
        <f t="shared" si="261"/>
        <v/>
      </c>
      <c r="V3324" s="215" t="s">
        <v>47</v>
      </c>
      <c r="W3324" s="102" t="s">
        <v>136</v>
      </c>
      <c r="X3324" s="102" t="s">
        <v>137</v>
      </c>
      <c r="Y3324" s="103" t="s">
        <v>138</v>
      </c>
      <c r="Z3324" s="103" t="s">
        <v>139</v>
      </c>
      <c r="AA3324" s="103" t="s">
        <v>47</v>
      </c>
      <c r="AB3324" s="103" t="s">
        <v>140</v>
      </c>
      <c r="AC3324" s="104" t="s">
        <v>141</v>
      </c>
    </row>
    <row r="3325" spans="1:29" ht="25.5" customHeight="1" x14ac:dyDescent="0.35">
      <c r="A3325" s="188"/>
      <c r="B3325" s="190"/>
      <c r="C3325" s="99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0"/>
      <c r="E3325" s="78" t="str">
        <f>IF(C3325="","",IFERROR(VLOOKUP(C3325,parametros!$A$11:$E$15,5,0),""))</f>
        <v/>
      </c>
      <c r="F3325" s="79" t="str">
        <f t="shared" si="257"/>
        <v/>
      </c>
      <c r="G3325" s="101"/>
      <c r="H3325" s="91">
        <f t="shared" si="258"/>
        <v>0</v>
      </c>
      <c r="I3325" s="91" t="str">
        <f t="shared" si="259"/>
        <v/>
      </c>
      <c r="J3325" s="91" t="str">
        <f t="shared" si="260"/>
        <v/>
      </c>
      <c r="K3325" s="92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2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58"/>
      <c r="U3325" s="217" t="str">
        <f t="shared" si="261"/>
        <v/>
      </c>
      <c r="V3325" s="215" t="s">
        <v>47</v>
      </c>
      <c r="W3325" s="102" t="s">
        <v>136</v>
      </c>
      <c r="X3325" s="102" t="s">
        <v>137</v>
      </c>
      <c r="Y3325" s="103" t="s">
        <v>138</v>
      </c>
      <c r="Z3325" s="103" t="s">
        <v>139</v>
      </c>
      <c r="AA3325" s="103" t="s">
        <v>47</v>
      </c>
      <c r="AB3325" s="103" t="s">
        <v>140</v>
      </c>
      <c r="AC3325" s="104" t="s">
        <v>141</v>
      </c>
    </row>
    <row r="3326" spans="1:29" ht="25.5" customHeight="1" x14ac:dyDescent="0.35">
      <c r="A3326" s="188"/>
      <c r="B3326" s="190"/>
      <c r="C3326" s="99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0"/>
      <c r="E3326" s="78" t="str">
        <f>IF(C3326="","",IFERROR(VLOOKUP(C3326,parametros!$A$11:$E$15,5,0),""))</f>
        <v/>
      </c>
      <c r="F3326" s="79" t="str">
        <f t="shared" si="257"/>
        <v/>
      </c>
      <c r="G3326" s="101"/>
      <c r="H3326" s="91">
        <f t="shared" si="258"/>
        <v>0</v>
      </c>
      <c r="I3326" s="91" t="str">
        <f t="shared" si="259"/>
        <v/>
      </c>
      <c r="J3326" s="91" t="str">
        <f t="shared" si="260"/>
        <v/>
      </c>
      <c r="K3326" s="92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2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58"/>
      <c r="U3326" s="217" t="str">
        <f t="shared" si="261"/>
        <v/>
      </c>
      <c r="V3326" s="215" t="s">
        <v>47</v>
      </c>
      <c r="W3326" s="102" t="s">
        <v>136</v>
      </c>
      <c r="X3326" s="102" t="s">
        <v>137</v>
      </c>
      <c r="Y3326" s="103" t="s">
        <v>138</v>
      </c>
      <c r="Z3326" s="103" t="s">
        <v>139</v>
      </c>
      <c r="AA3326" s="103" t="s">
        <v>47</v>
      </c>
      <c r="AB3326" s="103" t="s">
        <v>140</v>
      </c>
      <c r="AC3326" s="104" t="s">
        <v>141</v>
      </c>
    </row>
    <row r="3327" spans="1:29" ht="25.5" customHeight="1" x14ac:dyDescent="0.35">
      <c r="A3327" s="188"/>
      <c r="B3327" s="190"/>
      <c r="C3327" s="99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0"/>
      <c r="E3327" s="78" t="str">
        <f>IF(C3327="","",IFERROR(VLOOKUP(C3327,parametros!$A$11:$E$15,5,0),""))</f>
        <v/>
      </c>
      <c r="F3327" s="79" t="str">
        <f t="shared" si="257"/>
        <v/>
      </c>
      <c r="G3327" s="101"/>
      <c r="H3327" s="91">
        <f t="shared" si="258"/>
        <v>0</v>
      </c>
      <c r="I3327" s="91" t="str">
        <f t="shared" si="259"/>
        <v/>
      </c>
      <c r="J3327" s="91" t="str">
        <f t="shared" si="260"/>
        <v/>
      </c>
      <c r="K3327" s="92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2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58"/>
      <c r="U3327" s="217" t="str">
        <f t="shared" si="261"/>
        <v/>
      </c>
      <c r="V3327" s="215" t="s">
        <v>47</v>
      </c>
      <c r="W3327" s="102" t="s">
        <v>136</v>
      </c>
      <c r="X3327" s="102" t="s">
        <v>137</v>
      </c>
      <c r="Y3327" s="103" t="s">
        <v>138</v>
      </c>
      <c r="Z3327" s="103" t="s">
        <v>139</v>
      </c>
      <c r="AA3327" s="103" t="s">
        <v>47</v>
      </c>
      <c r="AB3327" s="103" t="s">
        <v>140</v>
      </c>
      <c r="AC3327" s="104" t="s">
        <v>141</v>
      </c>
    </row>
    <row r="3328" spans="1:29" ht="25.5" customHeight="1" x14ac:dyDescent="0.35">
      <c r="A3328" s="188"/>
      <c r="B3328" s="190"/>
      <c r="C3328" s="99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0"/>
      <c r="E3328" s="78" t="str">
        <f>IF(C3328="","",IFERROR(VLOOKUP(C3328,parametros!$A$11:$E$15,5,0),""))</f>
        <v/>
      </c>
      <c r="F3328" s="79" t="str">
        <f t="shared" si="257"/>
        <v/>
      </c>
      <c r="G3328" s="101"/>
      <c r="H3328" s="91">
        <f t="shared" si="258"/>
        <v>0</v>
      </c>
      <c r="I3328" s="91" t="str">
        <f t="shared" si="259"/>
        <v/>
      </c>
      <c r="J3328" s="91" t="str">
        <f t="shared" si="260"/>
        <v/>
      </c>
      <c r="K3328" s="92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2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58"/>
      <c r="U3328" s="217" t="str">
        <f t="shared" si="261"/>
        <v/>
      </c>
      <c r="V3328" s="215" t="s">
        <v>47</v>
      </c>
      <c r="W3328" s="102" t="s">
        <v>136</v>
      </c>
      <c r="X3328" s="102" t="s">
        <v>137</v>
      </c>
      <c r="Y3328" s="103" t="s">
        <v>138</v>
      </c>
      <c r="Z3328" s="103" t="s">
        <v>139</v>
      </c>
      <c r="AA3328" s="103" t="s">
        <v>47</v>
      </c>
      <c r="AB3328" s="103" t="s">
        <v>140</v>
      </c>
      <c r="AC3328" s="104" t="s">
        <v>141</v>
      </c>
    </row>
    <row r="3329" spans="1:29" ht="25.5" customHeight="1" x14ac:dyDescent="0.35">
      <c r="A3329" s="188"/>
      <c r="B3329" s="190"/>
      <c r="C3329" s="99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0"/>
      <c r="E3329" s="78" t="str">
        <f>IF(C3329="","",IFERROR(VLOOKUP(C3329,parametros!$A$11:$E$15,5,0),""))</f>
        <v/>
      </c>
      <c r="F3329" s="79" t="str">
        <f t="shared" si="257"/>
        <v/>
      </c>
      <c r="G3329" s="101"/>
      <c r="H3329" s="91">
        <f t="shared" si="258"/>
        <v>0</v>
      </c>
      <c r="I3329" s="91" t="str">
        <f t="shared" si="259"/>
        <v/>
      </c>
      <c r="J3329" s="91" t="str">
        <f t="shared" si="260"/>
        <v/>
      </c>
      <c r="K3329" s="92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2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58"/>
      <c r="U3329" s="217" t="str">
        <f t="shared" si="261"/>
        <v/>
      </c>
      <c r="V3329" s="215" t="s">
        <v>47</v>
      </c>
      <c r="W3329" s="102" t="s">
        <v>136</v>
      </c>
      <c r="X3329" s="102" t="s">
        <v>137</v>
      </c>
      <c r="Y3329" s="103" t="s">
        <v>138</v>
      </c>
      <c r="Z3329" s="103" t="s">
        <v>139</v>
      </c>
      <c r="AA3329" s="103" t="s">
        <v>47</v>
      </c>
      <c r="AB3329" s="103" t="s">
        <v>140</v>
      </c>
      <c r="AC3329" s="104" t="s">
        <v>141</v>
      </c>
    </row>
    <row r="3330" spans="1:29" ht="25.5" customHeight="1" x14ac:dyDescent="0.35">
      <c r="A3330" s="188"/>
      <c r="B3330" s="190"/>
      <c r="C3330" s="99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0"/>
      <c r="E3330" s="78" t="str">
        <f>IF(C3330="","",IFERROR(VLOOKUP(C3330,parametros!$A$11:$E$15,5,0),""))</f>
        <v/>
      </c>
      <c r="F3330" s="79" t="str">
        <f t="shared" ref="F3330:F3393" si="262">IF(OR(D3330="",E3330=""),"",ROUND(D3330*E3330,2))</f>
        <v/>
      </c>
      <c r="G3330" s="101"/>
      <c r="H3330" s="91">
        <f t="shared" ref="H3330:H3393" si="263">IF(G3330="Sim",IF(OR(F3330="",D3330="",L3330=""),"",IF(L3330="Sim",ROUND(F3330-D3330,2),0)),0)</f>
        <v>0</v>
      </c>
      <c r="I3330" s="91" t="str">
        <f t="shared" ref="I3330:I3393" si="264">IF(G3330="Sim",0,IF(OR(F3330="",L3330=""),"",F3330))</f>
        <v/>
      </c>
      <c r="J3330" s="91" t="str">
        <f t="shared" ref="J3330:J3393" si="265">IF(G3330="Sim",0,IF(OR(F3330="",D3330="",L3330=""),"",IF(L3330="Sim",ROUND(F3330-D3330,2),0)))</f>
        <v/>
      </c>
      <c r="K3330" s="92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2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58"/>
      <c r="U3330" s="217" t="str">
        <f t="shared" ref="U3330:U3393" si="266">IF(OR($D3330="",$H3330=""),"",ROUND($D3330+$H3330,2))</f>
        <v/>
      </c>
      <c r="V3330" s="215" t="s">
        <v>47</v>
      </c>
      <c r="W3330" s="102" t="s">
        <v>136</v>
      </c>
      <c r="X3330" s="102" t="s">
        <v>137</v>
      </c>
      <c r="Y3330" s="103" t="s">
        <v>138</v>
      </c>
      <c r="Z3330" s="103" t="s">
        <v>139</v>
      </c>
      <c r="AA3330" s="103" t="s">
        <v>47</v>
      </c>
      <c r="AB3330" s="103" t="s">
        <v>140</v>
      </c>
      <c r="AC3330" s="104" t="s">
        <v>141</v>
      </c>
    </row>
    <row r="3331" spans="1:29" ht="25.5" customHeight="1" x14ac:dyDescent="0.35">
      <c r="A3331" s="188"/>
      <c r="B3331" s="190"/>
      <c r="C3331" s="99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0"/>
      <c r="E3331" s="78" t="str">
        <f>IF(C3331="","",IFERROR(VLOOKUP(C3331,parametros!$A$11:$E$15,5,0),""))</f>
        <v/>
      </c>
      <c r="F3331" s="79" t="str">
        <f t="shared" si="262"/>
        <v/>
      </c>
      <c r="G3331" s="101"/>
      <c r="H3331" s="91">
        <f t="shared" si="263"/>
        <v>0</v>
      </c>
      <c r="I3331" s="91" t="str">
        <f t="shared" si="264"/>
        <v/>
      </c>
      <c r="J3331" s="91" t="str">
        <f t="shared" si="265"/>
        <v/>
      </c>
      <c r="K3331" s="92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2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58"/>
      <c r="U3331" s="217" t="str">
        <f t="shared" si="266"/>
        <v/>
      </c>
      <c r="V3331" s="215" t="s">
        <v>47</v>
      </c>
      <c r="W3331" s="102" t="s">
        <v>136</v>
      </c>
      <c r="X3331" s="102" t="s">
        <v>137</v>
      </c>
      <c r="Y3331" s="103" t="s">
        <v>138</v>
      </c>
      <c r="Z3331" s="103" t="s">
        <v>139</v>
      </c>
      <c r="AA3331" s="103" t="s">
        <v>47</v>
      </c>
      <c r="AB3331" s="103" t="s">
        <v>140</v>
      </c>
      <c r="AC3331" s="104" t="s">
        <v>141</v>
      </c>
    </row>
    <row r="3332" spans="1:29" ht="25.5" customHeight="1" x14ac:dyDescent="0.35">
      <c r="A3332" s="188"/>
      <c r="B3332" s="190"/>
      <c r="C3332" s="99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0"/>
      <c r="E3332" s="78" t="str">
        <f>IF(C3332="","",IFERROR(VLOOKUP(C3332,parametros!$A$11:$E$15,5,0),""))</f>
        <v/>
      </c>
      <c r="F3332" s="79" t="str">
        <f t="shared" si="262"/>
        <v/>
      </c>
      <c r="G3332" s="101"/>
      <c r="H3332" s="91">
        <f t="shared" si="263"/>
        <v>0</v>
      </c>
      <c r="I3332" s="91" t="str">
        <f t="shared" si="264"/>
        <v/>
      </c>
      <c r="J3332" s="91" t="str">
        <f t="shared" si="265"/>
        <v/>
      </c>
      <c r="K3332" s="92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2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58"/>
      <c r="U3332" s="217" t="str">
        <f t="shared" si="266"/>
        <v/>
      </c>
      <c r="V3332" s="215" t="s">
        <v>47</v>
      </c>
      <c r="W3332" s="102" t="s">
        <v>136</v>
      </c>
      <c r="X3332" s="102" t="s">
        <v>137</v>
      </c>
      <c r="Y3332" s="103" t="s">
        <v>138</v>
      </c>
      <c r="Z3332" s="103" t="s">
        <v>139</v>
      </c>
      <c r="AA3332" s="103" t="s">
        <v>47</v>
      </c>
      <c r="AB3332" s="103" t="s">
        <v>140</v>
      </c>
      <c r="AC3332" s="104" t="s">
        <v>141</v>
      </c>
    </row>
    <row r="3333" spans="1:29" ht="25.5" customHeight="1" x14ac:dyDescent="0.35">
      <c r="A3333" s="188"/>
      <c r="B3333" s="190"/>
      <c r="C3333" s="99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0"/>
      <c r="E3333" s="78" t="str">
        <f>IF(C3333="","",IFERROR(VLOOKUP(C3333,parametros!$A$11:$E$15,5,0),""))</f>
        <v/>
      </c>
      <c r="F3333" s="79" t="str">
        <f t="shared" si="262"/>
        <v/>
      </c>
      <c r="G3333" s="101"/>
      <c r="H3333" s="91">
        <f t="shared" si="263"/>
        <v>0</v>
      </c>
      <c r="I3333" s="91" t="str">
        <f t="shared" si="264"/>
        <v/>
      </c>
      <c r="J3333" s="91" t="str">
        <f t="shared" si="265"/>
        <v/>
      </c>
      <c r="K3333" s="92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2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58"/>
      <c r="U3333" s="217" t="str">
        <f t="shared" si="266"/>
        <v/>
      </c>
      <c r="V3333" s="215" t="s">
        <v>47</v>
      </c>
      <c r="W3333" s="102" t="s">
        <v>136</v>
      </c>
      <c r="X3333" s="102" t="s">
        <v>137</v>
      </c>
      <c r="Y3333" s="103" t="s">
        <v>138</v>
      </c>
      <c r="Z3333" s="103" t="s">
        <v>139</v>
      </c>
      <c r="AA3333" s="103" t="s">
        <v>47</v>
      </c>
      <c r="AB3333" s="103" t="s">
        <v>140</v>
      </c>
      <c r="AC3333" s="104" t="s">
        <v>141</v>
      </c>
    </row>
    <row r="3334" spans="1:29" ht="25.5" customHeight="1" x14ac:dyDescent="0.35">
      <c r="A3334" s="188"/>
      <c r="B3334" s="190"/>
      <c r="C3334" s="99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0"/>
      <c r="E3334" s="78" t="str">
        <f>IF(C3334="","",IFERROR(VLOOKUP(C3334,parametros!$A$11:$E$15,5,0),""))</f>
        <v/>
      </c>
      <c r="F3334" s="79" t="str">
        <f t="shared" si="262"/>
        <v/>
      </c>
      <c r="G3334" s="101"/>
      <c r="H3334" s="91">
        <f t="shared" si="263"/>
        <v>0</v>
      </c>
      <c r="I3334" s="91" t="str">
        <f t="shared" si="264"/>
        <v/>
      </c>
      <c r="J3334" s="91" t="str">
        <f t="shared" si="265"/>
        <v/>
      </c>
      <c r="K3334" s="92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2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58"/>
      <c r="U3334" s="217" t="str">
        <f t="shared" si="266"/>
        <v/>
      </c>
      <c r="V3334" s="215" t="s">
        <v>47</v>
      </c>
      <c r="W3334" s="102" t="s">
        <v>136</v>
      </c>
      <c r="X3334" s="102" t="s">
        <v>137</v>
      </c>
      <c r="Y3334" s="103" t="s">
        <v>138</v>
      </c>
      <c r="Z3334" s="103" t="s">
        <v>139</v>
      </c>
      <c r="AA3334" s="103" t="s">
        <v>47</v>
      </c>
      <c r="AB3334" s="103" t="s">
        <v>140</v>
      </c>
      <c r="AC3334" s="104" t="s">
        <v>141</v>
      </c>
    </row>
    <row r="3335" spans="1:29" ht="25.5" customHeight="1" x14ac:dyDescent="0.35">
      <c r="A3335" s="188"/>
      <c r="B3335" s="190"/>
      <c r="C3335" s="99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0"/>
      <c r="E3335" s="78" t="str">
        <f>IF(C3335="","",IFERROR(VLOOKUP(C3335,parametros!$A$11:$E$15,5,0),""))</f>
        <v/>
      </c>
      <c r="F3335" s="79" t="str">
        <f t="shared" si="262"/>
        <v/>
      </c>
      <c r="G3335" s="101"/>
      <c r="H3335" s="91">
        <f t="shared" si="263"/>
        <v>0</v>
      </c>
      <c r="I3335" s="91" t="str">
        <f t="shared" si="264"/>
        <v/>
      </c>
      <c r="J3335" s="91" t="str">
        <f t="shared" si="265"/>
        <v/>
      </c>
      <c r="K3335" s="92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2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58"/>
      <c r="U3335" s="217" t="str">
        <f t="shared" si="266"/>
        <v/>
      </c>
      <c r="V3335" s="215" t="s">
        <v>47</v>
      </c>
      <c r="W3335" s="102" t="s">
        <v>136</v>
      </c>
      <c r="X3335" s="102" t="s">
        <v>137</v>
      </c>
      <c r="Y3335" s="103" t="s">
        <v>138</v>
      </c>
      <c r="Z3335" s="103" t="s">
        <v>139</v>
      </c>
      <c r="AA3335" s="103" t="s">
        <v>47</v>
      </c>
      <c r="AB3335" s="103" t="s">
        <v>140</v>
      </c>
      <c r="AC3335" s="104" t="s">
        <v>141</v>
      </c>
    </row>
    <row r="3336" spans="1:29" ht="25.5" customHeight="1" x14ac:dyDescent="0.35">
      <c r="A3336" s="188"/>
      <c r="B3336" s="190"/>
      <c r="C3336" s="99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0"/>
      <c r="E3336" s="78" t="str">
        <f>IF(C3336="","",IFERROR(VLOOKUP(C3336,parametros!$A$11:$E$15,5,0),""))</f>
        <v/>
      </c>
      <c r="F3336" s="79" t="str">
        <f t="shared" si="262"/>
        <v/>
      </c>
      <c r="G3336" s="101"/>
      <c r="H3336" s="91">
        <f t="shared" si="263"/>
        <v>0</v>
      </c>
      <c r="I3336" s="91" t="str">
        <f t="shared" si="264"/>
        <v/>
      </c>
      <c r="J3336" s="91" t="str">
        <f t="shared" si="265"/>
        <v/>
      </c>
      <c r="K3336" s="92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2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58"/>
      <c r="U3336" s="217" t="str">
        <f t="shared" si="266"/>
        <v/>
      </c>
      <c r="V3336" s="215" t="s">
        <v>47</v>
      </c>
      <c r="W3336" s="102" t="s">
        <v>136</v>
      </c>
      <c r="X3336" s="102" t="s">
        <v>137</v>
      </c>
      <c r="Y3336" s="103" t="s">
        <v>138</v>
      </c>
      <c r="Z3336" s="103" t="s">
        <v>139</v>
      </c>
      <c r="AA3336" s="103" t="s">
        <v>47</v>
      </c>
      <c r="AB3336" s="103" t="s">
        <v>140</v>
      </c>
      <c r="AC3336" s="104" t="s">
        <v>141</v>
      </c>
    </row>
    <row r="3337" spans="1:29" ht="25.5" customHeight="1" x14ac:dyDescent="0.35">
      <c r="A3337" s="188"/>
      <c r="B3337" s="190"/>
      <c r="C3337" s="99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0"/>
      <c r="E3337" s="78" t="str">
        <f>IF(C3337="","",IFERROR(VLOOKUP(C3337,parametros!$A$11:$E$15,5,0),""))</f>
        <v/>
      </c>
      <c r="F3337" s="79" t="str">
        <f t="shared" si="262"/>
        <v/>
      </c>
      <c r="G3337" s="101"/>
      <c r="H3337" s="91">
        <f t="shared" si="263"/>
        <v>0</v>
      </c>
      <c r="I3337" s="91" t="str">
        <f t="shared" si="264"/>
        <v/>
      </c>
      <c r="J3337" s="91" t="str">
        <f t="shared" si="265"/>
        <v/>
      </c>
      <c r="K3337" s="92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2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58"/>
      <c r="U3337" s="217" t="str">
        <f t="shared" si="266"/>
        <v/>
      </c>
      <c r="V3337" s="215" t="s">
        <v>47</v>
      </c>
      <c r="W3337" s="102" t="s">
        <v>136</v>
      </c>
      <c r="X3337" s="102" t="s">
        <v>137</v>
      </c>
      <c r="Y3337" s="103" t="s">
        <v>138</v>
      </c>
      <c r="Z3337" s="103" t="s">
        <v>139</v>
      </c>
      <c r="AA3337" s="103" t="s">
        <v>47</v>
      </c>
      <c r="AB3337" s="103" t="s">
        <v>140</v>
      </c>
      <c r="AC3337" s="104" t="s">
        <v>141</v>
      </c>
    </row>
    <row r="3338" spans="1:29" ht="25.5" customHeight="1" x14ac:dyDescent="0.35">
      <c r="A3338" s="188"/>
      <c r="B3338" s="190"/>
      <c r="C3338" s="99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0"/>
      <c r="E3338" s="78" t="str">
        <f>IF(C3338="","",IFERROR(VLOOKUP(C3338,parametros!$A$11:$E$15,5,0),""))</f>
        <v/>
      </c>
      <c r="F3338" s="79" t="str">
        <f t="shared" si="262"/>
        <v/>
      </c>
      <c r="G3338" s="101"/>
      <c r="H3338" s="91">
        <f t="shared" si="263"/>
        <v>0</v>
      </c>
      <c r="I3338" s="91" t="str">
        <f t="shared" si="264"/>
        <v/>
      </c>
      <c r="J3338" s="91" t="str">
        <f t="shared" si="265"/>
        <v/>
      </c>
      <c r="K3338" s="92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2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58"/>
      <c r="U3338" s="217" t="str">
        <f t="shared" si="266"/>
        <v/>
      </c>
      <c r="V3338" s="215" t="s">
        <v>47</v>
      </c>
      <c r="W3338" s="102" t="s">
        <v>136</v>
      </c>
      <c r="X3338" s="102" t="s">
        <v>137</v>
      </c>
      <c r="Y3338" s="103" t="s">
        <v>138</v>
      </c>
      <c r="Z3338" s="103" t="s">
        <v>139</v>
      </c>
      <c r="AA3338" s="103" t="s">
        <v>47</v>
      </c>
      <c r="AB3338" s="103" t="s">
        <v>140</v>
      </c>
      <c r="AC3338" s="104" t="s">
        <v>141</v>
      </c>
    </row>
    <row r="3339" spans="1:29" ht="25.5" customHeight="1" x14ac:dyDescent="0.35">
      <c r="A3339" s="188"/>
      <c r="B3339" s="190"/>
      <c r="C3339" s="99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0"/>
      <c r="E3339" s="78" t="str">
        <f>IF(C3339="","",IFERROR(VLOOKUP(C3339,parametros!$A$11:$E$15,5,0),""))</f>
        <v/>
      </c>
      <c r="F3339" s="79" t="str">
        <f t="shared" si="262"/>
        <v/>
      </c>
      <c r="G3339" s="101"/>
      <c r="H3339" s="91">
        <f t="shared" si="263"/>
        <v>0</v>
      </c>
      <c r="I3339" s="91" t="str">
        <f t="shared" si="264"/>
        <v/>
      </c>
      <c r="J3339" s="91" t="str">
        <f t="shared" si="265"/>
        <v/>
      </c>
      <c r="K3339" s="92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2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58"/>
      <c r="U3339" s="217" t="str">
        <f t="shared" si="266"/>
        <v/>
      </c>
      <c r="V3339" s="215" t="s">
        <v>47</v>
      </c>
      <c r="W3339" s="102" t="s">
        <v>136</v>
      </c>
      <c r="X3339" s="102" t="s">
        <v>137</v>
      </c>
      <c r="Y3339" s="103" t="s">
        <v>138</v>
      </c>
      <c r="Z3339" s="103" t="s">
        <v>139</v>
      </c>
      <c r="AA3339" s="103" t="s">
        <v>47</v>
      </c>
      <c r="AB3339" s="103" t="s">
        <v>140</v>
      </c>
      <c r="AC3339" s="104" t="s">
        <v>141</v>
      </c>
    </row>
    <row r="3340" spans="1:29" ht="25.5" customHeight="1" x14ac:dyDescent="0.35">
      <c r="A3340" s="188"/>
      <c r="B3340" s="190"/>
      <c r="C3340" s="99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0"/>
      <c r="E3340" s="78" t="str">
        <f>IF(C3340="","",IFERROR(VLOOKUP(C3340,parametros!$A$11:$E$15,5,0),""))</f>
        <v/>
      </c>
      <c r="F3340" s="79" t="str">
        <f t="shared" si="262"/>
        <v/>
      </c>
      <c r="G3340" s="101"/>
      <c r="H3340" s="91">
        <f t="shared" si="263"/>
        <v>0</v>
      </c>
      <c r="I3340" s="91" t="str">
        <f t="shared" si="264"/>
        <v/>
      </c>
      <c r="J3340" s="91" t="str">
        <f t="shared" si="265"/>
        <v/>
      </c>
      <c r="K3340" s="92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2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58"/>
      <c r="U3340" s="217" t="str">
        <f t="shared" si="266"/>
        <v/>
      </c>
      <c r="V3340" s="215" t="s">
        <v>47</v>
      </c>
      <c r="W3340" s="102" t="s">
        <v>136</v>
      </c>
      <c r="X3340" s="102" t="s">
        <v>137</v>
      </c>
      <c r="Y3340" s="103" t="s">
        <v>138</v>
      </c>
      <c r="Z3340" s="103" t="s">
        <v>139</v>
      </c>
      <c r="AA3340" s="103" t="s">
        <v>47</v>
      </c>
      <c r="AB3340" s="103" t="s">
        <v>140</v>
      </c>
      <c r="AC3340" s="104" t="s">
        <v>141</v>
      </c>
    </row>
    <row r="3341" spans="1:29" ht="25.5" customHeight="1" x14ac:dyDescent="0.35">
      <c r="A3341" s="188"/>
      <c r="B3341" s="190"/>
      <c r="C3341" s="99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0"/>
      <c r="E3341" s="78" t="str">
        <f>IF(C3341="","",IFERROR(VLOOKUP(C3341,parametros!$A$11:$E$15,5,0),""))</f>
        <v/>
      </c>
      <c r="F3341" s="79" t="str">
        <f t="shared" si="262"/>
        <v/>
      </c>
      <c r="G3341" s="101"/>
      <c r="H3341" s="91">
        <f t="shared" si="263"/>
        <v>0</v>
      </c>
      <c r="I3341" s="91" t="str">
        <f t="shared" si="264"/>
        <v/>
      </c>
      <c r="J3341" s="91" t="str">
        <f t="shared" si="265"/>
        <v/>
      </c>
      <c r="K3341" s="92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2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58"/>
      <c r="U3341" s="217" t="str">
        <f t="shared" si="266"/>
        <v/>
      </c>
      <c r="V3341" s="215" t="s">
        <v>47</v>
      </c>
      <c r="W3341" s="102" t="s">
        <v>136</v>
      </c>
      <c r="X3341" s="102" t="s">
        <v>137</v>
      </c>
      <c r="Y3341" s="103" t="s">
        <v>138</v>
      </c>
      <c r="Z3341" s="103" t="s">
        <v>139</v>
      </c>
      <c r="AA3341" s="103" t="s">
        <v>47</v>
      </c>
      <c r="AB3341" s="103" t="s">
        <v>140</v>
      </c>
      <c r="AC3341" s="104" t="s">
        <v>141</v>
      </c>
    </row>
    <row r="3342" spans="1:29" ht="25.5" customHeight="1" x14ac:dyDescent="0.35">
      <c r="A3342" s="188"/>
      <c r="B3342" s="190"/>
      <c r="C3342" s="99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0"/>
      <c r="E3342" s="78" t="str">
        <f>IF(C3342="","",IFERROR(VLOOKUP(C3342,parametros!$A$11:$E$15,5,0),""))</f>
        <v/>
      </c>
      <c r="F3342" s="79" t="str">
        <f t="shared" si="262"/>
        <v/>
      </c>
      <c r="G3342" s="101"/>
      <c r="H3342" s="91">
        <f t="shared" si="263"/>
        <v>0</v>
      </c>
      <c r="I3342" s="91" t="str">
        <f t="shared" si="264"/>
        <v/>
      </c>
      <c r="J3342" s="91" t="str">
        <f t="shared" si="265"/>
        <v/>
      </c>
      <c r="K3342" s="92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2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58"/>
      <c r="U3342" s="217" t="str">
        <f t="shared" si="266"/>
        <v/>
      </c>
      <c r="V3342" s="215" t="s">
        <v>47</v>
      </c>
      <c r="W3342" s="102" t="s">
        <v>136</v>
      </c>
      <c r="X3342" s="102" t="s">
        <v>137</v>
      </c>
      <c r="Y3342" s="103" t="s">
        <v>138</v>
      </c>
      <c r="Z3342" s="103" t="s">
        <v>139</v>
      </c>
      <c r="AA3342" s="103" t="s">
        <v>47</v>
      </c>
      <c r="AB3342" s="103" t="s">
        <v>140</v>
      </c>
      <c r="AC3342" s="104" t="s">
        <v>141</v>
      </c>
    </row>
    <row r="3343" spans="1:29" ht="25.5" customHeight="1" x14ac:dyDescent="0.35">
      <c r="A3343" s="188"/>
      <c r="B3343" s="190"/>
      <c r="C3343" s="99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0"/>
      <c r="E3343" s="78" t="str">
        <f>IF(C3343="","",IFERROR(VLOOKUP(C3343,parametros!$A$11:$E$15,5,0),""))</f>
        <v/>
      </c>
      <c r="F3343" s="79" t="str">
        <f t="shared" si="262"/>
        <v/>
      </c>
      <c r="G3343" s="101"/>
      <c r="H3343" s="91">
        <f t="shared" si="263"/>
        <v>0</v>
      </c>
      <c r="I3343" s="91" t="str">
        <f t="shared" si="264"/>
        <v/>
      </c>
      <c r="J3343" s="91" t="str">
        <f t="shared" si="265"/>
        <v/>
      </c>
      <c r="K3343" s="92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2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58"/>
      <c r="U3343" s="217" t="str">
        <f t="shared" si="266"/>
        <v/>
      </c>
      <c r="V3343" s="215" t="s">
        <v>47</v>
      </c>
      <c r="W3343" s="102" t="s">
        <v>136</v>
      </c>
      <c r="X3343" s="102" t="s">
        <v>137</v>
      </c>
      <c r="Y3343" s="103" t="s">
        <v>138</v>
      </c>
      <c r="Z3343" s="103" t="s">
        <v>139</v>
      </c>
      <c r="AA3343" s="103" t="s">
        <v>47</v>
      </c>
      <c r="AB3343" s="103" t="s">
        <v>140</v>
      </c>
      <c r="AC3343" s="104" t="s">
        <v>141</v>
      </c>
    </row>
    <row r="3344" spans="1:29" ht="25.5" customHeight="1" x14ac:dyDescent="0.35">
      <c r="A3344" s="188"/>
      <c r="B3344" s="190"/>
      <c r="C3344" s="99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0"/>
      <c r="E3344" s="78" t="str">
        <f>IF(C3344="","",IFERROR(VLOOKUP(C3344,parametros!$A$11:$E$15,5,0),""))</f>
        <v/>
      </c>
      <c r="F3344" s="79" t="str">
        <f t="shared" si="262"/>
        <v/>
      </c>
      <c r="G3344" s="101"/>
      <c r="H3344" s="91">
        <f t="shared" si="263"/>
        <v>0</v>
      </c>
      <c r="I3344" s="91" t="str">
        <f t="shared" si="264"/>
        <v/>
      </c>
      <c r="J3344" s="91" t="str">
        <f t="shared" si="265"/>
        <v/>
      </c>
      <c r="K3344" s="92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2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58"/>
      <c r="U3344" s="217" t="str">
        <f t="shared" si="266"/>
        <v/>
      </c>
      <c r="V3344" s="215" t="s">
        <v>47</v>
      </c>
      <c r="W3344" s="102" t="s">
        <v>136</v>
      </c>
      <c r="X3344" s="102" t="s">
        <v>137</v>
      </c>
      <c r="Y3344" s="103" t="s">
        <v>138</v>
      </c>
      <c r="Z3344" s="103" t="s">
        <v>139</v>
      </c>
      <c r="AA3344" s="103" t="s">
        <v>47</v>
      </c>
      <c r="AB3344" s="103" t="s">
        <v>140</v>
      </c>
      <c r="AC3344" s="104" t="s">
        <v>141</v>
      </c>
    </row>
    <row r="3345" spans="1:29" ht="25.5" customHeight="1" x14ac:dyDescent="0.35">
      <c r="A3345" s="188"/>
      <c r="B3345" s="190"/>
      <c r="C3345" s="99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0"/>
      <c r="E3345" s="78" t="str">
        <f>IF(C3345="","",IFERROR(VLOOKUP(C3345,parametros!$A$11:$E$15,5,0),""))</f>
        <v/>
      </c>
      <c r="F3345" s="79" t="str">
        <f t="shared" si="262"/>
        <v/>
      </c>
      <c r="G3345" s="101"/>
      <c r="H3345" s="91">
        <f t="shared" si="263"/>
        <v>0</v>
      </c>
      <c r="I3345" s="91" t="str">
        <f t="shared" si="264"/>
        <v/>
      </c>
      <c r="J3345" s="91" t="str">
        <f t="shared" si="265"/>
        <v/>
      </c>
      <c r="K3345" s="92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2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58"/>
      <c r="U3345" s="217" t="str">
        <f t="shared" si="266"/>
        <v/>
      </c>
      <c r="V3345" s="215" t="s">
        <v>47</v>
      </c>
      <c r="W3345" s="102" t="s">
        <v>136</v>
      </c>
      <c r="X3345" s="102" t="s">
        <v>137</v>
      </c>
      <c r="Y3345" s="103" t="s">
        <v>138</v>
      </c>
      <c r="Z3345" s="103" t="s">
        <v>139</v>
      </c>
      <c r="AA3345" s="103" t="s">
        <v>47</v>
      </c>
      <c r="AB3345" s="103" t="s">
        <v>140</v>
      </c>
      <c r="AC3345" s="104" t="s">
        <v>141</v>
      </c>
    </row>
    <row r="3346" spans="1:29" ht="25.5" customHeight="1" x14ac:dyDescent="0.35">
      <c r="A3346" s="188"/>
      <c r="B3346" s="190"/>
      <c r="C3346" s="99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0"/>
      <c r="E3346" s="78" t="str">
        <f>IF(C3346="","",IFERROR(VLOOKUP(C3346,parametros!$A$11:$E$15,5,0),""))</f>
        <v/>
      </c>
      <c r="F3346" s="79" t="str">
        <f t="shared" si="262"/>
        <v/>
      </c>
      <c r="G3346" s="101"/>
      <c r="H3346" s="91">
        <f t="shared" si="263"/>
        <v>0</v>
      </c>
      <c r="I3346" s="91" t="str">
        <f t="shared" si="264"/>
        <v/>
      </c>
      <c r="J3346" s="91" t="str">
        <f t="shared" si="265"/>
        <v/>
      </c>
      <c r="K3346" s="92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2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58"/>
      <c r="U3346" s="217" t="str">
        <f t="shared" si="266"/>
        <v/>
      </c>
      <c r="V3346" s="215" t="s">
        <v>47</v>
      </c>
      <c r="W3346" s="102" t="s">
        <v>136</v>
      </c>
      <c r="X3346" s="102" t="s">
        <v>137</v>
      </c>
      <c r="Y3346" s="103" t="s">
        <v>138</v>
      </c>
      <c r="Z3346" s="103" t="s">
        <v>139</v>
      </c>
      <c r="AA3346" s="103" t="s">
        <v>47</v>
      </c>
      <c r="AB3346" s="103" t="s">
        <v>140</v>
      </c>
      <c r="AC3346" s="104" t="s">
        <v>141</v>
      </c>
    </row>
    <row r="3347" spans="1:29" ht="25.5" customHeight="1" x14ac:dyDescent="0.35">
      <c r="A3347" s="188"/>
      <c r="B3347" s="190"/>
      <c r="C3347" s="99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0"/>
      <c r="E3347" s="78" t="str">
        <f>IF(C3347="","",IFERROR(VLOOKUP(C3347,parametros!$A$11:$E$15,5,0),""))</f>
        <v/>
      </c>
      <c r="F3347" s="79" t="str">
        <f t="shared" si="262"/>
        <v/>
      </c>
      <c r="G3347" s="101"/>
      <c r="H3347" s="91">
        <f t="shared" si="263"/>
        <v>0</v>
      </c>
      <c r="I3347" s="91" t="str">
        <f t="shared" si="264"/>
        <v/>
      </c>
      <c r="J3347" s="91" t="str">
        <f t="shared" si="265"/>
        <v/>
      </c>
      <c r="K3347" s="92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2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58"/>
      <c r="U3347" s="217" t="str">
        <f t="shared" si="266"/>
        <v/>
      </c>
      <c r="V3347" s="215" t="s">
        <v>47</v>
      </c>
      <c r="W3347" s="102" t="s">
        <v>136</v>
      </c>
      <c r="X3347" s="102" t="s">
        <v>137</v>
      </c>
      <c r="Y3347" s="103" t="s">
        <v>138</v>
      </c>
      <c r="Z3347" s="103" t="s">
        <v>139</v>
      </c>
      <c r="AA3347" s="103" t="s">
        <v>47</v>
      </c>
      <c r="AB3347" s="103" t="s">
        <v>140</v>
      </c>
      <c r="AC3347" s="104" t="s">
        <v>141</v>
      </c>
    </row>
    <row r="3348" spans="1:29" ht="25.5" customHeight="1" x14ac:dyDescent="0.35">
      <c r="A3348" s="188"/>
      <c r="B3348" s="190"/>
      <c r="C3348" s="99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0"/>
      <c r="E3348" s="78" t="str">
        <f>IF(C3348="","",IFERROR(VLOOKUP(C3348,parametros!$A$11:$E$15,5,0),""))</f>
        <v/>
      </c>
      <c r="F3348" s="79" t="str">
        <f t="shared" si="262"/>
        <v/>
      </c>
      <c r="G3348" s="101"/>
      <c r="H3348" s="91">
        <f t="shared" si="263"/>
        <v>0</v>
      </c>
      <c r="I3348" s="91" t="str">
        <f t="shared" si="264"/>
        <v/>
      </c>
      <c r="J3348" s="91" t="str">
        <f t="shared" si="265"/>
        <v/>
      </c>
      <c r="K3348" s="92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2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58"/>
      <c r="U3348" s="217" t="str">
        <f t="shared" si="266"/>
        <v/>
      </c>
      <c r="V3348" s="215" t="s">
        <v>47</v>
      </c>
      <c r="W3348" s="102" t="s">
        <v>136</v>
      </c>
      <c r="X3348" s="102" t="s">
        <v>137</v>
      </c>
      <c r="Y3348" s="103" t="s">
        <v>138</v>
      </c>
      <c r="Z3348" s="103" t="s">
        <v>139</v>
      </c>
      <c r="AA3348" s="103" t="s">
        <v>47</v>
      </c>
      <c r="AB3348" s="103" t="s">
        <v>140</v>
      </c>
      <c r="AC3348" s="104" t="s">
        <v>141</v>
      </c>
    </row>
    <row r="3349" spans="1:29" ht="25.5" customHeight="1" x14ac:dyDescent="0.35">
      <c r="A3349" s="188"/>
      <c r="B3349" s="190"/>
      <c r="C3349" s="99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0"/>
      <c r="E3349" s="78" t="str">
        <f>IF(C3349="","",IFERROR(VLOOKUP(C3349,parametros!$A$11:$E$15,5,0),""))</f>
        <v/>
      </c>
      <c r="F3349" s="79" t="str">
        <f t="shared" si="262"/>
        <v/>
      </c>
      <c r="G3349" s="101"/>
      <c r="H3349" s="91">
        <f t="shared" si="263"/>
        <v>0</v>
      </c>
      <c r="I3349" s="91" t="str">
        <f t="shared" si="264"/>
        <v/>
      </c>
      <c r="J3349" s="91" t="str">
        <f t="shared" si="265"/>
        <v/>
      </c>
      <c r="K3349" s="92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2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58"/>
      <c r="U3349" s="217" t="str">
        <f t="shared" si="266"/>
        <v/>
      </c>
      <c r="V3349" s="215" t="s">
        <v>47</v>
      </c>
      <c r="W3349" s="102" t="s">
        <v>136</v>
      </c>
      <c r="X3349" s="102" t="s">
        <v>137</v>
      </c>
      <c r="Y3349" s="103" t="s">
        <v>138</v>
      </c>
      <c r="Z3349" s="103" t="s">
        <v>139</v>
      </c>
      <c r="AA3349" s="103" t="s">
        <v>47</v>
      </c>
      <c r="AB3349" s="103" t="s">
        <v>140</v>
      </c>
      <c r="AC3349" s="104" t="s">
        <v>141</v>
      </c>
    </row>
    <row r="3350" spans="1:29" ht="25.5" customHeight="1" x14ac:dyDescent="0.35">
      <c r="A3350" s="188"/>
      <c r="B3350" s="190"/>
      <c r="C3350" s="99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0"/>
      <c r="E3350" s="78" t="str">
        <f>IF(C3350="","",IFERROR(VLOOKUP(C3350,parametros!$A$11:$E$15,5,0),""))</f>
        <v/>
      </c>
      <c r="F3350" s="79" t="str">
        <f t="shared" si="262"/>
        <v/>
      </c>
      <c r="G3350" s="101"/>
      <c r="H3350" s="91">
        <f t="shared" si="263"/>
        <v>0</v>
      </c>
      <c r="I3350" s="91" t="str">
        <f t="shared" si="264"/>
        <v/>
      </c>
      <c r="J3350" s="91" t="str">
        <f t="shared" si="265"/>
        <v/>
      </c>
      <c r="K3350" s="92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2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58"/>
      <c r="U3350" s="217" t="str">
        <f t="shared" si="266"/>
        <v/>
      </c>
      <c r="V3350" s="215" t="s">
        <v>47</v>
      </c>
      <c r="W3350" s="102" t="s">
        <v>136</v>
      </c>
      <c r="X3350" s="102" t="s">
        <v>137</v>
      </c>
      <c r="Y3350" s="103" t="s">
        <v>138</v>
      </c>
      <c r="Z3350" s="103" t="s">
        <v>139</v>
      </c>
      <c r="AA3350" s="103" t="s">
        <v>47</v>
      </c>
      <c r="AB3350" s="103" t="s">
        <v>140</v>
      </c>
      <c r="AC3350" s="104" t="s">
        <v>141</v>
      </c>
    </row>
    <row r="3351" spans="1:29" ht="25.5" customHeight="1" x14ac:dyDescent="0.35">
      <c r="A3351" s="188"/>
      <c r="B3351" s="190"/>
      <c r="C3351" s="99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0"/>
      <c r="E3351" s="78" t="str">
        <f>IF(C3351="","",IFERROR(VLOOKUP(C3351,parametros!$A$11:$E$15,5,0),""))</f>
        <v/>
      </c>
      <c r="F3351" s="79" t="str">
        <f t="shared" si="262"/>
        <v/>
      </c>
      <c r="G3351" s="101"/>
      <c r="H3351" s="91">
        <f t="shared" si="263"/>
        <v>0</v>
      </c>
      <c r="I3351" s="91" t="str">
        <f t="shared" si="264"/>
        <v/>
      </c>
      <c r="J3351" s="91" t="str">
        <f t="shared" si="265"/>
        <v/>
      </c>
      <c r="K3351" s="92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2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58"/>
      <c r="U3351" s="217" t="str">
        <f t="shared" si="266"/>
        <v/>
      </c>
      <c r="V3351" s="215" t="s">
        <v>47</v>
      </c>
      <c r="W3351" s="102" t="s">
        <v>136</v>
      </c>
      <c r="X3351" s="102" t="s">
        <v>137</v>
      </c>
      <c r="Y3351" s="103" t="s">
        <v>138</v>
      </c>
      <c r="Z3351" s="103" t="s">
        <v>139</v>
      </c>
      <c r="AA3351" s="103" t="s">
        <v>47</v>
      </c>
      <c r="AB3351" s="103" t="s">
        <v>140</v>
      </c>
      <c r="AC3351" s="104" t="s">
        <v>141</v>
      </c>
    </row>
    <row r="3352" spans="1:29" ht="25.5" customHeight="1" x14ac:dyDescent="0.35">
      <c r="A3352" s="188"/>
      <c r="B3352" s="190"/>
      <c r="C3352" s="99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0"/>
      <c r="E3352" s="78" t="str">
        <f>IF(C3352="","",IFERROR(VLOOKUP(C3352,parametros!$A$11:$E$15,5,0),""))</f>
        <v/>
      </c>
      <c r="F3352" s="79" t="str">
        <f t="shared" si="262"/>
        <v/>
      </c>
      <c r="G3352" s="101"/>
      <c r="H3352" s="91">
        <f t="shared" si="263"/>
        <v>0</v>
      </c>
      <c r="I3352" s="91" t="str">
        <f t="shared" si="264"/>
        <v/>
      </c>
      <c r="J3352" s="91" t="str">
        <f t="shared" si="265"/>
        <v/>
      </c>
      <c r="K3352" s="92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2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58"/>
      <c r="U3352" s="217" t="str">
        <f t="shared" si="266"/>
        <v/>
      </c>
      <c r="V3352" s="215" t="s">
        <v>47</v>
      </c>
      <c r="W3352" s="102" t="s">
        <v>136</v>
      </c>
      <c r="X3352" s="102" t="s">
        <v>137</v>
      </c>
      <c r="Y3352" s="103" t="s">
        <v>138</v>
      </c>
      <c r="Z3352" s="103" t="s">
        <v>139</v>
      </c>
      <c r="AA3352" s="103" t="s">
        <v>47</v>
      </c>
      <c r="AB3352" s="103" t="s">
        <v>140</v>
      </c>
      <c r="AC3352" s="104" t="s">
        <v>141</v>
      </c>
    </row>
    <row r="3353" spans="1:29" ht="25.5" customHeight="1" x14ac:dyDescent="0.35">
      <c r="A3353" s="188"/>
      <c r="B3353" s="190"/>
      <c r="C3353" s="99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0"/>
      <c r="E3353" s="78" t="str">
        <f>IF(C3353="","",IFERROR(VLOOKUP(C3353,parametros!$A$11:$E$15,5,0),""))</f>
        <v/>
      </c>
      <c r="F3353" s="79" t="str">
        <f t="shared" si="262"/>
        <v/>
      </c>
      <c r="G3353" s="101"/>
      <c r="H3353" s="91">
        <f t="shared" si="263"/>
        <v>0</v>
      </c>
      <c r="I3353" s="91" t="str">
        <f t="shared" si="264"/>
        <v/>
      </c>
      <c r="J3353" s="91" t="str">
        <f t="shared" si="265"/>
        <v/>
      </c>
      <c r="K3353" s="92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2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58"/>
      <c r="U3353" s="217" t="str">
        <f t="shared" si="266"/>
        <v/>
      </c>
      <c r="V3353" s="215" t="s">
        <v>47</v>
      </c>
      <c r="W3353" s="102" t="s">
        <v>136</v>
      </c>
      <c r="X3353" s="102" t="s">
        <v>137</v>
      </c>
      <c r="Y3353" s="103" t="s">
        <v>138</v>
      </c>
      <c r="Z3353" s="103" t="s">
        <v>139</v>
      </c>
      <c r="AA3353" s="103" t="s">
        <v>47</v>
      </c>
      <c r="AB3353" s="103" t="s">
        <v>140</v>
      </c>
      <c r="AC3353" s="104" t="s">
        <v>141</v>
      </c>
    </row>
    <row r="3354" spans="1:29" ht="25.5" customHeight="1" x14ac:dyDescent="0.35">
      <c r="A3354" s="188"/>
      <c r="B3354" s="190"/>
      <c r="C3354" s="99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0"/>
      <c r="E3354" s="78" t="str">
        <f>IF(C3354="","",IFERROR(VLOOKUP(C3354,parametros!$A$11:$E$15,5,0),""))</f>
        <v/>
      </c>
      <c r="F3354" s="79" t="str">
        <f t="shared" si="262"/>
        <v/>
      </c>
      <c r="G3354" s="101"/>
      <c r="H3354" s="91">
        <f t="shared" si="263"/>
        <v>0</v>
      </c>
      <c r="I3354" s="91" t="str">
        <f t="shared" si="264"/>
        <v/>
      </c>
      <c r="J3354" s="91" t="str">
        <f t="shared" si="265"/>
        <v/>
      </c>
      <c r="K3354" s="92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2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58"/>
      <c r="U3354" s="217" t="str">
        <f t="shared" si="266"/>
        <v/>
      </c>
      <c r="V3354" s="215" t="s">
        <v>47</v>
      </c>
      <c r="W3354" s="102" t="s">
        <v>136</v>
      </c>
      <c r="X3354" s="102" t="s">
        <v>137</v>
      </c>
      <c r="Y3354" s="103" t="s">
        <v>138</v>
      </c>
      <c r="Z3354" s="103" t="s">
        <v>139</v>
      </c>
      <c r="AA3354" s="103" t="s">
        <v>47</v>
      </c>
      <c r="AB3354" s="103" t="s">
        <v>140</v>
      </c>
      <c r="AC3354" s="104" t="s">
        <v>141</v>
      </c>
    </row>
    <row r="3355" spans="1:29" ht="25.5" customHeight="1" x14ac:dyDescent="0.35">
      <c r="A3355" s="188"/>
      <c r="B3355" s="190"/>
      <c r="C3355" s="99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0"/>
      <c r="E3355" s="78" t="str">
        <f>IF(C3355="","",IFERROR(VLOOKUP(C3355,parametros!$A$11:$E$15,5,0),""))</f>
        <v/>
      </c>
      <c r="F3355" s="79" t="str">
        <f t="shared" si="262"/>
        <v/>
      </c>
      <c r="G3355" s="101"/>
      <c r="H3355" s="91">
        <f t="shared" si="263"/>
        <v>0</v>
      </c>
      <c r="I3355" s="91" t="str">
        <f t="shared" si="264"/>
        <v/>
      </c>
      <c r="J3355" s="91" t="str">
        <f t="shared" si="265"/>
        <v/>
      </c>
      <c r="K3355" s="92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2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58"/>
      <c r="U3355" s="217" t="str">
        <f t="shared" si="266"/>
        <v/>
      </c>
      <c r="V3355" s="215" t="s">
        <v>47</v>
      </c>
      <c r="W3355" s="102" t="s">
        <v>136</v>
      </c>
      <c r="X3355" s="102" t="s">
        <v>137</v>
      </c>
      <c r="Y3355" s="103" t="s">
        <v>138</v>
      </c>
      <c r="Z3355" s="103" t="s">
        <v>139</v>
      </c>
      <c r="AA3355" s="103" t="s">
        <v>47</v>
      </c>
      <c r="AB3355" s="103" t="s">
        <v>140</v>
      </c>
      <c r="AC3355" s="104" t="s">
        <v>141</v>
      </c>
    </row>
    <row r="3356" spans="1:29" ht="25.5" customHeight="1" x14ac:dyDescent="0.35">
      <c r="A3356" s="188"/>
      <c r="B3356" s="190"/>
      <c r="C3356" s="99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0"/>
      <c r="E3356" s="78" t="str">
        <f>IF(C3356="","",IFERROR(VLOOKUP(C3356,parametros!$A$11:$E$15,5,0),""))</f>
        <v/>
      </c>
      <c r="F3356" s="79" t="str">
        <f t="shared" si="262"/>
        <v/>
      </c>
      <c r="G3356" s="101"/>
      <c r="H3356" s="91">
        <f t="shared" si="263"/>
        <v>0</v>
      </c>
      <c r="I3356" s="91" t="str">
        <f t="shared" si="264"/>
        <v/>
      </c>
      <c r="J3356" s="91" t="str">
        <f t="shared" si="265"/>
        <v/>
      </c>
      <c r="K3356" s="92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2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58"/>
      <c r="U3356" s="217" t="str">
        <f t="shared" si="266"/>
        <v/>
      </c>
      <c r="V3356" s="215" t="s">
        <v>47</v>
      </c>
      <c r="W3356" s="102" t="s">
        <v>136</v>
      </c>
      <c r="X3356" s="102" t="s">
        <v>137</v>
      </c>
      <c r="Y3356" s="103" t="s">
        <v>138</v>
      </c>
      <c r="Z3356" s="103" t="s">
        <v>139</v>
      </c>
      <c r="AA3356" s="103" t="s">
        <v>47</v>
      </c>
      <c r="AB3356" s="103" t="s">
        <v>140</v>
      </c>
      <c r="AC3356" s="104" t="s">
        <v>141</v>
      </c>
    </row>
    <row r="3357" spans="1:29" ht="25.5" customHeight="1" x14ac:dyDescent="0.35">
      <c r="A3357" s="188"/>
      <c r="B3357" s="190"/>
      <c r="C3357" s="99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0"/>
      <c r="E3357" s="78" t="str">
        <f>IF(C3357="","",IFERROR(VLOOKUP(C3357,parametros!$A$11:$E$15,5,0),""))</f>
        <v/>
      </c>
      <c r="F3357" s="79" t="str">
        <f t="shared" si="262"/>
        <v/>
      </c>
      <c r="G3357" s="101"/>
      <c r="H3357" s="91">
        <f t="shared" si="263"/>
        <v>0</v>
      </c>
      <c r="I3357" s="91" t="str">
        <f t="shared" si="264"/>
        <v/>
      </c>
      <c r="J3357" s="91" t="str">
        <f t="shared" si="265"/>
        <v/>
      </c>
      <c r="K3357" s="92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2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58"/>
      <c r="U3357" s="217" t="str">
        <f t="shared" si="266"/>
        <v/>
      </c>
      <c r="V3357" s="215" t="s">
        <v>47</v>
      </c>
      <c r="W3357" s="102" t="s">
        <v>136</v>
      </c>
      <c r="X3357" s="102" t="s">
        <v>137</v>
      </c>
      <c r="Y3357" s="103" t="s">
        <v>138</v>
      </c>
      <c r="Z3357" s="103" t="s">
        <v>139</v>
      </c>
      <c r="AA3357" s="103" t="s">
        <v>47</v>
      </c>
      <c r="AB3357" s="103" t="s">
        <v>140</v>
      </c>
      <c r="AC3357" s="104" t="s">
        <v>141</v>
      </c>
    </row>
    <row r="3358" spans="1:29" ht="25.5" customHeight="1" x14ac:dyDescent="0.35">
      <c r="A3358" s="188"/>
      <c r="B3358" s="190"/>
      <c r="C3358" s="99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0"/>
      <c r="E3358" s="78" t="str">
        <f>IF(C3358="","",IFERROR(VLOOKUP(C3358,parametros!$A$11:$E$15,5,0),""))</f>
        <v/>
      </c>
      <c r="F3358" s="79" t="str">
        <f t="shared" si="262"/>
        <v/>
      </c>
      <c r="G3358" s="101"/>
      <c r="H3358" s="91">
        <f t="shared" si="263"/>
        <v>0</v>
      </c>
      <c r="I3358" s="91" t="str">
        <f t="shared" si="264"/>
        <v/>
      </c>
      <c r="J3358" s="91" t="str">
        <f t="shared" si="265"/>
        <v/>
      </c>
      <c r="K3358" s="92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2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58"/>
      <c r="U3358" s="217" t="str">
        <f t="shared" si="266"/>
        <v/>
      </c>
      <c r="V3358" s="215" t="s">
        <v>47</v>
      </c>
      <c r="W3358" s="102" t="s">
        <v>136</v>
      </c>
      <c r="X3358" s="102" t="s">
        <v>137</v>
      </c>
      <c r="Y3358" s="103" t="s">
        <v>138</v>
      </c>
      <c r="Z3358" s="103" t="s">
        <v>139</v>
      </c>
      <c r="AA3358" s="103" t="s">
        <v>47</v>
      </c>
      <c r="AB3358" s="103" t="s">
        <v>140</v>
      </c>
      <c r="AC3358" s="104" t="s">
        <v>141</v>
      </c>
    </row>
    <row r="3359" spans="1:29" ht="25.5" customHeight="1" x14ac:dyDescent="0.35">
      <c r="A3359" s="188"/>
      <c r="B3359" s="190"/>
      <c r="C3359" s="99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0"/>
      <c r="E3359" s="78" t="str">
        <f>IF(C3359="","",IFERROR(VLOOKUP(C3359,parametros!$A$11:$E$15,5,0),""))</f>
        <v/>
      </c>
      <c r="F3359" s="79" t="str">
        <f t="shared" si="262"/>
        <v/>
      </c>
      <c r="G3359" s="101"/>
      <c r="H3359" s="91">
        <f t="shared" si="263"/>
        <v>0</v>
      </c>
      <c r="I3359" s="91" t="str">
        <f t="shared" si="264"/>
        <v/>
      </c>
      <c r="J3359" s="91" t="str">
        <f t="shared" si="265"/>
        <v/>
      </c>
      <c r="K3359" s="92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2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58"/>
      <c r="U3359" s="217" t="str">
        <f t="shared" si="266"/>
        <v/>
      </c>
      <c r="V3359" s="215" t="s">
        <v>47</v>
      </c>
      <c r="W3359" s="102" t="s">
        <v>136</v>
      </c>
      <c r="X3359" s="102" t="s">
        <v>137</v>
      </c>
      <c r="Y3359" s="103" t="s">
        <v>138</v>
      </c>
      <c r="Z3359" s="103" t="s">
        <v>139</v>
      </c>
      <c r="AA3359" s="103" t="s">
        <v>47</v>
      </c>
      <c r="AB3359" s="103" t="s">
        <v>140</v>
      </c>
      <c r="AC3359" s="104" t="s">
        <v>141</v>
      </c>
    </row>
    <row r="3360" spans="1:29" ht="25.5" customHeight="1" x14ac:dyDescent="0.35">
      <c r="A3360" s="188"/>
      <c r="B3360" s="190"/>
      <c r="C3360" s="99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0"/>
      <c r="E3360" s="78" t="str">
        <f>IF(C3360="","",IFERROR(VLOOKUP(C3360,parametros!$A$11:$E$15,5,0),""))</f>
        <v/>
      </c>
      <c r="F3360" s="79" t="str">
        <f t="shared" si="262"/>
        <v/>
      </c>
      <c r="G3360" s="101"/>
      <c r="H3360" s="91">
        <f t="shared" si="263"/>
        <v>0</v>
      </c>
      <c r="I3360" s="91" t="str">
        <f t="shared" si="264"/>
        <v/>
      </c>
      <c r="J3360" s="91" t="str">
        <f t="shared" si="265"/>
        <v/>
      </c>
      <c r="K3360" s="92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2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58"/>
      <c r="U3360" s="217" t="str">
        <f t="shared" si="266"/>
        <v/>
      </c>
      <c r="V3360" s="215" t="s">
        <v>47</v>
      </c>
      <c r="W3360" s="102" t="s">
        <v>136</v>
      </c>
      <c r="X3360" s="102" t="s">
        <v>137</v>
      </c>
      <c r="Y3360" s="103" t="s">
        <v>138</v>
      </c>
      <c r="Z3360" s="103" t="s">
        <v>139</v>
      </c>
      <c r="AA3360" s="103" t="s">
        <v>47</v>
      </c>
      <c r="AB3360" s="103" t="s">
        <v>140</v>
      </c>
      <c r="AC3360" s="104" t="s">
        <v>141</v>
      </c>
    </row>
    <row r="3361" spans="1:29" ht="25.5" customHeight="1" x14ac:dyDescent="0.35">
      <c r="A3361" s="188"/>
      <c r="B3361" s="190"/>
      <c r="C3361" s="99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0"/>
      <c r="E3361" s="78" t="str">
        <f>IF(C3361="","",IFERROR(VLOOKUP(C3361,parametros!$A$11:$E$15,5,0),""))</f>
        <v/>
      </c>
      <c r="F3361" s="79" t="str">
        <f t="shared" si="262"/>
        <v/>
      </c>
      <c r="G3361" s="101"/>
      <c r="H3361" s="91">
        <f t="shared" si="263"/>
        <v>0</v>
      </c>
      <c r="I3361" s="91" t="str">
        <f t="shared" si="264"/>
        <v/>
      </c>
      <c r="J3361" s="91" t="str">
        <f t="shared" si="265"/>
        <v/>
      </c>
      <c r="K3361" s="92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2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58"/>
      <c r="U3361" s="217" t="str">
        <f t="shared" si="266"/>
        <v/>
      </c>
      <c r="V3361" s="215" t="s">
        <v>47</v>
      </c>
      <c r="W3361" s="102" t="s">
        <v>136</v>
      </c>
      <c r="X3361" s="102" t="s">
        <v>137</v>
      </c>
      <c r="Y3361" s="103" t="s">
        <v>138</v>
      </c>
      <c r="Z3361" s="103" t="s">
        <v>139</v>
      </c>
      <c r="AA3361" s="103" t="s">
        <v>47</v>
      </c>
      <c r="AB3361" s="103" t="s">
        <v>140</v>
      </c>
      <c r="AC3361" s="104" t="s">
        <v>141</v>
      </c>
    </row>
    <row r="3362" spans="1:29" ht="25.5" customHeight="1" x14ac:dyDescent="0.35">
      <c r="A3362" s="188"/>
      <c r="B3362" s="190"/>
      <c r="C3362" s="99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0"/>
      <c r="E3362" s="78" t="str">
        <f>IF(C3362="","",IFERROR(VLOOKUP(C3362,parametros!$A$11:$E$15,5,0),""))</f>
        <v/>
      </c>
      <c r="F3362" s="79" t="str">
        <f t="shared" si="262"/>
        <v/>
      </c>
      <c r="G3362" s="101"/>
      <c r="H3362" s="91">
        <f t="shared" si="263"/>
        <v>0</v>
      </c>
      <c r="I3362" s="91" t="str">
        <f t="shared" si="264"/>
        <v/>
      </c>
      <c r="J3362" s="91" t="str">
        <f t="shared" si="265"/>
        <v/>
      </c>
      <c r="K3362" s="92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2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58"/>
      <c r="U3362" s="217" t="str">
        <f t="shared" si="266"/>
        <v/>
      </c>
      <c r="V3362" s="215" t="s">
        <v>47</v>
      </c>
      <c r="W3362" s="102" t="s">
        <v>136</v>
      </c>
      <c r="X3362" s="102" t="s">
        <v>137</v>
      </c>
      <c r="Y3362" s="103" t="s">
        <v>138</v>
      </c>
      <c r="Z3362" s="103" t="s">
        <v>139</v>
      </c>
      <c r="AA3362" s="103" t="s">
        <v>47</v>
      </c>
      <c r="AB3362" s="103" t="s">
        <v>140</v>
      </c>
      <c r="AC3362" s="104" t="s">
        <v>141</v>
      </c>
    </row>
    <row r="3363" spans="1:29" ht="25.5" customHeight="1" x14ac:dyDescent="0.35">
      <c r="A3363" s="188"/>
      <c r="B3363" s="190"/>
      <c r="C3363" s="99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0"/>
      <c r="E3363" s="78" t="str">
        <f>IF(C3363="","",IFERROR(VLOOKUP(C3363,parametros!$A$11:$E$15,5,0),""))</f>
        <v/>
      </c>
      <c r="F3363" s="79" t="str">
        <f t="shared" si="262"/>
        <v/>
      </c>
      <c r="G3363" s="101"/>
      <c r="H3363" s="91">
        <f t="shared" si="263"/>
        <v>0</v>
      </c>
      <c r="I3363" s="91" t="str">
        <f t="shared" si="264"/>
        <v/>
      </c>
      <c r="J3363" s="91" t="str">
        <f t="shared" si="265"/>
        <v/>
      </c>
      <c r="K3363" s="92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2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58"/>
      <c r="U3363" s="217" t="str">
        <f t="shared" si="266"/>
        <v/>
      </c>
      <c r="V3363" s="215" t="s">
        <v>47</v>
      </c>
      <c r="W3363" s="102" t="s">
        <v>136</v>
      </c>
      <c r="X3363" s="102" t="s">
        <v>137</v>
      </c>
      <c r="Y3363" s="103" t="s">
        <v>138</v>
      </c>
      <c r="Z3363" s="103" t="s">
        <v>139</v>
      </c>
      <c r="AA3363" s="103" t="s">
        <v>47</v>
      </c>
      <c r="AB3363" s="103" t="s">
        <v>140</v>
      </c>
      <c r="AC3363" s="104" t="s">
        <v>141</v>
      </c>
    </row>
    <row r="3364" spans="1:29" ht="25.5" customHeight="1" x14ac:dyDescent="0.35">
      <c r="A3364" s="188"/>
      <c r="B3364" s="190"/>
      <c r="C3364" s="99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0"/>
      <c r="E3364" s="78" t="str">
        <f>IF(C3364="","",IFERROR(VLOOKUP(C3364,parametros!$A$11:$E$15,5,0),""))</f>
        <v/>
      </c>
      <c r="F3364" s="79" t="str">
        <f t="shared" si="262"/>
        <v/>
      </c>
      <c r="G3364" s="101"/>
      <c r="H3364" s="91">
        <f t="shared" si="263"/>
        <v>0</v>
      </c>
      <c r="I3364" s="91" t="str">
        <f t="shared" si="264"/>
        <v/>
      </c>
      <c r="J3364" s="91" t="str">
        <f t="shared" si="265"/>
        <v/>
      </c>
      <c r="K3364" s="92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2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58"/>
      <c r="U3364" s="217" t="str">
        <f t="shared" si="266"/>
        <v/>
      </c>
      <c r="V3364" s="215" t="s">
        <v>47</v>
      </c>
      <c r="W3364" s="102" t="s">
        <v>136</v>
      </c>
      <c r="X3364" s="102" t="s">
        <v>137</v>
      </c>
      <c r="Y3364" s="103" t="s">
        <v>138</v>
      </c>
      <c r="Z3364" s="103" t="s">
        <v>139</v>
      </c>
      <c r="AA3364" s="103" t="s">
        <v>47</v>
      </c>
      <c r="AB3364" s="103" t="s">
        <v>140</v>
      </c>
      <c r="AC3364" s="104" t="s">
        <v>141</v>
      </c>
    </row>
    <row r="3365" spans="1:29" ht="25.5" customHeight="1" x14ac:dyDescent="0.35">
      <c r="A3365" s="188"/>
      <c r="B3365" s="190"/>
      <c r="C3365" s="99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0"/>
      <c r="E3365" s="78" t="str">
        <f>IF(C3365="","",IFERROR(VLOOKUP(C3365,parametros!$A$11:$E$15,5,0),""))</f>
        <v/>
      </c>
      <c r="F3365" s="79" t="str">
        <f t="shared" si="262"/>
        <v/>
      </c>
      <c r="G3365" s="101"/>
      <c r="H3365" s="91">
        <f t="shared" si="263"/>
        <v>0</v>
      </c>
      <c r="I3365" s="91" t="str">
        <f t="shared" si="264"/>
        <v/>
      </c>
      <c r="J3365" s="91" t="str">
        <f t="shared" si="265"/>
        <v/>
      </c>
      <c r="K3365" s="92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2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58"/>
      <c r="U3365" s="217" t="str">
        <f t="shared" si="266"/>
        <v/>
      </c>
      <c r="V3365" s="215" t="s">
        <v>47</v>
      </c>
      <c r="W3365" s="102" t="s">
        <v>136</v>
      </c>
      <c r="X3365" s="102" t="s">
        <v>137</v>
      </c>
      <c r="Y3365" s="103" t="s">
        <v>138</v>
      </c>
      <c r="Z3365" s="103" t="s">
        <v>139</v>
      </c>
      <c r="AA3365" s="103" t="s">
        <v>47</v>
      </c>
      <c r="AB3365" s="103" t="s">
        <v>140</v>
      </c>
      <c r="AC3365" s="104" t="s">
        <v>141</v>
      </c>
    </row>
    <row r="3366" spans="1:29" ht="25.5" customHeight="1" x14ac:dyDescent="0.35">
      <c r="A3366" s="188"/>
      <c r="B3366" s="190"/>
      <c r="C3366" s="99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0"/>
      <c r="E3366" s="78" t="str">
        <f>IF(C3366="","",IFERROR(VLOOKUP(C3366,parametros!$A$11:$E$15,5,0),""))</f>
        <v/>
      </c>
      <c r="F3366" s="79" t="str">
        <f t="shared" si="262"/>
        <v/>
      </c>
      <c r="G3366" s="101"/>
      <c r="H3366" s="91">
        <f t="shared" si="263"/>
        <v>0</v>
      </c>
      <c r="I3366" s="91" t="str">
        <f t="shared" si="264"/>
        <v/>
      </c>
      <c r="J3366" s="91" t="str">
        <f t="shared" si="265"/>
        <v/>
      </c>
      <c r="K3366" s="92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2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58"/>
      <c r="U3366" s="217" t="str">
        <f t="shared" si="266"/>
        <v/>
      </c>
      <c r="V3366" s="215" t="s">
        <v>47</v>
      </c>
      <c r="W3366" s="102" t="s">
        <v>136</v>
      </c>
      <c r="X3366" s="102" t="s">
        <v>137</v>
      </c>
      <c r="Y3366" s="103" t="s">
        <v>138</v>
      </c>
      <c r="Z3366" s="103" t="s">
        <v>139</v>
      </c>
      <c r="AA3366" s="103" t="s">
        <v>47</v>
      </c>
      <c r="AB3366" s="103" t="s">
        <v>140</v>
      </c>
      <c r="AC3366" s="104" t="s">
        <v>141</v>
      </c>
    </row>
    <row r="3367" spans="1:29" ht="25.5" customHeight="1" x14ac:dyDescent="0.35">
      <c r="A3367" s="188"/>
      <c r="B3367" s="190"/>
      <c r="C3367" s="99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0"/>
      <c r="E3367" s="78" t="str">
        <f>IF(C3367="","",IFERROR(VLOOKUP(C3367,parametros!$A$11:$E$15,5,0),""))</f>
        <v/>
      </c>
      <c r="F3367" s="79" t="str">
        <f t="shared" si="262"/>
        <v/>
      </c>
      <c r="G3367" s="101"/>
      <c r="H3367" s="91">
        <f t="shared" si="263"/>
        <v>0</v>
      </c>
      <c r="I3367" s="91" t="str">
        <f t="shared" si="264"/>
        <v/>
      </c>
      <c r="J3367" s="91" t="str">
        <f t="shared" si="265"/>
        <v/>
      </c>
      <c r="K3367" s="92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2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58"/>
      <c r="U3367" s="217" t="str">
        <f t="shared" si="266"/>
        <v/>
      </c>
      <c r="V3367" s="215" t="s">
        <v>47</v>
      </c>
      <c r="W3367" s="102" t="s">
        <v>136</v>
      </c>
      <c r="X3367" s="102" t="s">
        <v>137</v>
      </c>
      <c r="Y3367" s="103" t="s">
        <v>138</v>
      </c>
      <c r="Z3367" s="103" t="s">
        <v>139</v>
      </c>
      <c r="AA3367" s="103" t="s">
        <v>47</v>
      </c>
      <c r="AB3367" s="103" t="s">
        <v>140</v>
      </c>
      <c r="AC3367" s="104" t="s">
        <v>141</v>
      </c>
    </row>
    <row r="3368" spans="1:29" ht="25.5" customHeight="1" x14ac:dyDescent="0.35">
      <c r="A3368" s="188"/>
      <c r="B3368" s="190"/>
      <c r="C3368" s="99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0"/>
      <c r="E3368" s="78" t="str">
        <f>IF(C3368="","",IFERROR(VLOOKUP(C3368,parametros!$A$11:$E$15,5,0),""))</f>
        <v/>
      </c>
      <c r="F3368" s="79" t="str">
        <f t="shared" si="262"/>
        <v/>
      </c>
      <c r="G3368" s="101"/>
      <c r="H3368" s="91">
        <f t="shared" si="263"/>
        <v>0</v>
      </c>
      <c r="I3368" s="91" t="str">
        <f t="shared" si="264"/>
        <v/>
      </c>
      <c r="J3368" s="91" t="str">
        <f t="shared" si="265"/>
        <v/>
      </c>
      <c r="K3368" s="92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2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58"/>
      <c r="U3368" s="217" t="str">
        <f t="shared" si="266"/>
        <v/>
      </c>
      <c r="V3368" s="215" t="s">
        <v>47</v>
      </c>
      <c r="W3368" s="102" t="s">
        <v>136</v>
      </c>
      <c r="X3368" s="102" t="s">
        <v>137</v>
      </c>
      <c r="Y3368" s="103" t="s">
        <v>138</v>
      </c>
      <c r="Z3368" s="103" t="s">
        <v>139</v>
      </c>
      <c r="AA3368" s="103" t="s">
        <v>47</v>
      </c>
      <c r="AB3368" s="103" t="s">
        <v>140</v>
      </c>
      <c r="AC3368" s="104" t="s">
        <v>141</v>
      </c>
    </row>
    <row r="3369" spans="1:29" ht="25.5" customHeight="1" x14ac:dyDescent="0.35">
      <c r="A3369" s="188"/>
      <c r="B3369" s="190"/>
      <c r="C3369" s="99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0"/>
      <c r="E3369" s="78" t="str">
        <f>IF(C3369="","",IFERROR(VLOOKUP(C3369,parametros!$A$11:$E$15,5,0),""))</f>
        <v/>
      </c>
      <c r="F3369" s="79" t="str">
        <f t="shared" si="262"/>
        <v/>
      </c>
      <c r="G3369" s="101"/>
      <c r="H3369" s="91">
        <f t="shared" si="263"/>
        <v>0</v>
      </c>
      <c r="I3369" s="91" t="str">
        <f t="shared" si="264"/>
        <v/>
      </c>
      <c r="J3369" s="91" t="str">
        <f t="shared" si="265"/>
        <v/>
      </c>
      <c r="K3369" s="92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2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58"/>
      <c r="U3369" s="217" t="str">
        <f t="shared" si="266"/>
        <v/>
      </c>
      <c r="V3369" s="215" t="s">
        <v>47</v>
      </c>
      <c r="W3369" s="102" t="s">
        <v>136</v>
      </c>
      <c r="X3369" s="102" t="s">
        <v>137</v>
      </c>
      <c r="Y3369" s="103" t="s">
        <v>138</v>
      </c>
      <c r="Z3369" s="103" t="s">
        <v>139</v>
      </c>
      <c r="AA3369" s="103" t="s">
        <v>47</v>
      </c>
      <c r="AB3369" s="103" t="s">
        <v>140</v>
      </c>
      <c r="AC3369" s="104" t="s">
        <v>141</v>
      </c>
    </row>
    <row r="3370" spans="1:29" ht="25.5" customHeight="1" x14ac:dyDescent="0.35">
      <c r="A3370" s="188"/>
      <c r="B3370" s="190"/>
      <c r="C3370" s="99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0"/>
      <c r="E3370" s="78" t="str">
        <f>IF(C3370="","",IFERROR(VLOOKUP(C3370,parametros!$A$11:$E$15,5,0),""))</f>
        <v/>
      </c>
      <c r="F3370" s="79" t="str">
        <f t="shared" si="262"/>
        <v/>
      </c>
      <c r="G3370" s="101"/>
      <c r="H3370" s="91">
        <f t="shared" si="263"/>
        <v>0</v>
      </c>
      <c r="I3370" s="91" t="str">
        <f t="shared" si="264"/>
        <v/>
      </c>
      <c r="J3370" s="91" t="str">
        <f t="shared" si="265"/>
        <v/>
      </c>
      <c r="K3370" s="92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2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58"/>
      <c r="U3370" s="217" t="str">
        <f t="shared" si="266"/>
        <v/>
      </c>
      <c r="V3370" s="215" t="s">
        <v>47</v>
      </c>
      <c r="W3370" s="102" t="s">
        <v>136</v>
      </c>
      <c r="X3370" s="102" t="s">
        <v>137</v>
      </c>
      <c r="Y3370" s="103" t="s">
        <v>138</v>
      </c>
      <c r="Z3370" s="103" t="s">
        <v>139</v>
      </c>
      <c r="AA3370" s="103" t="s">
        <v>47</v>
      </c>
      <c r="AB3370" s="103" t="s">
        <v>140</v>
      </c>
      <c r="AC3370" s="104" t="s">
        <v>141</v>
      </c>
    </row>
    <row r="3371" spans="1:29" ht="25.5" customHeight="1" x14ac:dyDescent="0.35">
      <c r="A3371" s="188"/>
      <c r="B3371" s="190"/>
      <c r="C3371" s="99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0"/>
      <c r="E3371" s="78" t="str">
        <f>IF(C3371="","",IFERROR(VLOOKUP(C3371,parametros!$A$11:$E$15,5,0),""))</f>
        <v/>
      </c>
      <c r="F3371" s="79" t="str">
        <f t="shared" si="262"/>
        <v/>
      </c>
      <c r="G3371" s="101"/>
      <c r="H3371" s="91">
        <f t="shared" si="263"/>
        <v>0</v>
      </c>
      <c r="I3371" s="91" t="str">
        <f t="shared" si="264"/>
        <v/>
      </c>
      <c r="J3371" s="91" t="str">
        <f t="shared" si="265"/>
        <v/>
      </c>
      <c r="K3371" s="92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2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58"/>
      <c r="U3371" s="217" t="str">
        <f t="shared" si="266"/>
        <v/>
      </c>
      <c r="V3371" s="215" t="s">
        <v>47</v>
      </c>
      <c r="W3371" s="102" t="s">
        <v>136</v>
      </c>
      <c r="X3371" s="102" t="s">
        <v>137</v>
      </c>
      <c r="Y3371" s="103" t="s">
        <v>138</v>
      </c>
      <c r="Z3371" s="103" t="s">
        <v>139</v>
      </c>
      <c r="AA3371" s="103" t="s">
        <v>47</v>
      </c>
      <c r="AB3371" s="103" t="s">
        <v>140</v>
      </c>
      <c r="AC3371" s="104" t="s">
        <v>141</v>
      </c>
    </row>
    <row r="3372" spans="1:29" ht="25.5" customHeight="1" x14ac:dyDescent="0.35">
      <c r="A3372" s="188"/>
      <c r="B3372" s="190"/>
      <c r="C3372" s="99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0"/>
      <c r="E3372" s="78" t="str">
        <f>IF(C3372="","",IFERROR(VLOOKUP(C3372,parametros!$A$11:$E$15,5,0),""))</f>
        <v/>
      </c>
      <c r="F3372" s="79" t="str">
        <f t="shared" si="262"/>
        <v/>
      </c>
      <c r="G3372" s="101"/>
      <c r="H3372" s="91">
        <f t="shared" si="263"/>
        <v>0</v>
      </c>
      <c r="I3372" s="91" t="str">
        <f t="shared" si="264"/>
        <v/>
      </c>
      <c r="J3372" s="91" t="str">
        <f t="shared" si="265"/>
        <v/>
      </c>
      <c r="K3372" s="92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2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58"/>
      <c r="U3372" s="217" t="str">
        <f t="shared" si="266"/>
        <v/>
      </c>
      <c r="V3372" s="215" t="s">
        <v>47</v>
      </c>
      <c r="W3372" s="102" t="s">
        <v>136</v>
      </c>
      <c r="X3372" s="102" t="s">
        <v>137</v>
      </c>
      <c r="Y3372" s="103" t="s">
        <v>138</v>
      </c>
      <c r="Z3372" s="103" t="s">
        <v>139</v>
      </c>
      <c r="AA3372" s="103" t="s">
        <v>47</v>
      </c>
      <c r="AB3372" s="103" t="s">
        <v>140</v>
      </c>
      <c r="AC3372" s="104" t="s">
        <v>141</v>
      </c>
    </row>
    <row r="3373" spans="1:29" ht="25.5" customHeight="1" x14ac:dyDescent="0.35">
      <c r="A3373" s="188"/>
      <c r="B3373" s="190"/>
      <c r="C3373" s="99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0"/>
      <c r="E3373" s="78" t="str">
        <f>IF(C3373="","",IFERROR(VLOOKUP(C3373,parametros!$A$11:$E$15,5,0),""))</f>
        <v/>
      </c>
      <c r="F3373" s="79" t="str">
        <f t="shared" si="262"/>
        <v/>
      </c>
      <c r="G3373" s="101"/>
      <c r="H3373" s="91">
        <f t="shared" si="263"/>
        <v>0</v>
      </c>
      <c r="I3373" s="91" t="str">
        <f t="shared" si="264"/>
        <v/>
      </c>
      <c r="J3373" s="91" t="str">
        <f t="shared" si="265"/>
        <v/>
      </c>
      <c r="K3373" s="92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2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58"/>
      <c r="U3373" s="217" t="str">
        <f t="shared" si="266"/>
        <v/>
      </c>
      <c r="V3373" s="215" t="s">
        <v>47</v>
      </c>
      <c r="W3373" s="102" t="s">
        <v>136</v>
      </c>
      <c r="X3373" s="102" t="s">
        <v>137</v>
      </c>
      <c r="Y3373" s="103" t="s">
        <v>138</v>
      </c>
      <c r="Z3373" s="103" t="s">
        <v>139</v>
      </c>
      <c r="AA3373" s="103" t="s">
        <v>47</v>
      </c>
      <c r="AB3373" s="103" t="s">
        <v>140</v>
      </c>
      <c r="AC3373" s="104" t="s">
        <v>141</v>
      </c>
    </row>
    <row r="3374" spans="1:29" ht="25.5" customHeight="1" x14ac:dyDescent="0.35">
      <c r="A3374" s="188"/>
      <c r="B3374" s="190"/>
      <c r="C3374" s="99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0"/>
      <c r="E3374" s="78" t="str">
        <f>IF(C3374="","",IFERROR(VLOOKUP(C3374,parametros!$A$11:$E$15,5,0),""))</f>
        <v/>
      </c>
      <c r="F3374" s="79" t="str">
        <f t="shared" si="262"/>
        <v/>
      </c>
      <c r="G3374" s="101"/>
      <c r="H3374" s="91">
        <f t="shared" si="263"/>
        <v>0</v>
      </c>
      <c r="I3374" s="91" t="str">
        <f t="shared" si="264"/>
        <v/>
      </c>
      <c r="J3374" s="91" t="str">
        <f t="shared" si="265"/>
        <v/>
      </c>
      <c r="K3374" s="92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2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58"/>
      <c r="U3374" s="217" t="str">
        <f t="shared" si="266"/>
        <v/>
      </c>
      <c r="V3374" s="215" t="s">
        <v>47</v>
      </c>
      <c r="W3374" s="102" t="s">
        <v>136</v>
      </c>
      <c r="X3374" s="102" t="s">
        <v>137</v>
      </c>
      <c r="Y3374" s="103" t="s">
        <v>138</v>
      </c>
      <c r="Z3374" s="103" t="s">
        <v>139</v>
      </c>
      <c r="AA3374" s="103" t="s">
        <v>47</v>
      </c>
      <c r="AB3374" s="103" t="s">
        <v>140</v>
      </c>
      <c r="AC3374" s="104" t="s">
        <v>141</v>
      </c>
    </row>
    <row r="3375" spans="1:29" ht="25.5" customHeight="1" x14ac:dyDescent="0.35">
      <c r="A3375" s="188"/>
      <c r="B3375" s="190"/>
      <c r="C3375" s="99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0"/>
      <c r="E3375" s="78" t="str">
        <f>IF(C3375="","",IFERROR(VLOOKUP(C3375,parametros!$A$11:$E$15,5,0),""))</f>
        <v/>
      </c>
      <c r="F3375" s="79" t="str">
        <f t="shared" si="262"/>
        <v/>
      </c>
      <c r="G3375" s="101"/>
      <c r="H3375" s="91">
        <f t="shared" si="263"/>
        <v>0</v>
      </c>
      <c r="I3375" s="91" t="str">
        <f t="shared" si="264"/>
        <v/>
      </c>
      <c r="J3375" s="91" t="str">
        <f t="shared" si="265"/>
        <v/>
      </c>
      <c r="K3375" s="92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2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58"/>
      <c r="U3375" s="217" t="str">
        <f t="shared" si="266"/>
        <v/>
      </c>
      <c r="V3375" s="215" t="s">
        <v>47</v>
      </c>
      <c r="W3375" s="102" t="s">
        <v>136</v>
      </c>
      <c r="X3375" s="102" t="s">
        <v>137</v>
      </c>
      <c r="Y3375" s="103" t="s">
        <v>138</v>
      </c>
      <c r="Z3375" s="103" t="s">
        <v>139</v>
      </c>
      <c r="AA3375" s="103" t="s">
        <v>47</v>
      </c>
      <c r="AB3375" s="103" t="s">
        <v>140</v>
      </c>
      <c r="AC3375" s="104" t="s">
        <v>141</v>
      </c>
    </row>
    <row r="3376" spans="1:29" ht="25.5" customHeight="1" x14ac:dyDescent="0.35">
      <c r="A3376" s="188"/>
      <c r="B3376" s="190"/>
      <c r="C3376" s="99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0"/>
      <c r="E3376" s="78" t="str">
        <f>IF(C3376="","",IFERROR(VLOOKUP(C3376,parametros!$A$11:$E$15,5,0),""))</f>
        <v/>
      </c>
      <c r="F3376" s="79" t="str">
        <f t="shared" si="262"/>
        <v/>
      </c>
      <c r="G3376" s="101"/>
      <c r="H3376" s="91">
        <f t="shared" si="263"/>
        <v>0</v>
      </c>
      <c r="I3376" s="91" t="str">
        <f t="shared" si="264"/>
        <v/>
      </c>
      <c r="J3376" s="91" t="str">
        <f t="shared" si="265"/>
        <v/>
      </c>
      <c r="K3376" s="92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2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58"/>
      <c r="U3376" s="217" t="str">
        <f t="shared" si="266"/>
        <v/>
      </c>
      <c r="V3376" s="215" t="s">
        <v>47</v>
      </c>
      <c r="W3376" s="102" t="s">
        <v>136</v>
      </c>
      <c r="X3376" s="102" t="s">
        <v>137</v>
      </c>
      <c r="Y3376" s="103" t="s">
        <v>138</v>
      </c>
      <c r="Z3376" s="103" t="s">
        <v>139</v>
      </c>
      <c r="AA3376" s="103" t="s">
        <v>47</v>
      </c>
      <c r="AB3376" s="103" t="s">
        <v>140</v>
      </c>
      <c r="AC3376" s="104" t="s">
        <v>141</v>
      </c>
    </row>
    <row r="3377" spans="1:29" ht="25.5" customHeight="1" x14ac:dyDescent="0.35">
      <c r="A3377" s="188"/>
      <c r="B3377" s="190"/>
      <c r="C3377" s="99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0"/>
      <c r="E3377" s="78" t="str">
        <f>IF(C3377="","",IFERROR(VLOOKUP(C3377,parametros!$A$11:$E$15,5,0),""))</f>
        <v/>
      </c>
      <c r="F3377" s="79" t="str">
        <f t="shared" si="262"/>
        <v/>
      </c>
      <c r="G3377" s="101"/>
      <c r="H3377" s="91">
        <f t="shared" si="263"/>
        <v>0</v>
      </c>
      <c r="I3377" s="91" t="str">
        <f t="shared" si="264"/>
        <v/>
      </c>
      <c r="J3377" s="91" t="str">
        <f t="shared" si="265"/>
        <v/>
      </c>
      <c r="K3377" s="92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2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58"/>
      <c r="U3377" s="217" t="str">
        <f t="shared" si="266"/>
        <v/>
      </c>
      <c r="V3377" s="215" t="s">
        <v>47</v>
      </c>
      <c r="W3377" s="102" t="s">
        <v>136</v>
      </c>
      <c r="X3377" s="102" t="s">
        <v>137</v>
      </c>
      <c r="Y3377" s="103" t="s">
        <v>138</v>
      </c>
      <c r="Z3377" s="103" t="s">
        <v>139</v>
      </c>
      <c r="AA3377" s="103" t="s">
        <v>47</v>
      </c>
      <c r="AB3377" s="103" t="s">
        <v>140</v>
      </c>
      <c r="AC3377" s="104" t="s">
        <v>141</v>
      </c>
    </row>
    <row r="3378" spans="1:29" ht="25.5" customHeight="1" x14ac:dyDescent="0.35">
      <c r="A3378" s="188"/>
      <c r="B3378" s="190"/>
      <c r="C3378" s="99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0"/>
      <c r="E3378" s="78" t="str">
        <f>IF(C3378="","",IFERROR(VLOOKUP(C3378,parametros!$A$11:$E$15,5,0),""))</f>
        <v/>
      </c>
      <c r="F3378" s="79" t="str">
        <f t="shared" si="262"/>
        <v/>
      </c>
      <c r="G3378" s="101"/>
      <c r="H3378" s="91">
        <f t="shared" si="263"/>
        <v>0</v>
      </c>
      <c r="I3378" s="91" t="str">
        <f t="shared" si="264"/>
        <v/>
      </c>
      <c r="J3378" s="91" t="str">
        <f t="shared" si="265"/>
        <v/>
      </c>
      <c r="K3378" s="92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2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58"/>
      <c r="U3378" s="217" t="str">
        <f t="shared" si="266"/>
        <v/>
      </c>
      <c r="V3378" s="215" t="s">
        <v>47</v>
      </c>
      <c r="W3378" s="102" t="s">
        <v>136</v>
      </c>
      <c r="X3378" s="102" t="s">
        <v>137</v>
      </c>
      <c r="Y3378" s="103" t="s">
        <v>138</v>
      </c>
      <c r="Z3378" s="103" t="s">
        <v>139</v>
      </c>
      <c r="AA3378" s="103" t="s">
        <v>47</v>
      </c>
      <c r="AB3378" s="103" t="s">
        <v>140</v>
      </c>
      <c r="AC3378" s="104" t="s">
        <v>141</v>
      </c>
    </row>
    <row r="3379" spans="1:29" ht="25.5" customHeight="1" x14ac:dyDescent="0.35">
      <c r="A3379" s="188"/>
      <c r="B3379" s="190"/>
      <c r="C3379" s="99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0"/>
      <c r="E3379" s="78" t="str">
        <f>IF(C3379="","",IFERROR(VLOOKUP(C3379,parametros!$A$11:$E$15,5,0),""))</f>
        <v/>
      </c>
      <c r="F3379" s="79" t="str">
        <f t="shared" si="262"/>
        <v/>
      </c>
      <c r="G3379" s="101"/>
      <c r="H3379" s="91">
        <f t="shared" si="263"/>
        <v>0</v>
      </c>
      <c r="I3379" s="91" t="str">
        <f t="shared" si="264"/>
        <v/>
      </c>
      <c r="J3379" s="91" t="str">
        <f t="shared" si="265"/>
        <v/>
      </c>
      <c r="K3379" s="92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2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58"/>
      <c r="U3379" s="217" t="str">
        <f t="shared" si="266"/>
        <v/>
      </c>
      <c r="V3379" s="215" t="s">
        <v>47</v>
      </c>
      <c r="W3379" s="102" t="s">
        <v>136</v>
      </c>
      <c r="X3379" s="102" t="s">
        <v>137</v>
      </c>
      <c r="Y3379" s="103" t="s">
        <v>138</v>
      </c>
      <c r="Z3379" s="103" t="s">
        <v>139</v>
      </c>
      <c r="AA3379" s="103" t="s">
        <v>47</v>
      </c>
      <c r="AB3379" s="103" t="s">
        <v>140</v>
      </c>
      <c r="AC3379" s="104" t="s">
        <v>141</v>
      </c>
    </row>
    <row r="3380" spans="1:29" ht="25.5" customHeight="1" x14ac:dyDescent="0.35">
      <c r="A3380" s="188"/>
      <c r="B3380" s="190"/>
      <c r="C3380" s="99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0"/>
      <c r="E3380" s="78" t="str">
        <f>IF(C3380="","",IFERROR(VLOOKUP(C3380,parametros!$A$11:$E$15,5,0),""))</f>
        <v/>
      </c>
      <c r="F3380" s="79" t="str">
        <f t="shared" si="262"/>
        <v/>
      </c>
      <c r="G3380" s="101"/>
      <c r="H3380" s="91">
        <f t="shared" si="263"/>
        <v>0</v>
      </c>
      <c r="I3380" s="91" t="str">
        <f t="shared" si="264"/>
        <v/>
      </c>
      <c r="J3380" s="91" t="str">
        <f t="shared" si="265"/>
        <v/>
      </c>
      <c r="K3380" s="92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2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58"/>
      <c r="U3380" s="217" t="str">
        <f t="shared" si="266"/>
        <v/>
      </c>
      <c r="V3380" s="215" t="s">
        <v>47</v>
      </c>
      <c r="W3380" s="102" t="s">
        <v>136</v>
      </c>
      <c r="X3380" s="102" t="s">
        <v>137</v>
      </c>
      <c r="Y3380" s="103" t="s">
        <v>138</v>
      </c>
      <c r="Z3380" s="103" t="s">
        <v>139</v>
      </c>
      <c r="AA3380" s="103" t="s">
        <v>47</v>
      </c>
      <c r="AB3380" s="103" t="s">
        <v>140</v>
      </c>
      <c r="AC3380" s="104" t="s">
        <v>141</v>
      </c>
    </row>
    <row r="3381" spans="1:29" ht="25.5" customHeight="1" x14ac:dyDescent="0.35">
      <c r="A3381" s="188"/>
      <c r="B3381" s="190"/>
      <c r="C3381" s="99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0"/>
      <c r="E3381" s="78" t="str">
        <f>IF(C3381="","",IFERROR(VLOOKUP(C3381,parametros!$A$11:$E$15,5,0),""))</f>
        <v/>
      </c>
      <c r="F3381" s="79" t="str">
        <f t="shared" si="262"/>
        <v/>
      </c>
      <c r="G3381" s="101"/>
      <c r="H3381" s="91">
        <f t="shared" si="263"/>
        <v>0</v>
      </c>
      <c r="I3381" s="91" t="str">
        <f t="shared" si="264"/>
        <v/>
      </c>
      <c r="J3381" s="91" t="str">
        <f t="shared" si="265"/>
        <v/>
      </c>
      <c r="K3381" s="92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2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58"/>
      <c r="U3381" s="217" t="str">
        <f t="shared" si="266"/>
        <v/>
      </c>
      <c r="V3381" s="215" t="s">
        <v>47</v>
      </c>
      <c r="W3381" s="102" t="s">
        <v>136</v>
      </c>
      <c r="X3381" s="102" t="s">
        <v>137</v>
      </c>
      <c r="Y3381" s="103" t="s">
        <v>138</v>
      </c>
      <c r="Z3381" s="103" t="s">
        <v>139</v>
      </c>
      <c r="AA3381" s="103" t="s">
        <v>47</v>
      </c>
      <c r="AB3381" s="103" t="s">
        <v>140</v>
      </c>
      <c r="AC3381" s="104" t="s">
        <v>141</v>
      </c>
    </row>
    <row r="3382" spans="1:29" ht="25.5" customHeight="1" x14ac:dyDescent="0.35">
      <c r="A3382" s="188"/>
      <c r="B3382" s="190"/>
      <c r="C3382" s="99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0"/>
      <c r="E3382" s="78" t="str">
        <f>IF(C3382="","",IFERROR(VLOOKUP(C3382,parametros!$A$11:$E$15,5,0),""))</f>
        <v/>
      </c>
      <c r="F3382" s="79" t="str">
        <f t="shared" si="262"/>
        <v/>
      </c>
      <c r="G3382" s="101"/>
      <c r="H3382" s="91">
        <f t="shared" si="263"/>
        <v>0</v>
      </c>
      <c r="I3382" s="91" t="str">
        <f t="shared" si="264"/>
        <v/>
      </c>
      <c r="J3382" s="91" t="str">
        <f t="shared" si="265"/>
        <v/>
      </c>
      <c r="K3382" s="92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2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58"/>
      <c r="U3382" s="217" t="str">
        <f t="shared" si="266"/>
        <v/>
      </c>
      <c r="V3382" s="215" t="s">
        <v>47</v>
      </c>
      <c r="W3382" s="102" t="s">
        <v>136</v>
      </c>
      <c r="X3382" s="102" t="s">
        <v>137</v>
      </c>
      <c r="Y3382" s="103" t="s">
        <v>138</v>
      </c>
      <c r="Z3382" s="103" t="s">
        <v>139</v>
      </c>
      <c r="AA3382" s="103" t="s">
        <v>47</v>
      </c>
      <c r="AB3382" s="103" t="s">
        <v>140</v>
      </c>
      <c r="AC3382" s="104" t="s">
        <v>141</v>
      </c>
    </row>
    <row r="3383" spans="1:29" ht="25.5" customHeight="1" x14ac:dyDescent="0.35">
      <c r="A3383" s="188"/>
      <c r="B3383" s="190"/>
      <c r="C3383" s="99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0"/>
      <c r="E3383" s="78" t="str">
        <f>IF(C3383="","",IFERROR(VLOOKUP(C3383,parametros!$A$11:$E$15,5,0),""))</f>
        <v/>
      </c>
      <c r="F3383" s="79" t="str">
        <f t="shared" si="262"/>
        <v/>
      </c>
      <c r="G3383" s="101"/>
      <c r="H3383" s="91">
        <f t="shared" si="263"/>
        <v>0</v>
      </c>
      <c r="I3383" s="91" t="str">
        <f t="shared" si="264"/>
        <v/>
      </c>
      <c r="J3383" s="91" t="str">
        <f t="shared" si="265"/>
        <v/>
      </c>
      <c r="K3383" s="92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2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58"/>
      <c r="U3383" s="217" t="str">
        <f t="shared" si="266"/>
        <v/>
      </c>
      <c r="V3383" s="215" t="s">
        <v>47</v>
      </c>
      <c r="W3383" s="102" t="s">
        <v>136</v>
      </c>
      <c r="X3383" s="102" t="s">
        <v>137</v>
      </c>
      <c r="Y3383" s="103" t="s">
        <v>138</v>
      </c>
      <c r="Z3383" s="103" t="s">
        <v>139</v>
      </c>
      <c r="AA3383" s="103" t="s">
        <v>47</v>
      </c>
      <c r="AB3383" s="103" t="s">
        <v>140</v>
      </c>
      <c r="AC3383" s="104" t="s">
        <v>141</v>
      </c>
    </row>
    <row r="3384" spans="1:29" ht="25.5" customHeight="1" x14ac:dyDescent="0.35">
      <c r="A3384" s="188"/>
      <c r="B3384" s="190"/>
      <c r="C3384" s="99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0"/>
      <c r="E3384" s="78" t="str">
        <f>IF(C3384="","",IFERROR(VLOOKUP(C3384,parametros!$A$11:$E$15,5,0),""))</f>
        <v/>
      </c>
      <c r="F3384" s="79" t="str">
        <f t="shared" si="262"/>
        <v/>
      </c>
      <c r="G3384" s="101"/>
      <c r="H3384" s="91">
        <f t="shared" si="263"/>
        <v>0</v>
      </c>
      <c r="I3384" s="91" t="str">
        <f t="shared" si="264"/>
        <v/>
      </c>
      <c r="J3384" s="91" t="str">
        <f t="shared" si="265"/>
        <v/>
      </c>
      <c r="K3384" s="92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2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58"/>
      <c r="U3384" s="217" t="str">
        <f t="shared" si="266"/>
        <v/>
      </c>
      <c r="V3384" s="215" t="s">
        <v>47</v>
      </c>
      <c r="W3384" s="102" t="s">
        <v>136</v>
      </c>
      <c r="X3384" s="102" t="s">
        <v>137</v>
      </c>
      <c r="Y3384" s="103" t="s">
        <v>138</v>
      </c>
      <c r="Z3384" s="103" t="s">
        <v>139</v>
      </c>
      <c r="AA3384" s="103" t="s">
        <v>47</v>
      </c>
      <c r="AB3384" s="103" t="s">
        <v>140</v>
      </c>
      <c r="AC3384" s="104" t="s">
        <v>141</v>
      </c>
    </row>
    <row r="3385" spans="1:29" ht="25.5" customHeight="1" x14ac:dyDescent="0.35">
      <c r="A3385" s="188"/>
      <c r="B3385" s="190"/>
      <c r="C3385" s="99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0"/>
      <c r="E3385" s="78" t="str">
        <f>IF(C3385="","",IFERROR(VLOOKUP(C3385,parametros!$A$11:$E$15,5,0),""))</f>
        <v/>
      </c>
      <c r="F3385" s="79" t="str">
        <f t="shared" si="262"/>
        <v/>
      </c>
      <c r="G3385" s="101"/>
      <c r="H3385" s="91">
        <f t="shared" si="263"/>
        <v>0</v>
      </c>
      <c r="I3385" s="91" t="str">
        <f t="shared" si="264"/>
        <v/>
      </c>
      <c r="J3385" s="91" t="str">
        <f t="shared" si="265"/>
        <v/>
      </c>
      <c r="K3385" s="92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2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58"/>
      <c r="U3385" s="217" t="str">
        <f t="shared" si="266"/>
        <v/>
      </c>
      <c r="V3385" s="215" t="s">
        <v>47</v>
      </c>
      <c r="W3385" s="102" t="s">
        <v>136</v>
      </c>
      <c r="X3385" s="102" t="s">
        <v>137</v>
      </c>
      <c r="Y3385" s="103" t="s">
        <v>138</v>
      </c>
      <c r="Z3385" s="103" t="s">
        <v>139</v>
      </c>
      <c r="AA3385" s="103" t="s">
        <v>47</v>
      </c>
      <c r="AB3385" s="103" t="s">
        <v>140</v>
      </c>
      <c r="AC3385" s="104" t="s">
        <v>141</v>
      </c>
    </row>
    <row r="3386" spans="1:29" ht="25.5" customHeight="1" x14ac:dyDescent="0.35">
      <c r="A3386" s="188"/>
      <c r="B3386" s="190"/>
      <c r="C3386" s="99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0"/>
      <c r="E3386" s="78" t="str">
        <f>IF(C3386="","",IFERROR(VLOOKUP(C3386,parametros!$A$11:$E$15,5,0),""))</f>
        <v/>
      </c>
      <c r="F3386" s="79" t="str">
        <f t="shared" si="262"/>
        <v/>
      </c>
      <c r="G3386" s="101"/>
      <c r="H3386" s="91">
        <f t="shared" si="263"/>
        <v>0</v>
      </c>
      <c r="I3386" s="91" t="str">
        <f t="shared" si="264"/>
        <v/>
      </c>
      <c r="J3386" s="91" t="str">
        <f t="shared" si="265"/>
        <v/>
      </c>
      <c r="K3386" s="92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2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58"/>
      <c r="U3386" s="217" t="str">
        <f t="shared" si="266"/>
        <v/>
      </c>
      <c r="V3386" s="215" t="s">
        <v>47</v>
      </c>
      <c r="W3386" s="102" t="s">
        <v>136</v>
      </c>
      <c r="X3386" s="102" t="s">
        <v>137</v>
      </c>
      <c r="Y3386" s="103" t="s">
        <v>138</v>
      </c>
      <c r="Z3386" s="103" t="s">
        <v>139</v>
      </c>
      <c r="AA3386" s="103" t="s">
        <v>47</v>
      </c>
      <c r="AB3386" s="103" t="s">
        <v>140</v>
      </c>
      <c r="AC3386" s="104" t="s">
        <v>141</v>
      </c>
    </row>
    <row r="3387" spans="1:29" ht="25.5" customHeight="1" x14ac:dyDescent="0.35">
      <c r="A3387" s="188"/>
      <c r="B3387" s="190"/>
      <c r="C3387" s="99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0"/>
      <c r="E3387" s="78" t="str">
        <f>IF(C3387="","",IFERROR(VLOOKUP(C3387,parametros!$A$11:$E$15,5,0),""))</f>
        <v/>
      </c>
      <c r="F3387" s="79" t="str">
        <f t="shared" si="262"/>
        <v/>
      </c>
      <c r="G3387" s="101"/>
      <c r="H3387" s="91">
        <f t="shared" si="263"/>
        <v>0</v>
      </c>
      <c r="I3387" s="91" t="str">
        <f t="shared" si="264"/>
        <v/>
      </c>
      <c r="J3387" s="91" t="str">
        <f t="shared" si="265"/>
        <v/>
      </c>
      <c r="K3387" s="92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2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58"/>
      <c r="U3387" s="217" t="str">
        <f t="shared" si="266"/>
        <v/>
      </c>
      <c r="V3387" s="215" t="s">
        <v>47</v>
      </c>
      <c r="W3387" s="102" t="s">
        <v>136</v>
      </c>
      <c r="X3387" s="102" t="s">
        <v>137</v>
      </c>
      <c r="Y3387" s="103" t="s">
        <v>138</v>
      </c>
      <c r="Z3387" s="103" t="s">
        <v>139</v>
      </c>
      <c r="AA3387" s="103" t="s">
        <v>47</v>
      </c>
      <c r="AB3387" s="103" t="s">
        <v>140</v>
      </c>
      <c r="AC3387" s="104" t="s">
        <v>141</v>
      </c>
    </row>
    <row r="3388" spans="1:29" ht="25.5" customHeight="1" x14ac:dyDescent="0.35">
      <c r="A3388" s="188"/>
      <c r="B3388" s="190"/>
      <c r="C3388" s="99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0"/>
      <c r="E3388" s="78" t="str">
        <f>IF(C3388="","",IFERROR(VLOOKUP(C3388,parametros!$A$11:$E$15,5,0),""))</f>
        <v/>
      </c>
      <c r="F3388" s="79" t="str">
        <f t="shared" si="262"/>
        <v/>
      </c>
      <c r="G3388" s="101"/>
      <c r="H3388" s="91">
        <f t="shared" si="263"/>
        <v>0</v>
      </c>
      <c r="I3388" s="91" t="str">
        <f t="shared" si="264"/>
        <v/>
      </c>
      <c r="J3388" s="91" t="str">
        <f t="shared" si="265"/>
        <v/>
      </c>
      <c r="K3388" s="92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2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58"/>
      <c r="U3388" s="217" t="str">
        <f t="shared" si="266"/>
        <v/>
      </c>
      <c r="V3388" s="215" t="s">
        <v>47</v>
      </c>
      <c r="W3388" s="102" t="s">
        <v>136</v>
      </c>
      <c r="X3388" s="102" t="s">
        <v>137</v>
      </c>
      <c r="Y3388" s="103" t="s">
        <v>138</v>
      </c>
      <c r="Z3388" s="103" t="s">
        <v>139</v>
      </c>
      <c r="AA3388" s="103" t="s">
        <v>47</v>
      </c>
      <c r="AB3388" s="103" t="s">
        <v>140</v>
      </c>
      <c r="AC3388" s="104" t="s">
        <v>141</v>
      </c>
    </row>
    <row r="3389" spans="1:29" ht="25.5" customHeight="1" x14ac:dyDescent="0.35">
      <c r="A3389" s="188"/>
      <c r="B3389" s="190"/>
      <c r="C3389" s="99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0"/>
      <c r="E3389" s="78" t="str">
        <f>IF(C3389="","",IFERROR(VLOOKUP(C3389,parametros!$A$11:$E$15,5,0),""))</f>
        <v/>
      </c>
      <c r="F3389" s="79" t="str">
        <f t="shared" si="262"/>
        <v/>
      </c>
      <c r="G3389" s="101"/>
      <c r="H3389" s="91">
        <f t="shared" si="263"/>
        <v>0</v>
      </c>
      <c r="I3389" s="91" t="str">
        <f t="shared" si="264"/>
        <v/>
      </c>
      <c r="J3389" s="91" t="str">
        <f t="shared" si="265"/>
        <v/>
      </c>
      <c r="K3389" s="92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2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58"/>
      <c r="U3389" s="217" t="str">
        <f t="shared" si="266"/>
        <v/>
      </c>
      <c r="V3389" s="215" t="s">
        <v>47</v>
      </c>
      <c r="W3389" s="102" t="s">
        <v>136</v>
      </c>
      <c r="X3389" s="102" t="s">
        <v>137</v>
      </c>
      <c r="Y3389" s="103" t="s">
        <v>138</v>
      </c>
      <c r="Z3389" s="103" t="s">
        <v>139</v>
      </c>
      <c r="AA3389" s="103" t="s">
        <v>47</v>
      </c>
      <c r="AB3389" s="103" t="s">
        <v>140</v>
      </c>
      <c r="AC3389" s="104" t="s">
        <v>141</v>
      </c>
    </row>
    <row r="3390" spans="1:29" ht="25.5" customHeight="1" x14ac:dyDescent="0.35">
      <c r="A3390" s="188"/>
      <c r="B3390" s="190"/>
      <c r="C3390" s="99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0"/>
      <c r="E3390" s="78" t="str">
        <f>IF(C3390="","",IFERROR(VLOOKUP(C3390,parametros!$A$11:$E$15,5,0),""))</f>
        <v/>
      </c>
      <c r="F3390" s="79" t="str">
        <f t="shared" si="262"/>
        <v/>
      </c>
      <c r="G3390" s="101"/>
      <c r="H3390" s="91">
        <f t="shared" si="263"/>
        <v>0</v>
      </c>
      <c r="I3390" s="91" t="str">
        <f t="shared" si="264"/>
        <v/>
      </c>
      <c r="J3390" s="91" t="str">
        <f t="shared" si="265"/>
        <v/>
      </c>
      <c r="K3390" s="92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2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58"/>
      <c r="U3390" s="217" t="str">
        <f t="shared" si="266"/>
        <v/>
      </c>
      <c r="V3390" s="215" t="s">
        <v>47</v>
      </c>
      <c r="W3390" s="102" t="s">
        <v>136</v>
      </c>
      <c r="X3390" s="102" t="s">
        <v>137</v>
      </c>
      <c r="Y3390" s="103" t="s">
        <v>138</v>
      </c>
      <c r="Z3390" s="103" t="s">
        <v>139</v>
      </c>
      <c r="AA3390" s="103" t="s">
        <v>47</v>
      </c>
      <c r="AB3390" s="103" t="s">
        <v>140</v>
      </c>
      <c r="AC3390" s="104" t="s">
        <v>141</v>
      </c>
    </row>
    <row r="3391" spans="1:29" ht="25.5" customHeight="1" x14ac:dyDescent="0.35">
      <c r="A3391" s="188"/>
      <c r="B3391" s="190"/>
      <c r="C3391" s="99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0"/>
      <c r="E3391" s="78" t="str">
        <f>IF(C3391="","",IFERROR(VLOOKUP(C3391,parametros!$A$11:$E$15,5,0),""))</f>
        <v/>
      </c>
      <c r="F3391" s="79" t="str">
        <f t="shared" si="262"/>
        <v/>
      </c>
      <c r="G3391" s="101"/>
      <c r="H3391" s="91">
        <f t="shared" si="263"/>
        <v>0</v>
      </c>
      <c r="I3391" s="91" t="str">
        <f t="shared" si="264"/>
        <v/>
      </c>
      <c r="J3391" s="91" t="str">
        <f t="shared" si="265"/>
        <v/>
      </c>
      <c r="K3391" s="92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2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58"/>
      <c r="U3391" s="217" t="str">
        <f t="shared" si="266"/>
        <v/>
      </c>
      <c r="V3391" s="215" t="s">
        <v>47</v>
      </c>
      <c r="W3391" s="102" t="s">
        <v>136</v>
      </c>
      <c r="X3391" s="102" t="s">
        <v>137</v>
      </c>
      <c r="Y3391" s="103" t="s">
        <v>138</v>
      </c>
      <c r="Z3391" s="103" t="s">
        <v>139</v>
      </c>
      <c r="AA3391" s="103" t="s">
        <v>47</v>
      </c>
      <c r="AB3391" s="103" t="s">
        <v>140</v>
      </c>
      <c r="AC3391" s="104" t="s">
        <v>141</v>
      </c>
    </row>
    <row r="3392" spans="1:29" ht="25.5" customHeight="1" x14ac:dyDescent="0.35">
      <c r="A3392" s="188"/>
      <c r="B3392" s="190"/>
      <c r="C3392" s="99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0"/>
      <c r="E3392" s="78" t="str">
        <f>IF(C3392="","",IFERROR(VLOOKUP(C3392,parametros!$A$11:$E$15,5,0),""))</f>
        <v/>
      </c>
      <c r="F3392" s="79" t="str">
        <f t="shared" si="262"/>
        <v/>
      </c>
      <c r="G3392" s="101"/>
      <c r="H3392" s="91">
        <f t="shared" si="263"/>
        <v>0</v>
      </c>
      <c r="I3392" s="91" t="str">
        <f t="shared" si="264"/>
        <v/>
      </c>
      <c r="J3392" s="91" t="str">
        <f t="shared" si="265"/>
        <v/>
      </c>
      <c r="K3392" s="92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2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58"/>
      <c r="U3392" s="217" t="str">
        <f t="shared" si="266"/>
        <v/>
      </c>
      <c r="V3392" s="215" t="s">
        <v>47</v>
      </c>
      <c r="W3392" s="102" t="s">
        <v>136</v>
      </c>
      <c r="X3392" s="102" t="s">
        <v>137</v>
      </c>
      <c r="Y3392" s="103" t="s">
        <v>138</v>
      </c>
      <c r="Z3392" s="103" t="s">
        <v>139</v>
      </c>
      <c r="AA3392" s="103" t="s">
        <v>47</v>
      </c>
      <c r="AB3392" s="103" t="s">
        <v>140</v>
      </c>
      <c r="AC3392" s="104" t="s">
        <v>141</v>
      </c>
    </row>
    <row r="3393" spans="1:29" ht="25.5" customHeight="1" x14ac:dyDescent="0.35">
      <c r="A3393" s="188"/>
      <c r="B3393" s="190"/>
      <c r="C3393" s="99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0"/>
      <c r="E3393" s="78" t="str">
        <f>IF(C3393="","",IFERROR(VLOOKUP(C3393,parametros!$A$11:$E$15,5,0),""))</f>
        <v/>
      </c>
      <c r="F3393" s="79" t="str">
        <f t="shared" si="262"/>
        <v/>
      </c>
      <c r="G3393" s="101"/>
      <c r="H3393" s="91">
        <f t="shared" si="263"/>
        <v>0</v>
      </c>
      <c r="I3393" s="91" t="str">
        <f t="shared" si="264"/>
        <v/>
      </c>
      <c r="J3393" s="91" t="str">
        <f t="shared" si="265"/>
        <v/>
      </c>
      <c r="K3393" s="92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2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58"/>
      <c r="U3393" s="217" t="str">
        <f t="shared" si="266"/>
        <v/>
      </c>
      <c r="V3393" s="215" t="s">
        <v>47</v>
      </c>
      <c r="W3393" s="102" t="s">
        <v>136</v>
      </c>
      <c r="X3393" s="102" t="s">
        <v>137</v>
      </c>
      <c r="Y3393" s="103" t="s">
        <v>138</v>
      </c>
      <c r="Z3393" s="103" t="s">
        <v>139</v>
      </c>
      <c r="AA3393" s="103" t="s">
        <v>47</v>
      </c>
      <c r="AB3393" s="103" t="s">
        <v>140</v>
      </c>
      <c r="AC3393" s="104" t="s">
        <v>141</v>
      </c>
    </row>
    <row r="3394" spans="1:29" ht="25.5" customHeight="1" x14ac:dyDescent="0.35">
      <c r="A3394" s="188"/>
      <c r="B3394" s="190"/>
      <c r="C3394" s="99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0"/>
      <c r="E3394" s="78" t="str">
        <f>IF(C3394="","",IFERROR(VLOOKUP(C3394,parametros!$A$11:$E$15,5,0),""))</f>
        <v/>
      </c>
      <c r="F3394" s="79" t="str">
        <f t="shared" ref="F3394:F3457" si="267">IF(OR(D3394="",E3394=""),"",ROUND(D3394*E3394,2))</f>
        <v/>
      </c>
      <c r="G3394" s="101"/>
      <c r="H3394" s="91">
        <f t="shared" ref="H3394:H3457" si="268">IF(G3394="Sim",IF(OR(F3394="",D3394="",L3394=""),"",IF(L3394="Sim",ROUND(F3394-D3394,2),0)),0)</f>
        <v>0</v>
      </c>
      <c r="I3394" s="91" t="str">
        <f t="shared" ref="I3394:I3457" si="269">IF(G3394="Sim",0,IF(OR(F3394="",L3394=""),"",F3394))</f>
        <v/>
      </c>
      <c r="J3394" s="91" t="str">
        <f t="shared" ref="J3394:J3457" si="270">IF(G3394="Sim",0,IF(OR(F3394="",D3394="",L3394=""),"",IF(L3394="Sim",ROUND(F3394-D3394,2),0)))</f>
        <v/>
      </c>
      <c r="K3394" s="92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2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58"/>
      <c r="U3394" s="217" t="str">
        <f t="shared" ref="U3394:U3457" si="271">IF(OR($D3394="",$H3394=""),"",ROUND($D3394+$H3394,2))</f>
        <v/>
      </c>
      <c r="V3394" s="215" t="s">
        <v>47</v>
      </c>
      <c r="W3394" s="102" t="s">
        <v>136</v>
      </c>
      <c r="X3394" s="102" t="s">
        <v>137</v>
      </c>
      <c r="Y3394" s="103" t="s">
        <v>138</v>
      </c>
      <c r="Z3394" s="103" t="s">
        <v>139</v>
      </c>
      <c r="AA3394" s="103" t="s">
        <v>47</v>
      </c>
      <c r="AB3394" s="103" t="s">
        <v>140</v>
      </c>
      <c r="AC3394" s="104" t="s">
        <v>141</v>
      </c>
    </row>
    <row r="3395" spans="1:29" ht="25.5" customHeight="1" x14ac:dyDescent="0.35">
      <c r="A3395" s="188"/>
      <c r="B3395" s="190"/>
      <c r="C3395" s="99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0"/>
      <c r="E3395" s="78" t="str">
        <f>IF(C3395="","",IFERROR(VLOOKUP(C3395,parametros!$A$11:$E$15,5,0),""))</f>
        <v/>
      </c>
      <c r="F3395" s="79" t="str">
        <f t="shared" si="267"/>
        <v/>
      </c>
      <c r="G3395" s="101"/>
      <c r="H3395" s="91">
        <f t="shared" si="268"/>
        <v>0</v>
      </c>
      <c r="I3395" s="91" t="str">
        <f t="shared" si="269"/>
        <v/>
      </c>
      <c r="J3395" s="91" t="str">
        <f t="shared" si="270"/>
        <v/>
      </c>
      <c r="K3395" s="92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2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58"/>
      <c r="U3395" s="217" t="str">
        <f t="shared" si="271"/>
        <v/>
      </c>
      <c r="V3395" s="215" t="s">
        <v>47</v>
      </c>
      <c r="W3395" s="102" t="s">
        <v>136</v>
      </c>
      <c r="X3395" s="102" t="s">
        <v>137</v>
      </c>
      <c r="Y3395" s="103" t="s">
        <v>138</v>
      </c>
      <c r="Z3395" s="103" t="s">
        <v>139</v>
      </c>
      <c r="AA3395" s="103" t="s">
        <v>47</v>
      </c>
      <c r="AB3395" s="103" t="s">
        <v>140</v>
      </c>
      <c r="AC3395" s="104" t="s">
        <v>141</v>
      </c>
    </row>
    <row r="3396" spans="1:29" ht="25.5" customHeight="1" x14ac:dyDescent="0.35">
      <c r="A3396" s="188"/>
      <c r="B3396" s="190"/>
      <c r="C3396" s="99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0"/>
      <c r="E3396" s="78" t="str">
        <f>IF(C3396="","",IFERROR(VLOOKUP(C3396,parametros!$A$11:$E$15,5,0),""))</f>
        <v/>
      </c>
      <c r="F3396" s="79" t="str">
        <f t="shared" si="267"/>
        <v/>
      </c>
      <c r="G3396" s="101"/>
      <c r="H3396" s="91">
        <f t="shared" si="268"/>
        <v>0</v>
      </c>
      <c r="I3396" s="91" t="str">
        <f t="shared" si="269"/>
        <v/>
      </c>
      <c r="J3396" s="91" t="str">
        <f t="shared" si="270"/>
        <v/>
      </c>
      <c r="K3396" s="92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2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58"/>
      <c r="U3396" s="217" t="str">
        <f t="shared" si="271"/>
        <v/>
      </c>
      <c r="V3396" s="215" t="s">
        <v>47</v>
      </c>
      <c r="W3396" s="102" t="s">
        <v>136</v>
      </c>
      <c r="X3396" s="102" t="s">
        <v>137</v>
      </c>
      <c r="Y3396" s="103" t="s">
        <v>138</v>
      </c>
      <c r="Z3396" s="103" t="s">
        <v>139</v>
      </c>
      <c r="AA3396" s="103" t="s">
        <v>47</v>
      </c>
      <c r="AB3396" s="103" t="s">
        <v>140</v>
      </c>
      <c r="AC3396" s="104" t="s">
        <v>141</v>
      </c>
    </row>
    <row r="3397" spans="1:29" ht="25.5" customHeight="1" x14ac:dyDescent="0.35">
      <c r="A3397" s="188"/>
      <c r="B3397" s="190"/>
      <c r="C3397" s="99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0"/>
      <c r="E3397" s="78" t="str">
        <f>IF(C3397="","",IFERROR(VLOOKUP(C3397,parametros!$A$11:$E$15,5,0),""))</f>
        <v/>
      </c>
      <c r="F3397" s="79" t="str">
        <f t="shared" si="267"/>
        <v/>
      </c>
      <c r="G3397" s="101"/>
      <c r="H3397" s="91">
        <f t="shared" si="268"/>
        <v>0</v>
      </c>
      <c r="I3397" s="91" t="str">
        <f t="shared" si="269"/>
        <v/>
      </c>
      <c r="J3397" s="91" t="str">
        <f t="shared" si="270"/>
        <v/>
      </c>
      <c r="K3397" s="92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2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58"/>
      <c r="U3397" s="217" t="str">
        <f t="shared" si="271"/>
        <v/>
      </c>
      <c r="V3397" s="215" t="s">
        <v>47</v>
      </c>
      <c r="W3397" s="102" t="s">
        <v>136</v>
      </c>
      <c r="X3397" s="102" t="s">
        <v>137</v>
      </c>
      <c r="Y3397" s="103" t="s">
        <v>138</v>
      </c>
      <c r="Z3397" s="103" t="s">
        <v>139</v>
      </c>
      <c r="AA3397" s="103" t="s">
        <v>47</v>
      </c>
      <c r="AB3397" s="103" t="s">
        <v>140</v>
      </c>
      <c r="AC3397" s="104" t="s">
        <v>141</v>
      </c>
    </row>
    <row r="3398" spans="1:29" ht="25.5" customHeight="1" x14ac:dyDescent="0.35">
      <c r="A3398" s="188"/>
      <c r="B3398" s="190"/>
      <c r="C3398" s="99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0"/>
      <c r="E3398" s="78" t="str">
        <f>IF(C3398="","",IFERROR(VLOOKUP(C3398,parametros!$A$11:$E$15,5,0),""))</f>
        <v/>
      </c>
      <c r="F3398" s="79" t="str">
        <f t="shared" si="267"/>
        <v/>
      </c>
      <c r="G3398" s="101"/>
      <c r="H3398" s="91">
        <f t="shared" si="268"/>
        <v>0</v>
      </c>
      <c r="I3398" s="91" t="str">
        <f t="shared" si="269"/>
        <v/>
      </c>
      <c r="J3398" s="91" t="str">
        <f t="shared" si="270"/>
        <v/>
      </c>
      <c r="K3398" s="92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2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58"/>
      <c r="U3398" s="217" t="str">
        <f t="shared" si="271"/>
        <v/>
      </c>
      <c r="V3398" s="215" t="s">
        <v>47</v>
      </c>
      <c r="W3398" s="102" t="s">
        <v>136</v>
      </c>
      <c r="X3398" s="102" t="s">
        <v>137</v>
      </c>
      <c r="Y3398" s="103" t="s">
        <v>138</v>
      </c>
      <c r="Z3398" s="103" t="s">
        <v>139</v>
      </c>
      <c r="AA3398" s="103" t="s">
        <v>47</v>
      </c>
      <c r="AB3398" s="103" t="s">
        <v>140</v>
      </c>
      <c r="AC3398" s="104" t="s">
        <v>141</v>
      </c>
    </row>
    <row r="3399" spans="1:29" ht="25.5" customHeight="1" x14ac:dyDescent="0.35">
      <c r="A3399" s="188"/>
      <c r="B3399" s="190"/>
      <c r="C3399" s="99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0"/>
      <c r="E3399" s="78" t="str">
        <f>IF(C3399="","",IFERROR(VLOOKUP(C3399,parametros!$A$11:$E$15,5,0),""))</f>
        <v/>
      </c>
      <c r="F3399" s="79" t="str">
        <f t="shared" si="267"/>
        <v/>
      </c>
      <c r="G3399" s="101"/>
      <c r="H3399" s="91">
        <f t="shared" si="268"/>
        <v>0</v>
      </c>
      <c r="I3399" s="91" t="str">
        <f t="shared" si="269"/>
        <v/>
      </c>
      <c r="J3399" s="91" t="str">
        <f t="shared" si="270"/>
        <v/>
      </c>
      <c r="K3399" s="92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2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58"/>
      <c r="U3399" s="217" t="str">
        <f t="shared" si="271"/>
        <v/>
      </c>
      <c r="V3399" s="215" t="s">
        <v>47</v>
      </c>
      <c r="W3399" s="102" t="s">
        <v>136</v>
      </c>
      <c r="X3399" s="102" t="s">
        <v>137</v>
      </c>
      <c r="Y3399" s="103" t="s">
        <v>138</v>
      </c>
      <c r="Z3399" s="103" t="s">
        <v>139</v>
      </c>
      <c r="AA3399" s="103" t="s">
        <v>47</v>
      </c>
      <c r="AB3399" s="103" t="s">
        <v>140</v>
      </c>
      <c r="AC3399" s="104" t="s">
        <v>141</v>
      </c>
    </row>
    <row r="3400" spans="1:29" ht="25.5" customHeight="1" x14ac:dyDescent="0.35">
      <c r="A3400" s="188"/>
      <c r="B3400" s="190"/>
      <c r="C3400" s="99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0"/>
      <c r="E3400" s="78" t="str">
        <f>IF(C3400="","",IFERROR(VLOOKUP(C3400,parametros!$A$11:$E$15,5,0),""))</f>
        <v/>
      </c>
      <c r="F3400" s="79" t="str">
        <f t="shared" si="267"/>
        <v/>
      </c>
      <c r="G3400" s="101"/>
      <c r="H3400" s="91">
        <f t="shared" si="268"/>
        <v>0</v>
      </c>
      <c r="I3400" s="91" t="str">
        <f t="shared" si="269"/>
        <v/>
      </c>
      <c r="J3400" s="91" t="str">
        <f t="shared" si="270"/>
        <v/>
      </c>
      <c r="K3400" s="92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2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58"/>
      <c r="U3400" s="217" t="str">
        <f t="shared" si="271"/>
        <v/>
      </c>
      <c r="V3400" s="215" t="s">
        <v>47</v>
      </c>
      <c r="W3400" s="102" t="s">
        <v>136</v>
      </c>
      <c r="X3400" s="102" t="s">
        <v>137</v>
      </c>
      <c r="Y3400" s="103" t="s">
        <v>138</v>
      </c>
      <c r="Z3400" s="103" t="s">
        <v>139</v>
      </c>
      <c r="AA3400" s="103" t="s">
        <v>47</v>
      </c>
      <c r="AB3400" s="103" t="s">
        <v>140</v>
      </c>
      <c r="AC3400" s="104" t="s">
        <v>141</v>
      </c>
    </row>
    <row r="3401" spans="1:29" ht="25.5" customHeight="1" x14ac:dyDescent="0.35">
      <c r="A3401" s="188"/>
      <c r="B3401" s="190"/>
      <c r="C3401" s="99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0"/>
      <c r="E3401" s="78" t="str">
        <f>IF(C3401="","",IFERROR(VLOOKUP(C3401,parametros!$A$11:$E$15,5,0),""))</f>
        <v/>
      </c>
      <c r="F3401" s="79" t="str">
        <f t="shared" si="267"/>
        <v/>
      </c>
      <c r="G3401" s="101"/>
      <c r="H3401" s="91">
        <f t="shared" si="268"/>
        <v>0</v>
      </c>
      <c r="I3401" s="91" t="str">
        <f t="shared" si="269"/>
        <v/>
      </c>
      <c r="J3401" s="91" t="str">
        <f t="shared" si="270"/>
        <v/>
      </c>
      <c r="K3401" s="92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2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58"/>
      <c r="U3401" s="217" t="str">
        <f t="shared" si="271"/>
        <v/>
      </c>
      <c r="V3401" s="215" t="s">
        <v>47</v>
      </c>
      <c r="W3401" s="102" t="s">
        <v>136</v>
      </c>
      <c r="X3401" s="102" t="s">
        <v>137</v>
      </c>
      <c r="Y3401" s="103" t="s">
        <v>138</v>
      </c>
      <c r="Z3401" s="103" t="s">
        <v>139</v>
      </c>
      <c r="AA3401" s="103" t="s">
        <v>47</v>
      </c>
      <c r="AB3401" s="103" t="s">
        <v>140</v>
      </c>
      <c r="AC3401" s="104" t="s">
        <v>141</v>
      </c>
    </row>
    <row r="3402" spans="1:29" ht="25.5" customHeight="1" x14ac:dyDescent="0.35">
      <c r="A3402" s="188"/>
      <c r="B3402" s="190"/>
      <c r="C3402" s="99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0"/>
      <c r="E3402" s="78" t="str">
        <f>IF(C3402="","",IFERROR(VLOOKUP(C3402,parametros!$A$11:$E$15,5,0),""))</f>
        <v/>
      </c>
      <c r="F3402" s="79" t="str">
        <f t="shared" si="267"/>
        <v/>
      </c>
      <c r="G3402" s="101"/>
      <c r="H3402" s="91">
        <f t="shared" si="268"/>
        <v>0</v>
      </c>
      <c r="I3402" s="91" t="str">
        <f t="shared" si="269"/>
        <v/>
      </c>
      <c r="J3402" s="91" t="str">
        <f t="shared" si="270"/>
        <v/>
      </c>
      <c r="K3402" s="92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2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58"/>
      <c r="U3402" s="217" t="str">
        <f t="shared" si="271"/>
        <v/>
      </c>
      <c r="V3402" s="215" t="s">
        <v>47</v>
      </c>
      <c r="W3402" s="102" t="s">
        <v>136</v>
      </c>
      <c r="X3402" s="102" t="s">
        <v>137</v>
      </c>
      <c r="Y3402" s="103" t="s">
        <v>138</v>
      </c>
      <c r="Z3402" s="103" t="s">
        <v>139</v>
      </c>
      <c r="AA3402" s="103" t="s">
        <v>47</v>
      </c>
      <c r="AB3402" s="103" t="s">
        <v>140</v>
      </c>
      <c r="AC3402" s="104" t="s">
        <v>141</v>
      </c>
    </row>
    <row r="3403" spans="1:29" ht="25.5" customHeight="1" x14ac:dyDescent="0.35">
      <c r="A3403" s="188"/>
      <c r="B3403" s="190"/>
      <c r="C3403" s="99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0"/>
      <c r="E3403" s="78" t="str">
        <f>IF(C3403="","",IFERROR(VLOOKUP(C3403,parametros!$A$11:$E$15,5,0),""))</f>
        <v/>
      </c>
      <c r="F3403" s="79" t="str">
        <f t="shared" si="267"/>
        <v/>
      </c>
      <c r="G3403" s="101"/>
      <c r="H3403" s="91">
        <f t="shared" si="268"/>
        <v>0</v>
      </c>
      <c r="I3403" s="91" t="str">
        <f t="shared" si="269"/>
        <v/>
      </c>
      <c r="J3403" s="91" t="str">
        <f t="shared" si="270"/>
        <v/>
      </c>
      <c r="K3403" s="92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2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58"/>
      <c r="U3403" s="217" t="str">
        <f t="shared" si="271"/>
        <v/>
      </c>
      <c r="V3403" s="215" t="s">
        <v>47</v>
      </c>
      <c r="W3403" s="102" t="s">
        <v>136</v>
      </c>
      <c r="X3403" s="102" t="s">
        <v>137</v>
      </c>
      <c r="Y3403" s="103" t="s">
        <v>138</v>
      </c>
      <c r="Z3403" s="103" t="s">
        <v>139</v>
      </c>
      <c r="AA3403" s="103" t="s">
        <v>47</v>
      </c>
      <c r="AB3403" s="103" t="s">
        <v>140</v>
      </c>
      <c r="AC3403" s="104" t="s">
        <v>141</v>
      </c>
    </row>
    <row r="3404" spans="1:29" ht="25.5" customHeight="1" x14ac:dyDescent="0.35">
      <c r="A3404" s="188"/>
      <c r="B3404" s="190"/>
      <c r="C3404" s="99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0"/>
      <c r="E3404" s="78" t="str">
        <f>IF(C3404="","",IFERROR(VLOOKUP(C3404,parametros!$A$11:$E$15,5,0),""))</f>
        <v/>
      </c>
      <c r="F3404" s="79" t="str">
        <f t="shared" si="267"/>
        <v/>
      </c>
      <c r="G3404" s="101"/>
      <c r="H3404" s="91">
        <f t="shared" si="268"/>
        <v>0</v>
      </c>
      <c r="I3404" s="91" t="str">
        <f t="shared" si="269"/>
        <v/>
      </c>
      <c r="J3404" s="91" t="str">
        <f t="shared" si="270"/>
        <v/>
      </c>
      <c r="K3404" s="92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2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58"/>
      <c r="U3404" s="217" t="str">
        <f t="shared" si="271"/>
        <v/>
      </c>
      <c r="V3404" s="215" t="s">
        <v>47</v>
      </c>
      <c r="W3404" s="102" t="s">
        <v>136</v>
      </c>
      <c r="X3404" s="102" t="s">
        <v>137</v>
      </c>
      <c r="Y3404" s="103" t="s">
        <v>138</v>
      </c>
      <c r="Z3404" s="103" t="s">
        <v>139</v>
      </c>
      <c r="AA3404" s="103" t="s">
        <v>47</v>
      </c>
      <c r="AB3404" s="103" t="s">
        <v>140</v>
      </c>
      <c r="AC3404" s="104" t="s">
        <v>141</v>
      </c>
    </row>
    <row r="3405" spans="1:29" ht="25.5" customHeight="1" x14ac:dyDescent="0.35">
      <c r="A3405" s="188"/>
      <c r="B3405" s="190"/>
      <c r="C3405" s="99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0"/>
      <c r="E3405" s="78" t="str">
        <f>IF(C3405="","",IFERROR(VLOOKUP(C3405,parametros!$A$11:$E$15,5,0),""))</f>
        <v/>
      </c>
      <c r="F3405" s="79" t="str">
        <f t="shared" si="267"/>
        <v/>
      </c>
      <c r="G3405" s="101"/>
      <c r="H3405" s="91">
        <f t="shared" si="268"/>
        <v>0</v>
      </c>
      <c r="I3405" s="91" t="str">
        <f t="shared" si="269"/>
        <v/>
      </c>
      <c r="J3405" s="91" t="str">
        <f t="shared" si="270"/>
        <v/>
      </c>
      <c r="K3405" s="92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2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58"/>
      <c r="U3405" s="217" t="str">
        <f t="shared" si="271"/>
        <v/>
      </c>
      <c r="V3405" s="215" t="s">
        <v>47</v>
      </c>
      <c r="W3405" s="102" t="s">
        <v>136</v>
      </c>
      <c r="X3405" s="102" t="s">
        <v>137</v>
      </c>
      <c r="Y3405" s="103" t="s">
        <v>138</v>
      </c>
      <c r="Z3405" s="103" t="s">
        <v>139</v>
      </c>
      <c r="AA3405" s="103" t="s">
        <v>47</v>
      </c>
      <c r="AB3405" s="103" t="s">
        <v>140</v>
      </c>
      <c r="AC3405" s="104" t="s">
        <v>141</v>
      </c>
    </row>
    <row r="3406" spans="1:29" ht="25.5" customHeight="1" x14ac:dyDescent="0.35">
      <c r="A3406" s="188"/>
      <c r="B3406" s="190"/>
      <c r="C3406" s="99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0"/>
      <c r="E3406" s="78" t="str">
        <f>IF(C3406="","",IFERROR(VLOOKUP(C3406,parametros!$A$11:$E$15,5,0),""))</f>
        <v/>
      </c>
      <c r="F3406" s="79" t="str">
        <f t="shared" si="267"/>
        <v/>
      </c>
      <c r="G3406" s="101"/>
      <c r="H3406" s="91">
        <f t="shared" si="268"/>
        <v>0</v>
      </c>
      <c r="I3406" s="91" t="str">
        <f t="shared" si="269"/>
        <v/>
      </c>
      <c r="J3406" s="91" t="str">
        <f t="shared" si="270"/>
        <v/>
      </c>
      <c r="K3406" s="92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2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58"/>
      <c r="U3406" s="217" t="str">
        <f t="shared" si="271"/>
        <v/>
      </c>
      <c r="V3406" s="215" t="s">
        <v>47</v>
      </c>
      <c r="W3406" s="102" t="s">
        <v>136</v>
      </c>
      <c r="X3406" s="102" t="s">
        <v>137</v>
      </c>
      <c r="Y3406" s="103" t="s">
        <v>138</v>
      </c>
      <c r="Z3406" s="103" t="s">
        <v>139</v>
      </c>
      <c r="AA3406" s="103" t="s">
        <v>47</v>
      </c>
      <c r="AB3406" s="103" t="s">
        <v>140</v>
      </c>
      <c r="AC3406" s="104" t="s">
        <v>141</v>
      </c>
    </row>
    <row r="3407" spans="1:29" ht="25.5" customHeight="1" x14ac:dyDescent="0.35">
      <c r="A3407" s="188"/>
      <c r="B3407" s="190"/>
      <c r="C3407" s="99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0"/>
      <c r="E3407" s="78" t="str">
        <f>IF(C3407="","",IFERROR(VLOOKUP(C3407,parametros!$A$11:$E$15,5,0),""))</f>
        <v/>
      </c>
      <c r="F3407" s="79" t="str">
        <f t="shared" si="267"/>
        <v/>
      </c>
      <c r="G3407" s="101"/>
      <c r="H3407" s="91">
        <f t="shared" si="268"/>
        <v>0</v>
      </c>
      <c r="I3407" s="91" t="str">
        <f t="shared" si="269"/>
        <v/>
      </c>
      <c r="J3407" s="91" t="str">
        <f t="shared" si="270"/>
        <v/>
      </c>
      <c r="K3407" s="92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2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58"/>
      <c r="U3407" s="217" t="str">
        <f t="shared" si="271"/>
        <v/>
      </c>
      <c r="V3407" s="215" t="s">
        <v>47</v>
      </c>
      <c r="W3407" s="102" t="s">
        <v>136</v>
      </c>
      <c r="X3407" s="102" t="s">
        <v>137</v>
      </c>
      <c r="Y3407" s="103" t="s">
        <v>138</v>
      </c>
      <c r="Z3407" s="103" t="s">
        <v>139</v>
      </c>
      <c r="AA3407" s="103" t="s">
        <v>47</v>
      </c>
      <c r="AB3407" s="103" t="s">
        <v>140</v>
      </c>
      <c r="AC3407" s="104" t="s">
        <v>141</v>
      </c>
    </row>
    <row r="3408" spans="1:29" ht="25.5" customHeight="1" x14ac:dyDescent="0.35">
      <c r="A3408" s="188"/>
      <c r="B3408" s="190"/>
      <c r="C3408" s="99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0"/>
      <c r="E3408" s="78" t="str">
        <f>IF(C3408="","",IFERROR(VLOOKUP(C3408,parametros!$A$11:$E$15,5,0),""))</f>
        <v/>
      </c>
      <c r="F3408" s="79" t="str">
        <f t="shared" si="267"/>
        <v/>
      </c>
      <c r="G3408" s="101"/>
      <c r="H3408" s="91">
        <f t="shared" si="268"/>
        <v>0</v>
      </c>
      <c r="I3408" s="91" t="str">
        <f t="shared" si="269"/>
        <v/>
      </c>
      <c r="J3408" s="91" t="str">
        <f t="shared" si="270"/>
        <v/>
      </c>
      <c r="K3408" s="92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2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58"/>
      <c r="U3408" s="217" t="str">
        <f t="shared" si="271"/>
        <v/>
      </c>
      <c r="V3408" s="215" t="s">
        <v>47</v>
      </c>
      <c r="W3408" s="102" t="s">
        <v>136</v>
      </c>
      <c r="X3408" s="102" t="s">
        <v>137</v>
      </c>
      <c r="Y3408" s="103" t="s">
        <v>138</v>
      </c>
      <c r="Z3408" s="103" t="s">
        <v>139</v>
      </c>
      <c r="AA3408" s="103" t="s">
        <v>47</v>
      </c>
      <c r="AB3408" s="103" t="s">
        <v>140</v>
      </c>
      <c r="AC3408" s="104" t="s">
        <v>141</v>
      </c>
    </row>
    <row r="3409" spans="1:29" ht="25.5" customHeight="1" x14ac:dyDescent="0.35">
      <c r="A3409" s="188"/>
      <c r="B3409" s="190"/>
      <c r="C3409" s="99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0"/>
      <c r="E3409" s="78" t="str">
        <f>IF(C3409="","",IFERROR(VLOOKUP(C3409,parametros!$A$11:$E$15,5,0),""))</f>
        <v/>
      </c>
      <c r="F3409" s="79" t="str">
        <f t="shared" si="267"/>
        <v/>
      </c>
      <c r="G3409" s="101"/>
      <c r="H3409" s="91">
        <f t="shared" si="268"/>
        <v>0</v>
      </c>
      <c r="I3409" s="91" t="str">
        <f t="shared" si="269"/>
        <v/>
      </c>
      <c r="J3409" s="91" t="str">
        <f t="shared" si="270"/>
        <v/>
      </c>
      <c r="K3409" s="92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2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58"/>
      <c r="U3409" s="217" t="str">
        <f t="shared" si="271"/>
        <v/>
      </c>
      <c r="V3409" s="215" t="s">
        <v>47</v>
      </c>
      <c r="W3409" s="102" t="s">
        <v>136</v>
      </c>
      <c r="X3409" s="102" t="s">
        <v>137</v>
      </c>
      <c r="Y3409" s="103" t="s">
        <v>138</v>
      </c>
      <c r="Z3409" s="103" t="s">
        <v>139</v>
      </c>
      <c r="AA3409" s="103" t="s">
        <v>47</v>
      </c>
      <c r="AB3409" s="103" t="s">
        <v>140</v>
      </c>
      <c r="AC3409" s="104" t="s">
        <v>141</v>
      </c>
    </row>
    <row r="3410" spans="1:29" ht="25.5" customHeight="1" x14ac:dyDescent="0.35">
      <c r="A3410" s="188"/>
      <c r="B3410" s="190"/>
      <c r="C3410" s="99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0"/>
      <c r="E3410" s="78" t="str">
        <f>IF(C3410="","",IFERROR(VLOOKUP(C3410,parametros!$A$11:$E$15,5,0),""))</f>
        <v/>
      </c>
      <c r="F3410" s="79" t="str">
        <f t="shared" si="267"/>
        <v/>
      </c>
      <c r="G3410" s="101"/>
      <c r="H3410" s="91">
        <f t="shared" si="268"/>
        <v>0</v>
      </c>
      <c r="I3410" s="91" t="str">
        <f t="shared" si="269"/>
        <v/>
      </c>
      <c r="J3410" s="91" t="str">
        <f t="shared" si="270"/>
        <v/>
      </c>
      <c r="K3410" s="92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2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58"/>
      <c r="U3410" s="217" t="str">
        <f t="shared" si="271"/>
        <v/>
      </c>
      <c r="V3410" s="215" t="s">
        <v>47</v>
      </c>
      <c r="W3410" s="102" t="s">
        <v>136</v>
      </c>
      <c r="X3410" s="102" t="s">
        <v>137</v>
      </c>
      <c r="Y3410" s="103" t="s">
        <v>138</v>
      </c>
      <c r="Z3410" s="103" t="s">
        <v>139</v>
      </c>
      <c r="AA3410" s="103" t="s">
        <v>47</v>
      </c>
      <c r="AB3410" s="103" t="s">
        <v>140</v>
      </c>
      <c r="AC3410" s="104" t="s">
        <v>141</v>
      </c>
    </row>
    <row r="3411" spans="1:29" ht="25.5" customHeight="1" x14ac:dyDescent="0.35">
      <c r="A3411" s="188"/>
      <c r="B3411" s="190"/>
      <c r="C3411" s="99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0"/>
      <c r="E3411" s="78" t="str">
        <f>IF(C3411="","",IFERROR(VLOOKUP(C3411,parametros!$A$11:$E$15,5,0),""))</f>
        <v/>
      </c>
      <c r="F3411" s="79" t="str">
        <f t="shared" si="267"/>
        <v/>
      </c>
      <c r="G3411" s="101"/>
      <c r="H3411" s="91">
        <f t="shared" si="268"/>
        <v>0</v>
      </c>
      <c r="I3411" s="91" t="str">
        <f t="shared" si="269"/>
        <v/>
      </c>
      <c r="J3411" s="91" t="str">
        <f t="shared" si="270"/>
        <v/>
      </c>
      <c r="K3411" s="92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2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58"/>
      <c r="U3411" s="217" t="str">
        <f t="shared" si="271"/>
        <v/>
      </c>
      <c r="V3411" s="215" t="s">
        <v>47</v>
      </c>
      <c r="W3411" s="102" t="s">
        <v>136</v>
      </c>
      <c r="X3411" s="102" t="s">
        <v>137</v>
      </c>
      <c r="Y3411" s="103" t="s">
        <v>138</v>
      </c>
      <c r="Z3411" s="103" t="s">
        <v>139</v>
      </c>
      <c r="AA3411" s="103" t="s">
        <v>47</v>
      </c>
      <c r="AB3411" s="103" t="s">
        <v>140</v>
      </c>
      <c r="AC3411" s="104" t="s">
        <v>141</v>
      </c>
    </row>
    <row r="3412" spans="1:29" ht="25.5" customHeight="1" x14ac:dyDescent="0.35">
      <c r="A3412" s="188"/>
      <c r="B3412" s="190"/>
      <c r="C3412" s="99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0"/>
      <c r="E3412" s="78" t="str">
        <f>IF(C3412="","",IFERROR(VLOOKUP(C3412,parametros!$A$11:$E$15,5,0),""))</f>
        <v/>
      </c>
      <c r="F3412" s="79" t="str">
        <f t="shared" si="267"/>
        <v/>
      </c>
      <c r="G3412" s="101"/>
      <c r="H3412" s="91">
        <f t="shared" si="268"/>
        <v>0</v>
      </c>
      <c r="I3412" s="91" t="str">
        <f t="shared" si="269"/>
        <v/>
      </c>
      <c r="J3412" s="91" t="str">
        <f t="shared" si="270"/>
        <v/>
      </c>
      <c r="K3412" s="92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2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58"/>
      <c r="U3412" s="217" t="str">
        <f t="shared" si="271"/>
        <v/>
      </c>
      <c r="V3412" s="215" t="s">
        <v>47</v>
      </c>
      <c r="W3412" s="102" t="s">
        <v>136</v>
      </c>
      <c r="X3412" s="102" t="s">
        <v>137</v>
      </c>
      <c r="Y3412" s="103" t="s">
        <v>138</v>
      </c>
      <c r="Z3412" s="103" t="s">
        <v>139</v>
      </c>
      <c r="AA3412" s="103" t="s">
        <v>47</v>
      </c>
      <c r="AB3412" s="103" t="s">
        <v>140</v>
      </c>
      <c r="AC3412" s="104" t="s">
        <v>141</v>
      </c>
    </row>
    <row r="3413" spans="1:29" ht="25.5" customHeight="1" x14ac:dyDescent="0.35">
      <c r="A3413" s="188"/>
      <c r="B3413" s="190"/>
      <c r="C3413" s="99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0"/>
      <c r="E3413" s="78" t="str">
        <f>IF(C3413="","",IFERROR(VLOOKUP(C3413,parametros!$A$11:$E$15,5,0),""))</f>
        <v/>
      </c>
      <c r="F3413" s="79" t="str">
        <f t="shared" si="267"/>
        <v/>
      </c>
      <c r="G3413" s="101"/>
      <c r="H3413" s="91">
        <f t="shared" si="268"/>
        <v>0</v>
      </c>
      <c r="I3413" s="91" t="str">
        <f t="shared" si="269"/>
        <v/>
      </c>
      <c r="J3413" s="91" t="str">
        <f t="shared" si="270"/>
        <v/>
      </c>
      <c r="K3413" s="92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2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58"/>
      <c r="U3413" s="217" t="str">
        <f t="shared" si="271"/>
        <v/>
      </c>
      <c r="V3413" s="215" t="s">
        <v>47</v>
      </c>
      <c r="W3413" s="102" t="s">
        <v>136</v>
      </c>
      <c r="X3413" s="102" t="s">
        <v>137</v>
      </c>
      <c r="Y3413" s="103" t="s">
        <v>138</v>
      </c>
      <c r="Z3413" s="103" t="s">
        <v>139</v>
      </c>
      <c r="AA3413" s="103" t="s">
        <v>47</v>
      </c>
      <c r="AB3413" s="103" t="s">
        <v>140</v>
      </c>
      <c r="AC3413" s="104" t="s">
        <v>141</v>
      </c>
    </row>
    <row r="3414" spans="1:29" ht="25.5" customHeight="1" x14ac:dyDescent="0.35">
      <c r="A3414" s="188"/>
      <c r="B3414" s="190"/>
      <c r="C3414" s="99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0"/>
      <c r="E3414" s="78" t="str">
        <f>IF(C3414="","",IFERROR(VLOOKUP(C3414,parametros!$A$11:$E$15,5,0),""))</f>
        <v/>
      </c>
      <c r="F3414" s="79" t="str">
        <f t="shared" si="267"/>
        <v/>
      </c>
      <c r="G3414" s="101"/>
      <c r="H3414" s="91">
        <f t="shared" si="268"/>
        <v>0</v>
      </c>
      <c r="I3414" s="91" t="str">
        <f t="shared" si="269"/>
        <v/>
      </c>
      <c r="J3414" s="91" t="str">
        <f t="shared" si="270"/>
        <v/>
      </c>
      <c r="K3414" s="92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2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58"/>
      <c r="U3414" s="217" t="str">
        <f t="shared" si="271"/>
        <v/>
      </c>
      <c r="V3414" s="215" t="s">
        <v>47</v>
      </c>
      <c r="W3414" s="102" t="s">
        <v>136</v>
      </c>
      <c r="X3414" s="102" t="s">
        <v>137</v>
      </c>
      <c r="Y3414" s="103" t="s">
        <v>138</v>
      </c>
      <c r="Z3414" s="103" t="s">
        <v>139</v>
      </c>
      <c r="AA3414" s="103" t="s">
        <v>47</v>
      </c>
      <c r="AB3414" s="103" t="s">
        <v>140</v>
      </c>
      <c r="AC3414" s="104" t="s">
        <v>141</v>
      </c>
    </row>
    <row r="3415" spans="1:29" ht="25.5" customHeight="1" x14ac:dyDescent="0.35">
      <c r="A3415" s="188"/>
      <c r="B3415" s="190"/>
      <c r="C3415" s="99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0"/>
      <c r="E3415" s="78" t="str">
        <f>IF(C3415="","",IFERROR(VLOOKUP(C3415,parametros!$A$11:$E$15,5,0),""))</f>
        <v/>
      </c>
      <c r="F3415" s="79" t="str">
        <f t="shared" si="267"/>
        <v/>
      </c>
      <c r="G3415" s="101"/>
      <c r="H3415" s="91">
        <f t="shared" si="268"/>
        <v>0</v>
      </c>
      <c r="I3415" s="91" t="str">
        <f t="shared" si="269"/>
        <v/>
      </c>
      <c r="J3415" s="91" t="str">
        <f t="shared" si="270"/>
        <v/>
      </c>
      <c r="K3415" s="92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2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58"/>
      <c r="U3415" s="217" t="str">
        <f t="shared" si="271"/>
        <v/>
      </c>
      <c r="V3415" s="215" t="s">
        <v>47</v>
      </c>
      <c r="W3415" s="102" t="s">
        <v>136</v>
      </c>
      <c r="X3415" s="102" t="s">
        <v>137</v>
      </c>
      <c r="Y3415" s="103" t="s">
        <v>138</v>
      </c>
      <c r="Z3415" s="103" t="s">
        <v>139</v>
      </c>
      <c r="AA3415" s="103" t="s">
        <v>47</v>
      </c>
      <c r="AB3415" s="103" t="s">
        <v>140</v>
      </c>
      <c r="AC3415" s="104" t="s">
        <v>141</v>
      </c>
    </row>
    <row r="3416" spans="1:29" ht="25.5" customHeight="1" x14ac:dyDescent="0.35">
      <c r="A3416" s="188"/>
      <c r="B3416" s="190"/>
      <c r="C3416" s="99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0"/>
      <c r="E3416" s="78" t="str">
        <f>IF(C3416="","",IFERROR(VLOOKUP(C3416,parametros!$A$11:$E$15,5,0),""))</f>
        <v/>
      </c>
      <c r="F3416" s="79" t="str">
        <f t="shared" si="267"/>
        <v/>
      </c>
      <c r="G3416" s="101"/>
      <c r="H3416" s="91">
        <f t="shared" si="268"/>
        <v>0</v>
      </c>
      <c r="I3416" s="91" t="str">
        <f t="shared" si="269"/>
        <v/>
      </c>
      <c r="J3416" s="91" t="str">
        <f t="shared" si="270"/>
        <v/>
      </c>
      <c r="K3416" s="92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2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58"/>
      <c r="U3416" s="217" t="str">
        <f t="shared" si="271"/>
        <v/>
      </c>
      <c r="V3416" s="215" t="s">
        <v>47</v>
      </c>
      <c r="W3416" s="102" t="s">
        <v>136</v>
      </c>
      <c r="X3416" s="102" t="s">
        <v>137</v>
      </c>
      <c r="Y3416" s="103" t="s">
        <v>138</v>
      </c>
      <c r="Z3416" s="103" t="s">
        <v>139</v>
      </c>
      <c r="AA3416" s="103" t="s">
        <v>47</v>
      </c>
      <c r="AB3416" s="103" t="s">
        <v>140</v>
      </c>
      <c r="AC3416" s="104" t="s">
        <v>141</v>
      </c>
    </row>
    <row r="3417" spans="1:29" ht="25.5" customHeight="1" x14ac:dyDescent="0.35">
      <c r="A3417" s="188"/>
      <c r="B3417" s="190"/>
      <c r="C3417" s="99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0"/>
      <c r="E3417" s="78" t="str">
        <f>IF(C3417="","",IFERROR(VLOOKUP(C3417,parametros!$A$11:$E$15,5,0),""))</f>
        <v/>
      </c>
      <c r="F3417" s="79" t="str">
        <f t="shared" si="267"/>
        <v/>
      </c>
      <c r="G3417" s="101"/>
      <c r="H3417" s="91">
        <f t="shared" si="268"/>
        <v>0</v>
      </c>
      <c r="I3417" s="91" t="str">
        <f t="shared" si="269"/>
        <v/>
      </c>
      <c r="J3417" s="91" t="str">
        <f t="shared" si="270"/>
        <v/>
      </c>
      <c r="K3417" s="92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2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58"/>
      <c r="U3417" s="217" t="str">
        <f t="shared" si="271"/>
        <v/>
      </c>
      <c r="V3417" s="215" t="s">
        <v>47</v>
      </c>
      <c r="W3417" s="102" t="s">
        <v>136</v>
      </c>
      <c r="X3417" s="102" t="s">
        <v>137</v>
      </c>
      <c r="Y3417" s="103" t="s">
        <v>138</v>
      </c>
      <c r="Z3417" s="103" t="s">
        <v>139</v>
      </c>
      <c r="AA3417" s="103" t="s">
        <v>47</v>
      </c>
      <c r="AB3417" s="103" t="s">
        <v>140</v>
      </c>
      <c r="AC3417" s="104" t="s">
        <v>141</v>
      </c>
    </row>
    <row r="3418" spans="1:29" ht="25.5" customHeight="1" x14ac:dyDescent="0.35">
      <c r="A3418" s="188"/>
      <c r="B3418" s="190"/>
      <c r="C3418" s="99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0"/>
      <c r="E3418" s="78" t="str">
        <f>IF(C3418="","",IFERROR(VLOOKUP(C3418,parametros!$A$11:$E$15,5,0),""))</f>
        <v/>
      </c>
      <c r="F3418" s="79" t="str">
        <f t="shared" si="267"/>
        <v/>
      </c>
      <c r="G3418" s="101"/>
      <c r="H3418" s="91">
        <f t="shared" si="268"/>
        <v>0</v>
      </c>
      <c r="I3418" s="91" t="str">
        <f t="shared" si="269"/>
        <v/>
      </c>
      <c r="J3418" s="91" t="str">
        <f t="shared" si="270"/>
        <v/>
      </c>
      <c r="K3418" s="92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2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58"/>
      <c r="U3418" s="217" t="str">
        <f t="shared" si="271"/>
        <v/>
      </c>
      <c r="V3418" s="215" t="s">
        <v>47</v>
      </c>
      <c r="W3418" s="102" t="s">
        <v>136</v>
      </c>
      <c r="X3418" s="102" t="s">
        <v>137</v>
      </c>
      <c r="Y3418" s="103" t="s">
        <v>138</v>
      </c>
      <c r="Z3418" s="103" t="s">
        <v>139</v>
      </c>
      <c r="AA3418" s="103" t="s">
        <v>47</v>
      </c>
      <c r="AB3418" s="103" t="s">
        <v>140</v>
      </c>
      <c r="AC3418" s="104" t="s">
        <v>141</v>
      </c>
    </row>
    <row r="3419" spans="1:29" ht="25.5" customHeight="1" x14ac:dyDescent="0.35">
      <c r="A3419" s="188"/>
      <c r="B3419" s="190"/>
      <c r="C3419" s="99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0"/>
      <c r="E3419" s="78" t="str">
        <f>IF(C3419="","",IFERROR(VLOOKUP(C3419,parametros!$A$11:$E$15,5,0),""))</f>
        <v/>
      </c>
      <c r="F3419" s="79" t="str">
        <f t="shared" si="267"/>
        <v/>
      </c>
      <c r="G3419" s="101"/>
      <c r="H3419" s="91">
        <f t="shared" si="268"/>
        <v>0</v>
      </c>
      <c r="I3419" s="91" t="str">
        <f t="shared" si="269"/>
        <v/>
      </c>
      <c r="J3419" s="91" t="str">
        <f t="shared" si="270"/>
        <v/>
      </c>
      <c r="K3419" s="92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2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58"/>
      <c r="U3419" s="217" t="str">
        <f t="shared" si="271"/>
        <v/>
      </c>
      <c r="V3419" s="215" t="s">
        <v>47</v>
      </c>
      <c r="W3419" s="102" t="s">
        <v>136</v>
      </c>
      <c r="X3419" s="102" t="s">
        <v>137</v>
      </c>
      <c r="Y3419" s="103" t="s">
        <v>138</v>
      </c>
      <c r="Z3419" s="103" t="s">
        <v>139</v>
      </c>
      <c r="AA3419" s="103" t="s">
        <v>47</v>
      </c>
      <c r="AB3419" s="103" t="s">
        <v>140</v>
      </c>
      <c r="AC3419" s="104" t="s">
        <v>141</v>
      </c>
    </row>
    <row r="3420" spans="1:29" ht="25.5" customHeight="1" x14ac:dyDescent="0.35">
      <c r="A3420" s="188"/>
      <c r="B3420" s="190"/>
      <c r="C3420" s="99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0"/>
      <c r="E3420" s="78" t="str">
        <f>IF(C3420="","",IFERROR(VLOOKUP(C3420,parametros!$A$11:$E$15,5,0),""))</f>
        <v/>
      </c>
      <c r="F3420" s="79" t="str">
        <f t="shared" si="267"/>
        <v/>
      </c>
      <c r="G3420" s="101"/>
      <c r="H3420" s="91">
        <f t="shared" si="268"/>
        <v>0</v>
      </c>
      <c r="I3420" s="91" t="str">
        <f t="shared" si="269"/>
        <v/>
      </c>
      <c r="J3420" s="91" t="str">
        <f t="shared" si="270"/>
        <v/>
      </c>
      <c r="K3420" s="92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2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58"/>
      <c r="U3420" s="217" t="str">
        <f t="shared" si="271"/>
        <v/>
      </c>
      <c r="V3420" s="215" t="s">
        <v>47</v>
      </c>
      <c r="W3420" s="102" t="s">
        <v>136</v>
      </c>
      <c r="X3420" s="102" t="s">
        <v>137</v>
      </c>
      <c r="Y3420" s="103" t="s">
        <v>138</v>
      </c>
      <c r="Z3420" s="103" t="s">
        <v>139</v>
      </c>
      <c r="AA3420" s="103" t="s">
        <v>47</v>
      </c>
      <c r="AB3420" s="103" t="s">
        <v>140</v>
      </c>
      <c r="AC3420" s="104" t="s">
        <v>141</v>
      </c>
    </row>
    <row r="3421" spans="1:29" ht="25.5" customHeight="1" x14ac:dyDescent="0.35">
      <c r="A3421" s="188"/>
      <c r="B3421" s="190"/>
      <c r="C3421" s="99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0"/>
      <c r="E3421" s="78" t="str">
        <f>IF(C3421="","",IFERROR(VLOOKUP(C3421,parametros!$A$11:$E$15,5,0),""))</f>
        <v/>
      </c>
      <c r="F3421" s="79" t="str">
        <f t="shared" si="267"/>
        <v/>
      </c>
      <c r="G3421" s="101"/>
      <c r="H3421" s="91">
        <f t="shared" si="268"/>
        <v>0</v>
      </c>
      <c r="I3421" s="91" t="str">
        <f t="shared" si="269"/>
        <v/>
      </c>
      <c r="J3421" s="91" t="str">
        <f t="shared" si="270"/>
        <v/>
      </c>
      <c r="K3421" s="92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2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58"/>
      <c r="U3421" s="217" t="str">
        <f t="shared" si="271"/>
        <v/>
      </c>
      <c r="V3421" s="215" t="s">
        <v>47</v>
      </c>
      <c r="W3421" s="102" t="s">
        <v>136</v>
      </c>
      <c r="X3421" s="102" t="s">
        <v>137</v>
      </c>
      <c r="Y3421" s="103" t="s">
        <v>138</v>
      </c>
      <c r="Z3421" s="103" t="s">
        <v>139</v>
      </c>
      <c r="AA3421" s="103" t="s">
        <v>47</v>
      </c>
      <c r="AB3421" s="103" t="s">
        <v>140</v>
      </c>
      <c r="AC3421" s="104" t="s">
        <v>141</v>
      </c>
    </row>
    <row r="3422" spans="1:29" ht="25.5" customHeight="1" x14ac:dyDescent="0.35">
      <c r="A3422" s="188"/>
      <c r="B3422" s="190"/>
      <c r="C3422" s="99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0"/>
      <c r="E3422" s="78" t="str">
        <f>IF(C3422="","",IFERROR(VLOOKUP(C3422,parametros!$A$11:$E$15,5,0),""))</f>
        <v/>
      </c>
      <c r="F3422" s="79" t="str">
        <f t="shared" si="267"/>
        <v/>
      </c>
      <c r="G3422" s="101"/>
      <c r="H3422" s="91">
        <f t="shared" si="268"/>
        <v>0</v>
      </c>
      <c r="I3422" s="91" t="str">
        <f t="shared" si="269"/>
        <v/>
      </c>
      <c r="J3422" s="91" t="str">
        <f t="shared" si="270"/>
        <v/>
      </c>
      <c r="K3422" s="92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2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58"/>
      <c r="U3422" s="217" t="str">
        <f t="shared" si="271"/>
        <v/>
      </c>
      <c r="V3422" s="215" t="s">
        <v>47</v>
      </c>
      <c r="W3422" s="102" t="s">
        <v>136</v>
      </c>
      <c r="X3422" s="102" t="s">
        <v>137</v>
      </c>
      <c r="Y3422" s="103" t="s">
        <v>138</v>
      </c>
      <c r="Z3422" s="103" t="s">
        <v>139</v>
      </c>
      <c r="AA3422" s="103" t="s">
        <v>47</v>
      </c>
      <c r="AB3422" s="103" t="s">
        <v>140</v>
      </c>
      <c r="AC3422" s="104" t="s">
        <v>141</v>
      </c>
    </row>
    <row r="3423" spans="1:29" ht="25.5" customHeight="1" x14ac:dyDescent="0.35">
      <c r="A3423" s="188"/>
      <c r="B3423" s="190"/>
      <c r="C3423" s="99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0"/>
      <c r="E3423" s="78" t="str">
        <f>IF(C3423="","",IFERROR(VLOOKUP(C3423,parametros!$A$11:$E$15,5,0),""))</f>
        <v/>
      </c>
      <c r="F3423" s="79" t="str">
        <f t="shared" si="267"/>
        <v/>
      </c>
      <c r="G3423" s="101"/>
      <c r="H3423" s="91">
        <f t="shared" si="268"/>
        <v>0</v>
      </c>
      <c r="I3423" s="91" t="str">
        <f t="shared" si="269"/>
        <v/>
      </c>
      <c r="J3423" s="91" t="str">
        <f t="shared" si="270"/>
        <v/>
      </c>
      <c r="K3423" s="92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2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58"/>
      <c r="U3423" s="217" t="str">
        <f t="shared" si="271"/>
        <v/>
      </c>
      <c r="V3423" s="215" t="s">
        <v>47</v>
      </c>
      <c r="W3423" s="102" t="s">
        <v>136</v>
      </c>
      <c r="X3423" s="102" t="s">
        <v>137</v>
      </c>
      <c r="Y3423" s="103" t="s">
        <v>138</v>
      </c>
      <c r="Z3423" s="103" t="s">
        <v>139</v>
      </c>
      <c r="AA3423" s="103" t="s">
        <v>47</v>
      </c>
      <c r="AB3423" s="103" t="s">
        <v>140</v>
      </c>
      <c r="AC3423" s="104" t="s">
        <v>141</v>
      </c>
    </row>
    <row r="3424" spans="1:29" ht="25.5" customHeight="1" x14ac:dyDescent="0.35">
      <c r="A3424" s="188"/>
      <c r="B3424" s="190"/>
      <c r="C3424" s="99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0"/>
      <c r="E3424" s="78" t="str">
        <f>IF(C3424="","",IFERROR(VLOOKUP(C3424,parametros!$A$11:$E$15,5,0),""))</f>
        <v/>
      </c>
      <c r="F3424" s="79" t="str">
        <f t="shared" si="267"/>
        <v/>
      </c>
      <c r="G3424" s="101"/>
      <c r="H3424" s="91">
        <f t="shared" si="268"/>
        <v>0</v>
      </c>
      <c r="I3424" s="91" t="str">
        <f t="shared" si="269"/>
        <v/>
      </c>
      <c r="J3424" s="91" t="str">
        <f t="shared" si="270"/>
        <v/>
      </c>
      <c r="K3424" s="92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2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58"/>
      <c r="U3424" s="217" t="str">
        <f t="shared" si="271"/>
        <v/>
      </c>
      <c r="V3424" s="215" t="s">
        <v>47</v>
      </c>
      <c r="W3424" s="102" t="s">
        <v>136</v>
      </c>
      <c r="X3424" s="102" t="s">
        <v>137</v>
      </c>
      <c r="Y3424" s="103" t="s">
        <v>138</v>
      </c>
      <c r="Z3424" s="103" t="s">
        <v>139</v>
      </c>
      <c r="AA3424" s="103" t="s">
        <v>47</v>
      </c>
      <c r="AB3424" s="103" t="s">
        <v>140</v>
      </c>
      <c r="AC3424" s="104" t="s">
        <v>141</v>
      </c>
    </row>
    <row r="3425" spans="1:29" ht="25.5" customHeight="1" x14ac:dyDescent="0.35">
      <c r="A3425" s="188"/>
      <c r="B3425" s="190"/>
      <c r="C3425" s="99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0"/>
      <c r="E3425" s="78" t="str">
        <f>IF(C3425="","",IFERROR(VLOOKUP(C3425,parametros!$A$11:$E$15,5,0),""))</f>
        <v/>
      </c>
      <c r="F3425" s="79" t="str">
        <f t="shared" si="267"/>
        <v/>
      </c>
      <c r="G3425" s="101"/>
      <c r="H3425" s="91">
        <f t="shared" si="268"/>
        <v>0</v>
      </c>
      <c r="I3425" s="91" t="str">
        <f t="shared" si="269"/>
        <v/>
      </c>
      <c r="J3425" s="91" t="str">
        <f t="shared" si="270"/>
        <v/>
      </c>
      <c r="K3425" s="92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2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58"/>
      <c r="U3425" s="217" t="str">
        <f t="shared" si="271"/>
        <v/>
      </c>
      <c r="V3425" s="215" t="s">
        <v>47</v>
      </c>
      <c r="W3425" s="102" t="s">
        <v>136</v>
      </c>
      <c r="X3425" s="102" t="s">
        <v>137</v>
      </c>
      <c r="Y3425" s="103" t="s">
        <v>138</v>
      </c>
      <c r="Z3425" s="103" t="s">
        <v>139</v>
      </c>
      <c r="AA3425" s="103" t="s">
        <v>47</v>
      </c>
      <c r="AB3425" s="103" t="s">
        <v>140</v>
      </c>
      <c r="AC3425" s="104" t="s">
        <v>141</v>
      </c>
    </row>
    <row r="3426" spans="1:29" ht="25.5" customHeight="1" x14ac:dyDescent="0.35">
      <c r="A3426" s="188"/>
      <c r="B3426" s="190"/>
      <c r="C3426" s="99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0"/>
      <c r="E3426" s="78" t="str">
        <f>IF(C3426="","",IFERROR(VLOOKUP(C3426,parametros!$A$11:$E$15,5,0),""))</f>
        <v/>
      </c>
      <c r="F3426" s="79" t="str">
        <f t="shared" si="267"/>
        <v/>
      </c>
      <c r="G3426" s="101"/>
      <c r="H3426" s="91">
        <f t="shared" si="268"/>
        <v>0</v>
      </c>
      <c r="I3426" s="91" t="str">
        <f t="shared" si="269"/>
        <v/>
      </c>
      <c r="J3426" s="91" t="str">
        <f t="shared" si="270"/>
        <v/>
      </c>
      <c r="K3426" s="92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2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58"/>
      <c r="U3426" s="217" t="str">
        <f t="shared" si="271"/>
        <v/>
      </c>
      <c r="V3426" s="215" t="s">
        <v>47</v>
      </c>
      <c r="W3426" s="102" t="s">
        <v>136</v>
      </c>
      <c r="X3426" s="102" t="s">
        <v>137</v>
      </c>
      <c r="Y3426" s="103" t="s">
        <v>138</v>
      </c>
      <c r="Z3426" s="103" t="s">
        <v>139</v>
      </c>
      <c r="AA3426" s="103" t="s">
        <v>47</v>
      </c>
      <c r="AB3426" s="103" t="s">
        <v>140</v>
      </c>
      <c r="AC3426" s="104" t="s">
        <v>141</v>
      </c>
    </row>
    <row r="3427" spans="1:29" ht="25.5" customHeight="1" x14ac:dyDescent="0.35">
      <c r="A3427" s="188"/>
      <c r="B3427" s="190"/>
      <c r="C3427" s="99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0"/>
      <c r="E3427" s="78" t="str">
        <f>IF(C3427="","",IFERROR(VLOOKUP(C3427,parametros!$A$11:$E$15,5,0),""))</f>
        <v/>
      </c>
      <c r="F3427" s="79" t="str">
        <f t="shared" si="267"/>
        <v/>
      </c>
      <c r="G3427" s="101"/>
      <c r="H3427" s="91">
        <f t="shared" si="268"/>
        <v>0</v>
      </c>
      <c r="I3427" s="91" t="str">
        <f t="shared" si="269"/>
        <v/>
      </c>
      <c r="J3427" s="91" t="str">
        <f t="shared" si="270"/>
        <v/>
      </c>
      <c r="K3427" s="92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2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58"/>
      <c r="U3427" s="217" t="str">
        <f t="shared" si="271"/>
        <v/>
      </c>
      <c r="V3427" s="215" t="s">
        <v>47</v>
      </c>
      <c r="W3427" s="102" t="s">
        <v>136</v>
      </c>
      <c r="X3427" s="102" t="s">
        <v>137</v>
      </c>
      <c r="Y3427" s="103" t="s">
        <v>138</v>
      </c>
      <c r="Z3427" s="103" t="s">
        <v>139</v>
      </c>
      <c r="AA3427" s="103" t="s">
        <v>47</v>
      </c>
      <c r="AB3427" s="103" t="s">
        <v>140</v>
      </c>
      <c r="AC3427" s="104" t="s">
        <v>141</v>
      </c>
    </row>
    <row r="3428" spans="1:29" ht="25.5" customHeight="1" x14ac:dyDescent="0.35">
      <c r="A3428" s="188"/>
      <c r="B3428" s="190"/>
      <c r="C3428" s="99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0"/>
      <c r="E3428" s="78" t="str">
        <f>IF(C3428="","",IFERROR(VLOOKUP(C3428,parametros!$A$11:$E$15,5,0),""))</f>
        <v/>
      </c>
      <c r="F3428" s="79" t="str">
        <f t="shared" si="267"/>
        <v/>
      </c>
      <c r="G3428" s="101"/>
      <c r="H3428" s="91">
        <f t="shared" si="268"/>
        <v>0</v>
      </c>
      <c r="I3428" s="91" t="str">
        <f t="shared" si="269"/>
        <v/>
      </c>
      <c r="J3428" s="91" t="str">
        <f t="shared" si="270"/>
        <v/>
      </c>
      <c r="K3428" s="92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2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58"/>
      <c r="U3428" s="217" t="str">
        <f t="shared" si="271"/>
        <v/>
      </c>
      <c r="V3428" s="215" t="s">
        <v>47</v>
      </c>
      <c r="W3428" s="102" t="s">
        <v>136</v>
      </c>
      <c r="X3428" s="102" t="s">
        <v>137</v>
      </c>
      <c r="Y3428" s="103" t="s">
        <v>138</v>
      </c>
      <c r="Z3428" s="103" t="s">
        <v>139</v>
      </c>
      <c r="AA3428" s="103" t="s">
        <v>47</v>
      </c>
      <c r="AB3428" s="103" t="s">
        <v>140</v>
      </c>
      <c r="AC3428" s="104" t="s">
        <v>141</v>
      </c>
    </row>
    <row r="3429" spans="1:29" ht="25.5" customHeight="1" x14ac:dyDescent="0.35">
      <c r="A3429" s="188"/>
      <c r="B3429" s="190"/>
      <c r="C3429" s="99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0"/>
      <c r="E3429" s="78" t="str">
        <f>IF(C3429="","",IFERROR(VLOOKUP(C3429,parametros!$A$11:$E$15,5,0),""))</f>
        <v/>
      </c>
      <c r="F3429" s="79" t="str">
        <f t="shared" si="267"/>
        <v/>
      </c>
      <c r="G3429" s="101"/>
      <c r="H3429" s="91">
        <f t="shared" si="268"/>
        <v>0</v>
      </c>
      <c r="I3429" s="91" t="str">
        <f t="shared" si="269"/>
        <v/>
      </c>
      <c r="J3429" s="91" t="str">
        <f t="shared" si="270"/>
        <v/>
      </c>
      <c r="K3429" s="92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2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58"/>
      <c r="U3429" s="217" t="str">
        <f t="shared" si="271"/>
        <v/>
      </c>
      <c r="V3429" s="215" t="s">
        <v>47</v>
      </c>
      <c r="W3429" s="102" t="s">
        <v>136</v>
      </c>
      <c r="X3429" s="102" t="s">
        <v>137</v>
      </c>
      <c r="Y3429" s="103" t="s">
        <v>138</v>
      </c>
      <c r="Z3429" s="103" t="s">
        <v>139</v>
      </c>
      <c r="AA3429" s="103" t="s">
        <v>47</v>
      </c>
      <c r="AB3429" s="103" t="s">
        <v>140</v>
      </c>
      <c r="AC3429" s="104" t="s">
        <v>141</v>
      </c>
    </row>
    <row r="3430" spans="1:29" ht="25.5" customHeight="1" x14ac:dyDescent="0.35">
      <c r="A3430" s="188"/>
      <c r="B3430" s="190"/>
      <c r="C3430" s="99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0"/>
      <c r="E3430" s="78" t="str">
        <f>IF(C3430="","",IFERROR(VLOOKUP(C3430,parametros!$A$11:$E$15,5,0),""))</f>
        <v/>
      </c>
      <c r="F3430" s="79" t="str">
        <f t="shared" si="267"/>
        <v/>
      </c>
      <c r="G3430" s="101"/>
      <c r="H3430" s="91">
        <f t="shared" si="268"/>
        <v>0</v>
      </c>
      <c r="I3430" s="91" t="str">
        <f t="shared" si="269"/>
        <v/>
      </c>
      <c r="J3430" s="91" t="str">
        <f t="shared" si="270"/>
        <v/>
      </c>
      <c r="K3430" s="92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2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58"/>
      <c r="U3430" s="217" t="str">
        <f t="shared" si="271"/>
        <v/>
      </c>
      <c r="V3430" s="215" t="s">
        <v>47</v>
      </c>
      <c r="W3430" s="102" t="s">
        <v>136</v>
      </c>
      <c r="X3430" s="102" t="s">
        <v>137</v>
      </c>
      <c r="Y3430" s="103" t="s">
        <v>138</v>
      </c>
      <c r="Z3430" s="103" t="s">
        <v>139</v>
      </c>
      <c r="AA3430" s="103" t="s">
        <v>47</v>
      </c>
      <c r="AB3430" s="103" t="s">
        <v>140</v>
      </c>
      <c r="AC3430" s="104" t="s">
        <v>141</v>
      </c>
    </row>
    <row r="3431" spans="1:29" ht="25.5" customHeight="1" x14ac:dyDescent="0.35">
      <c r="A3431" s="188"/>
      <c r="B3431" s="190"/>
      <c r="C3431" s="99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0"/>
      <c r="E3431" s="78" t="str">
        <f>IF(C3431="","",IFERROR(VLOOKUP(C3431,parametros!$A$11:$E$15,5,0),""))</f>
        <v/>
      </c>
      <c r="F3431" s="79" t="str">
        <f t="shared" si="267"/>
        <v/>
      </c>
      <c r="G3431" s="101"/>
      <c r="H3431" s="91">
        <f t="shared" si="268"/>
        <v>0</v>
      </c>
      <c r="I3431" s="91" t="str">
        <f t="shared" si="269"/>
        <v/>
      </c>
      <c r="J3431" s="91" t="str">
        <f t="shared" si="270"/>
        <v/>
      </c>
      <c r="K3431" s="92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2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58"/>
      <c r="U3431" s="217" t="str">
        <f t="shared" si="271"/>
        <v/>
      </c>
      <c r="V3431" s="215" t="s">
        <v>47</v>
      </c>
      <c r="W3431" s="102" t="s">
        <v>136</v>
      </c>
      <c r="X3431" s="102" t="s">
        <v>137</v>
      </c>
      <c r="Y3431" s="103" t="s">
        <v>138</v>
      </c>
      <c r="Z3431" s="103" t="s">
        <v>139</v>
      </c>
      <c r="AA3431" s="103" t="s">
        <v>47</v>
      </c>
      <c r="AB3431" s="103" t="s">
        <v>140</v>
      </c>
      <c r="AC3431" s="104" t="s">
        <v>141</v>
      </c>
    </row>
    <row r="3432" spans="1:29" ht="25.5" customHeight="1" x14ac:dyDescent="0.35">
      <c r="A3432" s="188"/>
      <c r="B3432" s="190"/>
      <c r="C3432" s="99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0"/>
      <c r="E3432" s="78" t="str">
        <f>IF(C3432="","",IFERROR(VLOOKUP(C3432,parametros!$A$11:$E$15,5,0),""))</f>
        <v/>
      </c>
      <c r="F3432" s="79" t="str">
        <f t="shared" si="267"/>
        <v/>
      </c>
      <c r="G3432" s="101"/>
      <c r="H3432" s="91">
        <f t="shared" si="268"/>
        <v>0</v>
      </c>
      <c r="I3432" s="91" t="str">
        <f t="shared" si="269"/>
        <v/>
      </c>
      <c r="J3432" s="91" t="str">
        <f t="shared" si="270"/>
        <v/>
      </c>
      <c r="K3432" s="92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2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58"/>
      <c r="U3432" s="217" t="str">
        <f t="shared" si="271"/>
        <v/>
      </c>
      <c r="V3432" s="215" t="s">
        <v>47</v>
      </c>
      <c r="W3432" s="102" t="s">
        <v>136</v>
      </c>
      <c r="X3432" s="102" t="s">
        <v>137</v>
      </c>
      <c r="Y3432" s="103" t="s">
        <v>138</v>
      </c>
      <c r="Z3432" s="103" t="s">
        <v>139</v>
      </c>
      <c r="AA3432" s="103" t="s">
        <v>47</v>
      </c>
      <c r="AB3432" s="103" t="s">
        <v>140</v>
      </c>
      <c r="AC3432" s="104" t="s">
        <v>141</v>
      </c>
    </row>
    <row r="3433" spans="1:29" ht="25.5" customHeight="1" x14ac:dyDescent="0.35">
      <c r="A3433" s="188"/>
      <c r="B3433" s="190"/>
      <c r="C3433" s="99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0"/>
      <c r="E3433" s="78" t="str">
        <f>IF(C3433="","",IFERROR(VLOOKUP(C3433,parametros!$A$11:$E$15,5,0),""))</f>
        <v/>
      </c>
      <c r="F3433" s="79" t="str">
        <f t="shared" si="267"/>
        <v/>
      </c>
      <c r="G3433" s="101"/>
      <c r="H3433" s="91">
        <f t="shared" si="268"/>
        <v>0</v>
      </c>
      <c r="I3433" s="91" t="str">
        <f t="shared" si="269"/>
        <v/>
      </c>
      <c r="J3433" s="91" t="str">
        <f t="shared" si="270"/>
        <v/>
      </c>
      <c r="K3433" s="92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2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58"/>
      <c r="U3433" s="217" t="str">
        <f t="shared" si="271"/>
        <v/>
      </c>
      <c r="V3433" s="215" t="s">
        <v>47</v>
      </c>
      <c r="W3433" s="102" t="s">
        <v>136</v>
      </c>
      <c r="X3433" s="102" t="s">
        <v>137</v>
      </c>
      <c r="Y3433" s="103" t="s">
        <v>138</v>
      </c>
      <c r="Z3433" s="103" t="s">
        <v>139</v>
      </c>
      <c r="AA3433" s="103" t="s">
        <v>47</v>
      </c>
      <c r="AB3433" s="103" t="s">
        <v>140</v>
      </c>
      <c r="AC3433" s="104" t="s">
        <v>141</v>
      </c>
    </row>
    <row r="3434" spans="1:29" ht="25.5" customHeight="1" x14ac:dyDescent="0.35">
      <c r="A3434" s="188"/>
      <c r="B3434" s="190"/>
      <c r="C3434" s="99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0"/>
      <c r="E3434" s="78" t="str">
        <f>IF(C3434="","",IFERROR(VLOOKUP(C3434,parametros!$A$11:$E$15,5,0),""))</f>
        <v/>
      </c>
      <c r="F3434" s="79" t="str">
        <f t="shared" si="267"/>
        <v/>
      </c>
      <c r="G3434" s="101"/>
      <c r="H3434" s="91">
        <f t="shared" si="268"/>
        <v>0</v>
      </c>
      <c r="I3434" s="91" t="str">
        <f t="shared" si="269"/>
        <v/>
      </c>
      <c r="J3434" s="91" t="str">
        <f t="shared" si="270"/>
        <v/>
      </c>
      <c r="K3434" s="92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2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58"/>
      <c r="U3434" s="217" t="str">
        <f t="shared" si="271"/>
        <v/>
      </c>
      <c r="V3434" s="215" t="s">
        <v>47</v>
      </c>
      <c r="W3434" s="102" t="s">
        <v>136</v>
      </c>
      <c r="X3434" s="102" t="s">
        <v>137</v>
      </c>
      <c r="Y3434" s="103" t="s">
        <v>138</v>
      </c>
      <c r="Z3434" s="103" t="s">
        <v>139</v>
      </c>
      <c r="AA3434" s="103" t="s">
        <v>47</v>
      </c>
      <c r="AB3434" s="103" t="s">
        <v>140</v>
      </c>
      <c r="AC3434" s="104" t="s">
        <v>141</v>
      </c>
    </row>
    <row r="3435" spans="1:29" ht="25.5" customHeight="1" x14ac:dyDescent="0.35">
      <c r="A3435" s="188"/>
      <c r="B3435" s="190"/>
      <c r="C3435" s="99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0"/>
      <c r="E3435" s="78" t="str">
        <f>IF(C3435="","",IFERROR(VLOOKUP(C3435,parametros!$A$11:$E$15,5,0),""))</f>
        <v/>
      </c>
      <c r="F3435" s="79" t="str">
        <f t="shared" si="267"/>
        <v/>
      </c>
      <c r="G3435" s="101"/>
      <c r="H3435" s="91">
        <f t="shared" si="268"/>
        <v>0</v>
      </c>
      <c r="I3435" s="91" t="str">
        <f t="shared" si="269"/>
        <v/>
      </c>
      <c r="J3435" s="91" t="str">
        <f t="shared" si="270"/>
        <v/>
      </c>
      <c r="K3435" s="92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2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58"/>
      <c r="U3435" s="217" t="str">
        <f t="shared" si="271"/>
        <v/>
      </c>
      <c r="V3435" s="215" t="s">
        <v>47</v>
      </c>
      <c r="W3435" s="102" t="s">
        <v>136</v>
      </c>
      <c r="X3435" s="102" t="s">
        <v>137</v>
      </c>
      <c r="Y3435" s="103" t="s">
        <v>138</v>
      </c>
      <c r="Z3435" s="103" t="s">
        <v>139</v>
      </c>
      <c r="AA3435" s="103" t="s">
        <v>47</v>
      </c>
      <c r="AB3435" s="103" t="s">
        <v>140</v>
      </c>
      <c r="AC3435" s="104" t="s">
        <v>141</v>
      </c>
    </row>
    <row r="3436" spans="1:29" ht="25.5" customHeight="1" x14ac:dyDescent="0.35">
      <c r="A3436" s="188"/>
      <c r="B3436" s="190"/>
      <c r="C3436" s="99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0"/>
      <c r="E3436" s="78" t="str">
        <f>IF(C3436="","",IFERROR(VLOOKUP(C3436,parametros!$A$11:$E$15,5,0),""))</f>
        <v/>
      </c>
      <c r="F3436" s="79" t="str">
        <f t="shared" si="267"/>
        <v/>
      </c>
      <c r="G3436" s="101"/>
      <c r="H3436" s="91">
        <f t="shared" si="268"/>
        <v>0</v>
      </c>
      <c r="I3436" s="91" t="str">
        <f t="shared" si="269"/>
        <v/>
      </c>
      <c r="J3436" s="91" t="str">
        <f t="shared" si="270"/>
        <v/>
      </c>
      <c r="K3436" s="92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2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58"/>
      <c r="U3436" s="217" t="str">
        <f t="shared" si="271"/>
        <v/>
      </c>
      <c r="V3436" s="215" t="s">
        <v>47</v>
      </c>
      <c r="W3436" s="102" t="s">
        <v>136</v>
      </c>
      <c r="X3436" s="102" t="s">
        <v>137</v>
      </c>
      <c r="Y3436" s="103" t="s">
        <v>138</v>
      </c>
      <c r="Z3436" s="103" t="s">
        <v>139</v>
      </c>
      <c r="AA3436" s="103" t="s">
        <v>47</v>
      </c>
      <c r="AB3436" s="103" t="s">
        <v>140</v>
      </c>
      <c r="AC3436" s="104" t="s">
        <v>141</v>
      </c>
    </row>
    <row r="3437" spans="1:29" ht="25.5" customHeight="1" x14ac:dyDescent="0.35">
      <c r="A3437" s="188"/>
      <c r="B3437" s="190"/>
      <c r="C3437" s="99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0"/>
      <c r="E3437" s="78" t="str">
        <f>IF(C3437="","",IFERROR(VLOOKUP(C3437,parametros!$A$11:$E$15,5,0),""))</f>
        <v/>
      </c>
      <c r="F3437" s="79" t="str">
        <f t="shared" si="267"/>
        <v/>
      </c>
      <c r="G3437" s="101"/>
      <c r="H3437" s="91">
        <f t="shared" si="268"/>
        <v>0</v>
      </c>
      <c r="I3437" s="91" t="str">
        <f t="shared" si="269"/>
        <v/>
      </c>
      <c r="J3437" s="91" t="str">
        <f t="shared" si="270"/>
        <v/>
      </c>
      <c r="K3437" s="92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2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58"/>
      <c r="U3437" s="217" t="str">
        <f t="shared" si="271"/>
        <v/>
      </c>
      <c r="V3437" s="215" t="s">
        <v>47</v>
      </c>
      <c r="W3437" s="102" t="s">
        <v>136</v>
      </c>
      <c r="X3437" s="102" t="s">
        <v>137</v>
      </c>
      <c r="Y3437" s="103" t="s">
        <v>138</v>
      </c>
      <c r="Z3437" s="103" t="s">
        <v>139</v>
      </c>
      <c r="AA3437" s="103" t="s">
        <v>47</v>
      </c>
      <c r="AB3437" s="103" t="s">
        <v>140</v>
      </c>
      <c r="AC3437" s="104" t="s">
        <v>141</v>
      </c>
    </row>
    <row r="3438" spans="1:29" ht="25.5" customHeight="1" x14ac:dyDescent="0.35">
      <c r="A3438" s="188"/>
      <c r="B3438" s="190"/>
      <c r="C3438" s="99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0"/>
      <c r="E3438" s="78" t="str">
        <f>IF(C3438="","",IFERROR(VLOOKUP(C3438,parametros!$A$11:$E$15,5,0),""))</f>
        <v/>
      </c>
      <c r="F3438" s="79" t="str">
        <f t="shared" si="267"/>
        <v/>
      </c>
      <c r="G3438" s="101"/>
      <c r="H3438" s="91">
        <f t="shared" si="268"/>
        <v>0</v>
      </c>
      <c r="I3438" s="91" t="str">
        <f t="shared" si="269"/>
        <v/>
      </c>
      <c r="J3438" s="91" t="str">
        <f t="shared" si="270"/>
        <v/>
      </c>
      <c r="K3438" s="92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2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58"/>
      <c r="U3438" s="217" t="str">
        <f t="shared" si="271"/>
        <v/>
      </c>
      <c r="V3438" s="215" t="s">
        <v>47</v>
      </c>
      <c r="W3438" s="102" t="s">
        <v>136</v>
      </c>
      <c r="X3438" s="102" t="s">
        <v>137</v>
      </c>
      <c r="Y3438" s="103" t="s">
        <v>138</v>
      </c>
      <c r="Z3438" s="103" t="s">
        <v>139</v>
      </c>
      <c r="AA3438" s="103" t="s">
        <v>47</v>
      </c>
      <c r="AB3438" s="103" t="s">
        <v>140</v>
      </c>
      <c r="AC3438" s="104" t="s">
        <v>141</v>
      </c>
    </row>
    <row r="3439" spans="1:29" ht="25.5" customHeight="1" x14ac:dyDescent="0.35">
      <c r="A3439" s="188"/>
      <c r="B3439" s="190"/>
      <c r="C3439" s="99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0"/>
      <c r="E3439" s="78" t="str">
        <f>IF(C3439="","",IFERROR(VLOOKUP(C3439,parametros!$A$11:$E$15,5,0),""))</f>
        <v/>
      </c>
      <c r="F3439" s="79" t="str">
        <f t="shared" si="267"/>
        <v/>
      </c>
      <c r="G3439" s="101"/>
      <c r="H3439" s="91">
        <f t="shared" si="268"/>
        <v>0</v>
      </c>
      <c r="I3439" s="91" t="str">
        <f t="shared" si="269"/>
        <v/>
      </c>
      <c r="J3439" s="91" t="str">
        <f t="shared" si="270"/>
        <v/>
      </c>
      <c r="K3439" s="92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2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58"/>
      <c r="U3439" s="217" t="str">
        <f t="shared" si="271"/>
        <v/>
      </c>
      <c r="V3439" s="215" t="s">
        <v>47</v>
      </c>
      <c r="W3439" s="102" t="s">
        <v>136</v>
      </c>
      <c r="X3439" s="102" t="s">
        <v>137</v>
      </c>
      <c r="Y3439" s="103" t="s">
        <v>138</v>
      </c>
      <c r="Z3439" s="103" t="s">
        <v>139</v>
      </c>
      <c r="AA3439" s="103" t="s">
        <v>47</v>
      </c>
      <c r="AB3439" s="103" t="s">
        <v>140</v>
      </c>
      <c r="AC3439" s="104" t="s">
        <v>141</v>
      </c>
    </row>
    <row r="3440" spans="1:29" ht="25.5" customHeight="1" x14ac:dyDescent="0.35">
      <c r="A3440" s="188"/>
      <c r="B3440" s="190"/>
      <c r="C3440" s="99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0"/>
      <c r="E3440" s="78" t="str">
        <f>IF(C3440="","",IFERROR(VLOOKUP(C3440,parametros!$A$11:$E$15,5,0),""))</f>
        <v/>
      </c>
      <c r="F3440" s="79" t="str">
        <f t="shared" si="267"/>
        <v/>
      </c>
      <c r="G3440" s="101"/>
      <c r="H3440" s="91">
        <f t="shared" si="268"/>
        <v>0</v>
      </c>
      <c r="I3440" s="91" t="str">
        <f t="shared" si="269"/>
        <v/>
      </c>
      <c r="J3440" s="91" t="str">
        <f t="shared" si="270"/>
        <v/>
      </c>
      <c r="K3440" s="92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2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58"/>
      <c r="U3440" s="217" t="str">
        <f t="shared" si="271"/>
        <v/>
      </c>
      <c r="V3440" s="215" t="s">
        <v>47</v>
      </c>
      <c r="W3440" s="102" t="s">
        <v>136</v>
      </c>
      <c r="X3440" s="102" t="s">
        <v>137</v>
      </c>
      <c r="Y3440" s="103" t="s">
        <v>138</v>
      </c>
      <c r="Z3440" s="103" t="s">
        <v>139</v>
      </c>
      <c r="AA3440" s="103" t="s">
        <v>47</v>
      </c>
      <c r="AB3440" s="103" t="s">
        <v>140</v>
      </c>
      <c r="AC3440" s="104" t="s">
        <v>141</v>
      </c>
    </row>
    <row r="3441" spans="1:29" ht="25.5" customHeight="1" x14ac:dyDescent="0.35">
      <c r="A3441" s="188"/>
      <c r="B3441" s="190"/>
      <c r="C3441" s="99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0"/>
      <c r="E3441" s="78" t="str">
        <f>IF(C3441="","",IFERROR(VLOOKUP(C3441,parametros!$A$11:$E$15,5,0),""))</f>
        <v/>
      </c>
      <c r="F3441" s="79" t="str">
        <f t="shared" si="267"/>
        <v/>
      </c>
      <c r="G3441" s="101"/>
      <c r="H3441" s="91">
        <f t="shared" si="268"/>
        <v>0</v>
      </c>
      <c r="I3441" s="91" t="str">
        <f t="shared" si="269"/>
        <v/>
      </c>
      <c r="J3441" s="91" t="str">
        <f t="shared" si="270"/>
        <v/>
      </c>
      <c r="K3441" s="92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2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58"/>
      <c r="U3441" s="217" t="str">
        <f t="shared" si="271"/>
        <v/>
      </c>
      <c r="V3441" s="215" t="s">
        <v>47</v>
      </c>
      <c r="W3441" s="102" t="s">
        <v>136</v>
      </c>
      <c r="X3441" s="102" t="s">
        <v>137</v>
      </c>
      <c r="Y3441" s="103" t="s">
        <v>138</v>
      </c>
      <c r="Z3441" s="103" t="s">
        <v>139</v>
      </c>
      <c r="AA3441" s="103" t="s">
        <v>47</v>
      </c>
      <c r="AB3441" s="103" t="s">
        <v>140</v>
      </c>
      <c r="AC3441" s="104" t="s">
        <v>141</v>
      </c>
    </row>
    <row r="3442" spans="1:29" ht="25.5" customHeight="1" x14ac:dyDescent="0.35">
      <c r="A3442" s="188"/>
      <c r="B3442" s="190"/>
      <c r="C3442" s="99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0"/>
      <c r="E3442" s="78" t="str">
        <f>IF(C3442="","",IFERROR(VLOOKUP(C3442,parametros!$A$11:$E$15,5,0),""))</f>
        <v/>
      </c>
      <c r="F3442" s="79" t="str">
        <f t="shared" si="267"/>
        <v/>
      </c>
      <c r="G3442" s="101"/>
      <c r="H3442" s="91">
        <f t="shared" si="268"/>
        <v>0</v>
      </c>
      <c r="I3442" s="91" t="str">
        <f t="shared" si="269"/>
        <v/>
      </c>
      <c r="J3442" s="91" t="str">
        <f t="shared" si="270"/>
        <v/>
      </c>
      <c r="K3442" s="92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2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58"/>
      <c r="U3442" s="217" t="str">
        <f t="shared" si="271"/>
        <v/>
      </c>
      <c r="V3442" s="215" t="s">
        <v>47</v>
      </c>
      <c r="W3442" s="102" t="s">
        <v>136</v>
      </c>
      <c r="X3442" s="102" t="s">
        <v>137</v>
      </c>
      <c r="Y3442" s="103" t="s">
        <v>138</v>
      </c>
      <c r="Z3442" s="103" t="s">
        <v>139</v>
      </c>
      <c r="AA3442" s="103" t="s">
        <v>47</v>
      </c>
      <c r="AB3442" s="103" t="s">
        <v>140</v>
      </c>
      <c r="AC3442" s="104" t="s">
        <v>141</v>
      </c>
    </row>
    <row r="3443" spans="1:29" ht="25.5" customHeight="1" x14ac:dyDescent="0.35">
      <c r="A3443" s="188"/>
      <c r="B3443" s="190"/>
      <c r="C3443" s="99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0"/>
      <c r="E3443" s="78" t="str">
        <f>IF(C3443="","",IFERROR(VLOOKUP(C3443,parametros!$A$11:$E$15,5,0),""))</f>
        <v/>
      </c>
      <c r="F3443" s="79" t="str">
        <f t="shared" si="267"/>
        <v/>
      </c>
      <c r="G3443" s="101"/>
      <c r="H3443" s="91">
        <f t="shared" si="268"/>
        <v>0</v>
      </c>
      <c r="I3443" s="91" t="str">
        <f t="shared" si="269"/>
        <v/>
      </c>
      <c r="J3443" s="91" t="str">
        <f t="shared" si="270"/>
        <v/>
      </c>
      <c r="K3443" s="92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2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58"/>
      <c r="U3443" s="217" t="str">
        <f t="shared" si="271"/>
        <v/>
      </c>
      <c r="V3443" s="215" t="s">
        <v>47</v>
      </c>
      <c r="W3443" s="102" t="s">
        <v>136</v>
      </c>
      <c r="X3443" s="102" t="s">
        <v>137</v>
      </c>
      <c r="Y3443" s="103" t="s">
        <v>138</v>
      </c>
      <c r="Z3443" s="103" t="s">
        <v>139</v>
      </c>
      <c r="AA3443" s="103" t="s">
        <v>47</v>
      </c>
      <c r="AB3443" s="103" t="s">
        <v>140</v>
      </c>
      <c r="AC3443" s="104" t="s">
        <v>141</v>
      </c>
    </row>
    <row r="3444" spans="1:29" ht="25.5" customHeight="1" x14ac:dyDescent="0.35">
      <c r="A3444" s="188"/>
      <c r="B3444" s="190"/>
      <c r="C3444" s="99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0"/>
      <c r="E3444" s="78" t="str">
        <f>IF(C3444="","",IFERROR(VLOOKUP(C3444,parametros!$A$11:$E$15,5,0),""))</f>
        <v/>
      </c>
      <c r="F3444" s="79" t="str">
        <f t="shared" si="267"/>
        <v/>
      </c>
      <c r="G3444" s="101"/>
      <c r="H3444" s="91">
        <f t="shared" si="268"/>
        <v>0</v>
      </c>
      <c r="I3444" s="91" t="str">
        <f t="shared" si="269"/>
        <v/>
      </c>
      <c r="J3444" s="91" t="str">
        <f t="shared" si="270"/>
        <v/>
      </c>
      <c r="K3444" s="92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2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58"/>
      <c r="U3444" s="217" t="str">
        <f t="shared" si="271"/>
        <v/>
      </c>
      <c r="V3444" s="215" t="s">
        <v>47</v>
      </c>
      <c r="W3444" s="102" t="s">
        <v>136</v>
      </c>
      <c r="X3444" s="102" t="s">
        <v>137</v>
      </c>
      <c r="Y3444" s="103" t="s">
        <v>138</v>
      </c>
      <c r="Z3444" s="103" t="s">
        <v>139</v>
      </c>
      <c r="AA3444" s="103" t="s">
        <v>47</v>
      </c>
      <c r="AB3444" s="103" t="s">
        <v>140</v>
      </c>
      <c r="AC3444" s="104" t="s">
        <v>141</v>
      </c>
    </row>
    <row r="3445" spans="1:29" ht="25.5" customHeight="1" x14ac:dyDescent="0.35">
      <c r="A3445" s="188"/>
      <c r="B3445" s="190"/>
      <c r="C3445" s="99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0"/>
      <c r="E3445" s="78" t="str">
        <f>IF(C3445="","",IFERROR(VLOOKUP(C3445,parametros!$A$11:$E$15,5,0),""))</f>
        <v/>
      </c>
      <c r="F3445" s="79" t="str">
        <f t="shared" si="267"/>
        <v/>
      </c>
      <c r="G3445" s="101"/>
      <c r="H3445" s="91">
        <f t="shared" si="268"/>
        <v>0</v>
      </c>
      <c r="I3445" s="91" t="str">
        <f t="shared" si="269"/>
        <v/>
      </c>
      <c r="J3445" s="91" t="str">
        <f t="shared" si="270"/>
        <v/>
      </c>
      <c r="K3445" s="92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2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58"/>
      <c r="U3445" s="217" t="str">
        <f t="shared" si="271"/>
        <v/>
      </c>
      <c r="V3445" s="215" t="s">
        <v>47</v>
      </c>
      <c r="W3445" s="102" t="s">
        <v>136</v>
      </c>
      <c r="X3445" s="102" t="s">
        <v>137</v>
      </c>
      <c r="Y3445" s="103" t="s">
        <v>138</v>
      </c>
      <c r="Z3445" s="103" t="s">
        <v>139</v>
      </c>
      <c r="AA3445" s="103" t="s">
        <v>47</v>
      </c>
      <c r="AB3445" s="103" t="s">
        <v>140</v>
      </c>
      <c r="AC3445" s="104" t="s">
        <v>141</v>
      </c>
    </row>
    <row r="3446" spans="1:29" ht="25.5" customHeight="1" x14ac:dyDescent="0.35">
      <c r="A3446" s="188"/>
      <c r="B3446" s="190"/>
      <c r="C3446" s="99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0"/>
      <c r="E3446" s="78" t="str">
        <f>IF(C3446="","",IFERROR(VLOOKUP(C3446,parametros!$A$11:$E$15,5,0),""))</f>
        <v/>
      </c>
      <c r="F3446" s="79" t="str">
        <f t="shared" si="267"/>
        <v/>
      </c>
      <c r="G3446" s="101"/>
      <c r="H3446" s="91">
        <f t="shared" si="268"/>
        <v>0</v>
      </c>
      <c r="I3446" s="91" t="str">
        <f t="shared" si="269"/>
        <v/>
      </c>
      <c r="J3446" s="91" t="str">
        <f t="shared" si="270"/>
        <v/>
      </c>
      <c r="K3446" s="92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2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58"/>
      <c r="U3446" s="217" t="str">
        <f t="shared" si="271"/>
        <v/>
      </c>
      <c r="V3446" s="215" t="s">
        <v>47</v>
      </c>
      <c r="W3446" s="102" t="s">
        <v>136</v>
      </c>
      <c r="X3446" s="102" t="s">
        <v>137</v>
      </c>
      <c r="Y3446" s="103" t="s">
        <v>138</v>
      </c>
      <c r="Z3446" s="103" t="s">
        <v>139</v>
      </c>
      <c r="AA3446" s="103" t="s">
        <v>47</v>
      </c>
      <c r="AB3446" s="103" t="s">
        <v>140</v>
      </c>
      <c r="AC3446" s="104" t="s">
        <v>141</v>
      </c>
    </row>
    <row r="3447" spans="1:29" ht="25.5" customHeight="1" x14ac:dyDescent="0.35">
      <c r="A3447" s="188"/>
      <c r="B3447" s="190"/>
      <c r="C3447" s="99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0"/>
      <c r="E3447" s="78" t="str">
        <f>IF(C3447="","",IFERROR(VLOOKUP(C3447,parametros!$A$11:$E$15,5,0),""))</f>
        <v/>
      </c>
      <c r="F3447" s="79" t="str">
        <f t="shared" si="267"/>
        <v/>
      </c>
      <c r="G3447" s="101"/>
      <c r="H3447" s="91">
        <f t="shared" si="268"/>
        <v>0</v>
      </c>
      <c r="I3447" s="91" t="str">
        <f t="shared" si="269"/>
        <v/>
      </c>
      <c r="J3447" s="91" t="str">
        <f t="shared" si="270"/>
        <v/>
      </c>
      <c r="K3447" s="92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2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58"/>
      <c r="U3447" s="217" t="str">
        <f t="shared" si="271"/>
        <v/>
      </c>
      <c r="V3447" s="215" t="s">
        <v>47</v>
      </c>
      <c r="W3447" s="102" t="s">
        <v>136</v>
      </c>
      <c r="X3447" s="102" t="s">
        <v>137</v>
      </c>
      <c r="Y3447" s="103" t="s">
        <v>138</v>
      </c>
      <c r="Z3447" s="103" t="s">
        <v>139</v>
      </c>
      <c r="AA3447" s="103" t="s">
        <v>47</v>
      </c>
      <c r="AB3447" s="103" t="s">
        <v>140</v>
      </c>
      <c r="AC3447" s="104" t="s">
        <v>141</v>
      </c>
    </row>
    <row r="3448" spans="1:29" ht="25.5" customHeight="1" x14ac:dyDescent="0.35">
      <c r="A3448" s="188"/>
      <c r="B3448" s="190"/>
      <c r="C3448" s="99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0"/>
      <c r="E3448" s="78" t="str">
        <f>IF(C3448="","",IFERROR(VLOOKUP(C3448,parametros!$A$11:$E$15,5,0),""))</f>
        <v/>
      </c>
      <c r="F3448" s="79" t="str">
        <f t="shared" si="267"/>
        <v/>
      </c>
      <c r="G3448" s="101"/>
      <c r="H3448" s="91">
        <f t="shared" si="268"/>
        <v>0</v>
      </c>
      <c r="I3448" s="91" t="str">
        <f t="shared" si="269"/>
        <v/>
      </c>
      <c r="J3448" s="91" t="str">
        <f t="shared" si="270"/>
        <v/>
      </c>
      <c r="K3448" s="92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2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58"/>
      <c r="U3448" s="217" t="str">
        <f t="shared" si="271"/>
        <v/>
      </c>
      <c r="V3448" s="215" t="s">
        <v>47</v>
      </c>
      <c r="W3448" s="102" t="s">
        <v>136</v>
      </c>
      <c r="X3448" s="102" t="s">
        <v>137</v>
      </c>
      <c r="Y3448" s="103" t="s">
        <v>138</v>
      </c>
      <c r="Z3448" s="103" t="s">
        <v>139</v>
      </c>
      <c r="AA3448" s="103" t="s">
        <v>47</v>
      </c>
      <c r="AB3448" s="103" t="s">
        <v>140</v>
      </c>
      <c r="AC3448" s="104" t="s">
        <v>141</v>
      </c>
    </row>
    <row r="3449" spans="1:29" ht="25.5" customHeight="1" x14ac:dyDescent="0.35">
      <c r="A3449" s="188"/>
      <c r="B3449" s="190"/>
      <c r="C3449" s="99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0"/>
      <c r="E3449" s="78" t="str">
        <f>IF(C3449="","",IFERROR(VLOOKUP(C3449,parametros!$A$11:$E$15,5,0),""))</f>
        <v/>
      </c>
      <c r="F3449" s="79" t="str">
        <f t="shared" si="267"/>
        <v/>
      </c>
      <c r="G3449" s="101"/>
      <c r="H3449" s="91">
        <f t="shared" si="268"/>
        <v>0</v>
      </c>
      <c r="I3449" s="91" t="str">
        <f t="shared" si="269"/>
        <v/>
      </c>
      <c r="J3449" s="91" t="str">
        <f t="shared" si="270"/>
        <v/>
      </c>
      <c r="K3449" s="92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2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58"/>
      <c r="U3449" s="217" t="str">
        <f t="shared" si="271"/>
        <v/>
      </c>
      <c r="V3449" s="215" t="s">
        <v>47</v>
      </c>
      <c r="W3449" s="102" t="s">
        <v>136</v>
      </c>
      <c r="X3449" s="102" t="s">
        <v>137</v>
      </c>
      <c r="Y3449" s="103" t="s">
        <v>138</v>
      </c>
      <c r="Z3449" s="103" t="s">
        <v>139</v>
      </c>
      <c r="AA3449" s="103" t="s">
        <v>47</v>
      </c>
      <c r="AB3449" s="103" t="s">
        <v>140</v>
      </c>
      <c r="AC3449" s="104" t="s">
        <v>141</v>
      </c>
    </row>
    <row r="3450" spans="1:29" ht="25.5" customHeight="1" x14ac:dyDescent="0.35">
      <c r="A3450" s="188"/>
      <c r="B3450" s="190"/>
      <c r="C3450" s="99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0"/>
      <c r="E3450" s="78" t="str">
        <f>IF(C3450="","",IFERROR(VLOOKUP(C3450,parametros!$A$11:$E$15,5,0),""))</f>
        <v/>
      </c>
      <c r="F3450" s="79" t="str">
        <f t="shared" si="267"/>
        <v/>
      </c>
      <c r="G3450" s="101"/>
      <c r="H3450" s="91">
        <f t="shared" si="268"/>
        <v>0</v>
      </c>
      <c r="I3450" s="91" t="str">
        <f t="shared" si="269"/>
        <v/>
      </c>
      <c r="J3450" s="91" t="str">
        <f t="shared" si="270"/>
        <v/>
      </c>
      <c r="K3450" s="92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2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58"/>
      <c r="U3450" s="217" t="str">
        <f t="shared" si="271"/>
        <v/>
      </c>
      <c r="V3450" s="215" t="s">
        <v>47</v>
      </c>
      <c r="W3450" s="102" t="s">
        <v>136</v>
      </c>
      <c r="X3450" s="102" t="s">
        <v>137</v>
      </c>
      <c r="Y3450" s="103" t="s">
        <v>138</v>
      </c>
      <c r="Z3450" s="103" t="s">
        <v>139</v>
      </c>
      <c r="AA3450" s="103" t="s">
        <v>47</v>
      </c>
      <c r="AB3450" s="103" t="s">
        <v>140</v>
      </c>
      <c r="AC3450" s="104" t="s">
        <v>141</v>
      </c>
    </row>
    <row r="3451" spans="1:29" ht="25.5" customHeight="1" x14ac:dyDescent="0.35">
      <c r="A3451" s="188"/>
      <c r="B3451" s="190"/>
      <c r="C3451" s="99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0"/>
      <c r="E3451" s="78" t="str">
        <f>IF(C3451="","",IFERROR(VLOOKUP(C3451,parametros!$A$11:$E$15,5,0),""))</f>
        <v/>
      </c>
      <c r="F3451" s="79" t="str">
        <f t="shared" si="267"/>
        <v/>
      </c>
      <c r="G3451" s="101"/>
      <c r="H3451" s="91">
        <f t="shared" si="268"/>
        <v>0</v>
      </c>
      <c r="I3451" s="91" t="str">
        <f t="shared" si="269"/>
        <v/>
      </c>
      <c r="J3451" s="91" t="str">
        <f t="shared" si="270"/>
        <v/>
      </c>
      <c r="K3451" s="92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2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58"/>
      <c r="U3451" s="217" t="str">
        <f t="shared" si="271"/>
        <v/>
      </c>
      <c r="V3451" s="215" t="s">
        <v>47</v>
      </c>
      <c r="W3451" s="102" t="s">
        <v>136</v>
      </c>
      <c r="X3451" s="102" t="s">
        <v>137</v>
      </c>
      <c r="Y3451" s="103" t="s">
        <v>138</v>
      </c>
      <c r="Z3451" s="103" t="s">
        <v>139</v>
      </c>
      <c r="AA3451" s="103" t="s">
        <v>47</v>
      </c>
      <c r="AB3451" s="103" t="s">
        <v>140</v>
      </c>
      <c r="AC3451" s="104" t="s">
        <v>141</v>
      </c>
    </row>
    <row r="3452" spans="1:29" ht="25.5" customHeight="1" x14ac:dyDescent="0.35">
      <c r="A3452" s="188"/>
      <c r="B3452" s="190"/>
      <c r="C3452" s="99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0"/>
      <c r="E3452" s="78" t="str">
        <f>IF(C3452="","",IFERROR(VLOOKUP(C3452,parametros!$A$11:$E$15,5,0),""))</f>
        <v/>
      </c>
      <c r="F3452" s="79" t="str">
        <f t="shared" si="267"/>
        <v/>
      </c>
      <c r="G3452" s="101"/>
      <c r="H3452" s="91">
        <f t="shared" si="268"/>
        <v>0</v>
      </c>
      <c r="I3452" s="91" t="str">
        <f t="shared" si="269"/>
        <v/>
      </c>
      <c r="J3452" s="91" t="str">
        <f t="shared" si="270"/>
        <v/>
      </c>
      <c r="K3452" s="92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2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58"/>
      <c r="U3452" s="217" t="str">
        <f t="shared" si="271"/>
        <v/>
      </c>
      <c r="V3452" s="215" t="s">
        <v>47</v>
      </c>
      <c r="W3452" s="102" t="s">
        <v>136</v>
      </c>
      <c r="X3452" s="102" t="s">
        <v>137</v>
      </c>
      <c r="Y3452" s="103" t="s">
        <v>138</v>
      </c>
      <c r="Z3452" s="103" t="s">
        <v>139</v>
      </c>
      <c r="AA3452" s="103" t="s">
        <v>47</v>
      </c>
      <c r="AB3452" s="103" t="s">
        <v>140</v>
      </c>
      <c r="AC3452" s="104" t="s">
        <v>141</v>
      </c>
    </row>
    <row r="3453" spans="1:29" ht="25.5" customHeight="1" x14ac:dyDescent="0.35">
      <c r="A3453" s="188"/>
      <c r="B3453" s="190"/>
      <c r="C3453" s="99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0"/>
      <c r="E3453" s="78" t="str">
        <f>IF(C3453="","",IFERROR(VLOOKUP(C3453,parametros!$A$11:$E$15,5,0),""))</f>
        <v/>
      </c>
      <c r="F3453" s="79" t="str">
        <f t="shared" si="267"/>
        <v/>
      </c>
      <c r="G3453" s="101"/>
      <c r="H3453" s="91">
        <f t="shared" si="268"/>
        <v>0</v>
      </c>
      <c r="I3453" s="91" t="str">
        <f t="shared" si="269"/>
        <v/>
      </c>
      <c r="J3453" s="91" t="str">
        <f t="shared" si="270"/>
        <v/>
      </c>
      <c r="K3453" s="92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2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58"/>
      <c r="U3453" s="217" t="str">
        <f t="shared" si="271"/>
        <v/>
      </c>
      <c r="V3453" s="215" t="s">
        <v>47</v>
      </c>
      <c r="W3453" s="102" t="s">
        <v>136</v>
      </c>
      <c r="X3453" s="102" t="s">
        <v>137</v>
      </c>
      <c r="Y3453" s="103" t="s">
        <v>138</v>
      </c>
      <c r="Z3453" s="103" t="s">
        <v>139</v>
      </c>
      <c r="AA3453" s="103" t="s">
        <v>47</v>
      </c>
      <c r="AB3453" s="103" t="s">
        <v>140</v>
      </c>
      <c r="AC3453" s="104" t="s">
        <v>141</v>
      </c>
    </row>
    <row r="3454" spans="1:29" ht="25.5" customHeight="1" x14ac:dyDescent="0.35">
      <c r="A3454" s="188"/>
      <c r="B3454" s="190"/>
      <c r="C3454" s="99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0"/>
      <c r="E3454" s="78" t="str">
        <f>IF(C3454="","",IFERROR(VLOOKUP(C3454,parametros!$A$11:$E$15,5,0),""))</f>
        <v/>
      </c>
      <c r="F3454" s="79" t="str">
        <f t="shared" si="267"/>
        <v/>
      </c>
      <c r="G3454" s="101"/>
      <c r="H3454" s="91">
        <f t="shared" si="268"/>
        <v>0</v>
      </c>
      <c r="I3454" s="91" t="str">
        <f t="shared" si="269"/>
        <v/>
      </c>
      <c r="J3454" s="91" t="str">
        <f t="shared" si="270"/>
        <v/>
      </c>
      <c r="K3454" s="92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2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58"/>
      <c r="U3454" s="217" t="str">
        <f t="shared" si="271"/>
        <v/>
      </c>
      <c r="V3454" s="215" t="s">
        <v>47</v>
      </c>
      <c r="W3454" s="102" t="s">
        <v>136</v>
      </c>
      <c r="X3454" s="102" t="s">
        <v>137</v>
      </c>
      <c r="Y3454" s="103" t="s">
        <v>138</v>
      </c>
      <c r="Z3454" s="103" t="s">
        <v>139</v>
      </c>
      <c r="AA3454" s="103" t="s">
        <v>47</v>
      </c>
      <c r="AB3454" s="103" t="s">
        <v>140</v>
      </c>
      <c r="AC3454" s="104" t="s">
        <v>141</v>
      </c>
    </row>
    <row r="3455" spans="1:29" ht="25.5" customHeight="1" x14ac:dyDescent="0.35">
      <c r="A3455" s="188"/>
      <c r="B3455" s="190"/>
      <c r="C3455" s="99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0"/>
      <c r="E3455" s="78" t="str">
        <f>IF(C3455="","",IFERROR(VLOOKUP(C3455,parametros!$A$11:$E$15,5,0),""))</f>
        <v/>
      </c>
      <c r="F3455" s="79" t="str">
        <f t="shared" si="267"/>
        <v/>
      </c>
      <c r="G3455" s="101"/>
      <c r="H3455" s="91">
        <f t="shared" si="268"/>
        <v>0</v>
      </c>
      <c r="I3455" s="91" t="str">
        <f t="shared" si="269"/>
        <v/>
      </c>
      <c r="J3455" s="91" t="str">
        <f t="shared" si="270"/>
        <v/>
      </c>
      <c r="K3455" s="92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2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58"/>
      <c r="U3455" s="217" t="str">
        <f t="shared" si="271"/>
        <v/>
      </c>
      <c r="V3455" s="215" t="s">
        <v>47</v>
      </c>
      <c r="W3455" s="102" t="s">
        <v>136</v>
      </c>
      <c r="X3455" s="102" t="s">
        <v>137</v>
      </c>
      <c r="Y3455" s="103" t="s">
        <v>138</v>
      </c>
      <c r="Z3455" s="103" t="s">
        <v>139</v>
      </c>
      <c r="AA3455" s="103" t="s">
        <v>47</v>
      </c>
      <c r="AB3455" s="103" t="s">
        <v>140</v>
      </c>
      <c r="AC3455" s="104" t="s">
        <v>141</v>
      </c>
    </row>
    <row r="3456" spans="1:29" ht="25.5" customHeight="1" x14ac:dyDescent="0.35">
      <c r="A3456" s="188"/>
      <c r="B3456" s="190"/>
      <c r="C3456" s="99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0"/>
      <c r="E3456" s="78" t="str">
        <f>IF(C3456="","",IFERROR(VLOOKUP(C3456,parametros!$A$11:$E$15,5,0),""))</f>
        <v/>
      </c>
      <c r="F3456" s="79" t="str">
        <f t="shared" si="267"/>
        <v/>
      </c>
      <c r="G3456" s="101"/>
      <c r="H3456" s="91">
        <f t="shared" si="268"/>
        <v>0</v>
      </c>
      <c r="I3456" s="91" t="str">
        <f t="shared" si="269"/>
        <v/>
      </c>
      <c r="J3456" s="91" t="str">
        <f t="shared" si="270"/>
        <v/>
      </c>
      <c r="K3456" s="92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2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58"/>
      <c r="U3456" s="217" t="str">
        <f t="shared" si="271"/>
        <v/>
      </c>
      <c r="V3456" s="215" t="s">
        <v>47</v>
      </c>
      <c r="W3456" s="102" t="s">
        <v>136</v>
      </c>
      <c r="X3456" s="102" t="s">
        <v>137</v>
      </c>
      <c r="Y3456" s="103" t="s">
        <v>138</v>
      </c>
      <c r="Z3456" s="103" t="s">
        <v>139</v>
      </c>
      <c r="AA3456" s="103" t="s">
        <v>47</v>
      </c>
      <c r="AB3456" s="103" t="s">
        <v>140</v>
      </c>
      <c r="AC3456" s="104" t="s">
        <v>141</v>
      </c>
    </row>
    <row r="3457" spans="1:29" ht="25.5" customHeight="1" x14ac:dyDescent="0.35">
      <c r="A3457" s="188"/>
      <c r="B3457" s="190"/>
      <c r="C3457" s="99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0"/>
      <c r="E3457" s="78" t="str">
        <f>IF(C3457="","",IFERROR(VLOOKUP(C3457,parametros!$A$11:$E$15,5,0),""))</f>
        <v/>
      </c>
      <c r="F3457" s="79" t="str">
        <f t="shared" si="267"/>
        <v/>
      </c>
      <c r="G3457" s="101"/>
      <c r="H3457" s="91">
        <f t="shared" si="268"/>
        <v>0</v>
      </c>
      <c r="I3457" s="91" t="str">
        <f t="shared" si="269"/>
        <v/>
      </c>
      <c r="J3457" s="91" t="str">
        <f t="shared" si="270"/>
        <v/>
      </c>
      <c r="K3457" s="92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2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58"/>
      <c r="U3457" s="217" t="str">
        <f t="shared" si="271"/>
        <v/>
      </c>
      <c r="V3457" s="215" t="s">
        <v>47</v>
      </c>
      <c r="W3457" s="102" t="s">
        <v>136</v>
      </c>
      <c r="X3457" s="102" t="s">
        <v>137</v>
      </c>
      <c r="Y3457" s="103" t="s">
        <v>138</v>
      </c>
      <c r="Z3457" s="103" t="s">
        <v>139</v>
      </c>
      <c r="AA3457" s="103" t="s">
        <v>47</v>
      </c>
      <c r="AB3457" s="103" t="s">
        <v>140</v>
      </c>
      <c r="AC3457" s="104" t="s">
        <v>141</v>
      </c>
    </row>
    <row r="3458" spans="1:29" ht="25.5" customHeight="1" x14ac:dyDescent="0.35">
      <c r="A3458" s="188"/>
      <c r="B3458" s="190"/>
      <c r="C3458" s="99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0"/>
      <c r="E3458" s="78" t="str">
        <f>IF(C3458="","",IFERROR(VLOOKUP(C3458,parametros!$A$11:$E$15,5,0),""))</f>
        <v/>
      </c>
      <c r="F3458" s="79" t="str">
        <f t="shared" ref="F3458:F3521" si="272">IF(OR(D3458="",E3458=""),"",ROUND(D3458*E3458,2))</f>
        <v/>
      </c>
      <c r="G3458" s="101"/>
      <c r="H3458" s="91">
        <f t="shared" ref="H3458:H3521" si="273">IF(G3458="Sim",IF(OR(F3458="",D3458="",L3458=""),"",IF(L3458="Sim",ROUND(F3458-D3458,2),0)),0)</f>
        <v>0</v>
      </c>
      <c r="I3458" s="91" t="str">
        <f t="shared" ref="I3458:I3521" si="274">IF(G3458="Sim",0,IF(OR(F3458="",L3458=""),"",F3458))</f>
        <v/>
      </c>
      <c r="J3458" s="91" t="str">
        <f t="shared" ref="J3458:J3521" si="275">IF(G3458="Sim",0,IF(OR(F3458="",D3458="",L3458=""),"",IF(L3458="Sim",ROUND(F3458-D3458,2),0)))</f>
        <v/>
      </c>
      <c r="K3458" s="92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2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58"/>
      <c r="U3458" s="217" t="str">
        <f t="shared" ref="U3458:U3521" si="276">IF(OR($D3458="",$H3458=""),"",ROUND($D3458+$H3458,2))</f>
        <v/>
      </c>
      <c r="V3458" s="215" t="s">
        <v>47</v>
      </c>
      <c r="W3458" s="102" t="s">
        <v>136</v>
      </c>
      <c r="X3458" s="102" t="s">
        <v>137</v>
      </c>
      <c r="Y3458" s="103" t="s">
        <v>138</v>
      </c>
      <c r="Z3458" s="103" t="s">
        <v>139</v>
      </c>
      <c r="AA3458" s="103" t="s">
        <v>47</v>
      </c>
      <c r="AB3458" s="103" t="s">
        <v>140</v>
      </c>
      <c r="AC3458" s="104" t="s">
        <v>141</v>
      </c>
    </row>
    <row r="3459" spans="1:29" ht="25.5" customHeight="1" x14ac:dyDescent="0.35">
      <c r="A3459" s="188"/>
      <c r="B3459" s="190"/>
      <c r="C3459" s="99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0"/>
      <c r="E3459" s="78" t="str">
        <f>IF(C3459="","",IFERROR(VLOOKUP(C3459,parametros!$A$11:$E$15,5,0),""))</f>
        <v/>
      </c>
      <c r="F3459" s="79" t="str">
        <f t="shared" si="272"/>
        <v/>
      </c>
      <c r="G3459" s="101"/>
      <c r="H3459" s="91">
        <f t="shared" si="273"/>
        <v>0</v>
      </c>
      <c r="I3459" s="91" t="str">
        <f t="shared" si="274"/>
        <v/>
      </c>
      <c r="J3459" s="91" t="str">
        <f t="shared" si="275"/>
        <v/>
      </c>
      <c r="K3459" s="92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2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58"/>
      <c r="U3459" s="217" t="str">
        <f t="shared" si="276"/>
        <v/>
      </c>
      <c r="V3459" s="215" t="s">
        <v>47</v>
      </c>
      <c r="W3459" s="102" t="s">
        <v>136</v>
      </c>
      <c r="X3459" s="102" t="s">
        <v>137</v>
      </c>
      <c r="Y3459" s="103" t="s">
        <v>138</v>
      </c>
      <c r="Z3459" s="103" t="s">
        <v>139</v>
      </c>
      <c r="AA3459" s="103" t="s">
        <v>47</v>
      </c>
      <c r="AB3459" s="103" t="s">
        <v>140</v>
      </c>
      <c r="AC3459" s="104" t="s">
        <v>141</v>
      </c>
    </row>
    <row r="3460" spans="1:29" ht="25.5" customHeight="1" x14ac:dyDescent="0.35">
      <c r="A3460" s="188"/>
      <c r="B3460" s="190"/>
      <c r="C3460" s="99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0"/>
      <c r="E3460" s="78" t="str">
        <f>IF(C3460="","",IFERROR(VLOOKUP(C3460,parametros!$A$11:$E$15,5,0),""))</f>
        <v/>
      </c>
      <c r="F3460" s="79" t="str">
        <f t="shared" si="272"/>
        <v/>
      </c>
      <c r="G3460" s="101"/>
      <c r="H3460" s="91">
        <f t="shared" si="273"/>
        <v>0</v>
      </c>
      <c r="I3460" s="91" t="str">
        <f t="shared" si="274"/>
        <v/>
      </c>
      <c r="J3460" s="91" t="str">
        <f t="shared" si="275"/>
        <v/>
      </c>
      <c r="K3460" s="92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2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58"/>
      <c r="U3460" s="217" t="str">
        <f t="shared" si="276"/>
        <v/>
      </c>
      <c r="V3460" s="215" t="s">
        <v>47</v>
      </c>
      <c r="W3460" s="102" t="s">
        <v>136</v>
      </c>
      <c r="X3460" s="102" t="s">
        <v>137</v>
      </c>
      <c r="Y3460" s="103" t="s">
        <v>138</v>
      </c>
      <c r="Z3460" s="103" t="s">
        <v>139</v>
      </c>
      <c r="AA3460" s="103" t="s">
        <v>47</v>
      </c>
      <c r="AB3460" s="103" t="s">
        <v>140</v>
      </c>
      <c r="AC3460" s="104" t="s">
        <v>141</v>
      </c>
    </row>
    <row r="3461" spans="1:29" ht="25.5" customHeight="1" x14ac:dyDescent="0.35">
      <c r="A3461" s="188"/>
      <c r="B3461" s="190"/>
      <c r="C3461" s="99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0"/>
      <c r="E3461" s="78" t="str">
        <f>IF(C3461="","",IFERROR(VLOOKUP(C3461,parametros!$A$11:$E$15,5,0),""))</f>
        <v/>
      </c>
      <c r="F3461" s="79" t="str">
        <f t="shared" si="272"/>
        <v/>
      </c>
      <c r="G3461" s="101"/>
      <c r="H3461" s="91">
        <f t="shared" si="273"/>
        <v>0</v>
      </c>
      <c r="I3461" s="91" t="str">
        <f t="shared" si="274"/>
        <v/>
      </c>
      <c r="J3461" s="91" t="str">
        <f t="shared" si="275"/>
        <v/>
      </c>
      <c r="K3461" s="92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2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58"/>
      <c r="U3461" s="217" t="str">
        <f t="shared" si="276"/>
        <v/>
      </c>
      <c r="V3461" s="215" t="s">
        <v>47</v>
      </c>
      <c r="W3461" s="102" t="s">
        <v>136</v>
      </c>
      <c r="X3461" s="102" t="s">
        <v>137</v>
      </c>
      <c r="Y3461" s="103" t="s">
        <v>138</v>
      </c>
      <c r="Z3461" s="103" t="s">
        <v>139</v>
      </c>
      <c r="AA3461" s="103" t="s">
        <v>47</v>
      </c>
      <c r="AB3461" s="103" t="s">
        <v>140</v>
      </c>
      <c r="AC3461" s="104" t="s">
        <v>141</v>
      </c>
    </row>
    <row r="3462" spans="1:29" ht="25.5" customHeight="1" x14ac:dyDescent="0.35">
      <c r="A3462" s="188"/>
      <c r="B3462" s="190"/>
      <c r="C3462" s="99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0"/>
      <c r="E3462" s="78" t="str">
        <f>IF(C3462="","",IFERROR(VLOOKUP(C3462,parametros!$A$11:$E$15,5,0),""))</f>
        <v/>
      </c>
      <c r="F3462" s="79" t="str">
        <f t="shared" si="272"/>
        <v/>
      </c>
      <c r="G3462" s="101"/>
      <c r="H3462" s="91">
        <f t="shared" si="273"/>
        <v>0</v>
      </c>
      <c r="I3462" s="91" t="str">
        <f t="shared" si="274"/>
        <v/>
      </c>
      <c r="J3462" s="91" t="str">
        <f t="shared" si="275"/>
        <v/>
      </c>
      <c r="K3462" s="92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2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58"/>
      <c r="U3462" s="217" t="str">
        <f t="shared" si="276"/>
        <v/>
      </c>
      <c r="V3462" s="215" t="s">
        <v>47</v>
      </c>
      <c r="W3462" s="102" t="s">
        <v>136</v>
      </c>
      <c r="X3462" s="102" t="s">
        <v>137</v>
      </c>
      <c r="Y3462" s="103" t="s">
        <v>138</v>
      </c>
      <c r="Z3462" s="103" t="s">
        <v>139</v>
      </c>
      <c r="AA3462" s="103" t="s">
        <v>47</v>
      </c>
      <c r="AB3462" s="103" t="s">
        <v>140</v>
      </c>
      <c r="AC3462" s="104" t="s">
        <v>141</v>
      </c>
    </row>
    <row r="3463" spans="1:29" ht="25.5" customHeight="1" x14ac:dyDescent="0.35">
      <c r="A3463" s="188"/>
      <c r="B3463" s="190"/>
      <c r="C3463" s="99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0"/>
      <c r="E3463" s="78" t="str">
        <f>IF(C3463="","",IFERROR(VLOOKUP(C3463,parametros!$A$11:$E$15,5,0),""))</f>
        <v/>
      </c>
      <c r="F3463" s="79" t="str">
        <f t="shared" si="272"/>
        <v/>
      </c>
      <c r="G3463" s="101"/>
      <c r="H3463" s="91">
        <f t="shared" si="273"/>
        <v>0</v>
      </c>
      <c r="I3463" s="91" t="str">
        <f t="shared" si="274"/>
        <v/>
      </c>
      <c r="J3463" s="91" t="str">
        <f t="shared" si="275"/>
        <v/>
      </c>
      <c r="K3463" s="92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2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58"/>
      <c r="U3463" s="217" t="str">
        <f t="shared" si="276"/>
        <v/>
      </c>
      <c r="V3463" s="215" t="s">
        <v>47</v>
      </c>
      <c r="W3463" s="102" t="s">
        <v>136</v>
      </c>
      <c r="X3463" s="102" t="s">
        <v>137</v>
      </c>
      <c r="Y3463" s="103" t="s">
        <v>138</v>
      </c>
      <c r="Z3463" s="103" t="s">
        <v>139</v>
      </c>
      <c r="AA3463" s="103" t="s">
        <v>47</v>
      </c>
      <c r="AB3463" s="103" t="s">
        <v>140</v>
      </c>
      <c r="AC3463" s="104" t="s">
        <v>141</v>
      </c>
    </row>
    <row r="3464" spans="1:29" ht="25.5" customHeight="1" x14ac:dyDescent="0.35">
      <c r="A3464" s="188"/>
      <c r="B3464" s="190"/>
      <c r="C3464" s="99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0"/>
      <c r="E3464" s="78" t="str">
        <f>IF(C3464="","",IFERROR(VLOOKUP(C3464,parametros!$A$11:$E$15,5,0),""))</f>
        <v/>
      </c>
      <c r="F3464" s="79" t="str">
        <f t="shared" si="272"/>
        <v/>
      </c>
      <c r="G3464" s="101"/>
      <c r="H3464" s="91">
        <f t="shared" si="273"/>
        <v>0</v>
      </c>
      <c r="I3464" s="91" t="str">
        <f t="shared" si="274"/>
        <v/>
      </c>
      <c r="J3464" s="91" t="str">
        <f t="shared" si="275"/>
        <v/>
      </c>
      <c r="K3464" s="92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2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58"/>
      <c r="U3464" s="217" t="str">
        <f t="shared" si="276"/>
        <v/>
      </c>
      <c r="V3464" s="215" t="s">
        <v>47</v>
      </c>
      <c r="W3464" s="102" t="s">
        <v>136</v>
      </c>
      <c r="X3464" s="102" t="s">
        <v>137</v>
      </c>
      <c r="Y3464" s="103" t="s">
        <v>138</v>
      </c>
      <c r="Z3464" s="103" t="s">
        <v>139</v>
      </c>
      <c r="AA3464" s="103" t="s">
        <v>47</v>
      </c>
      <c r="AB3464" s="103" t="s">
        <v>140</v>
      </c>
      <c r="AC3464" s="104" t="s">
        <v>141</v>
      </c>
    </row>
    <row r="3465" spans="1:29" ht="25.5" customHeight="1" x14ac:dyDescent="0.35">
      <c r="A3465" s="188"/>
      <c r="B3465" s="190"/>
      <c r="C3465" s="99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0"/>
      <c r="E3465" s="78" t="str">
        <f>IF(C3465="","",IFERROR(VLOOKUP(C3465,parametros!$A$11:$E$15,5,0),""))</f>
        <v/>
      </c>
      <c r="F3465" s="79" t="str">
        <f t="shared" si="272"/>
        <v/>
      </c>
      <c r="G3465" s="101"/>
      <c r="H3465" s="91">
        <f t="shared" si="273"/>
        <v>0</v>
      </c>
      <c r="I3465" s="91" t="str">
        <f t="shared" si="274"/>
        <v/>
      </c>
      <c r="J3465" s="91" t="str">
        <f t="shared" si="275"/>
        <v/>
      </c>
      <c r="K3465" s="92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2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58"/>
      <c r="U3465" s="217" t="str">
        <f t="shared" si="276"/>
        <v/>
      </c>
      <c r="V3465" s="215" t="s">
        <v>47</v>
      </c>
      <c r="W3465" s="102" t="s">
        <v>136</v>
      </c>
      <c r="X3465" s="102" t="s">
        <v>137</v>
      </c>
      <c r="Y3465" s="103" t="s">
        <v>138</v>
      </c>
      <c r="Z3465" s="103" t="s">
        <v>139</v>
      </c>
      <c r="AA3465" s="103" t="s">
        <v>47</v>
      </c>
      <c r="AB3465" s="103" t="s">
        <v>140</v>
      </c>
      <c r="AC3465" s="104" t="s">
        <v>141</v>
      </c>
    </row>
    <row r="3466" spans="1:29" ht="25.5" customHeight="1" x14ac:dyDescent="0.35">
      <c r="A3466" s="188"/>
      <c r="B3466" s="190"/>
      <c r="C3466" s="99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0"/>
      <c r="E3466" s="78" t="str">
        <f>IF(C3466="","",IFERROR(VLOOKUP(C3466,parametros!$A$11:$E$15,5,0),""))</f>
        <v/>
      </c>
      <c r="F3466" s="79" t="str">
        <f t="shared" si="272"/>
        <v/>
      </c>
      <c r="G3466" s="101"/>
      <c r="H3466" s="91">
        <f t="shared" si="273"/>
        <v>0</v>
      </c>
      <c r="I3466" s="91" t="str">
        <f t="shared" si="274"/>
        <v/>
      </c>
      <c r="J3466" s="91" t="str">
        <f t="shared" si="275"/>
        <v/>
      </c>
      <c r="K3466" s="92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2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58"/>
      <c r="U3466" s="217" t="str">
        <f t="shared" si="276"/>
        <v/>
      </c>
      <c r="V3466" s="215" t="s">
        <v>47</v>
      </c>
      <c r="W3466" s="102" t="s">
        <v>136</v>
      </c>
      <c r="X3466" s="102" t="s">
        <v>137</v>
      </c>
      <c r="Y3466" s="103" t="s">
        <v>138</v>
      </c>
      <c r="Z3466" s="103" t="s">
        <v>139</v>
      </c>
      <c r="AA3466" s="103" t="s">
        <v>47</v>
      </c>
      <c r="AB3466" s="103" t="s">
        <v>140</v>
      </c>
      <c r="AC3466" s="104" t="s">
        <v>141</v>
      </c>
    </row>
    <row r="3467" spans="1:29" ht="25.5" customHeight="1" x14ac:dyDescent="0.35">
      <c r="A3467" s="188"/>
      <c r="B3467" s="190"/>
      <c r="C3467" s="99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0"/>
      <c r="E3467" s="78" t="str">
        <f>IF(C3467="","",IFERROR(VLOOKUP(C3467,parametros!$A$11:$E$15,5,0),""))</f>
        <v/>
      </c>
      <c r="F3467" s="79" t="str">
        <f t="shared" si="272"/>
        <v/>
      </c>
      <c r="G3467" s="101"/>
      <c r="H3467" s="91">
        <f t="shared" si="273"/>
        <v>0</v>
      </c>
      <c r="I3467" s="91" t="str">
        <f t="shared" si="274"/>
        <v/>
      </c>
      <c r="J3467" s="91" t="str">
        <f t="shared" si="275"/>
        <v/>
      </c>
      <c r="K3467" s="92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2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58"/>
      <c r="U3467" s="217" t="str">
        <f t="shared" si="276"/>
        <v/>
      </c>
      <c r="V3467" s="215" t="s">
        <v>47</v>
      </c>
      <c r="W3467" s="102" t="s">
        <v>136</v>
      </c>
      <c r="X3467" s="102" t="s">
        <v>137</v>
      </c>
      <c r="Y3467" s="103" t="s">
        <v>138</v>
      </c>
      <c r="Z3467" s="103" t="s">
        <v>139</v>
      </c>
      <c r="AA3467" s="103" t="s">
        <v>47</v>
      </c>
      <c r="AB3467" s="103" t="s">
        <v>140</v>
      </c>
      <c r="AC3467" s="104" t="s">
        <v>141</v>
      </c>
    </row>
    <row r="3468" spans="1:29" ht="25.5" customHeight="1" x14ac:dyDescent="0.35">
      <c r="A3468" s="188"/>
      <c r="B3468" s="190"/>
      <c r="C3468" s="99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0"/>
      <c r="E3468" s="78" t="str">
        <f>IF(C3468="","",IFERROR(VLOOKUP(C3468,parametros!$A$11:$E$15,5,0),""))</f>
        <v/>
      </c>
      <c r="F3468" s="79" t="str">
        <f t="shared" si="272"/>
        <v/>
      </c>
      <c r="G3468" s="101"/>
      <c r="H3468" s="91">
        <f t="shared" si="273"/>
        <v>0</v>
      </c>
      <c r="I3468" s="91" t="str">
        <f t="shared" si="274"/>
        <v/>
      </c>
      <c r="J3468" s="91" t="str">
        <f t="shared" si="275"/>
        <v/>
      </c>
      <c r="K3468" s="92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2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58"/>
      <c r="U3468" s="217" t="str">
        <f t="shared" si="276"/>
        <v/>
      </c>
      <c r="V3468" s="215" t="s">
        <v>47</v>
      </c>
      <c r="W3468" s="102" t="s">
        <v>136</v>
      </c>
      <c r="X3468" s="102" t="s">
        <v>137</v>
      </c>
      <c r="Y3468" s="103" t="s">
        <v>138</v>
      </c>
      <c r="Z3468" s="103" t="s">
        <v>139</v>
      </c>
      <c r="AA3468" s="103" t="s">
        <v>47</v>
      </c>
      <c r="AB3468" s="103" t="s">
        <v>140</v>
      </c>
      <c r="AC3468" s="104" t="s">
        <v>141</v>
      </c>
    </row>
    <row r="3469" spans="1:29" ht="25.5" customHeight="1" x14ac:dyDescent="0.35">
      <c r="A3469" s="188"/>
      <c r="B3469" s="190"/>
      <c r="C3469" s="99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0"/>
      <c r="E3469" s="78" t="str">
        <f>IF(C3469="","",IFERROR(VLOOKUP(C3469,parametros!$A$11:$E$15,5,0),""))</f>
        <v/>
      </c>
      <c r="F3469" s="79" t="str">
        <f t="shared" si="272"/>
        <v/>
      </c>
      <c r="G3469" s="101"/>
      <c r="H3469" s="91">
        <f t="shared" si="273"/>
        <v>0</v>
      </c>
      <c r="I3469" s="91" t="str">
        <f t="shared" si="274"/>
        <v/>
      </c>
      <c r="J3469" s="91" t="str">
        <f t="shared" si="275"/>
        <v/>
      </c>
      <c r="K3469" s="92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2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58"/>
      <c r="U3469" s="217" t="str">
        <f t="shared" si="276"/>
        <v/>
      </c>
      <c r="V3469" s="215" t="s">
        <v>47</v>
      </c>
      <c r="W3469" s="102" t="s">
        <v>136</v>
      </c>
      <c r="X3469" s="102" t="s">
        <v>137</v>
      </c>
      <c r="Y3469" s="103" t="s">
        <v>138</v>
      </c>
      <c r="Z3469" s="103" t="s">
        <v>139</v>
      </c>
      <c r="AA3469" s="103" t="s">
        <v>47</v>
      </c>
      <c r="AB3469" s="103" t="s">
        <v>140</v>
      </c>
      <c r="AC3469" s="104" t="s">
        <v>141</v>
      </c>
    </row>
    <row r="3470" spans="1:29" ht="25.5" customHeight="1" x14ac:dyDescent="0.35">
      <c r="A3470" s="188"/>
      <c r="B3470" s="190"/>
      <c r="C3470" s="99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0"/>
      <c r="E3470" s="78" t="str">
        <f>IF(C3470="","",IFERROR(VLOOKUP(C3470,parametros!$A$11:$E$15,5,0),""))</f>
        <v/>
      </c>
      <c r="F3470" s="79" t="str">
        <f t="shared" si="272"/>
        <v/>
      </c>
      <c r="G3470" s="101"/>
      <c r="H3470" s="91">
        <f t="shared" si="273"/>
        <v>0</v>
      </c>
      <c r="I3470" s="91" t="str">
        <f t="shared" si="274"/>
        <v/>
      </c>
      <c r="J3470" s="91" t="str">
        <f t="shared" si="275"/>
        <v/>
      </c>
      <c r="K3470" s="92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2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58"/>
      <c r="U3470" s="217" t="str">
        <f t="shared" si="276"/>
        <v/>
      </c>
      <c r="V3470" s="215" t="s">
        <v>47</v>
      </c>
      <c r="W3470" s="102" t="s">
        <v>136</v>
      </c>
      <c r="X3470" s="102" t="s">
        <v>137</v>
      </c>
      <c r="Y3470" s="103" t="s">
        <v>138</v>
      </c>
      <c r="Z3470" s="103" t="s">
        <v>139</v>
      </c>
      <c r="AA3470" s="103" t="s">
        <v>47</v>
      </c>
      <c r="AB3470" s="103" t="s">
        <v>140</v>
      </c>
      <c r="AC3470" s="104" t="s">
        <v>141</v>
      </c>
    </row>
    <row r="3471" spans="1:29" ht="25.5" customHeight="1" x14ac:dyDescent="0.35">
      <c r="A3471" s="188"/>
      <c r="B3471" s="190"/>
      <c r="C3471" s="99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0"/>
      <c r="E3471" s="78" t="str">
        <f>IF(C3471="","",IFERROR(VLOOKUP(C3471,parametros!$A$11:$E$15,5,0),""))</f>
        <v/>
      </c>
      <c r="F3471" s="79" t="str">
        <f t="shared" si="272"/>
        <v/>
      </c>
      <c r="G3471" s="101"/>
      <c r="H3471" s="91">
        <f t="shared" si="273"/>
        <v>0</v>
      </c>
      <c r="I3471" s="91" t="str">
        <f t="shared" si="274"/>
        <v/>
      </c>
      <c r="J3471" s="91" t="str">
        <f t="shared" si="275"/>
        <v/>
      </c>
      <c r="K3471" s="92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2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58"/>
      <c r="U3471" s="217" t="str">
        <f t="shared" si="276"/>
        <v/>
      </c>
      <c r="V3471" s="215" t="s">
        <v>47</v>
      </c>
      <c r="W3471" s="102" t="s">
        <v>136</v>
      </c>
      <c r="X3471" s="102" t="s">
        <v>137</v>
      </c>
      <c r="Y3471" s="103" t="s">
        <v>138</v>
      </c>
      <c r="Z3471" s="103" t="s">
        <v>139</v>
      </c>
      <c r="AA3471" s="103" t="s">
        <v>47</v>
      </c>
      <c r="AB3471" s="103" t="s">
        <v>140</v>
      </c>
      <c r="AC3471" s="104" t="s">
        <v>141</v>
      </c>
    </row>
    <row r="3472" spans="1:29" ht="25.5" customHeight="1" x14ac:dyDescent="0.35">
      <c r="A3472" s="188"/>
      <c r="B3472" s="190"/>
      <c r="C3472" s="99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0"/>
      <c r="E3472" s="78" t="str">
        <f>IF(C3472="","",IFERROR(VLOOKUP(C3472,parametros!$A$11:$E$15,5,0),""))</f>
        <v/>
      </c>
      <c r="F3472" s="79" t="str">
        <f t="shared" si="272"/>
        <v/>
      </c>
      <c r="G3472" s="101"/>
      <c r="H3472" s="91">
        <f t="shared" si="273"/>
        <v>0</v>
      </c>
      <c r="I3472" s="91" t="str">
        <f t="shared" si="274"/>
        <v/>
      </c>
      <c r="J3472" s="91" t="str">
        <f t="shared" si="275"/>
        <v/>
      </c>
      <c r="K3472" s="92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2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58"/>
      <c r="U3472" s="217" t="str">
        <f t="shared" si="276"/>
        <v/>
      </c>
      <c r="V3472" s="215" t="s">
        <v>47</v>
      </c>
      <c r="W3472" s="102" t="s">
        <v>136</v>
      </c>
      <c r="X3472" s="102" t="s">
        <v>137</v>
      </c>
      <c r="Y3472" s="103" t="s">
        <v>138</v>
      </c>
      <c r="Z3472" s="103" t="s">
        <v>139</v>
      </c>
      <c r="AA3472" s="103" t="s">
        <v>47</v>
      </c>
      <c r="AB3472" s="103" t="s">
        <v>140</v>
      </c>
      <c r="AC3472" s="104" t="s">
        <v>141</v>
      </c>
    </row>
    <row r="3473" spans="1:29" ht="25.5" customHeight="1" x14ac:dyDescent="0.35">
      <c r="A3473" s="188"/>
      <c r="B3473" s="190"/>
      <c r="C3473" s="99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0"/>
      <c r="E3473" s="78" t="str">
        <f>IF(C3473="","",IFERROR(VLOOKUP(C3473,parametros!$A$11:$E$15,5,0),""))</f>
        <v/>
      </c>
      <c r="F3473" s="79" t="str">
        <f t="shared" si="272"/>
        <v/>
      </c>
      <c r="G3473" s="101"/>
      <c r="H3473" s="91">
        <f t="shared" si="273"/>
        <v>0</v>
      </c>
      <c r="I3473" s="91" t="str">
        <f t="shared" si="274"/>
        <v/>
      </c>
      <c r="J3473" s="91" t="str">
        <f t="shared" si="275"/>
        <v/>
      </c>
      <c r="K3473" s="92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2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58"/>
      <c r="U3473" s="217" t="str">
        <f t="shared" si="276"/>
        <v/>
      </c>
      <c r="V3473" s="215" t="s">
        <v>47</v>
      </c>
      <c r="W3473" s="102" t="s">
        <v>136</v>
      </c>
      <c r="X3473" s="102" t="s">
        <v>137</v>
      </c>
      <c r="Y3473" s="103" t="s">
        <v>138</v>
      </c>
      <c r="Z3473" s="103" t="s">
        <v>139</v>
      </c>
      <c r="AA3473" s="103" t="s">
        <v>47</v>
      </c>
      <c r="AB3473" s="103" t="s">
        <v>140</v>
      </c>
      <c r="AC3473" s="104" t="s">
        <v>141</v>
      </c>
    </row>
    <row r="3474" spans="1:29" ht="25.5" customHeight="1" x14ac:dyDescent="0.35">
      <c r="A3474" s="188"/>
      <c r="B3474" s="190"/>
      <c r="C3474" s="99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0"/>
      <c r="E3474" s="78" t="str">
        <f>IF(C3474="","",IFERROR(VLOOKUP(C3474,parametros!$A$11:$E$15,5,0),""))</f>
        <v/>
      </c>
      <c r="F3474" s="79" t="str">
        <f t="shared" si="272"/>
        <v/>
      </c>
      <c r="G3474" s="101"/>
      <c r="H3474" s="91">
        <f t="shared" si="273"/>
        <v>0</v>
      </c>
      <c r="I3474" s="91" t="str">
        <f t="shared" si="274"/>
        <v/>
      </c>
      <c r="J3474" s="91" t="str">
        <f t="shared" si="275"/>
        <v/>
      </c>
      <c r="K3474" s="92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2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58"/>
      <c r="U3474" s="217" t="str">
        <f t="shared" si="276"/>
        <v/>
      </c>
      <c r="V3474" s="215" t="s">
        <v>47</v>
      </c>
      <c r="W3474" s="102" t="s">
        <v>136</v>
      </c>
      <c r="X3474" s="102" t="s">
        <v>137</v>
      </c>
      <c r="Y3474" s="103" t="s">
        <v>138</v>
      </c>
      <c r="Z3474" s="103" t="s">
        <v>139</v>
      </c>
      <c r="AA3474" s="103" t="s">
        <v>47</v>
      </c>
      <c r="AB3474" s="103" t="s">
        <v>140</v>
      </c>
      <c r="AC3474" s="104" t="s">
        <v>141</v>
      </c>
    </row>
    <row r="3475" spans="1:29" ht="25.5" customHeight="1" x14ac:dyDescent="0.35">
      <c r="A3475" s="188"/>
      <c r="B3475" s="190"/>
      <c r="C3475" s="99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0"/>
      <c r="E3475" s="78" t="str">
        <f>IF(C3475="","",IFERROR(VLOOKUP(C3475,parametros!$A$11:$E$15,5,0),""))</f>
        <v/>
      </c>
      <c r="F3475" s="79" t="str">
        <f t="shared" si="272"/>
        <v/>
      </c>
      <c r="G3475" s="101"/>
      <c r="H3475" s="91">
        <f t="shared" si="273"/>
        <v>0</v>
      </c>
      <c r="I3475" s="91" t="str">
        <f t="shared" si="274"/>
        <v/>
      </c>
      <c r="J3475" s="91" t="str">
        <f t="shared" si="275"/>
        <v/>
      </c>
      <c r="K3475" s="92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2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58"/>
      <c r="U3475" s="217" t="str">
        <f t="shared" si="276"/>
        <v/>
      </c>
      <c r="V3475" s="215" t="s">
        <v>47</v>
      </c>
      <c r="W3475" s="102" t="s">
        <v>136</v>
      </c>
      <c r="X3475" s="102" t="s">
        <v>137</v>
      </c>
      <c r="Y3475" s="103" t="s">
        <v>138</v>
      </c>
      <c r="Z3475" s="103" t="s">
        <v>139</v>
      </c>
      <c r="AA3475" s="103" t="s">
        <v>47</v>
      </c>
      <c r="AB3475" s="103" t="s">
        <v>140</v>
      </c>
      <c r="AC3475" s="104" t="s">
        <v>141</v>
      </c>
    </row>
    <row r="3476" spans="1:29" ht="25.5" customHeight="1" x14ac:dyDescent="0.35">
      <c r="A3476" s="188"/>
      <c r="B3476" s="190"/>
      <c r="C3476" s="99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0"/>
      <c r="E3476" s="78" t="str">
        <f>IF(C3476="","",IFERROR(VLOOKUP(C3476,parametros!$A$11:$E$15,5,0),""))</f>
        <v/>
      </c>
      <c r="F3476" s="79" t="str">
        <f t="shared" si="272"/>
        <v/>
      </c>
      <c r="G3476" s="101"/>
      <c r="H3476" s="91">
        <f t="shared" si="273"/>
        <v>0</v>
      </c>
      <c r="I3476" s="91" t="str">
        <f t="shared" si="274"/>
        <v/>
      </c>
      <c r="J3476" s="91" t="str">
        <f t="shared" si="275"/>
        <v/>
      </c>
      <c r="K3476" s="92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2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58"/>
      <c r="U3476" s="217" t="str">
        <f t="shared" si="276"/>
        <v/>
      </c>
      <c r="V3476" s="215" t="s">
        <v>47</v>
      </c>
      <c r="W3476" s="102" t="s">
        <v>136</v>
      </c>
      <c r="X3476" s="102" t="s">
        <v>137</v>
      </c>
      <c r="Y3476" s="103" t="s">
        <v>138</v>
      </c>
      <c r="Z3476" s="103" t="s">
        <v>139</v>
      </c>
      <c r="AA3476" s="103" t="s">
        <v>47</v>
      </c>
      <c r="AB3476" s="103" t="s">
        <v>140</v>
      </c>
      <c r="AC3476" s="104" t="s">
        <v>141</v>
      </c>
    </row>
    <row r="3477" spans="1:29" ht="25.5" customHeight="1" x14ac:dyDescent="0.35">
      <c r="A3477" s="188"/>
      <c r="B3477" s="190"/>
      <c r="C3477" s="99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0"/>
      <c r="E3477" s="78" t="str">
        <f>IF(C3477="","",IFERROR(VLOOKUP(C3477,parametros!$A$11:$E$15,5,0),""))</f>
        <v/>
      </c>
      <c r="F3477" s="79" t="str">
        <f t="shared" si="272"/>
        <v/>
      </c>
      <c r="G3477" s="101"/>
      <c r="H3477" s="91">
        <f t="shared" si="273"/>
        <v>0</v>
      </c>
      <c r="I3477" s="91" t="str">
        <f t="shared" si="274"/>
        <v/>
      </c>
      <c r="J3477" s="91" t="str">
        <f t="shared" si="275"/>
        <v/>
      </c>
      <c r="K3477" s="92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2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58"/>
      <c r="U3477" s="217" t="str">
        <f t="shared" si="276"/>
        <v/>
      </c>
      <c r="V3477" s="215" t="s">
        <v>47</v>
      </c>
      <c r="W3477" s="102" t="s">
        <v>136</v>
      </c>
      <c r="X3477" s="102" t="s">
        <v>137</v>
      </c>
      <c r="Y3477" s="103" t="s">
        <v>138</v>
      </c>
      <c r="Z3477" s="103" t="s">
        <v>139</v>
      </c>
      <c r="AA3477" s="103" t="s">
        <v>47</v>
      </c>
      <c r="AB3477" s="103" t="s">
        <v>140</v>
      </c>
      <c r="AC3477" s="104" t="s">
        <v>141</v>
      </c>
    </row>
    <row r="3478" spans="1:29" ht="25.5" customHeight="1" x14ac:dyDescent="0.35">
      <c r="A3478" s="188"/>
      <c r="B3478" s="190"/>
      <c r="C3478" s="99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0"/>
      <c r="E3478" s="78" t="str">
        <f>IF(C3478="","",IFERROR(VLOOKUP(C3478,parametros!$A$11:$E$15,5,0),""))</f>
        <v/>
      </c>
      <c r="F3478" s="79" t="str">
        <f t="shared" si="272"/>
        <v/>
      </c>
      <c r="G3478" s="101"/>
      <c r="H3478" s="91">
        <f t="shared" si="273"/>
        <v>0</v>
      </c>
      <c r="I3478" s="91" t="str">
        <f t="shared" si="274"/>
        <v/>
      </c>
      <c r="J3478" s="91" t="str">
        <f t="shared" si="275"/>
        <v/>
      </c>
      <c r="K3478" s="92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2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58"/>
      <c r="U3478" s="217" t="str">
        <f t="shared" si="276"/>
        <v/>
      </c>
      <c r="V3478" s="215" t="s">
        <v>47</v>
      </c>
      <c r="W3478" s="102" t="s">
        <v>136</v>
      </c>
      <c r="X3478" s="102" t="s">
        <v>137</v>
      </c>
      <c r="Y3478" s="103" t="s">
        <v>138</v>
      </c>
      <c r="Z3478" s="103" t="s">
        <v>139</v>
      </c>
      <c r="AA3478" s="103" t="s">
        <v>47</v>
      </c>
      <c r="AB3478" s="103" t="s">
        <v>140</v>
      </c>
      <c r="AC3478" s="104" t="s">
        <v>141</v>
      </c>
    </row>
    <row r="3479" spans="1:29" ht="25.5" customHeight="1" x14ac:dyDescent="0.35">
      <c r="A3479" s="188"/>
      <c r="B3479" s="190"/>
      <c r="C3479" s="99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0"/>
      <c r="E3479" s="78" t="str">
        <f>IF(C3479="","",IFERROR(VLOOKUP(C3479,parametros!$A$11:$E$15,5,0),""))</f>
        <v/>
      </c>
      <c r="F3479" s="79" t="str">
        <f t="shared" si="272"/>
        <v/>
      </c>
      <c r="G3479" s="101"/>
      <c r="H3479" s="91">
        <f t="shared" si="273"/>
        <v>0</v>
      </c>
      <c r="I3479" s="91" t="str">
        <f t="shared" si="274"/>
        <v/>
      </c>
      <c r="J3479" s="91" t="str">
        <f t="shared" si="275"/>
        <v/>
      </c>
      <c r="K3479" s="92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2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58"/>
      <c r="U3479" s="217" t="str">
        <f t="shared" si="276"/>
        <v/>
      </c>
      <c r="V3479" s="215" t="s">
        <v>47</v>
      </c>
      <c r="W3479" s="102" t="s">
        <v>136</v>
      </c>
      <c r="X3479" s="102" t="s">
        <v>137</v>
      </c>
      <c r="Y3479" s="103" t="s">
        <v>138</v>
      </c>
      <c r="Z3479" s="103" t="s">
        <v>139</v>
      </c>
      <c r="AA3479" s="103" t="s">
        <v>47</v>
      </c>
      <c r="AB3479" s="103" t="s">
        <v>140</v>
      </c>
      <c r="AC3479" s="104" t="s">
        <v>141</v>
      </c>
    </row>
    <row r="3480" spans="1:29" ht="25.5" customHeight="1" x14ac:dyDescent="0.35">
      <c r="A3480" s="188"/>
      <c r="B3480" s="190"/>
      <c r="C3480" s="99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0"/>
      <c r="E3480" s="78" t="str">
        <f>IF(C3480="","",IFERROR(VLOOKUP(C3480,parametros!$A$11:$E$15,5,0),""))</f>
        <v/>
      </c>
      <c r="F3480" s="79" t="str">
        <f t="shared" si="272"/>
        <v/>
      </c>
      <c r="G3480" s="101"/>
      <c r="H3480" s="91">
        <f t="shared" si="273"/>
        <v>0</v>
      </c>
      <c r="I3480" s="91" t="str">
        <f t="shared" si="274"/>
        <v/>
      </c>
      <c r="J3480" s="91" t="str">
        <f t="shared" si="275"/>
        <v/>
      </c>
      <c r="K3480" s="92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2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58"/>
      <c r="U3480" s="217" t="str">
        <f t="shared" si="276"/>
        <v/>
      </c>
      <c r="V3480" s="215" t="s">
        <v>47</v>
      </c>
      <c r="W3480" s="102" t="s">
        <v>136</v>
      </c>
      <c r="X3480" s="102" t="s">
        <v>137</v>
      </c>
      <c r="Y3480" s="103" t="s">
        <v>138</v>
      </c>
      <c r="Z3480" s="103" t="s">
        <v>139</v>
      </c>
      <c r="AA3480" s="103" t="s">
        <v>47</v>
      </c>
      <c r="AB3480" s="103" t="s">
        <v>140</v>
      </c>
      <c r="AC3480" s="104" t="s">
        <v>141</v>
      </c>
    </row>
    <row r="3481" spans="1:29" ht="25.5" customHeight="1" x14ac:dyDescent="0.35">
      <c r="A3481" s="188"/>
      <c r="B3481" s="190"/>
      <c r="C3481" s="99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0"/>
      <c r="E3481" s="78" t="str">
        <f>IF(C3481="","",IFERROR(VLOOKUP(C3481,parametros!$A$11:$E$15,5,0),""))</f>
        <v/>
      </c>
      <c r="F3481" s="79" t="str">
        <f t="shared" si="272"/>
        <v/>
      </c>
      <c r="G3481" s="101"/>
      <c r="H3481" s="91">
        <f t="shared" si="273"/>
        <v>0</v>
      </c>
      <c r="I3481" s="91" t="str">
        <f t="shared" si="274"/>
        <v/>
      </c>
      <c r="J3481" s="91" t="str">
        <f t="shared" si="275"/>
        <v/>
      </c>
      <c r="K3481" s="92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2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58"/>
      <c r="U3481" s="217" t="str">
        <f t="shared" si="276"/>
        <v/>
      </c>
      <c r="V3481" s="215" t="s">
        <v>47</v>
      </c>
      <c r="W3481" s="102" t="s">
        <v>136</v>
      </c>
      <c r="X3481" s="102" t="s">
        <v>137</v>
      </c>
      <c r="Y3481" s="103" t="s">
        <v>138</v>
      </c>
      <c r="Z3481" s="103" t="s">
        <v>139</v>
      </c>
      <c r="AA3481" s="103" t="s">
        <v>47</v>
      </c>
      <c r="AB3481" s="103" t="s">
        <v>140</v>
      </c>
      <c r="AC3481" s="104" t="s">
        <v>141</v>
      </c>
    </row>
    <row r="3482" spans="1:29" ht="25.5" customHeight="1" x14ac:dyDescent="0.35">
      <c r="A3482" s="188"/>
      <c r="B3482" s="190"/>
      <c r="C3482" s="99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0"/>
      <c r="E3482" s="78" t="str">
        <f>IF(C3482="","",IFERROR(VLOOKUP(C3482,parametros!$A$11:$E$15,5,0),""))</f>
        <v/>
      </c>
      <c r="F3482" s="79" t="str">
        <f t="shared" si="272"/>
        <v/>
      </c>
      <c r="G3482" s="101"/>
      <c r="H3482" s="91">
        <f t="shared" si="273"/>
        <v>0</v>
      </c>
      <c r="I3482" s="91" t="str">
        <f t="shared" si="274"/>
        <v/>
      </c>
      <c r="J3482" s="91" t="str">
        <f t="shared" si="275"/>
        <v/>
      </c>
      <c r="K3482" s="92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2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58"/>
      <c r="U3482" s="217" t="str">
        <f t="shared" si="276"/>
        <v/>
      </c>
      <c r="V3482" s="215" t="s">
        <v>47</v>
      </c>
      <c r="W3482" s="102" t="s">
        <v>136</v>
      </c>
      <c r="X3482" s="102" t="s">
        <v>137</v>
      </c>
      <c r="Y3482" s="103" t="s">
        <v>138</v>
      </c>
      <c r="Z3482" s="103" t="s">
        <v>139</v>
      </c>
      <c r="AA3482" s="103" t="s">
        <v>47</v>
      </c>
      <c r="AB3482" s="103" t="s">
        <v>140</v>
      </c>
      <c r="AC3482" s="104" t="s">
        <v>141</v>
      </c>
    </row>
    <row r="3483" spans="1:29" ht="25.5" customHeight="1" x14ac:dyDescent="0.35">
      <c r="A3483" s="188"/>
      <c r="B3483" s="190"/>
      <c r="C3483" s="99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0"/>
      <c r="E3483" s="78" t="str">
        <f>IF(C3483="","",IFERROR(VLOOKUP(C3483,parametros!$A$11:$E$15,5,0),""))</f>
        <v/>
      </c>
      <c r="F3483" s="79" t="str">
        <f t="shared" si="272"/>
        <v/>
      </c>
      <c r="G3483" s="101"/>
      <c r="H3483" s="91">
        <f t="shared" si="273"/>
        <v>0</v>
      </c>
      <c r="I3483" s="91" t="str">
        <f t="shared" si="274"/>
        <v/>
      </c>
      <c r="J3483" s="91" t="str">
        <f t="shared" si="275"/>
        <v/>
      </c>
      <c r="K3483" s="92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2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58"/>
      <c r="U3483" s="217" t="str">
        <f t="shared" si="276"/>
        <v/>
      </c>
      <c r="V3483" s="215" t="s">
        <v>47</v>
      </c>
      <c r="W3483" s="102" t="s">
        <v>136</v>
      </c>
      <c r="X3483" s="102" t="s">
        <v>137</v>
      </c>
      <c r="Y3483" s="103" t="s">
        <v>138</v>
      </c>
      <c r="Z3483" s="103" t="s">
        <v>139</v>
      </c>
      <c r="AA3483" s="103" t="s">
        <v>47</v>
      </c>
      <c r="AB3483" s="103" t="s">
        <v>140</v>
      </c>
      <c r="AC3483" s="104" t="s">
        <v>141</v>
      </c>
    </row>
    <row r="3484" spans="1:29" ht="25.5" customHeight="1" x14ac:dyDescent="0.35">
      <c r="A3484" s="188"/>
      <c r="B3484" s="190"/>
      <c r="C3484" s="99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0"/>
      <c r="E3484" s="78" t="str">
        <f>IF(C3484="","",IFERROR(VLOOKUP(C3484,parametros!$A$11:$E$15,5,0),""))</f>
        <v/>
      </c>
      <c r="F3484" s="79" t="str">
        <f t="shared" si="272"/>
        <v/>
      </c>
      <c r="G3484" s="101"/>
      <c r="H3484" s="91">
        <f t="shared" si="273"/>
        <v>0</v>
      </c>
      <c r="I3484" s="91" t="str">
        <f t="shared" si="274"/>
        <v/>
      </c>
      <c r="J3484" s="91" t="str">
        <f t="shared" si="275"/>
        <v/>
      </c>
      <c r="K3484" s="92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2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58"/>
      <c r="U3484" s="217" t="str">
        <f t="shared" si="276"/>
        <v/>
      </c>
      <c r="V3484" s="215" t="s">
        <v>47</v>
      </c>
      <c r="W3484" s="102" t="s">
        <v>136</v>
      </c>
      <c r="X3484" s="102" t="s">
        <v>137</v>
      </c>
      <c r="Y3484" s="103" t="s">
        <v>138</v>
      </c>
      <c r="Z3484" s="103" t="s">
        <v>139</v>
      </c>
      <c r="AA3484" s="103" t="s">
        <v>47</v>
      </c>
      <c r="AB3484" s="103" t="s">
        <v>140</v>
      </c>
      <c r="AC3484" s="104" t="s">
        <v>141</v>
      </c>
    </row>
    <row r="3485" spans="1:29" ht="25.5" customHeight="1" x14ac:dyDescent="0.35">
      <c r="A3485" s="188"/>
      <c r="B3485" s="190"/>
      <c r="C3485" s="99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0"/>
      <c r="E3485" s="78" t="str">
        <f>IF(C3485="","",IFERROR(VLOOKUP(C3485,parametros!$A$11:$E$15,5,0),""))</f>
        <v/>
      </c>
      <c r="F3485" s="79" t="str">
        <f t="shared" si="272"/>
        <v/>
      </c>
      <c r="G3485" s="101"/>
      <c r="H3485" s="91">
        <f t="shared" si="273"/>
        <v>0</v>
      </c>
      <c r="I3485" s="91" t="str">
        <f t="shared" si="274"/>
        <v/>
      </c>
      <c r="J3485" s="91" t="str">
        <f t="shared" si="275"/>
        <v/>
      </c>
      <c r="K3485" s="92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2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58"/>
      <c r="U3485" s="217" t="str">
        <f t="shared" si="276"/>
        <v/>
      </c>
      <c r="V3485" s="215" t="s">
        <v>47</v>
      </c>
      <c r="W3485" s="102" t="s">
        <v>136</v>
      </c>
      <c r="X3485" s="102" t="s">
        <v>137</v>
      </c>
      <c r="Y3485" s="103" t="s">
        <v>138</v>
      </c>
      <c r="Z3485" s="103" t="s">
        <v>139</v>
      </c>
      <c r="AA3485" s="103" t="s">
        <v>47</v>
      </c>
      <c r="AB3485" s="103" t="s">
        <v>140</v>
      </c>
      <c r="AC3485" s="104" t="s">
        <v>141</v>
      </c>
    </row>
    <row r="3486" spans="1:29" ht="25.5" customHeight="1" x14ac:dyDescent="0.35">
      <c r="A3486" s="188"/>
      <c r="B3486" s="190"/>
      <c r="C3486" s="99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0"/>
      <c r="E3486" s="78" t="str">
        <f>IF(C3486="","",IFERROR(VLOOKUP(C3486,parametros!$A$11:$E$15,5,0),""))</f>
        <v/>
      </c>
      <c r="F3486" s="79" t="str">
        <f t="shared" si="272"/>
        <v/>
      </c>
      <c r="G3486" s="101"/>
      <c r="H3486" s="91">
        <f t="shared" si="273"/>
        <v>0</v>
      </c>
      <c r="I3486" s="91" t="str">
        <f t="shared" si="274"/>
        <v/>
      </c>
      <c r="J3486" s="91" t="str">
        <f t="shared" si="275"/>
        <v/>
      </c>
      <c r="K3486" s="92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2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58"/>
      <c r="U3486" s="217" t="str">
        <f t="shared" si="276"/>
        <v/>
      </c>
      <c r="V3486" s="215" t="s">
        <v>47</v>
      </c>
      <c r="W3486" s="102" t="s">
        <v>136</v>
      </c>
      <c r="X3486" s="102" t="s">
        <v>137</v>
      </c>
      <c r="Y3486" s="103" t="s">
        <v>138</v>
      </c>
      <c r="Z3486" s="103" t="s">
        <v>139</v>
      </c>
      <c r="AA3486" s="103" t="s">
        <v>47</v>
      </c>
      <c r="AB3486" s="103" t="s">
        <v>140</v>
      </c>
      <c r="AC3486" s="104" t="s">
        <v>141</v>
      </c>
    </row>
    <row r="3487" spans="1:29" ht="25.5" customHeight="1" x14ac:dyDescent="0.35">
      <c r="A3487" s="188"/>
      <c r="B3487" s="190"/>
      <c r="C3487" s="99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0"/>
      <c r="E3487" s="78" t="str">
        <f>IF(C3487="","",IFERROR(VLOOKUP(C3487,parametros!$A$11:$E$15,5,0),""))</f>
        <v/>
      </c>
      <c r="F3487" s="79" t="str">
        <f t="shared" si="272"/>
        <v/>
      </c>
      <c r="G3487" s="101"/>
      <c r="H3487" s="91">
        <f t="shared" si="273"/>
        <v>0</v>
      </c>
      <c r="I3487" s="91" t="str">
        <f t="shared" si="274"/>
        <v/>
      </c>
      <c r="J3487" s="91" t="str">
        <f t="shared" si="275"/>
        <v/>
      </c>
      <c r="K3487" s="92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2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58"/>
      <c r="U3487" s="217" t="str">
        <f t="shared" si="276"/>
        <v/>
      </c>
      <c r="V3487" s="215" t="s">
        <v>47</v>
      </c>
      <c r="W3487" s="102" t="s">
        <v>136</v>
      </c>
      <c r="X3487" s="102" t="s">
        <v>137</v>
      </c>
      <c r="Y3487" s="103" t="s">
        <v>138</v>
      </c>
      <c r="Z3487" s="103" t="s">
        <v>139</v>
      </c>
      <c r="AA3487" s="103" t="s">
        <v>47</v>
      </c>
      <c r="AB3487" s="103" t="s">
        <v>140</v>
      </c>
      <c r="AC3487" s="104" t="s">
        <v>141</v>
      </c>
    </row>
    <row r="3488" spans="1:29" ht="25.5" customHeight="1" x14ac:dyDescent="0.35">
      <c r="A3488" s="188"/>
      <c r="B3488" s="190"/>
      <c r="C3488" s="99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0"/>
      <c r="E3488" s="78" t="str">
        <f>IF(C3488="","",IFERROR(VLOOKUP(C3488,parametros!$A$11:$E$15,5,0),""))</f>
        <v/>
      </c>
      <c r="F3488" s="79" t="str">
        <f t="shared" si="272"/>
        <v/>
      </c>
      <c r="G3488" s="101"/>
      <c r="H3488" s="91">
        <f t="shared" si="273"/>
        <v>0</v>
      </c>
      <c r="I3488" s="91" t="str">
        <f t="shared" si="274"/>
        <v/>
      </c>
      <c r="J3488" s="91" t="str">
        <f t="shared" si="275"/>
        <v/>
      </c>
      <c r="K3488" s="92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2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58"/>
      <c r="U3488" s="217" t="str">
        <f t="shared" si="276"/>
        <v/>
      </c>
      <c r="V3488" s="215" t="s">
        <v>47</v>
      </c>
      <c r="W3488" s="102" t="s">
        <v>136</v>
      </c>
      <c r="X3488" s="102" t="s">
        <v>137</v>
      </c>
      <c r="Y3488" s="103" t="s">
        <v>138</v>
      </c>
      <c r="Z3488" s="103" t="s">
        <v>139</v>
      </c>
      <c r="AA3488" s="103" t="s">
        <v>47</v>
      </c>
      <c r="AB3488" s="103" t="s">
        <v>140</v>
      </c>
      <c r="AC3488" s="104" t="s">
        <v>141</v>
      </c>
    </row>
    <row r="3489" spans="1:29" ht="25.5" customHeight="1" x14ac:dyDescent="0.35">
      <c r="A3489" s="188"/>
      <c r="B3489" s="190"/>
      <c r="C3489" s="99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0"/>
      <c r="E3489" s="78" t="str">
        <f>IF(C3489="","",IFERROR(VLOOKUP(C3489,parametros!$A$11:$E$15,5,0),""))</f>
        <v/>
      </c>
      <c r="F3489" s="79" t="str">
        <f t="shared" si="272"/>
        <v/>
      </c>
      <c r="G3489" s="101"/>
      <c r="H3489" s="91">
        <f t="shared" si="273"/>
        <v>0</v>
      </c>
      <c r="I3489" s="91" t="str">
        <f t="shared" si="274"/>
        <v/>
      </c>
      <c r="J3489" s="91" t="str">
        <f t="shared" si="275"/>
        <v/>
      </c>
      <c r="K3489" s="92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2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58"/>
      <c r="U3489" s="217" t="str">
        <f t="shared" si="276"/>
        <v/>
      </c>
      <c r="V3489" s="215" t="s">
        <v>47</v>
      </c>
      <c r="W3489" s="102" t="s">
        <v>136</v>
      </c>
      <c r="X3489" s="102" t="s">
        <v>137</v>
      </c>
      <c r="Y3489" s="103" t="s">
        <v>138</v>
      </c>
      <c r="Z3489" s="103" t="s">
        <v>139</v>
      </c>
      <c r="AA3489" s="103" t="s">
        <v>47</v>
      </c>
      <c r="AB3489" s="103" t="s">
        <v>140</v>
      </c>
      <c r="AC3489" s="104" t="s">
        <v>141</v>
      </c>
    </row>
    <row r="3490" spans="1:29" ht="25.5" customHeight="1" x14ac:dyDescent="0.35">
      <c r="A3490" s="188"/>
      <c r="B3490" s="190"/>
      <c r="C3490" s="99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0"/>
      <c r="E3490" s="78" t="str">
        <f>IF(C3490="","",IFERROR(VLOOKUP(C3490,parametros!$A$11:$E$15,5,0),""))</f>
        <v/>
      </c>
      <c r="F3490" s="79" t="str">
        <f t="shared" si="272"/>
        <v/>
      </c>
      <c r="G3490" s="101"/>
      <c r="H3490" s="91">
        <f t="shared" si="273"/>
        <v>0</v>
      </c>
      <c r="I3490" s="91" t="str">
        <f t="shared" si="274"/>
        <v/>
      </c>
      <c r="J3490" s="91" t="str">
        <f t="shared" si="275"/>
        <v/>
      </c>
      <c r="K3490" s="92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2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58"/>
      <c r="U3490" s="217" t="str">
        <f t="shared" si="276"/>
        <v/>
      </c>
      <c r="V3490" s="215" t="s">
        <v>47</v>
      </c>
      <c r="W3490" s="102" t="s">
        <v>136</v>
      </c>
      <c r="X3490" s="102" t="s">
        <v>137</v>
      </c>
      <c r="Y3490" s="103" t="s">
        <v>138</v>
      </c>
      <c r="Z3490" s="103" t="s">
        <v>139</v>
      </c>
      <c r="AA3490" s="103" t="s">
        <v>47</v>
      </c>
      <c r="AB3490" s="103" t="s">
        <v>140</v>
      </c>
      <c r="AC3490" s="104" t="s">
        <v>141</v>
      </c>
    </row>
    <row r="3491" spans="1:29" ht="25.5" customHeight="1" x14ac:dyDescent="0.35">
      <c r="A3491" s="188"/>
      <c r="B3491" s="190"/>
      <c r="C3491" s="99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0"/>
      <c r="E3491" s="78" t="str">
        <f>IF(C3491="","",IFERROR(VLOOKUP(C3491,parametros!$A$11:$E$15,5,0),""))</f>
        <v/>
      </c>
      <c r="F3491" s="79" t="str">
        <f t="shared" si="272"/>
        <v/>
      </c>
      <c r="G3491" s="101"/>
      <c r="H3491" s="91">
        <f t="shared" si="273"/>
        <v>0</v>
      </c>
      <c r="I3491" s="91" t="str">
        <f t="shared" si="274"/>
        <v/>
      </c>
      <c r="J3491" s="91" t="str">
        <f t="shared" si="275"/>
        <v/>
      </c>
      <c r="K3491" s="92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2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58"/>
      <c r="U3491" s="217" t="str">
        <f t="shared" si="276"/>
        <v/>
      </c>
      <c r="V3491" s="215" t="s">
        <v>47</v>
      </c>
      <c r="W3491" s="102" t="s">
        <v>136</v>
      </c>
      <c r="X3491" s="102" t="s">
        <v>137</v>
      </c>
      <c r="Y3491" s="103" t="s">
        <v>138</v>
      </c>
      <c r="Z3491" s="103" t="s">
        <v>139</v>
      </c>
      <c r="AA3491" s="103" t="s">
        <v>47</v>
      </c>
      <c r="AB3491" s="103" t="s">
        <v>140</v>
      </c>
      <c r="AC3491" s="104" t="s">
        <v>141</v>
      </c>
    </row>
    <row r="3492" spans="1:29" ht="25.5" customHeight="1" x14ac:dyDescent="0.35">
      <c r="A3492" s="188"/>
      <c r="B3492" s="190"/>
      <c r="C3492" s="99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0"/>
      <c r="E3492" s="78" t="str">
        <f>IF(C3492="","",IFERROR(VLOOKUP(C3492,parametros!$A$11:$E$15,5,0),""))</f>
        <v/>
      </c>
      <c r="F3492" s="79" t="str">
        <f t="shared" si="272"/>
        <v/>
      </c>
      <c r="G3492" s="101"/>
      <c r="H3492" s="91">
        <f t="shared" si="273"/>
        <v>0</v>
      </c>
      <c r="I3492" s="91" t="str">
        <f t="shared" si="274"/>
        <v/>
      </c>
      <c r="J3492" s="91" t="str">
        <f t="shared" si="275"/>
        <v/>
      </c>
      <c r="K3492" s="92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2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58"/>
      <c r="U3492" s="217" t="str">
        <f t="shared" si="276"/>
        <v/>
      </c>
      <c r="V3492" s="215" t="s">
        <v>47</v>
      </c>
      <c r="W3492" s="102" t="s">
        <v>136</v>
      </c>
      <c r="X3492" s="102" t="s">
        <v>137</v>
      </c>
      <c r="Y3492" s="103" t="s">
        <v>138</v>
      </c>
      <c r="Z3492" s="103" t="s">
        <v>139</v>
      </c>
      <c r="AA3492" s="103" t="s">
        <v>47</v>
      </c>
      <c r="AB3492" s="103" t="s">
        <v>140</v>
      </c>
      <c r="AC3492" s="104" t="s">
        <v>141</v>
      </c>
    </row>
    <row r="3493" spans="1:29" ht="25.5" customHeight="1" x14ac:dyDescent="0.35">
      <c r="A3493" s="188"/>
      <c r="B3493" s="190"/>
      <c r="C3493" s="99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0"/>
      <c r="E3493" s="78" t="str">
        <f>IF(C3493="","",IFERROR(VLOOKUP(C3493,parametros!$A$11:$E$15,5,0),""))</f>
        <v/>
      </c>
      <c r="F3493" s="79" t="str">
        <f t="shared" si="272"/>
        <v/>
      </c>
      <c r="G3493" s="101"/>
      <c r="H3493" s="91">
        <f t="shared" si="273"/>
        <v>0</v>
      </c>
      <c r="I3493" s="91" t="str">
        <f t="shared" si="274"/>
        <v/>
      </c>
      <c r="J3493" s="91" t="str">
        <f t="shared" si="275"/>
        <v/>
      </c>
      <c r="K3493" s="92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2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58"/>
      <c r="U3493" s="217" t="str">
        <f t="shared" si="276"/>
        <v/>
      </c>
      <c r="V3493" s="215" t="s">
        <v>47</v>
      </c>
      <c r="W3493" s="102" t="s">
        <v>136</v>
      </c>
      <c r="X3493" s="102" t="s">
        <v>137</v>
      </c>
      <c r="Y3493" s="103" t="s">
        <v>138</v>
      </c>
      <c r="Z3493" s="103" t="s">
        <v>139</v>
      </c>
      <c r="AA3493" s="103" t="s">
        <v>47</v>
      </c>
      <c r="AB3493" s="103" t="s">
        <v>140</v>
      </c>
      <c r="AC3493" s="104" t="s">
        <v>141</v>
      </c>
    </row>
    <row r="3494" spans="1:29" ht="25.5" customHeight="1" x14ac:dyDescent="0.35">
      <c r="A3494" s="188"/>
      <c r="B3494" s="190"/>
      <c r="C3494" s="99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0"/>
      <c r="E3494" s="78" t="str">
        <f>IF(C3494="","",IFERROR(VLOOKUP(C3494,parametros!$A$11:$E$15,5,0),""))</f>
        <v/>
      </c>
      <c r="F3494" s="79" t="str">
        <f t="shared" si="272"/>
        <v/>
      </c>
      <c r="G3494" s="101"/>
      <c r="H3494" s="91">
        <f t="shared" si="273"/>
        <v>0</v>
      </c>
      <c r="I3494" s="91" t="str">
        <f t="shared" si="274"/>
        <v/>
      </c>
      <c r="J3494" s="91" t="str">
        <f t="shared" si="275"/>
        <v/>
      </c>
      <c r="K3494" s="92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2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58"/>
      <c r="U3494" s="217" t="str">
        <f t="shared" si="276"/>
        <v/>
      </c>
      <c r="V3494" s="215" t="s">
        <v>47</v>
      </c>
      <c r="W3494" s="102" t="s">
        <v>136</v>
      </c>
      <c r="X3494" s="102" t="s">
        <v>137</v>
      </c>
      <c r="Y3494" s="103" t="s">
        <v>138</v>
      </c>
      <c r="Z3494" s="103" t="s">
        <v>139</v>
      </c>
      <c r="AA3494" s="103" t="s">
        <v>47</v>
      </c>
      <c r="AB3494" s="103" t="s">
        <v>140</v>
      </c>
      <c r="AC3494" s="104" t="s">
        <v>141</v>
      </c>
    </row>
    <row r="3495" spans="1:29" ht="25.5" customHeight="1" x14ac:dyDescent="0.35">
      <c r="A3495" s="188"/>
      <c r="B3495" s="190"/>
      <c r="C3495" s="99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0"/>
      <c r="E3495" s="78" t="str">
        <f>IF(C3495="","",IFERROR(VLOOKUP(C3495,parametros!$A$11:$E$15,5,0),""))</f>
        <v/>
      </c>
      <c r="F3495" s="79" t="str">
        <f t="shared" si="272"/>
        <v/>
      </c>
      <c r="G3495" s="101"/>
      <c r="H3495" s="91">
        <f t="shared" si="273"/>
        <v>0</v>
      </c>
      <c r="I3495" s="91" t="str">
        <f t="shared" si="274"/>
        <v/>
      </c>
      <c r="J3495" s="91" t="str">
        <f t="shared" si="275"/>
        <v/>
      </c>
      <c r="K3495" s="92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2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58"/>
      <c r="U3495" s="217" t="str">
        <f t="shared" si="276"/>
        <v/>
      </c>
      <c r="V3495" s="215" t="s">
        <v>47</v>
      </c>
      <c r="W3495" s="102" t="s">
        <v>136</v>
      </c>
      <c r="X3495" s="102" t="s">
        <v>137</v>
      </c>
      <c r="Y3495" s="103" t="s">
        <v>138</v>
      </c>
      <c r="Z3495" s="103" t="s">
        <v>139</v>
      </c>
      <c r="AA3495" s="103" t="s">
        <v>47</v>
      </c>
      <c r="AB3495" s="103" t="s">
        <v>140</v>
      </c>
      <c r="AC3495" s="104" t="s">
        <v>141</v>
      </c>
    </row>
    <row r="3496" spans="1:29" ht="25.5" customHeight="1" x14ac:dyDescent="0.35">
      <c r="A3496" s="188"/>
      <c r="B3496" s="190"/>
      <c r="C3496" s="99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0"/>
      <c r="E3496" s="78" t="str">
        <f>IF(C3496="","",IFERROR(VLOOKUP(C3496,parametros!$A$11:$E$15,5,0),""))</f>
        <v/>
      </c>
      <c r="F3496" s="79" t="str">
        <f t="shared" si="272"/>
        <v/>
      </c>
      <c r="G3496" s="101"/>
      <c r="H3496" s="91">
        <f t="shared" si="273"/>
        <v>0</v>
      </c>
      <c r="I3496" s="91" t="str">
        <f t="shared" si="274"/>
        <v/>
      </c>
      <c r="J3496" s="91" t="str">
        <f t="shared" si="275"/>
        <v/>
      </c>
      <c r="K3496" s="92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2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58"/>
      <c r="U3496" s="217" t="str">
        <f t="shared" si="276"/>
        <v/>
      </c>
      <c r="V3496" s="215" t="s">
        <v>47</v>
      </c>
      <c r="W3496" s="102" t="s">
        <v>136</v>
      </c>
      <c r="X3496" s="102" t="s">
        <v>137</v>
      </c>
      <c r="Y3496" s="103" t="s">
        <v>138</v>
      </c>
      <c r="Z3496" s="103" t="s">
        <v>139</v>
      </c>
      <c r="AA3496" s="103" t="s">
        <v>47</v>
      </c>
      <c r="AB3496" s="103" t="s">
        <v>140</v>
      </c>
      <c r="AC3496" s="104" t="s">
        <v>141</v>
      </c>
    </row>
    <row r="3497" spans="1:29" ht="25.5" customHeight="1" x14ac:dyDescent="0.35">
      <c r="A3497" s="188"/>
      <c r="B3497" s="190"/>
      <c r="C3497" s="99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0"/>
      <c r="E3497" s="78" t="str">
        <f>IF(C3497="","",IFERROR(VLOOKUP(C3497,parametros!$A$11:$E$15,5,0),""))</f>
        <v/>
      </c>
      <c r="F3497" s="79" t="str">
        <f t="shared" si="272"/>
        <v/>
      </c>
      <c r="G3497" s="101"/>
      <c r="H3497" s="91">
        <f t="shared" si="273"/>
        <v>0</v>
      </c>
      <c r="I3497" s="91" t="str">
        <f t="shared" si="274"/>
        <v/>
      </c>
      <c r="J3497" s="91" t="str">
        <f t="shared" si="275"/>
        <v/>
      </c>
      <c r="K3497" s="92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2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58"/>
      <c r="U3497" s="217" t="str">
        <f t="shared" si="276"/>
        <v/>
      </c>
      <c r="V3497" s="215" t="s">
        <v>47</v>
      </c>
      <c r="W3497" s="102" t="s">
        <v>136</v>
      </c>
      <c r="X3497" s="102" t="s">
        <v>137</v>
      </c>
      <c r="Y3497" s="103" t="s">
        <v>138</v>
      </c>
      <c r="Z3497" s="103" t="s">
        <v>139</v>
      </c>
      <c r="AA3497" s="103" t="s">
        <v>47</v>
      </c>
      <c r="AB3497" s="103" t="s">
        <v>140</v>
      </c>
      <c r="AC3497" s="104" t="s">
        <v>141</v>
      </c>
    </row>
    <row r="3498" spans="1:29" ht="25.5" customHeight="1" x14ac:dyDescent="0.35">
      <c r="A3498" s="188"/>
      <c r="B3498" s="190"/>
      <c r="C3498" s="99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0"/>
      <c r="E3498" s="78" t="str">
        <f>IF(C3498="","",IFERROR(VLOOKUP(C3498,parametros!$A$11:$E$15,5,0),""))</f>
        <v/>
      </c>
      <c r="F3498" s="79" t="str">
        <f t="shared" si="272"/>
        <v/>
      </c>
      <c r="G3498" s="101"/>
      <c r="H3498" s="91">
        <f t="shared" si="273"/>
        <v>0</v>
      </c>
      <c r="I3498" s="91" t="str">
        <f t="shared" si="274"/>
        <v/>
      </c>
      <c r="J3498" s="91" t="str">
        <f t="shared" si="275"/>
        <v/>
      </c>
      <c r="K3498" s="92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2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58"/>
      <c r="U3498" s="217" t="str">
        <f t="shared" si="276"/>
        <v/>
      </c>
      <c r="V3498" s="215" t="s">
        <v>47</v>
      </c>
      <c r="W3498" s="102" t="s">
        <v>136</v>
      </c>
      <c r="X3498" s="102" t="s">
        <v>137</v>
      </c>
      <c r="Y3498" s="103" t="s">
        <v>138</v>
      </c>
      <c r="Z3498" s="103" t="s">
        <v>139</v>
      </c>
      <c r="AA3498" s="103" t="s">
        <v>47</v>
      </c>
      <c r="AB3498" s="103" t="s">
        <v>140</v>
      </c>
      <c r="AC3498" s="104" t="s">
        <v>141</v>
      </c>
    </row>
    <row r="3499" spans="1:29" ht="25.5" customHeight="1" x14ac:dyDescent="0.35">
      <c r="A3499" s="188"/>
      <c r="B3499" s="190"/>
      <c r="C3499" s="99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0"/>
      <c r="E3499" s="78" t="str">
        <f>IF(C3499="","",IFERROR(VLOOKUP(C3499,parametros!$A$11:$E$15,5,0),""))</f>
        <v/>
      </c>
      <c r="F3499" s="79" t="str">
        <f t="shared" si="272"/>
        <v/>
      </c>
      <c r="G3499" s="101"/>
      <c r="H3499" s="91">
        <f t="shared" si="273"/>
        <v>0</v>
      </c>
      <c r="I3499" s="91" t="str">
        <f t="shared" si="274"/>
        <v/>
      </c>
      <c r="J3499" s="91" t="str">
        <f t="shared" si="275"/>
        <v/>
      </c>
      <c r="K3499" s="92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2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58"/>
      <c r="U3499" s="217" t="str">
        <f t="shared" si="276"/>
        <v/>
      </c>
      <c r="V3499" s="215" t="s">
        <v>47</v>
      </c>
      <c r="W3499" s="102" t="s">
        <v>136</v>
      </c>
      <c r="X3499" s="102" t="s">
        <v>137</v>
      </c>
      <c r="Y3499" s="103" t="s">
        <v>138</v>
      </c>
      <c r="Z3499" s="103" t="s">
        <v>139</v>
      </c>
      <c r="AA3499" s="103" t="s">
        <v>47</v>
      </c>
      <c r="AB3499" s="103" t="s">
        <v>140</v>
      </c>
      <c r="AC3499" s="104" t="s">
        <v>141</v>
      </c>
    </row>
    <row r="3500" spans="1:29" ht="25.5" customHeight="1" x14ac:dyDescent="0.35">
      <c r="A3500" s="188"/>
      <c r="B3500" s="190"/>
      <c r="C3500" s="99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0"/>
      <c r="E3500" s="78" t="str">
        <f>IF(C3500="","",IFERROR(VLOOKUP(C3500,parametros!$A$11:$E$15,5,0),""))</f>
        <v/>
      </c>
      <c r="F3500" s="79" t="str">
        <f t="shared" si="272"/>
        <v/>
      </c>
      <c r="G3500" s="101"/>
      <c r="H3500" s="91">
        <f t="shared" si="273"/>
        <v>0</v>
      </c>
      <c r="I3500" s="91" t="str">
        <f t="shared" si="274"/>
        <v/>
      </c>
      <c r="J3500" s="91" t="str">
        <f t="shared" si="275"/>
        <v/>
      </c>
      <c r="K3500" s="92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2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58"/>
      <c r="U3500" s="217" t="str">
        <f t="shared" si="276"/>
        <v/>
      </c>
      <c r="V3500" s="215" t="s">
        <v>47</v>
      </c>
      <c r="W3500" s="102" t="s">
        <v>136</v>
      </c>
      <c r="X3500" s="102" t="s">
        <v>137</v>
      </c>
      <c r="Y3500" s="103" t="s">
        <v>138</v>
      </c>
      <c r="Z3500" s="103" t="s">
        <v>139</v>
      </c>
      <c r="AA3500" s="103" t="s">
        <v>47</v>
      </c>
      <c r="AB3500" s="103" t="s">
        <v>140</v>
      </c>
      <c r="AC3500" s="104" t="s">
        <v>141</v>
      </c>
    </row>
    <row r="3501" spans="1:29" ht="25.5" customHeight="1" x14ac:dyDescent="0.35">
      <c r="A3501" s="188"/>
      <c r="B3501" s="190"/>
      <c r="C3501" s="99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0"/>
      <c r="E3501" s="78" t="str">
        <f>IF(C3501="","",IFERROR(VLOOKUP(C3501,parametros!$A$11:$E$15,5,0),""))</f>
        <v/>
      </c>
      <c r="F3501" s="79" t="str">
        <f t="shared" si="272"/>
        <v/>
      </c>
      <c r="G3501" s="101"/>
      <c r="H3501" s="91">
        <f t="shared" si="273"/>
        <v>0</v>
      </c>
      <c r="I3501" s="91" t="str">
        <f t="shared" si="274"/>
        <v/>
      </c>
      <c r="J3501" s="91" t="str">
        <f t="shared" si="275"/>
        <v/>
      </c>
      <c r="K3501" s="92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2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58"/>
      <c r="U3501" s="217" t="str">
        <f t="shared" si="276"/>
        <v/>
      </c>
      <c r="V3501" s="215" t="s">
        <v>47</v>
      </c>
      <c r="W3501" s="102" t="s">
        <v>136</v>
      </c>
      <c r="X3501" s="102" t="s">
        <v>137</v>
      </c>
      <c r="Y3501" s="103" t="s">
        <v>138</v>
      </c>
      <c r="Z3501" s="103" t="s">
        <v>139</v>
      </c>
      <c r="AA3501" s="103" t="s">
        <v>47</v>
      </c>
      <c r="AB3501" s="103" t="s">
        <v>140</v>
      </c>
      <c r="AC3501" s="104" t="s">
        <v>141</v>
      </c>
    </row>
    <row r="3502" spans="1:29" ht="25.5" customHeight="1" x14ac:dyDescent="0.35">
      <c r="A3502" s="188"/>
      <c r="B3502" s="190"/>
      <c r="C3502" s="99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0"/>
      <c r="E3502" s="78" t="str">
        <f>IF(C3502="","",IFERROR(VLOOKUP(C3502,parametros!$A$11:$E$15,5,0),""))</f>
        <v/>
      </c>
      <c r="F3502" s="79" t="str">
        <f t="shared" si="272"/>
        <v/>
      </c>
      <c r="G3502" s="101"/>
      <c r="H3502" s="91">
        <f t="shared" si="273"/>
        <v>0</v>
      </c>
      <c r="I3502" s="91" t="str">
        <f t="shared" si="274"/>
        <v/>
      </c>
      <c r="J3502" s="91" t="str">
        <f t="shared" si="275"/>
        <v/>
      </c>
      <c r="K3502" s="92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2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58"/>
      <c r="U3502" s="217" t="str">
        <f t="shared" si="276"/>
        <v/>
      </c>
      <c r="V3502" s="215" t="s">
        <v>47</v>
      </c>
      <c r="W3502" s="102" t="s">
        <v>136</v>
      </c>
      <c r="X3502" s="102" t="s">
        <v>137</v>
      </c>
      <c r="Y3502" s="103" t="s">
        <v>138</v>
      </c>
      <c r="Z3502" s="103" t="s">
        <v>139</v>
      </c>
      <c r="AA3502" s="103" t="s">
        <v>47</v>
      </c>
      <c r="AB3502" s="103" t="s">
        <v>140</v>
      </c>
      <c r="AC3502" s="104" t="s">
        <v>141</v>
      </c>
    </row>
    <row r="3503" spans="1:29" ht="25.5" customHeight="1" x14ac:dyDescent="0.35">
      <c r="A3503" s="188"/>
      <c r="B3503" s="190"/>
      <c r="C3503" s="99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0"/>
      <c r="E3503" s="78" t="str">
        <f>IF(C3503="","",IFERROR(VLOOKUP(C3503,parametros!$A$11:$E$15,5,0),""))</f>
        <v/>
      </c>
      <c r="F3503" s="79" t="str">
        <f t="shared" si="272"/>
        <v/>
      </c>
      <c r="G3503" s="101"/>
      <c r="H3503" s="91">
        <f t="shared" si="273"/>
        <v>0</v>
      </c>
      <c r="I3503" s="91" t="str">
        <f t="shared" si="274"/>
        <v/>
      </c>
      <c r="J3503" s="91" t="str">
        <f t="shared" si="275"/>
        <v/>
      </c>
      <c r="K3503" s="92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2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58"/>
      <c r="U3503" s="217" t="str">
        <f t="shared" si="276"/>
        <v/>
      </c>
      <c r="V3503" s="215" t="s">
        <v>47</v>
      </c>
      <c r="W3503" s="102" t="s">
        <v>136</v>
      </c>
      <c r="X3503" s="102" t="s">
        <v>137</v>
      </c>
      <c r="Y3503" s="103" t="s">
        <v>138</v>
      </c>
      <c r="Z3503" s="103" t="s">
        <v>139</v>
      </c>
      <c r="AA3503" s="103" t="s">
        <v>47</v>
      </c>
      <c r="AB3503" s="103" t="s">
        <v>140</v>
      </c>
      <c r="AC3503" s="104" t="s">
        <v>141</v>
      </c>
    </row>
    <row r="3504" spans="1:29" ht="25.5" customHeight="1" x14ac:dyDescent="0.35">
      <c r="A3504" s="188"/>
      <c r="B3504" s="190"/>
      <c r="C3504" s="99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0"/>
      <c r="E3504" s="78" t="str">
        <f>IF(C3504="","",IFERROR(VLOOKUP(C3504,parametros!$A$11:$E$15,5,0),""))</f>
        <v/>
      </c>
      <c r="F3504" s="79" t="str">
        <f t="shared" si="272"/>
        <v/>
      </c>
      <c r="G3504" s="101"/>
      <c r="H3504" s="91">
        <f t="shared" si="273"/>
        <v>0</v>
      </c>
      <c r="I3504" s="91" t="str">
        <f t="shared" si="274"/>
        <v/>
      </c>
      <c r="J3504" s="91" t="str">
        <f t="shared" si="275"/>
        <v/>
      </c>
      <c r="K3504" s="92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2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58"/>
      <c r="U3504" s="217" t="str">
        <f t="shared" si="276"/>
        <v/>
      </c>
      <c r="V3504" s="215" t="s">
        <v>47</v>
      </c>
      <c r="W3504" s="102" t="s">
        <v>136</v>
      </c>
      <c r="X3504" s="102" t="s">
        <v>137</v>
      </c>
      <c r="Y3504" s="103" t="s">
        <v>138</v>
      </c>
      <c r="Z3504" s="103" t="s">
        <v>139</v>
      </c>
      <c r="AA3504" s="103" t="s">
        <v>47</v>
      </c>
      <c r="AB3504" s="103" t="s">
        <v>140</v>
      </c>
      <c r="AC3504" s="104" t="s">
        <v>141</v>
      </c>
    </row>
    <row r="3505" spans="1:29" ht="25.5" customHeight="1" x14ac:dyDescent="0.35">
      <c r="A3505" s="188"/>
      <c r="B3505" s="190"/>
      <c r="C3505" s="99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0"/>
      <c r="E3505" s="78" t="str">
        <f>IF(C3505="","",IFERROR(VLOOKUP(C3505,parametros!$A$11:$E$15,5,0),""))</f>
        <v/>
      </c>
      <c r="F3505" s="79" t="str">
        <f t="shared" si="272"/>
        <v/>
      </c>
      <c r="G3505" s="101"/>
      <c r="H3505" s="91">
        <f t="shared" si="273"/>
        <v>0</v>
      </c>
      <c r="I3505" s="91" t="str">
        <f t="shared" si="274"/>
        <v/>
      </c>
      <c r="J3505" s="91" t="str">
        <f t="shared" si="275"/>
        <v/>
      </c>
      <c r="K3505" s="92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2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58"/>
      <c r="U3505" s="217" t="str">
        <f t="shared" si="276"/>
        <v/>
      </c>
      <c r="V3505" s="215" t="s">
        <v>47</v>
      </c>
      <c r="W3505" s="102" t="s">
        <v>136</v>
      </c>
      <c r="X3505" s="102" t="s">
        <v>137</v>
      </c>
      <c r="Y3505" s="103" t="s">
        <v>138</v>
      </c>
      <c r="Z3505" s="103" t="s">
        <v>139</v>
      </c>
      <c r="AA3505" s="103" t="s">
        <v>47</v>
      </c>
      <c r="AB3505" s="103" t="s">
        <v>140</v>
      </c>
      <c r="AC3505" s="104" t="s">
        <v>141</v>
      </c>
    </row>
    <row r="3506" spans="1:29" ht="25.5" customHeight="1" x14ac:dyDescent="0.35">
      <c r="A3506" s="188"/>
      <c r="B3506" s="190"/>
      <c r="C3506" s="99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0"/>
      <c r="E3506" s="78" t="str">
        <f>IF(C3506="","",IFERROR(VLOOKUP(C3506,parametros!$A$11:$E$15,5,0),""))</f>
        <v/>
      </c>
      <c r="F3506" s="79" t="str">
        <f t="shared" si="272"/>
        <v/>
      </c>
      <c r="G3506" s="101"/>
      <c r="H3506" s="91">
        <f t="shared" si="273"/>
        <v>0</v>
      </c>
      <c r="I3506" s="91" t="str">
        <f t="shared" si="274"/>
        <v/>
      </c>
      <c r="J3506" s="91" t="str">
        <f t="shared" si="275"/>
        <v/>
      </c>
      <c r="K3506" s="92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2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58"/>
      <c r="U3506" s="217" t="str">
        <f t="shared" si="276"/>
        <v/>
      </c>
      <c r="V3506" s="215" t="s">
        <v>47</v>
      </c>
      <c r="W3506" s="102" t="s">
        <v>136</v>
      </c>
      <c r="X3506" s="102" t="s">
        <v>137</v>
      </c>
      <c r="Y3506" s="103" t="s">
        <v>138</v>
      </c>
      <c r="Z3506" s="103" t="s">
        <v>139</v>
      </c>
      <c r="AA3506" s="103" t="s">
        <v>47</v>
      </c>
      <c r="AB3506" s="103" t="s">
        <v>140</v>
      </c>
      <c r="AC3506" s="104" t="s">
        <v>141</v>
      </c>
    </row>
    <row r="3507" spans="1:29" ht="25.5" customHeight="1" x14ac:dyDescent="0.35">
      <c r="A3507" s="188"/>
      <c r="B3507" s="190"/>
      <c r="C3507" s="99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0"/>
      <c r="E3507" s="78" t="str">
        <f>IF(C3507="","",IFERROR(VLOOKUP(C3507,parametros!$A$11:$E$15,5,0),""))</f>
        <v/>
      </c>
      <c r="F3507" s="79" t="str">
        <f t="shared" si="272"/>
        <v/>
      </c>
      <c r="G3507" s="101"/>
      <c r="H3507" s="91">
        <f t="shared" si="273"/>
        <v>0</v>
      </c>
      <c r="I3507" s="91" t="str">
        <f t="shared" si="274"/>
        <v/>
      </c>
      <c r="J3507" s="91" t="str">
        <f t="shared" si="275"/>
        <v/>
      </c>
      <c r="K3507" s="92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2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58"/>
      <c r="U3507" s="217" t="str">
        <f t="shared" si="276"/>
        <v/>
      </c>
      <c r="V3507" s="215" t="s">
        <v>47</v>
      </c>
      <c r="W3507" s="102" t="s">
        <v>136</v>
      </c>
      <c r="X3507" s="102" t="s">
        <v>137</v>
      </c>
      <c r="Y3507" s="103" t="s">
        <v>138</v>
      </c>
      <c r="Z3507" s="103" t="s">
        <v>139</v>
      </c>
      <c r="AA3507" s="103" t="s">
        <v>47</v>
      </c>
      <c r="AB3507" s="103" t="s">
        <v>140</v>
      </c>
      <c r="AC3507" s="104" t="s">
        <v>141</v>
      </c>
    </row>
    <row r="3508" spans="1:29" ht="25.5" customHeight="1" x14ac:dyDescent="0.35">
      <c r="A3508" s="188"/>
      <c r="B3508" s="190"/>
      <c r="C3508" s="99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0"/>
      <c r="E3508" s="78" t="str">
        <f>IF(C3508="","",IFERROR(VLOOKUP(C3508,parametros!$A$11:$E$15,5,0),""))</f>
        <v/>
      </c>
      <c r="F3508" s="79" t="str">
        <f t="shared" si="272"/>
        <v/>
      </c>
      <c r="G3508" s="101"/>
      <c r="H3508" s="91">
        <f t="shared" si="273"/>
        <v>0</v>
      </c>
      <c r="I3508" s="91" t="str">
        <f t="shared" si="274"/>
        <v/>
      </c>
      <c r="J3508" s="91" t="str">
        <f t="shared" si="275"/>
        <v/>
      </c>
      <c r="K3508" s="92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2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58"/>
      <c r="U3508" s="217" t="str">
        <f t="shared" si="276"/>
        <v/>
      </c>
      <c r="V3508" s="215" t="s">
        <v>47</v>
      </c>
      <c r="W3508" s="102" t="s">
        <v>136</v>
      </c>
      <c r="X3508" s="102" t="s">
        <v>137</v>
      </c>
      <c r="Y3508" s="103" t="s">
        <v>138</v>
      </c>
      <c r="Z3508" s="103" t="s">
        <v>139</v>
      </c>
      <c r="AA3508" s="103" t="s">
        <v>47</v>
      </c>
      <c r="AB3508" s="103" t="s">
        <v>140</v>
      </c>
      <c r="AC3508" s="104" t="s">
        <v>141</v>
      </c>
    </row>
    <row r="3509" spans="1:29" ht="25.5" customHeight="1" x14ac:dyDescent="0.35">
      <c r="A3509" s="188"/>
      <c r="B3509" s="190"/>
      <c r="C3509" s="99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0"/>
      <c r="E3509" s="78" t="str">
        <f>IF(C3509="","",IFERROR(VLOOKUP(C3509,parametros!$A$11:$E$15,5,0),""))</f>
        <v/>
      </c>
      <c r="F3509" s="79" t="str">
        <f t="shared" si="272"/>
        <v/>
      </c>
      <c r="G3509" s="101"/>
      <c r="H3509" s="91">
        <f t="shared" si="273"/>
        <v>0</v>
      </c>
      <c r="I3509" s="91" t="str">
        <f t="shared" si="274"/>
        <v/>
      </c>
      <c r="J3509" s="91" t="str">
        <f t="shared" si="275"/>
        <v/>
      </c>
      <c r="K3509" s="92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2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58"/>
      <c r="U3509" s="217" t="str">
        <f t="shared" si="276"/>
        <v/>
      </c>
      <c r="V3509" s="215" t="s">
        <v>47</v>
      </c>
      <c r="W3509" s="102" t="s">
        <v>136</v>
      </c>
      <c r="X3509" s="102" t="s">
        <v>137</v>
      </c>
      <c r="Y3509" s="103" t="s">
        <v>138</v>
      </c>
      <c r="Z3509" s="103" t="s">
        <v>139</v>
      </c>
      <c r="AA3509" s="103" t="s">
        <v>47</v>
      </c>
      <c r="AB3509" s="103" t="s">
        <v>140</v>
      </c>
      <c r="AC3509" s="104" t="s">
        <v>141</v>
      </c>
    </row>
    <row r="3510" spans="1:29" ht="25.5" customHeight="1" x14ac:dyDescent="0.35">
      <c r="A3510" s="188"/>
      <c r="B3510" s="190"/>
      <c r="C3510" s="99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0"/>
      <c r="E3510" s="78" t="str">
        <f>IF(C3510="","",IFERROR(VLOOKUP(C3510,parametros!$A$11:$E$15,5,0),""))</f>
        <v/>
      </c>
      <c r="F3510" s="79" t="str">
        <f t="shared" si="272"/>
        <v/>
      </c>
      <c r="G3510" s="101"/>
      <c r="H3510" s="91">
        <f t="shared" si="273"/>
        <v>0</v>
      </c>
      <c r="I3510" s="91" t="str">
        <f t="shared" si="274"/>
        <v/>
      </c>
      <c r="J3510" s="91" t="str">
        <f t="shared" si="275"/>
        <v/>
      </c>
      <c r="K3510" s="92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2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58"/>
      <c r="U3510" s="217" t="str">
        <f t="shared" si="276"/>
        <v/>
      </c>
      <c r="V3510" s="215" t="s">
        <v>47</v>
      </c>
      <c r="W3510" s="102" t="s">
        <v>136</v>
      </c>
      <c r="X3510" s="102" t="s">
        <v>137</v>
      </c>
      <c r="Y3510" s="103" t="s">
        <v>138</v>
      </c>
      <c r="Z3510" s="103" t="s">
        <v>139</v>
      </c>
      <c r="AA3510" s="103" t="s">
        <v>47</v>
      </c>
      <c r="AB3510" s="103" t="s">
        <v>140</v>
      </c>
      <c r="AC3510" s="104" t="s">
        <v>141</v>
      </c>
    </row>
    <row r="3511" spans="1:29" ht="25.5" customHeight="1" x14ac:dyDescent="0.35">
      <c r="A3511" s="188"/>
      <c r="B3511" s="190"/>
      <c r="C3511" s="99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0"/>
      <c r="E3511" s="78" t="str">
        <f>IF(C3511="","",IFERROR(VLOOKUP(C3511,parametros!$A$11:$E$15,5,0),""))</f>
        <v/>
      </c>
      <c r="F3511" s="79" t="str">
        <f t="shared" si="272"/>
        <v/>
      </c>
      <c r="G3511" s="101"/>
      <c r="H3511" s="91">
        <f t="shared" si="273"/>
        <v>0</v>
      </c>
      <c r="I3511" s="91" t="str">
        <f t="shared" si="274"/>
        <v/>
      </c>
      <c r="J3511" s="91" t="str">
        <f t="shared" si="275"/>
        <v/>
      </c>
      <c r="K3511" s="92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2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58"/>
      <c r="U3511" s="217" t="str">
        <f t="shared" si="276"/>
        <v/>
      </c>
      <c r="V3511" s="215" t="s">
        <v>47</v>
      </c>
      <c r="W3511" s="102" t="s">
        <v>136</v>
      </c>
      <c r="X3511" s="102" t="s">
        <v>137</v>
      </c>
      <c r="Y3511" s="103" t="s">
        <v>138</v>
      </c>
      <c r="Z3511" s="103" t="s">
        <v>139</v>
      </c>
      <c r="AA3511" s="103" t="s">
        <v>47</v>
      </c>
      <c r="AB3511" s="103" t="s">
        <v>140</v>
      </c>
      <c r="AC3511" s="104" t="s">
        <v>141</v>
      </c>
    </row>
    <row r="3512" spans="1:29" ht="25.5" customHeight="1" x14ac:dyDescent="0.35">
      <c r="A3512" s="188"/>
      <c r="B3512" s="190"/>
      <c r="C3512" s="99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0"/>
      <c r="E3512" s="78" t="str">
        <f>IF(C3512="","",IFERROR(VLOOKUP(C3512,parametros!$A$11:$E$15,5,0),""))</f>
        <v/>
      </c>
      <c r="F3512" s="79" t="str">
        <f t="shared" si="272"/>
        <v/>
      </c>
      <c r="G3512" s="101"/>
      <c r="H3512" s="91">
        <f t="shared" si="273"/>
        <v>0</v>
      </c>
      <c r="I3512" s="91" t="str">
        <f t="shared" si="274"/>
        <v/>
      </c>
      <c r="J3512" s="91" t="str">
        <f t="shared" si="275"/>
        <v/>
      </c>
      <c r="K3512" s="92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2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58"/>
      <c r="U3512" s="217" t="str">
        <f t="shared" si="276"/>
        <v/>
      </c>
      <c r="V3512" s="215" t="s">
        <v>47</v>
      </c>
      <c r="W3512" s="102" t="s">
        <v>136</v>
      </c>
      <c r="X3512" s="102" t="s">
        <v>137</v>
      </c>
      <c r="Y3512" s="103" t="s">
        <v>138</v>
      </c>
      <c r="Z3512" s="103" t="s">
        <v>139</v>
      </c>
      <c r="AA3512" s="103" t="s">
        <v>47</v>
      </c>
      <c r="AB3512" s="103" t="s">
        <v>140</v>
      </c>
      <c r="AC3512" s="104" t="s">
        <v>141</v>
      </c>
    </row>
    <row r="3513" spans="1:29" ht="25.5" customHeight="1" x14ac:dyDescent="0.35">
      <c r="A3513" s="188"/>
      <c r="B3513" s="190"/>
      <c r="C3513" s="99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0"/>
      <c r="E3513" s="78" t="str">
        <f>IF(C3513="","",IFERROR(VLOOKUP(C3513,parametros!$A$11:$E$15,5,0),""))</f>
        <v/>
      </c>
      <c r="F3513" s="79" t="str">
        <f t="shared" si="272"/>
        <v/>
      </c>
      <c r="G3513" s="101"/>
      <c r="H3513" s="91">
        <f t="shared" si="273"/>
        <v>0</v>
      </c>
      <c r="I3513" s="91" t="str">
        <f t="shared" si="274"/>
        <v/>
      </c>
      <c r="J3513" s="91" t="str">
        <f t="shared" si="275"/>
        <v/>
      </c>
      <c r="K3513" s="92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2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58"/>
      <c r="U3513" s="217" t="str">
        <f t="shared" si="276"/>
        <v/>
      </c>
      <c r="V3513" s="215" t="s">
        <v>47</v>
      </c>
      <c r="W3513" s="102" t="s">
        <v>136</v>
      </c>
      <c r="X3513" s="102" t="s">
        <v>137</v>
      </c>
      <c r="Y3513" s="103" t="s">
        <v>138</v>
      </c>
      <c r="Z3513" s="103" t="s">
        <v>139</v>
      </c>
      <c r="AA3513" s="103" t="s">
        <v>47</v>
      </c>
      <c r="AB3513" s="103" t="s">
        <v>140</v>
      </c>
      <c r="AC3513" s="104" t="s">
        <v>141</v>
      </c>
    </row>
    <row r="3514" spans="1:29" ht="25.5" customHeight="1" x14ac:dyDescent="0.35">
      <c r="A3514" s="188"/>
      <c r="B3514" s="190"/>
      <c r="C3514" s="99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0"/>
      <c r="E3514" s="78" t="str">
        <f>IF(C3514="","",IFERROR(VLOOKUP(C3514,parametros!$A$11:$E$15,5,0),""))</f>
        <v/>
      </c>
      <c r="F3514" s="79" t="str">
        <f t="shared" si="272"/>
        <v/>
      </c>
      <c r="G3514" s="101"/>
      <c r="H3514" s="91">
        <f t="shared" si="273"/>
        <v>0</v>
      </c>
      <c r="I3514" s="91" t="str">
        <f t="shared" si="274"/>
        <v/>
      </c>
      <c r="J3514" s="91" t="str">
        <f t="shared" si="275"/>
        <v/>
      </c>
      <c r="K3514" s="92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2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58"/>
      <c r="U3514" s="217" t="str">
        <f t="shared" si="276"/>
        <v/>
      </c>
      <c r="V3514" s="215" t="s">
        <v>47</v>
      </c>
      <c r="W3514" s="102" t="s">
        <v>136</v>
      </c>
      <c r="X3514" s="102" t="s">
        <v>137</v>
      </c>
      <c r="Y3514" s="103" t="s">
        <v>138</v>
      </c>
      <c r="Z3514" s="103" t="s">
        <v>139</v>
      </c>
      <c r="AA3514" s="103" t="s">
        <v>47</v>
      </c>
      <c r="AB3514" s="103" t="s">
        <v>140</v>
      </c>
      <c r="AC3514" s="104" t="s">
        <v>141</v>
      </c>
    </row>
    <row r="3515" spans="1:29" ht="25.5" customHeight="1" x14ac:dyDescent="0.35">
      <c r="A3515" s="188"/>
      <c r="B3515" s="190"/>
      <c r="C3515" s="99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0"/>
      <c r="E3515" s="78" t="str">
        <f>IF(C3515="","",IFERROR(VLOOKUP(C3515,parametros!$A$11:$E$15,5,0),""))</f>
        <v/>
      </c>
      <c r="F3515" s="79" t="str">
        <f t="shared" si="272"/>
        <v/>
      </c>
      <c r="G3515" s="101"/>
      <c r="H3515" s="91">
        <f t="shared" si="273"/>
        <v>0</v>
      </c>
      <c r="I3515" s="91" t="str">
        <f t="shared" si="274"/>
        <v/>
      </c>
      <c r="J3515" s="91" t="str">
        <f t="shared" si="275"/>
        <v/>
      </c>
      <c r="K3515" s="92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2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58"/>
      <c r="U3515" s="217" t="str">
        <f t="shared" si="276"/>
        <v/>
      </c>
      <c r="V3515" s="215" t="s">
        <v>47</v>
      </c>
      <c r="W3515" s="102" t="s">
        <v>136</v>
      </c>
      <c r="X3515" s="102" t="s">
        <v>137</v>
      </c>
      <c r="Y3515" s="103" t="s">
        <v>138</v>
      </c>
      <c r="Z3515" s="103" t="s">
        <v>139</v>
      </c>
      <c r="AA3515" s="103" t="s">
        <v>47</v>
      </c>
      <c r="AB3515" s="103" t="s">
        <v>140</v>
      </c>
      <c r="AC3515" s="104" t="s">
        <v>141</v>
      </c>
    </row>
    <row r="3516" spans="1:29" ht="25.5" customHeight="1" x14ac:dyDescent="0.35">
      <c r="A3516" s="188"/>
      <c r="B3516" s="190"/>
      <c r="C3516" s="99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0"/>
      <c r="E3516" s="78" t="str">
        <f>IF(C3516="","",IFERROR(VLOOKUP(C3516,parametros!$A$11:$E$15,5,0),""))</f>
        <v/>
      </c>
      <c r="F3516" s="79" t="str">
        <f t="shared" si="272"/>
        <v/>
      </c>
      <c r="G3516" s="101"/>
      <c r="H3516" s="91">
        <f t="shared" si="273"/>
        <v>0</v>
      </c>
      <c r="I3516" s="91" t="str">
        <f t="shared" si="274"/>
        <v/>
      </c>
      <c r="J3516" s="91" t="str">
        <f t="shared" si="275"/>
        <v/>
      </c>
      <c r="K3516" s="92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2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58"/>
      <c r="U3516" s="217" t="str">
        <f t="shared" si="276"/>
        <v/>
      </c>
      <c r="V3516" s="215" t="s">
        <v>47</v>
      </c>
      <c r="W3516" s="102" t="s">
        <v>136</v>
      </c>
      <c r="X3516" s="102" t="s">
        <v>137</v>
      </c>
      <c r="Y3516" s="103" t="s">
        <v>138</v>
      </c>
      <c r="Z3516" s="103" t="s">
        <v>139</v>
      </c>
      <c r="AA3516" s="103" t="s">
        <v>47</v>
      </c>
      <c r="AB3516" s="103" t="s">
        <v>140</v>
      </c>
      <c r="AC3516" s="104" t="s">
        <v>141</v>
      </c>
    </row>
    <row r="3517" spans="1:29" ht="25.5" customHeight="1" x14ac:dyDescent="0.35">
      <c r="A3517" s="188"/>
      <c r="B3517" s="190"/>
      <c r="C3517" s="99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0"/>
      <c r="E3517" s="78" t="str">
        <f>IF(C3517="","",IFERROR(VLOOKUP(C3517,parametros!$A$11:$E$15,5,0),""))</f>
        <v/>
      </c>
      <c r="F3517" s="79" t="str">
        <f t="shared" si="272"/>
        <v/>
      </c>
      <c r="G3517" s="101"/>
      <c r="H3517" s="91">
        <f t="shared" si="273"/>
        <v>0</v>
      </c>
      <c r="I3517" s="91" t="str">
        <f t="shared" si="274"/>
        <v/>
      </c>
      <c r="J3517" s="91" t="str">
        <f t="shared" si="275"/>
        <v/>
      </c>
      <c r="K3517" s="92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2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58"/>
      <c r="U3517" s="217" t="str">
        <f t="shared" si="276"/>
        <v/>
      </c>
      <c r="V3517" s="215" t="s">
        <v>47</v>
      </c>
      <c r="W3517" s="102" t="s">
        <v>136</v>
      </c>
      <c r="X3517" s="102" t="s">
        <v>137</v>
      </c>
      <c r="Y3517" s="103" t="s">
        <v>138</v>
      </c>
      <c r="Z3517" s="103" t="s">
        <v>139</v>
      </c>
      <c r="AA3517" s="103" t="s">
        <v>47</v>
      </c>
      <c r="AB3517" s="103" t="s">
        <v>140</v>
      </c>
      <c r="AC3517" s="104" t="s">
        <v>141</v>
      </c>
    </row>
    <row r="3518" spans="1:29" ht="25.5" customHeight="1" x14ac:dyDescent="0.35">
      <c r="A3518" s="188"/>
      <c r="B3518" s="190"/>
      <c r="C3518" s="99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0"/>
      <c r="E3518" s="78" t="str">
        <f>IF(C3518="","",IFERROR(VLOOKUP(C3518,parametros!$A$11:$E$15,5,0),""))</f>
        <v/>
      </c>
      <c r="F3518" s="79" t="str">
        <f t="shared" si="272"/>
        <v/>
      </c>
      <c r="G3518" s="101"/>
      <c r="H3518" s="91">
        <f t="shared" si="273"/>
        <v>0</v>
      </c>
      <c r="I3518" s="91" t="str">
        <f t="shared" si="274"/>
        <v/>
      </c>
      <c r="J3518" s="91" t="str">
        <f t="shared" si="275"/>
        <v/>
      </c>
      <c r="K3518" s="92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2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58"/>
      <c r="U3518" s="217" t="str">
        <f t="shared" si="276"/>
        <v/>
      </c>
      <c r="V3518" s="215" t="s">
        <v>47</v>
      </c>
      <c r="W3518" s="102" t="s">
        <v>136</v>
      </c>
      <c r="X3518" s="102" t="s">
        <v>137</v>
      </c>
      <c r="Y3518" s="103" t="s">
        <v>138</v>
      </c>
      <c r="Z3518" s="103" t="s">
        <v>139</v>
      </c>
      <c r="AA3518" s="103" t="s">
        <v>47</v>
      </c>
      <c r="AB3518" s="103" t="s">
        <v>140</v>
      </c>
      <c r="AC3518" s="104" t="s">
        <v>141</v>
      </c>
    </row>
    <row r="3519" spans="1:29" ht="25.5" customHeight="1" x14ac:dyDescent="0.35">
      <c r="A3519" s="188"/>
      <c r="B3519" s="190"/>
      <c r="C3519" s="99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0"/>
      <c r="E3519" s="78" t="str">
        <f>IF(C3519="","",IFERROR(VLOOKUP(C3519,parametros!$A$11:$E$15,5,0),""))</f>
        <v/>
      </c>
      <c r="F3519" s="79" t="str">
        <f t="shared" si="272"/>
        <v/>
      </c>
      <c r="G3519" s="101"/>
      <c r="H3519" s="91">
        <f t="shared" si="273"/>
        <v>0</v>
      </c>
      <c r="I3519" s="91" t="str">
        <f t="shared" si="274"/>
        <v/>
      </c>
      <c r="J3519" s="91" t="str">
        <f t="shared" si="275"/>
        <v/>
      </c>
      <c r="K3519" s="92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2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58"/>
      <c r="U3519" s="217" t="str">
        <f t="shared" si="276"/>
        <v/>
      </c>
      <c r="V3519" s="215" t="s">
        <v>47</v>
      </c>
      <c r="W3519" s="102" t="s">
        <v>136</v>
      </c>
      <c r="X3519" s="102" t="s">
        <v>137</v>
      </c>
      <c r="Y3519" s="103" t="s">
        <v>138</v>
      </c>
      <c r="Z3519" s="103" t="s">
        <v>139</v>
      </c>
      <c r="AA3519" s="103" t="s">
        <v>47</v>
      </c>
      <c r="AB3519" s="103" t="s">
        <v>140</v>
      </c>
      <c r="AC3519" s="104" t="s">
        <v>141</v>
      </c>
    </row>
    <row r="3520" spans="1:29" ht="25.5" customHeight="1" x14ac:dyDescent="0.35">
      <c r="A3520" s="188"/>
      <c r="B3520" s="190"/>
      <c r="C3520" s="99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0"/>
      <c r="E3520" s="78" t="str">
        <f>IF(C3520="","",IFERROR(VLOOKUP(C3520,parametros!$A$11:$E$15,5,0),""))</f>
        <v/>
      </c>
      <c r="F3520" s="79" t="str">
        <f t="shared" si="272"/>
        <v/>
      </c>
      <c r="G3520" s="101"/>
      <c r="H3520" s="91">
        <f t="shared" si="273"/>
        <v>0</v>
      </c>
      <c r="I3520" s="91" t="str">
        <f t="shared" si="274"/>
        <v/>
      </c>
      <c r="J3520" s="91" t="str">
        <f t="shared" si="275"/>
        <v/>
      </c>
      <c r="K3520" s="92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2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58"/>
      <c r="U3520" s="217" t="str">
        <f t="shared" si="276"/>
        <v/>
      </c>
      <c r="V3520" s="215" t="s">
        <v>47</v>
      </c>
      <c r="W3520" s="102" t="s">
        <v>136</v>
      </c>
      <c r="X3520" s="102" t="s">
        <v>137</v>
      </c>
      <c r="Y3520" s="103" t="s">
        <v>138</v>
      </c>
      <c r="Z3520" s="103" t="s">
        <v>139</v>
      </c>
      <c r="AA3520" s="103" t="s">
        <v>47</v>
      </c>
      <c r="AB3520" s="103" t="s">
        <v>140</v>
      </c>
      <c r="AC3520" s="104" t="s">
        <v>141</v>
      </c>
    </row>
    <row r="3521" spans="1:29" ht="25.5" customHeight="1" x14ac:dyDescent="0.35">
      <c r="A3521" s="188"/>
      <c r="B3521" s="190"/>
      <c r="C3521" s="99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0"/>
      <c r="E3521" s="78" t="str">
        <f>IF(C3521="","",IFERROR(VLOOKUP(C3521,parametros!$A$11:$E$15,5,0),""))</f>
        <v/>
      </c>
      <c r="F3521" s="79" t="str">
        <f t="shared" si="272"/>
        <v/>
      </c>
      <c r="G3521" s="101"/>
      <c r="H3521" s="91">
        <f t="shared" si="273"/>
        <v>0</v>
      </c>
      <c r="I3521" s="91" t="str">
        <f t="shared" si="274"/>
        <v/>
      </c>
      <c r="J3521" s="91" t="str">
        <f t="shared" si="275"/>
        <v/>
      </c>
      <c r="K3521" s="92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2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58"/>
      <c r="U3521" s="217" t="str">
        <f t="shared" si="276"/>
        <v/>
      </c>
      <c r="V3521" s="215" t="s">
        <v>47</v>
      </c>
      <c r="W3521" s="102" t="s">
        <v>136</v>
      </c>
      <c r="X3521" s="102" t="s">
        <v>137</v>
      </c>
      <c r="Y3521" s="103" t="s">
        <v>138</v>
      </c>
      <c r="Z3521" s="103" t="s">
        <v>139</v>
      </c>
      <c r="AA3521" s="103" t="s">
        <v>47</v>
      </c>
      <c r="AB3521" s="103" t="s">
        <v>140</v>
      </c>
      <c r="AC3521" s="104" t="s">
        <v>141</v>
      </c>
    </row>
    <row r="3522" spans="1:29" ht="25.5" customHeight="1" x14ac:dyDescent="0.35">
      <c r="A3522" s="188"/>
      <c r="B3522" s="190"/>
      <c r="C3522" s="99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0"/>
      <c r="E3522" s="78" t="str">
        <f>IF(C3522="","",IFERROR(VLOOKUP(C3522,parametros!$A$11:$E$15,5,0),""))</f>
        <v/>
      </c>
      <c r="F3522" s="79" t="str">
        <f t="shared" ref="F3522:F3585" si="277">IF(OR(D3522="",E3522=""),"",ROUND(D3522*E3522,2))</f>
        <v/>
      </c>
      <c r="G3522" s="101"/>
      <c r="H3522" s="91">
        <f t="shared" ref="H3522:H3585" si="278">IF(G3522="Sim",IF(OR(F3522="",D3522="",L3522=""),"",IF(L3522="Sim",ROUND(F3522-D3522,2),0)),0)</f>
        <v>0</v>
      </c>
      <c r="I3522" s="91" t="str">
        <f t="shared" ref="I3522:I3585" si="279">IF(G3522="Sim",0,IF(OR(F3522="",L3522=""),"",F3522))</f>
        <v/>
      </c>
      <c r="J3522" s="91" t="str">
        <f t="shared" ref="J3522:J3585" si="280">IF(G3522="Sim",0,IF(OR(F3522="",D3522="",L3522=""),"",IF(L3522="Sim",ROUND(F3522-D3522,2),0)))</f>
        <v/>
      </c>
      <c r="K3522" s="92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2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58"/>
      <c r="U3522" s="217" t="str">
        <f t="shared" ref="U3522:U3585" si="281">IF(OR($D3522="",$H3522=""),"",ROUND($D3522+$H3522,2))</f>
        <v/>
      </c>
      <c r="V3522" s="215" t="s">
        <v>47</v>
      </c>
      <c r="W3522" s="102" t="s">
        <v>136</v>
      </c>
      <c r="X3522" s="102" t="s">
        <v>137</v>
      </c>
      <c r="Y3522" s="103" t="s">
        <v>138</v>
      </c>
      <c r="Z3522" s="103" t="s">
        <v>139</v>
      </c>
      <c r="AA3522" s="103" t="s">
        <v>47</v>
      </c>
      <c r="AB3522" s="103" t="s">
        <v>140</v>
      </c>
      <c r="AC3522" s="104" t="s">
        <v>141</v>
      </c>
    </row>
    <row r="3523" spans="1:29" ht="25.5" customHeight="1" x14ac:dyDescent="0.35">
      <c r="A3523" s="188"/>
      <c r="B3523" s="190"/>
      <c r="C3523" s="99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0"/>
      <c r="E3523" s="78" t="str">
        <f>IF(C3523="","",IFERROR(VLOOKUP(C3523,parametros!$A$11:$E$15,5,0),""))</f>
        <v/>
      </c>
      <c r="F3523" s="79" t="str">
        <f t="shared" si="277"/>
        <v/>
      </c>
      <c r="G3523" s="101"/>
      <c r="H3523" s="91">
        <f t="shared" si="278"/>
        <v>0</v>
      </c>
      <c r="I3523" s="91" t="str">
        <f t="shared" si="279"/>
        <v/>
      </c>
      <c r="J3523" s="91" t="str">
        <f t="shared" si="280"/>
        <v/>
      </c>
      <c r="K3523" s="92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2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58"/>
      <c r="U3523" s="217" t="str">
        <f t="shared" si="281"/>
        <v/>
      </c>
      <c r="V3523" s="215" t="s">
        <v>47</v>
      </c>
      <c r="W3523" s="102" t="s">
        <v>136</v>
      </c>
      <c r="X3523" s="102" t="s">
        <v>137</v>
      </c>
      <c r="Y3523" s="103" t="s">
        <v>138</v>
      </c>
      <c r="Z3523" s="103" t="s">
        <v>139</v>
      </c>
      <c r="AA3523" s="103" t="s">
        <v>47</v>
      </c>
      <c r="AB3523" s="103" t="s">
        <v>140</v>
      </c>
      <c r="AC3523" s="104" t="s">
        <v>141</v>
      </c>
    </row>
    <row r="3524" spans="1:29" ht="25.5" customHeight="1" x14ac:dyDescent="0.35">
      <c r="A3524" s="188"/>
      <c r="B3524" s="190"/>
      <c r="C3524" s="99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0"/>
      <c r="E3524" s="78" t="str">
        <f>IF(C3524="","",IFERROR(VLOOKUP(C3524,parametros!$A$11:$E$15,5,0),""))</f>
        <v/>
      </c>
      <c r="F3524" s="79" t="str">
        <f t="shared" si="277"/>
        <v/>
      </c>
      <c r="G3524" s="101"/>
      <c r="H3524" s="91">
        <f t="shared" si="278"/>
        <v>0</v>
      </c>
      <c r="I3524" s="91" t="str">
        <f t="shared" si="279"/>
        <v/>
      </c>
      <c r="J3524" s="91" t="str">
        <f t="shared" si="280"/>
        <v/>
      </c>
      <c r="K3524" s="92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2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58"/>
      <c r="U3524" s="217" t="str">
        <f t="shared" si="281"/>
        <v/>
      </c>
      <c r="V3524" s="215" t="s">
        <v>47</v>
      </c>
      <c r="W3524" s="102" t="s">
        <v>136</v>
      </c>
      <c r="X3524" s="102" t="s">
        <v>137</v>
      </c>
      <c r="Y3524" s="103" t="s">
        <v>138</v>
      </c>
      <c r="Z3524" s="103" t="s">
        <v>139</v>
      </c>
      <c r="AA3524" s="103" t="s">
        <v>47</v>
      </c>
      <c r="AB3524" s="103" t="s">
        <v>140</v>
      </c>
      <c r="AC3524" s="104" t="s">
        <v>141</v>
      </c>
    </row>
    <row r="3525" spans="1:29" ht="25.5" customHeight="1" x14ac:dyDescent="0.35">
      <c r="A3525" s="188"/>
      <c r="B3525" s="190"/>
      <c r="C3525" s="99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0"/>
      <c r="E3525" s="78" t="str">
        <f>IF(C3525="","",IFERROR(VLOOKUP(C3525,parametros!$A$11:$E$15,5,0),""))</f>
        <v/>
      </c>
      <c r="F3525" s="79" t="str">
        <f t="shared" si="277"/>
        <v/>
      </c>
      <c r="G3525" s="101"/>
      <c r="H3525" s="91">
        <f t="shared" si="278"/>
        <v>0</v>
      </c>
      <c r="I3525" s="91" t="str">
        <f t="shared" si="279"/>
        <v/>
      </c>
      <c r="J3525" s="91" t="str">
        <f t="shared" si="280"/>
        <v/>
      </c>
      <c r="K3525" s="92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2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58"/>
      <c r="U3525" s="217" t="str">
        <f t="shared" si="281"/>
        <v/>
      </c>
      <c r="V3525" s="215" t="s">
        <v>47</v>
      </c>
      <c r="W3525" s="102" t="s">
        <v>136</v>
      </c>
      <c r="X3525" s="102" t="s">
        <v>137</v>
      </c>
      <c r="Y3525" s="103" t="s">
        <v>138</v>
      </c>
      <c r="Z3525" s="103" t="s">
        <v>139</v>
      </c>
      <c r="AA3525" s="103" t="s">
        <v>47</v>
      </c>
      <c r="AB3525" s="103" t="s">
        <v>140</v>
      </c>
      <c r="AC3525" s="104" t="s">
        <v>141</v>
      </c>
    </row>
    <row r="3526" spans="1:29" ht="25.5" customHeight="1" x14ac:dyDescent="0.35">
      <c r="A3526" s="188"/>
      <c r="B3526" s="190"/>
      <c r="C3526" s="99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0"/>
      <c r="E3526" s="78" t="str">
        <f>IF(C3526="","",IFERROR(VLOOKUP(C3526,parametros!$A$11:$E$15,5,0),""))</f>
        <v/>
      </c>
      <c r="F3526" s="79" t="str">
        <f t="shared" si="277"/>
        <v/>
      </c>
      <c r="G3526" s="101"/>
      <c r="H3526" s="91">
        <f t="shared" si="278"/>
        <v>0</v>
      </c>
      <c r="I3526" s="91" t="str">
        <f t="shared" si="279"/>
        <v/>
      </c>
      <c r="J3526" s="91" t="str">
        <f t="shared" si="280"/>
        <v/>
      </c>
      <c r="K3526" s="92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2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58"/>
      <c r="U3526" s="217" t="str">
        <f t="shared" si="281"/>
        <v/>
      </c>
      <c r="V3526" s="215" t="s">
        <v>47</v>
      </c>
      <c r="W3526" s="102" t="s">
        <v>136</v>
      </c>
      <c r="X3526" s="102" t="s">
        <v>137</v>
      </c>
      <c r="Y3526" s="103" t="s">
        <v>138</v>
      </c>
      <c r="Z3526" s="103" t="s">
        <v>139</v>
      </c>
      <c r="AA3526" s="103" t="s">
        <v>47</v>
      </c>
      <c r="AB3526" s="103" t="s">
        <v>140</v>
      </c>
      <c r="AC3526" s="104" t="s">
        <v>141</v>
      </c>
    </row>
    <row r="3527" spans="1:29" ht="25.5" customHeight="1" x14ac:dyDescent="0.35">
      <c r="A3527" s="188"/>
      <c r="B3527" s="190"/>
      <c r="C3527" s="99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0"/>
      <c r="E3527" s="78" t="str">
        <f>IF(C3527="","",IFERROR(VLOOKUP(C3527,parametros!$A$11:$E$15,5,0),""))</f>
        <v/>
      </c>
      <c r="F3527" s="79" t="str">
        <f t="shared" si="277"/>
        <v/>
      </c>
      <c r="G3527" s="101"/>
      <c r="H3527" s="91">
        <f t="shared" si="278"/>
        <v>0</v>
      </c>
      <c r="I3527" s="91" t="str">
        <f t="shared" si="279"/>
        <v/>
      </c>
      <c r="J3527" s="91" t="str">
        <f t="shared" si="280"/>
        <v/>
      </c>
      <c r="K3527" s="92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2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58"/>
      <c r="U3527" s="217" t="str">
        <f t="shared" si="281"/>
        <v/>
      </c>
      <c r="V3527" s="215" t="s">
        <v>47</v>
      </c>
      <c r="W3527" s="102" t="s">
        <v>136</v>
      </c>
      <c r="X3527" s="102" t="s">
        <v>137</v>
      </c>
      <c r="Y3527" s="103" t="s">
        <v>138</v>
      </c>
      <c r="Z3527" s="103" t="s">
        <v>139</v>
      </c>
      <c r="AA3527" s="103" t="s">
        <v>47</v>
      </c>
      <c r="AB3527" s="103" t="s">
        <v>140</v>
      </c>
      <c r="AC3527" s="104" t="s">
        <v>141</v>
      </c>
    </row>
    <row r="3528" spans="1:29" ht="25.5" customHeight="1" x14ac:dyDescent="0.35">
      <c r="A3528" s="188"/>
      <c r="B3528" s="190"/>
      <c r="C3528" s="99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0"/>
      <c r="E3528" s="78" t="str">
        <f>IF(C3528="","",IFERROR(VLOOKUP(C3528,parametros!$A$11:$E$15,5,0),""))</f>
        <v/>
      </c>
      <c r="F3528" s="79" t="str">
        <f t="shared" si="277"/>
        <v/>
      </c>
      <c r="G3528" s="101"/>
      <c r="H3528" s="91">
        <f t="shared" si="278"/>
        <v>0</v>
      </c>
      <c r="I3528" s="91" t="str">
        <f t="shared" si="279"/>
        <v/>
      </c>
      <c r="J3528" s="91" t="str">
        <f t="shared" si="280"/>
        <v/>
      </c>
      <c r="K3528" s="92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2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58"/>
      <c r="U3528" s="217" t="str">
        <f t="shared" si="281"/>
        <v/>
      </c>
      <c r="V3528" s="215" t="s">
        <v>47</v>
      </c>
      <c r="W3528" s="102" t="s">
        <v>136</v>
      </c>
      <c r="X3528" s="102" t="s">
        <v>137</v>
      </c>
      <c r="Y3528" s="103" t="s">
        <v>138</v>
      </c>
      <c r="Z3528" s="103" t="s">
        <v>139</v>
      </c>
      <c r="AA3528" s="103" t="s">
        <v>47</v>
      </c>
      <c r="AB3528" s="103" t="s">
        <v>140</v>
      </c>
      <c r="AC3528" s="104" t="s">
        <v>141</v>
      </c>
    </row>
    <row r="3529" spans="1:29" ht="25.5" customHeight="1" x14ac:dyDescent="0.35">
      <c r="A3529" s="188"/>
      <c r="B3529" s="190"/>
      <c r="C3529" s="99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0"/>
      <c r="E3529" s="78" t="str">
        <f>IF(C3529="","",IFERROR(VLOOKUP(C3529,parametros!$A$11:$E$15,5,0),""))</f>
        <v/>
      </c>
      <c r="F3529" s="79" t="str">
        <f t="shared" si="277"/>
        <v/>
      </c>
      <c r="G3529" s="101"/>
      <c r="H3529" s="91">
        <f t="shared" si="278"/>
        <v>0</v>
      </c>
      <c r="I3529" s="91" t="str">
        <f t="shared" si="279"/>
        <v/>
      </c>
      <c r="J3529" s="91" t="str">
        <f t="shared" si="280"/>
        <v/>
      </c>
      <c r="K3529" s="92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2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58"/>
      <c r="U3529" s="217" t="str">
        <f t="shared" si="281"/>
        <v/>
      </c>
      <c r="V3529" s="215" t="s">
        <v>47</v>
      </c>
      <c r="W3529" s="102" t="s">
        <v>136</v>
      </c>
      <c r="X3529" s="102" t="s">
        <v>137</v>
      </c>
      <c r="Y3529" s="103" t="s">
        <v>138</v>
      </c>
      <c r="Z3529" s="103" t="s">
        <v>139</v>
      </c>
      <c r="AA3529" s="103" t="s">
        <v>47</v>
      </c>
      <c r="AB3529" s="103" t="s">
        <v>140</v>
      </c>
      <c r="AC3529" s="104" t="s">
        <v>141</v>
      </c>
    </row>
    <row r="3530" spans="1:29" ht="25.5" customHeight="1" x14ac:dyDescent="0.35">
      <c r="A3530" s="188"/>
      <c r="B3530" s="190"/>
      <c r="C3530" s="99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0"/>
      <c r="E3530" s="78" t="str">
        <f>IF(C3530="","",IFERROR(VLOOKUP(C3530,parametros!$A$11:$E$15,5,0),""))</f>
        <v/>
      </c>
      <c r="F3530" s="79" t="str">
        <f t="shared" si="277"/>
        <v/>
      </c>
      <c r="G3530" s="101"/>
      <c r="H3530" s="91">
        <f t="shared" si="278"/>
        <v>0</v>
      </c>
      <c r="I3530" s="91" t="str">
        <f t="shared" si="279"/>
        <v/>
      </c>
      <c r="J3530" s="91" t="str">
        <f t="shared" si="280"/>
        <v/>
      </c>
      <c r="K3530" s="92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2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58"/>
      <c r="U3530" s="217" t="str">
        <f t="shared" si="281"/>
        <v/>
      </c>
      <c r="V3530" s="215" t="s">
        <v>47</v>
      </c>
      <c r="W3530" s="102" t="s">
        <v>136</v>
      </c>
      <c r="X3530" s="102" t="s">
        <v>137</v>
      </c>
      <c r="Y3530" s="103" t="s">
        <v>138</v>
      </c>
      <c r="Z3530" s="103" t="s">
        <v>139</v>
      </c>
      <c r="AA3530" s="103" t="s">
        <v>47</v>
      </c>
      <c r="AB3530" s="103" t="s">
        <v>140</v>
      </c>
      <c r="AC3530" s="104" t="s">
        <v>141</v>
      </c>
    </row>
    <row r="3531" spans="1:29" ht="25.5" customHeight="1" x14ac:dyDescent="0.35">
      <c r="A3531" s="188"/>
      <c r="B3531" s="190"/>
      <c r="C3531" s="99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0"/>
      <c r="E3531" s="78" t="str">
        <f>IF(C3531="","",IFERROR(VLOOKUP(C3531,parametros!$A$11:$E$15,5,0),""))</f>
        <v/>
      </c>
      <c r="F3531" s="79" t="str">
        <f t="shared" si="277"/>
        <v/>
      </c>
      <c r="G3531" s="101"/>
      <c r="H3531" s="91">
        <f t="shared" si="278"/>
        <v>0</v>
      </c>
      <c r="I3531" s="91" t="str">
        <f t="shared" si="279"/>
        <v/>
      </c>
      <c r="J3531" s="91" t="str">
        <f t="shared" si="280"/>
        <v/>
      </c>
      <c r="K3531" s="92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2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58"/>
      <c r="U3531" s="217" t="str">
        <f t="shared" si="281"/>
        <v/>
      </c>
      <c r="V3531" s="215" t="s">
        <v>47</v>
      </c>
      <c r="W3531" s="102" t="s">
        <v>136</v>
      </c>
      <c r="X3531" s="102" t="s">
        <v>137</v>
      </c>
      <c r="Y3531" s="103" t="s">
        <v>138</v>
      </c>
      <c r="Z3531" s="103" t="s">
        <v>139</v>
      </c>
      <c r="AA3531" s="103" t="s">
        <v>47</v>
      </c>
      <c r="AB3531" s="103" t="s">
        <v>140</v>
      </c>
      <c r="AC3531" s="104" t="s">
        <v>141</v>
      </c>
    </row>
    <row r="3532" spans="1:29" ht="25.5" customHeight="1" x14ac:dyDescent="0.35">
      <c r="A3532" s="188"/>
      <c r="B3532" s="190"/>
      <c r="C3532" s="99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0"/>
      <c r="E3532" s="78" t="str">
        <f>IF(C3532="","",IFERROR(VLOOKUP(C3532,parametros!$A$11:$E$15,5,0),""))</f>
        <v/>
      </c>
      <c r="F3532" s="79" t="str">
        <f t="shared" si="277"/>
        <v/>
      </c>
      <c r="G3532" s="101"/>
      <c r="H3532" s="91">
        <f t="shared" si="278"/>
        <v>0</v>
      </c>
      <c r="I3532" s="91" t="str">
        <f t="shared" si="279"/>
        <v/>
      </c>
      <c r="J3532" s="91" t="str">
        <f t="shared" si="280"/>
        <v/>
      </c>
      <c r="K3532" s="92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2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58"/>
      <c r="U3532" s="217" t="str">
        <f t="shared" si="281"/>
        <v/>
      </c>
      <c r="V3532" s="215" t="s">
        <v>47</v>
      </c>
      <c r="W3532" s="102" t="s">
        <v>136</v>
      </c>
      <c r="X3532" s="102" t="s">
        <v>137</v>
      </c>
      <c r="Y3532" s="103" t="s">
        <v>138</v>
      </c>
      <c r="Z3532" s="103" t="s">
        <v>139</v>
      </c>
      <c r="AA3532" s="103" t="s">
        <v>47</v>
      </c>
      <c r="AB3532" s="103" t="s">
        <v>140</v>
      </c>
      <c r="AC3532" s="104" t="s">
        <v>141</v>
      </c>
    </row>
    <row r="3533" spans="1:29" ht="25.5" customHeight="1" x14ac:dyDescent="0.35">
      <c r="A3533" s="188"/>
      <c r="B3533" s="190"/>
      <c r="C3533" s="99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0"/>
      <c r="E3533" s="78" t="str">
        <f>IF(C3533="","",IFERROR(VLOOKUP(C3533,parametros!$A$11:$E$15,5,0),""))</f>
        <v/>
      </c>
      <c r="F3533" s="79" t="str">
        <f t="shared" si="277"/>
        <v/>
      </c>
      <c r="G3533" s="101"/>
      <c r="H3533" s="91">
        <f t="shared" si="278"/>
        <v>0</v>
      </c>
      <c r="I3533" s="91" t="str">
        <f t="shared" si="279"/>
        <v/>
      </c>
      <c r="J3533" s="91" t="str">
        <f t="shared" si="280"/>
        <v/>
      </c>
      <c r="K3533" s="92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2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58"/>
      <c r="U3533" s="217" t="str">
        <f t="shared" si="281"/>
        <v/>
      </c>
      <c r="V3533" s="215" t="s">
        <v>47</v>
      </c>
      <c r="W3533" s="102" t="s">
        <v>136</v>
      </c>
      <c r="X3533" s="102" t="s">
        <v>137</v>
      </c>
      <c r="Y3533" s="103" t="s">
        <v>138</v>
      </c>
      <c r="Z3533" s="103" t="s">
        <v>139</v>
      </c>
      <c r="AA3533" s="103" t="s">
        <v>47</v>
      </c>
      <c r="AB3533" s="103" t="s">
        <v>140</v>
      </c>
      <c r="AC3533" s="104" t="s">
        <v>141</v>
      </c>
    </row>
    <row r="3534" spans="1:29" ht="25.5" customHeight="1" x14ac:dyDescent="0.35">
      <c r="A3534" s="188"/>
      <c r="B3534" s="190"/>
      <c r="C3534" s="99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0"/>
      <c r="E3534" s="78" t="str">
        <f>IF(C3534="","",IFERROR(VLOOKUP(C3534,parametros!$A$11:$E$15,5,0),""))</f>
        <v/>
      </c>
      <c r="F3534" s="79" t="str">
        <f t="shared" si="277"/>
        <v/>
      </c>
      <c r="G3534" s="101"/>
      <c r="H3534" s="91">
        <f t="shared" si="278"/>
        <v>0</v>
      </c>
      <c r="I3534" s="91" t="str">
        <f t="shared" si="279"/>
        <v/>
      </c>
      <c r="J3534" s="91" t="str">
        <f t="shared" si="280"/>
        <v/>
      </c>
      <c r="K3534" s="92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2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58"/>
      <c r="U3534" s="217" t="str">
        <f t="shared" si="281"/>
        <v/>
      </c>
      <c r="V3534" s="215" t="s">
        <v>47</v>
      </c>
      <c r="W3534" s="102" t="s">
        <v>136</v>
      </c>
      <c r="X3534" s="102" t="s">
        <v>137</v>
      </c>
      <c r="Y3534" s="103" t="s">
        <v>138</v>
      </c>
      <c r="Z3534" s="103" t="s">
        <v>139</v>
      </c>
      <c r="AA3534" s="103" t="s">
        <v>47</v>
      </c>
      <c r="AB3534" s="103" t="s">
        <v>140</v>
      </c>
      <c r="AC3534" s="104" t="s">
        <v>141</v>
      </c>
    </row>
    <row r="3535" spans="1:29" ht="25.5" customHeight="1" x14ac:dyDescent="0.35">
      <c r="A3535" s="188"/>
      <c r="B3535" s="190"/>
      <c r="C3535" s="99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0"/>
      <c r="E3535" s="78" t="str">
        <f>IF(C3535="","",IFERROR(VLOOKUP(C3535,parametros!$A$11:$E$15,5,0),""))</f>
        <v/>
      </c>
      <c r="F3535" s="79" t="str">
        <f t="shared" si="277"/>
        <v/>
      </c>
      <c r="G3535" s="101"/>
      <c r="H3535" s="91">
        <f t="shared" si="278"/>
        <v>0</v>
      </c>
      <c r="I3535" s="91" t="str">
        <f t="shared" si="279"/>
        <v/>
      </c>
      <c r="J3535" s="91" t="str">
        <f t="shared" si="280"/>
        <v/>
      </c>
      <c r="K3535" s="92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2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58"/>
      <c r="U3535" s="217" t="str">
        <f t="shared" si="281"/>
        <v/>
      </c>
      <c r="V3535" s="215" t="s">
        <v>47</v>
      </c>
      <c r="W3535" s="102" t="s">
        <v>136</v>
      </c>
      <c r="X3535" s="102" t="s">
        <v>137</v>
      </c>
      <c r="Y3535" s="103" t="s">
        <v>138</v>
      </c>
      <c r="Z3535" s="103" t="s">
        <v>139</v>
      </c>
      <c r="AA3535" s="103" t="s">
        <v>47</v>
      </c>
      <c r="AB3535" s="103" t="s">
        <v>140</v>
      </c>
      <c r="AC3535" s="104" t="s">
        <v>141</v>
      </c>
    </row>
    <row r="3536" spans="1:29" ht="25.5" customHeight="1" x14ac:dyDescent="0.35">
      <c r="A3536" s="188"/>
      <c r="B3536" s="190"/>
      <c r="C3536" s="99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0"/>
      <c r="E3536" s="78" t="str">
        <f>IF(C3536="","",IFERROR(VLOOKUP(C3536,parametros!$A$11:$E$15,5,0),""))</f>
        <v/>
      </c>
      <c r="F3536" s="79" t="str">
        <f t="shared" si="277"/>
        <v/>
      </c>
      <c r="G3536" s="101"/>
      <c r="H3536" s="91">
        <f t="shared" si="278"/>
        <v>0</v>
      </c>
      <c r="I3536" s="91" t="str">
        <f t="shared" si="279"/>
        <v/>
      </c>
      <c r="J3536" s="91" t="str">
        <f t="shared" si="280"/>
        <v/>
      </c>
      <c r="K3536" s="92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2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58"/>
      <c r="U3536" s="217" t="str">
        <f t="shared" si="281"/>
        <v/>
      </c>
      <c r="V3536" s="215" t="s">
        <v>47</v>
      </c>
      <c r="W3536" s="102" t="s">
        <v>136</v>
      </c>
      <c r="X3536" s="102" t="s">
        <v>137</v>
      </c>
      <c r="Y3536" s="103" t="s">
        <v>138</v>
      </c>
      <c r="Z3536" s="103" t="s">
        <v>139</v>
      </c>
      <c r="AA3536" s="103" t="s">
        <v>47</v>
      </c>
      <c r="AB3536" s="103" t="s">
        <v>140</v>
      </c>
      <c r="AC3536" s="104" t="s">
        <v>141</v>
      </c>
    </row>
    <row r="3537" spans="1:29" ht="25.5" customHeight="1" x14ac:dyDescent="0.35">
      <c r="A3537" s="188"/>
      <c r="B3537" s="190"/>
      <c r="C3537" s="99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0"/>
      <c r="E3537" s="78" t="str">
        <f>IF(C3537="","",IFERROR(VLOOKUP(C3537,parametros!$A$11:$E$15,5,0),""))</f>
        <v/>
      </c>
      <c r="F3537" s="79" t="str">
        <f t="shared" si="277"/>
        <v/>
      </c>
      <c r="G3537" s="101"/>
      <c r="H3537" s="91">
        <f t="shared" si="278"/>
        <v>0</v>
      </c>
      <c r="I3537" s="91" t="str">
        <f t="shared" si="279"/>
        <v/>
      </c>
      <c r="J3537" s="91" t="str">
        <f t="shared" si="280"/>
        <v/>
      </c>
      <c r="K3537" s="92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2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58"/>
      <c r="U3537" s="217" t="str">
        <f t="shared" si="281"/>
        <v/>
      </c>
      <c r="V3537" s="215" t="s">
        <v>47</v>
      </c>
      <c r="W3537" s="102" t="s">
        <v>136</v>
      </c>
      <c r="X3537" s="102" t="s">
        <v>137</v>
      </c>
      <c r="Y3537" s="103" t="s">
        <v>138</v>
      </c>
      <c r="Z3537" s="103" t="s">
        <v>139</v>
      </c>
      <c r="AA3537" s="103" t="s">
        <v>47</v>
      </c>
      <c r="AB3537" s="103" t="s">
        <v>140</v>
      </c>
      <c r="AC3537" s="104" t="s">
        <v>141</v>
      </c>
    </row>
    <row r="3538" spans="1:29" ht="25.5" customHeight="1" x14ac:dyDescent="0.35">
      <c r="A3538" s="188"/>
      <c r="B3538" s="190"/>
      <c r="C3538" s="99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0"/>
      <c r="E3538" s="78" t="str">
        <f>IF(C3538="","",IFERROR(VLOOKUP(C3538,parametros!$A$11:$E$15,5,0),""))</f>
        <v/>
      </c>
      <c r="F3538" s="79" t="str">
        <f t="shared" si="277"/>
        <v/>
      </c>
      <c r="G3538" s="101"/>
      <c r="H3538" s="91">
        <f t="shared" si="278"/>
        <v>0</v>
      </c>
      <c r="I3538" s="91" t="str">
        <f t="shared" si="279"/>
        <v/>
      </c>
      <c r="J3538" s="91" t="str">
        <f t="shared" si="280"/>
        <v/>
      </c>
      <c r="K3538" s="92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2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58"/>
      <c r="U3538" s="217" t="str">
        <f t="shared" si="281"/>
        <v/>
      </c>
      <c r="V3538" s="215" t="s">
        <v>47</v>
      </c>
      <c r="W3538" s="102" t="s">
        <v>136</v>
      </c>
      <c r="X3538" s="102" t="s">
        <v>137</v>
      </c>
      <c r="Y3538" s="103" t="s">
        <v>138</v>
      </c>
      <c r="Z3538" s="103" t="s">
        <v>139</v>
      </c>
      <c r="AA3538" s="103" t="s">
        <v>47</v>
      </c>
      <c r="AB3538" s="103" t="s">
        <v>140</v>
      </c>
      <c r="AC3538" s="104" t="s">
        <v>141</v>
      </c>
    </row>
    <row r="3539" spans="1:29" ht="25.5" customHeight="1" x14ac:dyDescent="0.35">
      <c r="A3539" s="188"/>
      <c r="B3539" s="190"/>
      <c r="C3539" s="99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0"/>
      <c r="E3539" s="78" t="str">
        <f>IF(C3539="","",IFERROR(VLOOKUP(C3539,parametros!$A$11:$E$15,5,0),""))</f>
        <v/>
      </c>
      <c r="F3539" s="79" t="str">
        <f t="shared" si="277"/>
        <v/>
      </c>
      <c r="G3539" s="101"/>
      <c r="H3539" s="91">
        <f t="shared" si="278"/>
        <v>0</v>
      </c>
      <c r="I3539" s="91" t="str">
        <f t="shared" si="279"/>
        <v/>
      </c>
      <c r="J3539" s="91" t="str">
        <f t="shared" si="280"/>
        <v/>
      </c>
      <c r="K3539" s="92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2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58"/>
      <c r="U3539" s="217" t="str">
        <f t="shared" si="281"/>
        <v/>
      </c>
      <c r="V3539" s="215" t="s">
        <v>47</v>
      </c>
      <c r="W3539" s="102" t="s">
        <v>136</v>
      </c>
      <c r="X3539" s="102" t="s">
        <v>137</v>
      </c>
      <c r="Y3539" s="103" t="s">
        <v>138</v>
      </c>
      <c r="Z3539" s="103" t="s">
        <v>139</v>
      </c>
      <c r="AA3539" s="103" t="s">
        <v>47</v>
      </c>
      <c r="AB3539" s="103" t="s">
        <v>140</v>
      </c>
      <c r="AC3539" s="104" t="s">
        <v>141</v>
      </c>
    </row>
    <row r="3540" spans="1:29" ht="25.5" customHeight="1" x14ac:dyDescent="0.35">
      <c r="A3540" s="188"/>
      <c r="B3540" s="190"/>
      <c r="C3540" s="99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0"/>
      <c r="E3540" s="78" t="str">
        <f>IF(C3540="","",IFERROR(VLOOKUP(C3540,parametros!$A$11:$E$15,5,0),""))</f>
        <v/>
      </c>
      <c r="F3540" s="79" t="str">
        <f t="shared" si="277"/>
        <v/>
      </c>
      <c r="G3540" s="101"/>
      <c r="H3540" s="91">
        <f t="shared" si="278"/>
        <v>0</v>
      </c>
      <c r="I3540" s="91" t="str">
        <f t="shared" si="279"/>
        <v/>
      </c>
      <c r="J3540" s="91" t="str">
        <f t="shared" si="280"/>
        <v/>
      </c>
      <c r="K3540" s="92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2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58"/>
      <c r="U3540" s="217" t="str">
        <f t="shared" si="281"/>
        <v/>
      </c>
      <c r="V3540" s="215" t="s">
        <v>47</v>
      </c>
      <c r="W3540" s="102" t="s">
        <v>136</v>
      </c>
      <c r="X3540" s="102" t="s">
        <v>137</v>
      </c>
      <c r="Y3540" s="103" t="s">
        <v>138</v>
      </c>
      <c r="Z3540" s="103" t="s">
        <v>139</v>
      </c>
      <c r="AA3540" s="103" t="s">
        <v>47</v>
      </c>
      <c r="AB3540" s="103" t="s">
        <v>140</v>
      </c>
      <c r="AC3540" s="104" t="s">
        <v>141</v>
      </c>
    </row>
    <row r="3541" spans="1:29" ht="25.5" customHeight="1" x14ac:dyDescent="0.35">
      <c r="A3541" s="188"/>
      <c r="B3541" s="190"/>
      <c r="C3541" s="99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0"/>
      <c r="E3541" s="78" t="str">
        <f>IF(C3541="","",IFERROR(VLOOKUP(C3541,parametros!$A$11:$E$15,5,0),""))</f>
        <v/>
      </c>
      <c r="F3541" s="79" t="str">
        <f t="shared" si="277"/>
        <v/>
      </c>
      <c r="G3541" s="101"/>
      <c r="H3541" s="91">
        <f t="shared" si="278"/>
        <v>0</v>
      </c>
      <c r="I3541" s="91" t="str">
        <f t="shared" si="279"/>
        <v/>
      </c>
      <c r="J3541" s="91" t="str">
        <f t="shared" si="280"/>
        <v/>
      </c>
      <c r="K3541" s="92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2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58"/>
      <c r="U3541" s="217" t="str">
        <f t="shared" si="281"/>
        <v/>
      </c>
      <c r="V3541" s="215" t="s">
        <v>47</v>
      </c>
      <c r="W3541" s="102" t="s">
        <v>136</v>
      </c>
      <c r="X3541" s="102" t="s">
        <v>137</v>
      </c>
      <c r="Y3541" s="103" t="s">
        <v>138</v>
      </c>
      <c r="Z3541" s="103" t="s">
        <v>139</v>
      </c>
      <c r="AA3541" s="103" t="s">
        <v>47</v>
      </c>
      <c r="AB3541" s="103" t="s">
        <v>140</v>
      </c>
      <c r="AC3541" s="104" t="s">
        <v>141</v>
      </c>
    </row>
    <row r="3542" spans="1:29" ht="25.5" customHeight="1" x14ac:dyDescent="0.35">
      <c r="A3542" s="188"/>
      <c r="B3542" s="190"/>
      <c r="C3542" s="99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0"/>
      <c r="E3542" s="78" t="str">
        <f>IF(C3542="","",IFERROR(VLOOKUP(C3542,parametros!$A$11:$E$15,5,0),""))</f>
        <v/>
      </c>
      <c r="F3542" s="79" t="str">
        <f t="shared" si="277"/>
        <v/>
      </c>
      <c r="G3542" s="101"/>
      <c r="H3542" s="91">
        <f t="shared" si="278"/>
        <v>0</v>
      </c>
      <c r="I3542" s="91" t="str">
        <f t="shared" si="279"/>
        <v/>
      </c>
      <c r="J3542" s="91" t="str">
        <f t="shared" si="280"/>
        <v/>
      </c>
      <c r="K3542" s="92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2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58"/>
      <c r="U3542" s="217" t="str">
        <f t="shared" si="281"/>
        <v/>
      </c>
      <c r="V3542" s="215" t="s">
        <v>47</v>
      </c>
      <c r="W3542" s="102" t="s">
        <v>136</v>
      </c>
      <c r="X3542" s="102" t="s">
        <v>137</v>
      </c>
      <c r="Y3542" s="103" t="s">
        <v>138</v>
      </c>
      <c r="Z3542" s="103" t="s">
        <v>139</v>
      </c>
      <c r="AA3542" s="103" t="s">
        <v>47</v>
      </c>
      <c r="AB3542" s="103" t="s">
        <v>140</v>
      </c>
      <c r="AC3542" s="104" t="s">
        <v>141</v>
      </c>
    </row>
    <row r="3543" spans="1:29" ht="25.5" customHeight="1" x14ac:dyDescent="0.35">
      <c r="A3543" s="188"/>
      <c r="B3543" s="190"/>
      <c r="C3543" s="99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0"/>
      <c r="E3543" s="78" t="str">
        <f>IF(C3543="","",IFERROR(VLOOKUP(C3543,parametros!$A$11:$E$15,5,0),""))</f>
        <v/>
      </c>
      <c r="F3543" s="79" t="str">
        <f t="shared" si="277"/>
        <v/>
      </c>
      <c r="G3543" s="101"/>
      <c r="H3543" s="91">
        <f t="shared" si="278"/>
        <v>0</v>
      </c>
      <c r="I3543" s="91" t="str">
        <f t="shared" si="279"/>
        <v/>
      </c>
      <c r="J3543" s="91" t="str">
        <f t="shared" si="280"/>
        <v/>
      </c>
      <c r="K3543" s="92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2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58"/>
      <c r="U3543" s="217" t="str">
        <f t="shared" si="281"/>
        <v/>
      </c>
      <c r="V3543" s="215" t="s">
        <v>47</v>
      </c>
      <c r="W3543" s="102" t="s">
        <v>136</v>
      </c>
      <c r="X3543" s="102" t="s">
        <v>137</v>
      </c>
      <c r="Y3543" s="103" t="s">
        <v>138</v>
      </c>
      <c r="Z3543" s="103" t="s">
        <v>139</v>
      </c>
      <c r="AA3543" s="103" t="s">
        <v>47</v>
      </c>
      <c r="AB3543" s="103" t="s">
        <v>140</v>
      </c>
      <c r="AC3543" s="104" t="s">
        <v>141</v>
      </c>
    </row>
    <row r="3544" spans="1:29" ht="25.5" customHeight="1" x14ac:dyDescent="0.35">
      <c r="A3544" s="188"/>
      <c r="B3544" s="190"/>
      <c r="C3544" s="99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0"/>
      <c r="E3544" s="78" t="str">
        <f>IF(C3544="","",IFERROR(VLOOKUP(C3544,parametros!$A$11:$E$15,5,0),""))</f>
        <v/>
      </c>
      <c r="F3544" s="79" t="str">
        <f t="shared" si="277"/>
        <v/>
      </c>
      <c r="G3544" s="101"/>
      <c r="H3544" s="91">
        <f t="shared" si="278"/>
        <v>0</v>
      </c>
      <c r="I3544" s="91" t="str">
        <f t="shared" si="279"/>
        <v/>
      </c>
      <c r="J3544" s="91" t="str">
        <f t="shared" si="280"/>
        <v/>
      </c>
      <c r="K3544" s="92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2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58"/>
      <c r="U3544" s="217" t="str">
        <f t="shared" si="281"/>
        <v/>
      </c>
      <c r="V3544" s="215" t="s">
        <v>47</v>
      </c>
      <c r="W3544" s="102" t="s">
        <v>136</v>
      </c>
      <c r="X3544" s="102" t="s">
        <v>137</v>
      </c>
      <c r="Y3544" s="103" t="s">
        <v>138</v>
      </c>
      <c r="Z3544" s="103" t="s">
        <v>139</v>
      </c>
      <c r="AA3544" s="103" t="s">
        <v>47</v>
      </c>
      <c r="AB3544" s="103" t="s">
        <v>140</v>
      </c>
      <c r="AC3544" s="104" t="s">
        <v>141</v>
      </c>
    </row>
    <row r="3545" spans="1:29" ht="25.5" customHeight="1" x14ac:dyDescent="0.35">
      <c r="A3545" s="188"/>
      <c r="B3545" s="190"/>
      <c r="C3545" s="99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0"/>
      <c r="E3545" s="78" t="str">
        <f>IF(C3545="","",IFERROR(VLOOKUP(C3545,parametros!$A$11:$E$15,5,0),""))</f>
        <v/>
      </c>
      <c r="F3545" s="79" t="str">
        <f t="shared" si="277"/>
        <v/>
      </c>
      <c r="G3545" s="101"/>
      <c r="H3545" s="91">
        <f t="shared" si="278"/>
        <v>0</v>
      </c>
      <c r="I3545" s="91" t="str">
        <f t="shared" si="279"/>
        <v/>
      </c>
      <c r="J3545" s="91" t="str">
        <f t="shared" si="280"/>
        <v/>
      </c>
      <c r="K3545" s="92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2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58"/>
      <c r="U3545" s="217" t="str">
        <f t="shared" si="281"/>
        <v/>
      </c>
      <c r="V3545" s="215" t="s">
        <v>47</v>
      </c>
      <c r="W3545" s="102" t="s">
        <v>136</v>
      </c>
      <c r="X3545" s="102" t="s">
        <v>137</v>
      </c>
      <c r="Y3545" s="103" t="s">
        <v>138</v>
      </c>
      <c r="Z3545" s="103" t="s">
        <v>139</v>
      </c>
      <c r="AA3545" s="103" t="s">
        <v>47</v>
      </c>
      <c r="AB3545" s="103" t="s">
        <v>140</v>
      </c>
      <c r="AC3545" s="104" t="s">
        <v>141</v>
      </c>
    </row>
    <row r="3546" spans="1:29" ht="25.5" customHeight="1" x14ac:dyDescent="0.35">
      <c r="A3546" s="188"/>
      <c r="B3546" s="190"/>
      <c r="C3546" s="99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0"/>
      <c r="E3546" s="78" t="str">
        <f>IF(C3546="","",IFERROR(VLOOKUP(C3546,parametros!$A$11:$E$15,5,0),""))</f>
        <v/>
      </c>
      <c r="F3546" s="79" t="str">
        <f t="shared" si="277"/>
        <v/>
      </c>
      <c r="G3546" s="101"/>
      <c r="H3546" s="91">
        <f t="shared" si="278"/>
        <v>0</v>
      </c>
      <c r="I3546" s="91" t="str">
        <f t="shared" si="279"/>
        <v/>
      </c>
      <c r="J3546" s="91" t="str">
        <f t="shared" si="280"/>
        <v/>
      </c>
      <c r="K3546" s="92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2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58"/>
      <c r="U3546" s="217" t="str">
        <f t="shared" si="281"/>
        <v/>
      </c>
      <c r="V3546" s="215" t="s">
        <v>47</v>
      </c>
      <c r="W3546" s="102" t="s">
        <v>136</v>
      </c>
      <c r="X3546" s="102" t="s">
        <v>137</v>
      </c>
      <c r="Y3546" s="103" t="s">
        <v>138</v>
      </c>
      <c r="Z3546" s="103" t="s">
        <v>139</v>
      </c>
      <c r="AA3546" s="103" t="s">
        <v>47</v>
      </c>
      <c r="AB3546" s="103" t="s">
        <v>140</v>
      </c>
      <c r="AC3546" s="104" t="s">
        <v>141</v>
      </c>
    </row>
    <row r="3547" spans="1:29" ht="25.5" customHeight="1" x14ac:dyDescent="0.35">
      <c r="A3547" s="188"/>
      <c r="B3547" s="190"/>
      <c r="C3547" s="99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0"/>
      <c r="E3547" s="78" t="str">
        <f>IF(C3547="","",IFERROR(VLOOKUP(C3547,parametros!$A$11:$E$15,5,0),""))</f>
        <v/>
      </c>
      <c r="F3547" s="79" t="str">
        <f t="shared" si="277"/>
        <v/>
      </c>
      <c r="G3547" s="101"/>
      <c r="H3547" s="91">
        <f t="shared" si="278"/>
        <v>0</v>
      </c>
      <c r="I3547" s="91" t="str">
        <f t="shared" si="279"/>
        <v/>
      </c>
      <c r="J3547" s="91" t="str">
        <f t="shared" si="280"/>
        <v/>
      </c>
      <c r="K3547" s="92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2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58"/>
      <c r="U3547" s="217" t="str">
        <f t="shared" si="281"/>
        <v/>
      </c>
      <c r="V3547" s="215" t="s">
        <v>47</v>
      </c>
      <c r="W3547" s="102" t="s">
        <v>136</v>
      </c>
      <c r="X3547" s="102" t="s">
        <v>137</v>
      </c>
      <c r="Y3547" s="103" t="s">
        <v>138</v>
      </c>
      <c r="Z3547" s="103" t="s">
        <v>139</v>
      </c>
      <c r="AA3547" s="103" t="s">
        <v>47</v>
      </c>
      <c r="AB3547" s="103" t="s">
        <v>140</v>
      </c>
      <c r="AC3547" s="104" t="s">
        <v>141</v>
      </c>
    </row>
    <row r="3548" spans="1:29" ht="25.5" customHeight="1" x14ac:dyDescent="0.35">
      <c r="A3548" s="188"/>
      <c r="B3548" s="190"/>
      <c r="C3548" s="99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0"/>
      <c r="E3548" s="78" t="str">
        <f>IF(C3548="","",IFERROR(VLOOKUP(C3548,parametros!$A$11:$E$15,5,0),""))</f>
        <v/>
      </c>
      <c r="F3548" s="79" t="str">
        <f t="shared" si="277"/>
        <v/>
      </c>
      <c r="G3548" s="101"/>
      <c r="H3548" s="91">
        <f t="shared" si="278"/>
        <v>0</v>
      </c>
      <c r="I3548" s="91" t="str">
        <f t="shared" si="279"/>
        <v/>
      </c>
      <c r="J3548" s="91" t="str">
        <f t="shared" si="280"/>
        <v/>
      </c>
      <c r="K3548" s="92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2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58"/>
      <c r="U3548" s="217" t="str">
        <f t="shared" si="281"/>
        <v/>
      </c>
      <c r="V3548" s="215" t="s">
        <v>47</v>
      </c>
      <c r="W3548" s="102" t="s">
        <v>136</v>
      </c>
      <c r="X3548" s="102" t="s">
        <v>137</v>
      </c>
      <c r="Y3548" s="103" t="s">
        <v>138</v>
      </c>
      <c r="Z3548" s="103" t="s">
        <v>139</v>
      </c>
      <c r="AA3548" s="103" t="s">
        <v>47</v>
      </c>
      <c r="AB3548" s="103" t="s">
        <v>140</v>
      </c>
      <c r="AC3548" s="104" t="s">
        <v>141</v>
      </c>
    </row>
    <row r="3549" spans="1:29" ht="25.5" customHeight="1" x14ac:dyDescent="0.35">
      <c r="A3549" s="188"/>
      <c r="B3549" s="190"/>
      <c r="C3549" s="99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0"/>
      <c r="E3549" s="78" t="str">
        <f>IF(C3549="","",IFERROR(VLOOKUP(C3549,parametros!$A$11:$E$15,5,0),""))</f>
        <v/>
      </c>
      <c r="F3549" s="79" t="str">
        <f t="shared" si="277"/>
        <v/>
      </c>
      <c r="G3549" s="101"/>
      <c r="H3549" s="91">
        <f t="shared" si="278"/>
        <v>0</v>
      </c>
      <c r="I3549" s="91" t="str">
        <f t="shared" si="279"/>
        <v/>
      </c>
      <c r="J3549" s="91" t="str">
        <f t="shared" si="280"/>
        <v/>
      </c>
      <c r="K3549" s="92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2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58"/>
      <c r="U3549" s="217" t="str">
        <f t="shared" si="281"/>
        <v/>
      </c>
      <c r="V3549" s="215" t="s">
        <v>47</v>
      </c>
      <c r="W3549" s="102" t="s">
        <v>136</v>
      </c>
      <c r="X3549" s="102" t="s">
        <v>137</v>
      </c>
      <c r="Y3549" s="103" t="s">
        <v>138</v>
      </c>
      <c r="Z3549" s="103" t="s">
        <v>139</v>
      </c>
      <c r="AA3549" s="103" t="s">
        <v>47</v>
      </c>
      <c r="AB3549" s="103" t="s">
        <v>140</v>
      </c>
      <c r="AC3549" s="104" t="s">
        <v>141</v>
      </c>
    </row>
    <row r="3550" spans="1:29" ht="25.5" customHeight="1" x14ac:dyDescent="0.35">
      <c r="A3550" s="188"/>
      <c r="B3550" s="190"/>
      <c r="C3550" s="99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0"/>
      <c r="E3550" s="78" t="str">
        <f>IF(C3550="","",IFERROR(VLOOKUP(C3550,parametros!$A$11:$E$15,5,0),""))</f>
        <v/>
      </c>
      <c r="F3550" s="79" t="str">
        <f t="shared" si="277"/>
        <v/>
      </c>
      <c r="G3550" s="101"/>
      <c r="H3550" s="91">
        <f t="shared" si="278"/>
        <v>0</v>
      </c>
      <c r="I3550" s="91" t="str">
        <f t="shared" si="279"/>
        <v/>
      </c>
      <c r="J3550" s="91" t="str">
        <f t="shared" si="280"/>
        <v/>
      </c>
      <c r="K3550" s="92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2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58"/>
      <c r="U3550" s="217" t="str">
        <f t="shared" si="281"/>
        <v/>
      </c>
      <c r="V3550" s="215" t="s">
        <v>47</v>
      </c>
      <c r="W3550" s="102" t="s">
        <v>136</v>
      </c>
      <c r="X3550" s="102" t="s">
        <v>137</v>
      </c>
      <c r="Y3550" s="103" t="s">
        <v>138</v>
      </c>
      <c r="Z3550" s="103" t="s">
        <v>139</v>
      </c>
      <c r="AA3550" s="103" t="s">
        <v>47</v>
      </c>
      <c r="AB3550" s="103" t="s">
        <v>140</v>
      </c>
      <c r="AC3550" s="104" t="s">
        <v>141</v>
      </c>
    </row>
    <row r="3551" spans="1:29" ht="25.5" customHeight="1" x14ac:dyDescent="0.35">
      <c r="A3551" s="188"/>
      <c r="B3551" s="190"/>
      <c r="C3551" s="99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0"/>
      <c r="E3551" s="78" t="str">
        <f>IF(C3551="","",IFERROR(VLOOKUP(C3551,parametros!$A$11:$E$15,5,0),""))</f>
        <v/>
      </c>
      <c r="F3551" s="79" t="str">
        <f t="shared" si="277"/>
        <v/>
      </c>
      <c r="G3551" s="101"/>
      <c r="H3551" s="91">
        <f t="shared" si="278"/>
        <v>0</v>
      </c>
      <c r="I3551" s="91" t="str">
        <f t="shared" si="279"/>
        <v/>
      </c>
      <c r="J3551" s="91" t="str">
        <f t="shared" si="280"/>
        <v/>
      </c>
      <c r="K3551" s="92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2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58"/>
      <c r="U3551" s="217" t="str">
        <f t="shared" si="281"/>
        <v/>
      </c>
      <c r="V3551" s="215" t="s">
        <v>47</v>
      </c>
      <c r="W3551" s="102" t="s">
        <v>136</v>
      </c>
      <c r="X3551" s="102" t="s">
        <v>137</v>
      </c>
      <c r="Y3551" s="103" t="s">
        <v>138</v>
      </c>
      <c r="Z3551" s="103" t="s">
        <v>139</v>
      </c>
      <c r="AA3551" s="103" t="s">
        <v>47</v>
      </c>
      <c r="AB3551" s="103" t="s">
        <v>140</v>
      </c>
      <c r="AC3551" s="104" t="s">
        <v>141</v>
      </c>
    </row>
    <row r="3552" spans="1:29" ht="25.5" customHeight="1" x14ac:dyDescent="0.35">
      <c r="A3552" s="188"/>
      <c r="B3552" s="190"/>
      <c r="C3552" s="99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0"/>
      <c r="E3552" s="78" t="str">
        <f>IF(C3552="","",IFERROR(VLOOKUP(C3552,parametros!$A$11:$E$15,5,0),""))</f>
        <v/>
      </c>
      <c r="F3552" s="79" t="str">
        <f t="shared" si="277"/>
        <v/>
      </c>
      <c r="G3552" s="101"/>
      <c r="H3552" s="91">
        <f t="shared" si="278"/>
        <v>0</v>
      </c>
      <c r="I3552" s="91" t="str">
        <f t="shared" si="279"/>
        <v/>
      </c>
      <c r="J3552" s="91" t="str">
        <f t="shared" si="280"/>
        <v/>
      </c>
      <c r="K3552" s="92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2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58"/>
      <c r="U3552" s="217" t="str">
        <f t="shared" si="281"/>
        <v/>
      </c>
      <c r="V3552" s="215" t="s">
        <v>47</v>
      </c>
      <c r="W3552" s="102" t="s">
        <v>136</v>
      </c>
      <c r="X3552" s="102" t="s">
        <v>137</v>
      </c>
      <c r="Y3552" s="103" t="s">
        <v>138</v>
      </c>
      <c r="Z3552" s="103" t="s">
        <v>139</v>
      </c>
      <c r="AA3552" s="103" t="s">
        <v>47</v>
      </c>
      <c r="AB3552" s="103" t="s">
        <v>140</v>
      </c>
      <c r="AC3552" s="104" t="s">
        <v>141</v>
      </c>
    </row>
    <row r="3553" spans="1:29" ht="25.5" customHeight="1" x14ac:dyDescent="0.35">
      <c r="A3553" s="188"/>
      <c r="B3553" s="190"/>
      <c r="C3553" s="99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0"/>
      <c r="E3553" s="78" t="str">
        <f>IF(C3553="","",IFERROR(VLOOKUP(C3553,parametros!$A$11:$E$15,5,0),""))</f>
        <v/>
      </c>
      <c r="F3553" s="79" t="str">
        <f t="shared" si="277"/>
        <v/>
      </c>
      <c r="G3553" s="101"/>
      <c r="H3553" s="91">
        <f t="shared" si="278"/>
        <v>0</v>
      </c>
      <c r="I3553" s="91" t="str">
        <f t="shared" si="279"/>
        <v/>
      </c>
      <c r="J3553" s="91" t="str">
        <f t="shared" si="280"/>
        <v/>
      </c>
      <c r="K3553" s="92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2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58"/>
      <c r="U3553" s="217" t="str">
        <f t="shared" si="281"/>
        <v/>
      </c>
      <c r="V3553" s="215" t="s">
        <v>47</v>
      </c>
      <c r="W3553" s="102" t="s">
        <v>136</v>
      </c>
      <c r="X3553" s="102" t="s">
        <v>137</v>
      </c>
      <c r="Y3553" s="103" t="s">
        <v>138</v>
      </c>
      <c r="Z3553" s="103" t="s">
        <v>139</v>
      </c>
      <c r="AA3553" s="103" t="s">
        <v>47</v>
      </c>
      <c r="AB3553" s="103" t="s">
        <v>140</v>
      </c>
      <c r="AC3553" s="104" t="s">
        <v>141</v>
      </c>
    </row>
    <row r="3554" spans="1:29" ht="25.5" customHeight="1" x14ac:dyDescent="0.35">
      <c r="A3554" s="188"/>
      <c r="B3554" s="190"/>
      <c r="C3554" s="99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0"/>
      <c r="E3554" s="78" t="str">
        <f>IF(C3554="","",IFERROR(VLOOKUP(C3554,parametros!$A$11:$E$15,5,0),""))</f>
        <v/>
      </c>
      <c r="F3554" s="79" t="str">
        <f t="shared" si="277"/>
        <v/>
      </c>
      <c r="G3554" s="101"/>
      <c r="H3554" s="91">
        <f t="shared" si="278"/>
        <v>0</v>
      </c>
      <c r="I3554" s="91" t="str">
        <f t="shared" si="279"/>
        <v/>
      </c>
      <c r="J3554" s="91" t="str">
        <f t="shared" si="280"/>
        <v/>
      </c>
      <c r="K3554" s="92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2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58"/>
      <c r="U3554" s="217" t="str">
        <f t="shared" si="281"/>
        <v/>
      </c>
      <c r="V3554" s="215" t="s">
        <v>47</v>
      </c>
      <c r="W3554" s="102" t="s">
        <v>136</v>
      </c>
      <c r="X3554" s="102" t="s">
        <v>137</v>
      </c>
      <c r="Y3554" s="103" t="s">
        <v>138</v>
      </c>
      <c r="Z3554" s="103" t="s">
        <v>139</v>
      </c>
      <c r="AA3554" s="103" t="s">
        <v>47</v>
      </c>
      <c r="AB3554" s="103" t="s">
        <v>140</v>
      </c>
      <c r="AC3554" s="104" t="s">
        <v>141</v>
      </c>
    </row>
    <row r="3555" spans="1:29" ht="25.5" customHeight="1" x14ac:dyDescent="0.35">
      <c r="A3555" s="188"/>
      <c r="B3555" s="190"/>
      <c r="C3555" s="99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0"/>
      <c r="E3555" s="78" t="str">
        <f>IF(C3555="","",IFERROR(VLOOKUP(C3555,parametros!$A$11:$E$15,5,0),""))</f>
        <v/>
      </c>
      <c r="F3555" s="79" t="str">
        <f t="shared" si="277"/>
        <v/>
      </c>
      <c r="G3555" s="101"/>
      <c r="H3555" s="91">
        <f t="shared" si="278"/>
        <v>0</v>
      </c>
      <c r="I3555" s="91" t="str">
        <f t="shared" si="279"/>
        <v/>
      </c>
      <c r="J3555" s="91" t="str">
        <f t="shared" si="280"/>
        <v/>
      </c>
      <c r="K3555" s="92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2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58"/>
      <c r="U3555" s="217" t="str">
        <f t="shared" si="281"/>
        <v/>
      </c>
      <c r="V3555" s="215" t="s">
        <v>47</v>
      </c>
      <c r="W3555" s="102" t="s">
        <v>136</v>
      </c>
      <c r="X3555" s="102" t="s">
        <v>137</v>
      </c>
      <c r="Y3555" s="103" t="s">
        <v>138</v>
      </c>
      <c r="Z3555" s="103" t="s">
        <v>139</v>
      </c>
      <c r="AA3555" s="103" t="s">
        <v>47</v>
      </c>
      <c r="AB3555" s="103" t="s">
        <v>140</v>
      </c>
      <c r="AC3555" s="104" t="s">
        <v>141</v>
      </c>
    </row>
    <row r="3556" spans="1:29" ht="25.5" customHeight="1" x14ac:dyDescent="0.35">
      <c r="A3556" s="188"/>
      <c r="B3556" s="190"/>
      <c r="C3556" s="99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0"/>
      <c r="E3556" s="78" t="str">
        <f>IF(C3556="","",IFERROR(VLOOKUP(C3556,parametros!$A$11:$E$15,5,0),""))</f>
        <v/>
      </c>
      <c r="F3556" s="79" t="str">
        <f t="shared" si="277"/>
        <v/>
      </c>
      <c r="G3556" s="101"/>
      <c r="H3556" s="91">
        <f t="shared" si="278"/>
        <v>0</v>
      </c>
      <c r="I3556" s="91" t="str">
        <f t="shared" si="279"/>
        <v/>
      </c>
      <c r="J3556" s="91" t="str">
        <f t="shared" si="280"/>
        <v/>
      </c>
      <c r="K3556" s="92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2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58"/>
      <c r="U3556" s="217" t="str">
        <f t="shared" si="281"/>
        <v/>
      </c>
      <c r="V3556" s="215" t="s">
        <v>47</v>
      </c>
      <c r="W3556" s="102" t="s">
        <v>136</v>
      </c>
      <c r="X3556" s="102" t="s">
        <v>137</v>
      </c>
      <c r="Y3556" s="103" t="s">
        <v>138</v>
      </c>
      <c r="Z3556" s="103" t="s">
        <v>139</v>
      </c>
      <c r="AA3556" s="103" t="s">
        <v>47</v>
      </c>
      <c r="AB3556" s="103" t="s">
        <v>140</v>
      </c>
      <c r="AC3556" s="104" t="s">
        <v>141</v>
      </c>
    </row>
    <row r="3557" spans="1:29" ht="25.5" customHeight="1" x14ac:dyDescent="0.35">
      <c r="A3557" s="188"/>
      <c r="B3557" s="190"/>
      <c r="C3557" s="99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0"/>
      <c r="E3557" s="78" t="str">
        <f>IF(C3557="","",IFERROR(VLOOKUP(C3557,parametros!$A$11:$E$15,5,0),""))</f>
        <v/>
      </c>
      <c r="F3557" s="79" t="str">
        <f t="shared" si="277"/>
        <v/>
      </c>
      <c r="G3557" s="101"/>
      <c r="H3557" s="91">
        <f t="shared" si="278"/>
        <v>0</v>
      </c>
      <c r="I3557" s="91" t="str">
        <f t="shared" si="279"/>
        <v/>
      </c>
      <c r="J3557" s="91" t="str">
        <f t="shared" si="280"/>
        <v/>
      </c>
      <c r="K3557" s="92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2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58"/>
      <c r="U3557" s="217" t="str">
        <f t="shared" si="281"/>
        <v/>
      </c>
      <c r="V3557" s="215" t="s">
        <v>47</v>
      </c>
      <c r="W3557" s="102" t="s">
        <v>136</v>
      </c>
      <c r="X3557" s="102" t="s">
        <v>137</v>
      </c>
      <c r="Y3557" s="103" t="s">
        <v>138</v>
      </c>
      <c r="Z3557" s="103" t="s">
        <v>139</v>
      </c>
      <c r="AA3557" s="103" t="s">
        <v>47</v>
      </c>
      <c r="AB3557" s="103" t="s">
        <v>140</v>
      </c>
      <c r="AC3557" s="104" t="s">
        <v>141</v>
      </c>
    </row>
    <row r="3558" spans="1:29" ht="25.5" customHeight="1" x14ac:dyDescent="0.35">
      <c r="A3558" s="188"/>
      <c r="B3558" s="190"/>
      <c r="C3558" s="99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0"/>
      <c r="E3558" s="78" t="str">
        <f>IF(C3558="","",IFERROR(VLOOKUP(C3558,parametros!$A$11:$E$15,5,0),""))</f>
        <v/>
      </c>
      <c r="F3558" s="79" t="str">
        <f t="shared" si="277"/>
        <v/>
      </c>
      <c r="G3558" s="101"/>
      <c r="H3558" s="91">
        <f t="shared" si="278"/>
        <v>0</v>
      </c>
      <c r="I3558" s="91" t="str">
        <f t="shared" si="279"/>
        <v/>
      </c>
      <c r="J3558" s="91" t="str">
        <f t="shared" si="280"/>
        <v/>
      </c>
      <c r="K3558" s="92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2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58"/>
      <c r="U3558" s="217" t="str">
        <f t="shared" si="281"/>
        <v/>
      </c>
      <c r="V3558" s="215" t="s">
        <v>47</v>
      </c>
      <c r="W3558" s="102" t="s">
        <v>136</v>
      </c>
      <c r="X3558" s="102" t="s">
        <v>137</v>
      </c>
      <c r="Y3558" s="103" t="s">
        <v>138</v>
      </c>
      <c r="Z3558" s="103" t="s">
        <v>139</v>
      </c>
      <c r="AA3558" s="103" t="s">
        <v>47</v>
      </c>
      <c r="AB3558" s="103" t="s">
        <v>140</v>
      </c>
      <c r="AC3558" s="104" t="s">
        <v>141</v>
      </c>
    </row>
    <row r="3559" spans="1:29" ht="25.5" customHeight="1" x14ac:dyDescent="0.35">
      <c r="A3559" s="188"/>
      <c r="B3559" s="190"/>
      <c r="C3559" s="99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0"/>
      <c r="E3559" s="78" t="str">
        <f>IF(C3559="","",IFERROR(VLOOKUP(C3559,parametros!$A$11:$E$15,5,0),""))</f>
        <v/>
      </c>
      <c r="F3559" s="79" t="str">
        <f t="shared" si="277"/>
        <v/>
      </c>
      <c r="G3559" s="101"/>
      <c r="H3559" s="91">
        <f t="shared" si="278"/>
        <v>0</v>
      </c>
      <c r="I3559" s="91" t="str">
        <f t="shared" si="279"/>
        <v/>
      </c>
      <c r="J3559" s="91" t="str">
        <f t="shared" si="280"/>
        <v/>
      </c>
      <c r="K3559" s="92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2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58"/>
      <c r="U3559" s="217" t="str">
        <f t="shared" si="281"/>
        <v/>
      </c>
      <c r="V3559" s="215" t="s">
        <v>47</v>
      </c>
      <c r="W3559" s="102" t="s">
        <v>136</v>
      </c>
      <c r="X3559" s="102" t="s">
        <v>137</v>
      </c>
      <c r="Y3559" s="103" t="s">
        <v>138</v>
      </c>
      <c r="Z3559" s="103" t="s">
        <v>139</v>
      </c>
      <c r="AA3559" s="103" t="s">
        <v>47</v>
      </c>
      <c r="AB3559" s="103" t="s">
        <v>140</v>
      </c>
      <c r="AC3559" s="104" t="s">
        <v>141</v>
      </c>
    </row>
    <row r="3560" spans="1:29" ht="25.5" customHeight="1" x14ac:dyDescent="0.35">
      <c r="A3560" s="188"/>
      <c r="B3560" s="190"/>
      <c r="C3560" s="99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0"/>
      <c r="E3560" s="78" t="str">
        <f>IF(C3560="","",IFERROR(VLOOKUP(C3560,parametros!$A$11:$E$15,5,0),""))</f>
        <v/>
      </c>
      <c r="F3560" s="79" t="str">
        <f t="shared" si="277"/>
        <v/>
      </c>
      <c r="G3560" s="101"/>
      <c r="H3560" s="91">
        <f t="shared" si="278"/>
        <v>0</v>
      </c>
      <c r="I3560" s="91" t="str">
        <f t="shared" si="279"/>
        <v/>
      </c>
      <c r="J3560" s="91" t="str">
        <f t="shared" si="280"/>
        <v/>
      </c>
      <c r="K3560" s="92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2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58"/>
      <c r="U3560" s="217" t="str">
        <f t="shared" si="281"/>
        <v/>
      </c>
      <c r="V3560" s="215" t="s">
        <v>47</v>
      </c>
      <c r="W3560" s="102" t="s">
        <v>136</v>
      </c>
      <c r="X3560" s="102" t="s">
        <v>137</v>
      </c>
      <c r="Y3560" s="103" t="s">
        <v>138</v>
      </c>
      <c r="Z3560" s="103" t="s">
        <v>139</v>
      </c>
      <c r="AA3560" s="103" t="s">
        <v>47</v>
      </c>
      <c r="AB3560" s="103" t="s">
        <v>140</v>
      </c>
      <c r="AC3560" s="104" t="s">
        <v>141</v>
      </c>
    </row>
    <row r="3561" spans="1:29" ht="25.5" customHeight="1" x14ac:dyDescent="0.35">
      <c r="A3561" s="188"/>
      <c r="B3561" s="190"/>
      <c r="C3561" s="99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0"/>
      <c r="E3561" s="78" t="str">
        <f>IF(C3561="","",IFERROR(VLOOKUP(C3561,parametros!$A$11:$E$15,5,0),""))</f>
        <v/>
      </c>
      <c r="F3561" s="79" t="str">
        <f t="shared" si="277"/>
        <v/>
      </c>
      <c r="G3561" s="101"/>
      <c r="H3561" s="91">
        <f t="shared" si="278"/>
        <v>0</v>
      </c>
      <c r="I3561" s="91" t="str">
        <f t="shared" si="279"/>
        <v/>
      </c>
      <c r="J3561" s="91" t="str">
        <f t="shared" si="280"/>
        <v/>
      </c>
      <c r="K3561" s="92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2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58"/>
      <c r="U3561" s="217" t="str">
        <f t="shared" si="281"/>
        <v/>
      </c>
      <c r="V3561" s="215" t="s">
        <v>47</v>
      </c>
      <c r="W3561" s="102" t="s">
        <v>136</v>
      </c>
      <c r="X3561" s="102" t="s">
        <v>137</v>
      </c>
      <c r="Y3561" s="103" t="s">
        <v>138</v>
      </c>
      <c r="Z3561" s="103" t="s">
        <v>139</v>
      </c>
      <c r="AA3561" s="103" t="s">
        <v>47</v>
      </c>
      <c r="AB3561" s="103" t="s">
        <v>140</v>
      </c>
      <c r="AC3561" s="104" t="s">
        <v>141</v>
      </c>
    </row>
    <row r="3562" spans="1:29" ht="25.5" customHeight="1" x14ac:dyDescent="0.35">
      <c r="A3562" s="188"/>
      <c r="B3562" s="190"/>
      <c r="C3562" s="99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0"/>
      <c r="E3562" s="78" t="str">
        <f>IF(C3562="","",IFERROR(VLOOKUP(C3562,parametros!$A$11:$E$15,5,0),""))</f>
        <v/>
      </c>
      <c r="F3562" s="79" t="str">
        <f t="shared" si="277"/>
        <v/>
      </c>
      <c r="G3562" s="101"/>
      <c r="H3562" s="91">
        <f t="shared" si="278"/>
        <v>0</v>
      </c>
      <c r="I3562" s="91" t="str">
        <f t="shared" si="279"/>
        <v/>
      </c>
      <c r="J3562" s="91" t="str">
        <f t="shared" si="280"/>
        <v/>
      </c>
      <c r="K3562" s="92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2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58"/>
      <c r="U3562" s="217" t="str">
        <f t="shared" si="281"/>
        <v/>
      </c>
      <c r="V3562" s="215" t="s">
        <v>47</v>
      </c>
      <c r="W3562" s="102" t="s">
        <v>136</v>
      </c>
      <c r="X3562" s="102" t="s">
        <v>137</v>
      </c>
      <c r="Y3562" s="103" t="s">
        <v>138</v>
      </c>
      <c r="Z3562" s="103" t="s">
        <v>139</v>
      </c>
      <c r="AA3562" s="103" t="s">
        <v>47</v>
      </c>
      <c r="AB3562" s="103" t="s">
        <v>140</v>
      </c>
      <c r="AC3562" s="104" t="s">
        <v>141</v>
      </c>
    </row>
    <row r="3563" spans="1:29" ht="25.5" customHeight="1" x14ac:dyDescent="0.35">
      <c r="A3563" s="188"/>
      <c r="B3563" s="190"/>
      <c r="C3563" s="99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0"/>
      <c r="E3563" s="78" t="str">
        <f>IF(C3563="","",IFERROR(VLOOKUP(C3563,parametros!$A$11:$E$15,5,0),""))</f>
        <v/>
      </c>
      <c r="F3563" s="79" t="str">
        <f t="shared" si="277"/>
        <v/>
      </c>
      <c r="G3563" s="101"/>
      <c r="H3563" s="91">
        <f t="shared" si="278"/>
        <v>0</v>
      </c>
      <c r="I3563" s="91" t="str">
        <f t="shared" si="279"/>
        <v/>
      </c>
      <c r="J3563" s="91" t="str">
        <f t="shared" si="280"/>
        <v/>
      </c>
      <c r="K3563" s="92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2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58"/>
      <c r="U3563" s="217" t="str">
        <f t="shared" si="281"/>
        <v/>
      </c>
      <c r="V3563" s="215" t="s">
        <v>47</v>
      </c>
      <c r="W3563" s="102" t="s">
        <v>136</v>
      </c>
      <c r="X3563" s="102" t="s">
        <v>137</v>
      </c>
      <c r="Y3563" s="103" t="s">
        <v>138</v>
      </c>
      <c r="Z3563" s="103" t="s">
        <v>139</v>
      </c>
      <c r="AA3563" s="103" t="s">
        <v>47</v>
      </c>
      <c r="AB3563" s="103" t="s">
        <v>140</v>
      </c>
      <c r="AC3563" s="104" t="s">
        <v>141</v>
      </c>
    </row>
    <row r="3564" spans="1:29" ht="25.5" customHeight="1" x14ac:dyDescent="0.35">
      <c r="A3564" s="188"/>
      <c r="B3564" s="190"/>
      <c r="C3564" s="99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0"/>
      <c r="E3564" s="78" t="str">
        <f>IF(C3564="","",IFERROR(VLOOKUP(C3564,parametros!$A$11:$E$15,5,0),""))</f>
        <v/>
      </c>
      <c r="F3564" s="79" t="str">
        <f t="shared" si="277"/>
        <v/>
      </c>
      <c r="G3564" s="101"/>
      <c r="H3564" s="91">
        <f t="shared" si="278"/>
        <v>0</v>
      </c>
      <c r="I3564" s="91" t="str">
        <f t="shared" si="279"/>
        <v/>
      </c>
      <c r="J3564" s="91" t="str">
        <f t="shared" si="280"/>
        <v/>
      </c>
      <c r="K3564" s="92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2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58"/>
      <c r="U3564" s="217" t="str">
        <f t="shared" si="281"/>
        <v/>
      </c>
      <c r="V3564" s="215" t="s">
        <v>47</v>
      </c>
      <c r="W3564" s="102" t="s">
        <v>136</v>
      </c>
      <c r="X3564" s="102" t="s">
        <v>137</v>
      </c>
      <c r="Y3564" s="103" t="s">
        <v>138</v>
      </c>
      <c r="Z3564" s="103" t="s">
        <v>139</v>
      </c>
      <c r="AA3564" s="103" t="s">
        <v>47</v>
      </c>
      <c r="AB3564" s="103" t="s">
        <v>140</v>
      </c>
      <c r="AC3564" s="104" t="s">
        <v>141</v>
      </c>
    </row>
    <row r="3565" spans="1:29" ht="25.5" customHeight="1" x14ac:dyDescent="0.35">
      <c r="A3565" s="188"/>
      <c r="B3565" s="190"/>
      <c r="C3565" s="99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0"/>
      <c r="E3565" s="78" t="str">
        <f>IF(C3565="","",IFERROR(VLOOKUP(C3565,parametros!$A$11:$E$15,5,0),""))</f>
        <v/>
      </c>
      <c r="F3565" s="79" t="str">
        <f t="shared" si="277"/>
        <v/>
      </c>
      <c r="G3565" s="101"/>
      <c r="H3565" s="91">
        <f t="shared" si="278"/>
        <v>0</v>
      </c>
      <c r="I3565" s="91" t="str">
        <f t="shared" si="279"/>
        <v/>
      </c>
      <c r="J3565" s="91" t="str">
        <f t="shared" si="280"/>
        <v/>
      </c>
      <c r="K3565" s="92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2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58"/>
      <c r="U3565" s="217" t="str">
        <f t="shared" si="281"/>
        <v/>
      </c>
      <c r="V3565" s="215" t="s">
        <v>47</v>
      </c>
      <c r="W3565" s="102" t="s">
        <v>136</v>
      </c>
      <c r="X3565" s="102" t="s">
        <v>137</v>
      </c>
      <c r="Y3565" s="103" t="s">
        <v>138</v>
      </c>
      <c r="Z3565" s="103" t="s">
        <v>139</v>
      </c>
      <c r="AA3565" s="103" t="s">
        <v>47</v>
      </c>
      <c r="AB3565" s="103" t="s">
        <v>140</v>
      </c>
      <c r="AC3565" s="104" t="s">
        <v>141</v>
      </c>
    </row>
    <row r="3566" spans="1:29" ht="25.5" customHeight="1" x14ac:dyDescent="0.35">
      <c r="A3566" s="188"/>
      <c r="B3566" s="190"/>
      <c r="C3566" s="99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0"/>
      <c r="E3566" s="78" t="str">
        <f>IF(C3566="","",IFERROR(VLOOKUP(C3566,parametros!$A$11:$E$15,5,0),""))</f>
        <v/>
      </c>
      <c r="F3566" s="79" t="str">
        <f t="shared" si="277"/>
        <v/>
      </c>
      <c r="G3566" s="101"/>
      <c r="H3566" s="91">
        <f t="shared" si="278"/>
        <v>0</v>
      </c>
      <c r="I3566" s="91" t="str">
        <f t="shared" si="279"/>
        <v/>
      </c>
      <c r="J3566" s="91" t="str">
        <f t="shared" si="280"/>
        <v/>
      </c>
      <c r="K3566" s="92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2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58"/>
      <c r="U3566" s="217" t="str">
        <f t="shared" si="281"/>
        <v/>
      </c>
      <c r="V3566" s="215" t="s">
        <v>47</v>
      </c>
      <c r="W3566" s="102" t="s">
        <v>136</v>
      </c>
      <c r="X3566" s="102" t="s">
        <v>137</v>
      </c>
      <c r="Y3566" s="103" t="s">
        <v>138</v>
      </c>
      <c r="Z3566" s="103" t="s">
        <v>139</v>
      </c>
      <c r="AA3566" s="103" t="s">
        <v>47</v>
      </c>
      <c r="AB3566" s="103" t="s">
        <v>140</v>
      </c>
      <c r="AC3566" s="104" t="s">
        <v>141</v>
      </c>
    </row>
    <row r="3567" spans="1:29" ht="25.5" customHeight="1" x14ac:dyDescent="0.35">
      <c r="A3567" s="188"/>
      <c r="B3567" s="190"/>
      <c r="C3567" s="99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0"/>
      <c r="E3567" s="78" t="str">
        <f>IF(C3567="","",IFERROR(VLOOKUP(C3567,parametros!$A$11:$E$15,5,0),""))</f>
        <v/>
      </c>
      <c r="F3567" s="79" t="str">
        <f t="shared" si="277"/>
        <v/>
      </c>
      <c r="G3567" s="101"/>
      <c r="H3567" s="91">
        <f t="shared" si="278"/>
        <v>0</v>
      </c>
      <c r="I3567" s="91" t="str">
        <f t="shared" si="279"/>
        <v/>
      </c>
      <c r="J3567" s="91" t="str">
        <f t="shared" si="280"/>
        <v/>
      </c>
      <c r="K3567" s="92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2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58"/>
      <c r="U3567" s="217" t="str">
        <f t="shared" si="281"/>
        <v/>
      </c>
      <c r="V3567" s="215" t="s">
        <v>47</v>
      </c>
      <c r="W3567" s="102" t="s">
        <v>136</v>
      </c>
      <c r="X3567" s="102" t="s">
        <v>137</v>
      </c>
      <c r="Y3567" s="103" t="s">
        <v>138</v>
      </c>
      <c r="Z3567" s="103" t="s">
        <v>139</v>
      </c>
      <c r="AA3567" s="103" t="s">
        <v>47</v>
      </c>
      <c r="AB3567" s="103" t="s">
        <v>140</v>
      </c>
      <c r="AC3567" s="104" t="s">
        <v>141</v>
      </c>
    </row>
    <row r="3568" spans="1:29" ht="25.5" customHeight="1" x14ac:dyDescent="0.35">
      <c r="A3568" s="188"/>
      <c r="B3568" s="190"/>
      <c r="C3568" s="99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0"/>
      <c r="E3568" s="78" t="str">
        <f>IF(C3568="","",IFERROR(VLOOKUP(C3568,parametros!$A$11:$E$15,5,0),""))</f>
        <v/>
      </c>
      <c r="F3568" s="79" t="str">
        <f t="shared" si="277"/>
        <v/>
      </c>
      <c r="G3568" s="101"/>
      <c r="H3568" s="91">
        <f t="shared" si="278"/>
        <v>0</v>
      </c>
      <c r="I3568" s="91" t="str">
        <f t="shared" si="279"/>
        <v/>
      </c>
      <c r="J3568" s="91" t="str">
        <f t="shared" si="280"/>
        <v/>
      </c>
      <c r="K3568" s="92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2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58"/>
      <c r="U3568" s="217" t="str">
        <f t="shared" si="281"/>
        <v/>
      </c>
      <c r="V3568" s="215" t="s">
        <v>47</v>
      </c>
      <c r="W3568" s="102" t="s">
        <v>136</v>
      </c>
      <c r="X3568" s="102" t="s">
        <v>137</v>
      </c>
      <c r="Y3568" s="103" t="s">
        <v>138</v>
      </c>
      <c r="Z3568" s="103" t="s">
        <v>139</v>
      </c>
      <c r="AA3568" s="103" t="s">
        <v>47</v>
      </c>
      <c r="AB3568" s="103" t="s">
        <v>140</v>
      </c>
      <c r="AC3568" s="104" t="s">
        <v>141</v>
      </c>
    </row>
    <row r="3569" spans="1:29" ht="25.5" customHeight="1" x14ac:dyDescent="0.35">
      <c r="A3569" s="188"/>
      <c r="B3569" s="190"/>
      <c r="C3569" s="99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0"/>
      <c r="E3569" s="78" t="str">
        <f>IF(C3569="","",IFERROR(VLOOKUP(C3569,parametros!$A$11:$E$15,5,0),""))</f>
        <v/>
      </c>
      <c r="F3569" s="79" t="str">
        <f t="shared" si="277"/>
        <v/>
      </c>
      <c r="G3569" s="101"/>
      <c r="H3569" s="91">
        <f t="shared" si="278"/>
        <v>0</v>
      </c>
      <c r="I3569" s="91" t="str">
        <f t="shared" si="279"/>
        <v/>
      </c>
      <c r="J3569" s="91" t="str">
        <f t="shared" si="280"/>
        <v/>
      </c>
      <c r="K3569" s="92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2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58"/>
      <c r="U3569" s="217" t="str">
        <f t="shared" si="281"/>
        <v/>
      </c>
      <c r="V3569" s="215" t="s">
        <v>47</v>
      </c>
      <c r="W3569" s="102" t="s">
        <v>136</v>
      </c>
      <c r="X3569" s="102" t="s">
        <v>137</v>
      </c>
      <c r="Y3569" s="103" t="s">
        <v>138</v>
      </c>
      <c r="Z3569" s="103" t="s">
        <v>139</v>
      </c>
      <c r="AA3569" s="103" t="s">
        <v>47</v>
      </c>
      <c r="AB3569" s="103" t="s">
        <v>140</v>
      </c>
      <c r="AC3569" s="104" t="s">
        <v>141</v>
      </c>
    </row>
    <row r="3570" spans="1:29" ht="25.5" customHeight="1" x14ac:dyDescent="0.35">
      <c r="A3570" s="188"/>
      <c r="B3570" s="190"/>
      <c r="C3570" s="99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0"/>
      <c r="E3570" s="78" t="str">
        <f>IF(C3570="","",IFERROR(VLOOKUP(C3570,parametros!$A$11:$E$15,5,0),""))</f>
        <v/>
      </c>
      <c r="F3570" s="79" t="str">
        <f t="shared" si="277"/>
        <v/>
      </c>
      <c r="G3570" s="101"/>
      <c r="H3570" s="91">
        <f t="shared" si="278"/>
        <v>0</v>
      </c>
      <c r="I3570" s="91" t="str">
        <f t="shared" si="279"/>
        <v/>
      </c>
      <c r="J3570" s="91" t="str">
        <f t="shared" si="280"/>
        <v/>
      </c>
      <c r="K3570" s="92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2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58"/>
      <c r="U3570" s="217" t="str">
        <f t="shared" si="281"/>
        <v/>
      </c>
      <c r="V3570" s="215" t="s">
        <v>47</v>
      </c>
      <c r="W3570" s="102" t="s">
        <v>136</v>
      </c>
      <c r="X3570" s="102" t="s">
        <v>137</v>
      </c>
      <c r="Y3570" s="103" t="s">
        <v>138</v>
      </c>
      <c r="Z3570" s="103" t="s">
        <v>139</v>
      </c>
      <c r="AA3570" s="103" t="s">
        <v>47</v>
      </c>
      <c r="AB3570" s="103" t="s">
        <v>140</v>
      </c>
      <c r="AC3570" s="104" t="s">
        <v>141</v>
      </c>
    </row>
    <row r="3571" spans="1:29" ht="25.5" customHeight="1" x14ac:dyDescent="0.35">
      <c r="A3571" s="188"/>
      <c r="B3571" s="190"/>
      <c r="C3571" s="99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0"/>
      <c r="E3571" s="78" t="str">
        <f>IF(C3571="","",IFERROR(VLOOKUP(C3571,parametros!$A$11:$E$15,5,0),""))</f>
        <v/>
      </c>
      <c r="F3571" s="79" t="str">
        <f t="shared" si="277"/>
        <v/>
      </c>
      <c r="G3571" s="101"/>
      <c r="H3571" s="91">
        <f t="shared" si="278"/>
        <v>0</v>
      </c>
      <c r="I3571" s="91" t="str">
        <f t="shared" si="279"/>
        <v/>
      </c>
      <c r="J3571" s="91" t="str">
        <f t="shared" si="280"/>
        <v/>
      </c>
      <c r="K3571" s="92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2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58"/>
      <c r="U3571" s="217" t="str">
        <f t="shared" si="281"/>
        <v/>
      </c>
      <c r="V3571" s="215" t="s">
        <v>47</v>
      </c>
      <c r="W3571" s="102" t="s">
        <v>136</v>
      </c>
      <c r="X3571" s="102" t="s">
        <v>137</v>
      </c>
      <c r="Y3571" s="103" t="s">
        <v>138</v>
      </c>
      <c r="Z3571" s="103" t="s">
        <v>139</v>
      </c>
      <c r="AA3571" s="103" t="s">
        <v>47</v>
      </c>
      <c r="AB3571" s="103" t="s">
        <v>140</v>
      </c>
      <c r="AC3571" s="104" t="s">
        <v>141</v>
      </c>
    </row>
    <row r="3572" spans="1:29" ht="25.5" customHeight="1" x14ac:dyDescent="0.35">
      <c r="A3572" s="188"/>
      <c r="B3572" s="190"/>
      <c r="C3572" s="99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0"/>
      <c r="E3572" s="78" t="str">
        <f>IF(C3572="","",IFERROR(VLOOKUP(C3572,parametros!$A$11:$E$15,5,0),""))</f>
        <v/>
      </c>
      <c r="F3572" s="79" t="str">
        <f t="shared" si="277"/>
        <v/>
      </c>
      <c r="G3572" s="101"/>
      <c r="H3572" s="91">
        <f t="shared" si="278"/>
        <v>0</v>
      </c>
      <c r="I3572" s="91" t="str">
        <f t="shared" si="279"/>
        <v/>
      </c>
      <c r="J3572" s="91" t="str">
        <f t="shared" si="280"/>
        <v/>
      </c>
      <c r="K3572" s="92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2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58"/>
      <c r="U3572" s="217" t="str">
        <f t="shared" si="281"/>
        <v/>
      </c>
      <c r="V3572" s="215" t="s">
        <v>47</v>
      </c>
      <c r="W3572" s="102" t="s">
        <v>136</v>
      </c>
      <c r="X3572" s="102" t="s">
        <v>137</v>
      </c>
      <c r="Y3572" s="103" t="s">
        <v>138</v>
      </c>
      <c r="Z3572" s="103" t="s">
        <v>139</v>
      </c>
      <c r="AA3572" s="103" t="s">
        <v>47</v>
      </c>
      <c r="AB3572" s="103" t="s">
        <v>140</v>
      </c>
      <c r="AC3572" s="104" t="s">
        <v>141</v>
      </c>
    </row>
    <row r="3573" spans="1:29" ht="25.5" customHeight="1" x14ac:dyDescent="0.35">
      <c r="A3573" s="188"/>
      <c r="B3573" s="190"/>
      <c r="C3573" s="99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0"/>
      <c r="E3573" s="78" t="str">
        <f>IF(C3573="","",IFERROR(VLOOKUP(C3573,parametros!$A$11:$E$15,5,0),""))</f>
        <v/>
      </c>
      <c r="F3573" s="79" t="str">
        <f t="shared" si="277"/>
        <v/>
      </c>
      <c r="G3573" s="101"/>
      <c r="H3573" s="91">
        <f t="shared" si="278"/>
        <v>0</v>
      </c>
      <c r="I3573" s="91" t="str">
        <f t="shared" si="279"/>
        <v/>
      </c>
      <c r="J3573" s="91" t="str">
        <f t="shared" si="280"/>
        <v/>
      </c>
      <c r="K3573" s="92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2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58"/>
      <c r="U3573" s="217" t="str">
        <f t="shared" si="281"/>
        <v/>
      </c>
      <c r="V3573" s="215" t="s">
        <v>47</v>
      </c>
      <c r="W3573" s="102" t="s">
        <v>136</v>
      </c>
      <c r="X3573" s="102" t="s">
        <v>137</v>
      </c>
      <c r="Y3573" s="103" t="s">
        <v>138</v>
      </c>
      <c r="Z3573" s="103" t="s">
        <v>139</v>
      </c>
      <c r="AA3573" s="103" t="s">
        <v>47</v>
      </c>
      <c r="AB3573" s="103" t="s">
        <v>140</v>
      </c>
      <c r="AC3573" s="104" t="s">
        <v>141</v>
      </c>
    </row>
    <row r="3574" spans="1:29" ht="25.5" customHeight="1" x14ac:dyDescent="0.35">
      <c r="A3574" s="188"/>
      <c r="B3574" s="190"/>
      <c r="C3574" s="99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0"/>
      <c r="E3574" s="78" t="str">
        <f>IF(C3574="","",IFERROR(VLOOKUP(C3574,parametros!$A$11:$E$15,5,0),""))</f>
        <v/>
      </c>
      <c r="F3574" s="79" t="str">
        <f t="shared" si="277"/>
        <v/>
      </c>
      <c r="G3574" s="101"/>
      <c r="H3574" s="91">
        <f t="shared" si="278"/>
        <v>0</v>
      </c>
      <c r="I3574" s="91" t="str">
        <f t="shared" si="279"/>
        <v/>
      </c>
      <c r="J3574" s="91" t="str">
        <f t="shared" si="280"/>
        <v/>
      </c>
      <c r="K3574" s="92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2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58"/>
      <c r="U3574" s="217" t="str">
        <f t="shared" si="281"/>
        <v/>
      </c>
      <c r="V3574" s="215" t="s">
        <v>47</v>
      </c>
      <c r="W3574" s="102" t="s">
        <v>136</v>
      </c>
      <c r="X3574" s="102" t="s">
        <v>137</v>
      </c>
      <c r="Y3574" s="103" t="s">
        <v>138</v>
      </c>
      <c r="Z3574" s="103" t="s">
        <v>139</v>
      </c>
      <c r="AA3574" s="103" t="s">
        <v>47</v>
      </c>
      <c r="AB3574" s="103" t="s">
        <v>140</v>
      </c>
      <c r="AC3574" s="104" t="s">
        <v>141</v>
      </c>
    </row>
    <row r="3575" spans="1:29" ht="25.5" customHeight="1" x14ac:dyDescent="0.35">
      <c r="A3575" s="188"/>
      <c r="B3575" s="190"/>
      <c r="C3575" s="99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0"/>
      <c r="E3575" s="78" t="str">
        <f>IF(C3575="","",IFERROR(VLOOKUP(C3575,parametros!$A$11:$E$15,5,0),""))</f>
        <v/>
      </c>
      <c r="F3575" s="79" t="str">
        <f t="shared" si="277"/>
        <v/>
      </c>
      <c r="G3575" s="101"/>
      <c r="H3575" s="91">
        <f t="shared" si="278"/>
        <v>0</v>
      </c>
      <c r="I3575" s="91" t="str">
        <f t="shared" si="279"/>
        <v/>
      </c>
      <c r="J3575" s="91" t="str">
        <f t="shared" si="280"/>
        <v/>
      </c>
      <c r="K3575" s="92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2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58"/>
      <c r="U3575" s="217" t="str">
        <f t="shared" si="281"/>
        <v/>
      </c>
      <c r="V3575" s="215" t="s">
        <v>47</v>
      </c>
      <c r="W3575" s="102" t="s">
        <v>136</v>
      </c>
      <c r="X3575" s="102" t="s">
        <v>137</v>
      </c>
      <c r="Y3575" s="103" t="s">
        <v>138</v>
      </c>
      <c r="Z3575" s="103" t="s">
        <v>139</v>
      </c>
      <c r="AA3575" s="103" t="s">
        <v>47</v>
      </c>
      <c r="AB3575" s="103" t="s">
        <v>140</v>
      </c>
      <c r="AC3575" s="104" t="s">
        <v>141</v>
      </c>
    </row>
    <row r="3576" spans="1:29" ht="25.5" customHeight="1" x14ac:dyDescent="0.35">
      <c r="A3576" s="188"/>
      <c r="B3576" s="190"/>
      <c r="C3576" s="99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0"/>
      <c r="E3576" s="78" t="str">
        <f>IF(C3576="","",IFERROR(VLOOKUP(C3576,parametros!$A$11:$E$15,5,0),""))</f>
        <v/>
      </c>
      <c r="F3576" s="79" t="str">
        <f t="shared" si="277"/>
        <v/>
      </c>
      <c r="G3576" s="101"/>
      <c r="H3576" s="91">
        <f t="shared" si="278"/>
        <v>0</v>
      </c>
      <c r="I3576" s="91" t="str">
        <f t="shared" si="279"/>
        <v/>
      </c>
      <c r="J3576" s="91" t="str">
        <f t="shared" si="280"/>
        <v/>
      </c>
      <c r="K3576" s="92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2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58"/>
      <c r="U3576" s="217" t="str">
        <f t="shared" si="281"/>
        <v/>
      </c>
      <c r="V3576" s="215" t="s">
        <v>47</v>
      </c>
      <c r="W3576" s="102" t="s">
        <v>136</v>
      </c>
      <c r="X3576" s="102" t="s">
        <v>137</v>
      </c>
      <c r="Y3576" s="103" t="s">
        <v>138</v>
      </c>
      <c r="Z3576" s="103" t="s">
        <v>139</v>
      </c>
      <c r="AA3576" s="103" t="s">
        <v>47</v>
      </c>
      <c r="AB3576" s="103" t="s">
        <v>140</v>
      </c>
      <c r="AC3576" s="104" t="s">
        <v>141</v>
      </c>
    </row>
    <row r="3577" spans="1:29" ht="25.5" customHeight="1" x14ac:dyDescent="0.35">
      <c r="A3577" s="188"/>
      <c r="B3577" s="190"/>
      <c r="C3577" s="99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0"/>
      <c r="E3577" s="78" t="str">
        <f>IF(C3577="","",IFERROR(VLOOKUP(C3577,parametros!$A$11:$E$15,5,0),""))</f>
        <v/>
      </c>
      <c r="F3577" s="79" t="str">
        <f t="shared" si="277"/>
        <v/>
      </c>
      <c r="G3577" s="101"/>
      <c r="H3577" s="91">
        <f t="shared" si="278"/>
        <v>0</v>
      </c>
      <c r="I3577" s="91" t="str">
        <f t="shared" si="279"/>
        <v/>
      </c>
      <c r="J3577" s="91" t="str">
        <f t="shared" si="280"/>
        <v/>
      </c>
      <c r="K3577" s="92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2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58"/>
      <c r="U3577" s="217" t="str">
        <f t="shared" si="281"/>
        <v/>
      </c>
      <c r="V3577" s="215" t="s">
        <v>47</v>
      </c>
      <c r="W3577" s="102" t="s">
        <v>136</v>
      </c>
      <c r="X3577" s="102" t="s">
        <v>137</v>
      </c>
      <c r="Y3577" s="103" t="s">
        <v>138</v>
      </c>
      <c r="Z3577" s="103" t="s">
        <v>139</v>
      </c>
      <c r="AA3577" s="103" t="s">
        <v>47</v>
      </c>
      <c r="AB3577" s="103" t="s">
        <v>140</v>
      </c>
      <c r="AC3577" s="104" t="s">
        <v>141</v>
      </c>
    </row>
    <row r="3578" spans="1:29" ht="25.5" customHeight="1" x14ac:dyDescent="0.35">
      <c r="A3578" s="188"/>
      <c r="B3578" s="190"/>
      <c r="C3578" s="99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0"/>
      <c r="E3578" s="78" t="str">
        <f>IF(C3578="","",IFERROR(VLOOKUP(C3578,parametros!$A$11:$E$15,5,0),""))</f>
        <v/>
      </c>
      <c r="F3578" s="79" t="str">
        <f t="shared" si="277"/>
        <v/>
      </c>
      <c r="G3578" s="101"/>
      <c r="H3578" s="91">
        <f t="shared" si="278"/>
        <v>0</v>
      </c>
      <c r="I3578" s="91" t="str">
        <f t="shared" si="279"/>
        <v/>
      </c>
      <c r="J3578" s="91" t="str">
        <f t="shared" si="280"/>
        <v/>
      </c>
      <c r="K3578" s="92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2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58"/>
      <c r="U3578" s="217" t="str">
        <f t="shared" si="281"/>
        <v/>
      </c>
      <c r="V3578" s="215" t="s">
        <v>47</v>
      </c>
      <c r="W3578" s="102" t="s">
        <v>136</v>
      </c>
      <c r="X3578" s="102" t="s">
        <v>137</v>
      </c>
      <c r="Y3578" s="103" t="s">
        <v>138</v>
      </c>
      <c r="Z3578" s="103" t="s">
        <v>139</v>
      </c>
      <c r="AA3578" s="103" t="s">
        <v>47</v>
      </c>
      <c r="AB3578" s="103" t="s">
        <v>140</v>
      </c>
      <c r="AC3578" s="104" t="s">
        <v>141</v>
      </c>
    </row>
    <row r="3579" spans="1:29" ht="25.5" customHeight="1" x14ac:dyDescent="0.35">
      <c r="A3579" s="188"/>
      <c r="B3579" s="190"/>
      <c r="C3579" s="99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0"/>
      <c r="E3579" s="78" t="str">
        <f>IF(C3579="","",IFERROR(VLOOKUP(C3579,parametros!$A$11:$E$15,5,0),""))</f>
        <v/>
      </c>
      <c r="F3579" s="79" t="str">
        <f t="shared" si="277"/>
        <v/>
      </c>
      <c r="G3579" s="101"/>
      <c r="H3579" s="91">
        <f t="shared" si="278"/>
        <v>0</v>
      </c>
      <c r="I3579" s="91" t="str">
        <f t="shared" si="279"/>
        <v/>
      </c>
      <c r="J3579" s="91" t="str">
        <f t="shared" si="280"/>
        <v/>
      </c>
      <c r="K3579" s="92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2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58"/>
      <c r="U3579" s="217" t="str">
        <f t="shared" si="281"/>
        <v/>
      </c>
      <c r="V3579" s="215" t="s">
        <v>47</v>
      </c>
      <c r="W3579" s="102" t="s">
        <v>136</v>
      </c>
      <c r="X3579" s="102" t="s">
        <v>137</v>
      </c>
      <c r="Y3579" s="103" t="s">
        <v>138</v>
      </c>
      <c r="Z3579" s="103" t="s">
        <v>139</v>
      </c>
      <c r="AA3579" s="103" t="s">
        <v>47</v>
      </c>
      <c r="AB3579" s="103" t="s">
        <v>140</v>
      </c>
      <c r="AC3579" s="104" t="s">
        <v>141</v>
      </c>
    </row>
    <row r="3580" spans="1:29" ht="25.5" customHeight="1" x14ac:dyDescent="0.35">
      <c r="A3580" s="188"/>
      <c r="B3580" s="190"/>
      <c r="C3580" s="99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0"/>
      <c r="E3580" s="78" t="str">
        <f>IF(C3580="","",IFERROR(VLOOKUP(C3580,parametros!$A$11:$E$15,5,0),""))</f>
        <v/>
      </c>
      <c r="F3580" s="79" t="str">
        <f t="shared" si="277"/>
        <v/>
      </c>
      <c r="G3580" s="101"/>
      <c r="H3580" s="91">
        <f t="shared" si="278"/>
        <v>0</v>
      </c>
      <c r="I3580" s="91" t="str">
        <f t="shared" si="279"/>
        <v/>
      </c>
      <c r="J3580" s="91" t="str">
        <f t="shared" si="280"/>
        <v/>
      </c>
      <c r="K3580" s="92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2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58"/>
      <c r="U3580" s="217" t="str">
        <f t="shared" si="281"/>
        <v/>
      </c>
      <c r="V3580" s="215" t="s">
        <v>47</v>
      </c>
      <c r="W3580" s="102" t="s">
        <v>136</v>
      </c>
      <c r="X3580" s="102" t="s">
        <v>137</v>
      </c>
      <c r="Y3580" s="103" t="s">
        <v>138</v>
      </c>
      <c r="Z3580" s="103" t="s">
        <v>139</v>
      </c>
      <c r="AA3580" s="103" t="s">
        <v>47</v>
      </c>
      <c r="AB3580" s="103" t="s">
        <v>140</v>
      </c>
      <c r="AC3580" s="104" t="s">
        <v>141</v>
      </c>
    </row>
    <row r="3581" spans="1:29" ht="25.5" customHeight="1" x14ac:dyDescent="0.35">
      <c r="A3581" s="188"/>
      <c r="B3581" s="190"/>
      <c r="C3581" s="99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0"/>
      <c r="E3581" s="78" t="str">
        <f>IF(C3581="","",IFERROR(VLOOKUP(C3581,parametros!$A$11:$E$15,5,0),""))</f>
        <v/>
      </c>
      <c r="F3581" s="79" t="str">
        <f t="shared" si="277"/>
        <v/>
      </c>
      <c r="G3581" s="101"/>
      <c r="H3581" s="91">
        <f t="shared" si="278"/>
        <v>0</v>
      </c>
      <c r="I3581" s="91" t="str">
        <f t="shared" si="279"/>
        <v/>
      </c>
      <c r="J3581" s="91" t="str">
        <f t="shared" si="280"/>
        <v/>
      </c>
      <c r="K3581" s="92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2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58"/>
      <c r="U3581" s="217" t="str">
        <f t="shared" si="281"/>
        <v/>
      </c>
      <c r="V3581" s="215" t="s">
        <v>47</v>
      </c>
      <c r="W3581" s="102" t="s">
        <v>136</v>
      </c>
      <c r="X3581" s="102" t="s">
        <v>137</v>
      </c>
      <c r="Y3581" s="103" t="s">
        <v>138</v>
      </c>
      <c r="Z3581" s="103" t="s">
        <v>139</v>
      </c>
      <c r="AA3581" s="103" t="s">
        <v>47</v>
      </c>
      <c r="AB3581" s="103" t="s">
        <v>140</v>
      </c>
      <c r="AC3581" s="104" t="s">
        <v>141</v>
      </c>
    </row>
    <row r="3582" spans="1:29" ht="25.5" customHeight="1" x14ac:dyDescent="0.35">
      <c r="A3582" s="188"/>
      <c r="B3582" s="190"/>
      <c r="C3582" s="99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0"/>
      <c r="E3582" s="78" t="str">
        <f>IF(C3582="","",IFERROR(VLOOKUP(C3582,parametros!$A$11:$E$15,5,0),""))</f>
        <v/>
      </c>
      <c r="F3582" s="79" t="str">
        <f t="shared" si="277"/>
        <v/>
      </c>
      <c r="G3582" s="101"/>
      <c r="H3582" s="91">
        <f t="shared" si="278"/>
        <v>0</v>
      </c>
      <c r="I3582" s="91" t="str">
        <f t="shared" si="279"/>
        <v/>
      </c>
      <c r="J3582" s="91" t="str">
        <f t="shared" si="280"/>
        <v/>
      </c>
      <c r="K3582" s="92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2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58"/>
      <c r="U3582" s="217" t="str">
        <f t="shared" si="281"/>
        <v/>
      </c>
      <c r="V3582" s="215" t="s">
        <v>47</v>
      </c>
      <c r="W3582" s="102" t="s">
        <v>136</v>
      </c>
      <c r="X3582" s="102" t="s">
        <v>137</v>
      </c>
      <c r="Y3582" s="103" t="s">
        <v>138</v>
      </c>
      <c r="Z3582" s="103" t="s">
        <v>139</v>
      </c>
      <c r="AA3582" s="103" t="s">
        <v>47</v>
      </c>
      <c r="AB3582" s="103" t="s">
        <v>140</v>
      </c>
      <c r="AC3582" s="104" t="s">
        <v>141</v>
      </c>
    </row>
    <row r="3583" spans="1:29" ht="25.5" customHeight="1" x14ac:dyDescent="0.35">
      <c r="A3583" s="188"/>
      <c r="B3583" s="190"/>
      <c r="C3583" s="99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0"/>
      <c r="E3583" s="78" t="str">
        <f>IF(C3583="","",IFERROR(VLOOKUP(C3583,parametros!$A$11:$E$15,5,0),""))</f>
        <v/>
      </c>
      <c r="F3583" s="79" t="str">
        <f t="shared" si="277"/>
        <v/>
      </c>
      <c r="G3583" s="101"/>
      <c r="H3583" s="91">
        <f t="shared" si="278"/>
        <v>0</v>
      </c>
      <c r="I3583" s="91" t="str">
        <f t="shared" si="279"/>
        <v/>
      </c>
      <c r="J3583" s="91" t="str">
        <f t="shared" si="280"/>
        <v/>
      </c>
      <c r="K3583" s="92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2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58"/>
      <c r="U3583" s="217" t="str">
        <f t="shared" si="281"/>
        <v/>
      </c>
      <c r="V3583" s="215" t="s">
        <v>47</v>
      </c>
      <c r="W3583" s="102" t="s">
        <v>136</v>
      </c>
      <c r="X3583" s="102" t="s">
        <v>137</v>
      </c>
      <c r="Y3583" s="103" t="s">
        <v>138</v>
      </c>
      <c r="Z3583" s="103" t="s">
        <v>139</v>
      </c>
      <c r="AA3583" s="103" t="s">
        <v>47</v>
      </c>
      <c r="AB3583" s="103" t="s">
        <v>140</v>
      </c>
      <c r="AC3583" s="104" t="s">
        <v>141</v>
      </c>
    </row>
    <row r="3584" spans="1:29" ht="25.5" customHeight="1" x14ac:dyDescent="0.35">
      <c r="A3584" s="188"/>
      <c r="B3584" s="190"/>
      <c r="C3584" s="99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0"/>
      <c r="E3584" s="78" t="str">
        <f>IF(C3584="","",IFERROR(VLOOKUP(C3584,parametros!$A$11:$E$15,5,0),""))</f>
        <v/>
      </c>
      <c r="F3584" s="79" t="str">
        <f t="shared" si="277"/>
        <v/>
      </c>
      <c r="G3584" s="101"/>
      <c r="H3584" s="91">
        <f t="shared" si="278"/>
        <v>0</v>
      </c>
      <c r="I3584" s="91" t="str">
        <f t="shared" si="279"/>
        <v/>
      </c>
      <c r="J3584" s="91" t="str">
        <f t="shared" si="280"/>
        <v/>
      </c>
      <c r="K3584" s="92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2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58"/>
      <c r="U3584" s="217" t="str">
        <f t="shared" si="281"/>
        <v/>
      </c>
      <c r="V3584" s="215" t="s">
        <v>47</v>
      </c>
      <c r="W3584" s="102" t="s">
        <v>136</v>
      </c>
      <c r="X3584" s="102" t="s">
        <v>137</v>
      </c>
      <c r="Y3584" s="103" t="s">
        <v>138</v>
      </c>
      <c r="Z3584" s="103" t="s">
        <v>139</v>
      </c>
      <c r="AA3584" s="103" t="s">
        <v>47</v>
      </c>
      <c r="AB3584" s="103" t="s">
        <v>140</v>
      </c>
      <c r="AC3584" s="104" t="s">
        <v>141</v>
      </c>
    </row>
    <row r="3585" spans="1:29" ht="25.5" customHeight="1" x14ac:dyDescent="0.35">
      <c r="A3585" s="188"/>
      <c r="B3585" s="190"/>
      <c r="C3585" s="99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0"/>
      <c r="E3585" s="78" t="str">
        <f>IF(C3585="","",IFERROR(VLOOKUP(C3585,parametros!$A$11:$E$15,5,0),""))</f>
        <v/>
      </c>
      <c r="F3585" s="79" t="str">
        <f t="shared" si="277"/>
        <v/>
      </c>
      <c r="G3585" s="101"/>
      <c r="H3585" s="91">
        <f t="shared" si="278"/>
        <v>0</v>
      </c>
      <c r="I3585" s="91" t="str">
        <f t="shared" si="279"/>
        <v/>
      </c>
      <c r="J3585" s="91" t="str">
        <f t="shared" si="280"/>
        <v/>
      </c>
      <c r="K3585" s="92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2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58"/>
      <c r="U3585" s="217" t="str">
        <f t="shared" si="281"/>
        <v/>
      </c>
      <c r="V3585" s="215" t="s">
        <v>47</v>
      </c>
      <c r="W3585" s="102" t="s">
        <v>136</v>
      </c>
      <c r="X3585" s="102" t="s">
        <v>137</v>
      </c>
      <c r="Y3585" s="103" t="s">
        <v>138</v>
      </c>
      <c r="Z3585" s="103" t="s">
        <v>139</v>
      </c>
      <c r="AA3585" s="103" t="s">
        <v>47</v>
      </c>
      <c r="AB3585" s="103" t="s">
        <v>140</v>
      </c>
      <c r="AC3585" s="104" t="s">
        <v>141</v>
      </c>
    </row>
    <row r="3586" spans="1:29" ht="25.5" customHeight="1" x14ac:dyDescent="0.35">
      <c r="A3586" s="188"/>
      <c r="B3586" s="190"/>
      <c r="C3586" s="99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0"/>
      <c r="E3586" s="78" t="str">
        <f>IF(C3586="","",IFERROR(VLOOKUP(C3586,parametros!$A$11:$E$15,5,0),""))</f>
        <v/>
      </c>
      <c r="F3586" s="79" t="str">
        <f t="shared" ref="F3586:F3649" si="282">IF(OR(D3586="",E3586=""),"",ROUND(D3586*E3586,2))</f>
        <v/>
      </c>
      <c r="G3586" s="101"/>
      <c r="H3586" s="91">
        <f t="shared" ref="H3586:H3649" si="283">IF(G3586="Sim",IF(OR(F3586="",D3586="",L3586=""),"",IF(L3586="Sim",ROUND(F3586-D3586,2),0)),0)</f>
        <v>0</v>
      </c>
      <c r="I3586" s="91" t="str">
        <f t="shared" ref="I3586:I3649" si="284">IF(G3586="Sim",0,IF(OR(F3586="",L3586=""),"",F3586))</f>
        <v/>
      </c>
      <c r="J3586" s="91" t="str">
        <f t="shared" ref="J3586:J3649" si="285">IF(G3586="Sim",0,IF(OR(F3586="",D3586="",L3586=""),"",IF(L3586="Sim",ROUND(F3586-D3586,2),0)))</f>
        <v/>
      </c>
      <c r="K3586" s="92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2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58"/>
      <c r="U3586" s="217" t="str">
        <f t="shared" ref="U3586:U3649" si="286">IF(OR($D3586="",$H3586=""),"",ROUND($D3586+$H3586,2))</f>
        <v/>
      </c>
      <c r="V3586" s="215" t="s">
        <v>47</v>
      </c>
      <c r="W3586" s="102" t="s">
        <v>136</v>
      </c>
      <c r="X3586" s="102" t="s">
        <v>137</v>
      </c>
      <c r="Y3586" s="103" t="s">
        <v>138</v>
      </c>
      <c r="Z3586" s="103" t="s">
        <v>139</v>
      </c>
      <c r="AA3586" s="103" t="s">
        <v>47</v>
      </c>
      <c r="AB3586" s="103" t="s">
        <v>140</v>
      </c>
      <c r="AC3586" s="104" t="s">
        <v>141</v>
      </c>
    </row>
    <row r="3587" spans="1:29" ht="25.5" customHeight="1" x14ac:dyDescent="0.35">
      <c r="A3587" s="188"/>
      <c r="B3587" s="190"/>
      <c r="C3587" s="99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0"/>
      <c r="E3587" s="78" t="str">
        <f>IF(C3587="","",IFERROR(VLOOKUP(C3587,parametros!$A$11:$E$15,5,0),""))</f>
        <v/>
      </c>
      <c r="F3587" s="79" t="str">
        <f t="shared" si="282"/>
        <v/>
      </c>
      <c r="G3587" s="101"/>
      <c r="H3587" s="91">
        <f t="shared" si="283"/>
        <v>0</v>
      </c>
      <c r="I3587" s="91" t="str">
        <f t="shared" si="284"/>
        <v/>
      </c>
      <c r="J3587" s="91" t="str">
        <f t="shared" si="285"/>
        <v/>
      </c>
      <c r="K3587" s="92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2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58"/>
      <c r="U3587" s="217" t="str">
        <f t="shared" si="286"/>
        <v/>
      </c>
      <c r="V3587" s="215" t="s">
        <v>47</v>
      </c>
      <c r="W3587" s="102" t="s">
        <v>136</v>
      </c>
      <c r="X3587" s="102" t="s">
        <v>137</v>
      </c>
      <c r="Y3587" s="103" t="s">
        <v>138</v>
      </c>
      <c r="Z3587" s="103" t="s">
        <v>139</v>
      </c>
      <c r="AA3587" s="103" t="s">
        <v>47</v>
      </c>
      <c r="AB3587" s="103" t="s">
        <v>140</v>
      </c>
      <c r="AC3587" s="104" t="s">
        <v>141</v>
      </c>
    </row>
    <row r="3588" spans="1:29" ht="25.5" customHeight="1" x14ac:dyDescent="0.35">
      <c r="A3588" s="188"/>
      <c r="B3588" s="190"/>
      <c r="C3588" s="99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0"/>
      <c r="E3588" s="78" t="str">
        <f>IF(C3588="","",IFERROR(VLOOKUP(C3588,parametros!$A$11:$E$15,5,0),""))</f>
        <v/>
      </c>
      <c r="F3588" s="79" t="str">
        <f t="shared" si="282"/>
        <v/>
      </c>
      <c r="G3588" s="101"/>
      <c r="H3588" s="91">
        <f t="shared" si="283"/>
        <v>0</v>
      </c>
      <c r="I3588" s="91" t="str">
        <f t="shared" si="284"/>
        <v/>
      </c>
      <c r="J3588" s="91" t="str">
        <f t="shared" si="285"/>
        <v/>
      </c>
      <c r="K3588" s="92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2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58"/>
      <c r="U3588" s="217" t="str">
        <f t="shared" si="286"/>
        <v/>
      </c>
      <c r="V3588" s="215" t="s">
        <v>47</v>
      </c>
      <c r="W3588" s="102" t="s">
        <v>136</v>
      </c>
      <c r="X3588" s="102" t="s">
        <v>137</v>
      </c>
      <c r="Y3588" s="103" t="s">
        <v>138</v>
      </c>
      <c r="Z3588" s="103" t="s">
        <v>139</v>
      </c>
      <c r="AA3588" s="103" t="s">
        <v>47</v>
      </c>
      <c r="AB3588" s="103" t="s">
        <v>140</v>
      </c>
      <c r="AC3588" s="104" t="s">
        <v>141</v>
      </c>
    </row>
    <row r="3589" spans="1:29" ht="25.5" customHeight="1" x14ac:dyDescent="0.35">
      <c r="A3589" s="188"/>
      <c r="B3589" s="190"/>
      <c r="C3589" s="99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0"/>
      <c r="E3589" s="78" t="str">
        <f>IF(C3589="","",IFERROR(VLOOKUP(C3589,parametros!$A$11:$E$15,5,0),""))</f>
        <v/>
      </c>
      <c r="F3589" s="79" t="str">
        <f t="shared" si="282"/>
        <v/>
      </c>
      <c r="G3589" s="101"/>
      <c r="H3589" s="91">
        <f t="shared" si="283"/>
        <v>0</v>
      </c>
      <c r="I3589" s="91" t="str">
        <f t="shared" si="284"/>
        <v/>
      </c>
      <c r="J3589" s="91" t="str">
        <f t="shared" si="285"/>
        <v/>
      </c>
      <c r="K3589" s="92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2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58"/>
      <c r="U3589" s="217" t="str">
        <f t="shared" si="286"/>
        <v/>
      </c>
      <c r="V3589" s="215" t="s">
        <v>47</v>
      </c>
      <c r="W3589" s="102" t="s">
        <v>136</v>
      </c>
      <c r="X3589" s="102" t="s">
        <v>137</v>
      </c>
      <c r="Y3589" s="103" t="s">
        <v>138</v>
      </c>
      <c r="Z3589" s="103" t="s">
        <v>139</v>
      </c>
      <c r="AA3589" s="103" t="s">
        <v>47</v>
      </c>
      <c r="AB3589" s="103" t="s">
        <v>140</v>
      </c>
      <c r="AC3589" s="104" t="s">
        <v>141</v>
      </c>
    </row>
    <row r="3590" spans="1:29" ht="25.5" customHeight="1" x14ac:dyDescent="0.35">
      <c r="A3590" s="188"/>
      <c r="B3590" s="190"/>
      <c r="C3590" s="99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0"/>
      <c r="E3590" s="78" t="str">
        <f>IF(C3590="","",IFERROR(VLOOKUP(C3590,parametros!$A$11:$E$15,5,0),""))</f>
        <v/>
      </c>
      <c r="F3590" s="79" t="str">
        <f t="shared" si="282"/>
        <v/>
      </c>
      <c r="G3590" s="101"/>
      <c r="H3590" s="91">
        <f t="shared" si="283"/>
        <v>0</v>
      </c>
      <c r="I3590" s="91" t="str">
        <f t="shared" si="284"/>
        <v/>
      </c>
      <c r="J3590" s="91" t="str">
        <f t="shared" si="285"/>
        <v/>
      </c>
      <c r="K3590" s="92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2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58"/>
      <c r="U3590" s="217" t="str">
        <f t="shared" si="286"/>
        <v/>
      </c>
      <c r="V3590" s="215" t="s">
        <v>47</v>
      </c>
      <c r="W3590" s="102" t="s">
        <v>136</v>
      </c>
      <c r="X3590" s="102" t="s">
        <v>137</v>
      </c>
      <c r="Y3590" s="103" t="s">
        <v>138</v>
      </c>
      <c r="Z3590" s="103" t="s">
        <v>139</v>
      </c>
      <c r="AA3590" s="103" t="s">
        <v>47</v>
      </c>
      <c r="AB3590" s="103" t="s">
        <v>140</v>
      </c>
      <c r="AC3590" s="104" t="s">
        <v>141</v>
      </c>
    </row>
    <row r="3591" spans="1:29" ht="25.5" customHeight="1" x14ac:dyDescent="0.35">
      <c r="A3591" s="188"/>
      <c r="B3591" s="190"/>
      <c r="C3591" s="99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0"/>
      <c r="E3591" s="78" t="str">
        <f>IF(C3591="","",IFERROR(VLOOKUP(C3591,parametros!$A$11:$E$15,5,0),""))</f>
        <v/>
      </c>
      <c r="F3591" s="79" t="str">
        <f t="shared" si="282"/>
        <v/>
      </c>
      <c r="G3591" s="101"/>
      <c r="H3591" s="91">
        <f t="shared" si="283"/>
        <v>0</v>
      </c>
      <c r="I3591" s="91" t="str">
        <f t="shared" si="284"/>
        <v/>
      </c>
      <c r="J3591" s="91" t="str">
        <f t="shared" si="285"/>
        <v/>
      </c>
      <c r="K3591" s="92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2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58"/>
      <c r="U3591" s="217" t="str">
        <f t="shared" si="286"/>
        <v/>
      </c>
      <c r="V3591" s="215" t="s">
        <v>47</v>
      </c>
      <c r="W3591" s="102" t="s">
        <v>136</v>
      </c>
      <c r="X3591" s="102" t="s">
        <v>137</v>
      </c>
      <c r="Y3591" s="103" t="s">
        <v>138</v>
      </c>
      <c r="Z3591" s="103" t="s">
        <v>139</v>
      </c>
      <c r="AA3591" s="103" t="s">
        <v>47</v>
      </c>
      <c r="AB3591" s="103" t="s">
        <v>140</v>
      </c>
      <c r="AC3591" s="104" t="s">
        <v>141</v>
      </c>
    </row>
    <row r="3592" spans="1:29" ht="25.5" customHeight="1" x14ac:dyDescent="0.35">
      <c r="A3592" s="188"/>
      <c r="B3592" s="190"/>
      <c r="C3592" s="99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0"/>
      <c r="E3592" s="78" t="str">
        <f>IF(C3592="","",IFERROR(VLOOKUP(C3592,parametros!$A$11:$E$15,5,0),""))</f>
        <v/>
      </c>
      <c r="F3592" s="79" t="str">
        <f t="shared" si="282"/>
        <v/>
      </c>
      <c r="G3592" s="101"/>
      <c r="H3592" s="91">
        <f t="shared" si="283"/>
        <v>0</v>
      </c>
      <c r="I3592" s="91" t="str">
        <f t="shared" si="284"/>
        <v/>
      </c>
      <c r="J3592" s="91" t="str">
        <f t="shared" si="285"/>
        <v/>
      </c>
      <c r="K3592" s="92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2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58"/>
      <c r="U3592" s="217" t="str">
        <f t="shared" si="286"/>
        <v/>
      </c>
      <c r="V3592" s="215" t="s">
        <v>47</v>
      </c>
      <c r="W3592" s="102" t="s">
        <v>136</v>
      </c>
      <c r="X3592" s="102" t="s">
        <v>137</v>
      </c>
      <c r="Y3592" s="103" t="s">
        <v>138</v>
      </c>
      <c r="Z3592" s="103" t="s">
        <v>139</v>
      </c>
      <c r="AA3592" s="103" t="s">
        <v>47</v>
      </c>
      <c r="AB3592" s="103" t="s">
        <v>140</v>
      </c>
      <c r="AC3592" s="104" t="s">
        <v>141</v>
      </c>
    </row>
    <row r="3593" spans="1:29" ht="25.5" customHeight="1" x14ac:dyDescent="0.35">
      <c r="A3593" s="188"/>
      <c r="B3593" s="190"/>
      <c r="C3593" s="99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0"/>
      <c r="E3593" s="78" t="str">
        <f>IF(C3593="","",IFERROR(VLOOKUP(C3593,parametros!$A$11:$E$15,5,0),""))</f>
        <v/>
      </c>
      <c r="F3593" s="79" t="str">
        <f t="shared" si="282"/>
        <v/>
      </c>
      <c r="G3593" s="101"/>
      <c r="H3593" s="91">
        <f t="shared" si="283"/>
        <v>0</v>
      </c>
      <c r="I3593" s="91" t="str">
        <f t="shared" si="284"/>
        <v/>
      </c>
      <c r="J3593" s="91" t="str">
        <f t="shared" si="285"/>
        <v/>
      </c>
      <c r="K3593" s="92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2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58"/>
      <c r="U3593" s="217" t="str">
        <f t="shared" si="286"/>
        <v/>
      </c>
      <c r="V3593" s="215" t="s">
        <v>47</v>
      </c>
      <c r="W3593" s="102" t="s">
        <v>136</v>
      </c>
      <c r="X3593" s="102" t="s">
        <v>137</v>
      </c>
      <c r="Y3593" s="103" t="s">
        <v>138</v>
      </c>
      <c r="Z3593" s="103" t="s">
        <v>139</v>
      </c>
      <c r="AA3593" s="103" t="s">
        <v>47</v>
      </c>
      <c r="AB3593" s="103" t="s">
        <v>140</v>
      </c>
      <c r="AC3593" s="104" t="s">
        <v>141</v>
      </c>
    </row>
    <row r="3594" spans="1:29" ht="25.5" customHeight="1" x14ac:dyDescent="0.35">
      <c r="A3594" s="188"/>
      <c r="B3594" s="190"/>
      <c r="C3594" s="99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0"/>
      <c r="E3594" s="78" t="str">
        <f>IF(C3594="","",IFERROR(VLOOKUP(C3594,parametros!$A$11:$E$15,5,0),""))</f>
        <v/>
      </c>
      <c r="F3594" s="79" t="str">
        <f t="shared" si="282"/>
        <v/>
      </c>
      <c r="G3594" s="101"/>
      <c r="H3594" s="91">
        <f t="shared" si="283"/>
        <v>0</v>
      </c>
      <c r="I3594" s="91" t="str">
        <f t="shared" si="284"/>
        <v/>
      </c>
      <c r="J3594" s="91" t="str">
        <f t="shared" si="285"/>
        <v/>
      </c>
      <c r="K3594" s="92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2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58"/>
      <c r="U3594" s="217" t="str">
        <f t="shared" si="286"/>
        <v/>
      </c>
      <c r="V3594" s="215" t="s">
        <v>47</v>
      </c>
      <c r="W3594" s="102" t="s">
        <v>136</v>
      </c>
      <c r="X3594" s="102" t="s">
        <v>137</v>
      </c>
      <c r="Y3594" s="103" t="s">
        <v>138</v>
      </c>
      <c r="Z3594" s="103" t="s">
        <v>139</v>
      </c>
      <c r="AA3594" s="103" t="s">
        <v>47</v>
      </c>
      <c r="AB3594" s="103" t="s">
        <v>140</v>
      </c>
      <c r="AC3594" s="104" t="s">
        <v>141</v>
      </c>
    </row>
    <row r="3595" spans="1:29" ht="25.5" customHeight="1" x14ac:dyDescent="0.35">
      <c r="A3595" s="188"/>
      <c r="B3595" s="190"/>
      <c r="C3595" s="99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0"/>
      <c r="E3595" s="78" t="str">
        <f>IF(C3595="","",IFERROR(VLOOKUP(C3595,parametros!$A$11:$E$15,5,0),""))</f>
        <v/>
      </c>
      <c r="F3595" s="79" t="str">
        <f t="shared" si="282"/>
        <v/>
      </c>
      <c r="G3595" s="101"/>
      <c r="H3595" s="91">
        <f t="shared" si="283"/>
        <v>0</v>
      </c>
      <c r="I3595" s="91" t="str">
        <f t="shared" si="284"/>
        <v/>
      </c>
      <c r="J3595" s="91" t="str">
        <f t="shared" si="285"/>
        <v/>
      </c>
      <c r="K3595" s="92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2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58"/>
      <c r="U3595" s="217" t="str">
        <f t="shared" si="286"/>
        <v/>
      </c>
      <c r="V3595" s="215" t="s">
        <v>47</v>
      </c>
      <c r="W3595" s="102" t="s">
        <v>136</v>
      </c>
      <c r="X3595" s="102" t="s">
        <v>137</v>
      </c>
      <c r="Y3595" s="103" t="s">
        <v>138</v>
      </c>
      <c r="Z3595" s="103" t="s">
        <v>139</v>
      </c>
      <c r="AA3595" s="103" t="s">
        <v>47</v>
      </c>
      <c r="AB3595" s="103" t="s">
        <v>140</v>
      </c>
      <c r="AC3595" s="104" t="s">
        <v>141</v>
      </c>
    </row>
    <row r="3596" spans="1:29" ht="25.5" customHeight="1" x14ac:dyDescent="0.35">
      <c r="A3596" s="188"/>
      <c r="B3596" s="190"/>
      <c r="C3596" s="99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0"/>
      <c r="E3596" s="78" t="str">
        <f>IF(C3596="","",IFERROR(VLOOKUP(C3596,parametros!$A$11:$E$15,5,0),""))</f>
        <v/>
      </c>
      <c r="F3596" s="79" t="str">
        <f t="shared" si="282"/>
        <v/>
      </c>
      <c r="G3596" s="101"/>
      <c r="H3596" s="91">
        <f t="shared" si="283"/>
        <v>0</v>
      </c>
      <c r="I3596" s="91" t="str">
        <f t="shared" si="284"/>
        <v/>
      </c>
      <c r="J3596" s="91" t="str">
        <f t="shared" si="285"/>
        <v/>
      </c>
      <c r="K3596" s="92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2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58"/>
      <c r="U3596" s="217" t="str">
        <f t="shared" si="286"/>
        <v/>
      </c>
      <c r="V3596" s="215" t="s">
        <v>47</v>
      </c>
      <c r="W3596" s="102" t="s">
        <v>136</v>
      </c>
      <c r="X3596" s="102" t="s">
        <v>137</v>
      </c>
      <c r="Y3596" s="103" t="s">
        <v>138</v>
      </c>
      <c r="Z3596" s="103" t="s">
        <v>139</v>
      </c>
      <c r="AA3596" s="103" t="s">
        <v>47</v>
      </c>
      <c r="AB3596" s="103" t="s">
        <v>140</v>
      </c>
      <c r="AC3596" s="104" t="s">
        <v>141</v>
      </c>
    </row>
    <row r="3597" spans="1:29" ht="25.5" customHeight="1" x14ac:dyDescent="0.35">
      <c r="A3597" s="188"/>
      <c r="B3597" s="190"/>
      <c r="C3597" s="99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0"/>
      <c r="E3597" s="78" t="str">
        <f>IF(C3597="","",IFERROR(VLOOKUP(C3597,parametros!$A$11:$E$15,5,0),""))</f>
        <v/>
      </c>
      <c r="F3597" s="79" t="str">
        <f t="shared" si="282"/>
        <v/>
      </c>
      <c r="G3597" s="101"/>
      <c r="H3597" s="91">
        <f t="shared" si="283"/>
        <v>0</v>
      </c>
      <c r="I3597" s="91" t="str">
        <f t="shared" si="284"/>
        <v/>
      </c>
      <c r="J3597" s="91" t="str">
        <f t="shared" si="285"/>
        <v/>
      </c>
      <c r="K3597" s="92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2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58"/>
      <c r="U3597" s="217" t="str">
        <f t="shared" si="286"/>
        <v/>
      </c>
      <c r="V3597" s="215" t="s">
        <v>47</v>
      </c>
      <c r="W3597" s="102" t="s">
        <v>136</v>
      </c>
      <c r="X3597" s="102" t="s">
        <v>137</v>
      </c>
      <c r="Y3597" s="103" t="s">
        <v>138</v>
      </c>
      <c r="Z3597" s="103" t="s">
        <v>139</v>
      </c>
      <c r="AA3597" s="103" t="s">
        <v>47</v>
      </c>
      <c r="AB3597" s="103" t="s">
        <v>140</v>
      </c>
      <c r="AC3597" s="104" t="s">
        <v>141</v>
      </c>
    </row>
    <row r="3598" spans="1:29" ht="25.5" customHeight="1" x14ac:dyDescent="0.35">
      <c r="A3598" s="188"/>
      <c r="B3598" s="190"/>
      <c r="C3598" s="99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0"/>
      <c r="E3598" s="78" t="str">
        <f>IF(C3598="","",IFERROR(VLOOKUP(C3598,parametros!$A$11:$E$15,5,0),""))</f>
        <v/>
      </c>
      <c r="F3598" s="79" t="str">
        <f t="shared" si="282"/>
        <v/>
      </c>
      <c r="G3598" s="101"/>
      <c r="H3598" s="91">
        <f t="shared" si="283"/>
        <v>0</v>
      </c>
      <c r="I3598" s="91" t="str">
        <f t="shared" si="284"/>
        <v/>
      </c>
      <c r="J3598" s="91" t="str">
        <f t="shared" si="285"/>
        <v/>
      </c>
      <c r="K3598" s="92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2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58"/>
      <c r="U3598" s="217" t="str">
        <f t="shared" si="286"/>
        <v/>
      </c>
      <c r="V3598" s="215" t="s">
        <v>47</v>
      </c>
      <c r="W3598" s="102" t="s">
        <v>136</v>
      </c>
      <c r="X3598" s="102" t="s">
        <v>137</v>
      </c>
      <c r="Y3598" s="103" t="s">
        <v>138</v>
      </c>
      <c r="Z3598" s="103" t="s">
        <v>139</v>
      </c>
      <c r="AA3598" s="103" t="s">
        <v>47</v>
      </c>
      <c r="AB3598" s="103" t="s">
        <v>140</v>
      </c>
      <c r="AC3598" s="104" t="s">
        <v>141</v>
      </c>
    </row>
    <row r="3599" spans="1:29" ht="25.5" customHeight="1" x14ac:dyDescent="0.35">
      <c r="A3599" s="188"/>
      <c r="B3599" s="190"/>
      <c r="C3599" s="99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0"/>
      <c r="E3599" s="78" t="str">
        <f>IF(C3599="","",IFERROR(VLOOKUP(C3599,parametros!$A$11:$E$15,5,0),""))</f>
        <v/>
      </c>
      <c r="F3599" s="79" t="str">
        <f t="shared" si="282"/>
        <v/>
      </c>
      <c r="G3599" s="101"/>
      <c r="H3599" s="91">
        <f t="shared" si="283"/>
        <v>0</v>
      </c>
      <c r="I3599" s="91" t="str">
        <f t="shared" si="284"/>
        <v/>
      </c>
      <c r="J3599" s="91" t="str">
        <f t="shared" si="285"/>
        <v/>
      </c>
      <c r="K3599" s="92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2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58"/>
      <c r="U3599" s="217" t="str">
        <f t="shared" si="286"/>
        <v/>
      </c>
      <c r="V3599" s="215" t="s">
        <v>47</v>
      </c>
      <c r="W3599" s="102" t="s">
        <v>136</v>
      </c>
      <c r="X3599" s="102" t="s">
        <v>137</v>
      </c>
      <c r="Y3599" s="103" t="s">
        <v>138</v>
      </c>
      <c r="Z3599" s="103" t="s">
        <v>139</v>
      </c>
      <c r="AA3599" s="103" t="s">
        <v>47</v>
      </c>
      <c r="AB3599" s="103" t="s">
        <v>140</v>
      </c>
      <c r="AC3599" s="104" t="s">
        <v>141</v>
      </c>
    </row>
    <row r="3600" spans="1:29" ht="25.5" customHeight="1" x14ac:dyDescent="0.35">
      <c r="A3600" s="188"/>
      <c r="B3600" s="190"/>
      <c r="C3600" s="99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0"/>
      <c r="E3600" s="78" t="str">
        <f>IF(C3600="","",IFERROR(VLOOKUP(C3600,parametros!$A$11:$E$15,5,0),""))</f>
        <v/>
      </c>
      <c r="F3600" s="79" t="str">
        <f t="shared" si="282"/>
        <v/>
      </c>
      <c r="G3600" s="101"/>
      <c r="H3600" s="91">
        <f t="shared" si="283"/>
        <v>0</v>
      </c>
      <c r="I3600" s="91" t="str">
        <f t="shared" si="284"/>
        <v/>
      </c>
      <c r="J3600" s="91" t="str">
        <f t="shared" si="285"/>
        <v/>
      </c>
      <c r="K3600" s="92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2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58"/>
      <c r="U3600" s="217" t="str">
        <f t="shared" si="286"/>
        <v/>
      </c>
      <c r="V3600" s="215" t="s">
        <v>47</v>
      </c>
      <c r="W3600" s="102" t="s">
        <v>136</v>
      </c>
      <c r="X3600" s="102" t="s">
        <v>137</v>
      </c>
      <c r="Y3600" s="103" t="s">
        <v>138</v>
      </c>
      <c r="Z3600" s="103" t="s">
        <v>139</v>
      </c>
      <c r="AA3600" s="103" t="s">
        <v>47</v>
      </c>
      <c r="AB3600" s="103" t="s">
        <v>140</v>
      </c>
      <c r="AC3600" s="104" t="s">
        <v>141</v>
      </c>
    </row>
    <row r="3601" spans="1:29" ht="25.5" customHeight="1" x14ac:dyDescent="0.35">
      <c r="A3601" s="188"/>
      <c r="B3601" s="190"/>
      <c r="C3601" s="99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0"/>
      <c r="E3601" s="78" t="str">
        <f>IF(C3601="","",IFERROR(VLOOKUP(C3601,parametros!$A$11:$E$15,5,0),""))</f>
        <v/>
      </c>
      <c r="F3601" s="79" t="str">
        <f t="shared" si="282"/>
        <v/>
      </c>
      <c r="G3601" s="101"/>
      <c r="H3601" s="91">
        <f t="shared" si="283"/>
        <v>0</v>
      </c>
      <c r="I3601" s="91" t="str">
        <f t="shared" si="284"/>
        <v/>
      </c>
      <c r="J3601" s="91" t="str">
        <f t="shared" si="285"/>
        <v/>
      </c>
      <c r="K3601" s="92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2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58"/>
      <c r="U3601" s="217" t="str">
        <f t="shared" si="286"/>
        <v/>
      </c>
      <c r="V3601" s="215" t="s">
        <v>47</v>
      </c>
      <c r="W3601" s="102" t="s">
        <v>136</v>
      </c>
      <c r="X3601" s="102" t="s">
        <v>137</v>
      </c>
      <c r="Y3601" s="103" t="s">
        <v>138</v>
      </c>
      <c r="Z3601" s="103" t="s">
        <v>139</v>
      </c>
      <c r="AA3601" s="103" t="s">
        <v>47</v>
      </c>
      <c r="AB3601" s="103" t="s">
        <v>140</v>
      </c>
      <c r="AC3601" s="104" t="s">
        <v>141</v>
      </c>
    </row>
    <row r="3602" spans="1:29" ht="25.5" customHeight="1" x14ac:dyDescent="0.35">
      <c r="A3602" s="188"/>
      <c r="B3602" s="190"/>
      <c r="C3602" s="99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0"/>
      <c r="E3602" s="78" t="str">
        <f>IF(C3602="","",IFERROR(VLOOKUP(C3602,parametros!$A$11:$E$15,5,0),""))</f>
        <v/>
      </c>
      <c r="F3602" s="79" t="str">
        <f t="shared" si="282"/>
        <v/>
      </c>
      <c r="G3602" s="101"/>
      <c r="H3602" s="91">
        <f t="shared" si="283"/>
        <v>0</v>
      </c>
      <c r="I3602" s="91" t="str">
        <f t="shared" si="284"/>
        <v/>
      </c>
      <c r="J3602" s="91" t="str">
        <f t="shared" si="285"/>
        <v/>
      </c>
      <c r="K3602" s="92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2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58"/>
      <c r="U3602" s="217" t="str">
        <f t="shared" si="286"/>
        <v/>
      </c>
      <c r="V3602" s="215" t="s">
        <v>47</v>
      </c>
      <c r="W3602" s="102" t="s">
        <v>136</v>
      </c>
      <c r="X3602" s="102" t="s">
        <v>137</v>
      </c>
      <c r="Y3602" s="103" t="s">
        <v>138</v>
      </c>
      <c r="Z3602" s="103" t="s">
        <v>139</v>
      </c>
      <c r="AA3602" s="103" t="s">
        <v>47</v>
      </c>
      <c r="AB3602" s="103" t="s">
        <v>140</v>
      </c>
      <c r="AC3602" s="104" t="s">
        <v>141</v>
      </c>
    </row>
    <row r="3603" spans="1:29" ht="25.5" customHeight="1" x14ac:dyDescent="0.35">
      <c r="A3603" s="188"/>
      <c r="B3603" s="190"/>
      <c r="C3603" s="99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0"/>
      <c r="E3603" s="78" t="str">
        <f>IF(C3603="","",IFERROR(VLOOKUP(C3603,parametros!$A$11:$E$15,5,0),""))</f>
        <v/>
      </c>
      <c r="F3603" s="79" t="str">
        <f t="shared" si="282"/>
        <v/>
      </c>
      <c r="G3603" s="101"/>
      <c r="H3603" s="91">
        <f t="shared" si="283"/>
        <v>0</v>
      </c>
      <c r="I3603" s="91" t="str">
        <f t="shared" si="284"/>
        <v/>
      </c>
      <c r="J3603" s="91" t="str">
        <f t="shared" si="285"/>
        <v/>
      </c>
      <c r="K3603" s="92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2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58"/>
      <c r="U3603" s="217" t="str">
        <f t="shared" si="286"/>
        <v/>
      </c>
      <c r="V3603" s="215" t="s">
        <v>47</v>
      </c>
      <c r="W3603" s="102" t="s">
        <v>136</v>
      </c>
      <c r="X3603" s="102" t="s">
        <v>137</v>
      </c>
      <c r="Y3603" s="103" t="s">
        <v>138</v>
      </c>
      <c r="Z3603" s="103" t="s">
        <v>139</v>
      </c>
      <c r="AA3603" s="103" t="s">
        <v>47</v>
      </c>
      <c r="AB3603" s="103" t="s">
        <v>140</v>
      </c>
      <c r="AC3603" s="104" t="s">
        <v>141</v>
      </c>
    </row>
    <row r="3604" spans="1:29" ht="25.5" customHeight="1" x14ac:dyDescent="0.35">
      <c r="A3604" s="188"/>
      <c r="B3604" s="190"/>
      <c r="C3604" s="99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0"/>
      <c r="E3604" s="78" t="str">
        <f>IF(C3604="","",IFERROR(VLOOKUP(C3604,parametros!$A$11:$E$15,5,0),""))</f>
        <v/>
      </c>
      <c r="F3604" s="79" t="str">
        <f t="shared" si="282"/>
        <v/>
      </c>
      <c r="G3604" s="101"/>
      <c r="H3604" s="91">
        <f t="shared" si="283"/>
        <v>0</v>
      </c>
      <c r="I3604" s="91" t="str">
        <f t="shared" si="284"/>
        <v/>
      </c>
      <c r="J3604" s="91" t="str">
        <f t="shared" si="285"/>
        <v/>
      </c>
      <c r="K3604" s="92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2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58"/>
      <c r="U3604" s="217" t="str">
        <f t="shared" si="286"/>
        <v/>
      </c>
      <c r="V3604" s="215" t="s">
        <v>47</v>
      </c>
      <c r="W3604" s="102" t="s">
        <v>136</v>
      </c>
      <c r="X3604" s="102" t="s">
        <v>137</v>
      </c>
      <c r="Y3604" s="103" t="s">
        <v>138</v>
      </c>
      <c r="Z3604" s="103" t="s">
        <v>139</v>
      </c>
      <c r="AA3604" s="103" t="s">
        <v>47</v>
      </c>
      <c r="AB3604" s="103" t="s">
        <v>140</v>
      </c>
      <c r="AC3604" s="104" t="s">
        <v>141</v>
      </c>
    </row>
    <row r="3605" spans="1:29" ht="25.5" customHeight="1" x14ac:dyDescent="0.35">
      <c r="A3605" s="188"/>
      <c r="B3605" s="190"/>
      <c r="C3605" s="99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0"/>
      <c r="E3605" s="78" t="str">
        <f>IF(C3605="","",IFERROR(VLOOKUP(C3605,parametros!$A$11:$E$15,5,0),""))</f>
        <v/>
      </c>
      <c r="F3605" s="79" t="str">
        <f t="shared" si="282"/>
        <v/>
      </c>
      <c r="G3605" s="101"/>
      <c r="H3605" s="91">
        <f t="shared" si="283"/>
        <v>0</v>
      </c>
      <c r="I3605" s="91" t="str">
        <f t="shared" si="284"/>
        <v/>
      </c>
      <c r="J3605" s="91" t="str">
        <f t="shared" si="285"/>
        <v/>
      </c>
      <c r="K3605" s="92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2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58"/>
      <c r="U3605" s="217" t="str">
        <f t="shared" si="286"/>
        <v/>
      </c>
      <c r="V3605" s="215" t="s">
        <v>47</v>
      </c>
      <c r="W3605" s="102" t="s">
        <v>136</v>
      </c>
      <c r="X3605" s="102" t="s">
        <v>137</v>
      </c>
      <c r="Y3605" s="103" t="s">
        <v>138</v>
      </c>
      <c r="Z3605" s="103" t="s">
        <v>139</v>
      </c>
      <c r="AA3605" s="103" t="s">
        <v>47</v>
      </c>
      <c r="AB3605" s="103" t="s">
        <v>140</v>
      </c>
      <c r="AC3605" s="104" t="s">
        <v>141</v>
      </c>
    </row>
    <row r="3606" spans="1:29" ht="25.5" customHeight="1" x14ac:dyDescent="0.35">
      <c r="A3606" s="188"/>
      <c r="B3606" s="190"/>
      <c r="C3606" s="99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0"/>
      <c r="E3606" s="78" t="str">
        <f>IF(C3606="","",IFERROR(VLOOKUP(C3606,parametros!$A$11:$E$15,5,0),""))</f>
        <v/>
      </c>
      <c r="F3606" s="79" t="str">
        <f t="shared" si="282"/>
        <v/>
      </c>
      <c r="G3606" s="101"/>
      <c r="H3606" s="91">
        <f t="shared" si="283"/>
        <v>0</v>
      </c>
      <c r="I3606" s="91" t="str">
        <f t="shared" si="284"/>
        <v/>
      </c>
      <c r="J3606" s="91" t="str">
        <f t="shared" si="285"/>
        <v/>
      </c>
      <c r="K3606" s="92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2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58"/>
      <c r="U3606" s="217" t="str">
        <f t="shared" si="286"/>
        <v/>
      </c>
      <c r="V3606" s="215" t="s">
        <v>47</v>
      </c>
      <c r="W3606" s="102" t="s">
        <v>136</v>
      </c>
      <c r="X3606" s="102" t="s">
        <v>137</v>
      </c>
      <c r="Y3606" s="103" t="s">
        <v>138</v>
      </c>
      <c r="Z3606" s="103" t="s">
        <v>139</v>
      </c>
      <c r="AA3606" s="103" t="s">
        <v>47</v>
      </c>
      <c r="AB3606" s="103" t="s">
        <v>140</v>
      </c>
      <c r="AC3606" s="104" t="s">
        <v>141</v>
      </c>
    </row>
    <row r="3607" spans="1:29" ht="25.5" customHeight="1" x14ac:dyDescent="0.35">
      <c r="A3607" s="188"/>
      <c r="B3607" s="190"/>
      <c r="C3607" s="99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0"/>
      <c r="E3607" s="78" t="str">
        <f>IF(C3607="","",IFERROR(VLOOKUP(C3607,parametros!$A$11:$E$15,5,0),""))</f>
        <v/>
      </c>
      <c r="F3607" s="79" t="str">
        <f t="shared" si="282"/>
        <v/>
      </c>
      <c r="G3607" s="101"/>
      <c r="H3607" s="91">
        <f t="shared" si="283"/>
        <v>0</v>
      </c>
      <c r="I3607" s="91" t="str">
        <f t="shared" si="284"/>
        <v/>
      </c>
      <c r="J3607" s="91" t="str">
        <f t="shared" si="285"/>
        <v/>
      </c>
      <c r="K3607" s="92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2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58"/>
      <c r="U3607" s="217" t="str">
        <f t="shared" si="286"/>
        <v/>
      </c>
      <c r="V3607" s="215" t="s">
        <v>47</v>
      </c>
      <c r="W3607" s="102" t="s">
        <v>136</v>
      </c>
      <c r="X3607" s="102" t="s">
        <v>137</v>
      </c>
      <c r="Y3607" s="103" t="s">
        <v>138</v>
      </c>
      <c r="Z3607" s="103" t="s">
        <v>139</v>
      </c>
      <c r="AA3607" s="103" t="s">
        <v>47</v>
      </c>
      <c r="AB3607" s="103" t="s">
        <v>140</v>
      </c>
      <c r="AC3607" s="104" t="s">
        <v>141</v>
      </c>
    </row>
    <row r="3608" spans="1:29" ht="25.5" customHeight="1" x14ac:dyDescent="0.35">
      <c r="A3608" s="188"/>
      <c r="B3608" s="190"/>
      <c r="C3608" s="99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0"/>
      <c r="E3608" s="78" t="str">
        <f>IF(C3608="","",IFERROR(VLOOKUP(C3608,parametros!$A$11:$E$15,5,0),""))</f>
        <v/>
      </c>
      <c r="F3608" s="79" t="str">
        <f t="shared" si="282"/>
        <v/>
      </c>
      <c r="G3608" s="101"/>
      <c r="H3608" s="91">
        <f t="shared" si="283"/>
        <v>0</v>
      </c>
      <c r="I3608" s="91" t="str">
        <f t="shared" si="284"/>
        <v/>
      </c>
      <c r="J3608" s="91" t="str">
        <f t="shared" si="285"/>
        <v/>
      </c>
      <c r="K3608" s="92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2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58"/>
      <c r="U3608" s="217" t="str">
        <f t="shared" si="286"/>
        <v/>
      </c>
      <c r="V3608" s="215" t="s">
        <v>47</v>
      </c>
      <c r="W3608" s="102" t="s">
        <v>136</v>
      </c>
      <c r="X3608" s="102" t="s">
        <v>137</v>
      </c>
      <c r="Y3608" s="103" t="s">
        <v>138</v>
      </c>
      <c r="Z3608" s="103" t="s">
        <v>139</v>
      </c>
      <c r="AA3608" s="103" t="s">
        <v>47</v>
      </c>
      <c r="AB3608" s="103" t="s">
        <v>140</v>
      </c>
      <c r="AC3608" s="104" t="s">
        <v>141</v>
      </c>
    </row>
    <row r="3609" spans="1:29" ht="25.5" customHeight="1" x14ac:dyDescent="0.35">
      <c r="A3609" s="188"/>
      <c r="B3609" s="190"/>
      <c r="C3609" s="99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0"/>
      <c r="E3609" s="78" t="str">
        <f>IF(C3609="","",IFERROR(VLOOKUP(C3609,parametros!$A$11:$E$15,5,0),""))</f>
        <v/>
      </c>
      <c r="F3609" s="79" t="str">
        <f t="shared" si="282"/>
        <v/>
      </c>
      <c r="G3609" s="101"/>
      <c r="H3609" s="91">
        <f t="shared" si="283"/>
        <v>0</v>
      </c>
      <c r="I3609" s="91" t="str">
        <f t="shared" si="284"/>
        <v/>
      </c>
      <c r="J3609" s="91" t="str">
        <f t="shared" si="285"/>
        <v/>
      </c>
      <c r="K3609" s="92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2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58"/>
      <c r="U3609" s="217" t="str">
        <f t="shared" si="286"/>
        <v/>
      </c>
      <c r="V3609" s="215" t="s">
        <v>47</v>
      </c>
      <c r="W3609" s="102" t="s">
        <v>136</v>
      </c>
      <c r="X3609" s="102" t="s">
        <v>137</v>
      </c>
      <c r="Y3609" s="103" t="s">
        <v>138</v>
      </c>
      <c r="Z3609" s="103" t="s">
        <v>139</v>
      </c>
      <c r="AA3609" s="103" t="s">
        <v>47</v>
      </c>
      <c r="AB3609" s="103" t="s">
        <v>140</v>
      </c>
      <c r="AC3609" s="104" t="s">
        <v>141</v>
      </c>
    </row>
    <row r="3610" spans="1:29" ht="25.5" customHeight="1" x14ac:dyDescent="0.35">
      <c r="A3610" s="188"/>
      <c r="B3610" s="190"/>
      <c r="C3610" s="99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0"/>
      <c r="E3610" s="78" t="str">
        <f>IF(C3610="","",IFERROR(VLOOKUP(C3610,parametros!$A$11:$E$15,5,0),""))</f>
        <v/>
      </c>
      <c r="F3610" s="79" t="str">
        <f t="shared" si="282"/>
        <v/>
      </c>
      <c r="G3610" s="101"/>
      <c r="H3610" s="91">
        <f t="shared" si="283"/>
        <v>0</v>
      </c>
      <c r="I3610" s="91" t="str">
        <f t="shared" si="284"/>
        <v/>
      </c>
      <c r="J3610" s="91" t="str">
        <f t="shared" si="285"/>
        <v/>
      </c>
      <c r="K3610" s="92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2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58"/>
      <c r="U3610" s="217" t="str">
        <f t="shared" si="286"/>
        <v/>
      </c>
      <c r="V3610" s="215" t="s">
        <v>47</v>
      </c>
      <c r="W3610" s="102" t="s">
        <v>136</v>
      </c>
      <c r="X3610" s="102" t="s">
        <v>137</v>
      </c>
      <c r="Y3610" s="103" t="s">
        <v>138</v>
      </c>
      <c r="Z3610" s="103" t="s">
        <v>139</v>
      </c>
      <c r="AA3610" s="103" t="s">
        <v>47</v>
      </c>
      <c r="AB3610" s="103" t="s">
        <v>140</v>
      </c>
      <c r="AC3610" s="104" t="s">
        <v>141</v>
      </c>
    </row>
    <row r="3611" spans="1:29" ht="25.5" customHeight="1" x14ac:dyDescent="0.35">
      <c r="A3611" s="188"/>
      <c r="B3611" s="190"/>
      <c r="C3611" s="99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0"/>
      <c r="E3611" s="78" t="str">
        <f>IF(C3611="","",IFERROR(VLOOKUP(C3611,parametros!$A$11:$E$15,5,0),""))</f>
        <v/>
      </c>
      <c r="F3611" s="79" t="str">
        <f t="shared" si="282"/>
        <v/>
      </c>
      <c r="G3611" s="101"/>
      <c r="H3611" s="91">
        <f t="shared" si="283"/>
        <v>0</v>
      </c>
      <c r="I3611" s="91" t="str">
        <f t="shared" si="284"/>
        <v/>
      </c>
      <c r="J3611" s="91" t="str">
        <f t="shared" si="285"/>
        <v/>
      </c>
      <c r="K3611" s="92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2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58"/>
      <c r="U3611" s="217" t="str">
        <f t="shared" si="286"/>
        <v/>
      </c>
      <c r="V3611" s="215" t="s">
        <v>47</v>
      </c>
      <c r="W3611" s="102" t="s">
        <v>136</v>
      </c>
      <c r="X3611" s="102" t="s">
        <v>137</v>
      </c>
      <c r="Y3611" s="103" t="s">
        <v>138</v>
      </c>
      <c r="Z3611" s="103" t="s">
        <v>139</v>
      </c>
      <c r="AA3611" s="103" t="s">
        <v>47</v>
      </c>
      <c r="AB3611" s="103" t="s">
        <v>140</v>
      </c>
      <c r="AC3611" s="104" t="s">
        <v>141</v>
      </c>
    </row>
    <row r="3612" spans="1:29" ht="25.5" customHeight="1" x14ac:dyDescent="0.35">
      <c r="A3612" s="188"/>
      <c r="B3612" s="190"/>
      <c r="C3612" s="99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0"/>
      <c r="E3612" s="78" t="str">
        <f>IF(C3612="","",IFERROR(VLOOKUP(C3612,parametros!$A$11:$E$15,5,0),""))</f>
        <v/>
      </c>
      <c r="F3612" s="79" t="str">
        <f t="shared" si="282"/>
        <v/>
      </c>
      <c r="G3612" s="101"/>
      <c r="H3612" s="91">
        <f t="shared" si="283"/>
        <v>0</v>
      </c>
      <c r="I3612" s="91" t="str">
        <f t="shared" si="284"/>
        <v/>
      </c>
      <c r="J3612" s="91" t="str">
        <f t="shared" si="285"/>
        <v/>
      </c>
      <c r="K3612" s="92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2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58"/>
      <c r="U3612" s="217" t="str">
        <f t="shared" si="286"/>
        <v/>
      </c>
      <c r="V3612" s="215" t="s">
        <v>47</v>
      </c>
      <c r="W3612" s="102" t="s">
        <v>136</v>
      </c>
      <c r="X3612" s="102" t="s">
        <v>137</v>
      </c>
      <c r="Y3612" s="103" t="s">
        <v>138</v>
      </c>
      <c r="Z3612" s="103" t="s">
        <v>139</v>
      </c>
      <c r="AA3612" s="103" t="s">
        <v>47</v>
      </c>
      <c r="AB3612" s="103" t="s">
        <v>140</v>
      </c>
      <c r="AC3612" s="104" t="s">
        <v>141</v>
      </c>
    </row>
    <row r="3613" spans="1:29" ht="25.5" customHeight="1" x14ac:dyDescent="0.35">
      <c r="A3613" s="188"/>
      <c r="B3613" s="190"/>
      <c r="C3613" s="99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0"/>
      <c r="E3613" s="78" t="str">
        <f>IF(C3613="","",IFERROR(VLOOKUP(C3613,parametros!$A$11:$E$15,5,0),""))</f>
        <v/>
      </c>
      <c r="F3613" s="79" t="str">
        <f t="shared" si="282"/>
        <v/>
      </c>
      <c r="G3613" s="101"/>
      <c r="H3613" s="91">
        <f t="shared" si="283"/>
        <v>0</v>
      </c>
      <c r="I3613" s="91" t="str">
        <f t="shared" si="284"/>
        <v/>
      </c>
      <c r="J3613" s="91" t="str">
        <f t="shared" si="285"/>
        <v/>
      </c>
      <c r="K3613" s="92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2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58"/>
      <c r="U3613" s="217" t="str">
        <f t="shared" si="286"/>
        <v/>
      </c>
      <c r="V3613" s="215" t="s">
        <v>47</v>
      </c>
      <c r="W3613" s="102" t="s">
        <v>136</v>
      </c>
      <c r="X3613" s="102" t="s">
        <v>137</v>
      </c>
      <c r="Y3613" s="103" t="s">
        <v>138</v>
      </c>
      <c r="Z3613" s="103" t="s">
        <v>139</v>
      </c>
      <c r="AA3613" s="103" t="s">
        <v>47</v>
      </c>
      <c r="AB3613" s="103" t="s">
        <v>140</v>
      </c>
      <c r="AC3613" s="104" t="s">
        <v>141</v>
      </c>
    </row>
    <row r="3614" spans="1:29" ht="25.5" customHeight="1" x14ac:dyDescent="0.35">
      <c r="A3614" s="188"/>
      <c r="B3614" s="190"/>
      <c r="C3614" s="99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0"/>
      <c r="E3614" s="78" t="str">
        <f>IF(C3614="","",IFERROR(VLOOKUP(C3614,parametros!$A$11:$E$15,5,0),""))</f>
        <v/>
      </c>
      <c r="F3614" s="79" t="str">
        <f t="shared" si="282"/>
        <v/>
      </c>
      <c r="G3614" s="101"/>
      <c r="H3614" s="91">
        <f t="shared" si="283"/>
        <v>0</v>
      </c>
      <c r="I3614" s="91" t="str">
        <f t="shared" si="284"/>
        <v/>
      </c>
      <c r="J3614" s="91" t="str">
        <f t="shared" si="285"/>
        <v/>
      </c>
      <c r="K3614" s="92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2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58"/>
      <c r="U3614" s="217" t="str">
        <f t="shared" si="286"/>
        <v/>
      </c>
      <c r="V3614" s="215" t="s">
        <v>47</v>
      </c>
      <c r="W3614" s="102" t="s">
        <v>136</v>
      </c>
      <c r="X3614" s="102" t="s">
        <v>137</v>
      </c>
      <c r="Y3614" s="103" t="s">
        <v>138</v>
      </c>
      <c r="Z3614" s="103" t="s">
        <v>139</v>
      </c>
      <c r="AA3614" s="103" t="s">
        <v>47</v>
      </c>
      <c r="AB3614" s="103" t="s">
        <v>140</v>
      </c>
      <c r="AC3614" s="104" t="s">
        <v>141</v>
      </c>
    </row>
    <row r="3615" spans="1:29" ht="25.5" customHeight="1" x14ac:dyDescent="0.35">
      <c r="A3615" s="188"/>
      <c r="B3615" s="190"/>
      <c r="C3615" s="99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0"/>
      <c r="E3615" s="78" t="str">
        <f>IF(C3615="","",IFERROR(VLOOKUP(C3615,parametros!$A$11:$E$15,5,0),""))</f>
        <v/>
      </c>
      <c r="F3615" s="79" t="str">
        <f t="shared" si="282"/>
        <v/>
      </c>
      <c r="G3615" s="101"/>
      <c r="H3615" s="91">
        <f t="shared" si="283"/>
        <v>0</v>
      </c>
      <c r="I3615" s="91" t="str">
        <f t="shared" si="284"/>
        <v/>
      </c>
      <c r="J3615" s="91" t="str">
        <f t="shared" si="285"/>
        <v/>
      </c>
      <c r="K3615" s="92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2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58"/>
      <c r="U3615" s="217" t="str">
        <f t="shared" si="286"/>
        <v/>
      </c>
      <c r="V3615" s="215" t="s">
        <v>47</v>
      </c>
      <c r="W3615" s="102" t="s">
        <v>136</v>
      </c>
      <c r="X3615" s="102" t="s">
        <v>137</v>
      </c>
      <c r="Y3615" s="103" t="s">
        <v>138</v>
      </c>
      <c r="Z3615" s="103" t="s">
        <v>139</v>
      </c>
      <c r="AA3615" s="103" t="s">
        <v>47</v>
      </c>
      <c r="AB3615" s="103" t="s">
        <v>140</v>
      </c>
      <c r="AC3615" s="104" t="s">
        <v>141</v>
      </c>
    </row>
    <row r="3616" spans="1:29" ht="25.5" customHeight="1" x14ac:dyDescent="0.35">
      <c r="A3616" s="188"/>
      <c r="B3616" s="190"/>
      <c r="C3616" s="99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0"/>
      <c r="E3616" s="78" t="str">
        <f>IF(C3616="","",IFERROR(VLOOKUP(C3616,parametros!$A$11:$E$15,5,0),""))</f>
        <v/>
      </c>
      <c r="F3616" s="79" t="str">
        <f t="shared" si="282"/>
        <v/>
      </c>
      <c r="G3616" s="101"/>
      <c r="H3616" s="91">
        <f t="shared" si="283"/>
        <v>0</v>
      </c>
      <c r="I3616" s="91" t="str">
        <f t="shared" si="284"/>
        <v/>
      </c>
      <c r="J3616" s="91" t="str">
        <f t="shared" si="285"/>
        <v/>
      </c>
      <c r="K3616" s="92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2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58"/>
      <c r="U3616" s="217" t="str">
        <f t="shared" si="286"/>
        <v/>
      </c>
      <c r="V3616" s="215" t="s">
        <v>47</v>
      </c>
      <c r="W3616" s="102" t="s">
        <v>136</v>
      </c>
      <c r="X3616" s="102" t="s">
        <v>137</v>
      </c>
      <c r="Y3616" s="103" t="s">
        <v>138</v>
      </c>
      <c r="Z3616" s="103" t="s">
        <v>139</v>
      </c>
      <c r="AA3616" s="103" t="s">
        <v>47</v>
      </c>
      <c r="AB3616" s="103" t="s">
        <v>140</v>
      </c>
      <c r="AC3616" s="104" t="s">
        <v>141</v>
      </c>
    </row>
    <row r="3617" spans="1:29" ht="25.5" customHeight="1" x14ac:dyDescent="0.35">
      <c r="A3617" s="188"/>
      <c r="B3617" s="190"/>
      <c r="C3617" s="99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0"/>
      <c r="E3617" s="78" t="str">
        <f>IF(C3617="","",IFERROR(VLOOKUP(C3617,parametros!$A$11:$E$15,5,0),""))</f>
        <v/>
      </c>
      <c r="F3617" s="79" t="str">
        <f t="shared" si="282"/>
        <v/>
      </c>
      <c r="G3617" s="101"/>
      <c r="H3617" s="91">
        <f t="shared" si="283"/>
        <v>0</v>
      </c>
      <c r="I3617" s="91" t="str">
        <f t="shared" si="284"/>
        <v/>
      </c>
      <c r="J3617" s="91" t="str">
        <f t="shared" si="285"/>
        <v/>
      </c>
      <c r="K3617" s="92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2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58"/>
      <c r="U3617" s="217" t="str">
        <f t="shared" si="286"/>
        <v/>
      </c>
      <c r="V3617" s="215" t="s">
        <v>47</v>
      </c>
      <c r="W3617" s="102" t="s">
        <v>136</v>
      </c>
      <c r="X3617" s="102" t="s">
        <v>137</v>
      </c>
      <c r="Y3617" s="103" t="s">
        <v>138</v>
      </c>
      <c r="Z3617" s="103" t="s">
        <v>139</v>
      </c>
      <c r="AA3617" s="103" t="s">
        <v>47</v>
      </c>
      <c r="AB3617" s="103" t="s">
        <v>140</v>
      </c>
      <c r="AC3617" s="104" t="s">
        <v>141</v>
      </c>
    </row>
    <row r="3618" spans="1:29" ht="25.5" customHeight="1" x14ac:dyDescent="0.35">
      <c r="A3618" s="188"/>
      <c r="B3618" s="190"/>
      <c r="C3618" s="99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0"/>
      <c r="E3618" s="78" t="str">
        <f>IF(C3618="","",IFERROR(VLOOKUP(C3618,parametros!$A$11:$E$15,5,0),""))</f>
        <v/>
      </c>
      <c r="F3618" s="79" t="str">
        <f t="shared" si="282"/>
        <v/>
      </c>
      <c r="G3618" s="101"/>
      <c r="H3618" s="91">
        <f t="shared" si="283"/>
        <v>0</v>
      </c>
      <c r="I3618" s="91" t="str">
        <f t="shared" si="284"/>
        <v/>
      </c>
      <c r="J3618" s="91" t="str">
        <f t="shared" si="285"/>
        <v/>
      </c>
      <c r="K3618" s="92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2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58"/>
      <c r="U3618" s="217" t="str">
        <f t="shared" si="286"/>
        <v/>
      </c>
      <c r="V3618" s="215" t="s">
        <v>47</v>
      </c>
      <c r="W3618" s="102" t="s">
        <v>136</v>
      </c>
      <c r="X3618" s="102" t="s">
        <v>137</v>
      </c>
      <c r="Y3618" s="103" t="s">
        <v>138</v>
      </c>
      <c r="Z3618" s="103" t="s">
        <v>139</v>
      </c>
      <c r="AA3618" s="103" t="s">
        <v>47</v>
      </c>
      <c r="AB3618" s="103" t="s">
        <v>140</v>
      </c>
      <c r="AC3618" s="104" t="s">
        <v>141</v>
      </c>
    </row>
    <row r="3619" spans="1:29" ht="25.5" customHeight="1" x14ac:dyDescent="0.35">
      <c r="A3619" s="188"/>
      <c r="B3619" s="190"/>
      <c r="C3619" s="99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0"/>
      <c r="E3619" s="78" t="str">
        <f>IF(C3619="","",IFERROR(VLOOKUP(C3619,parametros!$A$11:$E$15,5,0),""))</f>
        <v/>
      </c>
      <c r="F3619" s="79" t="str">
        <f t="shared" si="282"/>
        <v/>
      </c>
      <c r="G3619" s="101"/>
      <c r="H3619" s="91">
        <f t="shared" si="283"/>
        <v>0</v>
      </c>
      <c r="I3619" s="91" t="str">
        <f t="shared" si="284"/>
        <v/>
      </c>
      <c r="J3619" s="91" t="str">
        <f t="shared" si="285"/>
        <v/>
      </c>
      <c r="K3619" s="92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2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58"/>
      <c r="U3619" s="217" t="str">
        <f t="shared" si="286"/>
        <v/>
      </c>
      <c r="V3619" s="215" t="s">
        <v>47</v>
      </c>
      <c r="W3619" s="102" t="s">
        <v>136</v>
      </c>
      <c r="X3619" s="102" t="s">
        <v>137</v>
      </c>
      <c r="Y3619" s="103" t="s">
        <v>138</v>
      </c>
      <c r="Z3619" s="103" t="s">
        <v>139</v>
      </c>
      <c r="AA3619" s="103" t="s">
        <v>47</v>
      </c>
      <c r="AB3619" s="103" t="s">
        <v>140</v>
      </c>
      <c r="AC3619" s="104" t="s">
        <v>141</v>
      </c>
    </row>
    <row r="3620" spans="1:29" ht="25.5" customHeight="1" x14ac:dyDescent="0.35">
      <c r="A3620" s="188"/>
      <c r="B3620" s="190"/>
      <c r="C3620" s="99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0"/>
      <c r="E3620" s="78" t="str">
        <f>IF(C3620="","",IFERROR(VLOOKUP(C3620,parametros!$A$11:$E$15,5,0),""))</f>
        <v/>
      </c>
      <c r="F3620" s="79" t="str">
        <f t="shared" si="282"/>
        <v/>
      </c>
      <c r="G3620" s="101"/>
      <c r="H3620" s="91">
        <f t="shared" si="283"/>
        <v>0</v>
      </c>
      <c r="I3620" s="91" t="str">
        <f t="shared" si="284"/>
        <v/>
      </c>
      <c r="J3620" s="91" t="str">
        <f t="shared" si="285"/>
        <v/>
      </c>
      <c r="K3620" s="92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2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58"/>
      <c r="U3620" s="217" t="str">
        <f t="shared" si="286"/>
        <v/>
      </c>
      <c r="V3620" s="215" t="s">
        <v>47</v>
      </c>
      <c r="W3620" s="102" t="s">
        <v>136</v>
      </c>
      <c r="X3620" s="102" t="s">
        <v>137</v>
      </c>
      <c r="Y3620" s="103" t="s">
        <v>138</v>
      </c>
      <c r="Z3620" s="103" t="s">
        <v>139</v>
      </c>
      <c r="AA3620" s="103" t="s">
        <v>47</v>
      </c>
      <c r="AB3620" s="103" t="s">
        <v>140</v>
      </c>
      <c r="AC3620" s="104" t="s">
        <v>141</v>
      </c>
    </row>
    <row r="3621" spans="1:29" ht="25.5" customHeight="1" x14ac:dyDescent="0.35">
      <c r="A3621" s="188"/>
      <c r="B3621" s="190"/>
      <c r="C3621" s="99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0"/>
      <c r="E3621" s="78" t="str">
        <f>IF(C3621="","",IFERROR(VLOOKUP(C3621,parametros!$A$11:$E$15,5,0),""))</f>
        <v/>
      </c>
      <c r="F3621" s="79" t="str">
        <f t="shared" si="282"/>
        <v/>
      </c>
      <c r="G3621" s="101"/>
      <c r="H3621" s="91">
        <f t="shared" si="283"/>
        <v>0</v>
      </c>
      <c r="I3621" s="91" t="str">
        <f t="shared" si="284"/>
        <v/>
      </c>
      <c r="J3621" s="91" t="str">
        <f t="shared" si="285"/>
        <v/>
      </c>
      <c r="K3621" s="92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2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58"/>
      <c r="U3621" s="217" t="str">
        <f t="shared" si="286"/>
        <v/>
      </c>
      <c r="V3621" s="215" t="s">
        <v>47</v>
      </c>
      <c r="W3621" s="102" t="s">
        <v>136</v>
      </c>
      <c r="X3621" s="102" t="s">
        <v>137</v>
      </c>
      <c r="Y3621" s="103" t="s">
        <v>138</v>
      </c>
      <c r="Z3621" s="103" t="s">
        <v>139</v>
      </c>
      <c r="AA3621" s="103" t="s">
        <v>47</v>
      </c>
      <c r="AB3621" s="103" t="s">
        <v>140</v>
      </c>
      <c r="AC3621" s="104" t="s">
        <v>141</v>
      </c>
    </row>
    <row r="3622" spans="1:29" ht="25.5" customHeight="1" x14ac:dyDescent="0.35">
      <c r="A3622" s="188"/>
      <c r="B3622" s="190"/>
      <c r="C3622" s="99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0"/>
      <c r="E3622" s="78" t="str">
        <f>IF(C3622="","",IFERROR(VLOOKUP(C3622,parametros!$A$11:$E$15,5,0),""))</f>
        <v/>
      </c>
      <c r="F3622" s="79" t="str">
        <f t="shared" si="282"/>
        <v/>
      </c>
      <c r="G3622" s="101"/>
      <c r="H3622" s="91">
        <f t="shared" si="283"/>
        <v>0</v>
      </c>
      <c r="I3622" s="91" t="str">
        <f t="shared" si="284"/>
        <v/>
      </c>
      <c r="J3622" s="91" t="str">
        <f t="shared" si="285"/>
        <v/>
      </c>
      <c r="K3622" s="92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2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58"/>
      <c r="U3622" s="217" t="str">
        <f t="shared" si="286"/>
        <v/>
      </c>
      <c r="V3622" s="215" t="s">
        <v>47</v>
      </c>
      <c r="W3622" s="102" t="s">
        <v>136</v>
      </c>
      <c r="X3622" s="102" t="s">
        <v>137</v>
      </c>
      <c r="Y3622" s="103" t="s">
        <v>138</v>
      </c>
      <c r="Z3622" s="103" t="s">
        <v>139</v>
      </c>
      <c r="AA3622" s="103" t="s">
        <v>47</v>
      </c>
      <c r="AB3622" s="103" t="s">
        <v>140</v>
      </c>
      <c r="AC3622" s="104" t="s">
        <v>141</v>
      </c>
    </row>
    <row r="3623" spans="1:29" ht="25.5" customHeight="1" x14ac:dyDescent="0.35">
      <c r="A3623" s="188"/>
      <c r="B3623" s="190"/>
      <c r="C3623" s="99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0"/>
      <c r="E3623" s="78" t="str">
        <f>IF(C3623="","",IFERROR(VLOOKUP(C3623,parametros!$A$11:$E$15,5,0),""))</f>
        <v/>
      </c>
      <c r="F3623" s="79" t="str">
        <f t="shared" si="282"/>
        <v/>
      </c>
      <c r="G3623" s="101"/>
      <c r="H3623" s="91">
        <f t="shared" si="283"/>
        <v>0</v>
      </c>
      <c r="I3623" s="91" t="str">
        <f t="shared" si="284"/>
        <v/>
      </c>
      <c r="J3623" s="91" t="str">
        <f t="shared" si="285"/>
        <v/>
      </c>
      <c r="K3623" s="92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2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58"/>
      <c r="U3623" s="217" t="str">
        <f t="shared" si="286"/>
        <v/>
      </c>
      <c r="V3623" s="215" t="s">
        <v>47</v>
      </c>
      <c r="W3623" s="102" t="s">
        <v>136</v>
      </c>
      <c r="X3623" s="102" t="s">
        <v>137</v>
      </c>
      <c r="Y3623" s="103" t="s">
        <v>138</v>
      </c>
      <c r="Z3623" s="103" t="s">
        <v>139</v>
      </c>
      <c r="AA3623" s="103" t="s">
        <v>47</v>
      </c>
      <c r="AB3623" s="103" t="s">
        <v>140</v>
      </c>
      <c r="AC3623" s="104" t="s">
        <v>141</v>
      </c>
    </row>
    <row r="3624" spans="1:29" ht="25.5" customHeight="1" x14ac:dyDescent="0.35">
      <c r="A3624" s="188"/>
      <c r="B3624" s="190"/>
      <c r="C3624" s="99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0"/>
      <c r="E3624" s="78" t="str">
        <f>IF(C3624="","",IFERROR(VLOOKUP(C3624,parametros!$A$11:$E$15,5,0),""))</f>
        <v/>
      </c>
      <c r="F3624" s="79" t="str">
        <f t="shared" si="282"/>
        <v/>
      </c>
      <c r="G3624" s="101"/>
      <c r="H3624" s="91">
        <f t="shared" si="283"/>
        <v>0</v>
      </c>
      <c r="I3624" s="91" t="str">
        <f t="shared" si="284"/>
        <v/>
      </c>
      <c r="J3624" s="91" t="str">
        <f t="shared" si="285"/>
        <v/>
      </c>
      <c r="K3624" s="92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2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58"/>
      <c r="U3624" s="217" t="str">
        <f t="shared" si="286"/>
        <v/>
      </c>
      <c r="V3624" s="215" t="s">
        <v>47</v>
      </c>
      <c r="W3624" s="102" t="s">
        <v>136</v>
      </c>
      <c r="X3624" s="102" t="s">
        <v>137</v>
      </c>
      <c r="Y3624" s="103" t="s">
        <v>138</v>
      </c>
      <c r="Z3624" s="103" t="s">
        <v>139</v>
      </c>
      <c r="AA3624" s="103" t="s">
        <v>47</v>
      </c>
      <c r="AB3624" s="103" t="s">
        <v>140</v>
      </c>
      <c r="AC3624" s="104" t="s">
        <v>141</v>
      </c>
    </row>
    <row r="3625" spans="1:29" ht="25.5" customHeight="1" x14ac:dyDescent="0.35">
      <c r="A3625" s="188"/>
      <c r="B3625" s="190"/>
      <c r="C3625" s="99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0"/>
      <c r="E3625" s="78" t="str">
        <f>IF(C3625="","",IFERROR(VLOOKUP(C3625,parametros!$A$11:$E$15,5,0),""))</f>
        <v/>
      </c>
      <c r="F3625" s="79" t="str">
        <f t="shared" si="282"/>
        <v/>
      </c>
      <c r="G3625" s="101"/>
      <c r="H3625" s="91">
        <f t="shared" si="283"/>
        <v>0</v>
      </c>
      <c r="I3625" s="91" t="str">
        <f t="shared" si="284"/>
        <v/>
      </c>
      <c r="J3625" s="91" t="str">
        <f t="shared" si="285"/>
        <v/>
      </c>
      <c r="K3625" s="92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2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58"/>
      <c r="U3625" s="217" t="str">
        <f t="shared" si="286"/>
        <v/>
      </c>
      <c r="V3625" s="215" t="s">
        <v>47</v>
      </c>
      <c r="W3625" s="102" t="s">
        <v>136</v>
      </c>
      <c r="X3625" s="102" t="s">
        <v>137</v>
      </c>
      <c r="Y3625" s="103" t="s">
        <v>138</v>
      </c>
      <c r="Z3625" s="103" t="s">
        <v>139</v>
      </c>
      <c r="AA3625" s="103" t="s">
        <v>47</v>
      </c>
      <c r="AB3625" s="103" t="s">
        <v>140</v>
      </c>
      <c r="AC3625" s="104" t="s">
        <v>141</v>
      </c>
    </row>
    <row r="3626" spans="1:29" ht="25.5" customHeight="1" x14ac:dyDescent="0.35">
      <c r="A3626" s="188"/>
      <c r="B3626" s="190"/>
      <c r="C3626" s="99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0"/>
      <c r="E3626" s="78" t="str">
        <f>IF(C3626="","",IFERROR(VLOOKUP(C3626,parametros!$A$11:$E$15,5,0),""))</f>
        <v/>
      </c>
      <c r="F3626" s="79" t="str">
        <f t="shared" si="282"/>
        <v/>
      </c>
      <c r="G3626" s="101"/>
      <c r="H3626" s="91">
        <f t="shared" si="283"/>
        <v>0</v>
      </c>
      <c r="I3626" s="91" t="str">
        <f t="shared" si="284"/>
        <v/>
      </c>
      <c r="J3626" s="91" t="str">
        <f t="shared" si="285"/>
        <v/>
      </c>
      <c r="K3626" s="92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2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58"/>
      <c r="U3626" s="217" t="str">
        <f t="shared" si="286"/>
        <v/>
      </c>
      <c r="V3626" s="215" t="s">
        <v>47</v>
      </c>
      <c r="W3626" s="102" t="s">
        <v>136</v>
      </c>
      <c r="X3626" s="102" t="s">
        <v>137</v>
      </c>
      <c r="Y3626" s="103" t="s">
        <v>138</v>
      </c>
      <c r="Z3626" s="103" t="s">
        <v>139</v>
      </c>
      <c r="AA3626" s="103" t="s">
        <v>47</v>
      </c>
      <c r="AB3626" s="103" t="s">
        <v>140</v>
      </c>
      <c r="AC3626" s="104" t="s">
        <v>141</v>
      </c>
    </row>
    <row r="3627" spans="1:29" ht="25.5" customHeight="1" x14ac:dyDescent="0.35">
      <c r="A3627" s="188"/>
      <c r="B3627" s="190"/>
      <c r="C3627" s="99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0"/>
      <c r="E3627" s="78" t="str">
        <f>IF(C3627="","",IFERROR(VLOOKUP(C3627,parametros!$A$11:$E$15,5,0),""))</f>
        <v/>
      </c>
      <c r="F3627" s="79" t="str">
        <f t="shared" si="282"/>
        <v/>
      </c>
      <c r="G3627" s="101"/>
      <c r="H3627" s="91">
        <f t="shared" si="283"/>
        <v>0</v>
      </c>
      <c r="I3627" s="91" t="str">
        <f t="shared" si="284"/>
        <v/>
      </c>
      <c r="J3627" s="91" t="str">
        <f t="shared" si="285"/>
        <v/>
      </c>
      <c r="K3627" s="92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2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58"/>
      <c r="U3627" s="217" t="str">
        <f t="shared" si="286"/>
        <v/>
      </c>
      <c r="V3627" s="215" t="s">
        <v>47</v>
      </c>
      <c r="W3627" s="102" t="s">
        <v>136</v>
      </c>
      <c r="X3627" s="102" t="s">
        <v>137</v>
      </c>
      <c r="Y3627" s="103" t="s">
        <v>138</v>
      </c>
      <c r="Z3627" s="103" t="s">
        <v>139</v>
      </c>
      <c r="AA3627" s="103" t="s">
        <v>47</v>
      </c>
      <c r="AB3627" s="103" t="s">
        <v>140</v>
      </c>
      <c r="AC3627" s="104" t="s">
        <v>141</v>
      </c>
    </row>
    <row r="3628" spans="1:29" ht="25.5" customHeight="1" x14ac:dyDescent="0.35">
      <c r="A3628" s="188"/>
      <c r="B3628" s="190"/>
      <c r="C3628" s="99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0"/>
      <c r="E3628" s="78" t="str">
        <f>IF(C3628="","",IFERROR(VLOOKUP(C3628,parametros!$A$11:$E$15,5,0),""))</f>
        <v/>
      </c>
      <c r="F3628" s="79" t="str">
        <f t="shared" si="282"/>
        <v/>
      </c>
      <c r="G3628" s="101"/>
      <c r="H3628" s="91">
        <f t="shared" si="283"/>
        <v>0</v>
      </c>
      <c r="I3628" s="91" t="str">
        <f t="shared" si="284"/>
        <v/>
      </c>
      <c r="J3628" s="91" t="str">
        <f t="shared" si="285"/>
        <v/>
      </c>
      <c r="K3628" s="92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2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58"/>
      <c r="U3628" s="217" t="str">
        <f t="shared" si="286"/>
        <v/>
      </c>
      <c r="V3628" s="215" t="s">
        <v>47</v>
      </c>
      <c r="W3628" s="102" t="s">
        <v>136</v>
      </c>
      <c r="X3628" s="102" t="s">
        <v>137</v>
      </c>
      <c r="Y3628" s="103" t="s">
        <v>138</v>
      </c>
      <c r="Z3628" s="103" t="s">
        <v>139</v>
      </c>
      <c r="AA3628" s="103" t="s">
        <v>47</v>
      </c>
      <c r="AB3628" s="103" t="s">
        <v>140</v>
      </c>
      <c r="AC3628" s="104" t="s">
        <v>141</v>
      </c>
    </row>
    <row r="3629" spans="1:29" ht="25.5" customHeight="1" x14ac:dyDescent="0.35">
      <c r="A3629" s="188"/>
      <c r="B3629" s="190"/>
      <c r="C3629" s="99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0"/>
      <c r="E3629" s="78" t="str">
        <f>IF(C3629="","",IFERROR(VLOOKUP(C3629,parametros!$A$11:$E$15,5,0),""))</f>
        <v/>
      </c>
      <c r="F3629" s="79" t="str">
        <f t="shared" si="282"/>
        <v/>
      </c>
      <c r="G3629" s="101"/>
      <c r="H3629" s="91">
        <f t="shared" si="283"/>
        <v>0</v>
      </c>
      <c r="I3629" s="91" t="str">
        <f t="shared" si="284"/>
        <v/>
      </c>
      <c r="J3629" s="91" t="str">
        <f t="shared" si="285"/>
        <v/>
      </c>
      <c r="K3629" s="92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2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58"/>
      <c r="U3629" s="217" t="str">
        <f t="shared" si="286"/>
        <v/>
      </c>
      <c r="V3629" s="215" t="s">
        <v>47</v>
      </c>
      <c r="W3629" s="102" t="s">
        <v>136</v>
      </c>
      <c r="X3629" s="102" t="s">
        <v>137</v>
      </c>
      <c r="Y3629" s="103" t="s">
        <v>138</v>
      </c>
      <c r="Z3629" s="103" t="s">
        <v>139</v>
      </c>
      <c r="AA3629" s="103" t="s">
        <v>47</v>
      </c>
      <c r="AB3629" s="103" t="s">
        <v>140</v>
      </c>
      <c r="AC3629" s="104" t="s">
        <v>141</v>
      </c>
    </row>
    <row r="3630" spans="1:29" ht="25.5" customHeight="1" x14ac:dyDescent="0.35">
      <c r="A3630" s="188"/>
      <c r="B3630" s="190"/>
      <c r="C3630" s="99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0"/>
      <c r="E3630" s="78" t="str">
        <f>IF(C3630="","",IFERROR(VLOOKUP(C3630,parametros!$A$11:$E$15,5,0),""))</f>
        <v/>
      </c>
      <c r="F3630" s="79" t="str">
        <f t="shared" si="282"/>
        <v/>
      </c>
      <c r="G3630" s="101"/>
      <c r="H3630" s="91">
        <f t="shared" si="283"/>
        <v>0</v>
      </c>
      <c r="I3630" s="91" t="str">
        <f t="shared" si="284"/>
        <v/>
      </c>
      <c r="J3630" s="91" t="str">
        <f t="shared" si="285"/>
        <v/>
      </c>
      <c r="K3630" s="92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2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58"/>
      <c r="U3630" s="217" t="str">
        <f t="shared" si="286"/>
        <v/>
      </c>
      <c r="V3630" s="215" t="s">
        <v>47</v>
      </c>
      <c r="W3630" s="102" t="s">
        <v>136</v>
      </c>
      <c r="X3630" s="102" t="s">
        <v>137</v>
      </c>
      <c r="Y3630" s="103" t="s">
        <v>138</v>
      </c>
      <c r="Z3630" s="103" t="s">
        <v>139</v>
      </c>
      <c r="AA3630" s="103" t="s">
        <v>47</v>
      </c>
      <c r="AB3630" s="103" t="s">
        <v>140</v>
      </c>
      <c r="AC3630" s="104" t="s">
        <v>141</v>
      </c>
    </row>
    <row r="3631" spans="1:29" ht="25.5" customHeight="1" x14ac:dyDescent="0.35">
      <c r="A3631" s="188"/>
      <c r="B3631" s="190"/>
      <c r="C3631" s="99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0"/>
      <c r="E3631" s="78" t="str">
        <f>IF(C3631="","",IFERROR(VLOOKUP(C3631,parametros!$A$11:$E$15,5,0),""))</f>
        <v/>
      </c>
      <c r="F3631" s="79" t="str">
        <f t="shared" si="282"/>
        <v/>
      </c>
      <c r="G3631" s="101"/>
      <c r="H3631" s="91">
        <f t="shared" si="283"/>
        <v>0</v>
      </c>
      <c r="I3631" s="91" t="str">
        <f t="shared" si="284"/>
        <v/>
      </c>
      <c r="J3631" s="91" t="str">
        <f t="shared" si="285"/>
        <v/>
      </c>
      <c r="K3631" s="92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2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58"/>
      <c r="U3631" s="217" t="str">
        <f t="shared" si="286"/>
        <v/>
      </c>
      <c r="V3631" s="215" t="s">
        <v>47</v>
      </c>
      <c r="W3631" s="102" t="s">
        <v>136</v>
      </c>
      <c r="X3631" s="102" t="s">
        <v>137</v>
      </c>
      <c r="Y3631" s="103" t="s">
        <v>138</v>
      </c>
      <c r="Z3631" s="103" t="s">
        <v>139</v>
      </c>
      <c r="AA3631" s="103" t="s">
        <v>47</v>
      </c>
      <c r="AB3631" s="103" t="s">
        <v>140</v>
      </c>
      <c r="AC3631" s="104" t="s">
        <v>141</v>
      </c>
    </row>
    <row r="3632" spans="1:29" ht="25.5" customHeight="1" x14ac:dyDescent="0.35">
      <c r="A3632" s="188"/>
      <c r="B3632" s="190"/>
      <c r="C3632" s="99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0"/>
      <c r="E3632" s="78" t="str">
        <f>IF(C3632="","",IFERROR(VLOOKUP(C3632,parametros!$A$11:$E$15,5,0),""))</f>
        <v/>
      </c>
      <c r="F3632" s="79" t="str">
        <f t="shared" si="282"/>
        <v/>
      </c>
      <c r="G3632" s="101"/>
      <c r="H3632" s="91">
        <f t="shared" si="283"/>
        <v>0</v>
      </c>
      <c r="I3632" s="91" t="str">
        <f t="shared" si="284"/>
        <v/>
      </c>
      <c r="J3632" s="91" t="str">
        <f t="shared" si="285"/>
        <v/>
      </c>
      <c r="K3632" s="92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2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58"/>
      <c r="U3632" s="217" t="str">
        <f t="shared" si="286"/>
        <v/>
      </c>
      <c r="V3632" s="215" t="s">
        <v>47</v>
      </c>
      <c r="W3632" s="102" t="s">
        <v>136</v>
      </c>
      <c r="X3632" s="102" t="s">
        <v>137</v>
      </c>
      <c r="Y3632" s="103" t="s">
        <v>138</v>
      </c>
      <c r="Z3632" s="103" t="s">
        <v>139</v>
      </c>
      <c r="AA3632" s="103" t="s">
        <v>47</v>
      </c>
      <c r="AB3632" s="103" t="s">
        <v>140</v>
      </c>
      <c r="AC3632" s="104" t="s">
        <v>141</v>
      </c>
    </row>
    <row r="3633" spans="1:29" ht="25.5" customHeight="1" x14ac:dyDescent="0.35">
      <c r="A3633" s="188"/>
      <c r="B3633" s="190"/>
      <c r="C3633" s="99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0"/>
      <c r="E3633" s="78" t="str">
        <f>IF(C3633="","",IFERROR(VLOOKUP(C3633,parametros!$A$11:$E$15,5,0),""))</f>
        <v/>
      </c>
      <c r="F3633" s="79" t="str">
        <f t="shared" si="282"/>
        <v/>
      </c>
      <c r="G3633" s="101"/>
      <c r="H3633" s="91">
        <f t="shared" si="283"/>
        <v>0</v>
      </c>
      <c r="I3633" s="91" t="str">
        <f t="shared" si="284"/>
        <v/>
      </c>
      <c r="J3633" s="91" t="str">
        <f t="shared" si="285"/>
        <v/>
      </c>
      <c r="K3633" s="92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2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58"/>
      <c r="U3633" s="217" t="str">
        <f t="shared" si="286"/>
        <v/>
      </c>
      <c r="V3633" s="215" t="s">
        <v>47</v>
      </c>
      <c r="W3633" s="102" t="s">
        <v>136</v>
      </c>
      <c r="X3633" s="102" t="s">
        <v>137</v>
      </c>
      <c r="Y3633" s="103" t="s">
        <v>138</v>
      </c>
      <c r="Z3633" s="103" t="s">
        <v>139</v>
      </c>
      <c r="AA3633" s="103" t="s">
        <v>47</v>
      </c>
      <c r="AB3633" s="103" t="s">
        <v>140</v>
      </c>
      <c r="AC3633" s="104" t="s">
        <v>141</v>
      </c>
    </row>
    <row r="3634" spans="1:29" ht="25.5" customHeight="1" x14ac:dyDescent="0.35">
      <c r="A3634" s="188"/>
      <c r="B3634" s="190"/>
      <c r="C3634" s="99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0"/>
      <c r="E3634" s="78" t="str">
        <f>IF(C3634="","",IFERROR(VLOOKUP(C3634,parametros!$A$11:$E$15,5,0),""))</f>
        <v/>
      </c>
      <c r="F3634" s="79" t="str">
        <f t="shared" si="282"/>
        <v/>
      </c>
      <c r="G3634" s="101"/>
      <c r="H3634" s="91">
        <f t="shared" si="283"/>
        <v>0</v>
      </c>
      <c r="I3634" s="91" t="str">
        <f t="shared" si="284"/>
        <v/>
      </c>
      <c r="J3634" s="91" t="str">
        <f t="shared" si="285"/>
        <v/>
      </c>
      <c r="K3634" s="92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2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58"/>
      <c r="U3634" s="217" t="str">
        <f t="shared" si="286"/>
        <v/>
      </c>
      <c r="V3634" s="215" t="s">
        <v>47</v>
      </c>
      <c r="W3634" s="102" t="s">
        <v>136</v>
      </c>
      <c r="X3634" s="102" t="s">
        <v>137</v>
      </c>
      <c r="Y3634" s="103" t="s">
        <v>138</v>
      </c>
      <c r="Z3634" s="103" t="s">
        <v>139</v>
      </c>
      <c r="AA3634" s="103" t="s">
        <v>47</v>
      </c>
      <c r="AB3634" s="103" t="s">
        <v>140</v>
      </c>
      <c r="AC3634" s="104" t="s">
        <v>141</v>
      </c>
    </row>
    <row r="3635" spans="1:29" ht="25.5" customHeight="1" x14ac:dyDescent="0.35">
      <c r="A3635" s="188"/>
      <c r="B3635" s="190"/>
      <c r="C3635" s="99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0"/>
      <c r="E3635" s="78" t="str">
        <f>IF(C3635="","",IFERROR(VLOOKUP(C3635,parametros!$A$11:$E$15,5,0),""))</f>
        <v/>
      </c>
      <c r="F3635" s="79" t="str">
        <f t="shared" si="282"/>
        <v/>
      </c>
      <c r="G3635" s="101"/>
      <c r="H3635" s="91">
        <f t="shared" si="283"/>
        <v>0</v>
      </c>
      <c r="I3635" s="91" t="str">
        <f t="shared" si="284"/>
        <v/>
      </c>
      <c r="J3635" s="91" t="str">
        <f t="shared" si="285"/>
        <v/>
      </c>
      <c r="K3635" s="92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2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58"/>
      <c r="U3635" s="217" t="str">
        <f t="shared" si="286"/>
        <v/>
      </c>
      <c r="V3635" s="215" t="s">
        <v>47</v>
      </c>
      <c r="W3635" s="102" t="s">
        <v>136</v>
      </c>
      <c r="X3635" s="102" t="s">
        <v>137</v>
      </c>
      <c r="Y3635" s="103" t="s">
        <v>138</v>
      </c>
      <c r="Z3635" s="103" t="s">
        <v>139</v>
      </c>
      <c r="AA3635" s="103" t="s">
        <v>47</v>
      </c>
      <c r="AB3635" s="103" t="s">
        <v>140</v>
      </c>
      <c r="AC3635" s="104" t="s">
        <v>141</v>
      </c>
    </row>
    <row r="3636" spans="1:29" ht="25.5" customHeight="1" x14ac:dyDescent="0.35">
      <c r="A3636" s="188"/>
      <c r="B3636" s="190"/>
      <c r="C3636" s="99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0"/>
      <c r="E3636" s="78" t="str">
        <f>IF(C3636="","",IFERROR(VLOOKUP(C3636,parametros!$A$11:$E$15,5,0),""))</f>
        <v/>
      </c>
      <c r="F3636" s="79" t="str">
        <f t="shared" si="282"/>
        <v/>
      </c>
      <c r="G3636" s="101"/>
      <c r="H3636" s="91">
        <f t="shared" si="283"/>
        <v>0</v>
      </c>
      <c r="I3636" s="91" t="str">
        <f t="shared" si="284"/>
        <v/>
      </c>
      <c r="J3636" s="91" t="str">
        <f t="shared" si="285"/>
        <v/>
      </c>
      <c r="K3636" s="92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2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58"/>
      <c r="U3636" s="217" t="str">
        <f t="shared" si="286"/>
        <v/>
      </c>
      <c r="V3636" s="215" t="s">
        <v>47</v>
      </c>
      <c r="W3636" s="102" t="s">
        <v>136</v>
      </c>
      <c r="X3636" s="102" t="s">
        <v>137</v>
      </c>
      <c r="Y3636" s="103" t="s">
        <v>138</v>
      </c>
      <c r="Z3636" s="103" t="s">
        <v>139</v>
      </c>
      <c r="AA3636" s="103" t="s">
        <v>47</v>
      </c>
      <c r="AB3636" s="103" t="s">
        <v>140</v>
      </c>
      <c r="AC3636" s="104" t="s">
        <v>141</v>
      </c>
    </row>
    <row r="3637" spans="1:29" ht="25.5" customHeight="1" x14ac:dyDescent="0.35">
      <c r="A3637" s="188"/>
      <c r="B3637" s="190"/>
      <c r="C3637" s="99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0"/>
      <c r="E3637" s="78" t="str">
        <f>IF(C3637="","",IFERROR(VLOOKUP(C3637,parametros!$A$11:$E$15,5,0),""))</f>
        <v/>
      </c>
      <c r="F3637" s="79" t="str">
        <f t="shared" si="282"/>
        <v/>
      </c>
      <c r="G3637" s="101"/>
      <c r="H3637" s="91">
        <f t="shared" si="283"/>
        <v>0</v>
      </c>
      <c r="I3637" s="91" t="str">
        <f t="shared" si="284"/>
        <v/>
      </c>
      <c r="J3637" s="91" t="str">
        <f t="shared" si="285"/>
        <v/>
      </c>
      <c r="K3637" s="92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2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58"/>
      <c r="U3637" s="217" t="str">
        <f t="shared" si="286"/>
        <v/>
      </c>
      <c r="V3637" s="215" t="s">
        <v>47</v>
      </c>
      <c r="W3637" s="102" t="s">
        <v>136</v>
      </c>
      <c r="X3637" s="102" t="s">
        <v>137</v>
      </c>
      <c r="Y3637" s="103" t="s">
        <v>138</v>
      </c>
      <c r="Z3637" s="103" t="s">
        <v>139</v>
      </c>
      <c r="AA3637" s="103" t="s">
        <v>47</v>
      </c>
      <c r="AB3637" s="103" t="s">
        <v>140</v>
      </c>
      <c r="AC3637" s="104" t="s">
        <v>141</v>
      </c>
    </row>
    <row r="3638" spans="1:29" ht="25.5" customHeight="1" x14ac:dyDescent="0.35">
      <c r="A3638" s="188"/>
      <c r="B3638" s="190"/>
      <c r="C3638" s="99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0"/>
      <c r="E3638" s="78" t="str">
        <f>IF(C3638="","",IFERROR(VLOOKUP(C3638,parametros!$A$11:$E$15,5,0),""))</f>
        <v/>
      </c>
      <c r="F3638" s="79" t="str">
        <f t="shared" si="282"/>
        <v/>
      </c>
      <c r="G3638" s="101"/>
      <c r="H3638" s="91">
        <f t="shared" si="283"/>
        <v>0</v>
      </c>
      <c r="I3638" s="91" t="str">
        <f t="shared" si="284"/>
        <v/>
      </c>
      <c r="J3638" s="91" t="str">
        <f t="shared" si="285"/>
        <v/>
      </c>
      <c r="K3638" s="92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2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58"/>
      <c r="U3638" s="217" t="str">
        <f t="shared" si="286"/>
        <v/>
      </c>
      <c r="V3638" s="215" t="s">
        <v>47</v>
      </c>
      <c r="W3638" s="102" t="s">
        <v>136</v>
      </c>
      <c r="X3638" s="102" t="s">
        <v>137</v>
      </c>
      <c r="Y3638" s="103" t="s">
        <v>138</v>
      </c>
      <c r="Z3638" s="103" t="s">
        <v>139</v>
      </c>
      <c r="AA3638" s="103" t="s">
        <v>47</v>
      </c>
      <c r="AB3638" s="103" t="s">
        <v>140</v>
      </c>
      <c r="AC3638" s="104" t="s">
        <v>141</v>
      </c>
    </row>
    <row r="3639" spans="1:29" ht="25.5" customHeight="1" x14ac:dyDescent="0.35">
      <c r="A3639" s="188"/>
      <c r="B3639" s="190"/>
      <c r="C3639" s="99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0"/>
      <c r="E3639" s="78" t="str">
        <f>IF(C3639="","",IFERROR(VLOOKUP(C3639,parametros!$A$11:$E$15,5,0),""))</f>
        <v/>
      </c>
      <c r="F3639" s="79" t="str">
        <f t="shared" si="282"/>
        <v/>
      </c>
      <c r="G3639" s="101"/>
      <c r="H3639" s="91">
        <f t="shared" si="283"/>
        <v>0</v>
      </c>
      <c r="I3639" s="91" t="str">
        <f t="shared" si="284"/>
        <v/>
      </c>
      <c r="J3639" s="91" t="str">
        <f t="shared" si="285"/>
        <v/>
      </c>
      <c r="K3639" s="92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2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58"/>
      <c r="U3639" s="217" t="str">
        <f t="shared" si="286"/>
        <v/>
      </c>
      <c r="V3639" s="215" t="s">
        <v>47</v>
      </c>
      <c r="W3639" s="102" t="s">
        <v>136</v>
      </c>
      <c r="X3639" s="102" t="s">
        <v>137</v>
      </c>
      <c r="Y3639" s="103" t="s">
        <v>138</v>
      </c>
      <c r="Z3639" s="103" t="s">
        <v>139</v>
      </c>
      <c r="AA3639" s="103" t="s">
        <v>47</v>
      </c>
      <c r="AB3639" s="103" t="s">
        <v>140</v>
      </c>
      <c r="AC3639" s="104" t="s">
        <v>141</v>
      </c>
    </row>
    <row r="3640" spans="1:29" ht="25.5" customHeight="1" x14ac:dyDescent="0.35">
      <c r="A3640" s="188"/>
      <c r="B3640" s="190"/>
      <c r="C3640" s="99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0"/>
      <c r="E3640" s="78" t="str">
        <f>IF(C3640="","",IFERROR(VLOOKUP(C3640,parametros!$A$11:$E$15,5,0),""))</f>
        <v/>
      </c>
      <c r="F3640" s="79" t="str">
        <f t="shared" si="282"/>
        <v/>
      </c>
      <c r="G3640" s="101"/>
      <c r="H3640" s="91">
        <f t="shared" si="283"/>
        <v>0</v>
      </c>
      <c r="I3640" s="91" t="str">
        <f t="shared" si="284"/>
        <v/>
      </c>
      <c r="J3640" s="91" t="str">
        <f t="shared" si="285"/>
        <v/>
      </c>
      <c r="K3640" s="92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2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58"/>
      <c r="U3640" s="217" t="str">
        <f t="shared" si="286"/>
        <v/>
      </c>
      <c r="V3640" s="215" t="s">
        <v>47</v>
      </c>
      <c r="W3640" s="102" t="s">
        <v>136</v>
      </c>
      <c r="X3640" s="102" t="s">
        <v>137</v>
      </c>
      <c r="Y3640" s="103" t="s">
        <v>138</v>
      </c>
      <c r="Z3640" s="103" t="s">
        <v>139</v>
      </c>
      <c r="AA3640" s="103" t="s">
        <v>47</v>
      </c>
      <c r="AB3640" s="103" t="s">
        <v>140</v>
      </c>
      <c r="AC3640" s="104" t="s">
        <v>141</v>
      </c>
    </row>
    <row r="3641" spans="1:29" ht="25.5" customHeight="1" x14ac:dyDescent="0.35">
      <c r="A3641" s="188"/>
      <c r="B3641" s="190"/>
      <c r="C3641" s="99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0"/>
      <c r="E3641" s="78" t="str">
        <f>IF(C3641="","",IFERROR(VLOOKUP(C3641,parametros!$A$11:$E$15,5,0),""))</f>
        <v/>
      </c>
      <c r="F3641" s="79" t="str">
        <f t="shared" si="282"/>
        <v/>
      </c>
      <c r="G3641" s="101"/>
      <c r="H3641" s="91">
        <f t="shared" si="283"/>
        <v>0</v>
      </c>
      <c r="I3641" s="91" t="str">
        <f t="shared" si="284"/>
        <v/>
      </c>
      <c r="J3641" s="91" t="str">
        <f t="shared" si="285"/>
        <v/>
      </c>
      <c r="K3641" s="92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2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58"/>
      <c r="U3641" s="217" t="str">
        <f t="shared" si="286"/>
        <v/>
      </c>
      <c r="V3641" s="215" t="s">
        <v>47</v>
      </c>
      <c r="W3641" s="102" t="s">
        <v>136</v>
      </c>
      <c r="X3641" s="102" t="s">
        <v>137</v>
      </c>
      <c r="Y3641" s="103" t="s">
        <v>138</v>
      </c>
      <c r="Z3641" s="103" t="s">
        <v>139</v>
      </c>
      <c r="AA3641" s="103" t="s">
        <v>47</v>
      </c>
      <c r="AB3641" s="103" t="s">
        <v>140</v>
      </c>
      <c r="AC3641" s="104" t="s">
        <v>141</v>
      </c>
    </row>
    <row r="3642" spans="1:29" ht="25.5" customHeight="1" x14ac:dyDescent="0.35">
      <c r="A3642" s="188"/>
      <c r="B3642" s="190"/>
      <c r="C3642" s="99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0"/>
      <c r="E3642" s="78" t="str">
        <f>IF(C3642="","",IFERROR(VLOOKUP(C3642,parametros!$A$11:$E$15,5,0),""))</f>
        <v/>
      </c>
      <c r="F3642" s="79" t="str">
        <f t="shared" si="282"/>
        <v/>
      </c>
      <c r="G3642" s="101"/>
      <c r="H3642" s="91">
        <f t="shared" si="283"/>
        <v>0</v>
      </c>
      <c r="I3642" s="91" t="str">
        <f t="shared" si="284"/>
        <v/>
      </c>
      <c r="J3642" s="91" t="str">
        <f t="shared" si="285"/>
        <v/>
      </c>
      <c r="K3642" s="92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2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58"/>
      <c r="U3642" s="217" t="str">
        <f t="shared" si="286"/>
        <v/>
      </c>
      <c r="V3642" s="215" t="s">
        <v>47</v>
      </c>
      <c r="W3642" s="102" t="s">
        <v>136</v>
      </c>
      <c r="X3642" s="102" t="s">
        <v>137</v>
      </c>
      <c r="Y3642" s="103" t="s">
        <v>138</v>
      </c>
      <c r="Z3642" s="103" t="s">
        <v>139</v>
      </c>
      <c r="AA3642" s="103" t="s">
        <v>47</v>
      </c>
      <c r="AB3642" s="103" t="s">
        <v>140</v>
      </c>
      <c r="AC3642" s="104" t="s">
        <v>141</v>
      </c>
    </row>
    <row r="3643" spans="1:29" ht="25.5" customHeight="1" x14ac:dyDescent="0.35">
      <c r="A3643" s="188"/>
      <c r="B3643" s="190"/>
      <c r="C3643" s="99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0"/>
      <c r="E3643" s="78" t="str">
        <f>IF(C3643="","",IFERROR(VLOOKUP(C3643,parametros!$A$11:$E$15,5,0),""))</f>
        <v/>
      </c>
      <c r="F3643" s="79" t="str">
        <f t="shared" si="282"/>
        <v/>
      </c>
      <c r="G3643" s="101"/>
      <c r="H3643" s="91">
        <f t="shared" si="283"/>
        <v>0</v>
      </c>
      <c r="I3643" s="91" t="str">
        <f t="shared" si="284"/>
        <v/>
      </c>
      <c r="J3643" s="91" t="str">
        <f t="shared" si="285"/>
        <v/>
      </c>
      <c r="K3643" s="92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2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58"/>
      <c r="U3643" s="217" t="str">
        <f t="shared" si="286"/>
        <v/>
      </c>
      <c r="V3643" s="215" t="s">
        <v>47</v>
      </c>
      <c r="W3643" s="102" t="s">
        <v>136</v>
      </c>
      <c r="X3643" s="102" t="s">
        <v>137</v>
      </c>
      <c r="Y3643" s="103" t="s">
        <v>138</v>
      </c>
      <c r="Z3643" s="103" t="s">
        <v>139</v>
      </c>
      <c r="AA3643" s="103" t="s">
        <v>47</v>
      </c>
      <c r="AB3643" s="103" t="s">
        <v>140</v>
      </c>
      <c r="AC3643" s="104" t="s">
        <v>141</v>
      </c>
    </row>
    <row r="3644" spans="1:29" ht="25.5" customHeight="1" x14ac:dyDescent="0.35">
      <c r="A3644" s="188"/>
      <c r="B3644" s="190"/>
      <c r="C3644" s="99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0"/>
      <c r="E3644" s="78" t="str">
        <f>IF(C3644="","",IFERROR(VLOOKUP(C3644,parametros!$A$11:$E$15,5,0),""))</f>
        <v/>
      </c>
      <c r="F3644" s="79" t="str">
        <f t="shared" si="282"/>
        <v/>
      </c>
      <c r="G3644" s="101"/>
      <c r="H3644" s="91">
        <f t="shared" si="283"/>
        <v>0</v>
      </c>
      <c r="I3644" s="91" t="str">
        <f t="shared" si="284"/>
        <v/>
      </c>
      <c r="J3644" s="91" t="str">
        <f t="shared" si="285"/>
        <v/>
      </c>
      <c r="K3644" s="92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2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58"/>
      <c r="U3644" s="217" t="str">
        <f t="shared" si="286"/>
        <v/>
      </c>
      <c r="V3644" s="215" t="s">
        <v>47</v>
      </c>
      <c r="W3644" s="102" t="s">
        <v>136</v>
      </c>
      <c r="X3644" s="102" t="s">
        <v>137</v>
      </c>
      <c r="Y3644" s="103" t="s">
        <v>138</v>
      </c>
      <c r="Z3644" s="103" t="s">
        <v>139</v>
      </c>
      <c r="AA3644" s="103" t="s">
        <v>47</v>
      </c>
      <c r="AB3644" s="103" t="s">
        <v>140</v>
      </c>
      <c r="AC3644" s="104" t="s">
        <v>141</v>
      </c>
    </row>
    <row r="3645" spans="1:29" ht="25.5" customHeight="1" x14ac:dyDescent="0.35">
      <c r="A3645" s="188"/>
      <c r="B3645" s="190"/>
      <c r="C3645" s="99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0"/>
      <c r="E3645" s="78" t="str">
        <f>IF(C3645="","",IFERROR(VLOOKUP(C3645,parametros!$A$11:$E$15,5,0),""))</f>
        <v/>
      </c>
      <c r="F3645" s="79" t="str">
        <f t="shared" si="282"/>
        <v/>
      </c>
      <c r="G3645" s="101"/>
      <c r="H3645" s="91">
        <f t="shared" si="283"/>
        <v>0</v>
      </c>
      <c r="I3645" s="91" t="str">
        <f t="shared" si="284"/>
        <v/>
      </c>
      <c r="J3645" s="91" t="str">
        <f t="shared" si="285"/>
        <v/>
      </c>
      <c r="K3645" s="92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2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58"/>
      <c r="U3645" s="217" t="str">
        <f t="shared" si="286"/>
        <v/>
      </c>
      <c r="V3645" s="215" t="s">
        <v>47</v>
      </c>
      <c r="W3645" s="102" t="s">
        <v>136</v>
      </c>
      <c r="X3645" s="102" t="s">
        <v>137</v>
      </c>
      <c r="Y3645" s="103" t="s">
        <v>138</v>
      </c>
      <c r="Z3645" s="103" t="s">
        <v>139</v>
      </c>
      <c r="AA3645" s="103" t="s">
        <v>47</v>
      </c>
      <c r="AB3645" s="103" t="s">
        <v>140</v>
      </c>
      <c r="AC3645" s="104" t="s">
        <v>141</v>
      </c>
    </row>
    <row r="3646" spans="1:29" ht="25.5" customHeight="1" x14ac:dyDescent="0.35">
      <c r="A3646" s="188"/>
      <c r="B3646" s="190"/>
      <c r="C3646" s="99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0"/>
      <c r="E3646" s="78" t="str">
        <f>IF(C3646="","",IFERROR(VLOOKUP(C3646,parametros!$A$11:$E$15,5,0),""))</f>
        <v/>
      </c>
      <c r="F3646" s="79" t="str">
        <f t="shared" si="282"/>
        <v/>
      </c>
      <c r="G3646" s="101"/>
      <c r="H3646" s="91">
        <f t="shared" si="283"/>
        <v>0</v>
      </c>
      <c r="I3646" s="91" t="str">
        <f t="shared" si="284"/>
        <v/>
      </c>
      <c r="J3646" s="91" t="str">
        <f t="shared" si="285"/>
        <v/>
      </c>
      <c r="K3646" s="92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2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58"/>
      <c r="U3646" s="217" t="str">
        <f t="shared" si="286"/>
        <v/>
      </c>
      <c r="V3646" s="215" t="s">
        <v>47</v>
      </c>
      <c r="W3646" s="102" t="s">
        <v>136</v>
      </c>
      <c r="X3646" s="102" t="s">
        <v>137</v>
      </c>
      <c r="Y3646" s="103" t="s">
        <v>138</v>
      </c>
      <c r="Z3646" s="103" t="s">
        <v>139</v>
      </c>
      <c r="AA3646" s="103" t="s">
        <v>47</v>
      </c>
      <c r="AB3646" s="103" t="s">
        <v>140</v>
      </c>
      <c r="AC3646" s="104" t="s">
        <v>141</v>
      </c>
    </row>
    <row r="3647" spans="1:29" ht="25.5" customHeight="1" x14ac:dyDescent="0.35">
      <c r="A3647" s="188"/>
      <c r="B3647" s="190"/>
      <c r="C3647" s="99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0"/>
      <c r="E3647" s="78" t="str">
        <f>IF(C3647="","",IFERROR(VLOOKUP(C3647,parametros!$A$11:$E$15,5,0),""))</f>
        <v/>
      </c>
      <c r="F3647" s="79" t="str">
        <f t="shared" si="282"/>
        <v/>
      </c>
      <c r="G3647" s="101"/>
      <c r="H3647" s="91">
        <f t="shared" si="283"/>
        <v>0</v>
      </c>
      <c r="I3647" s="91" t="str">
        <f t="shared" si="284"/>
        <v/>
      </c>
      <c r="J3647" s="91" t="str">
        <f t="shared" si="285"/>
        <v/>
      </c>
      <c r="K3647" s="92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2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58"/>
      <c r="U3647" s="217" t="str">
        <f t="shared" si="286"/>
        <v/>
      </c>
      <c r="V3647" s="215" t="s">
        <v>47</v>
      </c>
      <c r="W3647" s="102" t="s">
        <v>136</v>
      </c>
      <c r="X3647" s="102" t="s">
        <v>137</v>
      </c>
      <c r="Y3647" s="103" t="s">
        <v>138</v>
      </c>
      <c r="Z3647" s="103" t="s">
        <v>139</v>
      </c>
      <c r="AA3647" s="103" t="s">
        <v>47</v>
      </c>
      <c r="AB3647" s="103" t="s">
        <v>140</v>
      </c>
      <c r="AC3647" s="104" t="s">
        <v>141</v>
      </c>
    </row>
    <row r="3648" spans="1:29" ht="25.5" customHeight="1" x14ac:dyDescent="0.35">
      <c r="A3648" s="188"/>
      <c r="B3648" s="190"/>
      <c r="C3648" s="99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0"/>
      <c r="E3648" s="78" t="str">
        <f>IF(C3648="","",IFERROR(VLOOKUP(C3648,parametros!$A$11:$E$15,5,0),""))</f>
        <v/>
      </c>
      <c r="F3648" s="79" t="str">
        <f t="shared" si="282"/>
        <v/>
      </c>
      <c r="G3648" s="101"/>
      <c r="H3648" s="91">
        <f t="shared" si="283"/>
        <v>0</v>
      </c>
      <c r="I3648" s="91" t="str">
        <f t="shared" si="284"/>
        <v/>
      </c>
      <c r="J3648" s="91" t="str">
        <f t="shared" si="285"/>
        <v/>
      </c>
      <c r="K3648" s="92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2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58"/>
      <c r="U3648" s="217" t="str">
        <f t="shared" si="286"/>
        <v/>
      </c>
      <c r="V3648" s="215" t="s">
        <v>47</v>
      </c>
      <c r="W3648" s="102" t="s">
        <v>136</v>
      </c>
      <c r="X3648" s="102" t="s">
        <v>137</v>
      </c>
      <c r="Y3648" s="103" t="s">
        <v>138</v>
      </c>
      <c r="Z3648" s="103" t="s">
        <v>139</v>
      </c>
      <c r="AA3648" s="103" t="s">
        <v>47</v>
      </c>
      <c r="AB3648" s="103" t="s">
        <v>140</v>
      </c>
      <c r="AC3648" s="104" t="s">
        <v>141</v>
      </c>
    </row>
    <row r="3649" spans="1:29" ht="25.5" customHeight="1" x14ac:dyDescent="0.35">
      <c r="A3649" s="188"/>
      <c r="B3649" s="190"/>
      <c r="C3649" s="99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0"/>
      <c r="E3649" s="78" t="str">
        <f>IF(C3649="","",IFERROR(VLOOKUP(C3649,parametros!$A$11:$E$15,5,0),""))</f>
        <v/>
      </c>
      <c r="F3649" s="79" t="str">
        <f t="shared" si="282"/>
        <v/>
      </c>
      <c r="G3649" s="101"/>
      <c r="H3649" s="91">
        <f t="shared" si="283"/>
        <v>0</v>
      </c>
      <c r="I3649" s="91" t="str">
        <f t="shared" si="284"/>
        <v/>
      </c>
      <c r="J3649" s="91" t="str">
        <f t="shared" si="285"/>
        <v/>
      </c>
      <c r="K3649" s="92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2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58"/>
      <c r="U3649" s="217" t="str">
        <f t="shared" si="286"/>
        <v/>
      </c>
      <c r="V3649" s="215" t="s">
        <v>47</v>
      </c>
      <c r="W3649" s="102" t="s">
        <v>136</v>
      </c>
      <c r="X3649" s="102" t="s">
        <v>137</v>
      </c>
      <c r="Y3649" s="103" t="s">
        <v>138</v>
      </c>
      <c r="Z3649" s="103" t="s">
        <v>139</v>
      </c>
      <c r="AA3649" s="103" t="s">
        <v>47</v>
      </c>
      <c r="AB3649" s="103" t="s">
        <v>140</v>
      </c>
      <c r="AC3649" s="104" t="s">
        <v>141</v>
      </c>
    </row>
    <row r="3650" spans="1:29" ht="25.5" customHeight="1" x14ac:dyDescent="0.35">
      <c r="A3650" s="188"/>
      <c r="B3650" s="190"/>
      <c r="C3650" s="99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0"/>
      <c r="E3650" s="78" t="str">
        <f>IF(C3650="","",IFERROR(VLOOKUP(C3650,parametros!$A$11:$E$15,5,0),""))</f>
        <v/>
      </c>
      <c r="F3650" s="79" t="str">
        <f t="shared" ref="F3650:F3713" si="287">IF(OR(D3650="",E3650=""),"",ROUND(D3650*E3650,2))</f>
        <v/>
      </c>
      <c r="G3650" s="101"/>
      <c r="H3650" s="91">
        <f t="shared" ref="H3650:H3713" si="288">IF(G3650="Sim",IF(OR(F3650="",D3650="",L3650=""),"",IF(L3650="Sim",ROUND(F3650-D3650,2),0)),0)</f>
        <v>0</v>
      </c>
      <c r="I3650" s="91" t="str">
        <f t="shared" ref="I3650:I3713" si="289">IF(G3650="Sim",0,IF(OR(F3650="",L3650=""),"",F3650))</f>
        <v/>
      </c>
      <c r="J3650" s="91" t="str">
        <f t="shared" ref="J3650:J3713" si="290">IF(G3650="Sim",0,IF(OR(F3650="",D3650="",L3650=""),"",IF(L3650="Sim",ROUND(F3650-D3650,2),0)))</f>
        <v/>
      </c>
      <c r="K3650" s="92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2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58"/>
      <c r="U3650" s="217" t="str">
        <f t="shared" ref="U3650:U3713" si="291">IF(OR($D3650="",$H3650=""),"",ROUND($D3650+$H3650,2))</f>
        <v/>
      </c>
      <c r="V3650" s="215" t="s">
        <v>47</v>
      </c>
      <c r="W3650" s="102" t="s">
        <v>136</v>
      </c>
      <c r="X3650" s="102" t="s">
        <v>137</v>
      </c>
      <c r="Y3650" s="103" t="s">
        <v>138</v>
      </c>
      <c r="Z3650" s="103" t="s">
        <v>139</v>
      </c>
      <c r="AA3650" s="103" t="s">
        <v>47</v>
      </c>
      <c r="AB3650" s="103" t="s">
        <v>140</v>
      </c>
      <c r="AC3650" s="104" t="s">
        <v>141</v>
      </c>
    </row>
    <row r="3651" spans="1:29" ht="25.5" customHeight="1" x14ac:dyDescent="0.35">
      <c r="A3651" s="188"/>
      <c r="B3651" s="190"/>
      <c r="C3651" s="99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0"/>
      <c r="E3651" s="78" t="str">
        <f>IF(C3651="","",IFERROR(VLOOKUP(C3651,parametros!$A$11:$E$15,5,0),""))</f>
        <v/>
      </c>
      <c r="F3651" s="79" t="str">
        <f t="shared" si="287"/>
        <v/>
      </c>
      <c r="G3651" s="101"/>
      <c r="H3651" s="91">
        <f t="shared" si="288"/>
        <v>0</v>
      </c>
      <c r="I3651" s="91" t="str">
        <f t="shared" si="289"/>
        <v/>
      </c>
      <c r="J3651" s="91" t="str">
        <f t="shared" si="290"/>
        <v/>
      </c>
      <c r="K3651" s="92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2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58"/>
      <c r="U3651" s="217" t="str">
        <f t="shared" si="291"/>
        <v/>
      </c>
      <c r="V3651" s="215" t="s">
        <v>47</v>
      </c>
      <c r="W3651" s="102" t="s">
        <v>136</v>
      </c>
      <c r="X3651" s="102" t="s">
        <v>137</v>
      </c>
      <c r="Y3651" s="103" t="s">
        <v>138</v>
      </c>
      <c r="Z3651" s="103" t="s">
        <v>139</v>
      </c>
      <c r="AA3651" s="103" t="s">
        <v>47</v>
      </c>
      <c r="AB3651" s="103" t="s">
        <v>140</v>
      </c>
      <c r="AC3651" s="104" t="s">
        <v>141</v>
      </c>
    </row>
    <row r="3652" spans="1:29" ht="25.5" customHeight="1" x14ac:dyDescent="0.35">
      <c r="A3652" s="188"/>
      <c r="B3652" s="190"/>
      <c r="C3652" s="99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0"/>
      <c r="E3652" s="78" t="str">
        <f>IF(C3652="","",IFERROR(VLOOKUP(C3652,parametros!$A$11:$E$15,5,0),""))</f>
        <v/>
      </c>
      <c r="F3652" s="79" t="str">
        <f t="shared" si="287"/>
        <v/>
      </c>
      <c r="G3652" s="101"/>
      <c r="H3652" s="91">
        <f t="shared" si="288"/>
        <v>0</v>
      </c>
      <c r="I3652" s="91" t="str">
        <f t="shared" si="289"/>
        <v/>
      </c>
      <c r="J3652" s="91" t="str">
        <f t="shared" si="290"/>
        <v/>
      </c>
      <c r="K3652" s="92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2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58"/>
      <c r="U3652" s="217" t="str">
        <f t="shared" si="291"/>
        <v/>
      </c>
      <c r="V3652" s="215" t="s">
        <v>47</v>
      </c>
      <c r="W3652" s="102" t="s">
        <v>136</v>
      </c>
      <c r="X3652" s="102" t="s">
        <v>137</v>
      </c>
      <c r="Y3652" s="103" t="s">
        <v>138</v>
      </c>
      <c r="Z3652" s="103" t="s">
        <v>139</v>
      </c>
      <c r="AA3652" s="103" t="s">
        <v>47</v>
      </c>
      <c r="AB3652" s="103" t="s">
        <v>140</v>
      </c>
      <c r="AC3652" s="104" t="s">
        <v>141</v>
      </c>
    </row>
    <row r="3653" spans="1:29" ht="25.5" customHeight="1" x14ac:dyDescent="0.35">
      <c r="A3653" s="188"/>
      <c r="B3653" s="190"/>
      <c r="C3653" s="99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0"/>
      <c r="E3653" s="78" t="str">
        <f>IF(C3653="","",IFERROR(VLOOKUP(C3653,parametros!$A$11:$E$15,5,0),""))</f>
        <v/>
      </c>
      <c r="F3653" s="79" t="str">
        <f t="shared" si="287"/>
        <v/>
      </c>
      <c r="G3653" s="101"/>
      <c r="H3653" s="91">
        <f t="shared" si="288"/>
        <v>0</v>
      </c>
      <c r="I3653" s="91" t="str">
        <f t="shared" si="289"/>
        <v/>
      </c>
      <c r="J3653" s="91" t="str">
        <f t="shared" si="290"/>
        <v/>
      </c>
      <c r="K3653" s="92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2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58"/>
      <c r="U3653" s="217" t="str">
        <f t="shared" si="291"/>
        <v/>
      </c>
      <c r="V3653" s="215" t="s">
        <v>47</v>
      </c>
      <c r="W3653" s="102" t="s">
        <v>136</v>
      </c>
      <c r="X3653" s="102" t="s">
        <v>137</v>
      </c>
      <c r="Y3653" s="103" t="s">
        <v>138</v>
      </c>
      <c r="Z3653" s="103" t="s">
        <v>139</v>
      </c>
      <c r="AA3653" s="103" t="s">
        <v>47</v>
      </c>
      <c r="AB3653" s="103" t="s">
        <v>140</v>
      </c>
      <c r="AC3653" s="104" t="s">
        <v>141</v>
      </c>
    </row>
    <row r="3654" spans="1:29" ht="25.5" customHeight="1" x14ac:dyDescent="0.35">
      <c r="A3654" s="188"/>
      <c r="B3654" s="190"/>
      <c r="C3654" s="99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0"/>
      <c r="E3654" s="78" t="str">
        <f>IF(C3654="","",IFERROR(VLOOKUP(C3654,parametros!$A$11:$E$15,5,0),""))</f>
        <v/>
      </c>
      <c r="F3654" s="79" t="str">
        <f t="shared" si="287"/>
        <v/>
      </c>
      <c r="G3654" s="101"/>
      <c r="H3654" s="91">
        <f t="shared" si="288"/>
        <v>0</v>
      </c>
      <c r="I3654" s="91" t="str">
        <f t="shared" si="289"/>
        <v/>
      </c>
      <c r="J3654" s="91" t="str">
        <f t="shared" si="290"/>
        <v/>
      </c>
      <c r="K3654" s="92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2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58"/>
      <c r="U3654" s="217" t="str">
        <f t="shared" si="291"/>
        <v/>
      </c>
      <c r="V3654" s="215" t="s">
        <v>47</v>
      </c>
      <c r="W3654" s="102" t="s">
        <v>136</v>
      </c>
      <c r="X3654" s="102" t="s">
        <v>137</v>
      </c>
      <c r="Y3654" s="103" t="s">
        <v>138</v>
      </c>
      <c r="Z3654" s="103" t="s">
        <v>139</v>
      </c>
      <c r="AA3654" s="103" t="s">
        <v>47</v>
      </c>
      <c r="AB3654" s="103" t="s">
        <v>140</v>
      </c>
      <c r="AC3654" s="104" t="s">
        <v>141</v>
      </c>
    </row>
    <row r="3655" spans="1:29" ht="25.5" customHeight="1" x14ac:dyDescent="0.35">
      <c r="A3655" s="188"/>
      <c r="B3655" s="190"/>
      <c r="C3655" s="99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0"/>
      <c r="E3655" s="78" t="str">
        <f>IF(C3655="","",IFERROR(VLOOKUP(C3655,parametros!$A$11:$E$15,5,0),""))</f>
        <v/>
      </c>
      <c r="F3655" s="79" t="str">
        <f t="shared" si="287"/>
        <v/>
      </c>
      <c r="G3655" s="101"/>
      <c r="H3655" s="91">
        <f t="shared" si="288"/>
        <v>0</v>
      </c>
      <c r="I3655" s="91" t="str">
        <f t="shared" si="289"/>
        <v/>
      </c>
      <c r="J3655" s="91" t="str">
        <f t="shared" si="290"/>
        <v/>
      </c>
      <c r="K3655" s="92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2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58"/>
      <c r="U3655" s="217" t="str">
        <f t="shared" si="291"/>
        <v/>
      </c>
      <c r="V3655" s="215" t="s">
        <v>47</v>
      </c>
      <c r="W3655" s="102" t="s">
        <v>136</v>
      </c>
      <c r="X3655" s="102" t="s">
        <v>137</v>
      </c>
      <c r="Y3655" s="103" t="s">
        <v>138</v>
      </c>
      <c r="Z3655" s="103" t="s">
        <v>139</v>
      </c>
      <c r="AA3655" s="103" t="s">
        <v>47</v>
      </c>
      <c r="AB3655" s="103" t="s">
        <v>140</v>
      </c>
      <c r="AC3655" s="104" t="s">
        <v>141</v>
      </c>
    </row>
    <row r="3656" spans="1:29" ht="25.5" customHeight="1" x14ac:dyDescent="0.35">
      <c r="A3656" s="188"/>
      <c r="B3656" s="190"/>
      <c r="C3656" s="99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0"/>
      <c r="E3656" s="78" t="str">
        <f>IF(C3656="","",IFERROR(VLOOKUP(C3656,parametros!$A$11:$E$15,5,0),""))</f>
        <v/>
      </c>
      <c r="F3656" s="79" t="str">
        <f t="shared" si="287"/>
        <v/>
      </c>
      <c r="G3656" s="101"/>
      <c r="H3656" s="91">
        <f t="shared" si="288"/>
        <v>0</v>
      </c>
      <c r="I3656" s="91" t="str">
        <f t="shared" si="289"/>
        <v/>
      </c>
      <c r="J3656" s="91" t="str">
        <f t="shared" si="290"/>
        <v/>
      </c>
      <c r="K3656" s="92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2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58"/>
      <c r="U3656" s="217" t="str">
        <f t="shared" si="291"/>
        <v/>
      </c>
      <c r="V3656" s="215" t="s">
        <v>47</v>
      </c>
      <c r="W3656" s="102" t="s">
        <v>136</v>
      </c>
      <c r="X3656" s="102" t="s">
        <v>137</v>
      </c>
      <c r="Y3656" s="103" t="s">
        <v>138</v>
      </c>
      <c r="Z3656" s="103" t="s">
        <v>139</v>
      </c>
      <c r="AA3656" s="103" t="s">
        <v>47</v>
      </c>
      <c r="AB3656" s="103" t="s">
        <v>140</v>
      </c>
      <c r="AC3656" s="104" t="s">
        <v>141</v>
      </c>
    </row>
    <row r="3657" spans="1:29" ht="25.5" customHeight="1" x14ac:dyDescent="0.35">
      <c r="A3657" s="188"/>
      <c r="B3657" s="190"/>
      <c r="C3657" s="99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0"/>
      <c r="E3657" s="78" t="str">
        <f>IF(C3657="","",IFERROR(VLOOKUP(C3657,parametros!$A$11:$E$15,5,0),""))</f>
        <v/>
      </c>
      <c r="F3657" s="79" t="str">
        <f t="shared" si="287"/>
        <v/>
      </c>
      <c r="G3657" s="101"/>
      <c r="H3657" s="91">
        <f t="shared" si="288"/>
        <v>0</v>
      </c>
      <c r="I3657" s="91" t="str">
        <f t="shared" si="289"/>
        <v/>
      </c>
      <c r="J3657" s="91" t="str">
        <f t="shared" si="290"/>
        <v/>
      </c>
      <c r="K3657" s="92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2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58"/>
      <c r="U3657" s="217" t="str">
        <f t="shared" si="291"/>
        <v/>
      </c>
      <c r="V3657" s="215" t="s">
        <v>47</v>
      </c>
      <c r="W3657" s="102" t="s">
        <v>136</v>
      </c>
      <c r="X3657" s="102" t="s">
        <v>137</v>
      </c>
      <c r="Y3657" s="103" t="s">
        <v>138</v>
      </c>
      <c r="Z3657" s="103" t="s">
        <v>139</v>
      </c>
      <c r="AA3657" s="103" t="s">
        <v>47</v>
      </c>
      <c r="AB3657" s="103" t="s">
        <v>140</v>
      </c>
      <c r="AC3657" s="104" t="s">
        <v>141</v>
      </c>
    </row>
    <row r="3658" spans="1:29" ht="25.5" customHeight="1" x14ac:dyDescent="0.35">
      <c r="A3658" s="188"/>
      <c r="B3658" s="190"/>
      <c r="C3658" s="99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0"/>
      <c r="E3658" s="78" t="str">
        <f>IF(C3658="","",IFERROR(VLOOKUP(C3658,parametros!$A$11:$E$15,5,0),""))</f>
        <v/>
      </c>
      <c r="F3658" s="79" t="str">
        <f t="shared" si="287"/>
        <v/>
      </c>
      <c r="G3658" s="101"/>
      <c r="H3658" s="91">
        <f t="shared" si="288"/>
        <v>0</v>
      </c>
      <c r="I3658" s="91" t="str">
        <f t="shared" si="289"/>
        <v/>
      </c>
      <c r="J3658" s="91" t="str">
        <f t="shared" si="290"/>
        <v/>
      </c>
      <c r="K3658" s="92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2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58"/>
      <c r="U3658" s="217" t="str">
        <f t="shared" si="291"/>
        <v/>
      </c>
      <c r="V3658" s="215" t="s">
        <v>47</v>
      </c>
      <c r="W3658" s="102" t="s">
        <v>136</v>
      </c>
      <c r="X3658" s="102" t="s">
        <v>137</v>
      </c>
      <c r="Y3658" s="103" t="s">
        <v>138</v>
      </c>
      <c r="Z3658" s="103" t="s">
        <v>139</v>
      </c>
      <c r="AA3658" s="103" t="s">
        <v>47</v>
      </c>
      <c r="AB3658" s="103" t="s">
        <v>140</v>
      </c>
      <c r="AC3658" s="104" t="s">
        <v>141</v>
      </c>
    </row>
    <row r="3659" spans="1:29" ht="25.5" customHeight="1" x14ac:dyDescent="0.35">
      <c r="A3659" s="188"/>
      <c r="B3659" s="190"/>
      <c r="C3659" s="99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0"/>
      <c r="E3659" s="78" t="str">
        <f>IF(C3659="","",IFERROR(VLOOKUP(C3659,parametros!$A$11:$E$15,5,0),""))</f>
        <v/>
      </c>
      <c r="F3659" s="79" t="str">
        <f t="shared" si="287"/>
        <v/>
      </c>
      <c r="G3659" s="101"/>
      <c r="H3659" s="91">
        <f t="shared" si="288"/>
        <v>0</v>
      </c>
      <c r="I3659" s="91" t="str">
        <f t="shared" si="289"/>
        <v/>
      </c>
      <c r="J3659" s="91" t="str">
        <f t="shared" si="290"/>
        <v/>
      </c>
      <c r="K3659" s="92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2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58"/>
      <c r="U3659" s="217" t="str">
        <f t="shared" si="291"/>
        <v/>
      </c>
      <c r="V3659" s="215" t="s">
        <v>47</v>
      </c>
      <c r="W3659" s="102" t="s">
        <v>136</v>
      </c>
      <c r="X3659" s="102" t="s">
        <v>137</v>
      </c>
      <c r="Y3659" s="103" t="s">
        <v>138</v>
      </c>
      <c r="Z3659" s="103" t="s">
        <v>139</v>
      </c>
      <c r="AA3659" s="103" t="s">
        <v>47</v>
      </c>
      <c r="AB3659" s="103" t="s">
        <v>140</v>
      </c>
      <c r="AC3659" s="104" t="s">
        <v>141</v>
      </c>
    </row>
    <row r="3660" spans="1:29" ht="25.5" customHeight="1" x14ac:dyDescent="0.35">
      <c r="A3660" s="188"/>
      <c r="B3660" s="190"/>
      <c r="C3660" s="99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0"/>
      <c r="E3660" s="78" t="str">
        <f>IF(C3660="","",IFERROR(VLOOKUP(C3660,parametros!$A$11:$E$15,5,0),""))</f>
        <v/>
      </c>
      <c r="F3660" s="79" t="str">
        <f t="shared" si="287"/>
        <v/>
      </c>
      <c r="G3660" s="101"/>
      <c r="H3660" s="91">
        <f t="shared" si="288"/>
        <v>0</v>
      </c>
      <c r="I3660" s="91" t="str">
        <f t="shared" si="289"/>
        <v/>
      </c>
      <c r="J3660" s="91" t="str">
        <f t="shared" si="290"/>
        <v/>
      </c>
      <c r="K3660" s="92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2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58"/>
      <c r="U3660" s="217" t="str">
        <f t="shared" si="291"/>
        <v/>
      </c>
      <c r="V3660" s="215" t="s">
        <v>47</v>
      </c>
      <c r="W3660" s="102" t="s">
        <v>136</v>
      </c>
      <c r="X3660" s="102" t="s">
        <v>137</v>
      </c>
      <c r="Y3660" s="103" t="s">
        <v>138</v>
      </c>
      <c r="Z3660" s="103" t="s">
        <v>139</v>
      </c>
      <c r="AA3660" s="103" t="s">
        <v>47</v>
      </c>
      <c r="AB3660" s="103" t="s">
        <v>140</v>
      </c>
      <c r="AC3660" s="104" t="s">
        <v>141</v>
      </c>
    </row>
    <row r="3661" spans="1:29" ht="25.5" customHeight="1" x14ac:dyDescent="0.35">
      <c r="A3661" s="188"/>
      <c r="B3661" s="190"/>
      <c r="C3661" s="99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0"/>
      <c r="E3661" s="78" t="str">
        <f>IF(C3661="","",IFERROR(VLOOKUP(C3661,parametros!$A$11:$E$15,5,0),""))</f>
        <v/>
      </c>
      <c r="F3661" s="79" t="str">
        <f t="shared" si="287"/>
        <v/>
      </c>
      <c r="G3661" s="101"/>
      <c r="H3661" s="91">
        <f t="shared" si="288"/>
        <v>0</v>
      </c>
      <c r="I3661" s="91" t="str">
        <f t="shared" si="289"/>
        <v/>
      </c>
      <c r="J3661" s="91" t="str">
        <f t="shared" si="290"/>
        <v/>
      </c>
      <c r="K3661" s="92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2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58"/>
      <c r="U3661" s="217" t="str">
        <f t="shared" si="291"/>
        <v/>
      </c>
      <c r="V3661" s="215" t="s">
        <v>47</v>
      </c>
      <c r="W3661" s="102" t="s">
        <v>136</v>
      </c>
      <c r="X3661" s="102" t="s">
        <v>137</v>
      </c>
      <c r="Y3661" s="103" t="s">
        <v>138</v>
      </c>
      <c r="Z3661" s="103" t="s">
        <v>139</v>
      </c>
      <c r="AA3661" s="103" t="s">
        <v>47</v>
      </c>
      <c r="AB3661" s="103" t="s">
        <v>140</v>
      </c>
      <c r="AC3661" s="104" t="s">
        <v>141</v>
      </c>
    </row>
    <row r="3662" spans="1:29" ht="25.5" customHeight="1" x14ac:dyDescent="0.35">
      <c r="A3662" s="188"/>
      <c r="B3662" s="190"/>
      <c r="C3662" s="99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0"/>
      <c r="E3662" s="78" t="str">
        <f>IF(C3662="","",IFERROR(VLOOKUP(C3662,parametros!$A$11:$E$15,5,0),""))</f>
        <v/>
      </c>
      <c r="F3662" s="79" t="str">
        <f t="shared" si="287"/>
        <v/>
      </c>
      <c r="G3662" s="101"/>
      <c r="H3662" s="91">
        <f t="shared" si="288"/>
        <v>0</v>
      </c>
      <c r="I3662" s="91" t="str">
        <f t="shared" si="289"/>
        <v/>
      </c>
      <c r="J3662" s="91" t="str">
        <f t="shared" si="290"/>
        <v/>
      </c>
      <c r="K3662" s="92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2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58"/>
      <c r="U3662" s="217" t="str">
        <f t="shared" si="291"/>
        <v/>
      </c>
      <c r="V3662" s="215" t="s">
        <v>47</v>
      </c>
      <c r="W3662" s="102" t="s">
        <v>136</v>
      </c>
      <c r="X3662" s="102" t="s">
        <v>137</v>
      </c>
      <c r="Y3662" s="103" t="s">
        <v>138</v>
      </c>
      <c r="Z3662" s="103" t="s">
        <v>139</v>
      </c>
      <c r="AA3662" s="103" t="s">
        <v>47</v>
      </c>
      <c r="AB3662" s="103" t="s">
        <v>140</v>
      </c>
      <c r="AC3662" s="104" t="s">
        <v>141</v>
      </c>
    </row>
    <row r="3663" spans="1:29" ht="25.5" customHeight="1" x14ac:dyDescent="0.35">
      <c r="A3663" s="188"/>
      <c r="B3663" s="190"/>
      <c r="C3663" s="99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0"/>
      <c r="E3663" s="78" t="str">
        <f>IF(C3663="","",IFERROR(VLOOKUP(C3663,parametros!$A$11:$E$15,5,0),""))</f>
        <v/>
      </c>
      <c r="F3663" s="79" t="str">
        <f t="shared" si="287"/>
        <v/>
      </c>
      <c r="G3663" s="101"/>
      <c r="H3663" s="91">
        <f t="shared" si="288"/>
        <v>0</v>
      </c>
      <c r="I3663" s="91" t="str">
        <f t="shared" si="289"/>
        <v/>
      </c>
      <c r="J3663" s="91" t="str">
        <f t="shared" si="290"/>
        <v/>
      </c>
      <c r="K3663" s="92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2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58"/>
      <c r="U3663" s="217" t="str">
        <f t="shared" si="291"/>
        <v/>
      </c>
      <c r="V3663" s="215" t="s">
        <v>47</v>
      </c>
      <c r="W3663" s="102" t="s">
        <v>136</v>
      </c>
      <c r="X3663" s="102" t="s">
        <v>137</v>
      </c>
      <c r="Y3663" s="103" t="s">
        <v>138</v>
      </c>
      <c r="Z3663" s="103" t="s">
        <v>139</v>
      </c>
      <c r="AA3663" s="103" t="s">
        <v>47</v>
      </c>
      <c r="AB3663" s="103" t="s">
        <v>140</v>
      </c>
      <c r="AC3663" s="104" t="s">
        <v>141</v>
      </c>
    </row>
    <row r="3664" spans="1:29" ht="25.5" customHeight="1" x14ac:dyDescent="0.35">
      <c r="A3664" s="188"/>
      <c r="B3664" s="190"/>
      <c r="C3664" s="99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0"/>
      <c r="E3664" s="78" t="str">
        <f>IF(C3664="","",IFERROR(VLOOKUP(C3664,parametros!$A$11:$E$15,5,0),""))</f>
        <v/>
      </c>
      <c r="F3664" s="79" t="str">
        <f t="shared" si="287"/>
        <v/>
      </c>
      <c r="G3664" s="101"/>
      <c r="H3664" s="91">
        <f t="shared" si="288"/>
        <v>0</v>
      </c>
      <c r="I3664" s="91" t="str">
        <f t="shared" si="289"/>
        <v/>
      </c>
      <c r="J3664" s="91" t="str">
        <f t="shared" si="290"/>
        <v/>
      </c>
      <c r="K3664" s="92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2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58"/>
      <c r="U3664" s="217" t="str">
        <f t="shared" si="291"/>
        <v/>
      </c>
      <c r="V3664" s="215" t="s">
        <v>47</v>
      </c>
      <c r="W3664" s="102" t="s">
        <v>136</v>
      </c>
      <c r="X3664" s="102" t="s">
        <v>137</v>
      </c>
      <c r="Y3664" s="103" t="s">
        <v>138</v>
      </c>
      <c r="Z3664" s="103" t="s">
        <v>139</v>
      </c>
      <c r="AA3664" s="103" t="s">
        <v>47</v>
      </c>
      <c r="AB3664" s="103" t="s">
        <v>140</v>
      </c>
      <c r="AC3664" s="104" t="s">
        <v>141</v>
      </c>
    </row>
    <row r="3665" spans="1:29" ht="25.5" customHeight="1" x14ac:dyDescent="0.35">
      <c r="A3665" s="188"/>
      <c r="B3665" s="190"/>
      <c r="C3665" s="99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0"/>
      <c r="E3665" s="78" t="str">
        <f>IF(C3665="","",IFERROR(VLOOKUP(C3665,parametros!$A$11:$E$15,5,0),""))</f>
        <v/>
      </c>
      <c r="F3665" s="79" t="str">
        <f t="shared" si="287"/>
        <v/>
      </c>
      <c r="G3665" s="101"/>
      <c r="H3665" s="91">
        <f t="shared" si="288"/>
        <v>0</v>
      </c>
      <c r="I3665" s="91" t="str">
        <f t="shared" si="289"/>
        <v/>
      </c>
      <c r="J3665" s="91" t="str">
        <f t="shared" si="290"/>
        <v/>
      </c>
      <c r="K3665" s="92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2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58"/>
      <c r="U3665" s="217" t="str">
        <f t="shared" si="291"/>
        <v/>
      </c>
      <c r="V3665" s="215" t="s">
        <v>47</v>
      </c>
      <c r="W3665" s="102" t="s">
        <v>136</v>
      </c>
      <c r="X3665" s="102" t="s">
        <v>137</v>
      </c>
      <c r="Y3665" s="103" t="s">
        <v>138</v>
      </c>
      <c r="Z3665" s="103" t="s">
        <v>139</v>
      </c>
      <c r="AA3665" s="103" t="s">
        <v>47</v>
      </c>
      <c r="AB3665" s="103" t="s">
        <v>140</v>
      </c>
      <c r="AC3665" s="104" t="s">
        <v>141</v>
      </c>
    </row>
    <row r="3666" spans="1:29" ht="25.5" customHeight="1" x14ac:dyDescent="0.35">
      <c r="A3666" s="188"/>
      <c r="B3666" s="190"/>
      <c r="C3666" s="99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0"/>
      <c r="E3666" s="78" t="str">
        <f>IF(C3666="","",IFERROR(VLOOKUP(C3666,parametros!$A$11:$E$15,5,0),""))</f>
        <v/>
      </c>
      <c r="F3666" s="79" t="str">
        <f t="shared" si="287"/>
        <v/>
      </c>
      <c r="G3666" s="101"/>
      <c r="H3666" s="91">
        <f t="shared" si="288"/>
        <v>0</v>
      </c>
      <c r="I3666" s="91" t="str">
        <f t="shared" si="289"/>
        <v/>
      </c>
      <c r="J3666" s="91" t="str">
        <f t="shared" si="290"/>
        <v/>
      </c>
      <c r="K3666" s="92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2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58"/>
      <c r="U3666" s="217" t="str">
        <f t="shared" si="291"/>
        <v/>
      </c>
      <c r="V3666" s="215" t="s">
        <v>47</v>
      </c>
      <c r="W3666" s="102" t="s">
        <v>136</v>
      </c>
      <c r="X3666" s="102" t="s">
        <v>137</v>
      </c>
      <c r="Y3666" s="103" t="s">
        <v>138</v>
      </c>
      <c r="Z3666" s="103" t="s">
        <v>139</v>
      </c>
      <c r="AA3666" s="103" t="s">
        <v>47</v>
      </c>
      <c r="AB3666" s="103" t="s">
        <v>140</v>
      </c>
      <c r="AC3666" s="104" t="s">
        <v>141</v>
      </c>
    </row>
    <row r="3667" spans="1:29" ht="25.5" customHeight="1" x14ac:dyDescent="0.35">
      <c r="A3667" s="188"/>
      <c r="B3667" s="190"/>
      <c r="C3667" s="99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0"/>
      <c r="E3667" s="78" t="str">
        <f>IF(C3667="","",IFERROR(VLOOKUP(C3667,parametros!$A$11:$E$15,5,0),""))</f>
        <v/>
      </c>
      <c r="F3667" s="79" t="str">
        <f t="shared" si="287"/>
        <v/>
      </c>
      <c r="G3667" s="101"/>
      <c r="H3667" s="91">
        <f t="shared" si="288"/>
        <v>0</v>
      </c>
      <c r="I3667" s="91" t="str">
        <f t="shared" si="289"/>
        <v/>
      </c>
      <c r="J3667" s="91" t="str">
        <f t="shared" si="290"/>
        <v/>
      </c>
      <c r="K3667" s="92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2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58"/>
      <c r="U3667" s="217" t="str">
        <f t="shared" si="291"/>
        <v/>
      </c>
      <c r="V3667" s="215" t="s">
        <v>47</v>
      </c>
      <c r="W3667" s="102" t="s">
        <v>136</v>
      </c>
      <c r="X3667" s="102" t="s">
        <v>137</v>
      </c>
      <c r="Y3667" s="103" t="s">
        <v>138</v>
      </c>
      <c r="Z3667" s="103" t="s">
        <v>139</v>
      </c>
      <c r="AA3667" s="103" t="s">
        <v>47</v>
      </c>
      <c r="AB3667" s="103" t="s">
        <v>140</v>
      </c>
      <c r="AC3667" s="104" t="s">
        <v>141</v>
      </c>
    </row>
    <row r="3668" spans="1:29" ht="25.5" customHeight="1" x14ac:dyDescent="0.35">
      <c r="A3668" s="188"/>
      <c r="B3668" s="190"/>
      <c r="C3668" s="99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0"/>
      <c r="E3668" s="78" t="str">
        <f>IF(C3668="","",IFERROR(VLOOKUP(C3668,parametros!$A$11:$E$15,5,0),""))</f>
        <v/>
      </c>
      <c r="F3668" s="79" t="str">
        <f t="shared" si="287"/>
        <v/>
      </c>
      <c r="G3668" s="101"/>
      <c r="H3668" s="91">
        <f t="shared" si="288"/>
        <v>0</v>
      </c>
      <c r="I3668" s="91" t="str">
        <f t="shared" si="289"/>
        <v/>
      </c>
      <c r="J3668" s="91" t="str">
        <f t="shared" si="290"/>
        <v/>
      </c>
      <c r="K3668" s="92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2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58"/>
      <c r="U3668" s="217" t="str">
        <f t="shared" si="291"/>
        <v/>
      </c>
      <c r="V3668" s="215" t="s">
        <v>47</v>
      </c>
      <c r="W3668" s="102" t="s">
        <v>136</v>
      </c>
      <c r="X3668" s="102" t="s">
        <v>137</v>
      </c>
      <c r="Y3668" s="103" t="s">
        <v>138</v>
      </c>
      <c r="Z3668" s="103" t="s">
        <v>139</v>
      </c>
      <c r="AA3668" s="103" t="s">
        <v>47</v>
      </c>
      <c r="AB3668" s="103" t="s">
        <v>140</v>
      </c>
      <c r="AC3668" s="104" t="s">
        <v>141</v>
      </c>
    </row>
    <row r="3669" spans="1:29" ht="25.5" customHeight="1" x14ac:dyDescent="0.35">
      <c r="A3669" s="188"/>
      <c r="B3669" s="190"/>
      <c r="C3669" s="99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0"/>
      <c r="E3669" s="78" t="str">
        <f>IF(C3669="","",IFERROR(VLOOKUP(C3669,parametros!$A$11:$E$15,5,0),""))</f>
        <v/>
      </c>
      <c r="F3669" s="79" t="str">
        <f t="shared" si="287"/>
        <v/>
      </c>
      <c r="G3669" s="101"/>
      <c r="H3669" s="91">
        <f t="shared" si="288"/>
        <v>0</v>
      </c>
      <c r="I3669" s="91" t="str">
        <f t="shared" si="289"/>
        <v/>
      </c>
      <c r="J3669" s="91" t="str">
        <f t="shared" si="290"/>
        <v/>
      </c>
      <c r="K3669" s="92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2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58"/>
      <c r="U3669" s="217" t="str">
        <f t="shared" si="291"/>
        <v/>
      </c>
      <c r="V3669" s="215" t="s">
        <v>47</v>
      </c>
      <c r="W3669" s="102" t="s">
        <v>136</v>
      </c>
      <c r="X3669" s="102" t="s">
        <v>137</v>
      </c>
      <c r="Y3669" s="103" t="s">
        <v>138</v>
      </c>
      <c r="Z3669" s="103" t="s">
        <v>139</v>
      </c>
      <c r="AA3669" s="103" t="s">
        <v>47</v>
      </c>
      <c r="AB3669" s="103" t="s">
        <v>140</v>
      </c>
      <c r="AC3669" s="104" t="s">
        <v>141</v>
      </c>
    </row>
    <row r="3670" spans="1:29" ht="25.5" customHeight="1" x14ac:dyDescent="0.35">
      <c r="A3670" s="188"/>
      <c r="B3670" s="190"/>
      <c r="C3670" s="99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0"/>
      <c r="E3670" s="78" t="str">
        <f>IF(C3670="","",IFERROR(VLOOKUP(C3670,parametros!$A$11:$E$15,5,0),""))</f>
        <v/>
      </c>
      <c r="F3670" s="79" t="str">
        <f t="shared" si="287"/>
        <v/>
      </c>
      <c r="G3670" s="101"/>
      <c r="H3670" s="91">
        <f t="shared" si="288"/>
        <v>0</v>
      </c>
      <c r="I3670" s="91" t="str">
        <f t="shared" si="289"/>
        <v/>
      </c>
      <c r="J3670" s="91" t="str">
        <f t="shared" si="290"/>
        <v/>
      </c>
      <c r="K3670" s="92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2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58"/>
      <c r="U3670" s="217" t="str">
        <f t="shared" si="291"/>
        <v/>
      </c>
      <c r="V3670" s="215" t="s">
        <v>47</v>
      </c>
      <c r="W3670" s="102" t="s">
        <v>136</v>
      </c>
      <c r="X3670" s="102" t="s">
        <v>137</v>
      </c>
      <c r="Y3670" s="103" t="s">
        <v>138</v>
      </c>
      <c r="Z3670" s="103" t="s">
        <v>139</v>
      </c>
      <c r="AA3670" s="103" t="s">
        <v>47</v>
      </c>
      <c r="AB3670" s="103" t="s">
        <v>140</v>
      </c>
      <c r="AC3670" s="104" t="s">
        <v>141</v>
      </c>
    </row>
    <row r="3671" spans="1:29" ht="25.5" customHeight="1" x14ac:dyDescent="0.35">
      <c r="A3671" s="188"/>
      <c r="B3671" s="190"/>
      <c r="C3671" s="99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0"/>
      <c r="E3671" s="78" t="str">
        <f>IF(C3671="","",IFERROR(VLOOKUP(C3671,parametros!$A$11:$E$15,5,0),""))</f>
        <v/>
      </c>
      <c r="F3671" s="79" t="str">
        <f t="shared" si="287"/>
        <v/>
      </c>
      <c r="G3671" s="101"/>
      <c r="H3671" s="91">
        <f t="shared" si="288"/>
        <v>0</v>
      </c>
      <c r="I3671" s="91" t="str">
        <f t="shared" si="289"/>
        <v/>
      </c>
      <c r="J3671" s="91" t="str">
        <f t="shared" si="290"/>
        <v/>
      </c>
      <c r="K3671" s="92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2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58"/>
      <c r="U3671" s="217" t="str">
        <f t="shared" si="291"/>
        <v/>
      </c>
      <c r="V3671" s="215" t="s">
        <v>47</v>
      </c>
      <c r="W3671" s="102" t="s">
        <v>136</v>
      </c>
      <c r="X3671" s="102" t="s">
        <v>137</v>
      </c>
      <c r="Y3671" s="103" t="s">
        <v>138</v>
      </c>
      <c r="Z3671" s="103" t="s">
        <v>139</v>
      </c>
      <c r="AA3671" s="103" t="s">
        <v>47</v>
      </c>
      <c r="AB3671" s="103" t="s">
        <v>140</v>
      </c>
      <c r="AC3671" s="104" t="s">
        <v>141</v>
      </c>
    </row>
    <row r="3672" spans="1:29" ht="25.5" customHeight="1" x14ac:dyDescent="0.35">
      <c r="A3672" s="188"/>
      <c r="B3672" s="190"/>
      <c r="C3672" s="99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0"/>
      <c r="E3672" s="78" t="str">
        <f>IF(C3672="","",IFERROR(VLOOKUP(C3672,parametros!$A$11:$E$15,5,0),""))</f>
        <v/>
      </c>
      <c r="F3672" s="79" t="str">
        <f t="shared" si="287"/>
        <v/>
      </c>
      <c r="G3672" s="101"/>
      <c r="H3672" s="91">
        <f t="shared" si="288"/>
        <v>0</v>
      </c>
      <c r="I3672" s="91" t="str">
        <f t="shared" si="289"/>
        <v/>
      </c>
      <c r="J3672" s="91" t="str">
        <f t="shared" si="290"/>
        <v/>
      </c>
      <c r="K3672" s="92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2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58"/>
      <c r="U3672" s="217" t="str">
        <f t="shared" si="291"/>
        <v/>
      </c>
      <c r="V3672" s="215" t="s">
        <v>47</v>
      </c>
      <c r="W3672" s="102" t="s">
        <v>136</v>
      </c>
      <c r="X3672" s="102" t="s">
        <v>137</v>
      </c>
      <c r="Y3672" s="103" t="s">
        <v>138</v>
      </c>
      <c r="Z3672" s="103" t="s">
        <v>139</v>
      </c>
      <c r="AA3672" s="103" t="s">
        <v>47</v>
      </c>
      <c r="AB3672" s="103" t="s">
        <v>140</v>
      </c>
      <c r="AC3672" s="104" t="s">
        <v>141</v>
      </c>
    </row>
    <row r="3673" spans="1:29" ht="25.5" customHeight="1" x14ac:dyDescent="0.35">
      <c r="A3673" s="188"/>
      <c r="B3673" s="190"/>
      <c r="C3673" s="99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0"/>
      <c r="E3673" s="78" t="str">
        <f>IF(C3673="","",IFERROR(VLOOKUP(C3673,parametros!$A$11:$E$15,5,0),""))</f>
        <v/>
      </c>
      <c r="F3673" s="79" t="str">
        <f t="shared" si="287"/>
        <v/>
      </c>
      <c r="G3673" s="101"/>
      <c r="H3673" s="91">
        <f t="shared" si="288"/>
        <v>0</v>
      </c>
      <c r="I3673" s="91" t="str">
        <f t="shared" si="289"/>
        <v/>
      </c>
      <c r="J3673" s="91" t="str">
        <f t="shared" si="290"/>
        <v/>
      </c>
      <c r="K3673" s="92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2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58"/>
      <c r="U3673" s="217" t="str">
        <f t="shared" si="291"/>
        <v/>
      </c>
      <c r="V3673" s="215" t="s">
        <v>47</v>
      </c>
      <c r="W3673" s="102" t="s">
        <v>136</v>
      </c>
      <c r="X3673" s="102" t="s">
        <v>137</v>
      </c>
      <c r="Y3673" s="103" t="s">
        <v>138</v>
      </c>
      <c r="Z3673" s="103" t="s">
        <v>139</v>
      </c>
      <c r="AA3673" s="103" t="s">
        <v>47</v>
      </c>
      <c r="AB3673" s="103" t="s">
        <v>140</v>
      </c>
      <c r="AC3673" s="104" t="s">
        <v>141</v>
      </c>
    </row>
    <row r="3674" spans="1:29" ht="25.5" customHeight="1" x14ac:dyDescent="0.35">
      <c r="A3674" s="188"/>
      <c r="B3674" s="190"/>
      <c r="C3674" s="99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0"/>
      <c r="E3674" s="78" t="str">
        <f>IF(C3674="","",IFERROR(VLOOKUP(C3674,parametros!$A$11:$E$15,5,0),""))</f>
        <v/>
      </c>
      <c r="F3674" s="79" t="str">
        <f t="shared" si="287"/>
        <v/>
      </c>
      <c r="G3674" s="101"/>
      <c r="H3674" s="91">
        <f t="shared" si="288"/>
        <v>0</v>
      </c>
      <c r="I3674" s="91" t="str">
        <f t="shared" si="289"/>
        <v/>
      </c>
      <c r="J3674" s="91" t="str">
        <f t="shared" si="290"/>
        <v/>
      </c>
      <c r="K3674" s="92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2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58"/>
      <c r="U3674" s="217" t="str">
        <f t="shared" si="291"/>
        <v/>
      </c>
      <c r="V3674" s="215" t="s">
        <v>47</v>
      </c>
      <c r="W3674" s="102" t="s">
        <v>136</v>
      </c>
      <c r="X3674" s="102" t="s">
        <v>137</v>
      </c>
      <c r="Y3674" s="103" t="s">
        <v>138</v>
      </c>
      <c r="Z3674" s="103" t="s">
        <v>139</v>
      </c>
      <c r="AA3674" s="103" t="s">
        <v>47</v>
      </c>
      <c r="AB3674" s="103" t="s">
        <v>140</v>
      </c>
      <c r="AC3674" s="104" t="s">
        <v>141</v>
      </c>
    </row>
    <row r="3675" spans="1:29" ht="25.5" customHeight="1" x14ac:dyDescent="0.35">
      <c r="A3675" s="188"/>
      <c r="B3675" s="190"/>
      <c r="C3675" s="99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0"/>
      <c r="E3675" s="78" t="str">
        <f>IF(C3675="","",IFERROR(VLOOKUP(C3675,parametros!$A$11:$E$15,5,0),""))</f>
        <v/>
      </c>
      <c r="F3675" s="79" t="str">
        <f t="shared" si="287"/>
        <v/>
      </c>
      <c r="G3675" s="101"/>
      <c r="H3675" s="91">
        <f t="shared" si="288"/>
        <v>0</v>
      </c>
      <c r="I3675" s="91" t="str">
        <f t="shared" si="289"/>
        <v/>
      </c>
      <c r="J3675" s="91" t="str">
        <f t="shared" si="290"/>
        <v/>
      </c>
      <c r="K3675" s="92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2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58"/>
      <c r="U3675" s="217" t="str">
        <f t="shared" si="291"/>
        <v/>
      </c>
      <c r="V3675" s="215" t="s">
        <v>47</v>
      </c>
      <c r="W3675" s="102" t="s">
        <v>136</v>
      </c>
      <c r="X3675" s="102" t="s">
        <v>137</v>
      </c>
      <c r="Y3675" s="103" t="s">
        <v>138</v>
      </c>
      <c r="Z3675" s="103" t="s">
        <v>139</v>
      </c>
      <c r="AA3675" s="103" t="s">
        <v>47</v>
      </c>
      <c r="AB3675" s="103" t="s">
        <v>140</v>
      </c>
      <c r="AC3675" s="104" t="s">
        <v>141</v>
      </c>
    </row>
    <row r="3676" spans="1:29" ht="25.5" customHeight="1" x14ac:dyDescent="0.35">
      <c r="A3676" s="188"/>
      <c r="B3676" s="190"/>
      <c r="C3676" s="99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0"/>
      <c r="E3676" s="78" t="str">
        <f>IF(C3676="","",IFERROR(VLOOKUP(C3676,parametros!$A$11:$E$15,5,0),""))</f>
        <v/>
      </c>
      <c r="F3676" s="79" t="str">
        <f t="shared" si="287"/>
        <v/>
      </c>
      <c r="G3676" s="101"/>
      <c r="H3676" s="91">
        <f t="shared" si="288"/>
        <v>0</v>
      </c>
      <c r="I3676" s="91" t="str">
        <f t="shared" si="289"/>
        <v/>
      </c>
      <c r="J3676" s="91" t="str">
        <f t="shared" si="290"/>
        <v/>
      </c>
      <c r="K3676" s="92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2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58"/>
      <c r="U3676" s="217" t="str">
        <f t="shared" si="291"/>
        <v/>
      </c>
      <c r="V3676" s="215" t="s">
        <v>47</v>
      </c>
      <c r="W3676" s="102" t="s">
        <v>136</v>
      </c>
      <c r="X3676" s="102" t="s">
        <v>137</v>
      </c>
      <c r="Y3676" s="103" t="s">
        <v>138</v>
      </c>
      <c r="Z3676" s="103" t="s">
        <v>139</v>
      </c>
      <c r="AA3676" s="103" t="s">
        <v>47</v>
      </c>
      <c r="AB3676" s="103" t="s">
        <v>140</v>
      </c>
      <c r="AC3676" s="104" t="s">
        <v>141</v>
      </c>
    </row>
    <row r="3677" spans="1:29" ht="25.5" customHeight="1" x14ac:dyDescent="0.35">
      <c r="A3677" s="188"/>
      <c r="B3677" s="190"/>
      <c r="C3677" s="99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0"/>
      <c r="E3677" s="78" t="str">
        <f>IF(C3677="","",IFERROR(VLOOKUP(C3677,parametros!$A$11:$E$15,5,0),""))</f>
        <v/>
      </c>
      <c r="F3677" s="79" t="str">
        <f t="shared" si="287"/>
        <v/>
      </c>
      <c r="G3677" s="101"/>
      <c r="H3677" s="91">
        <f t="shared" si="288"/>
        <v>0</v>
      </c>
      <c r="I3677" s="91" t="str">
        <f t="shared" si="289"/>
        <v/>
      </c>
      <c r="J3677" s="91" t="str">
        <f t="shared" si="290"/>
        <v/>
      </c>
      <c r="K3677" s="92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2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58"/>
      <c r="U3677" s="217" t="str">
        <f t="shared" si="291"/>
        <v/>
      </c>
      <c r="V3677" s="215" t="s">
        <v>47</v>
      </c>
      <c r="W3677" s="102" t="s">
        <v>136</v>
      </c>
      <c r="X3677" s="102" t="s">
        <v>137</v>
      </c>
      <c r="Y3677" s="103" t="s">
        <v>138</v>
      </c>
      <c r="Z3677" s="103" t="s">
        <v>139</v>
      </c>
      <c r="AA3677" s="103" t="s">
        <v>47</v>
      </c>
      <c r="AB3677" s="103" t="s">
        <v>140</v>
      </c>
      <c r="AC3677" s="104" t="s">
        <v>141</v>
      </c>
    </row>
    <row r="3678" spans="1:29" ht="25.5" customHeight="1" x14ac:dyDescent="0.35">
      <c r="A3678" s="188"/>
      <c r="B3678" s="190"/>
      <c r="C3678" s="99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0"/>
      <c r="E3678" s="78" t="str">
        <f>IF(C3678="","",IFERROR(VLOOKUP(C3678,parametros!$A$11:$E$15,5,0),""))</f>
        <v/>
      </c>
      <c r="F3678" s="79" t="str">
        <f t="shared" si="287"/>
        <v/>
      </c>
      <c r="G3678" s="101"/>
      <c r="H3678" s="91">
        <f t="shared" si="288"/>
        <v>0</v>
      </c>
      <c r="I3678" s="91" t="str">
        <f t="shared" si="289"/>
        <v/>
      </c>
      <c r="J3678" s="91" t="str">
        <f t="shared" si="290"/>
        <v/>
      </c>
      <c r="K3678" s="92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2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58"/>
      <c r="U3678" s="217" t="str">
        <f t="shared" si="291"/>
        <v/>
      </c>
      <c r="V3678" s="215" t="s">
        <v>47</v>
      </c>
      <c r="W3678" s="102" t="s">
        <v>136</v>
      </c>
      <c r="X3678" s="102" t="s">
        <v>137</v>
      </c>
      <c r="Y3678" s="103" t="s">
        <v>138</v>
      </c>
      <c r="Z3678" s="103" t="s">
        <v>139</v>
      </c>
      <c r="AA3678" s="103" t="s">
        <v>47</v>
      </c>
      <c r="AB3678" s="103" t="s">
        <v>140</v>
      </c>
      <c r="AC3678" s="104" t="s">
        <v>141</v>
      </c>
    </row>
    <row r="3679" spans="1:29" ht="25.5" customHeight="1" x14ac:dyDescent="0.35">
      <c r="A3679" s="188"/>
      <c r="B3679" s="190"/>
      <c r="C3679" s="99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0"/>
      <c r="E3679" s="78" t="str">
        <f>IF(C3679="","",IFERROR(VLOOKUP(C3679,parametros!$A$11:$E$15,5,0),""))</f>
        <v/>
      </c>
      <c r="F3679" s="79" t="str">
        <f t="shared" si="287"/>
        <v/>
      </c>
      <c r="G3679" s="101"/>
      <c r="H3679" s="91">
        <f t="shared" si="288"/>
        <v>0</v>
      </c>
      <c r="I3679" s="91" t="str">
        <f t="shared" si="289"/>
        <v/>
      </c>
      <c r="J3679" s="91" t="str">
        <f t="shared" si="290"/>
        <v/>
      </c>
      <c r="K3679" s="92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2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58"/>
      <c r="U3679" s="217" t="str">
        <f t="shared" si="291"/>
        <v/>
      </c>
      <c r="V3679" s="215" t="s">
        <v>47</v>
      </c>
      <c r="W3679" s="102" t="s">
        <v>136</v>
      </c>
      <c r="X3679" s="102" t="s">
        <v>137</v>
      </c>
      <c r="Y3679" s="103" t="s">
        <v>138</v>
      </c>
      <c r="Z3679" s="103" t="s">
        <v>139</v>
      </c>
      <c r="AA3679" s="103" t="s">
        <v>47</v>
      </c>
      <c r="AB3679" s="103" t="s">
        <v>140</v>
      </c>
      <c r="AC3679" s="104" t="s">
        <v>141</v>
      </c>
    </row>
    <row r="3680" spans="1:29" ht="25.5" customHeight="1" x14ac:dyDescent="0.35">
      <c r="A3680" s="188"/>
      <c r="B3680" s="190"/>
      <c r="C3680" s="99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0"/>
      <c r="E3680" s="78" t="str">
        <f>IF(C3680="","",IFERROR(VLOOKUP(C3680,parametros!$A$11:$E$15,5,0),""))</f>
        <v/>
      </c>
      <c r="F3680" s="79" t="str">
        <f t="shared" si="287"/>
        <v/>
      </c>
      <c r="G3680" s="101"/>
      <c r="H3680" s="91">
        <f t="shared" si="288"/>
        <v>0</v>
      </c>
      <c r="I3680" s="91" t="str">
        <f t="shared" si="289"/>
        <v/>
      </c>
      <c r="J3680" s="91" t="str">
        <f t="shared" si="290"/>
        <v/>
      </c>
      <c r="K3680" s="92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2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58"/>
      <c r="U3680" s="217" t="str">
        <f t="shared" si="291"/>
        <v/>
      </c>
      <c r="V3680" s="215" t="s">
        <v>47</v>
      </c>
      <c r="W3680" s="102" t="s">
        <v>136</v>
      </c>
      <c r="X3680" s="102" t="s">
        <v>137</v>
      </c>
      <c r="Y3680" s="103" t="s">
        <v>138</v>
      </c>
      <c r="Z3680" s="103" t="s">
        <v>139</v>
      </c>
      <c r="AA3680" s="103" t="s">
        <v>47</v>
      </c>
      <c r="AB3680" s="103" t="s">
        <v>140</v>
      </c>
      <c r="AC3680" s="104" t="s">
        <v>141</v>
      </c>
    </row>
    <row r="3681" spans="1:29" ht="25.5" customHeight="1" x14ac:dyDescent="0.35">
      <c r="A3681" s="188"/>
      <c r="B3681" s="190"/>
      <c r="C3681" s="99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0"/>
      <c r="E3681" s="78" t="str">
        <f>IF(C3681="","",IFERROR(VLOOKUP(C3681,parametros!$A$11:$E$15,5,0),""))</f>
        <v/>
      </c>
      <c r="F3681" s="79" t="str">
        <f t="shared" si="287"/>
        <v/>
      </c>
      <c r="G3681" s="101"/>
      <c r="H3681" s="91">
        <f t="shared" si="288"/>
        <v>0</v>
      </c>
      <c r="I3681" s="91" t="str">
        <f t="shared" si="289"/>
        <v/>
      </c>
      <c r="J3681" s="91" t="str">
        <f t="shared" si="290"/>
        <v/>
      </c>
      <c r="K3681" s="92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2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58"/>
      <c r="U3681" s="217" t="str">
        <f t="shared" si="291"/>
        <v/>
      </c>
      <c r="V3681" s="215" t="s">
        <v>47</v>
      </c>
      <c r="W3681" s="102" t="s">
        <v>136</v>
      </c>
      <c r="X3681" s="102" t="s">
        <v>137</v>
      </c>
      <c r="Y3681" s="103" t="s">
        <v>138</v>
      </c>
      <c r="Z3681" s="103" t="s">
        <v>139</v>
      </c>
      <c r="AA3681" s="103" t="s">
        <v>47</v>
      </c>
      <c r="AB3681" s="103" t="s">
        <v>140</v>
      </c>
      <c r="AC3681" s="104" t="s">
        <v>141</v>
      </c>
    </row>
    <row r="3682" spans="1:29" ht="25.5" customHeight="1" x14ac:dyDescent="0.35">
      <c r="A3682" s="188"/>
      <c r="B3682" s="190"/>
      <c r="C3682" s="99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0"/>
      <c r="E3682" s="78" t="str">
        <f>IF(C3682="","",IFERROR(VLOOKUP(C3682,parametros!$A$11:$E$15,5,0),""))</f>
        <v/>
      </c>
      <c r="F3682" s="79" t="str">
        <f t="shared" si="287"/>
        <v/>
      </c>
      <c r="G3682" s="101"/>
      <c r="H3682" s="91">
        <f t="shared" si="288"/>
        <v>0</v>
      </c>
      <c r="I3682" s="91" t="str">
        <f t="shared" si="289"/>
        <v/>
      </c>
      <c r="J3682" s="91" t="str">
        <f t="shared" si="290"/>
        <v/>
      </c>
      <c r="K3682" s="92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2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58"/>
      <c r="U3682" s="217" t="str">
        <f t="shared" si="291"/>
        <v/>
      </c>
      <c r="V3682" s="215" t="s">
        <v>47</v>
      </c>
      <c r="W3682" s="102" t="s">
        <v>136</v>
      </c>
      <c r="X3682" s="102" t="s">
        <v>137</v>
      </c>
      <c r="Y3682" s="103" t="s">
        <v>138</v>
      </c>
      <c r="Z3682" s="103" t="s">
        <v>139</v>
      </c>
      <c r="AA3682" s="103" t="s">
        <v>47</v>
      </c>
      <c r="AB3682" s="103" t="s">
        <v>140</v>
      </c>
      <c r="AC3682" s="104" t="s">
        <v>141</v>
      </c>
    </row>
    <row r="3683" spans="1:29" ht="25.5" customHeight="1" x14ac:dyDescent="0.35">
      <c r="A3683" s="188"/>
      <c r="B3683" s="190"/>
      <c r="C3683" s="99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0"/>
      <c r="E3683" s="78" t="str">
        <f>IF(C3683="","",IFERROR(VLOOKUP(C3683,parametros!$A$11:$E$15,5,0),""))</f>
        <v/>
      </c>
      <c r="F3683" s="79" t="str">
        <f t="shared" si="287"/>
        <v/>
      </c>
      <c r="G3683" s="101"/>
      <c r="H3683" s="91">
        <f t="shared" si="288"/>
        <v>0</v>
      </c>
      <c r="I3683" s="91" t="str">
        <f t="shared" si="289"/>
        <v/>
      </c>
      <c r="J3683" s="91" t="str">
        <f t="shared" si="290"/>
        <v/>
      </c>
      <c r="K3683" s="92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2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58"/>
      <c r="U3683" s="217" t="str">
        <f t="shared" si="291"/>
        <v/>
      </c>
      <c r="V3683" s="215" t="s">
        <v>47</v>
      </c>
      <c r="W3683" s="102" t="s">
        <v>136</v>
      </c>
      <c r="X3683" s="102" t="s">
        <v>137</v>
      </c>
      <c r="Y3683" s="103" t="s">
        <v>138</v>
      </c>
      <c r="Z3683" s="103" t="s">
        <v>139</v>
      </c>
      <c r="AA3683" s="103" t="s">
        <v>47</v>
      </c>
      <c r="AB3683" s="103" t="s">
        <v>140</v>
      </c>
      <c r="AC3683" s="104" t="s">
        <v>141</v>
      </c>
    </row>
    <row r="3684" spans="1:29" ht="25.5" customHeight="1" x14ac:dyDescent="0.35">
      <c r="A3684" s="188"/>
      <c r="B3684" s="190"/>
      <c r="C3684" s="99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0"/>
      <c r="E3684" s="78" t="str">
        <f>IF(C3684="","",IFERROR(VLOOKUP(C3684,parametros!$A$11:$E$15,5,0),""))</f>
        <v/>
      </c>
      <c r="F3684" s="79" t="str">
        <f t="shared" si="287"/>
        <v/>
      </c>
      <c r="G3684" s="101"/>
      <c r="H3684" s="91">
        <f t="shared" si="288"/>
        <v>0</v>
      </c>
      <c r="I3684" s="91" t="str">
        <f t="shared" si="289"/>
        <v/>
      </c>
      <c r="J3684" s="91" t="str">
        <f t="shared" si="290"/>
        <v/>
      </c>
      <c r="K3684" s="92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2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58"/>
      <c r="U3684" s="217" t="str">
        <f t="shared" si="291"/>
        <v/>
      </c>
      <c r="V3684" s="215" t="s">
        <v>47</v>
      </c>
      <c r="W3684" s="102" t="s">
        <v>136</v>
      </c>
      <c r="X3684" s="102" t="s">
        <v>137</v>
      </c>
      <c r="Y3684" s="103" t="s">
        <v>138</v>
      </c>
      <c r="Z3684" s="103" t="s">
        <v>139</v>
      </c>
      <c r="AA3684" s="103" t="s">
        <v>47</v>
      </c>
      <c r="AB3684" s="103" t="s">
        <v>140</v>
      </c>
      <c r="AC3684" s="104" t="s">
        <v>141</v>
      </c>
    </row>
    <row r="3685" spans="1:29" ht="25.5" customHeight="1" x14ac:dyDescent="0.35">
      <c r="A3685" s="188"/>
      <c r="B3685" s="190"/>
      <c r="C3685" s="99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0"/>
      <c r="E3685" s="78" t="str">
        <f>IF(C3685="","",IFERROR(VLOOKUP(C3685,parametros!$A$11:$E$15,5,0),""))</f>
        <v/>
      </c>
      <c r="F3685" s="79" t="str">
        <f t="shared" si="287"/>
        <v/>
      </c>
      <c r="G3685" s="101"/>
      <c r="H3685" s="91">
        <f t="shared" si="288"/>
        <v>0</v>
      </c>
      <c r="I3685" s="91" t="str">
        <f t="shared" si="289"/>
        <v/>
      </c>
      <c r="J3685" s="91" t="str">
        <f t="shared" si="290"/>
        <v/>
      </c>
      <c r="K3685" s="92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2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58"/>
      <c r="U3685" s="217" t="str">
        <f t="shared" si="291"/>
        <v/>
      </c>
      <c r="V3685" s="215" t="s">
        <v>47</v>
      </c>
      <c r="W3685" s="102" t="s">
        <v>136</v>
      </c>
      <c r="X3685" s="102" t="s">
        <v>137</v>
      </c>
      <c r="Y3685" s="103" t="s">
        <v>138</v>
      </c>
      <c r="Z3685" s="103" t="s">
        <v>139</v>
      </c>
      <c r="AA3685" s="103" t="s">
        <v>47</v>
      </c>
      <c r="AB3685" s="103" t="s">
        <v>140</v>
      </c>
      <c r="AC3685" s="104" t="s">
        <v>141</v>
      </c>
    </row>
    <row r="3686" spans="1:29" ht="25.5" customHeight="1" x14ac:dyDescent="0.35">
      <c r="A3686" s="188"/>
      <c r="B3686" s="190"/>
      <c r="C3686" s="99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0"/>
      <c r="E3686" s="78" t="str">
        <f>IF(C3686="","",IFERROR(VLOOKUP(C3686,parametros!$A$11:$E$15,5,0),""))</f>
        <v/>
      </c>
      <c r="F3686" s="79" t="str">
        <f t="shared" si="287"/>
        <v/>
      </c>
      <c r="G3686" s="101"/>
      <c r="H3686" s="91">
        <f t="shared" si="288"/>
        <v>0</v>
      </c>
      <c r="I3686" s="91" t="str">
        <f t="shared" si="289"/>
        <v/>
      </c>
      <c r="J3686" s="91" t="str">
        <f t="shared" si="290"/>
        <v/>
      </c>
      <c r="K3686" s="92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2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58"/>
      <c r="U3686" s="217" t="str">
        <f t="shared" si="291"/>
        <v/>
      </c>
      <c r="V3686" s="215" t="s">
        <v>47</v>
      </c>
      <c r="W3686" s="102" t="s">
        <v>136</v>
      </c>
      <c r="X3686" s="102" t="s">
        <v>137</v>
      </c>
      <c r="Y3686" s="103" t="s">
        <v>138</v>
      </c>
      <c r="Z3686" s="103" t="s">
        <v>139</v>
      </c>
      <c r="AA3686" s="103" t="s">
        <v>47</v>
      </c>
      <c r="AB3686" s="103" t="s">
        <v>140</v>
      </c>
      <c r="AC3686" s="104" t="s">
        <v>141</v>
      </c>
    </row>
    <row r="3687" spans="1:29" ht="25.5" customHeight="1" x14ac:dyDescent="0.35">
      <c r="A3687" s="188"/>
      <c r="B3687" s="190"/>
      <c r="C3687" s="99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0"/>
      <c r="E3687" s="78" t="str">
        <f>IF(C3687="","",IFERROR(VLOOKUP(C3687,parametros!$A$11:$E$15,5,0),""))</f>
        <v/>
      </c>
      <c r="F3687" s="79" t="str">
        <f t="shared" si="287"/>
        <v/>
      </c>
      <c r="G3687" s="101"/>
      <c r="H3687" s="91">
        <f t="shared" si="288"/>
        <v>0</v>
      </c>
      <c r="I3687" s="91" t="str">
        <f t="shared" si="289"/>
        <v/>
      </c>
      <c r="J3687" s="91" t="str">
        <f t="shared" si="290"/>
        <v/>
      </c>
      <c r="K3687" s="92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2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58"/>
      <c r="U3687" s="217" t="str">
        <f t="shared" si="291"/>
        <v/>
      </c>
      <c r="V3687" s="215" t="s">
        <v>47</v>
      </c>
      <c r="W3687" s="102" t="s">
        <v>136</v>
      </c>
      <c r="X3687" s="102" t="s">
        <v>137</v>
      </c>
      <c r="Y3687" s="103" t="s">
        <v>138</v>
      </c>
      <c r="Z3687" s="103" t="s">
        <v>139</v>
      </c>
      <c r="AA3687" s="103" t="s">
        <v>47</v>
      </c>
      <c r="AB3687" s="103" t="s">
        <v>140</v>
      </c>
      <c r="AC3687" s="104" t="s">
        <v>141</v>
      </c>
    </row>
    <row r="3688" spans="1:29" ht="25.5" customHeight="1" x14ac:dyDescent="0.35">
      <c r="A3688" s="188"/>
      <c r="B3688" s="190"/>
      <c r="C3688" s="99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0"/>
      <c r="E3688" s="78" t="str">
        <f>IF(C3688="","",IFERROR(VLOOKUP(C3688,parametros!$A$11:$E$15,5,0),""))</f>
        <v/>
      </c>
      <c r="F3688" s="79" t="str">
        <f t="shared" si="287"/>
        <v/>
      </c>
      <c r="G3688" s="101"/>
      <c r="H3688" s="91">
        <f t="shared" si="288"/>
        <v>0</v>
      </c>
      <c r="I3688" s="91" t="str">
        <f t="shared" si="289"/>
        <v/>
      </c>
      <c r="J3688" s="91" t="str">
        <f t="shared" si="290"/>
        <v/>
      </c>
      <c r="K3688" s="92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2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58"/>
      <c r="U3688" s="217" t="str">
        <f t="shared" si="291"/>
        <v/>
      </c>
      <c r="V3688" s="215" t="s">
        <v>47</v>
      </c>
      <c r="W3688" s="102" t="s">
        <v>136</v>
      </c>
      <c r="X3688" s="102" t="s">
        <v>137</v>
      </c>
      <c r="Y3688" s="103" t="s">
        <v>138</v>
      </c>
      <c r="Z3688" s="103" t="s">
        <v>139</v>
      </c>
      <c r="AA3688" s="103" t="s">
        <v>47</v>
      </c>
      <c r="AB3688" s="103" t="s">
        <v>140</v>
      </c>
      <c r="AC3688" s="104" t="s">
        <v>141</v>
      </c>
    </row>
    <row r="3689" spans="1:29" ht="25.5" customHeight="1" x14ac:dyDescent="0.35">
      <c r="A3689" s="188"/>
      <c r="B3689" s="190"/>
      <c r="C3689" s="99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0"/>
      <c r="E3689" s="78" t="str">
        <f>IF(C3689="","",IFERROR(VLOOKUP(C3689,parametros!$A$11:$E$15,5,0),""))</f>
        <v/>
      </c>
      <c r="F3689" s="79" t="str">
        <f t="shared" si="287"/>
        <v/>
      </c>
      <c r="G3689" s="101"/>
      <c r="H3689" s="91">
        <f t="shared" si="288"/>
        <v>0</v>
      </c>
      <c r="I3689" s="91" t="str">
        <f t="shared" si="289"/>
        <v/>
      </c>
      <c r="J3689" s="91" t="str">
        <f t="shared" si="290"/>
        <v/>
      </c>
      <c r="K3689" s="92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2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58"/>
      <c r="U3689" s="217" t="str">
        <f t="shared" si="291"/>
        <v/>
      </c>
      <c r="V3689" s="215" t="s">
        <v>47</v>
      </c>
      <c r="W3689" s="102" t="s">
        <v>136</v>
      </c>
      <c r="X3689" s="102" t="s">
        <v>137</v>
      </c>
      <c r="Y3689" s="103" t="s">
        <v>138</v>
      </c>
      <c r="Z3689" s="103" t="s">
        <v>139</v>
      </c>
      <c r="AA3689" s="103" t="s">
        <v>47</v>
      </c>
      <c r="AB3689" s="103" t="s">
        <v>140</v>
      </c>
      <c r="AC3689" s="104" t="s">
        <v>141</v>
      </c>
    </row>
    <row r="3690" spans="1:29" ht="25.5" customHeight="1" x14ac:dyDescent="0.35">
      <c r="A3690" s="188"/>
      <c r="B3690" s="190"/>
      <c r="C3690" s="99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0"/>
      <c r="E3690" s="78" t="str">
        <f>IF(C3690="","",IFERROR(VLOOKUP(C3690,parametros!$A$11:$E$15,5,0),""))</f>
        <v/>
      </c>
      <c r="F3690" s="79" t="str">
        <f t="shared" si="287"/>
        <v/>
      </c>
      <c r="G3690" s="101"/>
      <c r="H3690" s="91">
        <f t="shared" si="288"/>
        <v>0</v>
      </c>
      <c r="I3690" s="91" t="str">
        <f t="shared" si="289"/>
        <v/>
      </c>
      <c r="J3690" s="91" t="str">
        <f t="shared" si="290"/>
        <v/>
      </c>
      <c r="K3690" s="92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2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58"/>
      <c r="U3690" s="217" t="str">
        <f t="shared" si="291"/>
        <v/>
      </c>
      <c r="V3690" s="215" t="s">
        <v>47</v>
      </c>
      <c r="W3690" s="102" t="s">
        <v>136</v>
      </c>
      <c r="X3690" s="102" t="s">
        <v>137</v>
      </c>
      <c r="Y3690" s="103" t="s">
        <v>138</v>
      </c>
      <c r="Z3690" s="103" t="s">
        <v>139</v>
      </c>
      <c r="AA3690" s="103" t="s">
        <v>47</v>
      </c>
      <c r="AB3690" s="103" t="s">
        <v>140</v>
      </c>
      <c r="AC3690" s="104" t="s">
        <v>141</v>
      </c>
    </row>
    <row r="3691" spans="1:29" ht="25.5" customHeight="1" x14ac:dyDescent="0.35">
      <c r="A3691" s="188"/>
      <c r="B3691" s="190"/>
      <c r="C3691" s="99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0"/>
      <c r="E3691" s="78" t="str">
        <f>IF(C3691="","",IFERROR(VLOOKUP(C3691,parametros!$A$11:$E$15,5,0),""))</f>
        <v/>
      </c>
      <c r="F3691" s="79" t="str">
        <f t="shared" si="287"/>
        <v/>
      </c>
      <c r="G3691" s="101"/>
      <c r="H3691" s="91">
        <f t="shared" si="288"/>
        <v>0</v>
      </c>
      <c r="I3691" s="91" t="str">
        <f t="shared" si="289"/>
        <v/>
      </c>
      <c r="J3691" s="91" t="str">
        <f t="shared" si="290"/>
        <v/>
      </c>
      <c r="K3691" s="92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2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58"/>
      <c r="U3691" s="217" t="str">
        <f t="shared" si="291"/>
        <v/>
      </c>
      <c r="V3691" s="215" t="s">
        <v>47</v>
      </c>
      <c r="W3691" s="102" t="s">
        <v>136</v>
      </c>
      <c r="X3691" s="102" t="s">
        <v>137</v>
      </c>
      <c r="Y3691" s="103" t="s">
        <v>138</v>
      </c>
      <c r="Z3691" s="103" t="s">
        <v>139</v>
      </c>
      <c r="AA3691" s="103" t="s">
        <v>47</v>
      </c>
      <c r="AB3691" s="103" t="s">
        <v>140</v>
      </c>
      <c r="AC3691" s="104" t="s">
        <v>141</v>
      </c>
    </row>
    <row r="3692" spans="1:29" ht="25.5" customHeight="1" x14ac:dyDescent="0.35">
      <c r="A3692" s="188"/>
      <c r="B3692" s="190"/>
      <c r="C3692" s="99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0"/>
      <c r="E3692" s="78" t="str">
        <f>IF(C3692="","",IFERROR(VLOOKUP(C3692,parametros!$A$11:$E$15,5,0),""))</f>
        <v/>
      </c>
      <c r="F3692" s="79" t="str">
        <f t="shared" si="287"/>
        <v/>
      </c>
      <c r="G3692" s="101"/>
      <c r="H3692" s="91">
        <f t="shared" si="288"/>
        <v>0</v>
      </c>
      <c r="I3692" s="91" t="str">
        <f t="shared" si="289"/>
        <v/>
      </c>
      <c r="J3692" s="91" t="str">
        <f t="shared" si="290"/>
        <v/>
      </c>
      <c r="K3692" s="92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2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58"/>
      <c r="U3692" s="217" t="str">
        <f t="shared" si="291"/>
        <v/>
      </c>
      <c r="V3692" s="215" t="s">
        <v>47</v>
      </c>
      <c r="W3692" s="102" t="s">
        <v>136</v>
      </c>
      <c r="X3692" s="102" t="s">
        <v>137</v>
      </c>
      <c r="Y3692" s="103" t="s">
        <v>138</v>
      </c>
      <c r="Z3692" s="103" t="s">
        <v>139</v>
      </c>
      <c r="AA3692" s="103" t="s">
        <v>47</v>
      </c>
      <c r="AB3692" s="103" t="s">
        <v>140</v>
      </c>
      <c r="AC3692" s="104" t="s">
        <v>141</v>
      </c>
    </row>
    <row r="3693" spans="1:29" ht="25.5" customHeight="1" x14ac:dyDescent="0.35">
      <c r="A3693" s="188"/>
      <c r="B3693" s="190"/>
      <c r="C3693" s="99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0"/>
      <c r="E3693" s="78" t="str">
        <f>IF(C3693="","",IFERROR(VLOOKUP(C3693,parametros!$A$11:$E$15,5,0),""))</f>
        <v/>
      </c>
      <c r="F3693" s="79" t="str">
        <f t="shared" si="287"/>
        <v/>
      </c>
      <c r="G3693" s="101"/>
      <c r="H3693" s="91">
        <f t="shared" si="288"/>
        <v>0</v>
      </c>
      <c r="I3693" s="91" t="str">
        <f t="shared" si="289"/>
        <v/>
      </c>
      <c r="J3693" s="91" t="str">
        <f t="shared" si="290"/>
        <v/>
      </c>
      <c r="K3693" s="92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2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58"/>
      <c r="U3693" s="217" t="str">
        <f t="shared" si="291"/>
        <v/>
      </c>
      <c r="V3693" s="215" t="s">
        <v>47</v>
      </c>
      <c r="W3693" s="102" t="s">
        <v>136</v>
      </c>
      <c r="X3693" s="102" t="s">
        <v>137</v>
      </c>
      <c r="Y3693" s="103" t="s">
        <v>138</v>
      </c>
      <c r="Z3693" s="103" t="s">
        <v>139</v>
      </c>
      <c r="AA3693" s="103" t="s">
        <v>47</v>
      </c>
      <c r="AB3693" s="103" t="s">
        <v>140</v>
      </c>
      <c r="AC3693" s="104" t="s">
        <v>141</v>
      </c>
    </row>
    <row r="3694" spans="1:29" ht="25.5" customHeight="1" x14ac:dyDescent="0.35">
      <c r="A3694" s="188"/>
      <c r="B3694" s="190"/>
      <c r="C3694" s="99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0"/>
      <c r="E3694" s="78" t="str">
        <f>IF(C3694="","",IFERROR(VLOOKUP(C3694,parametros!$A$11:$E$15,5,0),""))</f>
        <v/>
      </c>
      <c r="F3694" s="79" t="str">
        <f t="shared" si="287"/>
        <v/>
      </c>
      <c r="G3694" s="101"/>
      <c r="H3694" s="91">
        <f t="shared" si="288"/>
        <v>0</v>
      </c>
      <c r="I3694" s="91" t="str">
        <f t="shared" si="289"/>
        <v/>
      </c>
      <c r="J3694" s="91" t="str">
        <f t="shared" si="290"/>
        <v/>
      </c>
      <c r="K3694" s="92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2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58"/>
      <c r="U3694" s="217" t="str">
        <f t="shared" si="291"/>
        <v/>
      </c>
      <c r="V3694" s="215" t="s">
        <v>47</v>
      </c>
      <c r="W3694" s="102" t="s">
        <v>136</v>
      </c>
      <c r="X3694" s="102" t="s">
        <v>137</v>
      </c>
      <c r="Y3694" s="103" t="s">
        <v>138</v>
      </c>
      <c r="Z3694" s="103" t="s">
        <v>139</v>
      </c>
      <c r="AA3694" s="103" t="s">
        <v>47</v>
      </c>
      <c r="AB3694" s="103" t="s">
        <v>140</v>
      </c>
      <c r="AC3694" s="104" t="s">
        <v>141</v>
      </c>
    </row>
    <row r="3695" spans="1:29" ht="25.5" customHeight="1" x14ac:dyDescent="0.35">
      <c r="A3695" s="188"/>
      <c r="B3695" s="190"/>
      <c r="C3695" s="99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0"/>
      <c r="E3695" s="78" t="str">
        <f>IF(C3695="","",IFERROR(VLOOKUP(C3695,parametros!$A$11:$E$15,5,0),""))</f>
        <v/>
      </c>
      <c r="F3695" s="79" t="str">
        <f t="shared" si="287"/>
        <v/>
      </c>
      <c r="G3695" s="101"/>
      <c r="H3695" s="91">
        <f t="shared" si="288"/>
        <v>0</v>
      </c>
      <c r="I3695" s="91" t="str">
        <f t="shared" si="289"/>
        <v/>
      </c>
      <c r="J3695" s="91" t="str">
        <f t="shared" si="290"/>
        <v/>
      </c>
      <c r="K3695" s="92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2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58"/>
      <c r="U3695" s="217" t="str">
        <f t="shared" si="291"/>
        <v/>
      </c>
      <c r="V3695" s="215" t="s">
        <v>47</v>
      </c>
      <c r="W3695" s="102" t="s">
        <v>136</v>
      </c>
      <c r="X3695" s="102" t="s">
        <v>137</v>
      </c>
      <c r="Y3695" s="103" t="s">
        <v>138</v>
      </c>
      <c r="Z3695" s="103" t="s">
        <v>139</v>
      </c>
      <c r="AA3695" s="103" t="s">
        <v>47</v>
      </c>
      <c r="AB3695" s="103" t="s">
        <v>140</v>
      </c>
      <c r="AC3695" s="104" t="s">
        <v>141</v>
      </c>
    </row>
    <row r="3696" spans="1:29" ht="25.5" customHeight="1" x14ac:dyDescent="0.35">
      <c r="A3696" s="188"/>
      <c r="B3696" s="190"/>
      <c r="C3696" s="99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0"/>
      <c r="E3696" s="78" t="str">
        <f>IF(C3696="","",IFERROR(VLOOKUP(C3696,parametros!$A$11:$E$15,5,0),""))</f>
        <v/>
      </c>
      <c r="F3696" s="79" t="str">
        <f t="shared" si="287"/>
        <v/>
      </c>
      <c r="G3696" s="101"/>
      <c r="H3696" s="91">
        <f t="shared" si="288"/>
        <v>0</v>
      </c>
      <c r="I3696" s="91" t="str">
        <f t="shared" si="289"/>
        <v/>
      </c>
      <c r="J3696" s="91" t="str">
        <f t="shared" si="290"/>
        <v/>
      </c>
      <c r="K3696" s="92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2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58"/>
      <c r="U3696" s="217" t="str">
        <f t="shared" si="291"/>
        <v/>
      </c>
      <c r="V3696" s="215" t="s">
        <v>47</v>
      </c>
      <c r="W3696" s="102" t="s">
        <v>136</v>
      </c>
      <c r="X3696" s="102" t="s">
        <v>137</v>
      </c>
      <c r="Y3696" s="103" t="s">
        <v>138</v>
      </c>
      <c r="Z3696" s="103" t="s">
        <v>139</v>
      </c>
      <c r="AA3696" s="103" t="s">
        <v>47</v>
      </c>
      <c r="AB3696" s="103" t="s">
        <v>140</v>
      </c>
      <c r="AC3696" s="104" t="s">
        <v>141</v>
      </c>
    </row>
    <row r="3697" spans="1:29" ht="25.5" customHeight="1" x14ac:dyDescent="0.35">
      <c r="A3697" s="188"/>
      <c r="B3697" s="190"/>
      <c r="C3697" s="99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0"/>
      <c r="E3697" s="78" t="str">
        <f>IF(C3697="","",IFERROR(VLOOKUP(C3697,parametros!$A$11:$E$15,5,0),""))</f>
        <v/>
      </c>
      <c r="F3697" s="79" t="str">
        <f t="shared" si="287"/>
        <v/>
      </c>
      <c r="G3697" s="101"/>
      <c r="H3697" s="91">
        <f t="shared" si="288"/>
        <v>0</v>
      </c>
      <c r="I3697" s="91" t="str">
        <f t="shared" si="289"/>
        <v/>
      </c>
      <c r="J3697" s="91" t="str">
        <f t="shared" si="290"/>
        <v/>
      </c>
      <c r="K3697" s="92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2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58"/>
      <c r="U3697" s="217" t="str">
        <f t="shared" si="291"/>
        <v/>
      </c>
      <c r="V3697" s="215" t="s">
        <v>47</v>
      </c>
      <c r="W3697" s="102" t="s">
        <v>136</v>
      </c>
      <c r="X3697" s="102" t="s">
        <v>137</v>
      </c>
      <c r="Y3697" s="103" t="s">
        <v>138</v>
      </c>
      <c r="Z3697" s="103" t="s">
        <v>139</v>
      </c>
      <c r="AA3697" s="103" t="s">
        <v>47</v>
      </c>
      <c r="AB3697" s="103" t="s">
        <v>140</v>
      </c>
      <c r="AC3697" s="104" t="s">
        <v>141</v>
      </c>
    </row>
    <row r="3698" spans="1:29" ht="25.5" customHeight="1" x14ac:dyDescent="0.35">
      <c r="A3698" s="188"/>
      <c r="B3698" s="190"/>
      <c r="C3698" s="99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0"/>
      <c r="E3698" s="78" t="str">
        <f>IF(C3698="","",IFERROR(VLOOKUP(C3698,parametros!$A$11:$E$15,5,0),""))</f>
        <v/>
      </c>
      <c r="F3698" s="79" t="str">
        <f t="shared" si="287"/>
        <v/>
      </c>
      <c r="G3698" s="101"/>
      <c r="H3698" s="91">
        <f t="shared" si="288"/>
        <v>0</v>
      </c>
      <c r="I3698" s="91" t="str">
        <f t="shared" si="289"/>
        <v/>
      </c>
      <c r="J3698" s="91" t="str">
        <f t="shared" si="290"/>
        <v/>
      </c>
      <c r="K3698" s="92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2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58"/>
      <c r="U3698" s="217" t="str">
        <f t="shared" si="291"/>
        <v/>
      </c>
      <c r="V3698" s="215" t="s">
        <v>47</v>
      </c>
      <c r="W3698" s="102" t="s">
        <v>136</v>
      </c>
      <c r="X3698" s="102" t="s">
        <v>137</v>
      </c>
      <c r="Y3698" s="103" t="s">
        <v>138</v>
      </c>
      <c r="Z3698" s="103" t="s">
        <v>139</v>
      </c>
      <c r="AA3698" s="103" t="s">
        <v>47</v>
      </c>
      <c r="AB3698" s="103" t="s">
        <v>140</v>
      </c>
      <c r="AC3698" s="104" t="s">
        <v>141</v>
      </c>
    </row>
    <row r="3699" spans="1:29" ht="25.5" customHeight="1" x14ac:dyDescent="0.35">
      <c r="A3699" s="188"/>
      <c r="B3699" s="190"/>
      <c r="C3699" s="99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0"/>
      <c r="E3699" s="78" t="str">
        <f>IF(C3699="","",IFERROR(VLOOKUP(C3699,parametros!$A$11:$E$15,5,0),""))</f>
        <v/>
      </c>
      <c r="F3699" s="79" t="str">
        <f t="shared" si="287"/>
        <v/>
      </c>
      <c r="G3699" s="101"/>
      <c r="H3699" s="91">
        <f t="shared" si="288"/>
        <v>0</v>
      </c>
      <c r="I3699" s="91" t="str">
        <f t="shared" si="289"/>
        <v/>
      </c>
      <c r="J3699" s="91" t="str">
        <f t="shared" si="290"/>
        <v/>
      </c>
      <c r="K3699" s="92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2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58"/>
      <c r="U3699" s="217" t="str">
        <f t="shared" si="291"/>
        <v/>
      </c>
      <c r="V3699" s="215" t="s">
        <v>47</v>
      </c>
      <c r="W3699" s="102" t="s">
        <v>136</v>
      </c>
      <c r="X3699" s="102" t="s">
        <v>137</v>
      </c>
      <c r="Y3699" s="103" t="s">
        <v>138</v>
      </c>
      <c r="Z3699" s="103" t="s">
        <v>139</v>
      </c>
      <c r="AA3699" s="103" t="s">
        <v>47</v>
      </c>
      <c r="AB3699" s="103" t="s">
        <v>140</v>
      </c>
      <c r="AC3699" s="104" t="s">
        <v>141</v>
      </c>
    </row>
    <row r="3700" spans="1:29" ht="25.5" customHeight="1" x14ac:dyDescent="0.35">
      <c r="A3700" s="188"/>
      <c r="B3700" s="190"/>
      <c r="C3700" s="99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0"/>
      <c r="E3700" s="78" t="str">
        <f>IF(C3700="","",IFERROR(VLOOKUP(C3700,parametros!$A$11:$E$15,5,0),""))</f>
        <v/>
      </c>
      <c r="F3700" s="79" t="str">
        <f t="shared" si="287"/>
        <v/>
      </c>
      <c r="G3700" s="101"/>
      <c r="H3700" s="91">
        <f t="shared" si="288"/>
        <v>0</v>
      </c>
      <c r="I3700" s="91" t="str">
        <f t="shared" si="289"/>
        <v/>
      </c>
      <c r="J3700" s="91" t="str">
        <f t="shared" si="290"/>
        <v/>
      </c>
      <c r="K3700" s="92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2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58"/>
      <c r="U3700" s="217" t="str">
        <f t="shared" si="291"/>
        <v/>
      </c>
      <c r="V3700" s="215" t="s">
        <v>47</v>
      </c>
      <c r="W3700" s="102" t="s">
        <v>136</v>
      </c>
      <c r="X3700" s="102" t="s">
        <v>137</v>
      </c>
      <c r="Y3700" s="103" t="s">
        <v>138</v>
      </c>
      <c r="Z3700" s="103" t="s">
        <v>139</v>
      </c>
      <c r="AA3700" s="103" t="s">
        <v>47</v>
      </c>
      <c r="AB3700" s="103" t="s">
        <v>140</v>
      </c>
      <c r="AC3700" s="104" t="s">
        <v>141</v>
      </c>
    </row>
    <row r="3701" spans="1:29" ht="25.5" customHeight="1" x14ac:dyDescent="0.35">
      <c r="A3701" s="188"/>
      <c r="B3701" s="190"/>
      <c r="C3701" s="99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0"/>
      <c r="E3701" s="78" t="str">
        <f>IF(C3701="","",IFERROR(VLOOKUP(C3701,parametros!$A$11:$E$15,5,0),""))</f>
        <v/>
      </c>
      <c r="F3701" s="79" t="str">
        <f t="shared" si="287"/>
        <v/>
      </c>
      <c r="G3701" s="101"/>
      <c r="H3701" s="91">
        <f t="shared" si="288"/>
        <v>0</v>
      </c>
      <c r="I3701" s="91" t="str">
        <f t="shared" si="289"/>
        <v/>
      </c>
      <c r="J3701" s="91" t="str">
        <f t="shared" si="290"/>
        <v/>
      </c>
      <c r="K3701" s="92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2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58"/>
      <c r="U3701" s="217" t="str">
        <f t="shared" si="291"/>
        <v/>
      </c>
      <c r="V3701" s="215" t="s">
        <v>47</v>
      </c>
      <c r="W3701" s="102" t="s">
        <v>136</v>
      </c>
      <c r="X3701" s="102" t="s">
        <v>137</v>
      </c>
      <c r="Y3701" s="103" t="s">
        <v>138</v>
      </c>
      <c r="Z3701" s="103" t="s">
        <v>139</v>
      </c>
      <c r="AA3701" s="103" t="s">
        <v>47</v>
      </c>
      <c r="AB3701" s="103" t="s">
        <v>140</v>
      </c>
      <c r="AC3701" s="104" t="s">
        <v>141</v>
      </c>
    </row>
    <row r="3702" spans="1:29" ht="25.5" customHeight="1" x14ac:dyDescent="0.35">
      <c r="A3702" s="188"/>
      <c r="B3702" s="190"/>
      <c r="C3702" s="99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0"/>
      <c r="E3702" s="78" t="str">
        <f>IF(C3702="","",IFERROR(VLOOKUP(C3702,parametros!$A$11:$E$15,5,0),""))</f>
        <v/>
      </c>
      <c r="F3702" s="79" t="str">
        <f t="shared" si="287"/>
        <v/>
      </c>
      <c r="G3702" s="101"/>
      <c r="H3702" s="91">
        <f t="shared" si="288"/>
        <v>0</v>
      </c>
      <c r="I3702" s="91" t="str">
        <f t="shared" si="289"/>
        <v/>
      </c>
      <c r="J3702" s="91" t="str">
        <f t="shared" si="290"/>
        <v/>
      </c>
      <c r="K3702" s="92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2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58"/>
      <c r="U3702" s="217" t="str">
        <f t="shared" si="291"/>
        <v/>
      </c>
      <c r="V3702" s="215" t="s">
        <v>47</v>
      </c>
      <c r="W3702" s="102" t="s">
        <v>136</v>
      </c>
      <c r="X3702" s="102" t="s">
        <v>137</v>
      </c>
      <c r="Y3702" s="103" t="s">
        <v>138</v>
      </c>
      <c r="Z3702" s="103" t="s">
        <v>139</v>
      </c>
      <c r="AA3702" s="103" t="s">
        <v>47</v>
      </c>
      <c r="AB3702" s="103" t="s">
        <v>140</v>
      </c>
      <c r="AC3702" s="104" t="s">
        <v>141</v>
      </c>
    </row>
    <row r="3703" spans="1:29" ht="25.5" customHeight="1" x14ac:dyDescent="0.35">
      <c r="A3703" s="188"/>
      <c r="B3703" s="190"/>
      <c r="C3703" s="99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0"/>
      <c r="E3703" s="78" t="str">
        <f>IF(C3703="","",IFERROR(VLOOKUP(C3703,parametros!$A$11:$E$15,5,0),""))</f>
        <v/>
      </c>
      <c r="F3703" s="79" t="str">
        <f t="shared" si="287"/>
        <v/>
      </c>
      <c r="G3703" s="101"/>
      <c r="H3703" s="91">
        <f t="shared" si="288"/>
        <v>0</v>
      </c>
      <c r="I3703" s="91" t="str">
        <f t="shared" si="289"/>
        <v/>
      </c>
      <c r="J3703" s="91" t="str">
        <f t="shared" si="290"/>
        <v/>
      </c>
      <c r="K3703" s="92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2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58"/>
      <c r="U3703" s="217" t="str">
        <f t="shared" si="291"/>
        <v/>
      </c>
      <c r="V3703" s="215" t="s">
        <v>47</v>
      </c>
      <c r="W3703" s="102" t="s">
        <v>136</v>
      </c>
      <c r="X3703" s="102" t="s">
        <v>137</v>
      </c>
      <c r="Y3703" s="103" t="s">
        <v>138</v>
      </c>
      <c r="Z3703" s="103" t="s">
        <v>139</v>
      </c>
      <c r="AA3703" s="103" t="s">
        <v>47</v>
      </c>
      <c r="AB3703" s="103" t="s">
        <v>140</v>
      </c>
      <c r="AC3703" s="104" t="s">
        <v>141</v>
      </c>
    </row>
    <row r="3704" spans="1:29" ht="25.5" customHeight="1" x14ac:dyDescent="0.35">
      <c r="A3704" s="188"/>
      <c r="B3704" s="190"/>
      <c r="C3704" s="99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0"/>
      <c r="E3704" s="78" t="str">
        <f>IF(C3704="","",IFERROR(VLOOKUP(C3704,parametros!$A$11:$E$15,5,0),""))</f>
        <v/>
      </c>
      <c r="F3704" s="79" t="str">
        <f t="shared" si="287"/>
        <v/>
      </c>
      <c r="G3704" s="101"/>
      <c r="H3704" s="91">
        <f t="shared" si="288"/>
        <v>0</v>
      </c>
      <c r="I3704" s="91" t="str">
        <f t="shared" si="289"/>
        <v/>
      </c>
      <c r="J3704" s="91" t="str">
        <f t="shared" si="290"/>
        <v/>
      </c>
      <c r="K3704" s="92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2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58"/>
      <c r="U3704" s="217" t="str">
        <f t="shared" si="291"/>
        <v/>
      </c>
      <c r="V3704" s="215" t="s">
        <v>47</v>
      </c>
      <c r="W3704" s="102" t="s">
        <v>136</v>
      </c>
      <c r="X3704" s="102" t="s">
        <v>137</v>
      </c>
      <c r="Y3704" s="103" t="s">
        <v>138</v>
      </c>
      <c r="Z3704" s="103" t="s">
        <v>139</v>
      </c>
      <c r="AA3704" s="103" t="s">
        <v>47</v>
      </c>
      <c r="AB3704" s="103" t="s">
        <v>140</v>
      </c>
      <c r="AC3704" s="104" t="s">
        <v>141</v>
      </c>
    </row>
    <row r="3705" spans="1:29" ht="25.5" customHeight="1" x14ac:dyDescent="0.35">
      <c r="A3705" s="188"/>
      <c r="B3705" s="190"/>
      <c r="C3705" s="99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0"/>
      <c r="E3705" s="78" t="str">
        <f>IF(C3705="","",IFERROR(VLOOKUP(C3705,parametros!$A$11:$E$15,5,0),""))</f>
        <v/>
      </c>
      <c r="F3705" s="79" t="str">
        <f t="shared" si="287"/>
        <v/>
      </c>
      <c r="G3705" s="101"/>
      <c r="H3705" s="91">
        <f t="shared" si="288"/>
        <v>0</v>
      </c>
      <c r="I3705" s="91" t="str">
        <f t="shared" si="289"/>
        <v/>
      </c>
      <c r="J3705" s="91" t="str">
        <f t="shared" si="290"/>
        <v/>
      </c>
      <c r="K3705" s="92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2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58"/>
      <c r="U3705" s="217" t="str">
        <f t="shared" si="291"/>
        <v/>
      </c>
      <c r="V3705" s="215" t="s">
        <v>47</v>
      </c>
      <c r="W3705" s="102" t="s">
        <v>136</v>
      </c>
      <c r="X3705" s="102" t="s">
        <v>137</v>
      </c>
      <c r="Y3705" s="103" t="s">
        <v>138</v>
      </c>
      <c r="Z3705" s="103" t="s">
        <v>139</v>
      </c>
      <c r="AA3705" s="103" t="s">
        <v>47</v>
      </c>
      <c r="AB3705" s="103" t="s">
        <v>140</v>
      </c>
      <c r="AC3705" s="104" t="s">
        <v>141</v>
      </c>
    </row>
    <row r="3706" spans="1:29" ht="25.5" customHeight="1" x14ac:dyDescent="0.35">
      <c r="A3706" s="188"/>
      <c r="B3706" s="190"/>
      <c r="C3706" s="99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0"/>
      <c r="E3706" s="78" t="str">
        <f>IF(C3706="","",IFERROR(VLOOKUP(C3706,parametros!$A$11:$E$15,5,0),""))</f>
        <v/>
      </c>
      <c r="F3706" s="79" t="str">
        <f t="shared" si="287"/>
        <v/>
      </c>
      <c r="G3706" s="101"/>
      <c r="H3706" s="91">
        <f t="shared" si="288"/>
        <v>0</v>
      </c>
      <c r="I3706" s="91" t="str">
        <f t="shared" si="289"/>
        <v/>
      </c>
      <c r="J3706" s="91" t="str">
        <f t="shared" si="290"/>
        <v/>
      </c>
      <c r="K3706" s="92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2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58"/>
      <c r="U3706" s="217" t="str">
        <f t="shared" si="291"/>
        <v/>
      </c>
      <c r="V3706" s="215" t="s">
        <v>47</v>
      </c>
      <c r="W3706" s="102" t="s">
        <v>136</v>
      </c>
      <c r="X3706" s="102" t="s">
        <v>137</v>
      </c>
      <c r="Y3706" s="103" t="s">
        <v>138</v>
      </c>
      <c r="Z3706" s="103" t="s">
        <v>139</v>
      </c>
      <c r="AA3706" s="103" t="s">
        <v>47</v>
      </c>
      <c r="AB3706" s="103" t="s">
        <v>140</v>
      </c>
      <c r="AC3706" s="104" t="s">
        <v>141</v>
      </c>
    </row>
    <row r="3707" spans="1:29" ht="25.5" customHeight="1" x14ac:dyDescent="0.35">
      <c r="A3707" s="188"/>
      <c r="B3707" s="190"/>
      <c r="C3707" s="99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0"/>
      <c r="E3707" s="78" t="str">
        <f>IF(C3707="","",IFERROR(VLOOKUP(C3707,parametros!$A$11:$E$15,5,0),""))</f>
        <v/>
      </c>
      <c r="F3707" s="79" t="str">
        <f t="shared" si="287"/>
        <v/>
      </c>
      <c r="G3707" s="101"/>
      <c r="H3707" s="91">
        <f t="shared" si="288"/>
        <v>0</v>
      </c>
      <c r="I3707" s="91" t="str">
        <f t="shared" si="289"/>
        <v/>
      </c>
      <c r="J3707" s="91" t="str">
        <f t="shared" si="290"/>
        <v/>
      </c>
      <c r="K3707" s="92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2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58"/>
      <c r="U3707" s="217" t="str">
        <f t="shared" si="291"/>
        <v/>
      </c>
      <c r="V3707" s="215" t="s">
        <v>47</v>
      </c>
      <c r="W3707" s="102" t="s">
        <v>136</v>
      </c>
      <c r="X3707" s="102" t="s">
        <v>137</v>
      </c>
      <c r="Y3707" s="103" t="s">
        <v>138</v>
      </c>
      <c r="Z3707" s="103" t="s">
        <v>139</v>
      </c>
      <c r="AA3707" s="103" t="s">
        <v>47</v>
      </c>
      <c r="AB3707" s="103" t="s">
        <v>140</v>
      </c>
      <c r="AC3707" s="104" t="s">
        <v>141</v>
      </c>
    </row>
    <row r="3708" spans="1:29" ht="25.5" customHeight="1" x14ac:dyDescent="0.35">
      <c r="A3708" s="188"/>
      <c r="B3708" s="190"/>
      <c r="C3708" s="99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0"/>
      <c r="E3708" s="78" t="str">
        <f>IF(C3708="","",IFERROR(VLOOKUP(C3708,parametros!$A$11:$E$15,5,0),""))</f>
        <v/>
      </c>
      <c r="F3708" s="79" t="str">
        <f t="shared" si="287"/>
        <v/>
      </c>
      <c r="G3708" s="101"/>
      <c r="H3708" s="91">
        <f t="shared" si="288"/>
        <v>0</v>
      </c>
      <c r="I3708" s="91" t="str">
        <f t="shared" si="289"/>
        <v/>
      </c>
      <c r="J3708" s="91" t="str">
        <f t="shared" si="290"/>
        <v/>
      </c>
      <c r="K3708" s="92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2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58"/>
      <c r="U3708" s="217" t="str">
        <f t="shared" si="291"/>
        <v/>
      </c>
      <c r="V3708" s="215" t="s">
        <v>47</v>
      </c>
      <c r="W3708" s="102" t="s">
        <v>136</v>
      </c>
      <c r="X3708" s="102" t="s">
        <v>137</v>
      </c>
      <c r="Y3708" s="103" t="s">
        <v>138</v>
      </c>
      <c r="Z3708" s="103" t="s">
        <v>139</v>
      </c>
      <c r="AA3708" s="103" t="s">
        <v>47</v>
      </c>
      <c r="AB3708" s="103" t="s">
        <v>140</v>
      </c>
      <c r="AC3708" s="104" t="s">
        <v>141</v>
      </c>
    </row>
    <row r="3709" spans="1:29" ht="25.5" customHeight="1" x14ac:dyDescent="0.35">
      <c r="A3709" s="188"/>
      <c r="B3709" s="190"/>
      <c r="C3709" s="99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0"/>
      <c r="E3709" s="78" t="str">
        <f>IF(C3709="","",IFERROR(VLOOKUP(C3709,parametros!$A$11:$E$15,5,0),""))</f>
        <v/>
      </c>
      <c r="F3709" s="79" t="str">
        <f t="shared" si="287"/>
        <v/>
      </c>
      <c r="G3709" s="101"/>
      <c r="H3709" s="91">
        <f t="shared" si="288"/>
        <v>0</v>
      </c>
      <c r="I3709" s="91" t="str">
        <f t="shared" si="289"/>
        <v/>
      </c>
      <c r="J3709" s="91" t="str">
        <f t="shared" si="290"/>
        <v/>
      </c>
      <c r="K3709" s="92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2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58"/>
      <c r="U3709" s="217" t="str">
        <f t="shared" si="291"/>
        <v/>
      </c>
      <c r="V3709" s="215" t="s">
        <v>47</v>
      </c>
      <c r="W3709" s="102" t="s">
        <v>136</v>
      </c>
      <c r="X3709" s="102" t="s">
        <v>137</v>
      </c>
      <c r="Y3709" s="103" t="s">
        <v>138</v>
      </c>
      <c r="Z3709" s="103" t="s">
        <v>139</v>
      </c>
      <c r="AA3709" s="103" t="s">
        <v>47</v>
      </c>
      <c r="AB3709" s="103" t="s">
        <v>140</v>
      </c>
      <c r="AC3709" s="104" t="s">
        <v>141</v>
      </c>
    </row>
    <row r="3710" spans="1:29" ht="25.5" customHeight="1" x14ac:dyDescent="0.35">
      <c r="A3710" s="188"/>
      <c r="B3710" s="190"/>
      <c r="C3710" s="99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0"/>
      <c r="E3710" s="78" t="str">
        <f>IF(C3710="","",IFERROR(VLOOKUP(C3710,parametros!$A$11:$E$15,5,0),""))</f>
        <v/>
      </c>
      <c r="F3710" s="79" t="str">
        <f t="shared" si="287"/>
        <v/>
      </c>
      <c r="G3710" s="101"/>
      <c r="H3710" s="91">
        <f t="shared" si="288"/>
        <v>0</v>
      </c>
      <c r="I3710" s="91" t="str">
        <f t="shared" si="289"/>
        <v/>
      </c>
      <c r="J3710" s="91" t="str">
        <f t="shared" si="290"/>
        <v/>
      </c>
      <c r="K3710" s="92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2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58"/>
      <c r="U3710" s="217" t="str">
        <f t="shared" si="291"/>
        <v/>
      </c>
      <c r="V3710" s="215" t="s">
        <v>47</v>
      </c>
      <c r="W3710" s="102" t="s">
        <v>136</v>
      </c>
      <c r="X3710" s="102" t="s">
        <v>137</v>
      </c>
      <c r="Y3710" s="103" t="s">
        <v>138</v>
      </c>
      <c r="Z3710" s="103" t="s">
        <v>139</v>
      </c>
      <c r="AA3710" s="103" t="s">
        <v>47</v>
      </c>
      <c r="AB3710" s="103" t="s">
        <v>140</v>
      </c>
      <c r="AC3710" s="104" t="s">
        <v>141</v>
      </c>
    </row>
    <row r="3711" spans="1:29" ht="25.5" customHeight="1" x14ac:dyDescent="0.35">
      <c r="A3711" s="188"/>
      <c r="B3711" s="190"/>
      <c r="C3711" s="99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0"/>
      <c r="E3711" s="78" t="str">
        <f>IF(C3711="","",IFERROR(VLOOKUP(C3711,parametros!$A$11:$E$15,5,0),""))</f>
        <v/>
      </c>
      <c r="F3711" s="79" t="str">
        <f t="shared" si="287"/>
        <v/>
      </c>
      <c r="G3711" s="101"/>
      <c r="H3711" s="91">
        <f t="shared" si="288"/>
        <v>0</v>
      </c>
      <c r="I3711" s="91" t="str">
        <f t="shared" si="289"/>
        <v/>
      </c>
      <c r="J3711" s="91" t="str">
        <f t="shared" si="290"/>
        <v/>
      </c>
      <c r="K3711" s="92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2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58"/>
      <c r="U3711" s="217" t="str">
        <f t="shared" si="291"/>
        <v/>
      </c>
      <c r="V3711" s="215" t="s">
        <v>47</v>
      </c>
      <c r="W3711" s="102" t="s">
        <v>136</v>
      </c>
      <c r="X3711" s="102" t="s">
        <v>137</v>
      </c>
      <c r="Y3711" s="103" t="s">
        <v>138</v>
      </c>
      <c r="Z3711" s="103" t="s">
        <v>139</v>
      </c>
      <c r="AA3711" s="103" t="s">
        <v>47</v>
      </c>
      <c r="AB3711" s="103" t="s">
        <v>140</v>
      </c>
      <c r="AC3711" s="104" t="s">
        <v>141</v>
      </c>
    </row>
    <row r="3712" spans="1:29" ht="25.5" customHeight="1" x14ac:dyDescent="0.35">
      <c r="A3712" s="188"/>
      <c r="B3712" s="190"/>
      <c r="C3712" s="99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0"/>
      <c r="E3712" s="78" t="str">
        <f>IF(C3712="","",IFERROR(VLOOKUP(C3712,parametros!$A$11:$E$15,5,0),""))</f>
        <v/>
      </c>
      <c r="F3712" s="79" t="str">
        <f t="shared" si="287"/>
        <v/>
      </c>
      <c r="G3712" s="101"/>
      <c r="H3712" s="91">
        <f t="shared" si="288"/>
        <v>0</v>
      </c>
      <c r="I3712" s="91" t="str">
        <f t="shared" si="289"/>
        <v/>
      </c>
      <c r="J3712" s="91" t="str">
        <f t="shared" si="290"/>
        <v/>
      </c>
      <c r="K3712" s="92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2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58"/>
      <c r="U3712" s="217" t="str">
        <f t="shared" si="291"/>
        <v/>
      </c>
      <c r="V3712" s="215" t="s">
        <v>47</v>
      </c>
      <c r="W3712" s="102" t="s">
        <v>136</v>
      </c>
      <c r="X3712" s="102" t="s">
        <v>137</v>
      </c>
      <c r="Y3712" s="103" t="s">
        <v>138</v>
      </c>
      <c r="Z3712" s="103" t="s">
        <v>139</v>
      </c>
      <c r="AA3712" s="103" t="s">
        <v>47</v>
      </c>
      <c r="AB3712" s="103" t="s">
        <v>140</v>
      </c>
      <c r="AC3712" s="104" t="s">
        <v>141</v>
      </c>
    </row>
    <row r="3713" spans="1:29" ht="25.5" customHeight="1" x14ac:dyDescent="0.35">
      <c r="A3713" s="188"/>
      <c r="B3713" s="190"/>
      <c r="C3713" s="99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0"/>
      <c r="E3713" s="78" t="str">
        <f>IF(C3713="","",IFERROR(VLOOKUP(C3713,parametros!$A$11:$E$15,5,0),""))</f>
        <v/>
      </c>
      <c r="F3713" s="79" t="str">
        <f t="shared" si="287"/>
        <v/>
      </c>
      <c r="G3713" s="101"/>
      <c r="H3713" s="91">
        <f t="shared" si="288"/>
        <v>0</v>
      </c>
      <c r="I3713" s="91" t="str">
        <f t="shared" si="289"/>
        <v/>
      </c>
      <c r="J3713" s="91" t="str">
        <f t="shared" si="290"/>
        <v/>
      </c>
      <c r="K3713" s="92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2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58"/>
      <c r="U3713" s="217" t="str">
        <f t="shared" si="291"/>
        <v/>
      </c>
      <c r="V3713" s="215" t="s">
        <v>47</v>
      </c>
      <c r="W3713" s="102" t="s">
        <v>136</v>
      </c>
      <c r="X3713" s="102" t="s">
        <v>137</v>
      </c>
      <c r="Y3713" s="103" t="s">
        <v>138</v>
      </c>
      <c r="Z3713" s="103" t="s">
        <v>139</v>
      </c>
      <c r="AA3713" s="103" t="s">
        <v>47</v>
      </c>
      <c r="AB3713" s="103" t="s">
        <v>140</v>
      </c>
      <c r="AC3713" s="104" t="s">
        <v>141</v>
      </c>
    </row>
    <row r="3714" spans="1:29" ht="25.5" customHeight="1" x14ac:dyDescent="0.35">
      <c r="A3714" s="188"/>
      <c r="B3714" s="190"/>
      <c r="C3714" s="99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0"/>
      <c r="E3714" s="78" t="str">
        <f>IF(C3714="","",IFERROR(VLOOKUP(C3714,parametros!$A$11:$E$15,5,0),""))</f>
        <v/>
      </c>
      <c r="F3714" s="79" t="str">
        <f t="shared" ref="F3714:F3777" si="292">IF(OR(D3714="",E3714=""),"",ROUND(D3714*E3714,2))</f>
        <v/>
      </c>
      <c r="G3714" s="101"/>
      <c r="H3714" s="91">
        <f t="shared" ref="H3714:H3777" si="293">IF(G3714="Sim",IF(OR(F3714="",D3714="",L3714=""),"",IF(L3714="Sim",ROUND(F3714-D3714,2),0)),0)</f>
        <v>0</v>
      </c>
      <c r="I3714" s="91" t="str">
        <f t="shared" ref="I3714:I3777" si="294">IF(G3714="Sim",0,IF(OR(F3714="",L3714=""),"",F3714))</f>
        <v/>
      </c>
      <c r="J3714" s="91" t="str">
        <f t="shared" ref="J3714:J3777" si="295">IF(G3714="Sim",0,IF(OR(F3714="",D3714="",L3714=""),"",IF(L3714="Sim",ROUND(F3714-D3714,2),0)))</f>
        <v/>
      </c>
      <c r="K3714" s="92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2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58"/>
      <c r="U3714" s="217" t="str">
        <f t="shared" ref="U3714:U3777" si="296">IF(OR($D3714="",$H3714=""),"",ROUND($D3714+$H3714,2))</f>
        <v/>
      </c>
      <c r="V3714" s="215" t="s">
        <v>47</v>
      </c>
      <c r="W3714" s="102" t="s">
        <v>136</v>
      </c>
      <c r="X3714" s="102" t="s">
        <v>137</v>
      </c>
      <c r="Y3714" s="103" t="s">
        <v>138</v>
      </c>
      <c r="Z3714" s="103" t="s">
        <v>139</v>
      </c>
      <c r="AA3714" s="103" t="s">
        <v>47</v>
      </c>
      <c r="AB3714" s="103" t="s">
        <v>140</v>
      </c>
      <c r="AC3714" s="104" t="s">
        <v>141</v>
      </c>
    </row>
    <row r="3715" spans="1:29" ht="25.5" customHeight="1" x14ac:dyDescent="0.35">
      <c r="A3715" s="188"/>
      <c r="B3715" s="190"/>
      <c r="C3715" s="99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0"/>
      <c r="E3715" s="78" t="str">
        <f>IF(C3715="","",IFERROR(VLOOKUP(C3715,parametros!$A$11:$E$15,5,0),""))</f>
        <v/>
      </c>
      <c r="F3715" s="79" t="str">
        <f t="shared" si="292"/>
        <v/>
      </c>
      <c r="G3715" s="101"/>
      <c r="H3715" s="91">
        <f t="shared" si="293"/>
        <v>0</v>
      </c>
      <c r="I3715" s="91" t="str">
        <f t="shared" si="294"/>
        <v/>
      </c>
      <c r="J3715" s="91" t="str">
        <f t="shared" si="295"/>
        <v/>
      </c>
      <c r="K3715" s="92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2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58"/>
      <c r="U3715" s="217" t="str">
        <f t="shared" si="296"/>
        <v/>
      </c>
      <c r="V3715" s="215" t="s">
        <v>47</v>
      </c>
      <c r="W3715" s="102" t="s">
        <v>136</v>
      </c>
      <c r="X3715" s="102" t="s">
        <v>137</v>
      </c>
      <c r="Y3715" s="103" t="s">
        <v>138</v>
      </c>
      <c r="Z3715" s="103" t="s">
        <v>139</v>
      </c>
      <c r="AA3715" s="103" t="s">
        <v>47</v>
      </c>
      <c r="AB3715" s="103" t="s">
        <v>140</v>
      </c>
      <c r="AC3715" s="104" t="s">
        <v>141</v>
      </c>
    </row>
    <row r="3716" spans="1:29" ht="25.5" customHeight="1" x14ac:dyDescent="0.35">
      <c r="A3716" s="188"/>
      <c r="B3716" s="190"/>
      <c r="C3716" s="99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0"/>
      <c r="E3716" s="78" t="str">
        <f>IF(C3716="","",IFERROR(VLOOKUP(C3716,parametros!$A$11:$E$15,5,0),""))</f>
        <v/>
      </c>
      <c r="F3716" s="79" t="str">
        <f t="shared" si="292"/>
        <v/>
      </c>
      <c r="G3716" s="101"/>
      <c r="H3716" s="91">
        <f t="shared" si="293"/>
        <v>0</v>
      </c>
      <c r="I3716" s="91" t="str">
        <f t="shared" si="294"/>
        <v/>
      </c>
      <c r="J3716" s="91" t="str">
        <f t="shared" si="295"/>
        <v/>
      </c>
      <c r="K3716" s="92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2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58"/>
      <c r="U3716" s="217" t="str">
        <f t="shared" si="296"/>
        <v/>
      </c>
      <c r="V3716" s="215" t="s">
        <v>47</v>
      </c>
      <c r="W3716" s="102" t="s">
        <v>136</v>
      </c>
      <c r="X3716" s="102" t="s">
        <v>137</v>
      </c>
      <c r="Y3716" s="103" t="s">
        <v>138</v>
      </c>
      <c r="Z3716" s="103" t="s">
        <v>139</v>
      </c>
      <c r="AA3716" s="103" t="s">
        <v>47</v>
      </c>
      <c r="AB3716" s="103" t="s">
        <v>140</v>
      </c>
      <c r="AC3716" s="104" t="s">
        <v>141</v>
      </c>
    </row>
    <row r="3717" spans="1:29" ht="25.5" customHeight="1" x14ac:dyDescent="0.35">
      <c r="A3717" s="188"/>
      <c r="B3717" s="190"/>
      <c r="C3717" s="99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0"/>
      <c r="E3717" s="78" t="str">
        <f>IF(C3717="","",IFERROR(VLOOKUP(C3717,parametros!$A$11:$E$15,5,0),""))</f>
        <v/>
      </c>
      <c r="F3717" s="79" t="str">
        <f t="shared" si="292"/>
        <v/>
      </c>
      <c r="G3717" s="101"/>
      <c r="H3717" s="91">
        <f t="shared" si="293"/>
        <v>0</v>
      </c>
      <c r="I3717" s="91" t="str">
        <f t="shared" si="294"/>
        <v/>
      </c>
      <c r="J3717" s="91" t="str">
        <f t="shared" si="295"/>
        <v/>
      </c>
      <c r="K3717" s="92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2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58"/>
      <c r="U3717" s="217" t="str">
        <f t="shared" si="296"/>
        <v/>
      </c>
      <c r="V3717" s="215" t="s">
        <v>47</v>
      </c>
      <c r="W3717" s="102" t="s">
        <v>136</v>
      </c>
      <c r="X3717" s="102" t="s">
        <v>137</v>
      </c>
      <c r="Y3717" s="103" t="s">
        <v>138</v>
      </c>
      <c r="Z3717" s="103" t="s">
        <v>139</v>
      </c>
      <c r="AA3717" s="103" t="s">
        <v>47</v>
      </c>
      <c r="AB3717" s="103" t="s">
        <v>140</v>
      </c>
      <c r="AC3717" s="104" t="s">
        <v>141</v>
      </c>
    </row>
    <row r="3718" spans="1:29" ht="25.5" customHeight="1" x14ac:dyDescent="0.35">
      <c r="A3718" s="188"/>
      <c r="B3718" s="190"/>
      <c r="C3718" s="99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0"/>
      <c r="E3718" s="78" t="str">
        <f>IF(C3718="","",IFERROR(VLOOKUP(C3718,parametros!$A$11:$E$15,5,0),""))</f>
        <v/>
      </c>
      <c r="F3718" s="79" t="str">
        <f t="shared" si="292"/>
        <v/>
      </c>
      <c r="G3718" s="101"/>
      <c r="H3718" s="91">
        <f t="shared" si="293"/>
        <v>0</v>
      </c>
      <c r="I3718" s="91" t="str">
        <f t="shared" si="294"/>
        <v/>
      </c>
      <c r="J3718" s="91" t="str">
        <f t="shared" si="295"/>
        <v/>
      </c>
      <c r="K3718" s="92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2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58"/>
      <c r="U3718" s="217" t="str">
        <f t="shared" si="296"/>
        <v/>
      </c>
      <c r="V3718" s="215" t="s">
        <v>47</v>
      </c>
      <c r="W3718" s="102" t="s">
        <v>136</v>
      </c>
      <c r="X3718" s="102" t="s">
        <v>137</v>
      </c>
      <c r="Y3718" s="103" t="s">
        <v>138</v>
      </c>
      <c r="Z3718" s="103" t="s">
        <v>139</v>
      </c>
      <c r="AA3718" s="103" t="s">
        <v>47</v>
      </c>
      <c r="AB3718" s="103" t="s">
        <v>140</v>
      </c>
      <c r="AC3718" s="104" t="s">
        <v>141</v>
      </c>
    </row>
    <row r="3719" spans="1:29" ht="25.5" customHeight="1" x14ac:dyDescent="0.35">
      <c r="A3719" s="188"/>
      <c r="B3719" s="190"/>
      <c r="C3719" s="99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0"/>
      <c r="E3719" s="78" t="str">
        <f>IF(C3719="","",IFERROR(VLOOKUP(C3719,parametros!$A$11:$E$15,5,0),""))</f>
        <v/>
      </c>
      <c r="F3719" s="79" t="str">
        <f t="shared" si="292"/>
        <v/>
      </c>
      <c r="G3719" s="101"/>
      <c r="H3719" s="91">
        <f t="shared" si="293"/>
        <v>0</v>
      </c>
      <c r="I3719" s="91" t="str">
        <f t="shared" si="294"/>
        <v/>
      </c>
      <c r="J3719" s="91" t="str">
        <f t="shared" si="295"/>
        <v/>
      </c>
      <c r="K3719" s="92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2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58"/>
      <c r="U3719" s="217" t="str">
        <f t="shared" si="296"/>
        <v/>
      </c>
      <c r="V3719" s="215" t="s">
        <v>47</v>
      </c>
      <c r="W3719" s="102" t="s">
        <v>136</v>
      </c>
      <c r="X3719" s="102" t="s">
        <v>137</v>
      </c>
      <c r="Y3719" s="103" t="s">
        <v>138</v>
      </c>
      <c r="Z3719" s="103" t="s">
        <v>139</v>
      </c>
      <c r="AA3719" s="103" t="s">
        <v>47</v>
      </c>
      <c r="AB3719" s="103" t="s">
        <v>140</v>
      </c>
      <c r="AC3719" s="104" t="s">
        <v>141</v>
      </c>
    </row>
    <row r="3720" spans="1:29" ht="25.5" customHeight="1" x14ac:dyDescent="0.35">
      <c r="A3720" s="188"/>
      <c r="B3720" s="190"/>
      <c r="C3720" s="99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0"/>
      <c r="E3720" s="78" t="str">
        <f>IF(C3720="","",IFERROR(VLOOKUP(C3720,parametros!$A$11:$E$15,5,0),""))</f>
        <v/>
      </c>
      <c r="F3720" s="79" t="str">
        <f t="shared" si="292"/>
        <v/>
      </c>
      <c r="G3720" s="101"/>
      <c r="H3720" s="91">
        <f t="shared" si="293"/>
        <v>0</v>
      </c>
      <c r="I3720" s="91" t="str">
        <f t="shared" si="294"/>
        <v/>
      </c>
      <c r="J3720" s="91" t="str">
        <f t="shared" si="295"/>
        <v/>
      </c>
      <c r="K3720" s="92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2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58"/>
      <c r="U3720" s="217" t="str">
        <f t="shared" si="296"/>
        <v/>
      </c>
      <c r="V3720" s="215" t="s">
        <v>47</v>
      </c>
      <c r="W3720" s="102" t="s">
        <v>136</v>
      </c>
      <c r="X3720" s="102" t="s">
        <v>137</v>
      </c>
      <c r="Y3720" s="103" t="s">
        <v>138</v>
      </c>
      <c r="Z3720" s="103" t="s">
        <v>139</v>
      </c>
      <c r="AA3720" s="103" t="s">
        <v>47</v>
      </c>
      <c r="AB3720" s="103" t="s">
        <v>140</v>
      </c>
      <c r="AC3720" s="104" t="s">
        <v>141</v>
      </c>
    </row>
    <row r="3721" spans="1:29" ht="25.5" customHeight="1" x14ac:dyDescent="0.35">
      <c r="A3721" s="188"/>
      <c r="B3721" s="190"/>
      <c r="C3721" s="99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0"/>
      <c r="E3721" s="78" t="str">
        <f>IF(C3721="","",IFERROR(VLOOKUP(C3721,parametros!$A$11:$E$15,5,0),""))</f>
        <v/>
      </c>
      <c r="F3721" s="79" t="str">
        <f t="shared" si="292"/>
        <v/>
      </c>
      <c r="G3721" s="101"/>
      <c r="H3721" s="91">
        <f t="shared" si="293"/>
        <v>0</v>
      </c>
      <c r="I3721" s="91" t="str">
        <f t="shared" si="294"/>
        <v/>
      </c>
      <c r="J3721" s="91" t="str">
        <f t="shared" si="295"/>
        <v/>
      </c>
      <c r="K3721" s="92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2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58"/>
      <c r="U3721" s="217" t="str">
        <f t="shared" si="296"/>
        <v/>
      </c>
      <c r="V3721" s="215" t="s">
        <v>47</v>
      </c>
      <c r="W3721" s="102" t="s">
        <v>136</v>
      </c>
      <c r="X3721" s="102" t="s">
        <v>137</v>
      </c>
      <c r="Y3721" s="103" t="s">
        <v>138</v>
      </c>
      <c r="Z3721" s="103" t="s">
        <v>139</v>
      </c>
      <c r="AA3721" s="103" t="s">
        <v>47</v>
      </c>
      <c r="AB3721" s="103" t="s">
        <v>140</v>
      </c>
      <c r="AC3721" s="104" t="s">
        <v>141</v>
      </c>
    </row>
    <row r="3722" spans="1:29" ht="25.5" customHeight="1" x14ac:dyDescent="0.35">
      <c r="A3722" s="188"/>
      <c r="B3722" s="190"/>
      <c r="C3722" s="99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0"/>
      <c r="E3722" s="78" t="str">
        <f>IF(C3722="","",IFERROR(VLOOKUP(C3722,parametros!$A$11:$E$15,5,0),""))</f>
        <v/>
      </c>
      <c r="F3722" s="79" t="str">
        <f t="shared" si="292"/>
        <v/>
      </c>
      <c r="G3722" s="101"/>
      <c r="H3722" s="91">
        <f t="shared" si="293"/>
        <v>0</v>
      </c>
      <c r="I3722" s="91" t="str">
        <f t="shared" si="294"/>
        <v/>
      </c>
      <c r="J3722" s="91" t="str">
        <f t="shared" si="295"/>
        <v/>
      </c>
      <c r="K3722" s="92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2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58"/>
      <c r="U3722" s="217" t="str">
        <f t="shared" si="296"/>
        <v/>
      </c>
      <c r="V3722" s="215" t="s">
        <v>47</v>
      </c>
      <c r="W3722" s="102" t="s">
        <v>136</v>
      </c>
      <c r="X3722" s="102" t="s">
        <v>137</v>
      </c>
      <c r="Y3722" s="103" t="s">
        <v>138</v>
      </c>
      <c r="Z3722" s="103" t="s">
        <v>139</v>
      </c>
      <c r="AA3722" s="103" t="s">
        <v>47</v>
      </c>
      <c r="AB3722" s="103" t="s">
        <v>140</v>
      </c>
      <c r="AC3722" s="104" t="s">
        <v>141</v>
      </c>
    </row>
    <row r="3723" spans="1:29" ht="25.5" customHeight="1" x14ac:dyDescent="0.35">
      <c r="A3723" s="188"/>
      <c r="B3723" s="190"/>
      <c r="C3723" s="99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0"/>
      <c r="E3723" s="78" t="str">
        <f>IF(C3723="","",IFERROR(VLOOKUP(C3723,parametros!$A$11:$E$15,5,0),""))</f>
        <v/>
      </c>
      <c r="F3723" s="79" t="str">
        <f t="shared" si="292"/>
        <v/>
      </c>
      <c r="G3723" s="101"/>
      <c r="H3723" s="91">
        <f t="shared" si="293"/>
        <v>0</v>
      </c>
      <c r="I3723" s="91" t="str">
        <f t="shared" si="294"/>
        <v/>
      </c>
      <c r="J3723" s="91" t="str">
        <f t="shared" si="295"/>
        <v/>
      </c>
      <c r="K3723" s="92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2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58"/>
      <c r="U3723" s="217" t="str">
        <f t="shared" si="296"/>
        <v/>
      </c>
      <c r="V3723" s="215" t="s">
        <v>47</v>
      </c>
      <c r="W3723" s="102" t="s">
        <v>136</v>
      </c>
      <c r="X3723" s="102" t="s">
        <v>137</v>
      </c>
      <c r="Y3723" s="103" t="s">
        <v>138</v>
      </c>
      <c r="Z3723" s="103" t="s">
        <v>139</v>
      </c>
      <c r="AA3723" s="103" t="s">
        <v>47</v>
      </c>
      <c r="AB3723" s="103" t="s">
        <v>140</v>
      </c>
      <c r="AC3723" s="104" t="s">
        <v>141</v>
      </c>
    </row>
    <row r="3724" spans="1:29" ht="25.5" customHeight="1" x14ac:dyDescent="0.35">
      <c r="A3724" s="188"/>
      <c r="B3724" s="190"/>
      <c r="C3724" s="99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0"/>
      <c r="E3724" s="78" t="str">
        <f>IF(C3724="","",IFERROR(VLOOKUP(C3724,parametros!$A$11:$E$15,5,0),""))</f>
        <v/>
      </c>
      <c r="F3724" s="79" t="str">
        <f t="shared" si="292"/>
        <v/>
      </c>
      <c r="G3724" s="101"/>
      <c r="H3724" s="91">
        <f t="shared" si="293"/>
        <v>0</v>
      </c>
      <c r="I3724" s="91" t="str">
        <f t="shared" si="294"/>
        <v/>
      </c>
      <c r="J3724" s="91" t="str">
        <f t="shared" si="295"/>
        <v/>
      </c>
      <c r="K3724" s="92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2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58"/>
      <c r="U3724" s="217" t="str">
        <f t="shared" si="296"/>
        <v/>
      </c>
      <c r="V3724" s="215" t="s">
        <v>47</v>
      </c>
      <c r="W3724" s="102" t="s">
        <v>136</v>
      </c>
      <c r="X3724" s="102" t="s">
        <v>137</v>
      </c>
      <c r="Y3724" s="103" t="s">
        <v>138</v>
      </c>
      <c r="Z3724" s="103" t="s">
        <v>139</v>
      </c>
      <c r="AA3724" s="103" t="s">
        <v>47</v>
      </c>
      <c r="AB3724" s="103" t="s">
        <v>140</v>
      </c>
      <c r="AC3724" s="104" t="s">
        <v>141</v>
      </c>
    </row>
    <row r="3725" spans="1:29" ht="25.5" customHeight="1" x14ac:dyDescent="0.35">
      <c r="A3725" s="188"/>
      <c r="B3725" s="190"/>
      <c r="C3725" s="99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0"/>
      <c r="E3725" s="78" t="str">
        <f>IF(C3725="","",IFERROR(VLOOKUP(C3725,parametros!$A$11:$E$15,5,0),""))</f>
        <v/>
      </c>
      <c r="F3725" s="79" t="str">
        <f t="shared" si="292"/>
        <v/>
      </c>
      <c r="G3725" s="101"/>
      <c r="H3725" s="91">
        <f t="shared" si="293"/>
        <v>0</v>
      </c>
      <c r="I3725" s="91" t="str">
        <f t="shared" si="294"/>
        <v/>
      </c>
      <c r="J3725" s="91" t="str">
        <f t="shared" si="295"/>
        <v/>
      </c>
      <c r="K3725" s="92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2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58"/>
      <c r="U3725" s="217" t="str">
        <f t="shared" si="296"/>
        <v/>
      </c>
      <c r="V3725" s="215" t="s">
        <v>47</v>
      </c>
      <c r="W3725" s="102" t="s">
        <v>136</v>
      </c>
      <c r="X3725" s="102" t="s">
        <v>137</v>
      </c>
      <c r="Y3725" s="103" t="s">
        <v>138</v>
      </c>
      <c r="Z3725" s="103" t="s">
        <v>139</v>
      </c>
      <c r="AA3725" s="103" t="s">
        <v>47</v>
      </c>
      <c r="AB3725" s="103" t="s">
        <v>140</v>
      </c>
      <c r="AC3725" s="104" t="s">
        <v>141</v>
      </c>
    </row>
    <row r="3726" spans="1:29" ht="25.5" customHeight="1" x14ac:dyDescent="0.35">
      <c r="A3726" s="188"/>
      <c r="B3726" s="190"/>
      <c r="C3726" s="99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0"/>
      <c r="E3726" s="78" t="str">
        <f>IF(C3726="","",IFERROR(VLOOKUP(C3726,parametros!$A$11:$E$15,5,0),""))</f>
        <v/>
      </c>
      <c r="F3726" s="79" t="str">
        <f t="shared" si="292"/>
        <v/>
      </c>
      <c r="G3726" s="101"/>
      <c r="H3726" s="91">
        <f t="shared" si="293"/>
        <v>0</v>
      </c>
      <c r="I3726" s="91" t="str">
        <f t="shared" si="294"/>
        <v/>
      </c>
      <c r="J3726" s="91" t="str">
        <f t="shared" si="295"/>
        <v/>
      </c>
      <c r="K3726" s="92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2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58"/>
      <c r="U3726" s="217" t="str">
        <f t="shared" si="296"/>
        <v/>
      </c>
      <c r="V3726" s="215" t="s">
        <v>47</v>
      </c>
      <c r="W3726" s="102" t="s">
        <v>136</v>
      </c>
      <c r="X3726" s="102" t="s">
        <v>137</v>
      </c>
      <c r="Y3726" s="103" t="s">
        <v>138</v>
      </c>
      <c r="Z3726" s="103" t="s">
        <v>139</v>
      </c>
      <c r="AA3726" s="103" t="s">
        <v>47</v>
      </c>
      <c r="AB3726" s="103" t="s">
        <v>140</v>
      </c>
      <c r="AC3726" s="104" t="s">
        <v>141</v>
      </c>
    </row>
    <row r="3727" spans="1:29" ht="25.5" customHeight="1" x14ac:dyDescent="0.35">
      <c r="A3727" s="188"/>
      <c r="B3727" s="190"/>
      <c r="C3727" s="99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0"/>
      <c r="E3727" s="78" t="str">
        <f>IF(C3727="","",IFERROR(VLOOKUP(C3727,parametros!$A$11:$E$15,5,0),""))</f>
        <v/>
      </c>
      <c r="F3727" s="79" t="str">
        <f t="shared" si="292"/>
        <v/>
      </c>
      <c r="G3727" s="101"/>
      <c r="H3727" s="91">
        <f t="shared" si="293"/>
        <v>0</v>
      </c>
      <c r="I3727" s="91" t="str">
        <f t="shared" si="294"/>
        <v/>
      </c>
      <c r="J3727" s="91" t="str">
        <f t="shared" si="295"/>
        <v/>
      </c>
      <c r="K3727" s="92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2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58"/>
      <c r="U3727" s="217" t="str">
        <f t="shared" si="296"/>
        <v/>
      </c>
      <c r="V3727" s="215" t="s">
        <v>47</v>
      </c>
      <c r="W3727" s="102" t="s">
        <v>136</v>
      </c>
      <c r="X3727" s="102" t="s">
        <v>137</v>
      </c>
      <c r="Y3727" s="103" t="s">
        <v>138</v>
      </c>
      <c r="Z3727" s="103" t="s">
        <v>139</v>
      </c>
      <c r="AA3727" s="103" t="s">
        <v>47</v>
      </c>
      <c r="AB3727" s="103" t="s">
        <v>140</v>
      </c>
      <c r="AC3727" s="104" t="s">
        <v>141</v>
      </c>
    </row>
    <row r="3728" spans="1:29" ht="25.5" customHeight="1" x14ac:dyDescent="0.35">
      <c r="A3728" s="188"/>
      <c r="B3728" s="190"/>
      <c r="C3728" s="99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0"/>
      <c r="E3728" s="78" t="str">
        <f>IF(C3728="","",IFERROR(VLOOKUP(C3728,parametros!$A$11:$E$15,5,0),""))</f>
        <v/>
      </c>
      <c r="F3728" s="79" t="str">
        <f t="shared" si="292"/>
        <v/>
      </c>
      <c r="G3728" s="101"/>
      <c r="H3728" s="91">
        <f t="shared" si="293"/>
        <v>0</v>
      </c>
      <c r="I3728" s="91" t="str">
        <f t="shared" si="294"/>
        <v/>
      </c>
      <c r="J3728" s="91" t="str">
        <f t="shared" si="295"/>
        <v/>
      </c>
      <c r="K3728" s="92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2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58"/>
      <c r="U3728" s="217" t="str">
        <f t="shared" si="296"/>
        <v/>
      </c>
      <c r="V3728" s="215" t="s">
        <v>47</v>
      </c>
      <c r="W3728" s="102" t="s">
        <v>136</v>
      </c>
      <c r="X3728" s="102" t="s">
        <v>137</v>
      </c>
      <c r="Y3728" s="103" t="s">
        <v>138</v>
      </c>
      <c r="Z3728" s="103" t="s">
        <v>139</v>
      </c>
      <c r="AA3728" s="103" t="s">
        <v>47</v>
      </c>
      <c r="AB3728" s="103" t="s">
        <v>140</v>
      </c>
      <c r="AC3728" s="104" t="s">
        <v>141</v>
      </c>
    </row>
    <row r="3729" spans="1:29" ht="25.5" customHeight="1" x14ac:dyDescent="0.35">
      <c r="A3729" s="188"/>
      <c r="B3729" s="190"/>
      <c r="C3729" s="99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0"/>
      <c r="E3729" s="78" t="str">
        <f>IF(C3729="","",IFERROR(VLOOKUP(C3729,parametros!$A$11:$E$15,5,0),""))</f>
        <v/>
      </c>
      <c r="F3729" s="79" t="str">
        <f t="shared" si="292"/>
        <v/>
      </c>
      <c r="G3729" s="101"/>
      <c r="H3729" s="91">
        <f t="shared" si="293"/>
        <v>0</v>
      </c>
      <c r="I3729" s="91" t="str">
        <f t="shared" si="294"/>
        <v/>
      </c>
      <c r="J3729" s="91" t="str">
        <f t="shared" si="295"/>
        <v/>
      </c>
      <c r="K3729" s="92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2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58"/>
      <c r="U3729" s="217" t="str">
        <f t="shared" si="296"/>
        <v/>
      </c>
      <c r="V3729" s="215" t="s">
        <v>47</v>
      </c>
      <c r="W3729" s="102" t="s">
        <v>136</v>
      </c>
      <c r="X3729" s="102" t="s">
        <v>137</v>
      </c>
      <c r="Y3729" s="103" t="s">
        <v>138</v>
      </c>
      <c r="Z3729" s="103" t="s">
        <v>139</v>
      </c>
      <c r="AA3729" s="103" t="s">
        <v>47</v>
      </c>
      <c r="AB3729" s="103" t="s">
        <v>140</v>
      </c>
      <c r="AC3729" s="104" t="s">
        <v>141</v>
      </c>
    </row>
    <row r="3730" spans="1:29" ht="25.5" customHeight="1" x14ac:dyDescent="0.35">
      <c r="A3730" s="188"/>
      <c r="B3730" s="190"/>
      <c r="C3730" s="99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0"/>
      <c r="E3730" s="78" t="str">
        <f>IF(C3730="","",IFERROR(VLOOKUP(C3730,parametros!$A$11:$E$15,5,0),""))</f>
        <v/>
      </c>
      <c r="F3730" s="79" t="str">
        <f t="shared" si="292"/>
        <v/>
      </c>
      <c r="G3730" s="101"/>
      <c r="H3730" s="91">
        <f t="shared" si="293"/>
        <v>0</v>
      </c>
      <c r="I3730" s="91" t="str">
        <f t="shared" si="294"/>
        <v/>
      </c>
      <c r="J3730" s="91" t="str">
        <f t="shared" si="295"/>
        <v/>
      </c>
      <c r="K3730" s="92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2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58"/>
      <c r="U3730" s="217" t="str">
        <f t="shared" si="296"/>
        <v/>
      </c>
      <c r="V3730" s="215" t="s">
        <v>47</v>
      </c>
      <c r="W3730" s="102" t="s">
        <v>136</v>
      </c>
      <c r="X3730" s="102" t="s">
        <v>137</v>
      </c>
      <c r="Y3730" s="103" t="s">
        <v>138</v>
      </c>
      <c r="Z3730" s="103" t="s">
        <v>139</v>
      </c>
      <c r="AA3730" s="103" t="s">
        <v>47</v>
      </c>
      <c r="AB3730" s="103" t="s">
        <v>140</v>
      </c>
      <c r="AC3730" s="104" t="s">
        <v>141</v>
      </c>
    </row>
    <row r="3731" spans="1:29" ht="25.5" customHeight="1" x14ac:dyDescent="0.35">
      <c r="A3731" s="188"/>
      <c r="B3731" s="190"/>
      <c r="C3731" s="99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0"/>
      <c r="E3731" s="78" t="str">
        <f>IF(C3731="","",IFERROR(VLOOKUP(C3731,parametros!$A$11:$E$15,5,0),""))</f>
        <v/>
      </c>
      <c r="F3731" s="79" t="str">
        <f t="shared" si="292"/>
        <v/>
      </c>
      <c r="G3731" s="101"/>
      <c r="H3731" s="91">
        <f t="shared" si="293"/>
        <v>0</v>
      </c>
      <c r="I3731" s="91" t="str">
        <f t="shared" si="294"/>
        <v/>
      </c>
      <c r="J3731" s="91" t="str">
        <f t="shared" si="295"/>
        <v/>
      </c>
      <c r="K3731" s="92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2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58"/>
      <c r="U3731" s="217" t="str">
        <f t="shared" si="296"/>
        <v/>
      </c>
      <c r="V3731" s="215" t="s">
        <v>47</v>
      </c>
      <c r="W3731" s="102" t="s">
        <v>136</v>
      </c>
      <c r="X3731" s="102" t="s">
        <v>137</v>
      </c>
      <c r="Y3731" s="103" t="s">
        <v>138</v>
      </c>
      <c r="Z3731" s="103" t="s">
        <v>139</v>
      </c>
      <c r="AA3731" s="103" t="s">
        <v>47</v>
      </c>
      <c r="AB3731" s="103" t="s">
        <v>140</v>
      </c>
      <c r="AC3731" s="104" t="s">
        <v>141</v>
      </c>
    </row>
    <row r="3732" spans="1:29" ht="25.5" customHeight="1" x14ac:dyDescent="0.35">
      <c r="A3732" s="188"/>
      <c r="B3732" s="190"/>
      <c r="C3732" s="99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0"/>
      <c r="E3732" s="78" t="str">
        <f>IF(C3732="","",IFERROR(VLOOKUP(C3732,parametros!$A$11:$E$15,5,0),""))</f>
        <v/>
      </c>
      <c r="F3732" s="79" t="str">
        <f t="shared" si="292"/>
        <v/>
      </c>
      <c r="G3732" s="101"/>
      <c r="H3732" s="91">
        <f t="shared" si="293"/>
        <v>0</v>
      </c>
      <c r="I3732" s="91" t="str">
        <f t="shared" si="294"/>
        <v/>
      </c>
      <c r="J3732" s="91" t="str">
        <f t="shared" si="295"/>
        <v/>
      </c>
      <c r="K3732" s="92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2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58"/>
      <c r="U3732" s="217" t="str">
        <f t="shared" si="296"/>
        <v/>
      </c>
      <c r="V3732" s="215" t="s">
        <v>47</v>
      </c>
      <c r="W3732" s="102" t="s">
        <v>136</v>
      </c>
      <c r="X3732" s="102" t="s">
        <v>137</v>
      </c>
      <c r="Y3732" s="103" t="s">
        <v>138</v>
      </c>
      <c r="Z3732" s="103" t="s">
        <v>139</v>
      </c>
      <c r="AA3732" s="103" t="s">
        <v>47</v>
      </c>
      <c r="AB3732" s="103" t="s">
        <v>140</v>
      </c>
      <c r="AC3732" s="104" t="s">
        <v>141</v>
      </c>
    </row>
    <row r="3733" spans="1:29" ht="25.5" customHeight="1" x14ac:dyDescent="0.35">
      <c r="A3733" s="188"/>
      <c r="B3733" s="190"/>
      <c r="C3733" s="99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0"/>
      <c r="E3733" s="78" t="str">
        <f>IF(C3733="","",IFERROR(VLOOKUP(C3733,parametros!$A$11:$E$15,5,0),""))</f>
        <v/>
      </c>
      <c r="F3733" s="79" t="str">
        <f t="shared" si="292"/>
        <v/>
      </c>
      <c r="G3733" s="101"/>
      <c r="H3733" s="91">
        <f t="shared" si="293"/>
        <v>0</v>
      </c>
      <c r="I3733" s="91" t="str">
        <f t="shared" si="294"/>
        <v/>
      </c>
      <c r="J3733" s="91" t="str">
        <f t="shared" si="295"/>
        <v/>
      </c>
      <c r="K3733" s="92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2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58"/>
      <c r="U3733" s="217" t="str">
        <f t="shared" si="296"/>
        <v/>
      </c>
      <c r="V3733" s="215" t="s">
        <v>47</v>
      </c>
      <c r="W3733" s="102" t="s">
        <v>136</v>
      </c>
      <c r="X3733" s="102" t="s">
        <v>137</v>
      </c>
      <c r="Y3733" s="103" t="s">
        <v>138</v>
      </c>
      <c r="Z3733" s="103" t="s">
        <v>139</v>
      </c>
      <c r="AA3733" s="103" t="s">
        <v>47</v>
      </c>
      <c r="AB3733" s="103" t="s">
        <v>140</v>
      </c>
      <c r="AC3733" s="104" t="s">
        <v>141</v>
      </c>
    </row>
    <row r="3734" spans="1:29" ht="25.5" customHeight="1" x14ac:dyDescent="0.35">
      <c r="A3734" s="188"/>
      <c r="B3734" s="190"/>
      <c r="C3734" s="99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0"/>
      <c r="E3734" s="78" t="str">
        <f>IF(C3734="","",IFERROR(VLOOKUP(C3734,parametros!$A$11:$E$15,5,0),""))</f>
        <v/>
      </c>
      <c r="F3734" s="79" t="str">
        <f t="shared" si="292"/>
        <v/>
      </c>
      <c r="G3734" s="101"/>
      <c r="H3734" s="91">
        <f t="shared" si="293"/>
        <v>0</v>
      </c>
      <c r="I3734" s="91" t="str">
        <f t="shared" si="294"/>
        <v/>
      </c>
      <c r="J3734" s="91" t="str">
        <f t="shared" si="295"/>
        <v/>
      </c>
      <c r="K3734" s="92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2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58"/>
      <c r="U3734" s="217" t="str">
        <f t="shared" si="296"/>
        <v/>
      </c>
      <c r="V3734" s="215" t="s">
        <v>47</v>
      </c>
      <c r="W3734" s="102" t="s">
        <v>136</v>
      </c>
      <c r="X3734" s="102" t="s">
        <v>137</v>
      </c>
      <c r="Y3734" s="103" t="s">
        <v>138</v>
      </c>
      <c r="Z3734" s="103" t="s">
        <v>139</v>
      </c>
      <c r="AA3734" s="103" t="s">
        <v>47</v>
      </c>
      <c r="AB3734" s="103" t="s">
        <v>140</v>
      </c>
      <c r="AC3734" s="104" t="s">
        <v>141</v>
      </c>
    </row>
    <row r="3735" spans="1:29" ht="25.5" customHeight="1" x14ac:dyDescent="0.35">
      <c r="A3735" s="188"/>
      <c r="B3735" s="190"/>
      <c r="C3735" s="99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0"/>
      <c r="E3735" s="78" t="str">
        <f>IF(C3735="","",IFERROR(VLOOKUP(C3735,parametros!$A$11:$E$15,5,0),""))</f>
        <v/>
      </c>
      <c r="F3735" s="79" t="str">
        <f t="shared" si="292"/>
        <v/>
      </c>
      <c r="G3735" s="101"/>
      <c r="H3735" s="91">
        <f t="shared" si="293"/>
        <v>0</v>
      </c>
      <c r="I3735" s="91" t="str">
        <f t="shared" si="294"/>
        <v/>
      </c>
      <c r="J3735" s="91" t="str">
        <f t="shared" si="295"/>
        <v/>
      </c>
      <c r="K3735" s="92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2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58"/>
      <c r="U3735" s="217" t="str">
        <f t="shared" si="296"/>
        <v/>
      </c>
      <c r="V3735" s="215" t="s">
        <v>47</v>
      </c>
      <c r="W3735" s="102" t="s">
        <v>136</v>
      </c>
      <c r="X3735" s="102" t="s">
        <v>137</v>
      </c>
      <c r="Y3735" s="103" t="s">
        <v>138</v>
      </c>
      <c r="Z3735" s="103" t="s">
        <v>139</v>
      </c>
      <c r="AA3735" s="103" t="s">
        <v>47</v>
      </c>
      <c r="AB3735" s="103" t="s">
        <v>140</v>
      </c>
      <c r="AC3735" s="104" t="s">
        <v>141</v>
      </c>
    </row>
    <row r="3736" spans="1:29" ht="25.5" customHeight="1" x14ac:dyDescent="0.35">
      <c r="A3736" s="188"/>
      <c r="B3736" s="190"/>
      <c r="C3736" s="99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0"/>
      <c r="E3736" s="78" t="str">
        <f>IF(C3736="","",IFERROR(VLOOKUP(C3736,parametros!$A$11:$E$15,5,0),""))</f>
        <v/>
      </c>
      <c r="F3736" s="79" t="str">
        <f t="shared" si="292"/>
        <v/>
      </c>
      <c r="G3736" s="101"/>
      <c r="H3736" s="91">
        <f t="shared" si="293"/>
        <v>0</v>
      </c>
      <c r="I3736" s="91" t="str">
        <f t="shared" si="294"/>
        <v/>
      </c>
      <c r="J3736" s="91" t="str">
        <f t="shared" si="295"/>
        <v/>
      </c>
      <c r="K3736" s="92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2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58"/>
      <c r="U3736" s="217" t="str">
        <f t="shared" si="296"/>
        <v/>
      </c>
      <c r="V3736" s="215" t="s">
        <v>47</v>
      </c>
      <c r="W3736" s="102" t="s">
        <v>136</v>
      </c>
      <c r="X3736" s="102" t="s">
        <v>137</v>
      </c>
      <c r="Y3736" s="103" t="s">
        <v>138</v>
      </c>
      <c r="Z3736" s="103" t="s">
        <v>139</v>
      </c>
      <c r="AA3736" s="103" t="s">
        <v>47</v>
      </c>
      <c r="AB3736" s="103" t="s">
        <v>140</v>
      </c>
      <c r="AC3736" s="104" t="s">
        <v>141</v>
      </c>
    </row>
    <row r="3737" spans="1:29" ht="25.5" customHeight="1" x14ac:dyDescent="0.35">
      <c r="A3737" s="188"/>
      <c r="B3737" s="190"/>
      <c r="C3737" s="99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0"/>
      <c r="E3737" s="78" t="str">
        <f>IF(C3737="","",IFERROR(VLOOKUP(C3737,parametros!$A$11:$E$15,5,0),""))</f>
        <v/>
      </c>
      <c r="F3737" s="79" t="str">
        <f t="shared" si="292"/>
        <v/>
      </c>
      <c r="G3737" s="101"/>
      <c r="H3737" s="91">
        <f t="shared" si="293"/>
        <v>0</v>
      </c>
      <c r="I3737" s="91" t="str">
        <f t="shared" si="294"/>
        <v/>
      </c>
      <c r="J3737" s="91" t="str">
        <f t="shared" si="295"/>
        <v/>
      </c>
      <c r="K3737" s="92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2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58"/>
      <c r="U3737" s="217" t="str">
        <f t="shared" si="296"/>
        <v/>
      </c>
      <c r="V3737" s="215" t="s">
        <v>47</v>
      </c>
      <c r="W3737" s="102" t="s">
        <v>136</v>
      </c>
      <c r="X3737" s="102" t="s">
        <v>137</v>
      </c>
      <c r="Y3737" s="103" t="s">
        <v>138</v>
      </c>
      <c r="Z3737" s="103" t="s">
        <v>139</v>
      </c>
      <c r="AA3737" s="103" t="s">
        <v>47</v>
      </c>
      <c r="AB3737" s="103" t="s">
        <v>140</v>
      </c>
      <c r="AC3737" s="104" t="s">
        <v>141</v>
      </c>
    </row>
    <row r="3738" spans="1:29" ht="25.5" customHeight="1" x14ac:dyDescent="0.35">
      <c r="A3738" s="188"/>
      <c r="B3738" s="190"/>
      <c r="C3738" s="99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0"/>
      <c r="E3738" s="78" t="str">
        <f>IF(C3738="","",IFERROR(VLOOKUP(C3738,parametros!$A$11:$E$15,5,0),""))</f>
        <v/>
      </c>
      <c r="F3738" s="79" t="str">
        <f t="shared" si="292"/>
        <v/>
      </c>
      <c r="G3738" s="101"/>
      <c r="H3738" s="91">
        <f t="shared" si="293"/>
        <v>0</v>
      </c>
      <c r="I3738" s="91" t="str">
        <f t="shared" si="294"/>
        <v/>
      </c>
      <c r="J3738" s="91" t="str">
        <f t="shared" si="295"/>
        <v/>
      </c>
      <c r="K3738" s="92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2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58"/>
      <c r="U3738" s="217" t="str">
        <f t="shared" si="296"/>
        <v/>
      </c>
      <c r="V3738" s="215" t="s">
        <v>47</v>
      </c>
      <c r="W3738" s="102" t="s">
        <v>136</v>
      </c>
      <c r="X3738" s="102" t="s">
        <v>137</v>
      </c>
      <c r="Y3738" s="103" t="s">
        <v>138</v>
      </c>
      <c r="Z3738" s="103" t="s">
        <v>139</v>
      </c>
      <c r="AA3738" s="103" t="s">
        <v>47</v>
      </c>
      <c r="AB3738" s="103" t="s">
        <v>140</v>
      </c>
      <c r="AC3738" s="104" t="s">
        <v>141</v>
      </c>
    </row>
    <row r="3739" spans="1:29" ht="25.5" customHeight="1" x14ac:dyDescent="0.35">
      <c r="A3739" s="188"/>
      <c r="B3739" s="190"/>
      <c r="C3739" s="99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0"/>
      <c r="E3739" s="78" t="str">
        <f>IF(C3739="","",IFERROR(VLOOKUP(C3739,parametros!$A$11:$E$15,5,0),""))</f>
        <v/>
      </c>
      <c r="F3739" s="79" t="str">
        <f t="shared" si="292"/>
        <v/>
      </c>
      <c r="G3739" s="101"/>
      <c r="H3739" s="91">
        <f t="shared" si="293"/>
        <v>0</v>
      </c>
      <c r="I3739" s="91" t="str">
        <f t="shared" si="294"/>
        <v/>
      </c>
      <c r="J3739" s="91" t="str">
        <f t="shared" si="295"/>
        <v/>
      </c>
      <c r="K3739" s="92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2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58"/>
      <c r="U3739" s="217" t="str">
        <f t="shared" si="296"/>
        <v/>
      </c>
      <c r="V3739" s="215" t="s">
        <v>47</v>
      </c>
      <c r="W3739" s="102" t="s">
        <v>136</v>
      </c>
      <c r="X3739" s="102" t="s">
        <v>137</v>
      </c>
      <c r="Y3739" s="103" t="s">
        <v>138</v>
      </c>
      <c r="Z3739" s="103" t="s">
        <v>139</v>
      </c>
      <c r="AA3739" s="103" t="s">
        <v>47</v>
      </c>
      <c r="AB3739" s="103" t="s">
        <v>140</v>
      </c>
      <c r="AC3739" s="104" t="s">
        <v>141</v>
      </c>
    </row>
    <row r="3740" spans="1:29" ht="25.5" customHeight="1" x14ac:dyDescent="0.35">
      <c r="A3740" s="188"/>
      <c r="B3740" s="190"/>
      <c r="C3740" s="99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0"/>
      <c r="E3740" s="78" t="str">
        <f>IF(C3740="","",IFERROR(VLOOKUP(C3740,parametros!$A$11:$E$15,5,0),""))</f>
        <v/>
      </c>
      <c r="F3740" s="79" t="str">
        <f t="shared" si="292"/>
        <v/>
      </c>
      <c r="G3740" s="101"/>
      <c r="H3740" s="91">
        <f t="shared" si="293"/>
        <v>0</v>
      </c>
      <c r="I3740" s="91" t="str">
        <f t="shared" si="294"/>
        <v/>
      </c>
      <c r="J3740" s="91" t="str">
        <f t="shared" si="295"/>
        <v/>
      </c>
      <c r="K3740" s="92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2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58"/>
      <c r="U3740" s="217" t="str">
        <f t="shared" si="296"/>
        <v/>
      </c>
      <c r="V3740" s="215" t="s">
        <v>47</v>
      </c>
      <c r="W3740" s="102" t="s">
        <v>136</v>
      </c>
      <c r="X3740" s="102" t="s">
        <v>137</v>
      </c>
      <c r="Y3740" s="103" t="s">
        <v>138</v>
      </c>
      <c r="Z3740" s="103" t="s">
        <v>139</v>
      </c>
      <c r="AA3740" s="103" t="s">
        <v>47</v>
      </c>
      <c r="AB3740" s="103" t="s">
        <v>140</v>
      </c>
      <c r="AC3740" s="104" t="s">
        <v>141</v>
      </c>
    </row>
    <row r="3741" spans="1:29" ht="25.5" customHeight="1" x14ac:dyDescent="0.35">
      <c r="A3741" s="188"/>
      <c r="B3741" s="190"/>
      <c r="C3741" s="99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0"/>
      <c r="E3741" s="78" t="str">
        <f>IF(C3741="","",IFERROR(VLOOKUP(C3741,parametros!$A$11:$E$15,5,0),""))</f>
        <v/>
      </c>
      <c r="F3741" s="79" t="str">
        <f t="shared" si="292"/>
        <v/>
      </c>
      <c r="G3741" s="101"/>
      <c r="H3741" s="91">
        <f t="shared" si="293"/>
        <v>0</v>
      </c>
      <c r="I3741" s="91" t="str">
        <f t="shared" si="294"/>
        <v/>
      </c>
      <c r="J3741" s="91" t="str">
        <f t="shared" si="295"/>
        <v/>
      </c>
      <c r="K3741" s="92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2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58"/>
      <c r="U3741" s="217" t="str">
        <f t="shared" si="296"/>
        <v/>
      </c>
      <c r="V3741" s="215" t="s">
        <v>47</v>
      </c>
      <c r="W3741" s="102" t="s">
        <v>136</v>
      </c>
      <c r="X3741" s="102" t="s">
        <v>137</v>
      </c>
      <c r="Y3741" s="103" t="s">
        <v>138</v>
      </c>
      <c r="Z3741" s="103" t="s">
        <v>139</v>
      </c>
      <c r="AA3741" s="103" t="s">
        <v>47</v>
      </c>
      <c r="AB3741" s="103" t="s">
        <v>140</v>
      </c>
      <c r="AC3741" s="104" t="s">
        <v>141</v>
      </c>
    </row>
    <row r="3742" spans="1:29" ht="25.5" customHeight="1" x14ac:dyDescent="0.35">
      <c r="A3742" s="188"/>
      <c r="B3742" s="190"/>
      <c r="C3742" s="99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0"/>
      <c r="E3742" s="78" t="str">
        <f>IF(C3742="","",IFERROR(VLOOKUP(C3742,parametros!$A$11:$E$15,5,0),""))</f>
        <v/>
      </c>
      <c r="F3742" s="79" t="str">
        <f t="shared" si="292"/>
        <v/>
      </c>
      <c r="G3742" s="101"/>
      <c r="H3742" s="91">
        <f t="shared" si="293"/>
        <v>0</v>
      </c>
      <c r="I3742" s="91" t="str">
        <f t="shared" si="294"/>
        <v/>
      </c>
      <c r="J3742" s="91" t="str">
        <f t="shared" si="295"/>
        <v/>
      </c>
      <c r="K3742" s="92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2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58"/>
      <c r="U3742" s="217" t="str">
        <f t="shared" si="296"/>
        <v/>
      </c>
      <c r="V3742" s="215" t="s">
        <v>47</v>
      </c>
      <c r="W3742" s="102" t="s">
        <v>136</v>
      </c>
      <c r="X3742" s="102" t="s">
        <v>137</v>
      </c>
      <c r="Y3742" s="103" t="s">
        <v>138</v>
      </c>
      <c r="Z3742" s="103" t="s">
        <v>139</v>
      </c>
      <c r="AA3742" s="103" t="s">
        <v>47</v>
      </c>
      <c r="AB3742" s="103" t="s">
        <v>140</v>
      </c>
      <c r="AC3742" s="104" t="s">
        <v>141</v>
      </c>
    </row>
    <row r="3743" spans="1:29" ht="25.5" customHeight="1" x14ac:dyDescent="0.35">
      <c r="A3743" s="188"/>
      <c r="B3743" s="190"/>
      <c r="C3743" s="99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0"/>
      <c r="E3743" s="78" t="str">
        <f>IF(C3743="","",IFERROR(VLOOKUP(C3743,parametros!$A$11:$E$15,5,0),""))</f>
        <v/>
      </c>
      <c r="F3743" s="79" t="str">
        <f t="shared" si="292"/>
        <v/>
      </c>
      <c r="G3743" s="101"/>
      <c r="H3743" s="91">
        <f t="shared" si="293"/>
        <v>0</v>
      </c>
      <c r="I3743" s="91" t="str">
        <f t="shared" si="294"/>
        <v/>
      </c>
      <c r="J3743" s="91" t="str">
        <f t="shared" si="295"/>
        <v/>
      </c>
      <c r="K3743" s="92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2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58"/>
      <c r="U3743" s="217" t="str">
        <f t="shared" si="296"/>
        <v/>
      </c>
      <c r="V3743" s="215" t="s">
        <v>47</v>
      </c>
      <c r="W3743" s="102" t="s">
        <v>136</v>
      </c>
      <c r="X3743" s="102" t="s">
        <v>137</v>
      </c>
      <c r="Y3743" s="103" t="s">
        <v>138</v>
      </c>
      <c r="Z3743" s="103" t="s">
        <v>139</v>
      </c>
      <c r="AA3743" s="103" t="s">
        <v>47</v>
      </c>
      <c r="AB3743" s="103" t="s">
        <v>140</v>
      </c>
      <c r="AC3743" s="104" t="s">
        <v>141</v>
      </c>
    </row>
    <row r="3744" spans="1:29" ht="25.5" customHeight="1" x14ac:dyDescent="0.35">
      <c r="A3744" s="188"/>
      <c r="B3744" s="190"/>
      <c r="C3744" s="99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0"/>
      <c r="E3744" s="78" t="str">
        <f>IF(C3744="","",IFERROR(VLOOKUP(C3744,parametros!$A$11:$E$15,5,0),""))</f>
        <v/>
      </c>
      <c r="F3744" s="79" t="str">
        <f t="shared" si="292"/>
        <v/>
      </c>
      <c r="G3744" s="101"/>
      <c r="H3744" s="91">
        <f t="shared" si="293"/>
        <v>0</v>
      </c>
      <c r="I3744" s="91" t="str">
        <f t="shared" si="294"/>
        <v/>
      </c>
      <c r="J3744" s="91" t="str">
        <f t="shared" si="295"/>
        <v/>
      </c>
      <c r="K3744" s="92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2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58"/>
      <c r="U3744" s="217" t="str">
        <f t="shared" si="296"/>
        <v/>
      </c>
      <c r="V3744" s="215" t="s">
        <v>47</v>
      </c>
      <c r="W3744" s="102" t="s">
        <v>136</v>
      </c>
      <c r="X3744" s="102" t="s">
        <v>137</v>
      </c>
      <c r="Y3744" s="103" t="s">
        <v>138</v>
      </c>
      <c r="Z3744" s="103" t="s">
        <v>139</v>
      </c>
      <c r="AA3744" s="103" t="s">
        <v>47</v>
      </c>
      <c r="AB3744" s="103" t="s">
        <v>140</v>
      </c>
      <c r="AC3744" s="104" t="s">
        <v>141</v>
      </c>
    </row>
    <row r="3745" spans="1:29" ht="25.5" customHeight="1" x14ac:dyDescent="0.35">
      <c r="A3745" s="188"/>
      <c r="B3745" s="190"/>
      <c r="C3745" s="99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0"/>
      <c r="E3745" s="78" t="str">
        <f>IF(C3745="","",IFERROR(VLOOKUP(C3745,parametros!$A$11:$E$15,5,0),""))</f>
        <v/>
      </c>
      <c r="F3745" s="79" t="str">
        <f t="shared" si="292"/>
        <v/>
      </c>
      <c r="G3745" s="101"/>
      <c r="H3745" s="91">
        <f t="shared" si="293"/>
        <v>0</v>
      </c>
      <c r="I3745" s="91" t="str">
        <f t="shared" si="294"/>
        <v/>
      </c>
      <c r="J3745" s="91" t="str">
        <f t="shared" si="295"/>
        <v/>
      </c>
      <c r="K3745" s="92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2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58"/>
      <c r="U3745" s="217" t="str">
        <f t="shared" si="296"/>
        <v/>
      </c>
      <c r="V3745" s="215" t="s">
        <v>47</v>
      </c>
      <c r="W3745" s="102" t="s">
        <v>136</v>
      </c>
      <c r="X3745" s="102" t="s">
        <v>137</v>
      </c>
      <c r="Y3745" s="103" t="s">
        <v>138</v>
      </c>
      <c r="Z3745" s="103" t="s">
        <v>139</v>
      </c>
      <c r="AA3745" s="103" t="s">
        <v>47</v>
      </c>
      <c r="AB3745" s="103" t="s">
        <v>140</v>
      </c>
      <c r="AC3745" s="104" t="s">
        <v>141</v>
      </c>
    </row>
    <row r="3746" spans="1:29" ht="25.5" customHeight="1" x14ac:dyDescent="0.35">
      <c r="A3746" s="188"/>
      <c r="B3746" s="190"/>
      <c r="C3746" s="99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0"/>
      <c r="E3746" s="78" t="str">
        <f>IF(C3746="","",IFERROR(VLOOKUP(C3746,parametros!$A$11:$E$15,5,0),""))</f>
        <v/>
      </c>
      <c r="F3746" s="79" t="str">
        <f t="shared" si="292"/>
        <v/>
      </c>
      <c r="G3746" s="101"/>
      <c r="H3746" s="91">
        <f t="shared" si="293"/>
        <v>0</v>
      </c>
      <c r="I3746" s="91" t="str">
        <f t="shared" si="294"/>
        <v/>
      </c>
      <c r="J3746" s="91" t="str">
        <f t="shared" si="295"/>
        <v/>
      </c>
      <c r="K3746" s="92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2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58"/>
      <c r="U3746" s="217" t="str">
        <f t="shared" si="296"/>
        <v/>
      </c>
      <c r="V3746" s="215" t="s">
        <v>47</v>
      </c>
      <c r="W3746" s="102" t="s">
        <v>136</v>
      </c>
      <c r="X3746" s="102" t="s">
        <v>137</v>
      </c>
      <c r="Y3746" s="103" t="s">
        <v>138</v>
      </c>
      <c r="Z3746" s="103" t="s">
        <v>139</v>
      </c>
      <c r="AA3746" s="103" t="s">
        <v>47</v>
      </c>
      <c r="AB3746" s="103" t="s">
        <v>140</v>
      </c>
      <c r="AC3746" s="104" t="s">
        <v>141</v>
      </c>
    </row>
    <row r="3747" spans="1:29" ht="25.5" customHeight="1" x14ac:dyDescent="0.35">
      <c r="A3747" s="188"/>
      <c r="B3747" s="190"/>
      <c r="C3747" s="99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0"/>
      <c r="E3747" s="78" t="str">
        <f>IF(C3747="","",IFERROR(VLOOKUP(C3747,parametros!$A$11:$E$15,5,0),""))</f>
        <v/>
      </c>
      <c r="F3747" s="79" t="str">
        <f t="shared" si="292"/>
        <v/>
      </c>
      <c r="G3747" s="101"/>
      <c r="H3747" s="91">
        <f t="shared" si="293"/>
        <v>0</v>
      </c>
      <c r="I3747" s="91" t="str">
        <f t="shared" si="294"/>
        <v/>
      </c>
      <c r="J3747" s="91" t="str">
        <f t="shared" si="295"/>
        <v/>
      </c>
      <c r="K3747" s="92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2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58"/>
      <c r="U3747" s="217" t="str">
        <f t="shared" si="296"/>
        <v/>
      </c>
      <c r="V3747" s="215" t="s">
        <v>47</v>
      </c>
      <c r="W3747" s="102" t="s">
        <v>136</v>
      </c>
      <c r="X3747" s="102" t="s">
        <v>137</v>
      </c>
      <c r="Y3747" s="103" t="s">
        <v>138</v>
      </c>
      <c r="Z3747" s="103" t="s">
        <v>139</v>
      </c>
      <c r="AA3747" s="103" t="s">
        <v>47</v>
      </c>
      <c r="AB3747" s="103" t="s">
        <v>140</v>
      </c>
      <c r="AC3747" s="104" t="s">
        <v>141</v>
      </c>
    </row>
    <row r="3748" spans="1:29" ht="25.5" customHeight="1" x14ac:dyDescent="0.35">
      <c r="A3748" s="188"/>
      <c r="B3748" s="190"/>
      <c r="C3748" s="99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0"/>
      <c r="E3748" s="78" t="str">
        <f>IF(C3748="","",IFERROR(VLOOKUP(C3748,parametros!$A$11:$E$15,5,0),""))</f>
        <v/>
      </c>
      <c r="F3748" s="79" t="str">
        <f t="shared" si="292"/>
        <v/>
      </c>
      <c r="G3748" s="101"/>
      <c r="H3748" s="91">
        <f t="shared" si="293"/>
        <v>0</v>
      </c>
      <c r="I3748" s="91" t="str">
        <f t="shared" si="294"/>
        <v/>
      </c>
      <c r="J3748" s="91" t="str">
        <f t="shared" si="295"/>
        <v/>
      </c>
      <c r="K3748" s="92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2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58"/>
      <c r="U3748" s="217" t="str">
        <f t="shared" si="296"/>
        <v/>
      </c>
      <c r="V3748" s="215" t="s">
        <v>47</v>
      </c>
      <c r="W3748" s="102" t="s">
        <v>136</v>
      </c>
      <c r="X3748" s="102" t="s">
        <v>137</v>
      </c>
      <c r="Y3748" s="103" t="s">
        <v>138</v>
      </c>
      <c r="Z3748" s="103" t="s">
        <v>139</v>
      </c>
      <c r="AA3748" s="103" t="s">
        <v>47</v>
      </c>
      <c r="AB3748" s="103" t="s">
        <v>140</v>
      </c>
      <c r="AC3748" s="104" t="s">
        <v>141</v>
      </c>
    </row>
    <row r="3749" spans="1:29" ht="25.5" customHeight="1" x14ac:dyDescent="0.35">
      <c r="A3749" s="188"/>
      <c r="B3749" s="190"/>
      <c r="C3749" s="99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0"/>
      <c r="E3749" s="78" t="str">
        <f>IF(C3749="","",IFERROR(VLOOKUP(C3749,parametros!$A$11:$E$15,5,0),""))</f>
        <v/>
      </c>
      <c r="F3749" s="79" t="str">
        <f t="shared" si="292"/>
        <v/>
      </c>
      <c r="G3749" s="101"/>
      <c r="H3749" s="91">
        <f t="shared" si="293"/>
        <v>0</v>
      </c>
      <c r="I3749" s="91" t="str">
        <f t="shared" si="294"/>
        <v/>
      </c>
      <c r="J3749" s="91" t="str">
        <f t="shared" si="295"/>
        <v/>
      </c>
      <c r="K3749" s="92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2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58"/>
      <c r="U3749" s="217" t="str">
        <f t="shared" si="296"/>
        <v/>
      </c>
      <c r="V3749" s="215" t="s">
        <v>47</v>
      </c>
      <c r="W3749" s="102" t="s">
        <v>136</v>
      </c>
      <c r="X3749" s="102" t="s">
        <v>137</v>
      </c>
      <c r="Y3749" s="103" t="s">
        <v>138</v>
      </c>
      <c r="Z3749" s="103" t="s">
        <v>139</v>
      </c>
      <c r="AA3749" s="103" t="s">
        <v>47</v>
      </c>
      <c r="AB3749" s="103" t="s">
        <v>140</v>
      </c>
      <c r="AC3749" s="104" t="s">
        <v>141</v>
      </c>
    </row>
    <row r="3750" spans="1:29" ht="25.5" customHeight="1" x14ac:dyDescent="0.35">
      <c r="A3750" s="188"/>
      <c r="B3750" s="190"/>
      <c r="C3750" s="99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0"/>
      <c r="E3750" s="78" t="str">
        <f>IF(C3750="","",IFERROR(VLOOKUP(C3750,parametros!$A$11:$E$15,5,0),""))</f>
        <v/>
      </c>
      <c r="F3750" s="79" t="str">
        <f t="shared" si="292"/>
        <v/>
      </c>
      <c r="G3750" s="101"/>
      <c r="H3750" s="91">
        <f t="shared" si="293"/>
        <v>0</v>
      </c>
      <c r="I3750" s="91" t="str">
        <f t="shared" si="294"/>
        <v/>
      </c>
      <c r="J3750" s="91" t="str">
        <f t="shared" si="295"/>
        <v/>
      </c>
      <c r="K3750" s="92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2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58"/>
      <c r="U3750" s="217" t="str">
        <f t="shared" si="296"/>
        <v/>
      </c>
      <c r="V3750" s="215" t="s">
        <v>47</v>
      </c>
      <c r="W3750" s="102" t="s">
        <v>136</v>
      </c>
      <c r="X3750" s="102" t="s">
        <v>137</v>
      </c>
      <c r="Y3750" s="103" t="s">
        <v>138</v>
      </c>
      <c r="Z3750" s="103" t="s">
        <v>139</v>
      </c>
      <c r="AA3750" s="103" t="s">
        <v>47</v>
      </c>
      <c r="AB3750" s="103" t="s">
        <v>140</v>
      </c>
      <c r="AC3750" s="104" t="s">
        <v>141</v>
      </c>
    </row>
    <row r="3751" spans="1:29" ht="25.5" customHeight="1" x14ac:dyDescent="0.35">
      <c r="A3751" s="188"/>
      <c r="B3751" s="190"/>
      <c r="C3751" s="99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0"/>
      <c r="E3751" s="78" t="str">
        <f>IF(C3751="","",IFERROR(VLOOKUP(C3751,parametros!$A$11:$E$15,5,0),""))</f>
        <v/>
      </c>
      <c r="F3751" s="79" t="str">
        <f t="shared" si="292"/>
        <v/>
      </c>
      <c r="G3751" s="101"/>
      <c r="H3751" s="91">
        <f t="shared" si="293"/>
        <v>0</v>
      </c>
      <c r="I3751" s="91" t="str">
        <f t="shared" si="294"/>
        <v/>
      </c>
      <c r="J3751" s="91" t="str">
        <f t="shared" si="295"/>
        <v/>
      </c>
      <c r="K3751" s="92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2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58"/>
      <c r="U3751" s="217" t="str">
        <f t="shared" si="296"/>
        <v/>
      </c>
      <c r="V3751" s="215" t="s">
        <v>47</v>
      </c>
      <c r="W3751" s="102" t="s">
        <v>136</v>
      </c>
      <c r="X3751" s="102" t="s">
        <v>137</v>
      </c>
      <c r="Y3751" s="103" t="s">
        <v>138</v>
      </c>
      <c r="Z3751" s="103" t="s">
        <v>139</v>
      </c>
      <c r="AA3751" s="103" t="s">
        <v>47</v>
      </c>
      <c r="AB3751" s="103" t="s">
        <v>140</v>
      </c>
      <c r="AC3751" s="104" t="s">
        <v>141</v>
      </c>
    </row>
    <row r="3752" spans="1:29" ht="25.5" customHeight="1" x14ac:dyDescent="0.35">
      <c r="A3752" s="188"/>
      <c r="B3752" s="190"/>
      <c r="C3752" s="99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0"/>
      <c r="E3752" s="78" t="str">
        <f>IF(C3752="","",IFERROR(VLOOKUP(C3752,parametros!$A$11:$E$15,5,0),""))</f>
        <v/>
      </c>
      <c r="F3752" s="79" t="str">
        <f t="shared" si="292"/>
        <v/>
      </c>
      <c r="G3752" s="101"/>
      <c r="H3752" s="91">
        <f t="shared" si="293"/>
        <v>0</v>
      </c>
      <c r="I3752" s="91" t="str">
        <f t="shared" si="294"/>
        <v/>
      </c>
      <c r="J3752" s="91" t="str">
        <f t="shared" si="295"/>
        <v/>
      </c>
      <c r="K3752" s="92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2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58"/>
      <c r="U3752" s="217" t="str">
        <f t="shared" si="296"/>
        <v/>
      </c>
      <c r="V3752" s="215" t="s">
        <v>47</v>
      </c>
      <c r="W3752" s="102" t="s">
        <v>136</v>
      </c>
      <c r="X3752" s="102" t="s">
        <v>137</v>
      </c>
      <c r="Y3752" s="103" t="s">
        <v>138</v>
      </c>
      <c r="Z3752" s="103" t="s">
        <v>139</v>
      </c>
      <c r="AA3752" s="103" t="s">
        <v>47</v>
      </c>
      <c r="AB3752" s="103" t="s">
        <v>140</v>
      </c>
      <c r="AC3752" s="104" t="s">
        <v>141</v>
      </c>
    </row>
    <row r="3753" spans="1:29" ht="25.5" customHeight="1" x14ac:dyDescent="0.35">
      <c r="A3753" s="188"/>
      <c r="B3753" s="190"/>
      <c r="C3753" s="99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0"/>
      <c r="E3753" s="78" t="str">
        <f>IF(C3753="","",IFERROR(VLOOKUP(C3753,parametros!$A$11:$E$15,5,0),""))</f>
        <v/>
      </c>
      <c r="F3753" s="79" t="str">
        <f t="shared" si="292"/>
        <v/>
      </c>
      <c r="G3753" s="101"/>
      <c r="H3753" s="91">
        <f t="shared" si="293"/>
        <v>0</v>
      </c>
      <c r="I3753" s="91" t="str">
        <f t="shared" si="294"/>
        <v/>
      </c>
      <c r="J3753" s="91" t="str">
        <f t="shared" si="295"/>
        <v/>
      </c>
      <c r="K3753" s="92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2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58"/>
      <c r="U3753" s="217" t="str">
        <f t="shared" si="296"/>
        <v/>
      </c>
      <c r="V3753" s="215" t="s">
        <v>47</v>
      </c>
      <c r="W3753" s="102" t="s">
        <v>136</v>
      </c>
      <c r="X3753" s="102" t="s">
        <v>137</v>
      </c>
      <c r="Y3753" s="103" t="s">
        <v>138</v>
      </c>
      <c r="Z3753" s="103" t="s">
        <v>139</v>
      </c>
      <c r="AA3753" s="103" t="s">
        <v>47</v>
      </c>
      <c r="AB3753" s="103" t="s">
        <v>140</v>
      </c>
      <c r="AC3753" s="104" t="s">
        <v>141</v>
      </c>
    </row>
    <row r="3754" spans="1:29" ht="25.5" customHeight="1" x14ac:dyDescent="0.35">
      <c r="A3754" s="188"/>
      <c r="B3754" s="190"/>
      <c r="C3754" s="99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0"/>
      <c r="E3754" s="78" t="str">
        <f>IF(C3754="","",IFERROR(VLOOKUP(C3754,parametros!$A$11:$E$15,5,0),""))</f>
        <v/>
      </c>
      <c r="F3754" s="79" t="str">
        <f t="shared" si="292"/>
        <v/>
      </c>
      <c r="G3754" s="101"/>
      <c r="H3754" s="91">
        <f t="shared" si="293"/>
        <v>0</v>
      </c>
      <c r="I3754" s="91" t="str">
        <f t="shared" si="294"/>
        <v/>
      </c>
      <c r="J3754" s="91" t="str">
        <f t="shared" si="295"/>
        <v/>
      </c>
      <c r="K3754" s="92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2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58"/>
      <c r="U3754" s="217" t="str">
        <f t="shared" si="296"/>
        <v/>
      </c>
      <c r="V3754" s="215" t="s">
        <v>47</v>
      </c>
      <c r="W3754" s="102" t="s">
        <v>136</v>
      </c>
      <c r="X3754" s="102" t="s">
        <v>137</v>
      </c>
      <c r="Y3754" s="103" t="s">
        <v>138</v>
      </c>
      <c r="Z3754" s="103" t="s">
        <v>139</v>
      </c>
      <c r="AA3754" s="103" t="s">
        <v>47</v>
      </c>
      <c r="AB3754" s="103" t="s">
        <v>140</v>
      </c>
      <c r="AC3754" s="104" t="s">
        <v>141</v>
      </c>
    </row>
    <row r="3755" spans="1:29" ht="25.5" customHeight="1" x14ac:dyDescent="0.35">
      <c r="A3755" s="188"/>
      <c r="B3755" s="190"/>
      <c r="C3755" s="99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0"/>
      <c r="E3755" s="78" t="str">
        <f>IF(C3755="","",IFERROR(VLOOKUP(C3755,parametros!$A$11:$E$15,5,0),""))</f>
        <v/>
      </c>
      <c r="F3755" s="79" t="str">
        <f t="shared" si="292"/>
        <v/>
      </c>
      <c r="G3755" s="101"/>
      <c r="H3755" s="91">
        <f t="shared" si="293"/>
        <v>0</v>
      </c>
      <c r="I3755" s="91" t="str">
        <f t="shared" si="294"/>
        <v/>
      </c>
      <c r="J3755" s="91" t="str">
        <f t="shared" si="295"/>
        <v/>
      </c>
      <c r="K3755" s="92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2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58"/>
      <c r="U3755" s="217" t="str">
        <f t="shared" si="296"/>
        <v/>
      </c>
      <c r="V3755" s="215" t="s">
        <v>47</v>
      </c>
      <c r="W3755" s="102" t="s">
        <v>136</v>
      </c>
      <c r="X3755" s="102" t="s">
        <v>137</v>
      </c>
      <c r="Y3755" s="103" t="s">
        <v>138</v>
      </c>
      <c r="Z3755" s="103" t="s">
        <v>139</v>
      </c>
      <c r="AA3755" s="103" t="s">
        <v>47</v>
      </c>
      <c r="AB3755" s="103" t="s">
        <v>140</v>
      </c>
      <c r="AC3755" s="104" t="s">
        <v>141</v>
      </c>
    </row>
    <row r="3756" spans="1:29" ht="25.5" customHeight="1" x14ac:dyDescent="0.35">
      <c r="A3756" s="188"/>
      <c r="B3756" s="190"/>
      <c r="C3756" s="99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0"/>
      <c r="E3756" s="78" t="str">
        <f>IF(C3756="","",IFERROR(VLOOKUP(C3756,parametros!$A$11:$E$15,5,0),""))</f>
        <v/>
      </c>
      <c r="F3756" s="79" t="str">
        <f t="shared" si="292"/>
        <v/>
      </c>
      <c r="G3756" s="101"/>
      <c r="H3756" s="91">
        <f t="shared" si="293"/>
        <v>0</v>
      </c>
      <c r="I3756" s="91" t="str">
        <f t="shared" si="294"/>
        <v/>
      </c>
      <c r="J3756" s="91" t="str">
        <f t="shared" si="295"/>
        <v/>
      </c>
      <c r="K3756" s="92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2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58"/>
      <c r="U3756" s="217" t="str">
        <f t="shared" si="296"/>
        <v/>
      </c>
      <c r="V3756" s="215" t="s">
        <v>47</v>
      </c>
      <c r="W3756" s="102" t="s">
        <v>136</v>
      </c>
      <c r="X3756" s="102" t="s">
        <v>137</v>
      </c>
      <c r="Y3756" s="103" t="s">
        <v>138</v>
      </c>
      <c r="Z3756" s="103" t="s">
        <v>139</v>
      </c>
      <c r="AA3756" s="103" t="s">
        <v>47</v>
      </c>
      <c r="AB3756" s="103" t="s">
        <v>140</v>
      </c>
      <c r="AC3756" s="104" t="s">
        <v>141</v>
      </c>
    </row>
    <row r="3757" spans="1:29" ht="25.5" customHeight="1" x14ac:dyDescent="0.35">
      <c r="A3757" s="188"/>
      <c r="B3757" s="190"/>
      <c r="C3757" s="99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0"/>
      <c r="E3757" s="78" t="str">
        <f>IF(C3757="","",IFERROR(VLOOKUP(C3757,parametros!$A$11:$E$15,5,0),""))</f>
        <v/>
      </c>
      <c r="F3757" s="79" t="str">
        <f t="shared" si="292"/>
        <v/>
      </c>
      <c r="G3757" s="101"/>
      <c r="H3757" s="91">
        <f t="shared" si="293"/>
        <v>0</v>
      </c>
      <c r="I3757" s="91" t="str">
        <f t="shared" si="294"/>
        <v/>
      </c>
      <c r="J3757" s="91" t="str">
        <f t="shared" si="295"/>
        <v/>
      </c>
      <c r="K3757" s="92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2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58"/>
      <c r="U3757" s="217" t="str">
        <f t="shared" si="296"/>
        <v/>
      </c>
      <c r="V3757" s="215" t="s">
        <v>47</v>
      </c>
      <c r="W3757" s="102" t="s">
        <v>136</v>
      </c>
      <c r="X3757" s="102" t="s">
        <v>137</v>
      </c>
      <c r="Y3757" s="103" t="s">
        <v>138</v>
      </c>
      <c r="Z3757" s="103" t="s">
        <v>139</v>
      </c>
      <c r="AA3757" s="103" t="s">
        <v>47</v>
      </c>
      <c r="AB3757" s="103" t="s">
        <v>140</v>
      </c>
      <c r="AC3757" s="104" t="s">
        <v>141</v>
      </c>
    </row>
    <row r="3758" spans="1:29" ht="25.5" customHeight="1" x14ac:dyDescent="0.35">
      <c r="A3758" s="188"/>
      <c r="B3758" s="190"/>
      <c r="C3758" s="99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0"/>
      <c r="E3758" s="78" t="str">
        <f>IF(C3758="","",IFERROR(VLOOKUP(C3758,parametros!$A$11:$E$15,5,0),""))</f>
        <v/>
      </c>
      <c r="F3758" s="79" t="str">
        <f t="shared" si="292"/>
        <v/>
      </c>
      <c r="G3758" s="101"/>
      <c r="H3758" s="91">
        <f t="shared" si="293"/>
        <v>0</v>
      </c>
      <c r="I3758" s="91" t="str">
        <f t="shared" si="294"/>
        <v/>
      </c>
      <c r="J3758" s="91" t="str">
        <f t="shared" si="295"/>
        <v/>
      </c>
      <c r="K3758" s="92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2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58"/>
      <c r="U3758" s="217" t="str">
        <f t="shared" si="296"/>
        <v/>
      </c>
      <c r="V3758" s="215" t="s">
        <v>47</v>
      </c>
      <c r="W3758" s="102" t="s">
        <v>136</v>
      </c>
      <c r="X3758" s="102" t="s">
        <v>137</v>
      </c>
      <c r="Y3758" s="103" t="s">
        <v>138</v>
      </c>
      <c r="Z3758" s="103" t="s">
        <v>139</v>
      </c>
      <c r="AA3758" s="103" t="s">
        <v>47</v>
      </c>
      <c r="AB3758" s="103" t="s">
        <v>140</v>
      </c>
      <c r="AC3758" s="104" t="s">
        <v>141</v>
      </c>
    </row>
    <row r="3759" spans="1:29" ht="25.5" customHeight="1" x14ac:dyDescent="0.35">
      <c r="A3759" s="188"/>
      <c r="B3759" s="190"/>
      <c r="C3759" s="99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0"/>
      <c r="E3759" s="78" t="str">
        <f>IF(C3759="","",IFERROR(VLOOKUP(C3759,parametros!$A$11:$E$15,5,0),""))</f>
        <v/>
      </c>
      <c r="F3759" s="79" t="str">
        <f t="shared" si="292"/>
        <v/>
      </c>
      <c r="G3759" s="101"/>
      <c r="H3759" s="91">
        <f t="shared" si="293"/>
        <v>0</v>
      </c>
      <c r="I3759" s="91" t="str">
        <f t="shared" si="294"/>
        <v/>
      </c>
      <c r="J3759" s="91" t="str">
        <f t="shared" si="295"/>
        <v/>
      </c>
      <c r="K3759" s="92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2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58"/>
      <c r="U3759" s="217" t="str">
        <f t="shared" si="296"/>
        <v/>
      </c>
      <c r="V3759" s="215" t="s">
        <v>47</v>
      </c>
      <c r="W3759" s="102" t="s">
        <v>136</v>
      </c>
      <c r="X3759" s="102" t="s">
        <v>137</v>
      </c>
      <c r="Y3759" s="103" t="s">
        <v>138</v>
      </c>
      <c r="Z3759" s="103" t="s">
        <v>139</v>
      </c>
      <c r="AA3759" s="103" t="s">
        <v>47</v>
      </c>
      <c r="AB3759" s="103" t="s">
        <v>140</v>
      </c>
      <c r="AC3759" s="104" t="s">
        <v>141</v>
      </c>
    </row>
    <row r="3760" spans="1:29" ht="25.5" customHeight="1" x14ac:dyDescent="0.35">
      <c r="A3760" s="188"/>
      <c r="B3760" s="190"/>
      <c r="C3760" s="99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0"/>
      <c r="E3760" s="78" t="str">
        <f>IF(C3760="","",IFERROR(VLOOKUP(C3760,parametros!$A$11:$E$15,5,0),""))</f>
        <v/>
      </c>
      <c r="F3760" s="79" t="str">
        <f t="shared" si="292"/>
        <v/>
      </c>
      <c r="G3760" s="101"/>
      <c r="H3760" s="91">
        <f t="shared" si="293"/>
        <v>0</v>
      </c>
      <c r="I3760" s="91" t="str">
        <f t="shared" si="294"/>
        <v/>
      </c>
      <c r="J3760" s="91" t="str">
        <f t="shared" si="295"/>
        <v/>
      </c>
      <c r="K3760" s="92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2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58"/>
      <c r="U3760" s="217" t="str">
        <f t="shared" si="296"/>
        <v/>
      </c>
      <c r="V3760" s="215" t="s">
        <v>47</v>
      </c>
      <c r="W3760" s="102" t="s">
        <v>136</v>
      </c>
      <c r="X3760" s="102" t="s">
        <v>137</v>
      </c>
      <c r="Y3760" s="103" t="s">
        <v>138</v>
      </c>
      <c r="Z3760" s="103" t="s">
        <v>139</v>
      </c>
      <c r="AA3760" s="103" t="s">
        <v>47</v>
      </c>
      <c r="AB3760" s="103" t="s">
        <v>140</v>
      </c>
      <c r="AC3760" s="104" t="s">
        <v>141</v>
      </c>
    </row>
    <row r="3761" spans="1:29" ht="25.5" customHeight="1" x14ac:dyDescent="0.35">
      <c r="A3761" s="188"/>
      <c r="B3761" s="190"/>
      <c r="C3761" s="99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0"/>
      <c r="E3761" s="78" t="str">
        <f>IF(C3761="","",IFERROR(VLOOKUP(C3761,parametros!$A$11:$E$15,5,0),""))</f>
        <v/>
      </c>
      <c r="F3761" s="79" t="str">
        <f t="shared" si="292"/>
        <v/>
      </c>
      <c r="G3761" s="101"/>
      <c r="H3761" s="91">
        <f t="shared" si="293"/>
        <v>0</v>
      </c>
      <c r="I3761" s="91" t="str">
        <f t="shared" si="294"/>
        <v/>
      </c>
      <c r="J3761" s="91" t="str">
        <f t="shared" si="295"/>
        <v/>
      </c>
      <c r="K3761" s="92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2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58"/>
      <c r="U3761" s="217" t="str">
        <f t="shared" si="296"/>
        <v/>
      </c>
      <c r="V3761" s="215" t="s">
        <v>47</v>
      </c>
      <c r="W3761" s="102" t="s">
        <v>136</v>
      </c>
      <c r="X3761" s="102" t="s">
        <v>137</v>
      </c>
      <c r="Y3761" s="103" t="s">
        <v>138</v>
      </c>
      <c r="Z3761" s="103" t="s">
        <v>139</v>
      </c>
      <c r="AA3761" s="103" t="s">
        <v>47</v>
      </c>
      <c r="AB3761" s="103" t="s">
        <v>140</v>
      </c>
      <c r="AC3761" s="104" t="s">
        <v>141</v>
      </c>
    </row>
    <row r="3762" spans="1:29" ht="25.5" customHeight="1" x14ac:dyDescent="0.35">
      <c r="A3762" s="188"/>
      <c r="B3762" s="190"/>
      <c r="C3762" s="99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0"/>
      <c r="E3762" s="78" t="str">
        <f>IF(C3762="","",IFERROR(VLOOKUP(C3762,parametros!$A$11:$E$15,5,0),""))</f>
        <v/>
      </c>
      <c r="F3762" s="79" t="str">
        <f t="shared" si="292"/>
        <v/>
      </c>
      <c r="G3762" s="101"/>
      <c r="H3762" s="91">
        <f t="shared" si="293"/>
        <v>0</v>
      </c>
      <c r="I3762" s="91" t="str">
        <f t="shared" si="294"/>
        <v/>
      </c>
      <c r="J3762" s="91" t="str">
        <f t="shared" si="295"/>
        <v/>
      </c>
      <c r="K3762" s="92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2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58"/>
      <c r="U3762" s="217" t="str">
        <f t="shared" si="296"/>
        <v/>
      </c>
      <c r="V3762" s="215" t="s">
        <v>47</v>
      </c>
      <c r="W3762" s="102" t="s">
        <v>136</v>
      </c>
      <c r="X3762" s="102" t="s">
        <v>137</v>
      </c>
      <c r="Y3762" s="103" t="s">
        <v>138</v>
      </c>
      <c r="Z3762" s="103" t="s">
        <v>139</v>
      </c>
      <c r="AA3762" s="103" t="s">
        <v>47</v>
      </c>
      <c r="AB3762" s="103" t="s">
        <v>140</v>
      </c>
      <c r="AC3762" s="104" t="s">
        <v>141</v>
      </c>
    </row>
    <row r="3763" spans="1:29" ht="25.5" customHeight="1" x14ac:dyDescent="0.35">
      <c r="A3763" s="188"/>
      <c r="B3763" s="190"/>
      <c r="C3763" s="99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0"/>
      <c r="E3763" s="78" t="str">
        <f>IF(C3763="","",IFERROR(VLOOKUP(C3763,parametros!$A$11:$E$15,5,0),""))</f>
        <v/>
      </c>
      <c r="F3763" s="79" t="str">
        <f t="shared" si="292"/>
        <v/>
      </c>
      <c r="G3763" s="101"/>
      <c r="H3763" s="91">
        <f t="shared" si="293"/>
        <v>0</v>
      </c>
      <c r="I3763" s="91" t="str">
        <f t="shared" si="294"/>
        <v/>
      </c>
      <c r="J3763" s="91" t="str">
        <f t="shared" si="295"/>
        <v/>
      </c>
      <c r="K3763" s="92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2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58"/>
      <c r="U3763" s="217" t="str">
        <f t="shared" si="296"/>
        <v/>
      </c>
      <c r="V3763" s="215" t="s">
        <v>47</v>
      </c>
      <c r="W3763" s="102" t="s">
        <v>136</v>
      </c>
      <c r="X3763" s="102" t="s">
        <v>137</v>
      </c>
      <c r="Y3763" s="103" t="s">
        <v>138</v>
      </c>
      <c r="Z3763" s="103" t="s">
        <v>139</v>
      </c>
      <c r="AA3763" s="103" t="s">
        <v>47</v>
      </c>
      <c r="AB3763" s="103" t="s">
        <v>140</v>
      </c>
      <c r="AC3763" s="104" t="s">
        <v>141</v>
      </c>
    </row>
    <row r="3764" spans="1:29" ht="25.5" customHeight="1" x14ac:dyDescent="0.35">
      <c r="A3764" s="188"/>
      <c r="B3764" s="190"/>
      <c r="C3764" s="99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0"/>
      <c r="E3764" s="78" t="str">
        <f>IF(C3764="","",IFERROR(VLOOKUP(C3764,parametros!$A$11:$E$15,5,0),""))</f>
        <v/>
      </c>
      <c r="F3764" s="79" t="str">
        <f t="shared" si="292"/>
        <v/>
      </c>
      <c r="G3764" s="101"/>
      <c r="H3764" s="91">
        <f t="shared" si="293"/>
        <v>0</v>
      </c>
      <c r="I3764" s="91" t="str">
        <f t="shared" si="294"/>
        <v/>
      </c>
      <c r="J3764" s="91" t="str">
        <f t="shared" si="295"/>
        <v/>
      </c>
      <c r="K3764" s="92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2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58"/>
      <c r="U3764" s="217" t="str">
        <f t="shared" si="296"/>
        <v/>
      </c>
      <c r="V3764" s="215" t="s">
        <v>47</v>
      </c>
      <c r="W3764" s="102" t="s">
        <v>136</v>
      </c>
      <c r="X3764" s="102" t="s">
        <v>137</v>
      </c>
      <c r="Y3764" s="103" t="s">
        <v>138</v>
      </c>
      <c r="Z3764" s="103" t="s">
        <v>139</v>
      </c>
      <c r="AA3764" s="103" t="s">
        <v>47</v>
      </c>
      <c r="AB3764" s="103" t="s">
        <v>140</v>
      </c>
      <c r="AC3764" s="104" t="s">
        <v>141</v>
      </c>
    </row>
    <row r="3765" spans="1:29" ht="25.5" customHeight="1" x14ac:dyDescent="0.35">
      <c r="A3765" s="188"/>
      <c r="B3765" s="190"/>
      <c r="C3765" s="99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0"/>
      <c r="E3765" s="78" t="str">
        <f>IF(C3765="","",IFERROR(VLOOKUP(C3765,parametros!$A$11:$E$15,5,0),""))</f>
        <v/>
      </c>
      <c r="F3765" s="79" t="str">
        <f t="shared" si="292"/>
        <v/>
      </c>
      <c r="G3765" s="101"/>
      <c r="H3765" s="91">
        <f t="shared" si="293"/>
        <v>0</v>
      </c>
      <c r="I3765" s="91" t="str">
        <f t="shared" si="294"/>
        <v/>
      </c>
      <c r="J3765" s="91" t="str">
        <f t="shared" si="295"/>
        <v/>
      </c>
      <c r="K3765" s="92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2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58"/>
      <c r="U3765" s="217" t="str">
        <f t="shared" si="296"/>
        <v/>
      </c>
      <c r="V3765" s="215" t="s">
        <v>47</v>
      </c>
      <c r="W3765" s="102" t="s">
        <v>136</v>
      </c>
      <c r="X3765" s="102" t="s">
        <v>137</v>
      </c>
      <c r="Y3765" s="103" t="s">
        <v>138</v>
      </c>
      <c r="Z3765" s="103" t="s">
        <v>139</v>
      </c>
      <c r="AA3765" s="103" t="s">
        <v>47</v>
      </c>
      <c r="AB3765" s="103" t="s">
        <v>140</v>
      </c>
      <c r="AC3765" s="104" t="s">
        <v>141</v>
      </c>
    </row>
    <row r="3766" spans="1:29" ht="25.5" customHeight="1" x14ac:dyDescent="0.35">
      <c r="A3766" s="188"/>
      <c r="B3766" s="190"/>
      <c r="C3766" s="99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0"/>
      <c r="E3766" s="78" t="str">
        <f>IF(C3766="","",IFERROR(VLOOKUP(C3766,parametros!$A$11:$E$15,5,0),""))</f>
        <v/>
      </c>
      <c r="F3766" s="79" t="str">
        <f t="shared" si="292"/>
        <v/>
      </c>
      <c r="G3766" s="101"/>
      <c r="H3766" s="91">
        <f t="shared" si="293"/>
        <v>0</v>
      </c>
      <c r="I3766" s="91" t="str">
        <f t="shared" si="294"/>
        <v/>
      </c>
      <c r="J3766" s="91" t="str">
        <f t="shared" si="295"/>
        <v/>
      </c>
      <c r="K3766" s="92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2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58"/>
      <c r="U3766" s="217" t="str">
        <f t="shared" si="296"/>
        <v/>
      </c>
      <c r="V3766" s="215" t="s">
        <v>47</v>
      </c>
      <c r="W3766" s="102" t="s">
        <v>136</v>
      </c>
      <c r="X3766" s="102" t="s">
        <v>137</v>
      </c>
      <c r="Y3766" s="103" t="s">
        <v>138</v>
      </c>
      <c r="Z3766" s="103" t="s">
        <v>139</v>
      </c>
      <c r="AA3766" s="103" t="s">
        <v>47</v>
      </c>
      <c r="AB3766" s="103" t="s">
        <v>140</v>
      </c>
      <c r="AC3766" s="104" t="s">
        <v>141</v>
      </c>
    </row>
    <row r="3767" spans="1:29" ht="25.5" customHeight="1" x14ac:dyDescent="0.35">
      <c r="A3767" s="188"/>
      <c r="B3767" s="190"/>
      <c r="C3767" s="99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0"/>
      <c r="E3767" s="78" t="str">
        <f>IF(C3767="","",IFERROR(VLOOKUP(C3767,parametros!$A$11:$E$15,5,0),""))</f>
        <v/>
      </c>
      <c r="F3767" s="79" t="str">
        <f t="shared" si="292"/>
        <v/>
      </c>
      <c r="G3767" s="101"/>
      <c r="H3767" s="91">
        <f t="shared" si="293"/>
        <v>0</v>
      </c>
      <c r="I3767" s="91" t="str">
        <f t="shared" si="294"/>
        <v/>
      </c>
      <c r="J3767" s="91" t="str">
        <f t="shared" si="295"/>
        <v/>
      </c>
      <c r="K3767" s="92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2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58"/>
      <c r="U3767" s="217" t="str">
        <f t="shared" si="296"/>
        <v/>
      </c>
      <c r="V3767" s="215" t="s">
        <v>47</v>
      </c>
      <c r="W3767" s="102" t="s">
        <v>136</v>
      </c>
      <c r="X3767" s="102" t="s">
        <v>137</v>
      </c>
      <c r="Y3767" s="103" t="s">
        <v>138</v>
      </c>
      <c r="Z3767" s="103" t="s">
        <v>139</v>
      </c>
      <c r="AA3767" s="103" t="s">
        <v>47</v>
      </c>
      <c r="AB3767" s="103" t="s">
        <v>140</v>
      </c>
      <c r="AC3767" s="104" t="s">
        <v>141</v>
      </c>
    </row>
    <row r="3768" spans="1:29" ht="25.5" customHeight="1" x14ac:dyDescent="0.35">
      <c r="A3768" s="188"/>
      <c r="B3768" s="190"/>
      <c r="C3768" s="99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0"/>
      <c r="E3768" s="78" t="str">
        <f>IF(C3768="","",IFERROR(VLOOKUP(C3768,parametros!$A$11:$E$15,5,0),""))</f>
        <v/>
      </c>
      <c r="F3768" s="79" t="str">
        <f t="shared" si="292"/>
        <v/>
      </c>
      <c r="G3768" s="101"/>
      <c r="H3768" s="91">
        <f t="shared" si="293"/>
        <v>0</v>
      </c>
      <c r="I3768" s="91" t="str">
        <f t="shared" si="294"/>
        <v/>
      </c>
      <c r="J3768" s="91" t="str">
        <f t="shared" si="295"/>
        <v/>
      </c>
      <c r="K3768" s="92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2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58"/>
      <c r="U3768" s="217" t="str">
        <f t="shared" si="296"/>
        <v/>
      </c>
      <c r="V3768" s="215" t="s">
        <v>47</v>
      </c>
      <c r="W3768" s="102" t="s">
        <v>136</v>
      </c>
      <c r="X3768" s="102" t="s">
        <v>137</v>
      </c>
      <c r="Y3768" s="103" t="s">
        <v>138</v>
      </c>
      <c r="Z3768" s="103" t="s">
        <v>139</v>
      </c>
      <c r="AA3768" s="103" t="s">
        <v>47</v>
      </c>
      <c r="AB3768" s="103" t="s">
        <v>140</v>
      </c>
      <c r="AC3768" s="104" t="s">
        <v>141</v>
      </c>
    </row>
    <row r="3769" spans="1:29" ht="25.5" customHeight="1" x14ac:dyDescent="0.35">
      <c r="A3769" s="188"/>
      <c r="B3769" s="190"/>
      <c r="C3769" s="99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0"/>
      <c r="E3769" s="78" t="str">
        <f>IF(C3769="","",IFERROR(VLOOKUP(C3769,parametros!$A$11:$E$15,5,0),""))</f>
        <v/>
      </c>
      <c r="F3769" s="79" t="str">
        <f t="shared" si="292"/>
        <v/>
      </c>
      <c r="G3769" s="101"/>
      <c r="H3769" s="91">
        <f t="shared" si="293"/>
        <v>0</v>
      </c>
      <c r="I3769" s="91" t="str">
        <f t="shared" si="294"/>
        <v/>
      </c>
      <c r="J3769" s="91" t="str">
        <f t="shared" si="295"/>
        <v/>
      </c>
      <c r="K3769" s="92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2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58"/>
      <c r="U3769" s="217" t="str">
        <f t="shared" si="296"/>
        <v/>
      </c>
      <c r="V3769" s="215" t="s">
        <v>47</v>
      </c>
      <c r="W3769" s="102" t="s">
        <v>136</v>
      </c>
      <c r="X3769" s="102" t="s">
        <v>137</v>
      </c>
      <c r="Y3769" s="103" t="s">
        <v>138</v>
      </c>
      <c r="Z3769" s="103" t="s">
        <v>139</v>
      </c>
      <c r="AA3769" s="103" t="s">
        <v>47</v>
      </c>
      <c r="AB3769" s="103" t="s">
        <v>140</v>
      </c>
      <c r="AC3769" s="104" t="s">
        <v>141</v>
      </c>
    </row>
    <row r="3770" spans="1:29" ht="25.5" customHeight="1" x14ac:dyDescent="0.35">
      <c r="A3770" s="188"/>
      <c r="B3770" s="190"/>
      <c r="C3770" s="99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0"/>
      <c r="E3770" s="78" t="str">
        <f>IF(C3770="","",IFERROR(VLOOKUP(C3770,parametros!$A$11:$E$15,5,0),""))</f>
        <v/>
      </c>
      <c r="F3770" s="79" t="str">
        <f t="shared" si="292"/>
        <v/>
      </c>
      <c r="G3770" s="101"/>
      <c r="H3770" s="91">
        <f t="shared" si="293"/>
        <v>0</v>
      </c>
      <c r="I3770" s="91" t="str">
        <f t="shared" si="294"/>
        <v/>
      </c>
      <c r="J3770" s="91" t="str">
        <f t="shared" si="295"/>
        <v/>
      </c>
      <c r="K3770" s="92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2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58"/>
      <c r="U3770" s="217" t="str">
        <f t="shared" si="296"/>
        <v/>
      </c>
      <c r="V3770" s="215" t="s">
        <v>47</v>
      </c>
      <c r="W3770" s="102" t="s">
        <v>136</v>
      </c>
      <c r="X3770" s="102" t="s">
        <v>137</v>
      </c>
      <c r="Y3770" s="103" t="s">
        <v>138</v>
      </c>
      <c r="Z3770" s="103" t="s">
        <v>139</v>
      </c>
      <c r="AA3770" s="103" t="s">
        <v>47</v>
      </c>
      <c r="AB3770" s="103" t="s">
        <v>140</v>
      </c>
      <c r="AC3770" s="104" t="s">
        <v>141</v>
      </c>
    </row>
    <row r="3771" spans="1:29" ht="25.5" customHeight="1" x14ac:dyDescent="0.35">
      <c r="A3771" s="188"/>
      <c r="B3771" s="190"/>
      <c r="C3771" s="99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0"/>
      <c r="E3771" s="78" t="str">
        <f>IF(C3771="","",IFERROR(VLOOKUP(C3771,parametros!$A$11:$E$15,5,0),""))</f>
        <v/>
      </c>
      <c r="F3771" s="79" t="str">
        <f t="shared" si="292"/>
        <v/>
      </c>
      <c r="G3771" s="101"/>
      <c r="H3771" s="91">
        <f t="shared" si="293"/>
        <v>0</v>
      </c>
      <c r="I3771" s="91" t="str">
        <f t="shared" si="294"/>
        <v/>
      </c>
      <c r="J3771" s="91" t="str">
        <f t="shared" si="295"/>
        <v/>
      </c>
      <c r="K3771" s="92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2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58"/>
      <c r="U3771" s="217" t="str">
        <f t="shared" si="296"/>
        <v/>
      </c>
      <c r="V3771" s="215" t="s">
        <v>47</v>
      </c>
      <c r="W3771" s="102" t="s">
        <v>136</v>
      </c>
      <c r="X3771" s="102" t="s">
        <v>137</v>
      </c>
      <c r="Y3771" s="103" t="s">
        <v>138</v>
      </c>
      <c r="Z3771" s="103" t="s">
        <v>139</v>
      </c>
      <c r="AA3771" s="103" t="s">
        <v>47</v>
      </c>
      <c r="AB3771" s="103" t="s">
        <v>140</v>
      </c>
      <c r="AC3771" s="104" t="s">
        <v>141</v>
      </c>
    </row>
    <row r="3772" spans="1:29" ht="25.5" customHeight="1" x14ac:dyDescent="0.35">
      <c r="A3772" s="188"/>
      <c r="B3772" s="190"/>
      <c r="C3772" s="99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0"/>
      <c r="E3772" s="78" t="str">
        <f>IF(C3772="","",IFERROR(VLOOKUP(C3772,parametros!$A$11:$E$15,5,0),""))</f>
        <v/>
      </c>
      <c r="F3772" s="79" t="str">
        <f t="shared" si="292"/>
        <v/>
      </c>
      <c r="G3772" s="101"/>
      <c r="H3772" s="91">
        <f t="shared" si="293"/>
        <v>0</v>
      </c>
      <c r="I3772" s="91" t="str">
        <f t="shared" si="294"/>
        <v/>
      </c>
      <c r="J3772" s="91" t="str">
        <f t="shared" si="295"/>
        <v/>
      </c>
      <c r="K3772" s="92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2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58"/>
      <c r="U3772" s="217" t="str">
        <f t="shared" si="296"/>
        <v/>
      </c>
      <c r="V3772" s="215" t="s">
        <v>47</v>
      </c>
      <c r="W3772" s="102" t="s">
        <v>136</v>
      </c>
      <c r="X3772" s="102" t="s">
        <v>137</v>
      </c>
      <c r="Y3772" s="103" t="s">
        <v>138</v>
      </c>
      <c r="Z3772" s="103" t="s">
        <v>139</v>
      </c>
      <c r="AA3772" s="103" t="s">
        <v>47</v>
      </c>
      <c r="AB3772" s="103" t="s">
        <v>140</v>
      </c>
      <c r="AC3772" s="104" t="s">
        <v>141</v>
      </c>
    </row>
    <row r="3773" spans="1:29" ht="25.5" customHeight="1" x14ac:dyDescent="0.35">
      <c r="A3773" s="188"/>
      <c r="B3773" s="190"/>
      <c r="C3773" s="99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0"/>
      <c r="E3773" s="78" t="str">
        <f>IF(C3773="","",IFERROR(VLOOKUP(C3773,parametros!$A$11:$E$15,5,0),""))</f>
        <v/>
      </c>
      <c r="F3773" s="79" t="str">
        <f t="shared" si="292"/>
        <v/>
      </c>
      <c r="G3773" s="101"/>
      <c r="H3773" s="91">
        <f t="shared" si="293"/>
        <v>0</v>
      </c>
      <c r="I3773" s="91" t="str">
        <f t="shared" si="294"/>
        <v/>
      </c>
      <c r="J3773" s="91" t="str">
        <f t="shared" si="295"/>
        <v/>
      </c>
      <c r="K3773" s="92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2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58"/>
      <c r="U3773" s="217" t="str">
        <f t="shared" si="296"/>
        <v/>
      </c>
      <c r="V3773" s="215" t="s">
        <v>47</v>
      </c>
      <c r="W3773" s="102" t="s">
        <v>136</v>
      </c>
      <c r="X3773" s="102" t="s">
        <v>137</v>
      </c>
      <c r="Y3773" s="103" t="s">
        <v>138</v>
      </c>
      <c r="Z3773" s="103" t="s">
        <v>139</v>
      </c>
      <c r="AA3773" s="103" t="s">
        <v>47</v>
      </c>
      <c r="AB3773" s="103" t="s">
        <v>140</v>
      </c>
      <c r="AC3773" s="104" t="s">
        <v>141</v>
      </c>
    </row>
    <row r="3774" spans="1:29" ht="25.5" customHeight="1" x14ac:dyDescent="0.35">
      <c r="A3774" s="188"/>
      <c r="B3774" s="190"/>
      <c r="C3774" s="99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0"/>
      <c r="E3774" s="78" t="str">
        <f>IF(C3774="","",IFERROR(VLOOKUP(C3774,parametros!$A$11:$E$15,5,0),""))</f>
        <v/>
      </c>
      <c r="F3774" s="79" t="str">
        <f t="shared" si="292"/>
        <v/>
      </c>
      <c r="G3774" s="101"/>
      <c r="H3774" s="91">
        <f t="shared" si="293"/>
        <v>0</v>
      </c>
      <c r="I3774" s="91" t="str">
        <f t="shared" si="294"/>
        <v/>
      </c>
      <c r="J3774" s="91" t="str">
        <f t="shared" si="295"/>
        <v/>
      </c>
      <c r="K3774" s="92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2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58"/>
      <c r="U3774" s="217" t="str">
        <f t="shared" si="296"/>
        <v/>
      </c>
      <c r="V3774" s="215" t="s">
        <v>47</v>
      </c>
      <c r="W3774" s="102" t="s">
        <v>136</v>
      </c>
      <c r="X3774" s="102" t="s">
        <v>137</v>
      </c>
      <c r="Y3774" s="103" t="s">
        <v>138</v>
      </c>
      <c r="Z3774" s="103" t="s">
        <v>139</v>
      </c>
      <c r="AA3774" s="103" t="s">
        <v>47</v>
      </c>
      <c r="AB3774" s="103" t="s">
        <v>140</v>
      </c>
      <c r="AC3774" s="104" t="s">
        <v>141</v>
      </c>
    </row>
    <row r="3775" spans="1:29" ht="25.5" customHeight="1" x14ac:dyDescent="0.35">
      <c r="A3775" s="188"/>
      <c r="B3775" s="190"/>
      <c r="C3775" s="99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0"/>
      <c r="E3775" s="78" t="str">
        <f>IF(C3775="","",IFERROR(VLOOKUP(C3775,parametros!$A$11:$E$15,5,0),""))</f>
        <v/>
      </c>
      <c r="F3775" s="79" t="str">
        <f t="shared" si="292"/>
        <v/>
      </c>
      <c r="G3775" s="101"/>
      <c r="H3775" s="91">
        <f t="shared" si="293"/>
        <v>0</v>
      </c>
      <c r="I3775" s="91" t="str">
        <f t="shared" si="294"/>
        <v/>
      </c>
      <c r="J3775" s="91" t="str">
        <f t="shared" si="295"/>
        <v/>
      </c>
      <c r="K3775" s="92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2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58"/>
      <c r="U3775" s="217" t="str">
        <f t="shared" si="296"/>
        <v/>
      </c>
      <c r="V3775" s="215" t="s">
        <v>47</v>
      </c>
      <c r="W3775" s="102" t="s">
        <v>136</v>
      </c>
      <c r="X3775" s="102" t="s">
        <v>137</v>
      </c>
      <c r="Y3775" s="103" t="s">
        <v>138</v>
      </c>
      <c r="Z3775" s="103" t="s">
        <v>139</v>
      </c>
      <c r="AA3775" s="103" t="s">
        <v>47</v>
      </c>
      <c r="AB3775" s="103" t="s">
        <v>140</v>
      </c>
      <c r="AC3775" s="104" t="s">
        <v>141</v>
      </c>
    </row>
    <row r="3776" spans="1:29" ht="25.5" customHeight="1" x14ac:dyDescent="0.35">
      <c r="A3776" s="188"/>
      <c r="B3776" s="190"/>
      <c r="C3776" s="99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0"/>
      <c r="E3776" s="78" t="str">
        <f>IF(C3776="","",IFERROR(VLOOKUP(C3776,parametros!$A$11:$E$15,5,0),""))</f>
        <v/>
      </c>
      <c r="F3776" s="79" t="str">
        <f t="shared" si="292"/>
        <v/>
      </c>
      <c r="G3776" s="101"/>
      <c r="H3776" s="91">
        <f t="shared" si="293"/>
        <v>0</v>
      </c>
      <c r="I3776" s="91" t="str">
        <f t="shared" si="294"/>
        <v/>
      </c>
      <c r="J3776" s="91" t="str">
        <f t="shared" si="295"/>
        <v/>
      </c>
      <c r="K3776" s="92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2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58"/>
      <c r="U3776" s="217" t="str">
        <f t="shared" si="296"/>
        <v/>
      </c>
      <c r="V3776" s="215" t="s">
        <v>47</v>
      </c>
      <c r="W3776" s="102" t="s">
        <v>136</v>
      </c>
      <c r="X3776" s="102" t="s">
        <v>137</v>
      </c>
      <c r="Y3776" s="103" t="s">
        <v>138</v>
      </c>
      <c r="Z3776" s="103" t="s">
        <v>139</v>
      </c>
      <c r="AA3776" s="103" t="s">
        <v>47</v>
      </c>
      <c r="AB3776" s="103" t="s">
        <v>140</v>
      </c>
      <c r="AC3776" s="104" t="s">
        <v>141</v>
      </c>
    </row>
    <row r="3777" spans="1:29" ht="25.5" customHeight="1" x14ac:dyDescent="0.35">
      <c r="A3777" s="188"/>
      <c r="B3777" s="190"/>
      <c r="C3777" s="99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0"/>
      <c r="E3777" s="78" t="str">
        <f>IF(C3777="","",IFERROR(VLOOKUP(C3777,parametros!$A$11:$E$15,5,0),""))</f>
        <v/>
      </c>
      <c r="F3777" s="79" t="str">
        <f t="shared" si="292"/>
        <v/>
      </c>
      <c r="G3777" s="101"/>
      <c r="H3777" s="91">
        <f t="shared" si="293"/>
        <v>0</v>
      </c>
      <c r="I3777" s="91" t="str">
        <f t="shared" si="294"/>
        <v/>
      </c>
      <c r="J3777" s="91" t="str">
        <f t="shared" si="295"/>
        <v/>
      </c>
      <c r="K3777" s="92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2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58"/>
      <c r="U3777" s="217" t="str">
        <f t="shared" si="296"/>
        <v/>
      </c>
      <c r="V3777" s="215" t="s">
        <v>47</v>
      </c>
      <c r="W3777" s="102" t="s">
        <v>136</v>
      </c>
      <c r="X3777" s="102" t="s">
        <v>137</v>
      </c>
      <c r="Y3777" s="103" t="s">
        <v>138</v>
      </c>
      <c r="Z3777" s="103" t="s">
        <v>139</v>
      </c>
      <c r="AA3777" s="103" t="s">
        <v>47</v>
      </c>
      <c r="AB3777" s="103" t="s">
        <v>140</v>
      </c>
      <c r="AC3777" s="104" t="s">
        <v>141</v>
      </c>
    </row>
    <row r="3778" spans="1:29" ht="25.5" customHeight="1" x14ac:dyDescent="0.35">
      <c r="A3778" s="188"/>
      <c r="B3778" s="190"/>
      <c r="C3778" s="99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0"/>
      <c r="E3778" s="78" t="str">
        <f>IF(C3778="","",IFERROR(VLOOKUP(C3778,parametros!$A$11:$E$15,5,0),""))</f>
        <v/>
      </c>
      <c r="F3778" s="79" t="str">
        <f t="shared" ref="F3778:F3841" si="297">IF(OR(D3778="",E3778=""),"",ROUND(D3778*E3778,2))</f>
        <v/>
      </c>
      <c r="G3778" s="101"/>
      <c r="H3778" s="91">
        <f t="shared" ref="H3778:H3841" si="298">IF(G3778="Sim",IF(OR(F3778="",D3778="",L3778=""),"",IF(L3778="Sim",ROUND(F3778-D3778,2),0)),0)</f>
        <v>0</v>
      </c>
      <c r="I3778" s="91" t="str">
        <f t="shared" ref="I3778:I3841" si="299">IF(G3778="Sim",0,IF(OR(F3778="",L3778=""),"",F3778))</f>
        <v/>
      </c>
      <c r="J3778" s="91" t="str">
        <f t="shared" ref="J3778:J3841" si="300">IF(G3778="Sim",0,IF(OR(F3778="",D3778="",L3778=""),"",IF(L3778="Sim",ROUND(F3778-D3778,2),0)))</f>
        <v/>
      </c>
      <c r="K3778" s="92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2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58"/>
      <c r="U3778" s="217" t="str">
        <f t="shared" ref="U3778:U3841" si="301">IF(OR($D3778="",$H3778=""),"",ROUND($D3778+$H3778,2))</f>
        <v/>
      </c>
      <c r="V3778" s="215" t="s">
        <v>47</v>
      </c>
      <c r="W3778" s="102" t="s">
        <v>136</v>
      </c>
      <c r="X3778" s="102" t="s">
        <v>137</v>
      </c>
      <c r="Y3778" s="103" t="s">
        <v>138</v>
      </c>
      <c r="Z3778" s="103" t="s">
        <v>139</v>
      </c>
      <c r="AA3778" s="103" t="s">
        <v>47</v>
      </c>
      <c r="AB3778" s="103" t="s">
        <v>140</v>
      </c>
      <c r="AC3778" s="104" t="s">
        <v>141</v>
      </c>
    </row>
    <row r="3779" spans="1:29" ht="25.5" customHeight="1" x14ac:dyDescent="0.35">
      <c r="A3779" s="188"/>
      <c r="B3779" s="190"/>
      <c r="C3779" s="99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0"/>
      <c r="E3779" s="78" t="str">
        <f>IF(C3779="","",IFERROR(VLOOKUP(C3779,parametros!$A$11:$E$15,5,0),""))</f>
        <v/>
      </c>
      <c r="F3779" s="79" t="str">
        <f t="shared" si="297"/>
        <v/>
      </c>
      <c r="G3779" s="101"/>
      <c r="H3779" s="91">
        <f t="shared" si="298"/>
        <v>0</v>
      </c>
      <c r="I3779" s="91" t="str">
        <f t="shared" si="299"/>
        <v/>
      </c>
      <c r="J3779" s="91" t="str">
        <f t="shared" si="300"/>
        <v/>
      </c>
      <c r="K3779" s="92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2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58"/>
      <c r="U3779" s="217" t="str">
        <f t="shared" si="301"/>
        <v/>
      </c>
      <c r="V3779" s="215" t="s">
        <v>47</v>
      </c>
      <c r="W3779" s="102" t="s">
        <v>136</v>
      </c>
      <c r="X3779" s="102" t="s">
        <v>137</v>
      </c>
      <c r="Y3779" s="103" t="s">
        <v>138</v>
      </c>
      <c r="Z3779" s="103" t="s">
        <v>139</v>
      </c>
      <c r="AA3779" s="103" t="s">
        <v>47</v>
      </c>
      <c r="AB3779" s="103" t="s">
        <v>140</v>
      </c>
      <c r="AC3779" s="104" t="s">
        <v>141</v>
      </c>
    </row>
    <row r="3780" spans="1:29" ht="25.5" customHeight="1" x14ac:dyDescent="0.35">
      <c r="A3780" s="188"/>
      <c r="B3780" s="190"/>
      <c r="C3780" s="99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0"/>
      <c r="E3780" s="78" t="str">
        <f>IF(C3780="","",IFERROR(VLOOKUP(C3780,parametros!$A$11:$E$15,5,0),""))</f>
        <v/>
      </c>
      <c r="F3780" s="79" t="str">
        <f t="shared" si="297"/>
        <v/>
      </c>
      <c r="G3780" s="101"/>
      <c r="H3780" s="91">
        <f t="shared" si="298"/>
        <v>0</v>
      </c>
      <c r="I3780" s="91" t="str">
        <f t="shared" si="299"/>
        <v/>
      </c>
      <c r="J3780" s="91" t="str">
        <f t="shared" si="300"/>
        <v/>
      </c>
      <c r="K3780" s="92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2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58"/>
      <c r="U3780" s="217" t="str">
        <f t="shared" si="301"/>
        <v/>
      </c>
      <c r="V3780" s="215" t="s">
        <v>47</v>
      </c>
      <c r="W3780" s="102" t="s">
        <v>136</v>
      </c>
      <c r="X3780" s="102" t="s">
        <v>137</v>
      </c>
      <c r="Y3780" s="103" t="s">
        <v>138</v>
      </c>
      <c r="Z3780" s="103" t="s">
        <v>139</v>
      </c>
      <c r="AA3780" s="103" t="s">
        <v>47</v>
      </c>
      <c r="AB3780" s="103" t="s">
        <v>140</v>
      </c>
      <c r="AC3780" s="104" t="s">
        <v>141</v>
      </c>
    </row>
    <row r="3781" spans="1:29" ht="25.5" customHeight="1" x14ac:dyDescent="0.35">
      <c r="A3781" s="188"/>
      <c r="B3781" s="190"/>
      <c r="C3781" s="99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0"/>
      <c r="E3781" s="78" t="str">
        <f>IF(C3781="","",IFERROR(VLOOKUP(C3781,parametros!$A$11:$E$15,5,0),""))</f>
        <v/>
      </c>
      <c r="F3781" s="79" t="str">
        <f t="shared" si="297"/>
        <v/>
      </c>
      <c r="G3781" s="101"/>
      <c r="H3781" s="91">
        <f t="shared" si="298"/>
        <v>0</v>
      </c>
      <c r="I3781" s="91" t="str">
        <f t="shared" si="299"/>
        <v/>
      </c>
      <c r="J3781" s="91" t="str">
        <f t="shared" si="300"/>
        <v/>
      </c>
      <c r="K3781" s="92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2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58"/>
      <c r="U3781" s="217" t="str">
        <f t="shared" si="301"/>
        <v/>
      </c>
      <c r="V3781" s="215" t="s">
        <v>47</v>
      </c>
      <c r="W3781" s="102" t="s">
        <v>136</v>
      </c>
      <c r="X3781" s="102" t="s">
        <v>137</v>
      </c>
      <c r="Y3781" s="103" t="s">
        <v>138</v>
      </c>
      <c r="Z3781" s="103" t="s">
        <v>139</v>
      </c>
      <c r="AA3781" s="103" t="s">
        <v>47</v>
      </c>
      <c r="AB3781" s="103" t="s">
        <v>140</v>
      </c>
      <c r="AC3781" s="104" t="s">
        <v>141</v>
      </c>
    </row>
    <row r="3782" spans="1:29" ht="25.5" customHeight="1" x14ac:dyDescent="0.35">
      <c r="A3782" s="188"/>
      <c r="B3782" s="190"/>
      <c r="C3782" s="99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0"/>
      <c r="E3782" s="78" t="str">
        <f>IF(C3782="","",IFERROR(VLOOKUP(C3782,parametros!$A$11:$E$15,5,0),""))</f>
        <v/>
      </c>
      <c r="F3782" s="79" t="str">
        <f t="shared" si="297"/>
        <v/>
      </c>
      <c r="G3782" s="101"/>
      <c r="H3782" s="91">
        <f t="shared" si="298"/>
        <v>0</v>
      </c>
      <c r="I3782" s="91" t="str">
        <f t="shared" si="299"/>
        <v/>
      </c>
      <c r="J3782" s="91" t="str">
        <f t="shared" si="300"/>
        <v/>
      </c>
      <c r="K3782" s="92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2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58"/>
      <c r="U3782" s="217" t="str">
        <f t="shared" si="301"/>
        <v/>
      </c>
      <c r="V3782" s="215" t="s">
        <v>47</v>
      </c>
      <c r="W3782" s="102" t="s">
        <v>136</v>
      </c>
      <c r="X3782" s="102" t="s">
        <v>137</v>
      </c>
      <c r="Y3782" s="103" t="s">
        <v>138</v>
      </c>
      <c r="Z3782" s="103" t="s">
        <v>139</v>
      </c>
      <c r="AA3782" s="103" t="s">
        <v>47</v>
      </c>
      <c r="AB3782" s="103" t="s">
        <v>140</v>
      </c>
      <c r="AC3782" s="104" t="s">
        <v>141</v>
      </c>
    </row>
    <row r="3783" spans="1:29" ht="25.5" customHeight="1" x14ac:dyDescent="0.35">
      <c r="A3783" s="188"/>
      <c r="B3783" s="190"/>
      <c r="C3783" s="99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0"/>
      <c r="E3783" s="78" t="str">
        <f>IF(C3783="","",IFERROR(VLOOKUP(C3783,parametros!$A$11:$E$15,5,0),""))</f>
        <v/>
      </c>
      <c r="F3783" s="79" t="str">
        <f t="shared" si="297"/>
        <v/>
      </c>
      <c r="G3783" s="101"/>
      <c r="H3783" s="91">
        <f t="shared" si="298"/>
        <v>0</v>
      </c>
      <c r="I3783" s="91" t="str">
        <f t="shared" si="299"/>
        <v/>
      </c>
      <c r="J3783" s="91" t="str">
        <f t="shared" si="300"/>
        <v/>
      </c>
      <c r="K3783" s="92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2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58"/>
      <c r="U3783" s="217" t="str">
        <f t="shared" si="301"/>
        <v/>
      </c>
      <c r="V3783" s="215" t="s">
        <v>47</v>
      </c>
      <c r="W3783" s="102" t="s">
        <v>136</v>
      </c>
      <c r="X3783" s="102" t="s">
        <v>137</v>
      </c>
      <c r="Y3783" s="103" t="s">
        <v>138</v>
      </c>
      <c r="Z3783" s="103" t="s">
        <v>139</v>
      </c>
      <c r="AA3783" s="103" t="s">
        <v>47</v>
      </c>
      <c r="AB3783" s="103" t="s">
        <v>140</v>
      </c>
      <c r="AC3783" s="104" t="s">
        <v>141</v>
      </c>
    </row>
    <row r="3784" spans="1:29" ht="25.5" customHeight="1" x14ac:dyDescent="0.35">
      <c r="A3784" s="188"/>
      <c r="B3784" s="190"/>
      <c r="C3784" s="99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0"/>
      <c r="E3784" s="78" t="str">
        <f>IF(C3784="","",IFERROR(VLOOKUP(C3784,parametros!$A$11:$E$15,5,0),""))</f>
        <v/>
      </c>
      <c r="F3784" s="79" t="str">
        <f t="shared" si="297"/>
        <v/>
      </c>
      <c r="G3784" s="101"/>
      <c r="H3784" s="91">
        <f t="shared" si="298"/>
        <v>0</v>
      </c>
      <c r="I3784" s="91" t="str">
        <f t="shared" si="299"/>
        <v/>
      </c>
      <c r="J3784" s="91" t="str">
        <f t="shared" si="300"/>
        <v/>
      </c>
      <c r="K3784" s="92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2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58"/>
      <c r="U3784" s="217" t="str">
        <f t="shared" si="301"/>
        <v/>
      </c>
      <c r="V3784" s="215" t="s">
        <v>47</v>
      </c>
      <c r="W3784" s="102" t="s">
        <v>136</v>
      </c>
      <c r="X3784" s="102" t="s">
        <v>137</v>
      </c>
      <c r="Y3784" s="103" t="s">
        <v>138</v>
      </c>
      <c r="Z3784" s="103" t="s">
        <v>139</v>
      </c>
      <c r="AA3784" s="103" t="s">
        <v>47</v>
      </c>
      <c r="AB3784" s="103" t="s">
        <v>140</v>
      </c>
      <c r="AC3784" s="104" t="s">
        <v>141</v>
      </c>
    </row>
    <row r="3785" spans="1:29" ht="25.5" customHeight="1" x14ac:dyDescent="0.35">
      <c r="A3785" s="188"/>
      <c r="B3785" s="190"/>
      <c r="C3785" s="99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0"/>
      <c r="E3785" s="78" t="str">
        <f>IF(C3785="","",IFERROR(VLOOKUP(C3785,parametros!$A$11:$E$15,5,0),""))</f>
        <v/>
      </c>
      <c r="F3785" s="79" t="str">
        <f t="shared" si="297"/>
        <v/>
      </c>
      <c r="G3785" s="101"/>
      <c r="H3785" s="91">
        <f t="shared" si="298"/>
        <v>0</v>
      </c>
      <c r="I3785" s="91" t="str">
        <f t="shared" si="299"/>
        <v/>
      </c>
      <c r="J3785" s="91" t="str">
        <f t="shared" si="300"/>
        <v/>
      </c>
      <c r="K3785" s="92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2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58"/>
      <c r="U3785" s="217" t="str">
        <f t="shared" si="301"/>
        <v/>
      </c>
      <c r="V3785" s="215" t="s">
        <v>47</v>
      </c>
      <c r="W3785" s="102" t="s">
        <v>136</v>
      </c>
      <c r="X3785" s="102" t="s">
        <v>137</v>
      </c>
      <c r="Y3785" s="103" t="s">
        <v>138</v>
      </c>
      <c r="Z3785" s="103" t="s">
        <v>139</v>
      </c>
      <c r="AA3785" s="103" t="s">
        <v>47</v>
      </c>
      <c r="AB3785" s="103" t="s">
        <v>140</v>
      </c>
      <c r="AC3785" s="104" t="s">
        <v>141</v>
      </c>
    </row>
    <row r="3786" spans="1:29" ht="25.5" customHeight="1" x14ac:dyDescent="0.35">
      <c r="A3786" s="188"/>
      <c r="B3786" s="190"/>
      <c r="C3786" s="99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0"/>
      <c r="E3786" s="78" t="str">
        <f>IF(C3786="","",IFERROR(VLOOKUP(C3786,parametros!$A$11:$E$15,5,0),""))</f>
        <v/>
      </c>
      <c r="F3786" s="79" t="str">
        <f t="shared" si="297"/>
        <v/>
      </c>
      <c r="G3786" s="101"/>
      <c r="H3786" s="91">
        <f t="shared" si="298"/>
        <v>0</v>
      </c>
      <c r="I3786" s="91" t="str">
        <f t="shared" si="299"/>
        <v/>
      </c>
      <c r="J3786" s="91" t="str">
        <f t="shared" si="300"/>
        <v/>
      </c>
      <c r="K3786" s="92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2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58"/>
      <c r="U3786" s="217" t="str">
        <f t="shared" si="301"/>
        <v/>
      </c>
      <c r="V3786" s="215" t="s">
        <v>47</v>
      </c>
      <c r="W3786" s="102" t="s">
        <v>136</v>
      </c>
      <c r="X3786" s="102" t="s">
        <v>137</v>
      </c>
      <c r="Y3786" s="103" t="s">
        <v>138</v>
      </c>
      <c r="Z3786" s="103" t="s">
        <v>139</v>
      </c>
      <c r="AA3786" s="103" t="s">
        <v>47</v>
      </c>
      <c r="AB3786" s="103" t="s">
        <v>140</v>
      </c>
      <c r="AC3786" s="104" t="s">
        <v>141</v>
      </c>
    </row>
    <row r="3787" spans="1:29" ht="25.5" customHeight="1" x14ac:dyDescent="0.35">
      <c r="A3787" s="188"/>
      <c r="B3787" s="190"/>
      <c r="C3787" s="99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0"/>
      <c r="E3787" s="78" t="str">
        <f>IF(C3787="","",IFERROR(VLOOKUP(C3787,parametros!$A$11:$E$15,5,0),""))</f>
        <v/>
      </c>
      <c r="F3787" s="79" t="str">
        <f t="shared" si="297"/>
        <v/>
      </c>
      <c r="G3787" s="101"/>
      <c r="H3787" s="91">
        <f t="shared" si="298"/>
        <v>0</v>
      </c>
      <c r="I3787" s="91" t="str">
        <f t="shared" si="299"/>
        <v/>
      </c>
      <c r="J3787" s="91" t="str">
        <f t="shared" si="300"/>
        <v/>
      </c>
      <c r="K3787" s="92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2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58"/>
      <c r="U3787" s="217" t="str">
        <f t="shared" si="301"/>
        <v/>
      </c>
      <c r="V3787" s="215" t="s">
        <v>47</v>
      </c>
      <c r="W3787" s="102" t="s">
        <v>136</v>
      </c>
      <c r="X3787" s="102" t="s">
        <v>137</v>
      </c>
      <c r="Y3787" s="103" t="s">
        <v>138</v>
      </c>
      <c r="Z3787" s="103" t="s">
        <v>139</v>
      </c>
      <c r="AA3787" s="103" t="s">
        <v>47</v>
      </c>
      <c r="AB3787" s="103" t="s">
        <v>140</v>
      </c>
      <c r="AC3787" s="104" t="s">
        <v>141</v>
      </c>
    </row>
    <row r="3788" spans="1:29" ht="25.5" customHeight="1" x14ac:dyDescent="0.35">
      <c r="A3788" s="188"/>
      <c r="B3788" s="190"/>
      <c r="C3788" s="99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0"/>
      <c r="E3788" s="78" t="str">
        <f>IF(C3788="","",IFERROR(VLOOKUP(C3788,parametros!$A$11:$E$15,5,0),""))</f>
        <v/>
      </c>
      <c r="F3788" s="79" t="str">
        <f t="shared" si="297"/>
        <v/>
      </c>
      <c r="G3788" s="101"/>
      <c r="H3788" s="91">
        <f t="shared" si="298"/>
        <v>0</v>
      </c>
      <c r="I3788" s="91" t="str">
        <f t="shared" si="299"/>
        <v/>
      </c>
      <c r="J3788" s="91" t="str">
        <f t="shared" si="300"/>
        <v/>
      </c>
      <c r="K3788" s="92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2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58"/>
      <c r="U3788" s="217" t="str">
        <f t="shared" si="301"/>
        <v/>
      </c>
      <c r="V3788" s="215" t="s">
        <v>47</v>
      </c>
      <c r="W3788" s="102" t="s">
        <v>136</v>
      </c>
      <c r="X3788" s="102" t="s">
        <v>137</v>
      </c>
      <c r="Y3788" s="103" t="s">
        <v>138</v>
      </c>
      <c r="Z3788" s="103" t="s">
        <v>139</v>
      </c>
      <c r="AA3788" s="103" t="s">
        <v>47</v>
      </c>
      <c r="AB3788" s="103" t="s">
        <v>140</v>
      </c>
      <c r="AC3788" s="104" t="s">
        <v>141</v>
      </c>
    </row>
    <row r="3789" spans="1:29" ht="25.5" customHeight="1" x14ac:dyDescent="0.35">
      <c r="A3789" s="188"/>
      <c r="B3789" s="190"/>
      <c r="C3789" s="99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0"/>
      <c r="E3789" s="78" t="str">
        <f>IF(C3789="","",IFERROR(VLOOKUP(C3789,parametros!$A$11:$E$15,5,0),""))</f>
        <v/>
      </c>
      <c r="F3789" s="79" t="str">
        <f t="shared" si="297"/>
        <v/>
      </c>
      <c r="G3789" s="101"/>
      <c r="H3789" s="91">
        <f t="shared" si="298"/>
        <v>0</v>
      </c>
      <c r="I3789" s="91" t="str">
        <f t="shared" si="299"/>
        <v/>
      </c>
      <c r="J3789" s="91" t="str">
        <f t="shared" si="300"/>
        <v/>
      </c>
      <c r="K3789" s="92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2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58"/>
      <c r="U3789" s="217" t="str">
        <f t="shared" si="301"/>
        <v/>
      </c>
      <c r="V3789" s="215" t="s">
        <v>47</v>
      </c>
      <c r="W3789" s="102" t="s">
        <v>136</v>
      </c>
      <c r="X3789" s="102" t="s">
        <v>137</v>
      </c>
      <c r="Y3789" s="103" t="s">
        <v>138</v>
      </c>
      <c r="Z3789" s="103" t="s">
        <v>139</v>
      </c>
      <c r="AA3789" s="103" t="s">
        <v>47</v>
      </c>
      <c r="AB3789" s="103" t="s">
        <v>140</v>
      </c>
      <c r="AC3789" s="104" t="s">
        <v>141</v>
      </c>
    </row>
    <row r="3790" spans="1:29" ht="25.5" customHeight="1" x14ac:dyDescent="0.35">
      <c r="A3790" s="188"/>
      <c r="B3790" s="190"/>
      <c r="C3790" s="99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0"/>
      <c r="E3790" s="78" t="str">
        <f>IF(C3790="","",IFERROR(VLOOKUP(C3790,parametros!$A$11:$E$15,5,0),""))</f>
        <v/>
      </c>
      <c r="F3790" s="79" t="str">
        <f t="shared" si="297"/>
        <v/>
      </c>
      <c r="G3790" s="101"/>
      <c r="H3790" s="91">
        <f t="shared" si="298"/>
        <v>0</v>
      </c>
      <c r="I3790" s="91" t="str">
        <f t="shared" si="299"/>
        <v/>
      </c>
      <c r="J3790" s="91" t="str">
        <f t="shared" si="300"/>
        <v/>
      </c>
      <c r="K3790" s="92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2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58"/>
      <c r="U3790" s="217" t="str">
        <f t="shared" si="301"/>
        <v/>
      </c>
      <c r="V3790" s="215" t="s">
        <v>47</v>
      </c>
      <c r="W3790" s="102" t="s">
        <v>136</v>
      </c>
      <c r="X3790" s="102" t="s">
        <v>137</v>
      </c>
      <c r="Y3790" s="103" t="s">
        <v>138</v>
      </c>
      <c r="Z3790" s="103" t="s">
        <v>139</v>
      </c>
      <c r="AA3790" s="103" t="s">
        <v>47</v>
      </c>
      <c r="AB3790" s="103" t="s">
        <v>140</v>
      </c>
      <c r="AC3790" s="104" t="s">
        <v>141</v>
      </c>
    </row>
    <row r="3791" spans="1:29" ht="25.5" customHeight="1" x14ac:dyDescent="0.35">
      <c r="A3791" s="188"/>
      <c r="B3791" s="190"/>
      <c r="C3791" s="99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0"/>
      <c r="E3791" s="78" t="str">
        <f>IF(C3791="","",IFERROR(VLOOKUP(C3791,parametros!$A$11:$E$15,5,0),""))</f>
        <v/>
      </c>
      <c r="F3791" s="79" t="str">
        <f t="shared" si="297"/>
        <v/>
      </c>
      <c r="G3791" s="101"/>
      <c r="H3791" s="91">
        <f t="shared" si="298"/>
        <v>0</v>
      </c>
      <c r="I3791" s="91" t="str">
        <f t="shared" si="299"/>
        <v/>
      </c>
      <c r="J3791" s="91" t="str">
        <f t="shared" si="300"/>
        <v/>
      </c>
      <c r="K3791" s="92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2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58"/>
      <c r="U3791" s="217" t="str">
        <f t="shared" si="301"/>
        <v/>
      </c>
      <c r="V3791" s="215" t="s">
        <v>47</v>
      </c>
      <c r="W3791" s="102" t="s">
        <v>136</v>
      </c>
      <c r="X3791" s="102" t="s">
        <v>137</v>
      </c>
      <c r="Y3791" s="103" t="s">
        <v>138</v>
      </c>
      <c r="Z3791" s="103" t="s">
        <v>139</v>
      </c>
      <c r="AA3791" s="103" t="s">
        <v>47</v>
      </c>
      <c r="AB3791" s="103" t="s">
        <v>140</v>
      </c>
      <c r="AC3791" s="104" t="s">
        <v>141</v>
      </c>
    </row>
    <row r="3792" spans="1:29" ht="25.5" customHeight="1" x14ac:dyDescent="0.35">
      <c r="A3792" s="188"/>
      <c r="B3792" s="190"/>
      <c r="C3792" s="99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0"/>
      <c r="E3792" s="78" t="str">
        <f>IF(C3792="","",IFERROR(VLOOKUP(C3792,parametros!$A$11:$E$15,5,0),""))</f>
        <v/>
      </c>
      <c r="F3792" s="79" t="str">
        <f t="shared" si="297"/>
        <v/>
      </c>
      <c r="G3792" s="101"/>
      <c r="H3792" s="91">
        <f t="shared" si="298"/>
        <v>0</v>
      </c>
      <c r="I3792" s="91" t="str">
        <f t="shared" si="299"/>
        <v/>
      </c>
      <c r="J3792" s="91" t="str">
        <f t="shared" si="300"/>
        <v/>
      </c>
      <c r="K3792" s="92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2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58"/>
      <c r="U3792" s="217" t="str">
        <f t="shared" si="301"/>
        <v/>
      </c>
      <c r="V3792" s="215" t="s">
        <v>47</v>
      </c>
      <c r="W3792" s="102" t="s">
        <v>136</v>
      </c>
      <c r="X3792" s="102" t="s">
        <v>137</v>
      </c>
      <c r="Y3792" s="103" t="s">
        <v>138</v>
      </c>
      <c r="Z3792" s="103" t="s">
        <v>139</v>
      </c>
      <c r="AA3792" s="103" t="s">
        <v>47</v>
      </c>
      <c r="AB3792" s="103" t="s">
        <v>140</v>
      </c>
      <c r="AC3792" s="104" t="s">
        <v>141</v>
      </c>
    </row>
    <row r="3793" spans="1:29" ht="25.5" customHeight="1" x14ac:dyDescent="0.35">
      <c r="A3793" s="188"/>
      <c r="B3793" s="190"/>
      <c r="C3793" s="99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0"/>
      <c r="E3793" s="78" t="str">
        <f>IF(C3793="","",IFERROR(VLOOKUP(C3793,parametros!$A$11:$E$15,5,0),""))</f>
        <v/>
      </c>
      <c r="F3793" s="79" t="str">
        <f t="shared" si="297"/>
        <v/>
      </c>
      <c r="G3793" s="101"/>
      <c r="H3793" s="91">
        <f t="shared" si="298"/>
        <v>0</v>
      </c>
      <c r="I3793" s="91" t="str">
        <f t="shared" si="299"/>
        <v/>
      </c>
      <c r="J3793" s="91" t="str">
        <f t="shared" si="300"/>
        <v/>
      </c>
      <c r="K3793" s="92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2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58"/>
      <c r="U3793" s="217" t="str">
        <f t="shared" si="301"/>
        <v/>
      </c>
      <c r="V3793" s="215" t="s">
        <v>47</v>
      </c>
      <c r="W3793" s="102" t="s">
        <v>136</v>
      </c>
      <c r="X3793" s="102" t="s">
        <v>137</v>
      </c>
      <c r="Y3793" s="103" t="s">
        <v>138</v>
      </c>
      <c r="Z3793" s="103" t="s">
        <v>139</v>
      </c>
      <c r="AA3793" s="103" t="s">
        <v>47</v>
      </c>
      <c r="AB3793" s="103" t="s">
        <v>140</v>
      </c>
      <c r="AC3793" s="104" t="s">
        <v>141</v>
      </c>
    </row>
    <row r="3794" spans="1:29" ht="25.5" customHeight="1" x14ac:dyDescent="0.35">
      <c r="A3794" s="188"/>
      <c r="B3794" s="190"/>
      <c r="C3794" s="99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0"/>
      <c r="E3794" s="78" t="str">
        <f>IF(C3794="","",IFERROR(VLOOKUP(C3794,parametros!$A$11:$E$15,5,0),""))</f>
        <v/>
      </c>
      <c r="F3794" s="79" t="str">
        <f t="shared" si="297"/>
        <v/>
      </c>
      <c r="G3794" s="101"/>
      <c r="H3794" s="91">
        <f t="shared" si="298"/>
        <v>0</v>
      </c>
      <c r="I3794" s="91" t="str">
        <f t="shared" si="299"/>
        <v/>
      </c>
      <c r="J3794" s="91" t="str">
        <f t="shared" si="300"/>
        <v/>
      </c>
      <c r="K3794" s="92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2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58"/>
      <c r="U3794" s="217" t="str">
        <f t="shared" si="301"/>
        <v/>
      </c>
      <c r="V3794" s="215" t="s">
        <v>47</v>
      </c>
      <c r="W3794" s="102" t="s">
        <v>136</v>
      </c>
      <c r="X3794" s="102" t="s">
        <v>137</v>
      </c>
      <c r="Y3794" s="103" t="s">
        <v>138</v>
      </c>
      <c r="Z3794" s="103" t="s">
        <v>139</v>
      </c>
      <c r="AA3794" s="103" t="s">
        <v>47</v>
      </c>
      <c r="AB3794" s="103" t="s">
        <v>140</v>
      </c>
      <c r="AC3794" s="104" t="s">
        <v>141</v>
      </c>
    </row>
    <row r="3795" spans="1:29" ht="25.5" customHeight="1" x14ac:dyDescent="0.35">
      <c r="A3795" s="188"/>
      <c r="B3795" s="190"/>
      <c r="C3795" s="99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0"/>
      <c r="E3795" s="78" t="str">
        <f>IF(C3795="","",IFERROR(VLOOKUP(C3795,parametros!$A$11:$E$15,5,0),""))</f>
        <v/>
      </c>
      <c r="F3795" s="79" t="str">
        <f t="shared" si="297"/>
        <v/>
      </c>
      <c r="G3795" s="101"/>
      <c r="H3795" s="91">
        <f t="shared" si="298"/>
        <v>0</v>
      </c>
      <c r="I3795" s="91" t="str">
        <f t="shared" si="299"/>
        <v/>
      </c>
      <c r="J3795" s="91" t="str">
        <f t="shared" si="300"/>
        <v/>
      </c>
      <c r="K3795" s="92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2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58"/>
      <c r="U3795" s="217" t="str">
        <f t="shared" si="301"/>
        <v/>
      </c>
      <c r="V3795" s="215" t="s">
        <v>47</v>
      </c>
      <c r="W3795" s="102" t="s">
        <v>136</v>
      </c>
      <c r="X3795" s="102" t="s">
        <v>137</v>
      </c>
      <c r="Y3795" s="103" t="s">
        <v>138</v>
      </c>
      <c r="Z3795" s="103" t="s">
        <v>139</v>
      </c>
      <c r="AA3795" s="103" t="s">
        <v>47</v>
      </c>
      <c r="AB3795" s="103" t="s">
        <v>140</v>
      </c>
      <c r="AC3795" s="104" t="s">
        <v>141</v>
      </c>
    </row>
    <row r="3796" spans="1:29" ht="25.5" customHeight="1" x14ac:dyDescent="0.35">
      <c r="A3796" s="188"/>
      <c r="B3796" s="190"/>
      <c r="C3796" s="99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0"/>
      <c r="E3796" s="78" t="str">
        <f>IF(C3796="","",IFERROR(VLOOKUP(C3796,parametros!$A$11:$E$15,5,0),""))</f>
        <v/>
      </c>
      <c r="F3796" s="79" t="str">
        <f t="shared" si="297"/>
        <v/>
      </c>
      <c r="G3796" s="101"/>
      <c r="H3796" s="91">
        <f t="shared" si="298"/>
        <v>0</v>
      </c>
      <c r="I3796" s="91" t="str">
        <f t="shared" si="299"/>
        <v/>
      </c>
      <c r="J3796" s="91" t="str">
        <f t="shared" si="300"/>
        <v/>
      </c>
      <c r="K3796" s="92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2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58"/>
      <c r="U3796" s="217" t="str">
        <f t="shared" si="301"/>
        <v/>
      </c>
      <c r="V3796" s="215" t="s">
        <v>47</v>
      </c>
      <c r="W3796" s="102" t="s">
        <v>136</v>
      </c>
      <c r="X3796" s="102" t="s">
        <v>137</v>
      </c>
      <c r="Y3796" s="103" t="s">
        <v>138</v>
      </c>
      <c r="Z3796" s="103" t="s">
        <v>139</v>
      </c>
      <c r="AA3796" s="103" t="s">
        <v>47</v>
      </c>
      <c r="AB3796" s="103" t="s">
        <v>140</v>
      </c>
      <c r="AC3796" s="104" t="s">
        <v>141</v>
      </c>
    </row>
    <row r="3797" spans="1:29" ht="25.5" customHeight="1" x14ac:dyDescent="0.35">
      <c r="A3797" s="188"/>
      <c r="B3797" s="190"/>
      <c r="C3797" s="99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0"/>
      <c r="E3797" s="78" t="str">
        <f>IF(C3797="","",IFERROR(VLOOKUP(C3797,parametros!$A$11:$E$15,5,0),""))</f>
        <v/>
      </c>
      <c r="F3797" s="79" t="str">
        <f t="shared" si="297"/>
        <v/>
      </c>
      <c r="G3797" s="101"/>
      <c r="H3797" s="91">
        <f t="shared" si="298"/>
        <v>0</v>
      </c>
      <c r="I3797" s="91" t="str">
        <f t="shared" si="299"/>
        <v/>
      </c>
      <c r="J3797" s="91" t="str">
        <f t="shared" si="300"/>
        <v/>
      </c>
      <c r="K3797" s="92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2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58"/>
      <c r="U3797" s="217" t="str">
        <f t="shared" si="301"/>
        <v/>
      </c>
      <c r="V3797" s="215" t="s">
        <v>47</v>
      </c>
      <c r="W3797" s="102" t="s">
        <v>136</v>
      </c>
      <c r="X3797" s="102" t="s">
        <v>137</v>
      </c>
      <c r="Y3797" s="103" t="s">
        <v>138</v>
      </c>
      <c r="Z3797" s="103" t="s">
        <v>139</v>
      </c>
      <c r="AA3797" s="103" t="s">
        <v>47</v>
      </c>
      <c r="AB3797" s="103" t="s">
        <v>140</v>
      </c>
      <c r="AC3797" s="104" t="s">
        <v>141</v>
      </c>
    </row>
    <row r="3798" spans="1:29" ht="25.5" customHeight="1" x14ac:dyDescent="0.35">
      <c r="A3798" s="188"/>
      <c r="B3798" s="190"/>
      <c r="C3798" s="99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0"/>
      <c r="E3798" s="78" t="str">
        <f>IF(C3798="","",IFERROR(VLOOKUP(C3798,parametros!$A$11:$E$15,5,0),""))</f>
        <v/>
      </c>
      <c r="F3798" s="79" t="str">
        <f t="shared" si="297"/>
        <v/>
      </c>
      <c r="G3798" s="101"/>
      <c r="H3798" s="91">
        <f t="shared" si="298"/>
        <v>0</v>
      </c>
      <c r="I3798" s="91" t="str">
        <f t="shared" si="299"/>
        <v/>
      </c>
      <c r="J3798" s="91" t="str">
        <f t="shared" si="300"/>
        <v/>
      </c>
      <c r="K3798" s="92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2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58"/>
      <c r="U3798" s="217" t="str">
        <f t="shared" si="301"/>
        <v/>
      </c>
      <c r="V3798" s="215" t="s">
        <v>47</v>
      </c>
      <c r="W3798" s="102" t="s">
        <v>136</v>
      </c>
      <c r="X3798" s="102" t="s">
        <v>137</v>
      </c>
      <c r="Y3798" s="103" t="s">
        <v>138</v>
      </c>
      <c r="Z3798" s="103" t="s">
        <v>139</v>
      </c>
      <c r="AA3798" s="103" t="s">
        <v>47</v>
      </c>
      <c r="AB3798" s="103" t="s">
        <v>140</v>
      </c>
      <c r="AC3798" s="104" t="s">
        <v>141</v>
      </c>
    </row>
    <row r="3799" spans="1:29" ht="25.5" customHeight="1" x14ac:dyDescent="0.35">
      <c r="A3799" s="188"/>
      <c r="B3799" s="190"/>
      <c r="C3799" s="99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0"/>
      <c r="E3799" s="78" t="str">
        <f>IF(C3799="","",IFERROR(VLOOKUP(C3799,parametros!$A$11:$E$15,5,0),""))</f>
        <v/>
      </c>
      <c r="F3799" s="79" t="str">
        <f t="shared" si="297"/>
        <v/>
      </c>
      <c r="G3799" s="101"/>
      <c r="H3799" s="91">
        <f t="shared" si="298"/>
        <v>0</v>
      </c>
      <c r="I3799" s="91" t="str">
        <f t="shared" si="299"/>
        <v/>
      </c>
      <c r="J3799" s="91" t="str">
        <f t="shared" si="300"/>
        <v/>
      </c>
      <c r="K3799" s="92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2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58"/>
      <c r="U3799" s="217" t="str">
        <f t="shared" si="301"/>
        <v/>
      </c>
      <c r="V3799" s="215" t="s">
        <v>47</v>
      </c>
      <c r="W3799" s="102" t="s">
        <v>136</v>
      </c>
      <c r="X3799" s="102" t="s">
        <v>137</v>
      </c>
      <c r="Y3799" s="103" t="s">
        <v>138</v>
      </c>
      <c r="Z3799" s="103" t="s">
        <v>139</v>
      </c>
      <c r="AA3799" s="103" t="s">
        <v>47</v>
      </c>
      <c r="AB3799" s="103" t="s">
        <v>140</v>
      </c>
      <c r="AC3799" s="104" t="s">
        <v>141</v>
      </c>
    </row>
    <row r="3800" spans="1:29" ht="25.5" customHeight="1" x14ac:dyDescent="0.35">
      <c r="A3800" s="188"/>
      <c r="B3800" s="190"/>
      <c r="C3800" s="99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0"/>
      <c r="E3800" s="78" t="str">
        <f>IF(C3800="","",IFERROR(VLOOKUP(C3800,parametros!$A$11:$E$15,5,0),""))</f>
        <v/>
      </c>
      <c r="F3800" s="79" t="str">
        <f t="shared" si="297"/>
        <v/>
      </c>
      <c r="G3800" s="101"/>
      <c r="H3800" s="91">
        <f t="shared" si="298"/>
        <v>0</v>
      </c>
      <c r="I3800" s="91" t="str">
        <f t="shared" si="299"/>
        <v/>
      </c>
      <c r="J3800" s="91" t="str">
        <f t="shared" si="300"/>
        <v/>
      </c>
      <c r="K3800" s="92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2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58"/>
      <c r="U3800" s="217" t="str">
        <f t="shared" si="301"/>
        <v/>
      </c>
      <c r="V3800" s="215" t="s">
        <v>47</v>
      </c>
      <c r="W3800" s="102" t="s">
        <v>136</v>
      </c>
      <c r="X3800" s="102" t="s">
        <v>137</v>
      </c>
      <c r="Y3800" s="103" t="s">
        <v>138</v>
      </c>
      <c r="Z3800" s="103" t="s">
        <v>139</v>
      </c>
      <c r="AA3800" s="103" t="s">
        <v>47</v>
      </c>
      <c r="AB3800" s="103" t="s">
        <v>140</v>
      </c>
      <c r="AC3800" s="104" t="s">
        <v>141</v>
      </c>
    </row>
    <row r="3801" spans="1:29" ht="25.5" customHeight="1" x14ac:dyDescent="0.35">
      <c r="A3801" s="188"/>
      <c r="B3801" s="190"/>
      <c r="C3801" s="99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0"/>
      <c r="E3801" s="78" t="str">
        <f>IF(C3801="","",IFERROR(VLOOKUP(C3801,parametros!$A$11:$E$15,5,0),""))</f>
        <v/>
      </c>
      <c r="F3801" s="79" t="str">
        <f t="shared" si="297"/>
        <v/>
      </c>
      <c r="G3801" s="101"/>
      <c r="H3801" s="91">
        <f t="shared" si="298"/>
        <v>0</v>
      </c>
      <c r="I3801" s="91" t="str">
        <f t="shared" si="299"/>
        <v/>
      </c>
      <c r="J3801" s="91" t="str">
        <f t="shared" si="300"/>
        <v/>
      </c>
      <c r="K3801" s="92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2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58"/>
      <c r="U3801" s="217" t="str">
        <f t="shared" si="301"/>
        <v/>
      </c>
      <c r="V3801" s="215" t="s">
        <v>47</v>
      </c>
      <c r="W3801" s="102" t="s">
        <v>136</v>
      </c>
      <c r="X3801" s="102" t="s">
        <v>137</v>
      </c>
      <c r="Y3801" s="103" t="s">
        <v>138</v>
      </c>
      <c r="Z3801" s="103" t="s">
        <v>139</v>
      </c>
      <c r="AA3801" s="103" t="s">
        <v>47</v>
      </c>
      <c r="AB3801" s="103" t="s">
        <v>140</v>
      </c>
      <c r="AC3801" s="104" t="s">
        <v>141</v>
      </c>
    </row>
    <row r="3802" spans="1:29" ht="25.5" customHeight="1" x14ac:dyDescent="0.35">
      <c r="A3802" s="188"/>
      <c r="B3802" s="190"/>
      <c r="C3802" s="99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0"/>
      <c r="E3802" s="78" t="str">
        <f>IF(C3802="","",IFERROR(VLOOKUP(C3802,parametros!$A$11:$E$15,5,0),""))</f>
        <v/>
      </c>
      <c r="F3802" s="79" t="str">
        <f t="shared" si="297"/>
        <v/>
      </c>
      <c r="G3802" s="101"/>
      <c r="H3802" s="91">
        <f t="shared" si="298"/>
        <v>0</v>
      </c>
      <c r="I3802" s="91" t="str">
        <f t="shared" si="299"/>
        <v/>
      </c>
      <c r="J3802" s="91" t="str">
        <f t="shared" si="300"/>
        <v/>
      </c>
      <c r="K3802" s="92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2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58"/>
      <c r="U3802" s="217" t="str">
        <f t="shared" si="301"/>
        <v/>
      </c>
      <c r="V3802" s="215" t="s">
        <v>47</v>
      </c>
      <c r="W3802" s="102" t="s">
        <v>136</v>
      </c>
      <c r="X3802" s="102" t="s">
        <v>137</v>
      </c>
      <c r="Y3802" s="103" t="s">
        <v>138</v>
      </c>
      <c r="Z3802" s="103" t="s">
        <v>139</v>
      </c>
      <c r="AA3802" s="103" t="s">
        <v>47</v>
      </c>
      <c r="AB3802" s="103" t="s">
        <v>140</v>
      </c>
      <c r="AC3802" s="104" t="s">
        <v>141</v>
      </c>
    </row>
    <row r="3803" spans="1:29" ht="25.5" customHeight="1" x14ac:dyDescent="0.35">
      <c r="A3803" s="188"/>
      <c r="B3803" s="190"/>
      <c r="C3803" s="99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0"/>
      <c r="E3803" s="78" t="str">
        <f>IF(C3803="","",IFERROR(VLOOKUP(C3803,parametros!$A$11:$E$15,5,0),""))</f>
        <v/>
      </c>
      <c r="F3803" s="79" t="str">
        <f t="shared" si="297"/>
        <v/>
      </c>
      <c r="G3803" s="101"/>
      <c r="H3803" s="91">
        <f t="shared" si="298"/>
        <v>0</v>
      </c>
      <c r="I3803" s="91" t="str">
        <f t="shared" si="299"/>
        <v/>
      </c>
      <c r="J3803" s="91" t="str">
        <f t="shared" si="300"/>
        <v/>
      </c>
      <c r="K3803" s="92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2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58"/>
      <c r="U3803" s="217" t="str">
        <f t="shared" si="301"/>
        <v/>
      </c>
      <c r="V3803" s="215" t="s">
        <v>47</v>
      </c>
      <c r="W3803" s="102" t="s">
        <v>136</v>
      </c>
      <c r="X3803" s="102" t="s">
        <v>137</v>
      </c>
      <c r="Y3803" s="103" t="s">
        <v>138</v>
      </c>
      <c r="Z3803" s="103" t="s">
        <v>139</v>
      </c>
      <c r="AA3803" s="103" t="s">
        <v>47</v>
      </c>
      <c r="AB3803" s="103" t="s">
        <v>140</v>
      </c>
      <c r="AC3803" s="104" t="s">
        <v>141</v>
      </c>
    </row>
    <row r="3804" spans="1:29" ht="25.5" customHeight="1" x14ac:dyDescent="0.35">
      <c r="A3804" s="188"/>
      <c r="B3804" s="190"/>
      <c r="C3804" s="99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0"/>
      <c r="E3804" s="78" t="str">
        <f>IF(C3804="","",IFERROR(VLOOKUP(C3804,parametros!$A$11:$E$15,5,0),""))</f>
        <v/>
      </c>
      <c r="F3804" s="79" t="str">
        <f t="shared" si="297"/>
        <v/>
      </c>
      <c r="G3804" s="101"/>
      <c r="H3804" s="91">
        <f t="shared" si="298"/>
        <v>0</v>
      </c>
      <c r="I3804" s="91" t="str">
        <f t="shared" si="299"/>
        <v/>
      </c>
      <c r="J3804" s="91" t="str">
        <f t="shared" si="300"/>
        <v/>
      </c>
      <c r="K3804" s="92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2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58"/>
      <c r="U3804" s="217" t="str">
        <f t="shared" si="301"/>
        <v/>
      </c>
      <c r="V3804" s="215" t="s">
        <v>47</v>
      </c>
      <c r="W3804" s="102" t="s">
        <v>136</v>
      </c>
      <c r="X3804" s="102" t="s">
        <v>137</v>
      </c>
      <c r="Y3804" s="103" t="s">
        <v>138</v>
      </c>
      <c r="Z3804" s="103" t="s">
        <v>139</v>
      </c>
      <c r="AA3804" s="103" t="s">
        <v>47</v>
      </c>
      <c r="AB3804" s="103" t="s">
        <v>140</v>
      </c>
      <c r="AC3804" s="104" t="s">
        <v>141</v>
      </c>
    </row>
    <row r="3805" spans="1:29" ht="25.5" customHeight="1" x14ac:dyDescent="0.35">
      <c r="A3805" s="188"/>
      <c r="B3805" s="190"/>
      <c r="C3805" s="99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0"/>
      <c r="E3805" s="78" t="str">
        <f>IF(C3805="","",IFERROR(VLOOKUP(C3805,parametros!$A$11:$E$15,5,0),""))</f>
        <v/>
      </c>
      <c r="F3805" s="79" t="str">
        <f t="shared" si="297"/>
        <v/>
      </c>
      <c r="G3805" s="101"/>
      <c r="H3805" s="91">
        <f t="shared" si="298"/>
        <v>0</v>
      </c>
      <c r="I3805" s="91" t="str">
        <f t="shared" si="299"/>
        <v/>
      </c>
      <c r="J3805" s="91" t="str">
        <f t="shared" si="300"/>
        <v/>
      </c>
      <c r="K3805" s="92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2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58"/>
      <c r="U3805" s="217" t="str">
        <f t="shared" si="301"/>
        <v/>
      </c>
      <c r="V3805" s="215" t="s">
        <v>47</v>
      </c>
      <c r="W3805" s="102" t="s">
        <v>136</v>
      </c>
      <c r="X3805" s="102" t="s">
        <v>137</v>
      </c>
      <c r="Y3805" s="103" t="s">
        <v>138</v>
      </c>
      <c r="Z3805" s="103" t="s">
        <v>139</v>
      </c>
      <c r="AA3805" s="103" t="s">
        <v>47</v>
      </c>
      <c r="AB3805" s="103" t="s">
        <v>140</v>
      </c>
      <c r="AC3805" s="104" t="s">
        <v>141</v>
      </c>
    </row>
    <row r="3806" spans="1:29" ht="25.5" customHeight="1" x14ac:dyDescent="0.35">
      <c r="A3806" s="188"/>
      <c r="B3806" s="190"/>
      <c r="C3806" s="99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0"/>
      <c r="E3806" s="78" t="str">
        <f>IF(C3806="","",IFERROR(VLOOKUP(C3806,parametros!$A$11:$E$15,5,0),""))</f>
        <v/>
      </c>
      <c r="F3806" s="79" t="str">
        <f t="shared" si="297"/>
        <v/>
      </c>
      <c r="G3806" s="101"/>
      <c r="H3806" s="91">
        <f t="shared" si="298"/>
        <v>0</v>
      </c>
      <c r="I3806" s="91" t="str">
        <f t="shared" si="299"/>
        <v/>
      </c>
      <c r="J3806" s="91" t="str">
        <f t="shared" si="300"/>
        <v/>
      </c>
      <c r="K3806" s="92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2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58"/>
      <c r="U3806" s="217" t="str">
        <f t="shared" si="301"/>
        <v/>
      </c>
      <c r="V3806" s="215" t="s">
        <v>47</v>
      </c>
      <c r="W3806" s="102" t="s">
        <v>136</v>
      </c>
      <c r="X3806" s="102" t="s">
        <v>137</v>
      </c>
      <c r="Y3806" s="103" t="s">
        <v>138</v>
      </c>
      <c r="Z3806" s="103" t="s">
        <v>139</v>
      </c>
      <c r="AA3806" s="103" t="s">
        <v>47</v>
      </c>
      <c r="AB3806" s="103" t="s">
        <v>140</v>
      </c>
      <c r="AC3806" s="104" t="s">
        <v>141</v>
      </c>
    </row>
    <row r="3807" spans="1:29" ht="25.5" customHeight="1" x14ac:dyDescent="0.35">
      <c r="A3807" s="188"/>
      <c r="B3807" s="190"/>
      <c r="C3807" s="99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0"/>
      <c r="E3807" s="78" t="str">
        <f>IF(C3807="","",IFERROR(VLOOKUP(C3807,parametros!$A$11:$E$15,5,0),""))</f>
        <v/>
      </c>
      <c r="F3807" s="79" t="str">
        <f t="shared" si="297"/>
        <v/>
      </c>
      <c r="G3807" s="101"/>
      <c r="H3807" s="91">
        <f t="shared" si="298"/>
        <v>0</v>
      </c>
      <c r="I3807" s="91" t="str">
        <f t="shared" si="299"/>
        <v/>
      </c>
      <c r="J3807" s="91" t="str">
        <f t="shared" si="300"/>
        <v/>
      </c>
      <c r="K3807" s="92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2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58"/>
      <c r="U3807" s="217" t="str">
        <f t="shared" si="301"/>
        <v/>
      </c>
      <c r="V3807" s="215" t="s">
        <v>47</v>
      </c>
      <c r="W3807" s="102" t="s">
        <v>136</v>
      </c>
      <c r="X3807" s="102" t="s">
        <v>137</v>
      </c>
      <c r="Y3807" s="103" t="s">
        <v>138</v>
      </c>
      <c r="Z3807" s="103" t="s">
        <v>139</v>
      </c>
      <c r="AA3807" s="103" t="s">
        <v>47</v>
      </c>
      <c r="AB3807" s="103" t="s">
        <v>140</v>
      </c>
      <c r="AC3807" s="104" t="s">
        <v>141</v>
      </c>
    </row>
    <row r="3808" spans="1:29" ht="25.5" customHeight="1" x14ac:dyDescent="0.35">
      <c r="A3808" s="188"/>
      <c r="B3808" s="190"/>
      <c r="C3808" s="99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0"/>
      <c r="E3808" s="78" t="str">
        <f>IF(C3808="","",IFERROR(VLOOKUP(C3808,parametros!$A$11:$E$15,5,0),""))</f>
        <v/>
      </c>
      <c r="F3808" s="79" t="str">
        <f t="shared" si="297"/>
        <v/>
      </c>
      <c r="G3808" s="101"/>
      <c r="H3808" s="91">
        <f t="shared" si="298"/>
        <v>0</v>
      </c>
      <c r="I3808" s="91" t="str">
        <f t="shared" si="299"/>
        <v/>
      </c>
      <c r="J3808" s="91" t="str">
        <f t="shared" si="300"/>
        <v/>
      </c>
      <c r="K3808" s="92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2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58"/>
      <c r="U3808" s="217" t="str">
        <f t="shared" si="301"/>
        <v/>
      </c>
      <c r="V3808" s="215" t="s">
        <v>47</v>
      </c>
      <c r="W3808" s="102" t="s">
        <v>136</v>
      </c>
      <c r="X3808" s="102" t="s">
        <v>137</v>
      </c>
      <c r="Y3808" s="103" t="s">
        <v>138</v>
      </c>
      <c r="Z3808" s="103" t="s">
        <v>139</v>
      </c>
      <c r="AA3808" s="103" t="s">
        <v>47</v>
      </c>
      <c r="AB3808" s="103" t="s">
        <v>140</v>
      </c>
      <c r="AC3808" s="104" t="s">
        <v>141</v>
      </c>
    </row>
    <row r="3809" spans="1:29" ht="25.5" customHeight="1" x14ac:dyDescent="0.35">
      <c r="A3809" s="188"/>
      <c r="B3809" s="190"/>
      <c r="C3809" s="99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0"/>
      <c r="E3809" s="78" t="str">
        <f>IF(C3809="","",IFERROR(VLOOKUP(C3809,parametros!$A$11:$E$15,5,0),""))</f>
        <v/>
      </c>
      <c r="F3809" s="79" t="str">
        <f t="shared" si="297"/>
        <v/>
      </c>
      <c r="G3809" s="101"/>
      <c r="H3809" s="91">
        <f t="shared" si="298"/>
        <v>0</v>
      </c>
      <c r="I3809" s="91" t="str">
        <f t="shared" si="299"/>
        <v/>
      </c>
      <c r="J3809" s="91" t="str">
        <f t="shared" si="300"/>
        <v/>
      </c>
      <c r="K3809" s="92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2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58"/>
      <c r="U3809" s="217" t="str">
        <f t="shared" si="301"/>
        <v/>
      </c>
      <c r="V3809" s="215" t="s">
        <v>47</v>
      </c>
      <c r="W3809" s="102" t="s">
        <v>136</v>
      </c>
      <c r="X3809" s="102" t="s">
        <v>137</v>
      </c>
      <c r="Y3809" s="103" t="s">
        <v>138</v>
      </c>
      <c r="Z3809" s="103" t="s">
        <v>139</v>
      </c>
      <c r="AA3809" s="103" t="s">
        <v>47</v>
      </c>
      <c r="AB3809" s="103" t="s">
        <v>140</v>
      </c>
      <c r="AC3809" s="104" t="s">
        <v>141</v>
      </c>
    </row>
    <row r="3810" spans="1:29" ht="25.5" customHeight="1" x14ac:dyDescent="0.35">
      <c r="A3810" s="188"/>
      <c r="B3810" s="190"/>
      <c r="C3810" s="99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0"/>
      <c r="E3810" s="78" t="str">
        <f>IF(C3810="","",IFERROR(VLOOKUP(C3810,parametros!$A$11:$E$15,5,0),""))</f>
        <v/>
      </c>
      <c r="F3810" s="79" t="str">
        <f t="shared" si="297"/>
        <v/>
      </c>
      <c r="G3810" s="101"/>
      <c r="H3810" s="91">
        <f t="shared" si="298"/>
        <v>0</v>
      </c>
      <c r="I3810" s="91" t="str">
        <f t="shared" si="299"/>
        <v/>
      </c>
      <c r="J3810" s="91" t="str">
        <f t="shared" si="300"/>
        <v/>
      </c>
      <c r="K3810" s="92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2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58"/>
      <c r="U3810" s="217" t="str">
        <f t="shared" si="301"/>
        <v/>
      </c>
      <c r="V3810" s="215" t="s">
        <v>47</v>
      </c>
      <c r="W3810" s="102" t="s">
        <v>136</v>
      </c>
      <c r="X3810" s="102" t="s">
        <v>137</v>
      </c>
      <c r="Y3810" s="103" t="s">
        <v>138</v>
      </c>
      <c r="Z3810" s="103" t="s">
        <v>139</v>
      </c>
      <c r="AA3810" s="103" t="s">
        <v>47</v>
      </c>
      <c r="AB3810" s="103" t="s">
        <v>140</v>
      </c>
      <c r="AC3810" s="104" t="s">
        <v>141</v>
      </c>
    </row>
    <row r="3811" spans="1:29" ht="25.5" customHeight="1" x14ac:dyDescent="0.35">
      <c r="A3811" s="188"/>
      <c r="B3811" s="190"/>
      <c r="C3811" s="99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0"/>
      <c r="E3811" s="78" t="str">
        <f>IF(C3811="","",IFERROR(VLOOKUP(C3811,parametros!$A$11:$E$15,5,0),""))</f>
        <v/>
      </c>
      <c r="F3811" s="79" t="str">
        <f t="shared" si="297"/>
        <v/>
      </c>
      <c r="G3811" s="101"/>
      <c r="H3811" s="91">
        <f t="shared" si="298"/>
        <v>0</v>
      </c>
      <c r="I3811" s="91" t="str">
        <f t="shared" si="299"/>
        <v/>
      </c>
      <c r="J3811" s="91" t="str">
        <f t="shared" si="300"/>
        <v/>
      </c>
      <c r="K3811" s="92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2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58"/>
      <c r="U3811" s="217" t="str">
        <f t="shared" si="301"/>
        <v/>
      </c>
      <c r="V3811" s="215" t="s">
        <v>47</v>
      </c>
      <c r="W3811" s="102" t="s">
        <v>136</v>
      </c>
      <c r="X3811" s="102" t="s">
        <v>137</v>
      </c>
      <c r="Y3811" s="103" t="s">
        <v>138</v>
      </c>
      <c r="Z3811" s="103" t="s">
        <v>139</v>
      </c>
      <c r="AA3811" s="103" t="s">
        <v>47</v>
      </c>
      <c r="AB3811" s="103" t="s">
        <v>140</v>
      </c>
      <c r="AC3811" s="104" t="s">
        <v>141</v>
      </c>
    </row>
    <row r="3812" spans="1:29" ht="25.5" customHeight="1" x14ac:dyDescent="0.35">
      <c r="A3812" s="188"/>
      <c r="B3812" s="190"/>
      <c r="C3812" s="99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0"/>
      <c r="E3812" s="78" t="str">
        <f>IF(C3812="","",IFERROR(VLOOKUP(C3812,parametros!$A$11:$E$15,5,0),""))</f>
        <v/>
      </c>
      <c r="F3812" s="79" t="str">
        <f t="shared" si="297"/>
        <v/>
      </c>
      <c r="G3812" s="101"/>
      <c r="H3812" s="91">
        <f t="shared" si="298"/>
        <v>0</v>
      </c>
      <c r="I3812" s="91" t="str">
        <f t="shared" si="299"/>
        <v/>
      </c>
      <c r="J3812" s="91" t="str">
        <f t="shared" si="300"/>
        <v/>
      </c>
      <c r="K3812" s="92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2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58"/>
      <c r="U3812" s="217" t="str">
        <f t="shared" si="301"/>
        <v/>
      </c>
      <c r="V3812" s="215" t="s">
        <v>47</v>
      </c>
      <c r="W3812" s="102" t="s">
        <v>136</v>
      </c>
      <c r="X3812" s="102" t="s">
        <v>137</v>
      </c>
      <c r="Y3812" s="103" t="s">
        <v>138</v>
      </c>
      <c r="Z3812" s="103" t="s">
        <v>139</v>
      </c>
      <c r="AA3812" s="103" t="s">
        <v>47</v>
      </c>
      <c r="AB3812" s="103" t="s">
        <v>140</v>
      </c>
      <c r="AC3812" s="104" t="s">
        <v>141</v>
      </c>
    </row>
    <row r="3813" spans="1:29" ht="25.5" customHeight="1" x14ac:dyDescent="0.35">
      <c r="A3813" s="188"/>
      <c r="B3813" s="190"/>
      <c r="C3813" s="99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0"/>
      <c r="E3813" s="78" t="str">
        <f>IF(C3813="","",IFERROR(VLOOKUP(C3813,parametros!$A$11:$E$15,5,0),""))</f>
        <v/>
      </c>
      <c r="F3813" s="79" t="str">
        <f t="shared" si="297"/>
        <v/>
      </c>
      <c r="G3813" s="101"/>
      <c r="H3813" s="91">
        <f t="shared" si="298"/>
        <v>0</v>
      </c>
      <c r="I3813" s="91" t="str">
        <f t="shared" si="299"/>
        <v/>
      </c>
      <c r="J3813" s="91" t="str">
        <f t="shared" si="300"/>
        <v/>
      </c>
      <c r="K3813" s="92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2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58"/>
      <c r="U3813" s="217" t="str">
        <f t="shared" si="301"/>
        <v/>
      </c>
      <c r="V3813" s="215" t="s">
        <v>47</v>
      </c>
      <c r="W3813" s="102" t="s">
        <v>136</v>
      </c>
      <c r="X3813" s="102" t="s">
        <v>137</v>
      </c>
      <c r="Y3813" s="103" t="s">
        <v>138</v>
      </c>
      <c r="Z3813" s="103" t="s">
        <v>139</v>
      </c>
      <c r="AA3813" s="103" t="s">
        <v>47</v>
      </c>
      <c r="AB3813" s="103" t="s">
        <v>140</v>
      </c>
      <c r="AC3813" s="104" t="s">
        <v>141</v>
      </c>
    </row>
    <row r="3814" spans="1:29" ht="25.5" customHeight="1" x14ac:dyDescent="0.35">
      <c r="A3814" s="188"/>
      <c r="B3814" s="190"/>
      <c r="C3814" s="99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0"/>
      <c r="E3814" s="78" t="str">
        <f>IF(C3814="","",IFERROR(VLOOKUP(C3814,parametros!$A$11:$E$15,5,0),""))</f>
        <v/>
      </c>
      <c r="F3814" s="79" t="str">
        <f t="shared" si="297"/>
        <v/>
      </c>
      <c r="G3814" s="101"/>
      <c r="H3814" s="91">
        <f t="shared" si="298"/>
        <v>0</v>
      </c>
      <c r="I3814" s="91" t="str">
        <f t="shared" si="299"/>
        <v/>
      </c>
      <c r="J3814" s="91" t="str">
        <f t="shared" si="300"/>
        <v/>
      </c>
      <c r="K3814" s="92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2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58"/>
      <c r="U3814" s="217" t="str">
        <f t="shared" si="301"/>
        <v/>
      </c>
      <c r="V3814" s="215" t="s">
        <v>47</v>
      </c>
      <c r="W3814" s="102" t="s">
        <v>136</v>
      </c>
      <c r="X3814" s="102" t="s">
        <v>137</v>
      </c>
      <c r="Y3814" s="103" t="s">
        <v>138</v>
      </c>
      <c r="Z3814" s="103" t="s">
        <v>139</v>
      </c>
      <c r="AA3814" s="103" t="s">
        <v>47</v>
      </c>
      <c r="AB3814" s="103" t="s">
        <v>140</v>
      </c>
      <c r="AC3814" s="104" t="s">
        <v>141</v>
      </c>
    </row>
    <row r="3815" spans="1:29" ht="25.5" customHeight="1" x14ac:dyDescent="0.35">
      <c r="A3815" s="188"/>
      <c r="B3815" s="190"/>
      <c r="C3815" s="99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0"/>
      <c r="E3815" s="78" t="str">
        <f>IF(C3815="","",IFERROR(VLOOKUP(C3815,parametros!$A$11:$E$15,5,0),""))</f>
        <v/>
      </c>
      <c r="F3815" s="79" t="str">
        <f t="shared" si="297"/>
        <v/>
      </c>
      <c r="G3815" s="101"/>
      <c r="H3815" s="91">
        <f t="shared" si="298"/>
        <v>0</v>
      </c>
      <c r="I3815" s="91" t="str">
        <f t="shared" si="299"/>
        <v/>
      </c>
      <c r="J3815" s="91" t="str">
        <f t="shared" si="300"/>
        <v/>
      </c>
      <c r="K3815" s="92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2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58"/>
      <c r="U3815" s="217" t="str">
        <f t="shared" si="301"/>
        <v/>
      </c>
      <c r="V3815" s="215" t="s">
        <v>47</v>
      </c>
      <c r="W3815" s="102" t="s">
        <v>136</v>
      </c>
      <c r="X3815" s="102" t="s">
        <v>137</v>
      </c>
      <c r="Y3815" s="103" t="s">
        <v>138</v>
      </c>
      <c r="Z3815" s="103" t="s">
        <v>139</v>
      </c>
      <c r="AA3815" s="103" t="s">
        <v>47</v>
      </c>
      <c r="AB3815" s="103" t="s">
        <v>140</v>
      </c>
      <c r="AC3815" s="104" t="s">
        <v>141</v>
      </c>
    </row>
    <row r="3816" spans="1:29" ht="25.5" customHeight="1" x14ac:dyDescent="0.35">
      <c r="A3816" s="188"/>
      <c r="B3816" s="190"/>
      <c r="C3816" s="99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0"/>
      <c r="E3816" s="78" t="str">
        <f>IF(C3816="","",IFERROR(VLOOKUP(C3816,parametros!$A$11:$E$15,5,0),""))</f>
        <v/>
      </c>
      <c r="F3816" s="79" t="str">
        <f t="shared" si="297"/>
        <v/>
      </c>
      <c r="G3816" s="101"/>
      <c r="H3816" s="91">
        <f t="shared" si="298"/>
        <v>0</v>
      </c>
      <c r="I3816" s="91" t="str">
        <f t="shared" si="299"/>
        <v/>
      </c>
      <c r="J3816" s="91" t="str">
        <f t="shared" si="300"/>
        <v/>
      </c>
      <c r="K3816" s="92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2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58"/>
      <c r="U3816" s="217" t="str">
        <f t="shared" si="301"/>
        <v/>
      </c>
      <c r="V3816" s="215" t="s">
        <v>47</v>
      </c>
      <c r="W3816" s="102" t="s">
        <v>136</v>
      </c>
      <c r="X3816" s="102" t="s">
        <v>137</v>
      </c>
      <c r="Y3816" s="103" t="s">
        <v>138</v>
      </c>
      <c r="Z3816" s="103" t="s">
        <v>139</v>
      </c>
      <c r="AA3816" s="103" t="s">
        <v>47</v>
      </c>
      <c r="AB3816" s="103" t="s">
        <v>140</v>
      </c>
      <c r="AC3816" s="104" t="s">
        <v>141</v>
      </c>
    </row>
    <row r="3817" spans="1:29" ht="25.5" customHeight="1" x14ac:dyDescent="0.35">
      <c r="A3817" s="188"/>
      <c r="B3817" s="190"/>
      <c r="C3817" s="99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0"/>
      <c r="E3817" s="78" t="str">
        <f>IF(C3817="","",IFERROR(VLOOKUP(C3817,parametros!$A$11:$E$15,5,0),""))</f>
        <v/>
      </c>
      <c r="F3817" s="79" t="str">
        <f t="shared" si="297"/>
        <v/>
      </c>
      <c r="G3817" s="101"/>
      <c r="H3817" s="91">
        <f t="shared" si="298"/>
        <v>0</v>
      </c>
      <c r="I3817" s="91" t="str">
        <f t="shared" si="299"/>
        <v/>
      </c>
      <c r="J3817" s="91" t="str">
        <f t="shared" si="300"/>
        <v/>
      </c>
      <c r="K3817" s="92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2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58"/>
      <c r="U3817" s="217" t="str">
        <f t="shared" si="301"/>
        <v/>
      </c>
      <c r="V3817" s="215" t="s">
        <v>47</v>
      </c>
      <c r="W3817" s="102" t="s">
        <v>136</v>
      </c>
      <c r="X3817" s="102" t="s">
        <v>137</v>
      </c>
      <c r="Y3817" s="103" t="s">
        <v>138</v>
      </c>
      <c r="Z3817" s="103" t="s">
        <v>139</v>
      </c>
      <c r="AA3817" s="103" t="s">
        <v>47</v>
      </c>
      <c r="AB3817" s="103" t="s">
        <v>140</v>
      </c>
      <c r="AC3817" s="104" t="s">
        <v>141</v>
      </c>
    </row>
    <row r="3818" spans="1:29" ht="25.5" customHeight="1" x14ac:dyDescent="0.35">
      <c r="A3818" s="188"/>
      <c r="B3818" s="190"/>
      <c r="C3818" s="99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0"/>
      <c r="E3818" s="78" t="str">
        <f>IF(C3818="","",IFERROR(VLOOKUP(C3818,parametros!$A$11:$E$15,5,0),""))</f>
        <v/>
      </c>
      <c r="F3818" s="79" t="str">
        <f t="shared" si="297"/>
        <v/>
      </c>
      <c r="G3818" s="101"/>
      <c r="H3818" s="91">
        <f t="shared" si="298"/>
        <v>0</v>
      </c>
      <c r="I3818" s="91" t="str">
        <f t="shared" si="299"/>
        <v/>
      </c>
      <c r="J3818" s="91" t="str">
        <f t="shared" si="300"/>
        <v/>
      </c>
      <c r="K3818" s="92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2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58"/>
      <c r="U3818" s="217" t="str">
        <f t="shared" si="301"/>
        <v/>
      </c>
      <c r="V3818" s="215" t="s">
        <v>47</v>
      </c>
      <c r="W3818" s="102" t="s">
        <v>136</v>
      </c>
      <c r="X3818" s="102" t="s">
        <v>137</v>
      </c>
      <c r="Y3818" s="103" t="s">
        <v>138</v>
      </c>
      <c r="Z3818" s="103" t="s">
        <v>139</v>
      </c>
      <c r="AA3818" s="103" t="s">
        <v>47</v>
      </c>
      <c r="AB3818" s="103" t="s">
        <v>140</v>
      </c>
      <c r="AC3818" s="104" t="s">
        <v>141</v>
      </c>
    </row>
    <row r="3819" spans="1:29" ht="25.5" customHeight="1" x14ac:dyDescent="0.35">
      <c r="A3819" s="188"/>
      <c r="B3819" s="190"/>
      <c r="C3819" s="99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0"/>
      <c r="E3819" s="78" t="str">
        <f>IF(C3819="","",IFERROR(VLOOKUP(C3819,parametros!$A$11:$E$15,5,0),""))</f>
        <v/>
      </c>
      <c r="F3819" s="79" t="str">
        <f t="shared" si="297"/>
        <v/>
      </c>
      <c r="G3819" s="101"/>
      <c r="H3819" s="91">
        <f t="shared" si="298"/>
        <v>0</v>
      </c>
      <c r="I3819" s="91" t="str">
        <f t="shared" si="299"/>
        <v/>
      </c>
      <c r="J3819" s="91" t="str">
        <f t="shared" si="300"/>
        <v/>
      </c>
      <c r="K3819" s="92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2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58"/>
      <c r="U3819" s="217" t="str">
        <f t="shared" si="301"/>
        <v/>
      </c>
      <c r="V3819" s="215" t="s">
        <v>47</v>
      </c>
      <c r="W3819" s="102" t="s">
        <v>136</v>
      </c>
      <c r="X3819" s="102" t="s">
        <v>137</v>
      </c>
      <c r="Y3819" s="103" t="s">
        <v>138</v>
      </c>
      <c r="Z3819" s="103" t="s">
        <v>139</v>
      </c>
      <c r="AA3819" s="103" t="s">
        <v>47</v>
      </c>
      <c r="AB3819" s="103" t="s">
        <v>140</v>
      </c>
      <c r="AC3819" s="104" t="s">
        <v>141</v>
      </c>
    </row>
    <row r="3820" spans="1:29" ht="25.5" customHeight="1" x14ac:dyDescent="0.35">
      <c r="A3820" s="188"/>
      <c r="B3820" s="190"/>
      <c r="C3820" s="99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0"/>
      <c r="E3820" s="78" t="str">
        <f>IF(C3820="","",IFERROR(VLOOKUP(C3820,parametros!$A$11:$E$15,5,0),""))</f>
        <v/>
      </c>
      <c r="F3820" s="79" t="str">
        <f t="shared" si="297"/>
        <v/>
      </c>
      <c r="G3820" s="101"/>
      <c r="H3820" s="91">
        <f t="shared" si="298"/>
        <v>0</v>
      </c>
      <c r="I3820" s="91" t="str">
        <f t="shared" si="299"/>
        <v/>
      </c>
      <c r="J3820" s="91" t="str">
        <f t="shared" si="300"/>
        <v/>
      </c>
      <c r="K3820" s="92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2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58"/>
      <c r="U3820" s="217" t="str">
        <f t="shared" si="301"/>
        <v/>
      </c>
      <c r="V3820" s="215" t="s">
        <v>47</v>
      </c>
      <c r="W3820" s="102" t="s">
        <v>136</v>
      </c>
      <c r="X3820" s="102" t="s">
        <v>137</v>
      </c>
      <c r="Y3820" s="103" t="s">
        <v>138</v>
      </c>
      <c r="Z3820" s="103" t="s">
        <v>139</v>
      </c>
      <c r="AA3820" s="103" t="s">
        <v>47</v>
      </c>
      <c r="AB3820" s="103" t="s">
        <v>140</v>
      </c>
      <c r="AC3820" s="104" t="s">
        <v>141</v>
      </c>
    </row>
    <row r="3821" spans="1:29" ht="25.5" customHeight="1" x14ac:dyDescent="0.35">
      <c r="A3821" s="188"/>
      <c r="B3821" s="190"/>
      <c r="C3821" s="99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0"/>
      <c r="E3821" s="78" t="str">
        <f>IF(C3821="","",IFERROR(VLOOKUP(C3821,parametros!$A$11:$E$15,5,0),""))</f>
        <v/>
      </c>
      <c r="F3821" s="79" t="str">
        <f t="shared" si="297"/>
        <v/>
      </c>
      <c r="G3821" s="101"/>
      <c r="H3821" s="91">
        <f t="shared" si="298"/>
        <v>0</v>
      </c>
      <c r="I3821" s="91" t="str">
        <f t="shared" si="299"/>
        <v/>
      </c>
      <c r="J3821" s="91" t="str">
        <f t="shared" si="300"/>
        <v/>
      </c>
      <c r="K3821" s="92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2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58"/>
      <c r="U3821" s="217" t="str">
        <f t="shared" si="301"/>
        <v/>
      </c>
      <c r="V3821" s="215" t="s">
        <v>47</v>
      </c>
      <c r="W3821" s="102" t="s">
        <v>136</v>
      </c>
      <c r="X3821" s="102" t="s">
        <v>137</v>
      </c>
      <c r="Y3821" s="103" t="s">
        <v>138</v>
      </c>
      <c r="Z3821" s="103" t="s">
        <v>139</v>
      </c>
      <c r="AA3821" s="103" t="s">
        <v>47</v>
      </c>
      <c r="AB3821" s="103" t="s">
        <v>140</v>
      </c>
      <c r="AC3821" s="104" t="s">
        <v>141</v>
      </c>
    </row>
    <row r="3822" spans="1:29" ht="25.5" customHeight="1" x14ac:dyDescent="0.35">
      <c r="A3822" s="188"/>
      <c r="B3822" s="190"/>
      <c r="C3822" s="99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0"/>
      <c r="E3822" s="78" t="str">
        <f>IF(C3822="","",IFERROR(VLOOKUP(C3822,parametros!$A$11:$E$15,5,0),""))</f>
        <v/>
      </c>
      <c r="F3822" s="79" t="str">
        <f t="shared" si="297"/>
        <v/>
      </c>
      <c r="G3822" s="101"/>
      <c r="H3822" s="91">
        <f t="shared" si="298"/>
        <v>0</v>
      </c>
      <c r="I3822" s="91" t="str">
        <f t="shared" si="299"/>
        <v/>
      </c>
      <c r="J3822" s="91" t="str">
        <f t="shared" si="300"/>
        <v/>
      </c>
      <c r="K3822" s="92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2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58"/>
      <c r="U3822" s="217" t="str">
        <f t="shared" si="301"/>
        <v/>
      </c>
      <c r="V3822" s="215" t="s">
        <v>47</v>
      </c>
      <c r="W3822" s="102" t="s">
        <v>136</v>
      </c>
      <c r="X3822" s="102" t="s">
        <v>137</v>
      </c>
      <c r="Y3822" s="103" t="s">
        <v>138</v>
      </c>
      <c r="Z3822" s="103" t="s">
        <v>139</v>
      </c>
      <c r="AA3822" s="103" t="s">
        <v>47</v>
      </c>
      <c r="AB3822" s="103" t="s">
        <v>140</v>
      </c>
      <c r="AC3822" s="104" t="s">
        <v>141</v>
      </c>
    </row>
    <row r="3823" spans="1:29" ht="25.5" customHeight="1" x14ac:dyDescent="0.35">
      <c r="A3823" s="188"/>
      <c r="B3823" s="190"/>
      <c r="C3823" s="99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0"/>
      <c r="E3823" s="78" t="str">
        <f>IF(C3823="","",IFERROR(VLOOKUP(C3823,parametros!$A$11:$E$15,5,0),""))</f>
        <v/>
      </c>
      <c r="F3823" s="79" t="str">
        <f t="shared" si="297"/>
        <v/>
      </c>
      <c r="G3823" s="101"/>
      <c r="H3823" s="91">
        <f t="shared" si="298"/>
        <v>0</v>
      </c>
      <c r="I3823" s="91" t="str">
        <f t="shared" si="299"/>
        <v/>
      </c>
      <c r="J3823" s="91" t="str">
        <f t="shared" si="300"/>
        <v/>
      </c>
      <c r="K3823" s="92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2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58"/>
      <c r="U3823" s="217" t="str">
        <f t="shared" si="301"/>
        <v/>
      </c>
      <c r="V3823" s="215" t="s">
        <v>47</v>
      </c>
      <c r="W3823" s="102" t="s">
        <v>136</v>
      </c>
      <c r="X3823" s="102" t="s">
        <v>137</v>
      </c>
      <c r="Y3823" s="103" t="s">
        <v>138</v>
      </c>
      <c r="Z3823" s="103" t="s">
        <v>139</v>
      </c>
      <c r="AA3823" s="103" t="s">
        <v>47</v>
      </c>
      <c r="AB3823" s="103" t="s">
        <v>140</v>
      </c>
      <c r="AC3823" s="104" t="s">
        <v>141</v>
      </c>
    </row>
    <row r="3824" spans="1:29" ht="25.5" customHeight="1" x14ac:dyDescent="0.35">
      <c r="A3824" s="188"/>
      <c r="B3824" s="190"/>
      <c r="C3824" s="99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0"/>
      <c r="E3824" s="78" t="str">
        <f>IF(C3824="","",IFERROR(VLOOKUP(C3824,parametros!$A$11:$E$15,5,0),""))</f>
        <v/>
      </c>
      <c r="F3824" s="79" t="str">
        <f t="shared" si="297"/>
        <v/>
      </c>
      <c r="G3824" s="101"/>
      <c r="H3824" s="91">
        <f t="shared" si="298"/>
        <v>0</v>
      </c>
      <c r="I3824" s="91" t="str">
        <f t="shared" si="299"/>
        <v/>
      </c>
      <c r="J3824" s="91" t="str">
        <f t="shared" si="300"/>
        <v/>
      </c>
      <c r="K3824" s="92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2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58"/>
      <c r="U3824" s="217" t="str">
        <f t="shared" si="301"/>
        <v/>
      </c>
      <c r="V3824" s="215" t="s">
        <v>47</v>
      </c>
      <c r="W3824" s="102" t="s">
        <v>136</v>
      </c>
      <c r="X3824" s="102" t="s">
        <v>137</v>
      </c>
      <c r="Y3824" s="103" t="s">
        <v>138</v>
      </c>
      <c r="Z3824" s="103" t="s">
        <v>139</v>
      </c>
      <c r="AA3824" s="103" t="s">
        <v>47</v>
      </c>
      <c r="AB3824" s="103" t="s">
        <v>140</v>
      </c>
      <c r="AC3824" s="104" t="s">
        <v>141</v>
      </c>
    </row>
    <row r="3825" spans="1:29" ht="25.5" customHeight="1" x14ac:dyDescent="0.35">
      <c r="A3825" s="188"/>
      <c r="B3825" s="190"/>
      <c r="C3825" s="99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0"/>
      <c r="E3825" s="78" t="str">
        <f>IF(C3825="","",IFERROR(VLOOKUP(C3825,parametros!$A$11:$E$15,5,0),""))</f>
        <v/>
      </c>
      <c r="F3825" s="79" t="str">
        <f t="shared" si="297"/>
        <v/>
      </c>
      <c r="G3825" s="101"/>
      <c r="H3825" s="91">
        <f t="shared" si="298"/>
        <v>0</v>
      </c>
      <c r="I3825" s="91" t="str">
        <f t="shared" si="299"/>
        <v/>
      </c>
      <c r="J3825" s="91" t="str">
        <f t="shared" si="300"/>
        <v/>
      </c>
      <c r="K3825" s="92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2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58"/>
      <c r="U3825" s="217" t="str">
        <f t="shared" si="301"/>
        <v/>
      </c>
      <c r="V3825" s="215" t="s">
        <v>47</v>
      </c>
      <c r="W3825" s="102" t="s">
        <v>136</v>
      </c>
      <c r="X3825" s="102" t="s">
        <v>137</v>
      </c>
      <c r="Y3825" s="103" t="s">
        <v>138</v>
      </c>
      <c r="Z3825" s="103" t="s">
        <v>139</v>
      </c>
      <c r="AA3825" s="103" t="s">
        <v>47</v>
      </c>
      <c r="AB3825" s="103" t="s">
        <v>140</v>
      </c>
      <c r="AC3825" s="104" t="s">
        <v>141</v>
      </c>
    </row>
    <row r="3826" spans="1:29" ht="25.5" customHeight="1" x14ac:dyDescent="0.35">
      <c r="A3826" s="188"/>
      <c r="B3826" s="190"/>
      <c r="C3826" s="99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0"/>
      <c r="E3826" s="78" t="str">
        <f>IF(C3826="","",IFERROR(VLOOKUP(C3826,parametros!$A$11:$E$15,5,0),""))</f>
        <v/>
      </c>
      <c r="F3826" s="79" t="str">
        <f t="shared" si="297"/>
        <v/>
      </c>
      <c r="G3826" s="101"/>
      <c r="H3826" s="91">
        <f t="shared" si="298"/>
        <v>0</v>
      </c>
      <c r="I3826" s="91" t="str">
        <f t="shared" si="299"/>
        <v/>
      </c>
      <c r="J3826" s="91" t="str">
        <f t="shared" si="300"/>
        <v/>
      </c>
      <c r="K3826" s="92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2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58"/>
      <c r="U3826" s="217" t="str">
        <f t="shared" si="301"/>
        <v/>
      </c>
      <c r="V3826" s="215" t="s">
        <v>47</v>
      </c>
      <c r="W3826" s="102" t="s">
        <v>136</v>
      </c>
      <c r="X3826" s="102" t="s">
        <v>137</v>
      </c>
      <c r="Y3826" s="103" t="s">
        <v>138</v>
      </c>
      <c r="Z3826" s="103" t="s">
        <v>139</v>
      </c>
      <c r="AA3826" s="103" t="s">
        <v>47</v>
      </c>
      <c r="AB3826" s="103" t="s">
        <v>140</v>
      </c>
      <c r="AC3826" s="104" t="s">
        <v>141</v>
      </c>
    </row>
    <row r="3827" spans="1:29" ht="25.5" customHeight="1" x14ac:dyDescent="0.35">
      <c r="A3827" s="188"/>
      <c r="B3827" s="190"/>
      <c r="C3827" s="99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0"/>
      <c r="E3827" s="78" t="str">
        <f>IF(C3827="","",IFERROR(VLOOKUP(C3827,parametros!$A$11:$E$15,5,0),""))</f>
        <v/>
      </c>
      <c r="F3827" s="79" t="str">
        <f t="shared" si="297"/>
        <v/>
      </c>
      <c r="G3827" s="101"/>
      <c r="H3827" s="91">
        <f t="shared" si="298"/>
        <v>0</v>
      </c>
      <c r="I3827" s="91" t="str">
        <f t="shared" si="299"/>
        <v/>
      </c>
      <c r="J3827" s="91" t="str">
        <f t="shared" si="300"/>
        <v/>
      </c>
      <c r="K3827" s="92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2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58"/>
      <c r="U3827" s="217" t="str">
        <f t="shared" si="301"/>
        <v/>
      </c>
      <c r="V3827" s="215" t="s">
        <v>47</v>
      </c>
      <c r="W3827" s="102" t="s">
        <v>136</v>
      </c>
      <c r="X3827" s="102" t="s">
        <v>137</v>
      </c>
      <c r="Y3827" s="103" t="s">
        <v>138</v>
      </c>
      <c r="Z3827" s="103" t="s">
        <v>139</v>
      </c>
      <c r="AA3827" s="103" t="s">
        <v>47</v>
      </c>
      <c r="AB3827" s="103" t="s">
        <v>140</v>
      </c>
      <c r="AC3827" s="104" t="s">
        <v>141</v>
      </c>
    </row>
    <row r="3828" spans="1:29" ht="25.5" customHeight="1" x14ac:dyDescent="0.35">
      <c r="A3828" s="188"/>
      <c r="B3828" s="190"/>
      <c r="C3828" s="99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0"/>
      <c r="E3828" s="78" t="str">
        <f>IF(C3828="","",IFERROR(VLOOKUP(C3828,parametros!$A$11:$E$15,5,0),""))</f>
        <v/>
      </c>
      <c r="F3828" s="79" t="str">
        <f t="shared" si="297"/>
        <v/>
      </c>
      <c r="G3828" s="101"/>
      <c r="H3828" s="91">
        <f t="shared" si="298"/>
        <v>0</v>
      </c>
      <c r="I3828" s="91" t="str">
        <f t="shared" si="299"/>
        <v/>
      </c>
      <c r="J3828" s="91" t="str">
        <f t="shared" si="300"/>
        <v/>
      </c>
      <c r="K3828" s="92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2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58"/>
      <c r="U3828" s="217" t="str">
        <f t="shared" si="301"/>
        <v/>
      </c>
      <c r="V3828" s="215" t="s">
        <v>47</v>
      </c>
      <c r="W3828" s="102" t="s">
        <v>136</v>
      </c>
      <c r="X3828" s="102" t="s">
        <v>137</v>
      </c>
      <c r="Y3828" s="103" t="s">
        <v>138</v>
      </c>
      <c r="Z3828" s="103" t="s">
        <v>139</v>
      </c>
      <c r="AA3828" s="103" t="s">
        <v>47</v>
      </c>
      <c r="AB3828" s="103" t="s">
        <v>140</v>
      </c>
      <c r="AC3828" s="104" t="s">
        <v>141</v>
      </c>
    </row>
    <row r="3829" spans="1:29" ht="25.5" customHeight="1" x14ac:dyDescent="0.35">
      <c r="A3829" s="188"/>
      <c r="B3829" s="190"/>
      <c r="C3829" s="99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0"/>
      <c r="E3829" s="78" t="str">
        <f>IF(C3829="","",IFERROR(VLOOKUP(C3829,parametros!$A$11:$E$15,5,0),""))</f>
        <v/>
      </c>
      <c r="F3829" s="79" t="str">
        <f t="shared" si="297"/>
        <v/>
      </c>
      <c r="G3829" s="101"/>
      <c r="H3829" s="91">
        <f t="shared" si="298"/>
        <v>0</v>
      </c>
      <c r="I3829" s="91" t="str">
        <f t="shared" si="299"/>
        <v/>
      </c>
      <c r="J3829" s="91" t="str">
        <f t="shared" si="300"/>
        <v/>
      </c>
      <c r="K3829" s="92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2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58"/>
      <c r="U3829" s="217" t="str">
        <f t="shared" si="301"/>
        <v/>
      </c>
      <c r="V3829" s="215" t="s">
        <v>47</v>
      </c>
      <c r="W3829" s="102" t="s">
        <v>136</v>
      </c>
      <c r="X3829" s="102" t="s">
        <v>137</v>
      </c>
      <c r="Y3829" s="103" t="s">
        <v>138</v>
      </c>
      <c r="Z3829" s="103" t="s">
        <v>139</v>
      </c>
      <c r="AA3829" s="103" t="s">
        <v>47</v>
      </c>
      <c r="AB3829" s="103" t="s">
        <v>140</v>
      </c>
      <c r="AC3829" s="104" t="s">
        <v>141</v>
      </c>
    </row>
    <row r="3830" spans="1:29" ht="25.5" customHeight="1" x14ac:dyDescent="0.35">
      <c r="A3830" s="188"/>
      <c r="B3830" s="190"/>
      <c r="C3830" s="99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0"/>
      <c r="E3830" s="78" t="str">
        <f>IF(C3830="","",IFERROR(VLOOKUP(C3830,parametros!$A$11:$E$15,5,0),""))</f>
        <v/>
      </c>
      <c r="F3830" s="79" t="str">
        <f t="shared" si="297"/>
        <v/>
      </c>
      <c r="G3830" s="101"/>
      <c r="H3830" s="91">
        <f t="shared" si="298"/>
        <v>0</v>
      </c>
      <c r="I3830" s="91" t="str">
        <f t="shared" si="299"/>
        <v/>
      </c>
      <c r="J3830" s="91" t="str">
        <f t="shared" si="300"/>
        <v/>
      </c>
      <c r="K3830" s="92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2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58"/>
      <c r="U3830" s="217" t="str">
        <f t="shared" si="301"/>
        <v/>
      </c>
      <c r="V3830" s="215" t="s">
        <v>47</v>
      </c>
      <c r="W3830" s="102" t="s">
        <v>136</v>
      </c>
      <c r="X3830" s="102" t="s">
        <v>137</v>
      </c>
      <c r="Y3830" s="103" t="s">
        <v>138</v>
      </c>
      <c r="Z3830" s="103" t="s">
        <v>139</v>
      </c>
      <c r="AA3830" s="103" t="s">
        <v>47</v>
      </c>
      <c r="AB3830" s="103" t="s">
        <v>140</v>
      </c>
      <c r="AC3830" s="104" t="s">
        <v>141</v>
      </c>
    </row>
    <row r="3831" spans="1:29" ht="25.5" customHeight="1" x14ac:dyDescent="0.35">
      <c r="A3831" s="188"/>
      <c r="B3831" s="190"/>
      <c r="C3831" s="99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0"/>
      <c r="E3831" s="78" t="str">
        <f>IF(C3831="","",IFERROR(VLOOKUP(C3831,parametros!$A$11:$E$15,5,0),""))</f>
        <v/>
      </c>
      <c r="F3831" s="79" t="str">
        <f t="shared" si="297"/>
        <v/>
      </c>
      <c r="G3831" s="101"/>
      <c r="H3831" s="91">
        <f t="shared" si="298"/>
        <v>0</v>
      </c>
      <c r="I3831" s="91" t="str">
        <f t="shared" si="299"/>
        <v/>
      </c>
      <c r="J3831" s="91" t="str">
        <f t="shared" si="300"/>
        <v/>
      </c>
      <c r="K3831" s="92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2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58"/>
      <c r="U3831" s="217" t="str">
        <f t="shared" si="301"/>
        <v/>
      </c>
      <c r="V3831" s="215" t="s">
        <v>47</v>
      </c>
      <c r="W3831" s="102" t="s">
        <v>136</v>
      </c>
      <c r="X3831" s="102" t="s">
        <v>137</v>
      </c>
      <c r="Y3831" s="103" t="s">
        <v>138</v>
      </c>
      <c r="Z3831" s="103" t="s">
        <v>139</v>
      </c>
      <c r="AA3831" s="103" t="s">
        <v>47</v>
      </c>
      <c r="AB3831" s="103" t="s">
        <v>140</v>
      </c>
      <c r="AC3831" s="104" t="s">
        <v>141</v>
      </c>
    </row>
    <row r="3832" spans="1:29" ht="25.5" customHeight="1" x14ac:dyDescent="0.35">
      <c r="A3832" s="188"/>
      <c r="B3832" s="190"/>
      <c r="C3832" s="99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0"/>
      <c r="E3832" s="78" t="str">
        <f>IF(C3832="","",IFERROR(VLOOKUP(C3832,parametros!$A$11:$E$15,5,0),""))</f>
        <v/>
      </c>
      <c r="F3832" s="79" t="str">
        <f t="shared" si="297"/>
        <v/>
      </c>
      <c r="G3832" s="101"/>
      <c r="H3832" s="91">
        <f t="shared" si="298"/>
        <v>0</v>
      </c>
      <c r="I3832" s="91" t="str">
        <f t="shared" si="299"/>
        <v/>
      </c>
      <c r="J3832" s="91" t="str">
        <f t="shared" si="300"/>
        <v/>
      </c>
      <c r="K3832" s="92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2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58"/>
      <c r="U3832" s="217" t="str">
        <f t="shared" si="301"/>
        <v/>
      </c>
      <c r="V3832" s="215" t="s">
        <v>47</v>
      </c>
      <c r="W3832" s="102" t="s">
        <v>136</v>
      </c>
      <c r="X3832" s="102" t="s">
        <v>137</v>
      </c>
      <c r="Y3832" s="103" t="s">
        <v>138</v>
      </c>
      <c r="Z3832" s="103" t="s">
        <v>139</v>
      </c>
      <c r="AA3832" s="103" t="s">
        <v>47</v>
      </c>
      <c r="AB3832" s="103" t="s">
        <v>140</v>
      </c>
      <c r="AC3832" s="104" t="s">
        <v>141</v>
      </c>
    </row>
    <row r="3833" spans="1:29" ht="25.5" customHeight="1" x14ac:dyDescent="0.35">
      <c r="A3833" s="188"/>
      <c r="B3833" s="190"/>
      <c r="C3833" s="99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0"/>
      <c r="E3833" s="78" t="str">
        <f>IF(C3833="","",IFERROR(VLOOKUP(C3833,parametros!$A$11:$E$15,5,0),""))</f>
        <v/>
      </c>
      <c r="F3833" s="79" t="str">
        <f t="shared" si="297"/>
        <v/>
      </c>
      <c r="G3833" s="101"/>
      <c r="H3833" s="91">
        <f t="shared" si="298"/>
        <v>0</v>
      </c>
      <c r="I3833" s="91" t="str">
        <f t="shared" si="299"/>
        <v/>
      </c>
      <c r="J3833" s="91" t="str">
        <f t="shared" si="300"/>
        <v/>
      </c>
      <c r="K3833" s="92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2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58"/>
      <c r="U3833" s="217" t="str">
        <f t="shared" si="301"/>
        <v/>
      </c>
      <c r="V3833" s="215" t="s">
        <v>47</v>
      </c>
      <c r="W3833" s="102" t="s">
        <v>136</v>
      </c>
      <c r="X3833" s="102" t="s">
        <v>137</v>
      </c>
      <c r="Y3833" s="103" t="s">
        <v>138</v>
      </c>
      <c r="Z3833" s="103" t="s">
        <v>139</v>
      </c>
      <c r="AA3833" s="103" t="s">
        <v>47</v>
      </c>
      <c r="AB3833" s="103" t="s">
        <v>140</v>
      </c>
      <c r="AC3833" s="104" t="s">
        <v>141</v>
      </c>
    </row>
    <row r="3834" spans="1:29" ht="25.5" customHeight="1" x14ac:dyDescent="0.35">
      <c r="A3834" s="188"/>
      <c r="B3834" s="190"/>
      <c r="C3834" s="99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0"/>
      <c r="E3834" s="78" t="str">
        <f>IF(C3834="","",IFERROR(VLOOKUP(C3834,parametros!$A$11:$E$15,5,0),""))</f>
        <v/>
      </c>
      <c r="F3834" s="79" t="str">
        <f t="shared" si="297"/>
        <v/>
      </c>
      <c r="G3834" s="101"/>
      <c r="H3834" s="91">
        <f t="shared" si="298"/>
        <v>0</v>
      </c>
      <c r="I3834" s="91" t="str">
        <f t="shared" si="299"/>
        <v/>
      </c>
      <c r="J3834" s="91" t="str">
        <f t="shared" si="300"/>
        <v/>
      </c>
      <c r="K3834" s="92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2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58"/>
      <c r="U3834" s="217" t="str">
        <f t="shared" si="301"/>
        <v/>
      </c>
      <c r="V3834" s="215" t="s">
        <v>47</v>
      </c>
      <c r="W3834" s="102" t="s">
        <v>136</v>
      </c>
      <c r="X3834" s="102" t="s">
        <v>137</v>
      </c>
      <c r="Y3834" s="103" t="s">
        <v>138</v>
      </c>
      <c r="Z3834" s="103" t="s">
        <v>139</v>
      </c>
      <c r="AA3834" s="103" t="s">
        <v>47</v>
      </c>
      <c r="AB3834" s="103" t="s">
        <v>140</v>
      </c>
      <c r="AC3834" s="104" t="s">
        <v>141</v>
      </c>
    </row>
    <row r="3835" spans="1:29" ht="25.5" customHeight="1" x14ac:dyDescent="0.35">
      <c r="A3835" s="188"/>
      <c r="B3835" s="190"/>
      <c r="C3835" s="99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0"/>
      <c r="E3835" s="78" t="str">
        <f>IF(C3835="","",IFERROR(VLOOKUP(C3835,parametros!$A$11:$E$15,5,0),""))</f>
        <v/>
      </c>
      <c r="F3835" s="79" t="str">
        <f t="shared" si="297"/>
        <v/>
      </c>
      <c r="G3835" s="101"/>
      <c r="H3835" s="91">
        <f t="shared" si="298"/>
        <v>0</v>
      </c>
      <c r="I3835" s="91" t="str">
        <f t="shared" si="299"/>
        <v/>
      </c>
      <c r="J3835" s="91" t="str">
        <f t="shared" si="300"/>
        <v/>
      </c>
      <c r="K3835" s="92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2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58"/>
      <c r="U3835" s="217" t="str">
        <f t="shared" si="301"/>
        <v/>
      </c>
      <c r="V3835" s="215" t="s">
        <v>47</v>
      </c>
      <c r="W3835" s="102" t="s">
        <v>136</v>
      </c>
      <c r="X3835" s="102" t="s">
        <v>137</v>
      </c>
      <c r="Y3835" s="103" t="s">
        <v>138</v>
      </c>
      <c r="Z3835" s="103" t="s">
        <v>139</v>
      </c>
      <c r="AA3835" s="103" t="s">
        <v>47</v>
      </c>
      <c r="AB3835" s="103" t="s">
        <v>140</v>
      </c>
      <c r="AC3835" s="104" t="s">
        <v>141</v>
      </c>
    </row>
    <row r="3836" spans="1:29" ht="25.5" customHeight="1" x14ac:dyDescent="0.35">
      <c r="A3836" s="188"/>
      <c r="B3836" s="190"/>
      <c r="C3836" s="99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0"/>
      <c r="E3836" s="78" t="str">
        <f>IF(C3836="","",IFERROR(VLOOKUP(C3836,parametros!$A$11:$E$15,5,0),""))</f>
        <v/>
      </c>
      <c r="F3836" s="79" t="str">
        <f t="shared" si="297"/>
        <v/>
      </c>
      <c r="G3836" s="101"/>
      <c r="H3836" s="91">
        <f t="shared" si="298"/>
        <v>0</v>
      </c>
      <c r="I3836" s="91" t="str">
        <f t="shared" si="299"/>
        <v/>
      </c>
      <c r="J3836" s="91" t="str">
        <f t="shared" si="300"/>
        <v/>
      </c>
      <c r="K3836" s="92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2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58"/>
      <c r="U3836" s="217" t="str">
        <f t="shared" si="301"/>
        <v/>
      </c>
      <c r="V3836" s="215" t="s">
        <v>47</v>
      </c>
      <c r="W3836" s="102" t="s">
        <v>136</v>
      </c>
      <c r="X3836" s="102" t="s">
        <v>137</v>
      </c>
      <c r="Y3836" s="103" t="s">
        <v>138</v>
      </c>
      <c r="Z3836" s="103" t="s">
        <v>139</v>
      </c>
      <c r="AA3836" s="103" t="s">
        <v>47</v>
      </c>
      <c r="AB3836" s="103" t="s">
        <v>140</v>
      </c>
      <c r="AC3836" s="104" t="s">
        <v>141</v>
      </c>
    </row>
    <row r="3837" spans="1:29" ht="25.5" customHeight="1" x14ac:dyDescent="0.35">
      <c r="A3837" s="188"/>
      <c r="B3837" s="190"/>
      <c r="C3837" s="99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0"/>
      <c r="E3837" s="78" t="str">
        <f>IF(C3837="","",IFERROR(VLOOKUP(C3837,parametros!$A$11:$E$15,5,0),""))</f>
        <v/>
      </c>
      <c r="F3837" s="79" t="str">
        <f t="shared" si="297"/>
        <v/>
      </c>
      <c r="G3837" s="101"/>
      <c r="H3837" s="91">
        <f t="shared" si="298"/>
        <v>0</v>
      </c>
      <c r="I3837" s="91" t="str">
        <f t="shared" si="299"/>
        <v/>
      </c>
      <c r="J3837" s="91" t="str">
        <f t="shared" si="300"/>
        <v/>
      </c>
      <c r="K3837" s="92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2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58"/>
      <c r="U3837" s="217" t="str">
        <f t="shared" si="301"/>
        <v/>
      </c>
      <c r="V3837" s="215" t="s">
        <v>47</v>
      </c>
      <c r="W3837" s="102" t="s">
        <v>136</v>
      </c>
      <c r="X3837" s="102" t="s">
        <v>137</v>
      </c>
      <c r="Y3837" s="103" t="s">
        <v>138</v>
      </c>
      <c r="Z3837" s="103" t="s">
        <v>139</v>
      </c>
      <c r="AA3837" s="103" t="s">
        <v>47</v>
      </c>
      <c r="AB3837" s="103" t="s">
        <v>140</v>
      </c>
      <c r="AC3837" s="104" t="s">
        <v>141</v>
      </c>
    </row>
    <row r="3838" spans="1:29" ht="25.5" customHeight="1" x14ac:dyDescent="0.35">
      <c r="A3838" s="188"/>
      <c r="B3838" s="190"/>
      <c r="C3838" s="99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0"/>
      <c r="E3838" s="78" t="str">
        <f>IF(C3838="","",IFERROR(VLOOKUP(C3838,parametros!$A$11:$E$15,5,0),""))</f>
        <v/>
      </c>
      <c r="F3838" s="79" t="str">
        <f t="shared" si="297"/>
        <v/>
      </c>
      <c r="G3838" s="101"/>
      <c r="H3838" s="91">
        <f t="shared" si="298"/>
        <v>0</v>
      </c>
      <c r="I3838" s="91" t="str">
        <f t="shared" si="299"/>
        <v/>
      </c>
      <c r="J3838" s="91" t="str">
        <f t="shared" si="300"/>
        <v/>
      </c>
      <c r="K3838" s="92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2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58"/>
      <c r="U3838" s="217" t="str">
        <f t="shared" si="301"/>
        <v/>
      </c>
      <c r="V3838" s="215" t="s">
        <v>47</v>
      </c>
      <c r="W3838" s="102" t="s">
        <v>136</v>
      </c>
      <c r="X3838" s="102" t="s">
        <v>137</v>
      </c>
      <c r="Y3838" s="103" t="s">
        <v>138</v>
      </c>
      <c r="Z3838" s="103" t="s">
        <v>139</v>
      </c>
      <c r="AA3838" s="103" t="s">
        <v>47</v>
      </c>
      <c r="AB3838" s="103" t="s">
        <v>140</v>
      </c>
      <c r="AC3838" s="104" t="s">
        <v>141</v>
      </c>
    </row>
    <row r="3839" spans="1:29" ht="25.5" customHeight="1" x14ac:dyDescent="0.35">
      <c r="A3839" s="188"/>
      <c r="B3839" s="190"/>
      <c r="C3839" s="99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0"/>
      <c r="E3839" s="78" t="str">
        <f>IF(C3839="","",IFERROR(VLOOKUP(C3839,parametros!$A$11:$E$15,5,0),""))</f>
        <v/>
      </c>
      <c r="F3839" s="79" t="str">
        <f t="shared" si="297"/>
        <v/>
      </c>
      <c r="G3839" s="101"/>
      <c r="H3839" s="91">
        <f t="shared" si="298"/>
        <v>0</v>
      </c>
      <c r="I3839" s="91" t="str">
        <f t="shared" si="299"/>
        <v/>
      </c>
      <c r="J3839" s="91" t="str">
        <f t="shared" si="300"/>
        <v/>
      </c>
      <c r="K3839" s="92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2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58"/>
      <c r="U3839" s="217" t="str">
        <f t="shared" si="301"/>
        <v/>
      </c>
      <c r="V3839" s="215" t="s">
        <v>47</v>
      </c>
      <c r="W3839" s="102" t="s">
        <v>136</v>
      </c>
      <c r="X3839" s="102" t="s">
        <v>137</v>
      </c>
      <c r="Y3839" s="103" t="s">
        <v>138</v>
      </c>
      <c r="Z3839" s="103" t="s">
        <v>139</v>
      </c>
      <c r="AA3839" s="103" t="s">
        <v>47</v>
      </c>
      <c r="AB3839" s="103" t="s">
        <v>140</v>
      </c>
      <c r="AC3839" s="104" t="s">
        <v>141</v>
      </c>
    </row>
    <row r="3840" spans="1:29" ht="25.5" customHeight="1" x14ac:dyDescent="0.35">
      <c r="A3840" s="188"/>
      <c r="B3840" s="190"/>
      <c r="C3840" s="99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0"/>
      <c r="E3840" s="78" t="str">
        <f>IF(C3840="","",IFERROR(VLOOKUP(C3840,parametros!$A$11:$E$15,5,0),""))</f>
        <v/>
      </c>
      <c r="F3840" s="79" t="str">
        <f t="shared" si="297"/>
        <v/>
      </c>
      <c r="G3840" s="101"/>
      <c r="H3840" s="91">
        <f t="shared" si="298"/>
        <v>0</v>
      </c>
      <c r="I3840" s="91" t="str">
        <f t="shared" si="299"/>
        <v/>
      </c>
      <c r="J3840" s="91" t="str">
        <f t="shared" si="300"/>
        <v/>
      </c>
      <c r="K3840" s="92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2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58"/>
      <c r="U3840" s="217" t="str">
        <f t="shared" si="301"/>
        <v/>
      </c>
      <c r="V3840" s="215" t="s">
        <v>47</v>
      </c>
      <c r="W3840" s="102" t="s">
        <v>136</v>
      </c>
      <c r="X3840" s="102" t="s">
        <v>137</v>
      </c>
      <c r="Y3840" s="103" t="s">
        <v>138</v>
      </c>
      <c r="Z3840" s="103" t="s">
        <v>139</v>
      </c>
      <c r="AA3840" s="103" t="s">
        <v>47</v>
      </c>
      <c r="AB3840" s="103" t="s">
        <v>140</v>
      </c>
      <c r="AC3840" s="104" t="s">
        <v>141</v>
      </c>
    </row>
    <row r="3841" spans="1:29" ht="25.5" customHeight="1" x14ac:dyDescent="0.35">
      <c r="A3841" s="188"/>
      <c r="B3841" s="190"/>
      <c r="C3841" s="99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0"/>
      <c r="E3841" s="78" t="str">
        <f>IF(C3841="","",IFERROR(VLOOKUP(C3841,parametros!$A$11:$E$15,5,0),""))</f>
        <v/>
      </c>
      <c r="F3841" s="79" t="str">
        <f t="shared" si="297"/>
        <v/>
      </c>
      <c r="G3841" s="101"/>
      <c r="H3841" s="91">
        <f t="shared" si="298"/>
        <v>0</v>
      </c>
      <c r="I3841" s="91" t="str">
        <f t="shared" si="299"/>
        <v/>
      </c>
      <c r="J3841" s="91" t="str">
        <f t="shared" si="300"/>
        <v/>
      </c>
      <c r="K3841" s="92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2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58"/>
      <c r="U3841" s="217" t="str">
        <f t="shared" si="301"/>
        <v/>
      </c>
      <c r="V3841" s="215" t="s">
        <v>47</v>
      </c>
      <c r="W3841" s="102" t="s">
        <v>136</v>
      </c>
      <c r="X3841" s="102" t="s">
        <v>137</v>
      </c>
      <c r="Y3841" s="103" t="s">
        <v>138</v>
      </c>
      <c r="Z3841" s="103" t="s">
        <v>139</v>
      </c>
      <c r="AA3841" s="103" t="s">
        <v>47</v>
      </c>
      <c r="AB3841" s="103" t="s">
        <v>140</v>
      </c>
      <c r="AC3841" s="104" t="s">
        <v>141</v>
      </c>
    </row>
    <row r="3842" spans="1:29" ht="25.5" customHeight="1" x14ac:dyDescent="0.35">
      <c r="A3842" s="188"/>
      <c r="B3842" s="190"/>
      <c r="C3842" s="99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0"/>
      <c r="E3842" s="78" t="str">
        <f>IF(C3842="","",IFERROR(VLOOKUP(C3842,parametros!$A$11:$E$15,5,0),""))</f>
        <v/>
      </c>
      <c r="F3842" s="79" t="str">
        <f t="shared" ref="F3842:F3905" si="302">IF(OR(D3842="",E3842=""),"",ROUND(D3842*E3842,2))</f>
        <v/>
      </c>
      <c r="G3842" s="101"/>
      <c r="H3842" s="91">
        <f t="shared" ref="H3842:H3905" si="303">IF(G3842="Sim",IF(OR(F3842="",D3842="",L3842=""),"",IF(L3842="Sim",ROUND(F3842-D3842,2),0)),0)</f>
        <v>0</v>
      </c>
      <c r="I3842" s="91" t="str">
        <f t="shared" ref="I3842:I3905" si="304">IF(G3842="Sim",0,IF(OR(F3842="",L3842=""),"",F3842))</f>
        <v/>
      </c>
      <c r="J3842" s="91" t="str">
        <f t="shared" ref="J3842:J3905" si="305">IF(G3842="Sim",0,IF(OR(F3842="",D3842="",L3842=""),"",IF(L3842="Sim",ROUND(F3842-D3842,2),0)))</f>
        <v/>
      </c>
      <c r="K3842" s="92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2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58"/>
      <c r="U3842" s="217" t="str">
        <f t="shared" ref="U3842:U3905" si="306">IF(OR($D3842="",$H3842=""),"",ROUND($D3842+$H3842,2))</f>
        <v/>
      </c>
      <c r="V3842" s="215" t="s">
        <v>47</v>
      </c>
      <c r="W3842" s="102" t="s">
        <v>136</v>
      </c>
      <c r="X3842" s="102" t="s">
        <v>137</v>
      </c>
      <c r="Y3842" s="103" t="s">
        <v>138</v>
      </c>
      <c r="Z3842" s="103" t="s">
        <v>139</v>
      </c>
      <c r="AA3842" s="103" t="s">
        <v>47</v>
      </c>
      <c r="AB3842" s="103" t="s">
        <v>140</v>
      </c>
      <c r="AC3842" s="104" t="s">
        <v>141</v>
      </c>
    </row>
    <row r="3843" spans="1:29" ht="25.5" customHeight="1" x14ac:dyDescent="0.35">
      <c r="A3843" s="188"/>
      <c r="B3843" s="190"/>
      <c r="C3843" s="99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0"/>
      <c r="E3843" s="78" t="str">
        <f>IF(C3843="","",IFERROR(VLOOKUP(C3843,parametros!$A$11:$E$15,5,0),""))</f>
        <v/>
      </c>
      <c r="F3843" s="79" t="str">
        <f t="shared" si="302"/>
        <v/>
      </c>
      <c r="G3843" s="101"/>
      <c r="H3843" s="91">
        <f t="shared" si="303"/>
        <v>0</v>
      </c>
      <c r="I3843" s="91" t="str">
        <f t="shared" si="304"/>
        <v/>
      </c>
      <c r="J3843" s="91" t="str">
        <f t="shared" si="305"/>
        <v/>
      </c>
      <c r="K3843" s="92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2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58"/>
      <c r="U3843" s="217" t="str">
        <f t="shared" si="306"/>
        <v/>
      </c>
      <c r="V3843" s="215" t="s">
        <v>47</v>
      </c>
      <c r="W3843" s="102" t="s">
        <v>136</v>
      </c>
      <c r="X3843" s="102" t="s">
        <v>137</v>
      </c>
      <c r="Y3843" s="103" t="s">
        <v>138</v>
      </c>
      <c r="Z3843" s="103" t="s">
        <v>139</v>
      </c>
      <c r="AA3843" s="103" t="s">
        <v>47</v>
      </c>
      <c r="AB3843" s="103" t="s">
        <v>140</v>
      </c>
      <c r="AC3843" s="104" t="s">
        <v>141</v>
      </c>
    </row>
    <row r="3844" spans="1:29" ht="25.5" customHeight="1" x14ac:dyDescent="0.35">
      <c r="A3844" s="188"/>
      <c r="B3844" s="190"/>
      <c r="C3844" s="99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0"/>
      <c r="E3844" s="78" t="str">
        <f>IF(C3844="","",IFERROR(VLOOKUP(C3844,parametros!$A$11:$E$15,5,0),""))</f>
        <v/>
      </c>
      <c r="F3844" s="79" t="str">
        <f t="shared" si="302"/>
        <v/>
      </c>
      <c r="G3844" s="101"/>
      <c r="H3844" s="91">
        <f t="shared" si="303"/>
        <v>0</v>
      </c>
      <c r="I3844" s="91" t="str">
        <f t="shared" si="304"/>
        <v/>
      </c>
      <c r="J3844" s="91" t="str">
        <f t="shared" si="305"/>
        <v/>
      </c>
      <c r="K3844" s="92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2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58"/>
      <c r="U3844" s="217" t="str">
        <f t="shared" si="306"/>
        <v/>
      </c>
      <c r="V3844" s="215" t="s">
        <v>47</v>
      </c>
      <c r="W3844" s="102" t="s">
        <v>136</v>
      </c>
      <c r="X3844" s="102" t="s">
        <v>137</v>
      </c>
      <c r="Y3844" s="103" t="s">
        <v>138</v>
      </c>
      <c r="Z3844" s="103" t="s">
        <v>139</v>
      </c>
      <c r="AA3844" s="103" t="s">
        <v>47</v>
      </c>
      <c r="AB3844" s="103" t="s">
        <v>140</v>
      </c>
      <c r="AC3844" s="104" t="s">
        <v>141</v>
      </c>
    </row>
    <row r="3845" spans="1:29" ht="25.5" customHeight="1" x14ac:dyDescent="0.35">
      <c r="A3845" s="188"/>
      <c r="B3845" s="190"/>
      <c r="C3845" s="99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0"/>
      <c r="E3845" s="78" t="str">
        <f>IF(C3845="","",IFERROR(VLOOKUP(C3845,parametros!$A$11:$E$15,5,0),""))</f>
        <v/>
      </c>
      <c r="F3845" s="79" t="str">
        <f t="shared" si="302"/>
        <v/>
      </c>
      <c r="G3845" s="101"/>
      <c r="H3845" s="91">
        <f t="shared" si="303"/>
        <v>0</v>
      </c>
      <c r="I3845" s="91" t="str">
        <f t="shared" si="304"/>
        <v/>
      </c>
      <c r="J3845" s="91" t="str">
        <f t="shared" si="305"/>
        <v/>
      </c>
      <c r="K3845" s="92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2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58"/>
      <c r="U3845" s="217" t="str">
        <f t="shared" si="306"/>
        <v/>
      </c>
      <c r="V3845" s="215" t="s">
        <v>47</v>
      </c>
      <c r="W3845" s="102" t="s">
        <v>136</v>
      </c>
      <c r="X3845" s="102" t="s">
        <v>137</v>
      </c>
      <c r="Y3845" s="103" t="s">
        <v>138</v>
      </c>
      <c r="Z3845" s="103" t="s">
        <v>139</v>
      </c>
      <c r="AA3845" s="103" t="s">
        <v>47</v>
      </c>
      <c r="AB3845" s="103" t="s">
        <v>140</v>
      </c>
      <c r="AC3845" s="104" t="s">
        <v>141</v>
      </c>
    </row>
    <row r="3846" spans="1:29" ht="25.5" customHeight="1" x14ac:dyDescent="0.35">
      <c r="A3846" s="188"/>
      <c r="B3846" s="190"/>
      <c r="C3846" s="99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0"/>
      <c r="E3846" s="78" t="str">
        <f>IF(C3846="","",IFERROR(VLOOKUP(C3846,parametros!$A$11:$E$15,5,0),""))</f>
        <v/>
      </c>
      <c r="F3846" s="79" t="str">
        <f t="shared" si="302"/>
        <v/>
      </c>
      <c r="G3846" s="101"/>
      <c r="H3846" s="91">
        <f t="shared" si="303"/>
        <v>0</v>
      </c>
      <c r="I3846" s="91" t="str">
        <f t="shared" si="304"/>
        <v/>
      </c>
      <c r="J3846" s="91" t="str">
        <f t="shared" si="305"/>
        <v/>
      </c>
      <c r="K3846" s="92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2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58"/>
      <c r="U3846" s="217" t="str">
        <f t="shared" si="306"/>
        <v/>
      </c>
      <c r="V3846" s="215" t="s">
        <v>47</v>
      </c>
      <c r="W3846" s="102" t="s">
        <v>136</v>
      </c>
      <c r="X3846" s="102" t="s">
        <v>137</v>
      </c>
      <c r="Y3846" s="103" t="s">
        <v>138</v>
      </c>
      <c r="Z3846" s="103" t="s">
        <v>139</v>
      </c>
      <c r="AA3846" s="103" t="s">
        <v>47</v>
      </c>
      <c r="AB3846" s="103" t="s">
        <v>140</v>
      </c>
      <c r="AC3846" s="104" t="s">
        <v>141</v>
      </c>
    </row>
    <row r="3847" spans="1:29" ht="25.5" customHeight="1" x14ac:dyDescent="0.35">
      <c r="A3847" s="188"/>
      <c r="B3847" s="190"/>
      <c r="C3847" s="99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0"/>
      <c r="E3847" s="78" t="str">
        <f>IF(C3847="","",IFERROR(VLOOKUP(C3847,parametros!$A$11:$E$15,5,0),""))</f>
        <v/>
      </c>
      <c r="F3847" s="79" t="str">
        <f t="shared" si="302"/>
        <v/>
      </c>
      <c r="G3847" s="101"/>
      <c r="H3847" s="91">
        <f t="shared" si="303"/>
        <v>0</v>
      </c>
      <c r="I3847" s="91" t="str">
        <f t="shared" si="304"/>
        <v/>
      </c>
      <c r="J3847" s="91" t="str">
        <f t="shared" si="305"/>
        <v/>
      </c>
      <c r="K3847" s="92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2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58"/>
      <c r="U3847" s="217" t="str">
        <f t="shared" si="306"/>
        <v/>
      </c>
      <c r="V3847" s="215" t="s">
        <v>47</v>
      </c>
      <c r="W3847" s="102" t="s">
        <v>136</v>
      </c>
      <c r="X3847" s="102" t="s">
        <v>137</v>
      </c>
      <c r="Y3847" s="103" t="s">
        <v>138</v>
      </c>
      <c r="Z3847" s="103" t="s">
        <v>139</v>
      </c>
      <c r="AA3847" s="103" t="s">
        <v>47</v>
      </c>
      <c r="AB3847" s="103" t="s">
        <v>140</v>
      </c>
      <c r="AC3847" s="104" t="s">
        <v>141</v>
      </c>
    </row>
    <row r="3848" spans="1:29" ht="25.5" customHeight="1" x14ac:dyDescent="0.35">
      <c r="A3848" s="188"/>
      <c r="B3848" s="190"/>
      <c r="C3848" s="99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0"/>
      <c r="E3848" s="78" t="str">
        <f>IF(C3848="","",IFERROR(VLOOKUP(C3848,parametros!$A$11:$E$15,5,0),""))</f>
        <v/>
      </c>
      <c r="F3848" s="79" t="str">
        <f t="shared" si="302"/>
        <v/>
      </c>
      <c r="G3848" s="101"/>
      <c r="H3848" s="91">
        <f t="shared" si="303"/>
        <v>0</v>
      </c>
      <c r="I3848" s="91" t="str">
        <f t="shared" si="304"/>
        <v/>
      </c>
      <c r="J3848" s="91" t="str">
        <f t="shared" si="305"/>
        <v/>
      </c>
      <c r="K3848" s="92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2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58"/>
      <c r="U3848" s="217" t="str">
        <f t="shared" si="306"/>
        <v/>
      </c>
      <c r="V3848" s="215" t="s">
        <v>47</v>
      </c>
      <c r="W3848" s="102" t="s">
        <v>136</v>
      </c>
      <c r="X3848" s="102" t="s">
        <v>137</v>
      </c>
      <c r="Y3848" s="103" t="s">
        <v>138</v>
      </c>
      <c r="Z3848" s="103" t="s">
        <v>139</v>
      </c>
      <c r="AA3848" s="103" t="s">
        <v>47</v>
      </c>
      <c r="AB3848" s="103" t="s">
        <v>140</v>
      </c>
      <c r="AC3848" s="104" t="s">
        <v>141</v>
      </c>
    </row>
    <row r="3849" spans="1:29" ht="25.5" customHeight="1" x14ac:dyDescent="0.35">
      <c r="A3849" s="188"/>
      <c r="B3849" s="190"/>
      <c r="C3849" s="99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0"/>
      <c r="E3849" s="78" t="str">
        <f>IF(C3849="","",IFERROR(VLOOKUP(C3849,parametros!$A$11:$E$15,5,0),""))</f>
        <v/>
      </c>
      <c r="F3849" s="79" t="str">
        <f t="shared" si="302"/>
        <v/>
      </c>
      <c r="G3849" s="101"/>
      <c r="H3849" s="91">
        <f t="shared" si="303"/>
        <v>0</v>
      </c>
      <c r="I3849" s="91" t="str">
        <f t="shared" si="304"/>
        <v/>
      </c>
      <c r="J3849" s="91" t="str">
        <f t="shared" si="305"/>
        <v/>
      </c>
      <c r="K3849" s="92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2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58"/>
      <c r="U3849" s="217" t="str">
        <f t="shared" si="306"/>
        <v/>
      </c>
      <c r="V3849" s="215" t="s">
        <v>47</v>
      </c>
      <c r="W3849" s="102" t="s">
        <v>136</v>
      </c>
      <c r="X3849" s="102" t="s">
        <v>137</v>
      </c>
      <c r="Y3849" s="103" t="s">
        <v>138</v>
      </c>
      <c r="Z3849" s="103" t="s">
        <v>139</v>
      </c>
      <c r="AA3849" s="103" t="s">
        <v>47</v>
      </c>
      <c r="AB3849" s="103" t="s">
        <v>140</v>
      </c>
      <c r="AC3849" s="104" t="s">
        <v>141</v>
      </c>
    </row>
    <row r="3850" spans="1:29" ht="25.5" customHeight="1" x14ac:dyDescent="0.35">
      <c r="A3850" s="188"/>
      <c r="B3850" s="190"/>
      <c r="C3850" s="99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0"/>
      <c r="E3850" s="78" t="str">
        <f>IF(C3850="","",IFERROR(VLOOKUP(C3850,parametros!$A$11:$E$15,5,0),""))</f>
        <v/>
      </c>
      <c r="F3850" s="79" t="str">
        <f t="shared" si="302"/>
        <v/>
      </c>
      <c r="G3850" s="101"/>
      <c r="H3850" s="91">
        <f t="shared" si="303"/>
        <v>0</v>
      </c>
      <c r="I3850" s="91" t="str">
        <f t="shared" si="304"/>
        <v/>
      </c>
      <c r="J3850" s="91" t="str">
        <f t="shared" si="305"/>
        <v/>
      </c>
      <c r="K3850" s="92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2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58"/>
      <c r="U3850" s="217" t="str">
        <f t="shared" si="306"/>
        <v/>
      </c>
      <c r="V3850" s="215" t="s">
        <v>47</v>
      </c>
      <c r="W3850" s="102" t="s">
        <v>136</v>
      </c>
      <c r="X3850" s="102" t="s">
        <v>137</v>
      </c>
      <c r="Y3850" s="103" t="s">
        <v>138</v>
      </c>
      <c r="Z3850" s="103" t="s">
        <v>139</v>
      </c>
      <c r="AA3850" s="103" t="s">
        <v>47</v>
      </c>
      <c r="AB3850" s="103" t="s">
        <v>140</v>
      </c>
      <c r="AC3850" s="104" t="s">
        <v>141</v>
      </c>
    </row>
    <row r="3851" spans="1:29" ht="25.5" customHeight="1" x14ac:dyDescent="0.35">
      <c r="A3851" s="188"/>
      <c r="B3851" s="190"/>
      <c r="C3851" s="99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0"/>
      <c r="E3851" s="78" t="str">
        <f>IF(C3851="","",IFERROR(VLOOKUP(C3851,parametros!$A$11:$E$15,5,0),""))</f>
        <v/>
      </c>
      <c r="F3851" s="79" t="str">
        <f t="shared" si="302"/>
        <v/>
      </c>
      <c r="G3851" s="101"/>
      <c r="H3851" s="91">
        <f t="shared" si="303"/>
        <v>0</v>
      </c>
      <c r="I3851" s="91" t="str">
        <f t="shared" si="304"/>
        <v/>
      </c>
      <c r="J3851" s="91" t="str">
        <f t="shared" si="305"/>
        <v/>
      </c>
      <c r="K3851" s="92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2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58"/>
      <c r="U3851" s="217" t="str">
        <f t="shared" si="306"/>
        <v/>
      </c>
      <c r="V3851" s="215" t="s">
        <v>47</v>
      </c>
      <c r="W3851" s="102" t="s">
        <v>136</v>
      </c>
      <c r="X3851" s="102" t="s">
        <v>137</v>
      </c>
      <c r="Y3851" s="103" t="s">
        <v>138</v>
      </c>
      <c r="Z3851" s="103" t="s">
        <v>139</v>
      </c>
      <c r="AA3851" s="103" t="s">
        <v>47</v>
      </c>
      <c r="AB3851" s="103" t="s">
        <v>140</v>
      </c>
      <c r="AC3851" s="104" t="s">
        <v>141</v>
      </c>
    </row>
    <row r="3852" spans="1:29" ht="25.5" customHeight="1" x14ac:dyDescent="0.35">
      <c r="A3852" s="188"/>
      <c r="B3852" s="190"/>
      <c r="C3852" s="99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0"/>
      <c r="E3852" s="78" t="str">
        <f>IF(C3852="","",IFERROR(VLOOKUP(C3852,parametros!$A$11:$E$15,5,0),""))</f>
        <v/>
      </c>
      <c r="F3852" s="79" t="str">
        <f t="shared" si="302"/>
        <v/>
      </c>
      <c r="G3852" s="101"/>
      <c r="H3852" s="91">
        <f t="shared" si="303"/>
        <v>0</v>
      </c>
      <c r="I3852" s="91" t="str">
        <f t="shared" si="304"/>
        <v/>
      </c>
      <c r="J3852" s="91" t="str">
        <f t="shared" si="305"/>
        <v/>
      </c>
      <c r="K3852" s="92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2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58"/>
      <c r="U3852" s="217" t="str">
        <f t="shared" si="306"/>
        <v/>
      </c>
      <c r="V3852" s="215" t="s">
        <v>47</v>
      </c>
      <c r="W3852" s="102" t="s">
        <v>136</v>
      </c>
      <c r="X3852" s="102" t="s">
        <v>137</v>
      </c>
      <c r="Y3852" s="103" t="s">
        <v>138</v>
      </c>
      <c r="Z3852" s="103" t="s">
        <v>139</v>
      </c>
      <c r="AA3852" s="103" t="s">
        <v>47</v>
      </c>
      <c r="AB3852" s="103" t="s">
        <v>140</v>
      </c>
      <c r="AC3852" s="104" t="s">
        <v>141</v>
      </c>
    </row>
    <row r="3853" spans="1:29" ht="25.5" customHeight="1" x14ac:dyDescent="0.35">
      <c r="A3853" s="188"/>
      <c r="B3853" s="190"/>
      <c r="C3853" s="99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0"/>
      <c r="E3853" s="78" t="str">
        <f>IF(C3853="","",IFERROR(VLOOKUP(C3853,parametros!$A$11:$E$15,5,0),""))</f>
        <v/>
      </c>
      <c r="F3853" s="79" t="str">
        <f t="shared" si="302"/>
        <v/>
      </c>
      <c r="G3853" s="101"/>
      <c r="H3853" s="91">
        <f t="shared" si="303"/>
        <v>0</v>
      </c>
      <c r="I3853" s="91" t="str">
        <f t="shared" si="304"/>
        <v/>
      </c>
      <c r="J3853" s="91" t="str">
        <f t="shared" si="305"/>
        <v/>
      </c>
      <c r="K3853" s="92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2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58"/>
      <c r="U3853" s="217" t="str">
        <f t="shared" si="306"/>
        <v/>
      </c>
      <c r="V3853" s="215" t="s">
        <v>47</v>
      </c>
      <c r="W3853" s="102" t="s">
        <v>136</v>
      </c>
      <c r="X3853" s="102" t="s">
        <v>137</v>
      </c>
      <c r="Y3853" s="103" t="s">
        <v>138</v>
      </c>
      <c r="Z3853" s="103" t="s">
        <v>139</v>
      </c>
      <c r="AA3853" s="103" t="s">
        <v>47</v>
      </c>
      <c r="AB3853" s="103" t="s">
        <v>140</v>
      </c>
      <c r="AC3853" s="104" t="s">
        <v>141</v>
      </c>
    </row>
    <row r="3854" spans="1:29" ht="25.5" customHeight="1" x14ac:dyDescent="0.35">
      <c r="A3854" s="188"/>
      <c r="B3854" s="190"/>
      <c r="C3854" s="99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0"/>
      <c r="E3854" s="78" t="str">
        <f>IF(C3854="","",IFERROR(VLOOKUP(C3854,parametros!$A$11:$E$15,5,0),""))</f>
        <v/>
      </c>
      <c r="F3854" s="79" t="str">
        <f t="shared" si="302"/>
        <v/>
      </c>
      <c r="G3854" s="101"/>
      <c r="H3854" s="91">
        <f t="shared" si="303"/>
        <v>0</v>
      </c>
      <c r="I3854" s="91" t="str">
        <f t="shared" si="304"/>
        <v/>
      </c>
      <c r="J3854" s="91" t="str">
        <f t="shared" si="305"/>
        <v/>
      </c>
      <c r="K3854" s="92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2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58"/>
      <c r="U3854" s="217" t="str">
        <f t="shared" si="306"/>
        <v/>
      </c>
      <c r="V3854" s="215" t="s">
        <v>47</v>
      </c>
      <c r="W3854" s="102" t="s">
        <v>136</v>
      </c>
      <c r="X3854" s="102" t="s">
        <v>137</v>
      </c>
      <c r="Y3854" s="103" t="s">
        <v>138</v>
      </c>
      <c r="Z3854" s="103" t="s">
        <v>139</v>
      </c>
      <c r="AA3854" s="103" t="s">
        <v>47</v>
      </c>
      <c r="AB3854" s="103" t="s">
        <v>140</v>
      </c>
      <c r="AC3854" s="104" t="s">
        <v>141</v>
      </c>
    </row>
    <row r="3855" spans="1:29" ht="25.5" customHeight="1" x14ac:dyDescent="0.35">
      <c r="A3855" s="188"/>
      <c r="B3855" s="190"/>
      <c r="C3855" s="99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0"/>
      <c r="E3855" s="78" t="str">
        <f>IF(C3855="","",IFERROR(VLOOKUP(C3855,parametros!$A$11:$E$15,5,0),""))</f>
        <v/>
      </c>
      <c r="F3855" s="79" t="str">
        <f t="shared" si="302"/>
        <v/>
      </c>
      <c r="G3855" s="101"/>
      <c r="H3855" s="91">
        <f t="shared" si="303"/>
        <v>0</v>
      </c>
      <c r="I3855" s="91" t="str">
        <f t="shared" si="304"/>
        <v/>
      </c>
      <c r="J3855" s="91" t="str">
        <f t="shared" si="305"/>
        <v/>
      </c>
      <c r="K3855" s="92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2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58"/>
      <c r="U3855" s="217" t="str">
        <f t="shared" si="306"/>
        <v/>
      </c>
      <c r="V3855" s="215" t="s">
        <v>47</v>
      </c>
      <c r="W3855" s="102" t="s">
        <v>136</v>
      </c>
      <c r="X3855" s="102" t="s">
        <v>137</v>
      </c>
      <c r="Y3855" s="103" t="s">
        <v>138</v>
      </c>
      <c r="Z3855" s="103" t="s">
        <v>139</v>
      </c>
      <c r="AA3855" s="103" t="s">
        <v>47</v>
      </c>
      <c r="AB3855" s="103" t="s">
        <v>140</v>
      </c>
      <c r="AC3855" s="104" t="s">
        <v>141</v>
      </c>
    </row>
    <row r="3856" spans="1:29" ht="25.5" customHeight="1" x14ac:dyDescent="0.35">
      <c r="A3856" s="188"/>
      <c r="B3856" s="190"/>
      <c r="C3856" s="99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0"/>
      <c r="E3856" s="78" t="str">
        <f>IF(C3856="","",IFERROR(VLOOKUP(C3856,parametros!$A$11:$E$15,5,0),""))</f>
        <v/>
      </c>
      <c r="F3856" s="79" t="str">
        <f t="shared" si="302"/>
        <v/>
      </c>
      <c r="G3856" s="101"/>
      <c r="H3856" s="91">
        <f t="shared" si="303"/>
        <v>0</v>
      </c>
      <c r="I3856" s="91" t="str">
        <f t="shared" si="304"/>
        <v/>
      </c>
      <c r="J3856" s="91" t="str">
        <f t="shared" si="305"/>
        <v/>
      </c>
      <c r="K3856" s="92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2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58"/>
      <c r="U3856" s="217" t="str">
        <f t="shared" si="306"/>
        <v/>
      </c>
      <c r="V3856" s="215" t="s">
        <v>47</v>
      </c>
      <c r="W3856" s="102" t="s">
        <v>136</v>
      </c>
      <c r="X3856" s="102" t="s">
        <v>137</v>
      </c>
      <c r="Y3856" s="103" t="s">
        <v>138</v>
      </c>
      <c r="Z3856" s="103" t="s">
        <v>139</v>
      </c>
      <c r="AA3856" s="103" t="s">
        <v>47</v>
      </c>
      <c r="AB3856" s="103" t="s">
        <v>140</v>
      </c>
      <c r="AC3856" s="104" t="s">
        <v>141</v>
      </c>
    </row>
    <row r="3857" spans="1:29" ht="25.5" customHeight="1" x14ac:dyDescent="0.35">
      <c r="A3857" s="188"/>
      <c r="B3857" s="190"/>
      <c r="C3857" s="99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0"/>
      <c r="E3857" s="78" t="str">
        <f>IF(C3857="","",IFERROR(VLOOKUP(C3857,parametros!$A$11:$E$15,5,0),""))</f>
        <v/>
      </c>
      <c r="F3857" s="79" t="str">
        <f t="shared" si="302"/>
        <v/>
      </c>
      <c r="G3857" s="101"/>
      <c r="H3857" s="91">
        <f t="shared" si="303"/>
        <v>0</v>
      </c>
      <c r="I3857" s="91" t="str">
        <f t="shared" si="304"/>
        <v/>
      </c>
      <c r="J3857" s="91" t="str">
        <f t="shared" si="305"/>
        <v/>
      </c>
      <c r="K3857" s="92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2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58"/>
      <c r="U3857" s="217" t="str">
        <f t="shared" si="306"/>
        <v/>
      </c>
      <c r="V3857" s="215" t="s">
        <v>47</v>
      </c>
      <c r="W3857" s="102" t="s">
        <v>136</v>
      </c>
      <c r="X3857" s="102" t="s">
        <v>137</v>
      </c>
      <c r="Y3857" s="103" t="s">
        <v>138</v>
      </c>
      <c r="Z3857" s="103" t="s">
        <v>139</v>
      </c>
      <c r="AA3857" s="103" t="s">
        <v>47</v>
      </c>
      <c r="AB3857" s="103" t="s">
        <v>140</v>
      </c>
      <c r="AC3857" s="104" t="s">
        <v>141</v>
      </c>
    </row>
    <row r="3858" spans="1:29" ht="25.5" customHeight="1" x14ac:dyDescent="0.35">
      <c r="A3858" s="188"/>
      <c r="B3858" s="190"/>
      <c r="C3858" s="99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0"/>
      <c r="E3858" s="78" t="str">
        <f>IF(C3858="","",IFERROR(VLOOKUP(C3858,parametros!$A$11:$E$15,5,0),""))</f>
        <v/>
      </c>
      <c r="F3858" s="79" t="str">
        <f t="shared" si="302"/>
        <v/>
      </c>
      <c r="G3858" s="101"/>
      <c r="H3858" s="91">
        <f t="shared" si="303"/>
        <v>0</v>
      </c>
      <c r="I3858" s="91" t="str">
        <f t="shared" si="304"/>
        <v/>
      </c>
      <c r="J3858" s="91" t="str">
        <f t="shared" si="305"/>
        <v/>
      </c>
      <c r="K3858" s="92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2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58"/>
      <c r="U3858" s="217" t="str">
        <f t="shared" si="306"/>
        <v/>
      </c>
      <c r="V3858" s="215" t="s">
        <v>47</v>
      </c>
      <c r="W3858" s="102" t="s">
        <v>136</v>
      </c>
      <c r="X3858" s="102" t="s">
        <v>137</v>
      </c>
      <c r="Y3858" s="103" t="s">
        <v>138</v>
      </c>
      <c r="Z3858" s="103" t="s">
        <v>139</v>
      </c>
      <c r="AA3858" s="103" t="s">
        <v>47</v>
      </c>
      <c r="AB3858" s="103" t="s">
        <v>140</v>
      </c>
      <c r="AC3858" s="104" t="s">
        <v>141</v>
      </c>
    </row>
    <row r="3859" spans="1:29" ht="25.5" customHeight="1" x14ac:dyDescent="0.35">
      <c r="A3859" s="188"/>
      <c r="B3859" s="190"/>
      <c r="C3859" s="99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0"/>
      <c r="E3859" s="78" t="str">
        <f>IF(C3859="","",IFERROR(VLOOKUP(C3859,parametros!$A$11:$E$15,5,0),""))</f>
        <v/>
      </c>
      <c r="F3859" s="79" t="str">
        <f t="shared" si="302"/>
        <v/>
      </c>
      <c r="G3859" s="101"/>
      <c r="H3859" s="91">
        <f t="shared" si="303"/>
        <v>0</v>
      </c>
      <c r="I3859" s="91" t="str">
        <f t="shared" si="304"/>
        <v/>
      </c>
      <c r="J3859" s="91" t="str">
        <f t="shared" si="305"/>
        <v/>
      </c>
      <c r="K3859" s="92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2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58"/>
      <c r="U3859" s="217" t="str">
        <f t="shared" si="306"/>
        <v/>
      </c>
      <c r="V3859" s="215" t="s">
        <v>47</v>
      </c>
      <c r="W3859" s="102" t="s">
        <v>136</v>
      </c>
      <c r="X3859" s="102" t="s">
        <v>137</v>
      </c>
      <c r="Y3859" s="103" t="s">
        <v>138</v>
      </c>
      <c r="Z3859" s="103" t="s">
        <v>139</v>
      </c>
      <c r="AA3859" s="103" t="s">
        <v>47</v>
      </c>
      <c r="AB3859" s="103" t="s">
        <v>140</v>
      </c>
      <c r="AC3859" s="104" t="s">
        <v>141</v>
      </c>
    </row>
    <row r="3860" spans="1:29" ht="25.5" customHeight="1" x14ac:dyDescent="0.35">
      <c r="A3860" s="188"/>
      <c r="B3860" s="190"/>
      <c r="C3860" s="99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0"/>
      <c r="E3860" s="78" t="str">
        <f>IF(C3860="","",IFERROR(VLOOKUP(C3860,parametros!$A$11:$E$15,5,0),""))</f>
        <v/>
      </c>
      <c r="F3860" s="79" t="str">
        <f t="shared" si="302"/>
        <v/>
      </c>
      <c r="G3860" s="101"/>
      <c r="H3860" s="91">
        <f t="shared" si="303"/>
        <v>0</v>
      </c>
      <c r="I3860" s="91" t="str">
        <f t="shared" si="304"/>
        <v/>
      </c>
      <c r="J3860" s="91" t="str">
        <f t="shared" si="305"/>
        <v/>
      </c>
      <c r="K3860" s="92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2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58"/>
      <c r="U3860" s="217" t="str">
        <f t="shared" si="306"/>
        <v/>
      </c>
      <c r="V3860" s="215" t="s">
        <v>47</v>
      </c>
      <c r="W3860" s="102" t="s">
        <v>136</v>
      </c>
      <c r="X3860" s="102" t="s">
        <v>137</v>
      </c>
      <c r="Y3860" s="103" t="s">
        <v>138</v>
      </c>
      <c r="Z3860" s="103" t="s">
        <v>139</v>
      </c>
      <c r="AA3860" s="103" t="s">
        <v>47</v>
      </c>
      <c r="AB3860" s="103" t="s">
        <v>140</v>
      </c>
      <c r="AC3860" s="104" t="s">
        <v>141</v>
      </c>
    </row>
    <row r="3861" spans="1:29" ht="25.5" customHeight="1" x14ac:dyDescent="0.35">
      <c r="A3861" s="188"/>
      <c r="B3861" s="190"/>
      <c r="C3861" s="99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0"/>
      <c r="E3861" s="78" t="str">
        <f>IF(C3861="","",IFERROR(VLOOKUP(C3861,parametros!$A$11:$E$15,5,0),""))</f>
        <v/>
      </c>
      <c r="F3861" s="79" t="str">
        <f t="shared" si="302"/>
        <v/>
      </c>
      <c r="G3861" s="101"/>
      <c r="H3861" s="91">
        <f t="shared" si="303"/>
        <v>0</v>
      </c>
      <c r="I3861" s="91" t="str">
        <f t="shared" si="304"/>
        <v/>
      </c>
      <c r="J3861" s="91" t="str">
        <f t="shared" si="305"/>
        <v/>
      </c>
      <c r="K3861" s="92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2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58"/>
      <c r="U3861" s="217" t="str">
        <f t="shared" si="306"/>
        <v/>
      </c>
      <c r="V3861" s="215" t="s">
        <v>47</v>
      </c>
      <c r="W3861" s="102" t="s">
        <v>136</v>
      </c>
      <c r="X3861" s="102" t="s">
        <v>137</v>
      </c>
      <c r="Y3861" s="103" t="s">
        <v>138</v>
      </c>
      <c r="Z3861" s="103" t="s">
        <v>139</v>
      </c>
      <c r="AA3861" s="103" t="s">
        <v>47</v>
      </c>
      <c r="AB3861" s="103" t="s">
        <v>140</v>
      </c>
      <c r="AC3861" s="104" t="s">
        <v>141</v>
      </c>
    </row>
    <row r="3862" spans="1:29" ht="25.5" customHeight="1" x14ac:dyDescent="0.35">
      <c r="A3862" s="188"/>
      <c r="B3862" s="190"/>
      <c r="C3862" s="99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0"/>
      <c r="E3862" s="78" t="str">
        <f>IF(C3862="","",IFERROR(VLOOKUP(C3862,parametros!$A$11:$E$15,5,0),""))</f>
        <v/>
      </c>
      <c r="F3862" s="79" t="str">
        <f t="shared" si="302"/>
        <v/>
      </c>
      <c r="G3862" s="101"/>
      <c r="H3862" s="91">
        <f t="shared" si="303"/>
        <v>0</v>
      </c>
      <c r="I3862" s="91" t="str">
        <f t="shared" si="304"/>
        <v/>
      </c>
      <c r="J3862" s="91" t="str">
        <f t="shared" si="305"/>
        <v/>
      </c>
      <c r="K3862" s="92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2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58"/>
      <c r="U3862" s="217" t="str">
        <f t="shared" si="306"/>
        <v/>
      </c>
      <c r="V3862" s="215" t="s">
        <v>47</v>
      </c>
      <c r="W3862" s="102" t="s">
        <v>136</v>
      </c>
      <c r="X3862" s="102" t="s">
        <v>137</v>
      </c>
      <c r="Y3862" s="103" t="s">
        <v>138</v>
      </c>
      <c r="Z3862" s="103" t="s">
        <v>139</v>
      </c>
      <c r="AA3862" s="103" t="s">
        <v>47</v>
      </c>
      <c r="AB3862" s="103" t="s">
        <v>140</v>
      </c>
      <c r="AC3862" s="104" t="s">
        <v>141</v>
      </c>
    </row>
    <row r="3863" spans="1:29" ht="25.5" customHeight="1" x14ac:dyDescent="0.35">
      <c r="A3863" s="188"/>
      <c r="B3863" s="190"/>
      <c r="C3863" s="99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0"/>
      <c r="E3863" s="78" t="str">
        <f>IF(C3863="","",IFERROR(VLOOKUP(C3863,parametros!$A$11:$E$15,5,0),""))</f>
        <v/>
      </c>
      <c r="F3863" s="79" t="str">
        <f t="shared" si="302"/>
        <v/>
      </c>
      <c r="G3863" s="101"/>
      <c r="H3863" s="91">
        <f t="shared" si="303"/>
        <v>0</v>
      </c>
      <c r="I3863" s="91" t="str">
        <f t="shared" si="304"/>
        <v/>
      </c>
      <c r="J3863" s="91" t="str">
        <f t="shared" si="305"/>
        <v/>
      </c>
      <c r="K3863" s="92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2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58"/>
      <c r="U3863" s="217" t="str">
        <f t="shared" si="306"/>
        <v/>
      </c>
      <c r="V3863" s="215" t="s">
        <v>47</v>
      </c>
      <c r="W3863" s="102" t="s">
        <v>136</v>
      </c>
      <c r="X3863" s="102" t="s">
        <v>137</v>
      </c>
      <c r="Y3863" s="103" t="s">
        <v>138</v>
      </c>
      <c r="Z3863" s="103" t="s">
        <v>139</v>
      </c>
      <c r="AA3863" s="103" t="s">
        <v>47</v>
      </c>
      <c r="AB3863" s="103" t="s">
        <v>140</v>
      </c>
      <c r="AC3863" s="104" t="s">
        <v>141</v>
      </c>
    </row>
    <row r="3864" spans="1:29" ht="25.5" customHeight="1" x14ac:dyDescent="0.35">
      <c r="A3864" s="188"/>
      <c r="B3864" s="190"/>
      <c r="C3864" s="99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0"/>
      <c r="E3864" s="78" t="str">
        <f>IF(C3864="","",IFERROR(VLOOKUP(C3864,parametros!$A$11:$E$15,5,0),""))</f>
        <v/>
      </c>
      <c r="F3864" s="79" t="str">
        <f t="shared" si="302"/>
        <v/>
      </c>
      <c r="G3864" s="101"/>
      <c r="H3864" s="91">
        <f t="shared" si="303"/>
        <v>0</v>
      </c>
      <c r="I3864" s="91" t="str">
        <f t="shared" si="304"/>
        <v/>
      </c>
      <c r="J3864" s="91" t="str">
        <f t="shared" si="305"/>
        <v/>
      </c>
      <c r="K3864" s="92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2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58"/>
      <c r="U3864" s="217" t="str">
        <f t="shared" si="306"/>
        <v/>
      </c>
      <c r="V3864" s="215" t="s">
        <v>47</v>
      </c>
      <c r="W3864" s="102" t="s">
        <v>136</v>
      </c>
      <c r="X3864" s="102" t="s">
        <v>137</v>
      </c>
      <c r="Y3864" s="103" t="s">
        <v>138</v>
      </c>
      <c r="Z3864" s="103" t="s">
        <v>139</v>
      </c>
      <c r="AA3864" s="103" t="s">
        <v>47</v>
      </c>
      <c r="AB3864" s="103" t="s">
        <v>140</v>
      </c>
      <c r="AC3864" s="104" t="s">
        <v>141</v>
      </c>
    </row>
    <row r="3865" spans="1:29" ht="25.5" customHeight="1" x14ac:dyDescent="0.35">
      <c r="A3865" s="188"/>
      <c r="B3865" s="190"/>
      <c r="C3865" s="99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0"/>
      <c r="E3865" s="78" t="str">
        <f>IF(C3865="","",IFERROR(VLOOKUP(C3865,parametros!$A$11:$E$15,5,0),""))</f>
        <v/>
      </c>
      <c r="F3865" s="79" t="str">
        <f t="shared" si="302"/>
        <v/>
      </c>
      <c r="G3865" s="101"/>
      <c r="H3865" s="91">
        <f t="shared" si="303"/>
        <v>0</v>
      </c>
      <c r="I3865" s="91" t="str">
        <f t="shared" si="304"/>
        <v/>
      </c>
      <c r="J3865" s="91" t="str">
        <f t="shared" si="305"/>
        <v/>
      </c>
      <c r="K3865" s="92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2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58"/>
      <c r="U3865" s="217" t="str">
        <f t="shared" si="306"/>
        <v/>
      </c>
      <c r="V3865" s="215" t="s">
        <v>47</v>
      </c>
      <c r="W3865" s="102" t="s">
        <v>136</v>
      </c>
      <c r="X3865" s="102" t="s">
        <v>137</v>
      </c>
      <c r="Y3865" s="103" t="s">
        <v>138</v>
      </c>
      <c r="Z3865" s="103" t="s">
        <v>139</v>
      </c>
      <c r="AA3865" s="103" t="s">
        <v>47</v>
      </c>
      <c r="AB3865" s="103" t="s">
        <v>140</v>
      </c>
      <c r="AC3865" s="104" t="s">
        <v>141</v>
      </c>
    </row>
    <row r="3866" spans="1:29" ht="25.5" customHeight="1" x14ac:dyDescent="0.35">
      <c r="A3866" s="188"/>
      <c r="B3866" s="190"/>
      <c r="C3866" s="99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0"/>
      <c r="E3866" s="78" t="str">
        <f>IF(C3866="","",IFERROR(VLOOKUP(C3866,parametros!$A$11:$E$15,5,0),""))</f>
        <v/>
      </c>
      <c r="F3866" s="79" t="str">
        <f t="shared" si="302"/>
        <v/>
      </c>
      <c r="G3866" s="101"/>
      <c r="H3866" s="91">
        <f t="shared" si="303"/>
        <v>0</v>
      </c>
      <c r="I3866" s="91" t="str">
        <f t="shared" si="304"/>
        <v/>
      </c>
      <c r="J3866" s="91" t="str">
        <f t="shared" si="305"/>
        <v/>
      </c>
      <c r="K3866" s="92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2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58"/>
      <c r="U3866" s="217" t="str">
        <f t="shared" si="306"/>
        <v/>
      </c>
      <c r="V3866" s="215" t="s">
        <v>47</v>
      </c>
      <c r="W3866" s="102" t="s">
        <v>136</v>
      </c>
      <c r="X3866" s="102" t="s">
        <v>137</v>
      </c>
      <c r="Y3866" s="103" t="s">
        <v>138</v>
      </c>
      <c r="Z3866" s="103" t="s">
        <v>139</v>
      </c>
      <c r="AA3866" s="103" t="s">
        <v>47</v>
      </c>
      <c r="AB3866" s="103" t="s">
        <v>140</v>
      </c>
      <c r="AC3866" s="104" t="s">
        <v>141</v>
      </c>
    </row>
    <row r="3867" spans="1:29" ht="25.5" customHeight="1" x14ac:dyDescent="0.35">
      <c r="A3867" s="188"/>
      <c r="B3867" s="190"/>
      <c r="C3867" s="99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0"/>
      <c r="E3867" s="78" t="str">
        <f>IF(C3867="","",IFERROR(VLOOKUP(C3867,parametros!$A$11:$E$15,5,0),""))</f>
        <v/>
      </c>
      <c r="F3867" s="79" t="str">
        <f t="shared" si="302"/>
        <v/>
      </c>
      <c r="G3867" s="101"/>
      <c r="H3867" s="91">
        <f t="shared" si="303"/>
        <v>0</v>
      </c>
      <c r="I3867" s="91" t="str">
        <f t="shared" si="304"/>
        <v/>
      </c>
      <c r="J3867" s="91" t="str">
        <f t="shared" si="305"/>
        <v/>
      </c>
      <c r="K3867" s="92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2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58"/>
      <c r="U3867" s="217" t="str">
        <f t="shared" si="306"/>
        <v/>
      </c>
      <c r="V3867" s="215" t="s">
        <v>47</v>
      </c>
      <c r="W3867" s="102" t="s">
        <v>136</v>
      </c>
      <c r="X3867" s="102" t="s">
        <v>137</v>
      </c>
      <c r="Y3867" s="103" t="s">
        <v>138</v>
      </c>
      <c r="Z3867" s="103" t="s">
        <v>139</v>
      </c>
      <c r="AA3867" s="103" t="s">
        <v>47</v>
      </c>
      <c r="AB3867" s="103" t="s">
        <v>140</v>
      </c>
      <c r="AC3867" s="104" t="s">
        <v>141</v>
      </c>
    </row>
    <row r="3868" spans="1:29" ht="25.5" customHeight="1" x14ac:dyDescent="0.35">
      <c r="A3868" s="188"/>
      <c r="B3868" s="190"/>
      <c r="C3868" s="99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0"/>
      <c r="E3868" s="78" t="str">
        <f>IF(C3868="","",IFERROR(VLOOKUP(C3868,parametros!$A$11:$E$15,5,0),""))</f>
        <v/>
      </c>
      <c r="F3868" s="79" t="str">
        <f t="shared" si="302"/>
        <v/>
      </c>
      <c r="G3868" s="101"/>
      <c r="H3868" s="91">
        <f t="shared" si="303"/>
        <v>0</v>
      </c>
      <c r="I3868" s="91" t="str">
        <f t="shared" si="304"/>
        <v/>
      </c>
      <c r="J3868" s="91" t="str">
        <f t="shared" si="305"/>
        <v/>
      </c>
      <c r="K3868" s="92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2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58"/>
      <c r="U3868" s="217" t="str">
        <f t="shared" si="306"/>
        <v/>
      </c>
      <c r="V3868" s="215" t="s">
        <v>47</v>
      </c>
      <c r="W3868" s="102" t="s">
        <v>136</v>
      </c>
      <c r="X3868" s="102" t="s">
        <v>137</v>
      </c>
      <c r="Y3868" s="103" t="s">
        <v>138</v>
      </c>
      <c r="Z3868" s="103" t="s">
        <v>139</v>
      </c>
      <c r="AA3868" s="103" t="s">
        <v>47</v>
      </c>
      <c r="AB3868" s="103" t="s">
        <v>140</v>
      </c>
      <c r="AC3868" s="104" t="s">
        <v>141</v>
      </c>
    </row>
    <row r="3869" spans="1:29" ht="25.5" customHeight="1" x14ac:dyDescent="0.35">
      <c r="A3869" s="188"/>
      <c r="B3869" s="190"/>
      <c r="C3869" s="99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0"/>
      <c r="E3869" s="78" t="str">
        <f>IF(C3869="","",IFERROR(VLOOKUP(C3869,parametros!$A$11:$E$15,5,0),""))</f>
        <v/>
      </c>
      <c r="F3869" s="79" t="str">
        <f t="shared" si="302"/>
        <v/>
      </c>
      <c r="G3869" s="101"/>
      <c r="H3869" s="91">
        <f t="shared" si="303"/>
        <v>0</v>
      </c>
      <c r="I3869" s="91" t="str">
        <f t="shared" si="304"/>
        <v/>
      </c>
      <c r="J3869" s="91" t="str">
        <f t="shared" si="305"/>
        <v/>
      </c>
      <c r="K3869" s="92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2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58"/>
      <c r="U3869" s="217" t="str">
        <f t="shared" si="306"/>
        <v/>
      </c>
      <c r="V3869" s="215" t="s">
        <v>47</v>
      </c>
      <c r="W3869" s="102" t="s">
        <v>136</v>
      </c>
      <c r="X3869" s="102" t="s">
        <v>137</v>
      </c>
      <c r="Y3869" s="103" t="s">
        <v>138</v>
      </c>
      <c r="Z3869" s="103" t="s">
        <v>139</v>
      </c>
      <c r="AA3869" s="103" t="s">
        <v>47</v>
      </c>
      <c r="AB3869" s="103" t="s">
        <v>140</v>
      </c>
      <c r="AC3869" s="104" t="s">
        <v>141</v>
      </c>
    </row>
    <row r="3870" spans="1:29" ht="25.5" customHeight="1" x14ac:dyDescent="0.35">
      <c r="A3870" s="188"/>
      <c r="B3870" s="190"/>
      <c r="C3870" s="99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0"/>
      <c r="E3870" s="78" t="str">
        <f>IF(C3870="","",IFERROR(VLOOKUP(C3870,parametros!$A$11:$E$15,5,0),""))</f>
        <v/>
      </c>
      <c r="F3870" s="79" t="str">
        <f t="shared" si="302"/>
        <v/>
      </c>
      <c r="G3870" s="101"/>
      <c r="H3870" s="91">
        <f t="shared" si="303"/>
        <v>0</v>
      </c>
      <c r="I3870" s="91" t="str">
        <f t="shared" si="304"/>
        <v/>
      </c>
      <c r="J3870" s="91" t="str">
        <f t="shared" si="305"/>
        <v/>
      </c>
      <c r="K3870" s="92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2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58"/>
      <c r="U3870" s="217" t="str">
        <f t="shared" si="306"/>
        <v/>
      </c>
      <c r="V3870" s="215" t="s">
        <v>47</v>
      </c>
      <c r="W3870" s="102" t="s">
        <v>136</v>
      </c>
      <c r="X3870" s="102" t="s">
        <v>137</v>
      </c>
      <c r="Y3870" s="103" t="s">
        <v>138</v>
      </c>
      <c r="Z3870" s="103" t="s">
        <v>139</v>
      </c>
      <c r="AA3870" s="103" t="s">
        <v>47</v>
      </c>
      <c r="AB3870" s="103" t="s">
        <v>140</v>
      </c>
      <c r="AC3870" s="104" t="s">
        <v>141</v>
      </c>
    </row>
    <row r="3871" spans="1:29" ht="25.5" customHeight="1" x14ac:dyDescent="0.35">
      <c r="A3871" s="188"/>
      <c r="B3871" s="190"/>
      <c r="C3871" s="99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0"/>
      <c r="E3871" s="78" t="str">
        <f>IF(C3871="","",IFERROR(VLOOKUP(C3871,parametros!$A$11:$E$15,5,0),""))</f>
        <v/>
      </c>
      <c r="F3871" s="79" t="str">
        <f t="shared" si="302"/>
        <v/>
      </c>
      <c r="G3871" s="101"/>
      <c r="H3871" s="91">
        <f t="shared" si="303"/>
        <v>0</v>
      </c>
      <c r="I3871" s="91" t="str">
        <f t="shared" si="304"/>
        <v/>
      </c>
      <c r="J3871" s="91" t="str">
        <f t="shared" si="305"/>
        <v/>
      </c>
      <c r="K3871" s="92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2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58"/>
      <c r="U3871" s="217" t="str">
        <f t="shared" si="306"/>
        <v/>
      </c>
      <c r="V3871" s="215" t="s">
        <v>47</v>
      </c>
      <c r="W3871" s="102" t="s">
        <v>136</v>
      </c>
      <c r="X3871" s="102" t="s">
        <v>137</v>
      </c>
      <c r="Y3871" s="103" t="s">
        <v>138</v>
      </c>
      <c r="Z3871" s="103" t="s">
        <v>139</v>
      </c>
      <c r="AA3871" s="103" t="s">
        <v>47</v>
      </c>
      <c r="AB3871" s="103" t="s">
        <v>140</v>
      </c>
      <c r="AC3871" s="104" t="s">
        <v>141</v>
      </c>
    </row>
    <row r="3872" spans="1:29" ht="25.5" customHeight="1" x14ac:dyDescent="0.35">
      <c r="A3872" s="188"/>
      <c r="B3872" s="190"/>
      <c r="C3872" s="99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0"/>
      <c r="E3872" s="78" t="str">
        <f>IF(C3872="","",IFERROR(VLOOKUP(C3872,parametros!$A$11:$E$15,5,0),""))</f>
        <v/>
      </c>
      <c r="F3872" s="79" t="str">
        <f t="shared" si="302"/>
        <v/>
      </c>
      <c r="G3872" s="101"/>
      <c r="H3872" s="91">
        <f t="shared" si="303"/>
        <v>0</v>
      </c>
      <c r="I3872" s="91" t="str">
        <f t="shared" si="304"/>
        <v/>
      </c>
      <c r="J3872" s="91" t="str">
        <f t="shared" si="305"/>
        <v/>
      </c>
      <c r="K3872" s="92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2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58"/>
      <c r="U3872" s="217" t="str">
        <f t="shared" si="306"/>
        <v/>
      </c>
      <c r="V3872" s="215" t="s">
        <v>47</v>
      </c>
      <c r="W3872" s="102" t="s">
        <v>136</v>
      </c>
      <c r="X3872" s="102" t="s">
        <v>137</v>
      </c>
      <c r="Y3872" s="103" t="s">
        <v>138</v>
      </c>
      <c r="Z3872" s="103" t="s">
        <v>139</v>
      </c>
      <c r="AA3872" s="103" t="s">
        <v>47</v>
      </c>
      <c r="AB3872" s="103" t="s">
        <v>140</v>
      </c>
      <c r="AC3872" s="104" t="s">
        <v>141</v>
      </c>
    </row>
    <row r="3873" spans="1:29" ht="25.5" customHeight="1" x14ac:dyDescent="0.35">
      <c r="A3873" s="188"/>
      <c r="B3873" s="190"/>
      <c r="C3873" s="99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0"/>
      <c r="E3873" s="78" t="str">
        <f>IF(C3873="","",IFERROR(VLOOKUP(C3873,parametros!$A$11:$E$15,5,0),""))</f>
        <v/>
      </c>
      <c r="F3873" s="79" t="str">
        <f t="shared" si="302"/>
        <v/>
      </c>
      <c r="G3873" s="101"/>
      <c r="H3873" s="91">
        <f t="shared" si="303"/>
        <v>0</v>
      </c>
      <c r="I3873" s="91" t="str">
        <f t="shared" si="304"/>
        <v/>
      </c>
      <c r="J3873" s="91" t="str">
        <f t="shared" si="305"/>
        <v/>
      </c>
      <c r="K3873" s="92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2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58"/>
      <c r="U3873" s="217" t="str">
        <f t="shared" si="306"/>
        <v/>
      </c>
      <c r="V3873" s="215" t="s">
        <v>47</v>
      </c>
      <c r="W3873" s="102" t="s">
        <v>136</v>
      </c>
      <c r="X3873" s="102" t="s">
        <v>137</v>
      </c>
      <c r="Y3873" s="103" t="s">
        <v>138</v>
      </c>
      <c r="Z3873" s="103" t="s">
        <v>139</v>
      </c>
      <c r="AA3873" s="103" t="s">
        <v>47</v>
      </c>
      <c r="AB3873" s="103" t="s">
        <v>140</v>
      </c>
      <c r="AC3873" s="104" t="s">
        <v>141</v>
      </c>
    </row>
    <row r="3874" spans="1:29" ht="25.5" customHeight="1" x14ac:dyDescent="0.35">
      <c r="A3874" s="188"/>
      <c r="B3874" s="190"/>
      <c r="C3874" s="99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0"/>
      <c r="E3874" s="78" t="str">
        <f>IF(C3874="","",IFERROR(VLOOKUP(C3874,parametros!$A$11:$E$15,5,0),""))</f>
        <v/>
      </c>
      <c r="F3874" s="79" t="str">
        <f t="shared" si="302"/>
        <v/>
      </c>
      <c r="G3874" s="101"/>
      <c r="H3874" s="91">
        <f t="shared" si="303"/>
        <v>0</v>
      </c>
      <c r="I3874" s="91" t="str">
        <f t="shared" si="304"/>
        <v/>
      </c>
      <c r="J3874" s="91" t="str">
        <f t="shared" si="305"/>
        <v/>
      </c>
      <c r="K3874" s="92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2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58"/>
      <c r="U3874" s="217" t="str">
        <f t="shared" si="306"/>
        <v/>
      </c>
      <c r="V3874" s="215" t="s">
        <v>47</v>
      </c>
      <c r="W3874" s="102" t="s">
        <v>136</v>
      </c>
      <c r="X3874" s="102" t="s">
        <v>137</v>
      </c>
      <c r="Y3874" s="103" t="s">
        <v>138</v>
      </c>
      <c r="Z3874" s="103" t="s">
        <v>139</v>
      </c>
      <c r="AA3874" s="103" t="s">
        <v>47</v>
      </c>
      <c r="AB3874" s="103" t="s">
        <v>140</v>
      </c>
      <c r="AC3874" s="104" t="s">
        <v>141</v>
      </c>
    </row>
    <row r="3875" spans="1:29" ht="25.5" customHeight="1" x14ac:dyDescent="0.35">
      <c r="A3875" s="188"/>
      <c r="B3875" s="190"/>
      <c r="C3875" s="99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0"/>
      <c r="E3875" s="78" t="str">
        <f>IF(C3875="","",IFERROR(VLOOKUP(C3875,parametros!$A$11:$E$15,5,0),""))</f>
        <v/>
      </c>
      <c r="F3875" s="79" t="str">
        <f t="shared" si="302"/>
        <v/>
      </c>
      <c r="G3875" s="101"/>
      <c r="H3875" s="91">
        <f t="shared" si="303"/>
        <v>0</v>
      </c>
      <c r="I3875" s="91" t="str">
        <f t="shared" si="304"/>
        <v/>
      </c>
      <c r="J3875" s="91" t="str">
        <f t="shared" si="305"/>
        <v/>
      </c>
      <c r="K3875" s="92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2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58"/>
      <c r="U3875" s="217" t="str">
        <f t="shared" si="306"/>
        <v/>
      </c>
      <c r="V3875" s="215" t="s">
        <v>47</v>
      </c>
      <c r="W3875" s="102" t="s">
        <v>136</v>
      </c>
      <c r="X3875" s="102" t="s">
        <v>137</v>
      </c>
      <c r="Y3875" s="103" t="s">
        <v>138</v>
      </c>
      <c r="Z3875" s="103" t="s">
        <v>139</v>
      </c>
      <c r="AA3875" s="103" t="s">
        <v>47</v>
      </c>
      <c r="AB3875" s="103" t="s">
        <v>140</v>
      </c>
      <c r="AC3875" s="104" t="s">
        <v>141</v>
      </c>
    </row>
    <row r="3876" spans="1:29" ht="25.5" customHeight="1" x14ac:dyDescent="0.35">
      <c r="A3876" s="188"/>
      <c r="B3876" s="190"/>
      <c r="C3876" s="99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0"/>
      <c r="E3876" s="78" t="str">
        <f>IF(C3876="","",IFERROR(VLOOKUP(C3876,parametros!$A$11:$E$15,5,0),""))</f>
        <v/>
      </c>
      <c r="F3876" s="79" t="str">
        <f t="shared" si="302"/>
        <v/>
      </c>
      <c r="G3876" s="101"/>
      <c r="H3876" s="91">
        <f t="shared" si="303"/>
        <v>0</v>
      </c>
      <c r="I3876" s="91" t="str">
        <f t="shared" si="304"/>
        <v/>
      </c>
      <c r="J3876" s="91" t="str">
        <f t="shared" si="305"/>
        <v/>
      </c>
      <c r="K3876" s="92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2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58"/>
      <c r="U3876" s="217" t="str">
        <f t="shared" si="306"/>
        <v/>
      </c>
      <c r="V3876" s="215" t="s">
        <v>47</v>
      </c>
      <c r="W3876" s="102" t="s">
        <v>136</v>
      </c>
      <c r="X3876" s="102" t="s">
        <v>137</v>
      </c>
      <c r="Y3876" s="103" t="s">
        <v>138</v>
      </c>
      <c r="Z3876" s="103" t="s">
        <v>139</v>
      </c>
      <c r="AA3876" s="103" t="s">
        <v>47</v>
      </c>
      <c r="AB3876" s="103" t="s">
        <v>140</v>
      </c>
      <c r="AC3876" s="104" t="s">
        <v>141</v>
      </c>
    </row>
    <row r="3877" spans="1:29" ht="25.5" customHeight="1" x14ac:dyDescent="0.35">
      <c r="A3877" s="188"/>
      <c r="B3877" s="190"/>
      <c r="C3877" s="99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0"/>
      <c r="E3877" s="78" t="str">
        <f>IF(C3877="","",IFERROR(VLOOKUP(C3877,parametros!$A$11:$E$15,5,0),""))</f>
        <v/>
      </c>
      <c r="F3877" s="79" t="str">
        <f t="shared" si="302"/>
        <v/>
      </c>
      <c r="G3877" s="101"/>
      <c r="H3877" s="91">
        <f t="shared" si="303"/>
        <v>0</v>
      </c>
      <c r="I3877" s="91" t="str">
        <f t="shared" si="304"/>
        <v/>
      </c>
      <c r="J3877" s="91" t="str">
        <f t="shared" si="305"/>
        <v/>
      </c>
      <c r="K3877" s="92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2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58"/>
      <c r="U3877" s="217" t="str">
        <f t="shared" si="306"/>
        <v/>
      </c>
      <c r="V3877" s="215" t="s">
        <v>47</v>
      </c>
      <c r="W3877" s="102" t="s">
        <v>136</v>
      </c>
      <c r="X3877" s="102" t="s">
        <v>137</v>
      </c>
      <c r="Y3877" s="103" t="s">
        <v>138</v>
      </c>
      <c r="Z3877" s="103" t="s">
        <v>139</v>
      </c>
      <c r="AA3877" s="103" t="s">
        <v>47</v>
      </c>
      <c r="AB3877" s="103" t="s">
        <v>140</v>
      </c>
      <c r="AC3877" s="104" t="s">
        <v>141</v>
      </c>
    </row>
    <row r="3878" spans="1:29" ht="25.5" customHeight="1" x14ac:dyDescent="0.35">
      <c r="A3878" s="188"/>
      <c r="B3878" s="190"/>
      <c r="C3878" s="99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0"/>
      <c r="E3878" s="78" t="str">
        <f>IF(C3878="","",IFERROR(VLOOKUP(C3878,parametros!$A$11:$E$15,5,0),""))</f>
        <v/>
      </c>
      <c r="F3878" s="79" t="str">
        <f t="shared" si="302"/>
        <v/>
      </c>
      <c r="G3878" s="101"/>
      <c r="H3878" s="91">
        <f t="shared" si="303"/>
        <v>0</v>
      </c>
      <c r="I3878" s="91" t="str">
        <f t="shared" si="304"/>
        <v/>
      </c>
      <c r="J3878" s="91" t="str">
        <f t="shared" si="305"/>
        <v/>
      </c>
      <c r="K3878" s="92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2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58"/>
      <c r="U3878" s="217" t="str">
        <f t="shared" si="306"/>
        <v/>
      </c>
      <c r="V3878" s="215" t="s">
        <v>47</v>
      </c>
      <c r="W3878" s="102" t="s">
        <v>136</v>
      </c>
      <c r="X3878" s="102" t="s">
        <v>137</v>
      </c>
      <c r="Y3878" s="103" t="s">
        <v>138</v>
      </c>
      <c r="Z3878" s="103" t="s">
        <v>139</v>
      </c>
      <c r="AA3878" s="103" t="s">
        <v>47</v>
      </c>
      <c r="AB3878" s="103" t="s">
        <v>140</v>
      </c>
      <c r="AC3878" s="104" t="s">
        <v>141</v>
      </c>
    </row>
    <row r="3879" spans="1:29" ht="25.5" customHeight="1" x14ac:dyDescent="0.35">
      <c r="A3879" s="188"/>
      <c r="B3879" s="190"/>
      <c r="C3879" s="99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0"/>
      <c r="E3879" s="78" t="str">
        <f>IF(C3879="","",IFERROR(VLOOKUP(C3879,parametros!$A$11:$E$15,5,0),""))</f>
        <v/>
      </c>
      <c r="F3879" s="79" t="str">
        <f t="shared" si="302"/>
        <v/>
      </c>
      <c r="G3879" s="101"/>
      <c r="H3879" s="91">
        <f t="shared" si="303"/>
        <v>0</v>
      </c>
      <c r="I3879" s="91" t="str">
        <f t="shared" si="304"/>
        <v/>
      </c>
      <c r="J3879" s="91" t="str">
        <f t="shared" si="305"/>
        <v/>
      </c>
      <c r="K3879" s="92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2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58"/>
      <c r="U3879" s="217" t="str">
        <f t="shared" si="306"/>
        <v/>
      </c>
      <c r="V3879" s="215" t="s">
        <v>47</v>
      </c>
      <c r="W3879" s="102" t="s">
        <v>136</v>
      </c>
      <c r="X3879" s="102" t="s">
        <v>137</v>
      </c>
      <c r="Y3879" s="103" t="s">
        <v>138</v>
      </c>
      <c r="Z3879" s="103" t="s">
        <v>139</v>
      </c>
      <c r="AA3879" s="103" t="s">
        <v>47</v>
      </c>
      <c r="AB3879" s="103" t="s">
        <v>140</v>
      </c>
      <c r="AC3879" s="104" t="s">
        <v>141</v>
      </c>
    </row>
    <row r="3880" spans="1:29" ht="25.5" customHeight="1" x14ac:dyDescent="0.35">
      <c r="A3880" s="188"/>
      <c r="B3880" s="190"/>
      <c r="C3880" s="99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0"/>
      <c r="E3880" s="78" t="str">
        <f>IF(C3880="","",IFERROR(VLOOKUP(C3880,parametros!$A$11:$E$15,5,0),""))</f>
        <v/>
      </c>
      <c r="F3880" s="79" t="str">
        <f t="shared" si="302"/>
        <v/>
      </c>
      <c r="G3880" s="101"/>
      <c r="H3880" s="91">
        <f t="shared" si="303"/>
        <v>0</v>
      </c>
      <c r="I3880" s="91" t="str">
        <f t="shared" si="304"/>
        <v/>
      </c>
      <c r="J3880" s="91" t="str">
        <f t="shared" si="305"/>
        <v/>
      </c>
      <c r="K3880" s="92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2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58"/>
      <c r="U3880" s="217" t="str">
        <f t="shared" si="306"/>
        <v/>
      </c>
      <c r="V3880" s="215" t="s">
        <v>47</v>
      </c>
      <c r="W3880" s="102" t="s">
        <v>136</v>
      </c>
      <c r="X3880" s="102" t="s">
        <v>137</v>
      </c>
      <c r="Y3880" s="103" t="s">
        <v>138</v>
      </c>
      <c r="Z3880" s="103" t="s">
        <v>139</v>
      </c>
      <c r="AA3880" s="103" t="s">
        <v>47</v>
      </c>
      <c r="AB3880" s="103" t="s">
        <v>140</v>
      </c>
      <c r="AC3880" s="104" t="s">
        <v>141</v>
      </c>
    </row>
    <row r="3881" spans="1:29" ht="25.5" customHeight="1" x14ac:dyDescent="0.35">
      <c r="A3881" s="188"/>
      <c r="B3881" s="190"/>
      <c r="C3881" s="99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0"/>
      <c r="E3881" s="78" t="str">
        <f>IF(C3881="","",IFERROR(VLOOKUP(C3881,parametros!$A$11:$E$15,5,0),""))</f>
        <v/>
      </c>
      <c r="F3881" s="79" t="str">
        <f t="shared" si="302"/>
        <v/>
      </c>
      <c r="G3881" s="101"/>
      <c r="H3881" s="91">
        <f t="shared" si="303"/>
        <v>0</v>
      </c>
      <c r="I3881" s="91" t="str">
        <f t="shared" si="304"/>
        <v/>
      </c>
      <c r="J3881" s="91" t="str">
        <f t="shared" si="305"/>
        <v/>
      </c>
      <c r="K3881" s="92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2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58"/>
      <c r="U3881" s="217" t="str">
        <f t="shared" si="306"/>
        <v/>
      </c>
      <c r="V3881" s="215" t="s">
        <v>47</v>
      </c>
      <c r="W3881" s="102" t="s">
        <v>136</v>
      </c>
      <c r="X3881" s="102" t="s">
        <v>137</v>
      </c>
      <c r="Y3881" s="103" t="s">
        <v>138</v>
      </c>
      <c r="Z3881" s="103" t="s">
        <v>139</v>
      </c>
      <c r="AA3881" s="103" t="s">
        <v>47</v>
      </c>
      <c r="AB3881" s="103" t="s">
        <v>140</v>
      </c>
      <c r="AC3881" s="104" t="s">
        <v>141</v>
      </c>
    </row>
    <row r="3882" spans="1:29" ht="25.5" customHeight="1" x14ac:dyDescent="0.35">
      <c r="A3882" s="188"/>
      <c r="B3882" s="190"/>
      <c r="C3882" s="99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0"/>
      <c r="E3882" s="78" t="str">
        <f>IF(C3882="","",IFERROR(VLOOKUP(C3882,parametros!$A$11:$E$15,5,0),""))</f>
        <v/>
      </c>
      <c r="F3882" s="79" t="str">
        <f t="shared" si="302"/>
        <v/>
      </c>
      <c r="G3882" s="101"/>
      <c r="H3882" s="91">
        <f t="shared" si="303"/>
        <v>0</v>
      </c>
      <c r="I3882" s="91" t="str">
        <f t="shared" si="304"/>
        <v/>
      </c>
      <c r="J3882" s="91" t="str">
        <f t="shared" si="305"/>
        <v/>
      </c>
      <c r="K3882" s="92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2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58"/>
      <c r="U3882" s="217" t="str">
        <f t="shared" si="306"/>
        <v/>
      </c>
      <c r="V3882" s="215" t="s">
        <v>47</v>
      </c>
      <c r="W3882" s="102" t="s">
        <v>136</v>
      </c>
      <c r="X3882" s="102" t="s">
        <v>137</v>
      </c>
      <c r="Y3882" s="103" t="s">
        <v>138</v>
      </c>
      <c r="Z3882" s="103" t="s">
        <v>139</v>
      </c>
      <c r="AA3882" s="103" t="s">
        <v>47</v>
      </c>
      <c r="AB3882" s="103" t="s">
        <v>140</v>
      </c>
      <c r="AC3882" s="104" t="s">
        <v>141</v>
      </c>
    </row>
    <row r="3883" spans="1:29" ht="25.5" customHeight="1" x14ac:dyDescent="0.35">
      <c r="A3883" s="188"/>
      <c r="B3883" s="190"/>
      <c r="C3883" s="99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0"/>
      <c r="E3883" s="78" t="str">
        <f>IF(C3883="","",IFERROR(VLOOKUP(C3883,parametros!$A$11:$E$15,5,0),""))</f>
        <v/>
      </c>
      <c r="F3883" s="79" t="str">
        <f t="shared" si="302"/>
        <v/>
      </c>
      <c r="G3883" s="101"/>
      <c r="H3883" s="91">
        <f t="shared" si="303"/>
        <v>0</v>
      </c>
      <c r="I3883" s="91" t="str">
        <f t="shared" si="304"/>
        <v/>
      </c>
      <c r="J3883" s="91" t="str">
        <f t="shared" si="305"/>
        <v/>
      </c>
      <c r="K3883" s="92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2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58"/>
      <c r="U3883" s="217" t="str">
        <f t="shared" si="306"/>
        <v/>
      </c>
      <c r="V3883" s="215" t="s">
        <v>47</v>
      </c>
      <c r="W3883" s="102" t="s">
        <v>136</v>
      </c>
      <c r="X3883" s="102" t="s">
        <v>137</v>
      </c>
      <c r="Y3883" s="103" t="s">
        <v>138</v>
      </c>
      <c r="Z3883" s="103" t="s">
        <v>139</v>
      </c>
      <c r="AA3883" s="103" t="s">
        <v>47</v>
      </c>
      <c r="AB3883" s="103" t="s">
        <v>140</v>
      </c>
      <c r="AC3883" s="104" t="s">
        <v>141</v>
      </c>
    </row>
    <row r="3884" spans="1:29" ht="25.5" customHeight="1" x14ac:dyDescent="0.35">
      <c r="A3884" s="188"/>
      <c r="B3884" s="190"/>
      <c r="C3884" s="99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0"/>
      <c r="E3884" s="78" t="str">
        <f>IF(C3884="","",IFERROR(VLOOKUP(C3884,parametros!$A$11:$E$15,5,0),""))</f>
        <v/>
      </c>
      <c r="F3884" s="79" t="str">
        <f t="shared" si="302"/>
        <v/>
      </c>
      <c r="G3884" s="101"/>
      <c r="H3884" s="91">
        <f t="shared" si="303"/>
        <v>0</v>
      </c>
      <c r="I3884" s="91" t="str">
        <f t="shared" si="304"/>
        <v/>
      </c>
      <c r="J3884" s="91" t="str">
        <f t="shared" si="305"/>
        <v/>
      </c>
      <c r="K3884" s="92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2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58"/>
      <c r="U3884" s="217" t="str">
        <f t="shared" si="306"/>
        <v/>
      </c>
      <c r="V3884" s="215" t="s">
        <v>47</v>
      </c>
      <c r="W3884" s="102" t="s">
        <v>136</v>
      </c>
      <c r="X3884" s="102" t="s">
        <v>137</v>
      </c>
      <c r="Y3884" s="103" t="s">
        <v>138</v>
      </c>
      <c r="Z3884" s="103" t="s">
        <v>139</v>
      </c>
      <c r="AA3884" s="103" t="s">
        <v>47</v>
      </c>
      <c r="AB3884" s="103" t="s">
        <v>140</v>
      </c>
      <c r="AC3884" s="104" t="s">
        <v>141</v>
      </c>
    </row>
    <row r="3885" spans="1:29" ht="25.5" customHeight="1" x14ac:dyDescent="0.35">
      <c r="A3885" s="188"/>
      <c r="B3885" s="190"/>
      <c r="C3885" s="99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0"/>
      <c r="E3885" s="78" t="str">
        <f>IF(C3885="","",IFERROR(VLOOKUP(C3885,parametros!$A$11:$E$15,5,0),""))</f>
        <v/>
      </c>
      <c r="F3885" s="79" t="str">
        <f t="shared" si="302"/>
        <v/>
      </c>
      <c r="G3885" s="101"/>
      <c r="H3885" s="91">
        <f t="shared" si="303"/>
        <v>0</v>
      </c>
      <c r="I3885" s="91" t="str">
        <f t="shared" si="304"/>
        <v/>
      </c>
      <c r="J3885" s="91" t="str">
        <f t="shared" si="305"/>
        <v/>
      </c>
      <c r="K3885" s="92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2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58"/>
      <c r="U3885" s="217" t="str">
        <f t="shared" si="306"/>
        <v/>
      </c>
      <c r="V3885" s="215" t="s">
        <v>47</v>
      </c>
      <c r="W3885" s="102" t="s">
        <v>136</v>
      </c>
      <c r="X3885" s="102" t="s">
        <v>137</v>
      </c>
      <c r="Y3885" s="103" t="s">
        <v>138</v>
      </c>
      <c r="Z3885" s="103" t="s">
        <v>139</v>
      </c>
      <c r="AA3885" s="103" t="s">
        <v>47</v>
      </c>
      <c r="AB3885" s="103" t="s">
        <v>140</v>
      </c>
      <c r="AC3885" s="104" t="s">
        <v>141</v>
      </c>
    </row>
    <row r="3886" spans="1:29" ht="25.5" customHeight="1" x14ac:dyDescent="0.35">
      <c r="A3886" s="188"/>
      <c r="B3886" s="190"/>
      <c r="C3886" s="99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0"/>
      <c r="E3886" s="78" t="str">
        <f>IF(C3886="","",IFERROR(VLOOKUP(C3886,parametros!$A$11:$E$15,5,0),""))</f>
        <v/>
      </c>
      <c r="F3886" s="79" t="str">
        <f t="shared" si="302"/>
        <v/>
      </c>
      <c r="G3886" s="101"/>
      <c r="H3886" s="91">
        <f t="shared" si="303"/>
        <v>0</v>
      </c>
      <c r="I3886" s="91" t="str">
        <f t="shared" si="304"/>
        <v/>
      </c>
      <c r="J3886" s="91" t="str">
        <f t="shared" si="305"/>
        <v/>
      </c>
      <c r="K3886" s="92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2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58"/>
      <c r="U3886" s="217" t="str">
        <f t="shared" si="306"/>
        <v/>
      </c>
      <c r="V3886" s="215" t="s">
        <v>47</v>
      </c>
      <c r="W3886" s="102" t="s">
        <v>136</v>
      </c>
      <c r="X3886" s="102" t="s">
        <v>137</v>
      </c>
      <c r="Y3886" s="103" t="s">
        <v>138</v>
      </c>
      <c r="Z3886" s="103" t="s">
        <v>139</v>
      </c>
      <c r="AA3886" s="103" t="s">
        <v>47</v>
      </c>
      <c r="AB3886" s="103" t="s">
        <v>140</v>
      </c>
      <c r="AC3886" s="104" t="s">
        <v>141</v>
      </c>
    </row>
    <row r="3887" spans="1:29" ht="25.5" customHeight="1" x14ac:dyDescent="0.35">
      <c r="A3887" s="188"/>
      <c r="B3887" s="190"/>
      <c r="C3887" s="99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0"/>
      <c r="E3887" s="78" t="str">
        <f>IF(C3887="","",IFERROR(VLOOKUP(C3887,parametros!$A$11:$E$15,5,0),""))</f>
        <v/>
      </c>
      <c r="F3887" s="79" t="str">
        <f t="shared" si="302"/>
        <v/>
      </c>
      <c r="G3887" s="101"/>
      <c r="H3887" s="91">
        <f t="shared" si="303"/>
        <v>0</v>
      </c>
      <c r="I3887" s="91" t="str">
        <f t="shared" si="304"/>
        <v/>
      </c>
      <c r="J3887" s="91" t="str">
        <f t="shared" si="305"/>
        <v/>
      </c>
      <c r="K3887" s="92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2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58"/>
      <c r="U3887" s="217" t="str">
        <f t="shared" si="306"/>
        <v/>
      </c>
      <c r="V3887" s="215" t="s">
        <v>47</v>
      </c>
      <c r="W3887" s="102" t="s">
        <v>136</v>
      </c>
      <c r="X3887" s="102" t="s">
        <v>137</v>
      </c>
      <c r="Y3887" s="103" t="s">
        <v>138</v>
      </c>
      <c r="Z3887" s="103" t="s">
        <v>139</v>
      </c>
      <c r="AA3887" s="103" t="s">
        <v>47</v>
      </c>
      <c r="AB3887" s="103" t="s">
        <v>140</v>
      </c>
      <c r="AC3887" s="104" t="s">
        <v>141</v>
      </c>
    </row>
    <row r="3888" spans="1:29" ht="25.5" customHeight="1" x14ac:dyDescent="0.35">
      <c r="A3888" s="188"/>
      <c r="B3888" s="190"/>
      <c r="C3888" s="99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0"/>
      <c r="E3888" s="78" t="str">
        <f>IF(C3888="","",IFERROR(VLOOKUP(C3888,parametros!$A$11:$E$15,5,0),""))</f>
        <v/>
      </c>
      <c r="F3888" s="79" t="str">
        <f t="shared" si="302"/>
        <v/>
      </c>
      <c r="G3888" s="101"/>
      <c r="H3888" s="91">
        <f t="shared" si="303"/>
        <v>0</v>
      </c>
      <c r="I3888" s="91" t="str">
        <f t="shared" si="304"/>
        <v/>
      </c>
      <c r="J3888" s="91" t="str">
        <f t="shared" si="305"/>
        <v/>
      </c>
      <c r="K3888" s="92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2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58"/>
      <c r="U3888" s="217" t="str">
        <f t="shared" si="306"/>
        <v/>
      </c>
      <c r="V3888" s="215" t="s">
        <v>47</v>
      </c>
      <c r="W3888" s="102" t="s">
        <v>136</v>
      </c>
      <c r="X3888" s="102" t="s">
        <v>137</v>
      </c>
      <c r="Y3888" s="103" t="s">
        <v>138</v>
      </c>
      <c r="Z3888" s="103" t="s">
        <v>139</v>
      </c>
      <c r="AA3888" s="103" t="s">
        <v>47</v>
      </c>
      <c r="AB3888" s="103" t="s">
        <v>140</v>
      </c>
      <c r="AC3888" s="104" t="s">
        <v>141</v>
      </c>
    </row>
    <row r="3889" spans="1:29" ht="25.5" customHeight="1" x14ac:dyDescent="0.35">
      <c r="A3889" s="188"/>
      <c r="B3889" s="190"/>
      <c r="C3889" s="99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0"/>
      <c r="E3889" s="78" t="str">
        <f>IF(C3889="","",IFERROR(VLOOKUP(C3889,parametros!$A$11:$E$15,5,0),""))</f>
        <v/>
      </c>
      <c r="F3889" s="79" t="str">
        <f t="shared" si="302"/>
        <v/>
      </c>
      <c r="G3889" s="101"/>
      <c r="H3889" s="91">
        <f t="shared" si="303"/>
        <v>0</v>
      </c>
      <c r="I3889" s="91" t="str">
        <f t="shared" si="304"/>
        <v/>
      </c>
      <c r="J3889" s="91" t="str">
        <f t="shared" si="305"/>
        <v/>
      </c>
      <c r="K3889" s="92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2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58"/>
      <c r="U3889" s="217" t="str">
        <f t="shared" si="306"/>
        <v/>
      </c>
      <c r="V3889" s="215" t="s">
        <v>47</v>
      </c>
      <c r="W3889" s="102" t="s">
        <v>136</v>
      </c>
      <c r="X3889" s="102" t="s">
        <v>137</v>
      </c>
      <c r="Y3889" s="103" t="s">
        <v>138</v>
      </c>
      <c r="Z3889" s="103" t="s">
        <v>139</v>
      </c>
      <c r="AA3889" s="103" t="s">
        <v>47</v>
      </c>
      <c r="AB3889" s="103" t="s">
        <v>140</v>
      </c>
      <c r="AC3889" s="104" t="s">
        <v>141</v>
      </c>
    </row>
    <row r="3890" spans="1:29" ht="25.5" customHeight="1" x14ac:dyDescent="0.35">
      <c r="A3890" s="188"/>
      <c r="B3890" s="190"/>
      <c r="C3890" s="99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0"/>
      <c r="E3890" s="78" t="str">
        <f>IF(C3890="","",IFERROR(VLOOKUP(C3890,parametros!$A$11:$E$15,5,0),""))</f>
        <v/>
      </c>
      <c r="F3890" s="79" t="str">
        <f t="shared" si="302"/>
        <v/>
      </c>
      <c r="G3890" s="101"/>
      <c r="H3890" s="91">
        <f t="shared" si="303"/>
        <v>0</v>
      </c>
      <c r="I3890" s="91" t="str">
        <f t="shared" si="304"/>
        <v/>
      </c>
      <c r="J3890" s="91" t="str">
        <f t="shared" si="305"/>
        <v/>
      </c>
      <c r="K3890" s="92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2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58"/>
      <c r="U3890" s="217" t="str">
        <f t="shared" si="306"/>
        <v/>
      </c>
      <c r="V3890" s="215" t="s">
        <v>47</v>
      </c>
      <c r="W3890" s="102" t="s">
        <v>136</v>
      </c>
      <c r="X3890" s="102" t="s">
        <v>137</v>
      </c>
      <c r="Y3890" s="103" t="s">
        <v>138</v>
      </c>
      <c r="Z3890" s="103" t="s">
        <v>139</v>
      </c>
      <c r="AA3890" s="103" t="s">
        <v>47</v>
      </c>
      <c r="AB3890" s="103" t="s">
        <v>140</v>
      </c>
      <c r="AC3890" s="104" t="s">
        <v>141</v>
      </c>
    </row>
    <row r="3891" spans="1:29" ht="25.5" customHeight="1" x14ac:dyDescent="0.35">
      <c r="A3891" s="188"/>
      <c r="B3891" s="190"/>
      <c r="C3891" s="99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0"/>
      <c r="E3891" s="78" t="str">
        <f>IF(C3891="","",IFERROR(VLOOKUP(C3891,parametros!$A$11:$E$15,5,0),""))</f>
        <v/>
      </c>
      <c r="F3891" s="79" t="str">
        <f t="shared" si="302"/>
        <v/>
      </c>
      <c r="G3891" s="101"/>
      <c r="H3891" s="91">
        <f t="shared" si="303"/>
        <v>0</v>
      </c>
      <c r="I3891" s="91" t="str">
        <f t="shared" si="304"/>
        <v/>
      </c>
      <c r="J3891" s="91" t="str">
        <f t="shared" si="305"/>
        <v/>
      </c>
      <c r="K3891" s="92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2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58"/>
      <c r="U3891" s="217" t="str">
        <f t="shared" si="306"/>
        <v/>
      </c>
      <c r="V3891" s="215" t="s">
        <v>47</v>
      </c>
      <c r="W3891" s="102" t="s">
        <v>136</v>
      </c>
      <c r="X3891" s="102" t="s">
        <v>137</v>
      </c>
      <c r="Y3891" s="103" t="s">
        <v>138</v>
      </c>
      <c r="Z3891" s="103" t="s">
        <v>139</v>
      </c>
      <c r="AA3891" s="103" t="s">
        <v>47</v>
      </c>
      <c r="AB3891" s="103" t="s">
        <v>140</v>
      </c>
      <c r="AC3891" s="104" t="s">
        <v>141</v>
      </c>
    </row>
    <row r="3892" spans="1:29" ht="25.5" customHeight="1" x14ac:dyDescent="0.35">
      <c r="A3892" s="188"/>
      <c r="B3892" s="190"/>
      <c r="C3892" s="99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0"/>
      <c r="E3892" s="78" t="str">
        <f>IF(C3892="","",IFERROR(VLOOKUP(C3892,parametros!$A$11:$E$15,5,0),""))</f>
        <v/>
      </c>
      <c r="F3892" s="79" t="str">
        <f t="shared" si="302"/>
        <v/>
      </c>
      <c r="G3892" s="101"/>
      <c r="H3892" s="91">
        <f t="shared" si="303"/>
        <v>0</v>
      </c>
      <c r="I3892" s="91" t="str">
        <f t="shared" si="304"/>
        <v/>
      </c>
      <c r="J3892" s="91" t="str">
        <f t="shared" si="305"/>
        <v/>
      </c>
      <c r="K3892" s="92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2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58"/>
      <c r="U3892" s="217" t="str">
        <f t="shared" si="306"/>
        <v/>
      </c>
      <c r="V3892" s="215" t="s">
        <v>47</v>
      </c>
      <c r="W3892" s="102" t="s">
        <v>136</v>
      </c>
      <c r="X3892" s="102" t="s">
        <v>137</v>
      </c>
      <c r="Y3892" s="103" t="s">
        <v>138</v>
      </c>
      <c r="Z3892" s="103" t="s">
        <v>139</v>
      </c>
      <c r="AA3892" s="103" t="s">
        <v>47</v>
      </c>
      <c r="AB3892" s="103" t="s">
        <v>140</v>
      </c>
      <c r="AC3892" s="104" t="s">
        <v>141</v>
      </c>
    </row>
    <row r="3893" spans="1:29" ht="25.5" customHeight="1" x14ac:dyDescent="0.35">
      <c r="A3893" s="188"/>
      <c r="B3893" s="190"/>
      <c r="C3893" s="99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0"/>
      <c r="E3893" s="78" t="str">
        <f>IF(C3893="","",IFERROR(VLOOKUP(C3893,parametros!$A$11:$E$15,5,0),""))</f>
        <v/>
      </c>
      <c r="F3893" s="79" t="str">
        <f t="shared" si="302"/>
        <v/>
      </c>
      <c r="G3893" s="101"/>
      <c r="H3893" s="91">
        <f t="shared" si="303"/>
        <v>0</v>
      </c>
      <c r="I3893" s="91" t="str">
        <f t="shared" si="304"/>
        <v/>
      </c>
      <c r="J3893" s="91" t="str">
        <f t="shared" si="305"/>
        <v/>
      </c>
      <c r="K3893" s="92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2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58"/>
      <c r="U3893" s="217" t="str">
        <f t="shared" si="306"/>
        <v/>
      </c>
      <c r="V3893" s="215" t="s">
        <v>47</v>
      </c>
      <c r="W3893" s="102" t="s">
        <v>136</v>
      </c>
      <c r="X3893" s="102" t="s">
        <v>137</v>
      </c>
      <c r="Y3893" s="103" t="s">
        <v>138</v>
      </c>
      <c r="Z3893" s="103" t="s">
        <v>139</v>
      </c>
      <c r="AA3893" s="103" t="s">
        <v>47</v>
      </c>
      <c r="AB3893" s="103" t="s">
        <v>140</v>
      </c>
      <c r="AC3893" s="104" t="s">
        <v>141</v>
      </c>
    </row>
    <row r="3894" spans="1:29" ht="25.5" customHeight="1" x14ac:dyDescent="0.35">
      <c r="A3894" s="188"/>
      <c r="B3894" s="190"/>
      <c r="C3894" s="99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0"/>
      <c r="E3894" s="78" t="str">
        <f>IF(C3894="","",IFERROR(VLOOKUP(C3894,parametros!$A$11:$E$15,5,0),""))</f>
        <v/>
      </c>
      <c r="F3894" s="79" t="str">
        <f t="shared" si="302"/>
        <v/>
      </c>
      <c r="G3894" s="101"/>
      <c r="H3894" s="91">
        <f t="shared" si="303"/>
        <v>0</v>
      </c>
      <c r="I3894" s="91" t="str">
        <f t="shared" si="304"/>
        <v/>
      </c>
      <c r="J3894" s="91" t="str">
        <f t="shared" si="305"/>
        <v/>
      </c>
      <c r="K3894" s="92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2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58"/>
      <c r="U3894" s="217" t="str">
        <f t="shared" si="306"/>
        <v/>
      </c>
      <c r="V3894" s="215" t="s">
        <v>47</v>
      </c>
      <c r="W3894" s="102" t="s">
        <v>136</v>
      </c>
      <c r="X3894" s="102" t="s">
        <v>137</v>
      </c>
      <c r="Y3894" s="103" t="s">
        <v>138</v>
      </c>
      <c r="Z3894" s="103" t="s">
        <v>139</v>
      </c>
      <c r="AA3894" s="103" t="s">
        <v>47</v>
      </c>
      <c r="AB3894" s="103" t="s">
        <v>140</v>
      </c>
      <c r="AC3894" s="104" t="s">
        <v>141</v>
      </c>
    </row>
    <row r="3895" spans="1:29" ht="25.5" customHeight="1" x14ac:dyDescent="0.35">
      <c r="A3895" s="188"/>
      <c r="B3895" s="190"/>
      <c r="C3895" s="99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0"/>
      <c r="E3895" s="78" t="str">
        <f>IF(C3895="","",IFERROR(VLOOKUP(C3895,parametros!$A$11:$E$15,5,0),""))</f>
        <v/>
      </c>
      <c r="F3895" s="79" t="str">
        <f t="shared" si="302"/>
        <v/>
      </c>
      <c r="G3895" s="101"/>
      <c r="H3895" s="91">
        <f t="shared" si="303"/>
        <v>0</v>
      </c>
      <c r="I3895" s="91" t="str">
        <f t="shared" si="304"/>
        <v/>
      </c>
      <c r="J3895" s="91" t="str">
        <f t="shared" si="305"/>
        <v/>
      </c>
      <c r="K3895" s="92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2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58"/>
      <c r="U3895" s="217" t="str">
        <f t="shared" si="306"/>
        <v/>
      </c>
      <c r="V3895" s="215" t="s">
        <v>47</v>
      </c>
      <c r="W3895" s="102" t="s">
        <v>136</v>
      </c>
      <c r="X3895" s="102" t="s">
        <v>137</v>
      </c>
      <c r="Y3895" s="103" t="s">
        <v>138</v>
      </c>
      <c r="Z3895" s="103" t="s">
        <v>139</v>
      </c>
      <c r="AA3895" s="103" t="s">
        <v>47</v>
      </c>
      <c r="AB3895" s="103" t="s">
        <v>140</v>
      </c>
      <c r="AC3895" s="104" t="s">
        <v>141</v>
      </c>
    </row>
    <row r="3896" spans="1:29" ht="25.5" customHeight="1" x14ac:dyDescent="0.35">
      <c r="A3896" s="188"/>
      <c r="B3896" s="190"/>
      <c r="C3896" s="99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0"/>
      <c r="E3896" s="78" t="str">
        <f>IF(C3896="","",IFERROR(VLOOKUP(C3896,parametros!$A$11:$E$15,5,0),""))</f>
        <v/>
      </c>
      <c r="F3896" s="79" t="str">
        <f t="shared" si="302"/>
        <v/>
      </c>
      <c r="G3896" s="101"/>
      <c r="H3896" s="91">
        <f t="shared" si="303"/>
        <v>0</v>
      </c>
      <c r="I3896" s="91" t="str">
        <f t="shared" si="304"/>
        <v/>
      </c>
      <c r="J3896" s="91" t="str">
        <f t="shared" si="305"/>
        <v/>
      </c>
      <c r="K3896" s="92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2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58"/>
      <c r="U3896" s="217" t="str">
        <f t="shared" si="306"/>
        <v/>
      </c>
      <c r="V3896" s="215" t="s">
        <v>47</v>
      </c>
      <c r="W3896" s="102" t="s">
        <v>136</v>
      </c>
      <c r="X3896" s="102" t="s">
        <v>137</v>
      </c>
      <c r="Y3896" s="103" t="s">
        <v>138</v>
      </c>
      <c r="Z3896" s="103" t="s">
        <v>139</v>
      </c>
      <c r="AA3896" s="103" t="s">
        <v>47</v>
      </c>
      <c r="AB3896" s="103" t="s">
        <v>140</v>
      </c>
      <c r="AC3896" s="104" t="s">
        <v>141</v>
      </c>
    </row>
    <row r="3897" spans="1:29" ht="25.5" customHeight="1" x14ac:dyDescent="0.35">
      <c r="A3897" s="188"/>
      <c r="B3897" s="190"/>
      <c r="C3897" s="99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0"/>
      <c r="E3897" s="78" t="str">
        <f>IF(C3897="","",IFERROR(VLOOKUP(C3897,parametros!$A$11:$E$15,5,0),""))</f>
        <v/>
      </c>
      <c r="F3897" s="79" t="str">
        <f t="shared" si="302"/>
        <v/>
      </c>
      <c r="G3897" s="101"/>
      <c r="H3897" s="91">
        <f t="shared" si="303"/>
        <v>0</v>
      </c>
      <c r="I3897" s="91" t="str">
        <f t="shared" si="304"/>
        <v/>
      </c>
      <c r="J3897" s="91" t="str">
        <f t="shared" si="305"/>
        <v/>
      </c>
      <c r="K3897" s="92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2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58"/>
      <c r="U3897" s="217" t="str">
        <f t="shared" si="306"/>
        <v/>
      </c>
      <c r="V3897" s="215" t="s">
        <v>47</v>
      </c>
      <c r="W3897" s="102" t="s">
        <v>136</v>
      </c>
      <c r="X3897" s="102" t="s">
        <v>137</v>
      </c>
      <c r="Y3897" s="103" t="s">
        <v>138</v>
      </c>
      <c r="Z3897" s="103" t="s">
        <v>139</v>
      </c>
      <c r="AA3897" s="103" t="s">
        <v>47</v>
      </c>
      <c r="AB3897" s="103" t="s">
        <v>140</v>
      </c>
      <c r="AC3897" s="104" t="s">
        <v>141</v>
      </c>
    </row>
    <row r="3898" spans="1:29" ht="25.5" customHeight="1" x14ac:dyDescent="0.35">
      <c r="A3898" s="188"/>
      <c r="B3898" s="190"/>
      <c r="C3898" s="99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0"/>
      <c r="E3898" s="78" t="str">
        <f>IF(C3898="","",IFERROR(VLOOKUP(C3898,parametros!$A$11:$E$15,5,0),""))</f>
        <v/>
      </c>
      <c r="F3898" s="79" t="str">
        <f t="shared" si="302"/>
        <v/>
      </c>
      <c r="G3898" s="101"/>
      <c r="H3898" s="91">
        <f t="shared" si="303"/>
        <v>0</v>
      </c>
      <c r="I3898" s="91" t="str">
        <f t="shared" si="304"/>
        <v/>
      </c>
      <c r="J3898" s="91" t="str">
        <f t="shared" si="305"/>
        <v/>
      </c>
      <c r="K3898" s="92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2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58"/>
      <c r="U3898" s="217" t="str">
        <f t="shared" si="306"/>
        <v/>
      </c>
      <c r="V3898" s="215" t="s">
        <v>47</v>
      </c>
      <c r="W3898" s="102" t="s">
        <v>136</v>
      </c>
      <c r="X3898" s="102" t="s">
        <v>137</v>
      </c>
      <c r="Y3898" s="103" t="s">
        <v>138</v>
      </c>
      <c r="Z3898" s="103" t="s">
        <v>139</v>
      </c>
      <c r="AA3898" s="103" t="s">
        <v>47</v>
      </c>
      <c r="AB3898" s="103" t="s">
        <v>140</v>
      </c>
      <c r="AC3898" s="104" t="s">
        <v>141</v>
      </c>
    </row>
    <row r="3899" spans="1:29" ht="25.5" customHeight="1" x14ac:dyDescent="0.35">
      <c r="A3899" s="188"/>
      <c r="B3899" s="190"/>
      <c r="C3899" s="99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0"/>
      <c r="E3899" s="78" t="str">
        <f>IF(C3899="","",IFERROR(VLOOKUP(C3899,parametros!$A$11:$E$15,5,0),""))</f>
        <v/>
      </c>
      <c r="F3899" s="79" t="str">
        <f t="shared" si="302"/>
        <v/>
      </c>
      <c r="G3899" s="101"/>
      <c r="H3899" s="91">
        <f t="shared" si="303"/>
        <v>0</v>
      </c>
      <c r="I3899" s="91" t="str">
        <f t="shared" si="304"/>
        <v/>
      </c>
      <c r="J3899" s="91" t="str">
        <f t="shared" si="305"/>
        <v/>
      </c>
      <c r="K3899" s="92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2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58"/>
      <c r="U3899" s="217" t="str">
        <f t="shared" si="306"/>
        <v/>
      </c>
      <c r="V3899" s="215" t="s">
        <v>47</v>
      </c>
      <c r="W3899" s="102" t="s">
        <v>136</v>
      </c>
      <c r="X3899" s="102" t="s">
        <v>137</v>
      </c>
      <c r="Y3899" s="103" t="s">
        <v>138</v>
      </c>
      <c r="Z3899" s="103" t="s">
        <v>139</v>
      </c>
      <c r="AA3899" s="103" t="s">
        <v>47</v>
      </c>
      <c r="AB3899" s="103" t="s">
        <v>140</v>
      </c>
      <c r="AC3899" s="104" t="s">
        <v>141</v>
      </c>
    </row>
    <row r="3900" spans="1:29" ht="25.5" customHeight="1" x14ac:dyDescent="0.35">
      <c r="A3900" s="188"/>
      <c r="B3900" s="190"/>
      <c r="C3900" s="99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0"/>
      <c r="E3900" s="78" t="str">
        <f>IF(C3900="","",IFERROR(VLOOKUP(C3900,parametros!$A$11:$E$15,5,0),""))</f>
        <v/>
      </c>
      <c r="F3900" s="79" t="str">
        <f t="shared" si="302"/>
        <v/>
      </c>
      <c r="G3900" s="101"/>
      <c r="H3900" s="91">
        <f t="shared" si="303"/>
        <v>0</v>
      </c>
      <c r="I3900" s="91" t="str">
        <f t="shared" si="304"/>
        <v/>
      </c>
      <c r="J3900" s="91" t="str">
        <f t="shared" si="305"/>
        <v/>
      </c>
      <c r="K3900" s="92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2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58"/>
      <c r="U3900" s="217" t="str">
        <f t="shared" si="306"/>
        <v/>
      </c>
      <c r="V3900" s="215" t="s">
        <v>47</v>
      </c>
      <c r="W3900" s="102" t="s">
        <v>136</v>
      </c>
      <c r="X3900" s="102" t="s">
        <v>137</v>
      </c>
      <c r="Y3900" s="103" t="s">
        <v>138</v>
      </c>
      <c r="Z3900" s="103" t="s">
        <v>139</v>
      </c>
      <c r="AA3900" s="103" t="s">
        <v>47</v>
      </c>
      <c r="AB3900" s="103" t="s">
        <v>140</v>
      </c>
      <c r="AC3900" s="104" t="s">
        <v>141</v>
      </c>
    </row>
    <row r="3901" spans="1:29" ht="25.5" customHeight="1" x14ac:dyDescent="0.35">
      <c r="A3901" s="188"/>
      <c r="B3901" s="190"/>
      <c r="C3901" s="99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0"/>
      <c r="E3901" s="78" t="str">
        <f>IF(C3901="","",IFERROR(VLOOKUP(C3901,parametros!$A$11:$E$15,5,0),""))</f>
        <v/>
      </c>
      <c r="F3901" s="79" t="str">
        <f t="shared" si="302"/>
        <v/>
      </c>
      <c r="G3901" s="101"/>
      <c r="H3901" s="91">
        <f t="shared" si="303"/>
        <v>0</v>
      </c>
      <c r="I3901" s="91" t="str">
        <f t="shared" si="304"/>
        <v/>
      </c>
      <c r="J3901" s="91" t="str">
        <f t="shared" si="305"/>
        <v/>
      </c>
      <c r="K3901" s="92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2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58"/>
      <c r="U3901" s="217" t="str">
        <f t="shared" si="306"/>
        <v/>
      </c>
      <c r="V3901" s="215" t="s">
        <v>47</v>
      </c>
      <c r="W3901" s="102" t="s">
        <v>136</v>
      </c>
      <c r="X3901" s="102" t="s">
        <v>137</v>
      </c>
      <c r="Y3901" s="103" t="s">
        <v>138</v>
      </c>
      <c r="Z3901" s="103" t="s">
        <v>139</v>
      </c>
      <c r="AA3901" s="103" t="s">
        <v>47</v>
      </c>
      <c r="AB3901" s="103" t="s">
        <v>140</v>
      </c>
      <c r="AC3901" s="104" t="s">
        <v>141</v>
      </c>
    </row>
    <row r="3902" spans="1:29" ht="25.5" customHeight="1" x14ac:dyDescent="0.35">
      <c r="A3902" s="188"/>
      <c r="B3902" s="190"/>
      <c r="C3902" s="99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0"/>
      <c r="E3902" s="78" t="str">
        <f>IF(C3902="","",IFERROR(VLOOKUP(C3902,parametros!$A$11:$E$15,5,0),""))</f>
        <v/>
      </c>
      <c r="F3902" s="79" t="str">
        <f t="shared" si="302"/>
        <v/>
      </c>
      <c r="G3902" s="101"/>
      <c r="H3902" s="91">
        <f t="shared" si="303"/>
        <v>0</v>
      </c>
      <c r="I3902" s="91" t="str">
        <f t="shared" si="304"/>
        <v/>
      </c>
      <c r="J3902" s="91" t="str">
        <f t="shared" si="305"/>
        <v/>
      </c>
      <c r="K3902" s="92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2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58"/>
      <c r="U3902" s="217" t="str">
        <f t="shared" si="306"/>
        <v/>
      </c>
      <c r="V3902" s="215" t="s">
        <v>47</v>
      </c>
      <c r="W3902" s="102" t="s">
        <v>136</v>
      </c>
      <c r="X3902" s="102" t="s">
        <v>137</v>
      </c>
      <c r="Y3902" s="103" t="s">
        <v>138</v>
      </c>
      <c r="Z3902" s="103" t="s">
        <v>139</v>
      </c>
      <c r="AA3902" s="103" t="s">
        <v>47</v>
      </c>
      <c r="AB3902" s="103" t="s">
        <v>140</v>
      </c>
      <c r="AC3902" s="104" t="s">
        <v>141</v>
      </c>
    </row>
    <row r="3903" spans="1:29" ht="25.5" customHeight="1" x14ac:dyDescent="0.35">
      <c r="A3903" s="188"/>
      <c r="B3903" s="190"/>
      <c r="C3903" s="99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0"/>
      <c r="E3903" s="78" t="str">
        <f>IF(C3903="","",IFERROR(VLOOKUP(C3903,parametros!$A$11:$E$15,5,0),""))</f>
        <v/>
      </c>
      <c r="F3903" s="79" t="str">
        <f t="shared" si="302"/>
        <v/>
      </c>
      <c r="G3903" s="101"/>
      <c r="H3903" s="91">
        <f t="shared" si="303"/>
        <v>0</v>
      </c>
      <c r="I3903" s="91" t="str">
        <f t="shared" si="304"/>
        <v/>
      </c>
      <c r="J3903" s="91" t="str">
        <f t="shared" si="305"/>
        <v/>
      </c>
      <c r="K3903" s="92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2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58"/>
      <c r="U3903" s="217" t="str">
        <f t="shared" si="306"/>
        <v/>
      </c>
      <c r="V3903" s="215" t="s">
        <v>47</v>
      </c>
      <c r="W3903" s="102" t="s">
        <v>136</v>
      </c>
      <c r="X3903" s="102" t="s">
        <v>137</v>
      </c>
      <c r="Y3903" s="103" t="s">
        <v>138</v>
      </c>
      <c r="Z3903" s="103" t="s">
        <v>139</v>
      </c>
      <c r="AA3903" s="103" t="s">
        <v>47</v>
      </c>
      <c r="AB3903" s="103" t="s">
        <v>140</v>
      </c>
      <c r="AC3903" s="104" t="s">
        <v>141</v>
      </c>
    </row>
    <row r="3904" spans="1:29" ht="25.5" customHeight="1" x14ac:dyDescent="0.35">
      <c r="A3904" s="188"/>
      <c r="B3904" s="190"/>
      <c r="C3904" s="99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0"/>
      <c r="E3904" s="78" t="str">
        <f>IF(C3904="","",IFERROR(VLOOKUP(C3904,parametros!$A$11:$E$15,5,0),""))</f>
        <v/>
      </c>
      <c r="F3904" s="79" t="str">
        <f t="shared" si="302"/>
        <v/>
      </c>
      <c r="G3904" s="101"/>
      <c r="H3904" s="91">
        <f t="shared" si="303"/>
        <v>0</v>
      </c>
      <c r="I3904" s="91" t="str">
        <f t="shared" si="304"/>
        <v/>
      </c>
      <c r="J3904" s="91" t="str">
        <f t="shared" si="305"/>
        <v/>
      </c>
      <c r="K3904" s="92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2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58"/>
      <c r="U3904" s="217" t="str">
        <f t="shared" si="306"/>
        <v/>
      </c>
      <c r="V3904" s="215" t="s">
        <v>47</v>
      </c>
      <c r="W3904" s="102" t="s">
        <v>136</v>
      </c>
      <c r="X3904" s="102" t="s">
        <v>137</v>
      </c>
      <c r="Y3904" s="103" t="s">
        <v>138</v>
      </c>
      <c r="Z3904" s="103" t="s">
        <v>139</v>
      </c>
      <c r="AA3904" s="103" t="s">
        <v>47</v>
      </c>
      <c r="AB3904" s="103" t="s">
        <v>140</v>
      </c>
      <c r="AC3904" s="104" t="s">
        <v>141</v>
      </c>
    </row>
    <row r="3905" spans="1:29" ht="25.5" customHeight="1" x14ac:dyDescent="0.35">
      <c r="A3905" s="188"/>
      <c r="B3905" s="190"/>
      <c r="C3905" s="99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0"/>
      <c r="E3905" s="78" t="str">
        <f>IF(C3905="","",IFERROR(VLOOKUP(C3905,parametros!$A$11:$E$15,5,0),""))</f>
        <v/>
      </c>
      <c r="F3905" s="79" t="str">
        <f t="shared" si="302"/>
        <v/>
      </c>
      <c r="G3905" s="101"/>
      <c r="H3905" s="91">
        <f t="shared" si="303"/>
        <v>0</v>
      </c>
      <c r="I3905" s="91" t="str">
        <f t="shared" si="304"/>
        <v/>
      </c>
      <c r="J3905" s="91" t="str">
        <f t="shared" si="305"/>
        <v/>
      </c>
      <c r="K3905" s="92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2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58"/>
      <c r="U3905" s="217" t="str">
        <f t="shared" si="306"/>
        <v/>
      </c>
      <c r="V3905" s="215" t="s">
        <v>47</v>
      </c>
      <c r="W3905" s="102" t="s">
        <v>136</v>
      </c>
      <c r="X3905" s="102" t="s">
        <v>137</v>
      </c>
      <c r="Y3905" s="103" t="s">
        <v>138</v>
      </c>
      <c r="Z3905" s="103" t="s">
        <v>139</v>
      </c>
      <c r="AA3905" s="103" t="s">
        <v>47</v>
      </c>
      <c r="AB3905" s="103" t="s">
        <v>140</v>
      </c>
      <c r="AC3905" s="104" t="s">
        <v>141</v>
      </c>
    </row>
    <row r="3906" spans="1:29" ht="25.5" customHeight="1" x14ac:dyDescent="0.35">
      <c r="A3906" s="188"/>
      <c r="B3906" s="190"/>
      <c r="C3906" s="99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0"/>
      <c r="E3906" s="78" t="str">
        <f>IF(C3906="","",IFERROR(VLOOKUP(C3906,parametros!$A$11:$E$15,5,0),""))</f>
        <v/>
      </c>
      <c r="F3906" s="79" t="str">
        <f t="shared" ref="F3906:F3969" si="307">IF(OR(D3906="",E3906=""),"",ROUND(D3906*E3906,2))</f>
        <v/>
      </c>
      <c r="G3906" s="101"/>
      <c r="H3906" s="91">
        <f t="shared" ref="H3906:H3969" si="308">IF(G3906="Sim",IF(OR(F3906="",D3906="",L3906=""),"",IF(L3906="Sim",ROUND(F3906-D3906,2),0)),0)</f>
        <v>0</v>
      </c>
      <c r="I3906" s="91" t="str">
        <f t="shared" ref="I3906:I3969" si="309">IF(G3906="Sim",0,IF(OR(F3906="",L3906=""),"",F3906))</f>
        <v/>
      </c>
      <c r="J3906" s="91" t="str">
        <f t="shared" ref="J3906:J3969" si="310">IF(G3906="Sim",0,IF(OR(F3906="",D3906="",L3906=""),"",IF(L3906="Sim",ROUND(F3906-D3906,2),0)))</f>
        <v/>
      </c>
      <c r="K3906" s="92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2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58"/>
      <c r="U3906" s="217" t="str">
        <f t="shared" ref="U3906:U3969" si="311">IF(OR($D3906="",$H3906=""),"",ROUND($D3906+$H3906,2))</f>
        <v/>
      </c>
      <c r="V3906" s="215" t="s">
        <v>47</v>
      </c>
      <c r="W3906" s="102" t="s">
        <v>136</v>
      </c>
      <c r="X3906" s="102" t="s">
        <v>137</v>
      </c>
      <c r="Y3906" s="103" t="s">
        <v>138</v>
      </c>
      <c r="Z3906" s="103" t="s">
        <v>139</v>
      </c>
      <c r="AA3906" s="103" t="s">
        <v>47</v>
      </c>
      <c r="AB3906" s="103" t="s">
        <v>140</v>
      </c>
      <c r="AC3906" s="104" t="s">
        <v>141</v>
      </c>
    </row>
    <row r="3907" spans="1:29" ht="25.5" customHeight="1" x14ac:dyDescent="0.35">
      <c r="A3907" s="188"/>
      <c r="B3907" s="190"/>
      <c r="C3907" s="99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0"/>
      <c r="E3907" s="78" t="str">
        <f>IF(C3907="","",IFERROR(VLOOKUP(C3907,parametros!$A$11:$E$15,5,0),""))</f>
        <v/>
      </c>
      <c r="F3907" s="79" t="str">
        <f t="shared" si="307"/>
        <v/>
      </c>
      <c r="G3907" s="101"/>
      <c r="H3907" s="91">
        <f t="shared" si="308"/>
        <v>0</v>
      </c>
      <c r="I3907" s="91" t="str">
        <f t="shared" si="309"/>
        <v/>
      </c>
      <c r="J3907" s="91" t="str">
        <f t="shared" si="310"/>
        <v/>
      </c>
      <c r="K3907" s="92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2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58"/>
      <c r="U3907" s="217" t="str">
        <f t="shared" si="311"/>
        <v/>
      </c>
      <c r="V3907" s="215" t="s">
        <v>47</v>
      </c>
      <c r="W3907" s="102" t="s">
        <v>136</v>
      </c>
      <c r="X3907" s="102" t="s">
        <v>137</v>
      </c>
      <c r="Y3907" s="103" t="s">
        <v>138</v>
      </c>
      <c r="Z3907" s="103" t="s">
        <v>139</v>
      </c>
      <c r="AA3907" s="103" t="s">
        <v>47</v>
      </c>
      <c r="AB3907" s="103" t="s">
        <v>140</v>
      </c>
      <c r="AC3907" s="104" t="s">
        <v>141</v>
      </c>
    </row>
    <row r="3908" spans="1:29" ht="25.5" customHeight="1" x14ac:dyDescent="0.35">
      <c r="A3908" s="188"/>
      <c r="B3908" s="190"/>
      <c r="C3908" s="99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0"/>
      <c r="E3908" s="78" t="str">
        <f>IF(C3908="","",IFERROR(VLOOKUP(C3908,parametros!$A$11:$E$15,5,0),""))</f>
        <v/>
      </c>
      <c r="F3908" s="79" t="str">
        <f t="shared" si="307"/>
        <v/>
      </c>
      <c r="G3908" s="101"/>
      <c r="H3908" s="91">
        <f t="shared" si="308"/>
        <v>0</v>
      </c>
      <c r="I3908" s="91" t="str">
        <f t="shared" si="309"/>
        <v/>
      </c>
      <c r="J3908" s="91" t="str">
        <f t="shared" si="310"/>
        <v/>
      </c>
      <c r="K3908" s="92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2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58"/>
      <c r="U3908" s="217" t="str">
        <f t="shared" si="311"/>
        <v/>
      </c>
      <c r="V3908" s="215" t="s">
        <v>47</v>
      </c>
      <c r="W3908" s="102" t="s">
        <v>136</v>
      </c>
      <c r="X3908" s="102" t="s">
        <v>137</v>
      </c>
      <c r="Y3908" s="103" t="s">
        <v>138</v>
      </c>
      <c r="Z3908" s="103" t="s">
        <v>139</v>
      </c>
      <c r="AA3908" s="103" t="s">
        <v>47</v>
      </c>
      <c r="AB3908" s="103" t="s">
        <v>140</v>
      </c>
      <c r="AC3908" s="104" t="s">
        <v>141</v>
      </c>
    </row>
    <row r="3909" spans="1:29" ht="25.5" customHeight="1" x14ac:dyDescent="0.35">
      <c r="A3909" s="188"/>
      <c r="B3909" s="190"/>
      <c r="C3909" s="99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0"/>
      <c r="E3909" s="78" t="str">
        <f>IF(C3909="","",IFERROR(VLOOKUP(C3909,parametros!$A$11:$E$15,5,0),""))</f>
        <v/>
      </c>
      <c r="F3909" s="79" t="str">
        <f t="shared" si="307"/>
        <v/>
      </c>
      <c r="G3909" s="101"/>
      <c r="H3909" s="91">
        <f t="shared" si="308"/>
        <v>0</v>
      </c>
      <c r="I3909" s="91" t="str">
        <f t="shared" si="309"/>
        <v/>
      </c>
      <c r="J3909" s="91" t="str">
        <f t="shared" si="310"/>
        <v/>
      </c>
      <c r="K3909" s="92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2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58"/>
      <c r="U3909" s="217" t="str">
        <f t="shared" si="311"/>
        <v/>
      </c>
      <c r="V3909" s="215" t="s">
        <v>47</v>
      </c>
      <c r="W3909" s="102" t="s">
        <v>136</v>
      </c>
      <c r="X3909" s="102" t="s">
        <v>137</v>
      </c>
      <c r="Y3909" s="103" t="s">
        <v>138</v>
      </c>
      <c r="Z3909" s="103" t="s">
        <v>139</v>
      </c>
      <c r="AA3909" s="103" t="s">
        <v>47</v>
      </c>
      <c r="AB3909" s="103" t="s">
        <v>140</v>
      </c>
      <c r="AC3909" s="104" t="s">
        <v>141</v>
      </c>
    </row>
    <row r="3910" spans="1:29" ht="25.5" customHeight="1" x14ac:dyDescent="0.35">
      <c r="A3910" s="188"/>
      <c r="B3910" s="190"/>
      <c r="C3910" s="99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0"/>
      <c r="E3910" s="78" t="str">
        <f>IF(C3910="","",IFERROR(VLOOKUP(C3910,parametros!$A$11:$E$15,5,0),""))</f>
        <v/>
      </c>
      <c r="F3910" s="79" t="str">
        <f t="shared" si="307"/>
        <v/>
      </c>
      <c r="G3910" s="101"/>
      <c r="H3910" s="91">
        <f t="shared" si="308"/>
        <v>0</v>
      </c>
      <c r="I3910" s="91" t="str">
        <f t="shared" si="309"/>
        <v/>
      </c>
      <c r="J3910" s="91" t="str">
        <f t="shared" si="310"/>
        <v/>
      </c>
      <c r="K3910" s="92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2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58"/>
      <c r="U3910" s="217" t="str">
        <f t="shared" si="311"/>
        <v/>
      </c>
      <c r="V3910" s="215" t="s">
        <v>47</v>
      </c>
      <c r="W3910" s="102" t="s">
        <v>136</v>
      </c>
      <c r="X3910" s="102" t="s">
        <v>137</v>
      </c>
      <c r="Y3910" s="103" t="s">
        <v>138</v>
      </c>
      <c r="Z3910" s="103" t="s">
        <v>139</v>
      </c>
      <c r="AA3910" s="103" t="s">
        <v>47</v>
      </c>
      <c r="AB3910" s="103" t="s">
        <v>140</v>
      </c>
      <c r="AC3910" s="104" t="s">
        <v>141</v>
      </c>
    </row>
    <row r="3911" spans="1:29" ht="25.5" customHeight="1" x14ac:dyDescent="0.35">
      <c r="A3911" s="188"/>
      <c r="B3911" s="190"/>
      <c r="C3911" s="99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0"/>
      <c r="E3911" s="78" t="str">
        <f>IF(C3911="","",IFERROR(VLOOKUP(C3911,parametros!$A$11:$E$15,5,0),""))</f>
        <v/>
      </c>
      <c r="F3911" s="79" t="str">
        <f t="shared" si="307"/>
        <v/>
      </c>
      <c r="G3911" s="101"/>
      <c r="H3911" s="91">
        <f t="shared" si="308"/>
        <v>0</v>
      </c>
      <c r="I3911" s="91" t="str">
        <f t="shared" si="309"/>
        <v/>
      </c>
      <c r="J3911" s="91" t="str">
        <f t="shared" si="310"/>
        <v/>
      </c>
      <c r="K3911" s="92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2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58"/>
      <c r="U3911" s="217" t="str">
        <f t="shared" si="311"/>
        <v/>
      </c>
      <c r="V3911" s="215" t="s">
        <v>47</v>
      </c>
      <c r="W3911" s="102" t="s">
        <v>136</v>
      </c>
      <c r="X3911" s="102" t="s">
        <v>137</v>
      </c>
      <c r="Y3911" s="103" t="s">
        <v>138</v>
      </c>
      <c r="Z3911" s="103" t="s">
        <v>139</v>
      </c>
      <c r="AA3911" s="103" t="s">
        <v>47</v>
      </c>
      <c r="AB3911" s="103" t="s">
        <v>140</v>
      </c>
      <c r="AC3911" s="104" t="s">
        <v>141</v>
      </c>
    </row>
    <row r="3912" spans="1:29" ht="25.5" customHeight="1" x14ac:dyDescent="0.35">
      <c r="A3912" s="188"/>
      <c r="B3912" s="190"/>
      <c r="C3912" s="99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0"/>
      <c r="E3912" s="78" t="str">
        <f>IF(C3912="","",IFERROR(VLOOKUP(C3912,parametros!$A$11:$E$15,5,0),""))</f>
        <v/>
      </c>
      <c r="F3912" s="79" t="str">
        <f t="shared" si="307"/>
        <v/>
      </c>
      <c r="G3912" s="101"/>
      <c r="H3912" s="91">
        <f t="shared" si="308"/>
        <v>0</v>
      </c>
      <c r="I3912" s="91" t="str">
        <f t="shared" si="309"/>
        <v/>
      </c>
      <c r="J3912" s="91" t="str">
        <f t="shared" si="310"/>
        <v/>
      </c>
      <c r="K3912" s="92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2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58"/>
      <c r="U3912" s="217" t="str">
        <f t="shared" si="311"/>
        <v/>
      </c>
      <c r="V3912" s="215" t="s">
        <v>47</v>
      </c>
      <c r="W3912" s="102" t="s">
        <v>136</v>
      </c>
      <c r="X3912" s="102" t="s">
        <v>137</v>
      </c>
      <c r="Y3912" s="103" t="s">
        <v>138</v>
      </c>
      <c r="Z3912" s="103" t="s">
        <v>139</v>
      </c>
      <c r="AA3912" s="103" t="s">
        <v>47</v>
      </c>
      <c r="AB3912" s="103" t="s">
        <v>140</v>
      </c>
      <c r="AC3912" s="104" t="s">
        <v>141</v>
      </c>
    </row>
    <row r="3913" spans="1:29" ht="25.5" customHeight="1" x14ac:dyDescent="0.35">
      <c r="A3913" s="188"/>
      <c r="B3913" s="190"/>
      <c r="C3913" s="99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0"/>
      <c r="E3913" s="78" t="str">
        <f>IF(C3913="","",IFERROR(VLOOKUP(C3913,parametros!$A$11:$E$15,5,0),""))</f>
        <v/>
      </c>
      <c r="F3913" s="79" t="str">
        <f t="shared" si="307"/>
        <v/>
      </c>
      <c r="G3913" s="101"/>
      <c r="H3913" s="91">
        <f t="shared" si="308"/>
        <v>0</v>
      </c>
      <c r="I3913" s="91" t="str">
        <f t="shared" si="309"/>
        <v/>
      </c>
      <c r="J3913" s="91" t="str">
        <f t="shared" si="310"/>
        <v/>
      </c>
      <c r="K3913" s="92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2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58"/>
      <c r="U3913" s="217" t="str">
        <f t="shared" si="311"/>
        <v/>
      </c>
      <c r="V3913" s="215" t="s">
        <v>47</v>
      </c>
      <c r="W3913" s="102" t="s">
        <v>136</v>
      </c>
      <c r="X3913" s="102" t="s">
        <v>137</v>
      </c>
      <c r="Y3913" s="103" t="s">
        <v>138</v>
      </c>
      <c r="Z3913" s="103" t="s">
        <v>139</v>
      </c>
      <c r="AA3913" s="103" t="s">
        <v>47</v>
      </c>
      <c r="AB3913" s="103" t="s">
        <v>140</v>
      </c>
      <c r="AC3913" s="104" t="s">
        <v>141</v>
      </c>
    </row>
    <row r="3914" spans="1:29" ht="25.5" customHeight="1" x14ac:dyDescent="0.35">
      <c r="A3914" s="188"/>
      <c r="B3914" s="190"/>
      <c r="C3914" s="99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0"/>
      <c r="E3914" s="78" t="str">
        <f>IF(C3914="","",IFERROR(VLOOKUP(C3914,parametros!$A$11:$E$15,5,0),""))</f>
        <v/>
      </c>
      <c r="F3914" s="79" t="str">
        <f t="shared" si="307"/>
        <v/>
      </c>
      <c r="G3914" s="101"/>
      <c r="H3914" s="91">
        <f t="shared" si="308"/>
        <v>0</v>
      </c>
      <c r="I3914" s="91" t="str">
        <f t="shared" si="309"/>
        <v/>
      </c>
      <c r="J3914" s="91" t="str">
        <f t="shared" si="310"/>
        <v/>
      </c>
      <c r="K3914" s="92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2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58"/>
      <c r="U3914" s="217" t="str">
        <f t="shared" si="311"/>
        <v/>
      </c>
      <c r="V3914" s="215" t="s">
        <v>47</v>
      </c>
      <c r="W3914" s="102" t="s">
        <v>136</v>
      </c>
      <c r="X3914" s="102" t="s">
        <v>137</v>
      </c>
      <c r="Y3914" s="103" t="s">
        <v>138</v>
      </c>
      <c r="Z3914" s="103" t="s">
        <v>139</v>
      </c>
      <c r="AA3914" s="103" t="s">
        <v>47</v>
      </c>
      <c r="AB3914" s="103" t="s">
        <v>140</v>
      </c>
      <c r="AC3914" s="104" t="s">
        <v>141</v>
      </c>
    </row>
    <row r="3915" spans="1:29" ht="25.5" customHeight="1" x14ac:dyDescent="0.35">
      <c r="A3915" s="188"/>
      <c r="B3915" s="190"/>
      <c r="C3915" s="99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0"/>
      <c r="E3915" s="78" t="str">
        <f>IF(C3915="","",IFERROR(VLOOKUP(C3915,parametros!$A$11:$E$15,5,0),""))</f>
        <v/>
      </c>
      <c r="F3915" s="79" t="str">
        <f t="shared" si="307"/>
        <v/>
      </c>
      <c r="G3915" s="101"/>
      <c r="H3915" s="91">
        <f t="shared" si="308"/>
        <v>0</v>
      </c>
      <c r="I3915" s="91" t="str">
        <f t="shared" si="309"/>
        <v/>
      </c>
      <c r="J3915" s="91" t="str">
        <f t="shared" si="310"/>
        <v/>
      </c>
      <c r="K3915" s="92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2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58"/>
      <c r="U3915" s="217" t="str">
        <f t="shared" si="311"/>
        <v/>
      </c>
      <c r="V3915" s="215" t="s">
        <v>47</v>
      </c>
      <c r="W3915" s="102" t="s">
        <v>136</v>
      </c>
      <c r="X3915" s="102" t="s">
        <v>137</v>
      </c>
      <c r="Y3915" s="103" t="s">
        <v>138</v>
      </c>
      <c r="Z3915" s="103" t="s">
        <v>139</v>
      </c>
      <c r="AA3915" s="103" t="s">
        <v>47</v>
      </c>
      <c r="AB3915" s="103" t="s">
        <v>140</v>
      </c>
      <c r="AC3915" s="104" t="s">
        <v>141</v>
      </c>
    </row>
    <row r="3916" spans="1:29" ht="25.5" customHeight="1" x14ac:dyDescent="0.35">
      <c r="A3916" s="188"/>
      <c r="B3916" s="190"/>
      <c r="C3916" s="99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0"/>
      <c r="E3916" s="78" t="str">
        <f>IF(C3916="","",IFERROR(VLOOKUP(C3916,parametros!$A$11:$E$15,5,0),""))</f>
        <v/>
      </c>
      <c r="F3916" s="79" t="str">
        <f t="shared" si="307"/>
        <v/>
      </c>
      <c r="G3916" s="101"/>
      <c r="H3916" s="91">
        <f t="shared" si="308"/>
        <v>0</v>
      </c>
      <c r="I3916" s="91" t="str">
        <f t="shared" si="309"/>
        <v/>
      </c>
      <c r="J3916" s="91" t="str">
        <f t="shared" si="310"/>
        <v/>
      </c>
      <c r="K3916" s="92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2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58"/>
      <c r="U3916" s="217" t="str">
        <f t="shared" si="311"/>
        <v/>
      </c>
      <c r="V3916" s="215" t="s">
        <v>47</v>
      </c>
      <c r="W3916" s="102" t="s">
        <v>136</v>
      </c>
      <c r="X3916" s="102" t="s">
        <v>137</v>
      </c>
      <c r="Y3916" s="103" t="s">
        <v>138</v>
      </c>
      <c r="Z3916" s="103" t="s">
        <v>139</v>
      </c>
      <c r="AA3916" s="103" t="s">
        <v>47</v>
      </c>
      <c r="AB3916" s="103" t="s">
        <v>140</v>
      </c>
      <c r="AC3916" s="104" t="s">
        <v>141</v>
      </c>
    </row>
    <row r="3917" spans="1:29" ht="25.5" customHeight="1" x14ac:dyDescent="0.35">
      <c r="A3917" s="188"/>
      <c r="B3917" s="190"/>
      <c r="C3917" s="99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0"/>
      <c r="E3917" s="78" t="str">
        <f>IF(C3917="","",IFERROR(VLOOKUP(C3917,parametros!$A$11:$E$15,5,0),""))</f>
        <v/>
      </c>
      <c r="F3917" s="79" t="str">
        <f t="shared" si="307"/>
        <v/>
      </c>
      <c r="G3917" s="101"/>
      <c r="H3917" s="91">
        <f t="shared" si="308"/>
        <v>0</v>
      </c>
      <c r="I3917" s="91" t="str">
        <f t="shared" si="309"/>
        <v/>
      </c>
      <c r="J3917" s="91" t="str">
        <f t="shared" si="310"/>
        <v/>
      </c>
      <c r="K3917" s="92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2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58"/>
      <c r="U3917" s="217" t="str">
        <f t="shared" si="311"/>
        <v/>
      </c>
      <c r="V3917" s="215" t="s">
        <v>47</v>
      </c>
      <c r="W3917" s="102" t="s">
        <v>136</v>
      </c>
      <c r="X3917" s="102" t="s">
        <v>137</v>
      </c>
      <c r="Y3917" s="103" t="s">
        <v>138</v>
      </c>
      <c r="Z3917" s="103" t="s">
        <v>139</v>
      </c>
      <c r="AA3917" s="103" t="s">
        <v>47</v>
      </c>
      <c r="AB3917" s="103" t="s">
        <v>140</v>
      </c>
      <c r="AC3917" s="104" t="s">
        <v>141</v>
      </c>
    </row>
    <row r="3918" spans="1:29" ht="25.5" customHeight="1" x14ac:dyDescent="0.35">
      <c r="A3918" s="188"/>
      <c r="B3918" s="190"/>
      <c r="C3918" s="99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0"/>
      <c r="E3918" s="78" t="str">
        <f>IF(C3918="","",IFERROR(VLOOKUP(C3918,parametros!$A$11:$E$15,5,0),""))</f>
        <v/>
      </c>
      <c r="F3918" s="79" t="str">
        <f t="shared" si="307"/>
        <v/>
      </c>
      <c r="G3918" s="101"/>
      <c r="H3918" s="91">
        <f t="shared" si="308"/>
        <v>0</v>
      </c>
      <c r="I3918" s="91" t="str">
        <f t="shared" si="309"/>
        <v/>
      </c>
      <c r="J3918" s="91" t="str">
        <f t="shared" si="310"/>
        <v/>
      </c>
      <c r="K3918" s="92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2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58"/>
      <c r="U3918" s="217" t="str">
        <f t="shared" si="311"/>
        <v/>
      </c>
      <c r="V3918" s="215" t="s">
        <v>47</v>
      </c>
      <c r="W3918" s="102" t="s">
        <v>136</v>
      </c>
      <c r="X3918" s="102" t="s">
        <v>137</v>
      </c>
      <c r="Y3918" s="103" t="s">
        <v>138</v>
      </c>
      <c r="Z3918" s="103" t="s">
        <v>139</v>
      </c>
      <c r="AA3918" s="103" t="s">
        <v>47</v>
      </c>
      <c r="AB3918" s="103" t="s">
        <v>140</v>
      </c>
      <c r="AC3918" s="104" t="s">
        <v>141</v>
      </c>
    </row>
    <row r="3919" spans="1:29" ht="25.5" customHeight="1" x14ac:dyDescent="0.35">
      <c r="A3919" s="188"/>
      <c r="B3919" s="190"/>
      <c r="C3919" s="99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0"/>
      <c r="E3919" s="78" t="str">
        <f>IF(C3919="","",IFERROR(VLOOKUP(C3919,parametros!$A$11:$E$15,5,0),""))</f>
        <v/>
      </c>
      <c r="F3919" s="79" t="str">
        <f t="shared" si="307"/>
        <v/>
      </c>
      <c r="G3919" s="101"/>
      <c r="H3919" s="91">
        <f t="shared" si="308"/>
        <v>0</v>
      </c>
      <c r="I3919" s="91" t="str">
        <f t="shared" si="309"/>
        <v/>
      </c>
      <c r="J3919" s="91" t="str">
        <f t="shared" si="310"/>
        <v/>
      </c>
      <c r="K3919" s="92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2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58"/>
      <c r="U3919" s="217" t="str">
        <f t="shared" si="311"/>
        <v/>
      </c>
      <c r="V3919" s="215" t="s">
        <v>47</v>
      </c>
      <c r="W3919" s="102" t="s">
        <v>136</v>
      </c>
      <c r="X3919" s="102" t="s">
        <v>137</v>
      </c>
      <c r="Y3919" s="103" t="s">
        <v>138</v>
      </c>
      <c r="Z3919" s="103" t="s">
        <v>139</v>
      </c>
      <c r="AA3919" s="103" t="s">
        <v>47</v>
      </c>
      <c r="AB3919" s="103" t="s">
        <v>140</v>
      </c>
      <c r="AC3919" s="104" t="s">
        <v>141</v>
      </c>
    </row>
    <row r="3920" spans="1:29" ht="25.5" customHeight="1" x14ac:dyDescent="0.35">
      <c r="A3920" s="188"/>
      <c r="B3920" s="190"/>
      <c r="C3920" s="99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0"/>
      <c r="E3920" s="78" t="str">
        <f>IF(C3920="","",IFERROR(VLOOKUP(C3920,parametros!$A$11:$E$15,5,0),""))</f>
        <v/>
      </c>
      <c r="F3920" s="79" t="str">
        <f t="shared" si="307"/>
        <v/>
      </c>
      <c r="G3920" s="101"/>
      <c r="H3920" s="91">
        <f t="shared" si="308"/>
        <v>0</v>
      </c>
      <c r="I3920" s="91" t="str">
        <f t="shared" si="309"/>
        <v/>
      </c>
      <c r="J3920" s="91" t="str">
        <f t="shared" si="310"/>
        <v/>
      </c>
      <c r="K3920" s="92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2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58"/>
      <c r="U3920" s="217" t="str">
        <f t="shared" si="311"/>
        <v/>
      </c>
      <c r="V3920" s="215" t="s">
        <v>47</v>
      </c>
      <c r="W3920" s="102" t="s">
        <v>136</v>
      </c>
      <c r="X3920" s="102" t="s">
        <v>137</v>
      </c>
      <c r="Y3920" s="103" t="s">
        <v>138</v>
      </c>
      <c r="Z3920" s="103" t="s">
        <v>139</v>
      </c>
      <c r="AA3920" s="103" t="s">
        <v>47</v>
      </c>
      <c r="AB3920" s="103" t="s">
        <v>140</v>
      </c>
      <c r="AC3920" s="104" t="s">
        <v>141</v>
      </c>
    </row>
    <row r="3921" spans="1:29" ht="25.5" customHeight="1" x14ac:dyDescent="0.35">
      <c r="A3921" s="188"/>
      <c r="B3921" s="190"/>
      <c r="C3921" s="99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0"/>
      <c r="E3921" s="78" t="str">
        <f>IF(C3921="","",IFERROR(VLOOKUP(C3921,parametros!$A$11:$E$15,5,0),""))</f>
        <v/>
      </c>
      <c r="F3921" s="79" t="str">
        <f t="shared" si="307"/>
        <v/>
      </c>
      <c r="G3921" s="101"/>
      <c r="H3921" s="91">
        <f t="shared" si="308"/>
        <v>0</v>
      </c>
      <c r="I3921" s="91" t="str">
        <f t="shared" si="309"/>
        <v/>
      </c>
      <c r="J3921" s="91" t="str">
        <f t="shared" si="310"/>
        <v/>
      </c>
      <c r="K3921" s="92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2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58"/>
      <c r="U3921" s="217" t="str">
        <f t="shared" si="311"/>
        <v/>
      </c>
      <c r="V3921" s="215" t="s">
        <v>47</v>
      </c>
      <c r="W3921" s="102" t="s">
        <v>136</v>
      </c>
      <c r="X3921" s="102" t="s">
        <v>137</v>
      </c>
      <c r="Y3921" s="103" t="s">
        <v>138</v>
      </c>
      <c r="Z3921" s="103" t="s">
        <v>139</v>
      </c>
      <c r="AA3921" s="103" t="s">
        <v>47</v>
      </c>
      <c r="AB3921" s="103" t="s">
        <v>140</v>
      </c>
      <c r="AC3921" s="104" t="s">
        <v>141</v>
      </c>
    </row>
    <row r="3922" spans="1:29" ht="25.5" customHeight="1" x14ac:dyDescent="0.35">
      <c r="A3922" s="188"/>
      <c r="B3922" s="190"/>
      <c r="C3922" s="99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0"/>
      <c r="E3922" s="78" t="str">
        <f>IF(C3922="","",IFERROR(VLOOKUP(C3922,parametros!$A$11:$E$15,5,0),""))</f>
        <v/>
      </c>
      <c r="F3922" s="79" t="str">
        <f t="shared" si="307"/>
        <v/>
      </c>
      <c r="G3922" s="101"/>
      <c r="H3922" s="91">
        <f t="shared" si="308"/>
        <v>0</v>
      </c>
      <c r="I3922" s="91" t="str">
        <f t="shared" si="309"/>
        <v/>
      </c>
      <c r="J3922" s="91" t="str">
        <f t="shared" si="310"/>
        <v/>
      </c>
      <c r="K3922" s="92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2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58"/>
      <c r="U3922" s="217" t="str">
        <f t="shared" si="311"/>
        <v/>
      </c>
      <c r="V3922" s="215" t="s">
        <v>47</v>
      </c>
      <c r="W3922" s="102" t="s">
        <v>136</v>
      </c>
      <c r="X3922" s="102" t="s">
        <v>137</v>
      </c>
      <c r="Y3922" s="103" t="s">
        <v>138</v>
      </c>
      <c r="Z3922" s="103" t="s">
        <v>139</v>
      </c>
      <c r="AA3922" s="103" t="s">
        <v>47</v>
      </c>
      <c r="AB3922" s="103" t="s">
        <v>140</v>
      </c>
      <c r="AC3922" s="104" t="s">
        <v>141</v>
      </c>
    </row>
    <row r="3923" spans="1:29" ht="25.5" customHeight="1" x14ac:dyDescent="0.35">
      <c r="A3923" s="188"/>
      <c r="B3923" s="190"/>
      <c r="C3923" s="99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0"/>
      <c r="E3923" s="78" t="str">
        <f>IF(C3923="","",IFERROR(VLOOKUP(C3923,parametros!$A$11:$E$15,5,0),""))</f>
        <v/>
      </c>
      <c r="F3923" s="79" t="str">
        <f t="shared" si="307"/>
        <v/>
      </c>
      <c r="G3923" s="101"/>
      <c r="H3923" s="91">
        <f t="shared" si="308"/>
        <v>0</v>
      </c>
      <c r="I3923" s="91" t="str">
        <f t="shared" si="309"/>
        <v/>
      </c>
      <c r="J3923" s="91" t="str">
        <f t="shared" si="310"/>
        <v/>
      </c>
      <c r="K3923" s="92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2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58"/>
      <c r="U3923" s="217" t="str">
        <f t="shared" si="311"/>
        <v/>
      </c>
      <c r="V3923" s="215" t="s">
        <v>47</v>
      </c>
      <c r="W3923" s="102" t="s">
        <v>136</v>
      </c>
      <c r="X3923" s="102" t="s">
        <v>137</v>
      </c>
      <c r="Y3923" s="103" t="s">
        <v>138</v>
      </c>
      <c r="Z3923" s="103" t="s">
        <v>139</v>
      </c>
      <c r="AA3923" s="103" t="s">
        <v>47</v>
      </c>
      <c r="AB3923" s="103" t="s">
        <v>140</v>
      </c>
      <c r="AC3923" s="104" t="s">
        <v>141</v>
      </c>
    </row>
    <row r="3924" spans="1:29" ht="25.5" customHeight="1" x14ac:dyDescent="0.35">
      <c r="A3924" s="188"/>
      <c r="B3924" s="190"/>
      <c r="C3924" s="99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0"/>
      <c r="E3924" s="78" t="str">
        <f>IF(C3924="","",IFERROR(VLOOKUP(C3924,parametros!$A$11:$E$15,5,0),""))</f>
        <v/>
      </c>
      <c r="F3924" s="79" t="str">
        <f t="shared" si="307"/>
        <v/>
      </c>
      <c r="G3924" s="101"/>
      <c r="H3924" s="91">
        <f t="shared" si="308"/>
        <v>0</v>
      </c>
      <c r="I3924" s="91" t="str">
        <f t="shared" si="309"/>
        <v/>
      </c>
      <c r="J3924" s="91" t="str">
        <f t="shared" si="310"/>
        <v/>
      </c>
      <c r="K3924" s="92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2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58"/>
      <c r="U3924" s="217" t="str">
        <f t="shared" si="311"/>
        <v/>
      </c>
      <c r="V3924" s="215" t="s">
        <v>47</v>
      </c>
      <c r="W3924" s="102" t="s">
        <v>136</v>
      </c>
      <c r="X3924" s="102" t="s">
        <v>137</v>
      </c>
      <c r="Y3924" s="103" t="s">
        <v>138</v>
      </c>
      <c r="Z3924" s="103" t="s">
        <v>139</v>
      </c>
      <c r="AA3924" s="103" t="s">
        <v>47</v>
      </c>
      <c r="AB3924" s="103" t="s">
        <v>140</v>
      </c>
      <c r="AC3924" s="104" t="s">
        <v>141</v>
      </c>
    </row>
    <row r="3925" spans="1:29" ht="25.5" customHeight="1" x14ac:dyDescent="0.35">
      <c r="A3925" s="188"/>
      <c r="B3925" s="190"/>
      <c r="C3925" s="99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0"/>
      <c r="E3925" s="78" t="str">
        <f>IF(C3925="","",IFERROR(VLOOKUP(C3925,parametros!$A$11:$E$15,5,0),""))</f>
        <v/>
      </c>
      <c r="F3925" s="79" t="str">
        <f t="shared" si="307"/>
        <v/>
      </c>
      <c r="G3925" s="101"/>
      <c r="H3925" s="91">
        <f t="shared" si="308"/>
        <v>0</v>
      </c>
      <c r="I3925" s="91" t="str">
        <f t="shared" si="309"/>
        <v/>
      </c>
      <c r="J3925" s="91" t="str">
        <f t="shared" si="310"/>
        <v/>
      </c>
      <c r="K3925" s="92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2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58"/>
      <c r="U3925" s="217" t="str">
        <f t="shared" si="311"/>
        <v/>
      </c>
      <c r="V3925" s="215" t="s">
        <v>47</v>
      </c>
      <c r="W3925" s="102" t="s">
        <v>136</v>
      </c>
      <c r="X3925" s="102" t="s">
        <v>137</v>
      </c>
      <c r="Y3925" s="103" t="s">
        <v>138</v>
      </c>
      <c r="Z3925" s="103" t="s">
        <v>139</v>
      </c>
      <c r="AA3925" s="103" t="s">
        <v>47</v>
      </c>
      <c r="AB3925" s="103" t="s">
        <v>140</v>
      </c>
      <c r="AC3925" s="104" t="s">
        <v>141</v>
      </c>
    </row>
    <row r="3926" spans="1:29" ht="25.5" customHeight="1" x14ac:dyDescent="0.35">
      <c r="A3926" s="188"/>
      <c r="B3926" s="190"/>
      <c r="C3926" s="99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0"/>
      <c r="E3926" s="78" t="str">
        <f>IF(C3926="","",IFERROR(VLOOKUP(C3926,parametros!$A$11:$E$15,5,0),""))</f>
        <v/>
      </c>
      <c r="F3926" s="79" t="str">
        <f t="shared" si="307"/>
        <v/>
      </c>
      <c r="G3926" s="101"/>
      <c r="H3926" s="91">
        <f t="shared" si="308"/>
        <v>0</v>
      </c>
      <c r="I3926" s="91" t="str">
        <f t="shared" si="309"/>
        <v/>
      </c>
      <c r="J3926" s="91" t="str">
        <f t="shared" si="310"/>
        <v/>
      </c>
      <c r="K3926" s="92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2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58"/>
      <c r="U3926" s="217" t="str">
        <f t="shared" si="311"/>
        <v/>
      </c>
      <c r="V3926" s="215" t="s">
        <v>47</v>
      </c>
      <c r="W3926" s="102" t="s">
        <v>136</v>
      </c>
      <c r="X3926" s="102" t="s">
        <v>137</v>
      </c>
      <c r="Y3926" s="103" t="s">
        <v>138</v>
      </c>
      <c r="Z3926" s="103" t="s">
        <v>139</v>
      </c>
      <c r="AA3926" s="103" t="s">
        <v>47</v>
      </c>
      <c r="AB3926" s="103" t="s">
        <v>140</v>
      </c>
      <c r="AC3926" s="104" t="s">
        <v>141</v>
      </c>
    </row>
    <row r="3927" spans="1:29" ht="25.5" customHeight="1" x14ac:dyDescent="0.35">
      <c r="A3927" s="188"/>
      <c r="B3927" s="190"/>
      <c r="C3927" s="99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0"/>
      <c r="E3927" s="78" t="str">
        <f>IF(C3927="","",IFERROR(VLOOKUP(C3927,parametros!$A$11:$E$15,5,0),""))</f>
        <v/>
      </c>
      <c r="F3927" s="79" t="str">
        <f t="shared" si="307"/>
        <v/>
      </c>
      <c r="G3927" s="101"/>
      <c r="H3927" s="91">
        <f t="shared" si="308"/>
        <v>0</v>
      </c>
      <c r="I3927" s="91" t="str">
        <f t="shared" si="309"/>
        <v/>
      </c>
      <c r="J3927" s="91" t="str">
        <f t="shared" si="310"/>
        <v/>
      </c>
      <c r="K3927" s="92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2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58"/>
      <c r="U3927" s="217" t="str">
        <f t="shared" si="311"/>
        <v/>
      </c>
      <c r="V3927" s="215" t="s">
        <v>47</v>
      </c>
      <c r="W3927" s="102" t="s">
        <v>136</v>
      </c>
      <c r="X3927" s="102" t="s">
        <v>137</v>
      </c>
      <c r="Y3927" s="103" t="s">
        <v>138</v>
      </c>
      <c r="Z3927" s="103" t="s">
        <v>139</v>
      </c>
      <c r="AA3927" s="103" t="s">
        <v>47</v>
      </c>
      <c r="AB3927" s="103" t="s">
        <v>140</v>
      </c>
      <c r="AC3927" s="104" t="s">
        <v>141</v>
      </c>
    </row>
    <row r="3928" spans="1:29" ht="25.5" customHeight="1" x14ac:dyDescent="0.35">
      <c r="A3928" s="188"/>
      <c r="B3928" s="190"/>
      <c r="C3928" s="99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0"/>
      <c r="E3928" s="78" t="str">
        <f>IF(C3928="","",IFERROR(VLOOKUP(C3928,parametros!$A$11:$E$15,5,0),""))</f>
        <v/>
      </c>
      <c r="F3928" s="79" t="str">
        <f t="shared" si="307"/>
        <v/>
      </c>
      <c r="G3928" s="101"/>
      <c r="H3928" s="91">
        <f t="shared" si="308"/>
        <v>0</v>
      </c>
      <c r="I3928" s="91" t="str">
        <f t="shared" si="309"/>
        <v/>
      </c>
      <c r="J3928" s="91" t="str">
        <f t="shared" si="310"/>
        <v/>
      </c>
      <c r="K3928" s="92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2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58"/>
      <c r="U3928" s="217" t="str">
        <f t="shared" si="311"/>
        <v/>
      </c>
      <c r="V3928" s="215" t="s">
        <v>47</v>
      </c>
      <c r="W3928" s="102" t="s">
        <v>136</v>
      </c>
      <c r="X3928" s="102" t="s">
        <v>137</v>
      </c>
      <c r="Y3928" s="103" t="s">
        <v>138</v>
      </c>
      <c r="Z3928" s="103" t="s">
        <v>139</v>
      </c>
      <c r="AA3928" s="103" t="s">
        <v>47</v>
      </c>
      <c r="AB3928" s="103" t="s">
        <v>140</v>
      </c>
      <c r="AC3928" s="104" t="s">
        <v>141</v>
      </c>
    </row>
    <row r="3929" spans="1:29" ht="25.5" customHeight="1" x14ac:dyDescent="0.35">
      <c r="A3929" s="188"/>
      <c r="B3929" s="190"/>
      <c r="C3929" s="99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0"/>
      <c r="E3929" s="78" t="str">
        <f>IF(C3929="","",IFERROR(VLOOKUP(C3929,parametros!$A$11:$E$15,5,0),""))</f>
        <v/>
      </c>
      <c r="F3929" s="79" t="str">
        <f t="shared" si="307"/>
        <v/>
      </c>
      <c r="G3929" s="101"/>
      <c r="H3929" s="91">
        <f t="shared" si="308"/>
        <v>0</v>
      </c>
      <c r="I3929" s="91" t="str">
        <f t="shared" si="309"/>
        <v/>
      </c>
      <c r="J3929" s="91" t="str">
        <f t="shared" si="310"/>
        <v/>
      </c>
      <c r="K3929" s="92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2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58"/>
      <c r="U3929" s="217" t="str">
        <f t="shared" si="311"/>
        <v/>
      </c>
      <c r="V3929" s="215" t="s">
        <v>47</v>
      </c>
      <c r="W3929" s="102" t="s">
        <v>136</v>
      </c>
      <c r="X3929" s="102" t="s">
        <v>137</v>
      </c>
      <c r="Y3929" s="103" t="s">
        <v>138</v>
      </c>
      <c r="Z3929" s="103" t="s">
        <v>139</v>
      </c>
      <c r="AA3929" s="103" t="s">
        <v>47</v>
      </c>
      <c r="AB3929" s="103" t="s">
        <v>140</v>
      </c>
      <c r="AC3929" s="104" t="s">
        <v>141</v>
      </c>
    </row>
    <row r="3930" spans="1:29" ht="25.5" customHeight="1" x14ac:dyDescent="0.35">
      <c r="A3930" s="188"/>
      <c r="B3930" s="190"/>
      <c r="C3930" s="99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0"/>
      <c r="E3930" s="78" t="str">
        <f>IF(C3930="","",IFERROR(VLOOKUP(C3930,parametros!$A$11:$E$15,5,0),""))</f>
        <v/>
      </c>
      <c r="F3930" s="79" t="str">
        <f t="shared" si="307"/>
        <v/>
      </c>
      <c r="G3930" s="101"/>
      <c r="H3930" s="91">
        <f t="shared" si="308"/>
        <v>0</v>
      </c>
      <c r="I3930" s="91" t="str">
        <f t="shared" si="309"/>
        <v/>
      </c>
      <c r="J3930" s="91" t="str">
        <f t="shared" si="310"/>
        <v/>
      </c>
      <c r="K3930" s="92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2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58"/>
      <c r="U3930" s="217" t="str">
        <f t="shared" si="311"/>
        <v/>
      </c>
      <c r="V3930" s="215" t="s">
        <v>47</v>
      </c>
      <c r="W3930" s="102" t="s">
        <v>136</v>
      </c>
      <c r="X3930" s="102" t="s">
        <v>137</v>
      </c>
      <c r="Y3930" s="103" t="s">
        <v>138</v>
      </c>
      <c r="Z3930" s="103" t="s">
        <v>139</v>
      </c>
      <c r="AA3930" s="103" t="s">
        <v>47</v>
      </c>
      <c r="AB3930" s="103" t="s">
        <v>140</v>
      </c>
      <c r="AC3930" s="104" t="s">
        <v>141</v>
      </c>
    </row>
    <row r="3931" spans="1:29" ht="25.5" customHeight="1" x14ac:dyDescent="0.35">
      <c r="A3931" s="188"/>
      <c r="B3931" s="190"/>
      <c r="C3931" s="99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0"/>
      <c r="E3931" s="78" t="str">
        <f>IF(C3931="","",IFERROR(VLOOKUP(C3931,parametros!$A$11:$E$15,5,0),""))</f>
        <v/>
      </c>
      <c r="F3931" s="79" t="str">
        <f t="shared" si="307"/>
        <v/>
      </c>
      <c r="G3931" s="101"/>
      <c r="H3931" s="91">
        <f t="shared" si="308"/>
        <v>0</v>
      </c>
      <c r="I3931" s="91" t="str">
        <f t="shared" si="309"/>
        <v/>
      </c>
      <c r="J3931" s="91" t="str">
        <f t="shared" si="310"/>
        <v/>
      </c>
      <c r="K3931" s="92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2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58"/>
      <c r="U3931" s="217" t="str">
        <f t="shared" si="311"/>
        <v/>
      </c>
      <c r="V3931" s="215" t="s">
        <v>47</v>
      </c>
      <c r="W3931" s="102" t="s">
        <v>136</v>
      </c>
      <c r="X3931" s="102" t="s">
        <v>137</v>
      </c>
      <c r="Y3931" s="103" t="s">
        <v>138</v>
      </c>
      <c r="Z3931" s="103" t="s">
        <v>139</v>
      </c>
      <c r="AA3931" s="103" t="s">
        <v>47</v>
      </c>
      <c r="AB3931" s="103" t="s">
        <v>140</v>
      </c>
      <c r="AC3931" s="104" t="s">
        <v>141</v>
      </c>
    </row>
    <row r="3932" spans="1:29" ht="25.5" customHeight="1" x14ac:dyDescent="0.35">
      <c r="A3932" s="188"/>
      <c r="B3932" s="190"/>
      <c r="C3932" s="99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0"/>
      <c r="E3932" s="78" t="str">
        <f>IF(C3932="","",IFERROR(VLOOKUP(C3932,parametros!$A$11:$E$15,5,0),""))</f>
        <v/>
      </c>
      <c r="F3932" s="79" t="str">
        <f t="shared" si="307"/>
        <v/>
      </c>
      <c r="G3932" s="101"/>
      <c r="H3932" s="91">
        <f t="shared" si="308"/>
        <v>0</v>
      </c>
      <c r="I3932" s="91" t="str">
        <f t="shared" si="309"/>
        <v/>
      </c>
      <c r="J3932" s="91" t="str">
        <f t="shared" si="310"/>
        <v/>
      </c>
      <c r="K3932" s="92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2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58"/>
      <c r="U3932" s="217" t="str">
        <f t="shared" si="311"/>
        <v/>
      </c>
      <c r="V3932" s="215" t="s">
        <v>47</v>
      </c>
      <c r="W3932" s="102" t="s">
        <v>136</v>
      </c>
      <c r="X3932" s="102" t="s">
        <v>137</v>
      </c>
      <c r="Y3932" s="103" t="s">
        <v>138</v>
      </c>
      <c r="Z3932" s="103" t="s">
        <v>139</v>
      </c>
      <c r="AA3932" s="103" t="s">
        <v>47</v>
      </c>
      <c r="AB3932" s="103" t="s">
        <v>140</v>
      </c>
      <c r="AC3932" s="104" t="s">
        <v>141</v>
      </c>
    </row>
    <row r="3933" spans="1:29" ht="25.5" customHeight="1" x14ac:dyDescent="0.35">
      <c r="A3933" s="188"/>
      <c r="B3933" s="190"/>
      <c r="C3933" s="99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0"/>
      <c r="E3933" s="78" t="str">
        <f>IF(C3933="","",IFERROR(VLOOKUP(C3933,parametros!$A$11:$E$15,5,0),""))</f>
        <v/>
      </c>
      <c r="F3933" s="79" t="str">
        <f t="shared" si="307"/>
        <v/>
      </c>
      <c r="G3933" s="101"/>
      <c r="H3933" s="91">
        <f t="shared" si="308"/>
        <v>0</v>
      </c>
      <c r="I3933" s="91" t="str">
        <f t="shared" si="309"/>
        <v/>
      </c>
      <c r="J3933" s="91" t="str">
        <f t="shared" si="310"/>
        <v/>
      </c>
      <c r="K3933" s="92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2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58"/>
      <c r="U3933" s="217" t="str">
        <f t="shared" si="311"/>
        <v/>
      </c>
      <c r="V3933" s="215" t="s">
        <v>47</v>
      </c>
      <c r="W3933" s="102" t="s">
        <v>136</v>
      </c>
      <c r="X3933" s="102" t="s">
        <v>137</v>
      </c>
      <c r="Y3933" s="103" t="s">
        <v>138</v>
      </c>
      <c r="Z3933" s="103" t="s">
        <v>139</v>
      </c>
      <c r="AA3933" s="103" t="s">
        <v>47</v>
      </c>
      <c r="AB3933" s="103" t="s">
        <v>140</v>
      </c>
      <c r="AC3933" s="104" t="s">
        <v>141</v>
      </c>
    </row>
    <row r="3934" spans="1:29" ht="25.5" customHeight="1" x14ac:dyDescent="0.35">
      <c r="A3934" s="188"/>
      <c r="B3934" s="190"/>
      <c r="C3934" s="99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0"/>
      <c r="E3934" s="78" t="str">
        <f>IF(C3934="","",IFERROR(VLOOKUP(C3934,parametros!$A$11:$E$15,5,0),""))</f>
        <v/>
      </c>
      <c r="F3934" s="79" t="str">
        <f t="shared" si="307"/>
        <v/>
      </c>
      <c r="G3934" s="101"/>
      <c r="H3934" s="91">
        <f t="shared" si="308"/>
        <v>0</v>
      </c>
      <c r="I3934" s="91" t="str">
        <f t="shared" si="309"/>
        <v/>
      </c>
      <c r="J3934" s="91" t="str">
        <f t="shared" si="310"/>
        <v/>
      </c>
      <c r="K3934" s="92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2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58"/>
      <c r="U3934" s="217" t="str">
        <f t="shared" si="311"/>
        <v/>
      </c>
      <c r="V3934" s="215" t="s">
        <v>47</v>
      </c>
      <c r="W3934" s="102" t="s">
        <v>136</v>
      </c>
      <c r="X3934" s="102" t="s">
        <v>137</v>
      </c>
      <c r="Y3934" s="103" t="s">
        <v>138</v>
      </c>
      <c r="Z3934" s="103" t="s">
        <v>139</v>
      </c>
      <c r="AA3934" s="103" t="s">
        <v>47</v>
      </c>
      <c r="AB3934" s="103" t="s">
        <v>140</v>
      </c>
      <c r="AC3934" s="104" t="s">
        <v>141</v>
      </c>
    </row>
    <row r="3935" spans="1:29" ht="25.5" customHeight="1" x14ac:dyDescent="0.35">
      <c r="A3935" s="188"/>
      <c r="B3935" s="190"/>
      <c r="C3935" s="99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0"/>
      <c r="E3935" s="78" t="str">
        <f>IF(C3935="","",IFERROR(VLOOKUP(C3935,parametros!$A$11:$E$15,5,0),""))</f>
        <v/>
      </c>
      <c r="F3935" s="79" t="str">
        <f t="shared" si="307"/>
        <v/>
      </c>
      <c r="G3935" s="101"/>
      <c r="H3935" s="91">
        <f t="shared" si="308"/>
        <v>0</v>
      </c>
      <c r="I3935" s="91" t="str">
        <f t="shared" si="309"/>
        <v/>
      </c>
      <c r="J3935" s="91" t="str">
        <f t="shared" si="310"/>
        <v/>
      </c>
      <c r="K3935" s="92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2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58"/>
      <c r="U3935" s="217" t="str">
        <f t="shared" si="311"/>
        <v/>
      </c>
      <c r="V3935" s="215" t="s">
        <v>47</v>
      </c>
      <c r="W3935" s="102" t="s">
        <v>136</v>
      </c>
      <c r="X3935" s="102" t="s">
        <v>137</v>
      </c>
      <c r="Y3935" s="103" t="s">
        <v>138</v>
      </c>
      <c r="Z3935" s="103" t="s">
        <v>139</v>
      </c>
      <c r="AA3935" s="103" t="s">
        <v>47</v>
      </c>
      <c r="AB3935" s="103" t="s">
        <v>140</v>
      </c>
      <c r="AC3935" s="104" t="s">
        <v>141</v>
      </c>
    </row>
    <row r="3936" spans="1:29" ht="25.5" customHeight="1" x14ac:dyDescent="0.35">
      <c r="A3936" s="188"/>
      <c r="B3936" s="190"/>
      <c r="C3936" s="99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0"/>
      <c r="E3936" s="78" t="str">
        <f>IF(C3936="","",IFERROR(VLOOKUP(C3936,parametros!$A$11:$E$15,5,0),""))</f>
        <v/>
      </c>
      <c r="F3936" s="79" t="str">
        <f t="shared" si="307"/>
        <v/>
      </c>
      <c r="G3936" s="101"/>
      <c r="H3936" s="91">
        <f t="shared" si="308"/>
        <v>0</v>
      </c>
      <c r="I3936" s="91" t="str">
        <f t="shared" si="309"/>
        <v/>
      </c>
      <c r="J3936" s="91" t="str">
        <f t="shared" si="310"/>
        <v/>
      </c>
      <c r="K3936" s="92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2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58"/>
      <c r="U3936" s="217" t="str">
        <f t="shared" si="311"/>
        <v/>
      </c>
      <c r="V3936" s="215" t="s">
        <v>47</v>
      </c>
      <c r="W3936" s="102" t="s">
        <v>136</v>
      </c>
      <c r="X3936" s="102" t="s">
        <v>137</v>
      </c>
      <c r="Y3936" s="103" t="s">
        <v>138</v>
      </c>
      <c r="Z3936" s="103" t="s">
        <v>139</v>
      </c>
      <c r="AA3936" s="103" t="s">
        <v>47</v>
      </c>
      <c r="AB3936" s="103" t="s">
        <v>140</v>
      </c>
      <c r="AC3936" s="104" t="s">
        <v>141</v>
      </c>
    </row>
    <row r="3937" spans="1:29" ht="25.5" customHeight="1" x14ac:dyDescent="0.35">
      <c r="A3937" s="188"/>
      <c r="B3937" s="190"/>
      <c r="C3937" s="99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0"/>
      <c r="E3937" s="78" t="str">
        <f>IF(C3937="","",IFERROR(VLOOKUP(C3937,parametros!$A$11:$E$15,5,0),""))</f>
        <v/>
      </c>
      <c r="F3937" s="79" t="str">
        <f t="shared" si="307"/>
        <v/>
      </c>
      <c r="G3937" s="101"/>
      <c r="H3937" s="91">
        <f t="shared" si="308"/>
        <v>0</v>
      </c>
      <c r="I3937" s="91" t="str">
        <f t="shared" si="309"/>
        <v/>
      </c>
      <c r="J3937" s="91" t="str">
        <f t="shared" si="310"/>
        <v/>
      </c>
      <c r="K3937" s="92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2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58"/>
      <c r="U3937" s="217" t="str">
        <f t="shared" si="311"/>
        <v/>
      </c>
      <c r="V3937" s="215" t="s">
        <v>47</v>
      </c>
      <c r="W3937" s="102" t="s">
        <v>136</v>
      </c>
      <c r="X3937" s="102" t="s">
        <v>137</v>
      </c>
      <c r="Y3937" s="103" t="s">
        <v>138</v>
      </c>
      <c r="Z3937" s="103" t="s">
        <v>139</v>
      </c>
      <c r="AA3937" s="103" t="s">
        <v>47</v>
      </c>
      <c r="AB3937" s="103" t="s">
        <v>140</v>
      </c>
      <c r="AC3937" s="104" t="s">
        <v>141</v>
      </c>
    </row>
    <row r="3938" spans="1:29" ht="25.5" customHeight="1" x14ac:dyDescent="0.35">
      <c r="A3938" s="188"/>
      <c r="B3938" s="190"/>
      <c r="C3938" s="99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0"/>
      <c r="E3938" s="78" t="str">
        <f>IF(C3938="","",IFERROR(VLOOKUP(C3938,parametros!$A$11:$E$15,5,0),""))</f>
        <v/>
      </c>
      <c r="F3938" s="79" t="str">
        <f t="shared" si="307"/>
        <v/>
      </c>
      <c r="G3938" s="101"/>
      <c r="H3938" s="91">
        <f t="shared" si="308"/>
        <v>0</v>
      </c>
      <c r="I3938" s="91" t="str">
        <f t="shared" si="309"/>
        <v/>
      </c>
      <c r="J3938" s="91" t="str">
        <f t="shared" si="310"/>
        <v/>
      </c>
      <c r="K3938" s="92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2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58"/>
      <c r="U3938" s="217" t="str">
        <f t="shared" si="311"/>
        <v/>
      </c>
      <c r="V3938" s="215" t="s">
        <v>47</v>
      </c>
      <c r="W3938" s="102" t="s">
        <v>136</v>
      </c>
      <c r="X3938" s="102" t="s">
        <v>137</v>
      </c>
      <c r="Y3938" s="103" t="s">
        <v>138</v>
      </c>
      <c r="Z3938" s="103" t="s">
        <v>139</v>
      </c>
      <c r="AA3938" s="103" t="s">
        <v>47</v>
      </c>
      <c r="AB3938" s="103" t="s">
        <v>140</v>
      </c>
      <c r="AC3938" s="104" t="s">
        <v>141</v>
      </c>
    </row>
    <row r="3939" spans="1:29" ht="25.5" customHeight="1" x14ac:dyDescent="0.35">
      <c r="A3939" s="188"/>
      <c r="B3939" s="190"/>
      <c r="C3939" s="99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0"/>
      <c r="E3939" s="78" t="str">
        <f>IF(C3939="","",IFERROR(VLOOKUP(C3939,parametros!$A$11:$E$15,5,0),""))</f>
        <v/>
      </c>
      <c r="F3939" s="79" t="str">
        <f t="shared" si="307"/>
        <v/>
      </c>
      <c r="G3939" s="101"/>
      <c r="H3939" s="91">
        <f t="shared" si="308"/>
        <v>0</v>
      </c>
      <c r="I3939" s="91" t="str">
        <f t="shared" si="309"/>
        <v/>
      </c>
      <c r="J3939" s="91" t="str">
        <f t="shared" si="310"/>
        <v/>
      </c>
      <c r="K3939" s="92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2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58"/>
      <c r="U3939" s="217" t="str">
        <f t="shared" si="311"/>
        <v/>
      </c>
      <c r="V3939" s="215" t="s">
        <v>47</v>
      </c>
      <c r="W3939" s="102" t="s">
        <v>136</v>
      </c>
      <c r="X3939" s="102" t="s">
        <v>137</v>
      </c>
      <c r="Y3939" s="103" t="s">
        <v>138</v>
      </c>
      <c r="Z3939" s="103" t="s">
        <v>139</v>
      </c>
      <c r="AA3939" s="103" t="s">
        <v>47</v>
      </c>
      <c r="AB3939" s="103" t="s">
        <v>140</v>
      </c>
      <c r="AC3939" s="104" t="s">
        <v>141</v>
      </c>
    </row>
    <row r="3940" spans="1:29" ht="25.5" customHeight="1" x14ac:dyDescent="0.35">
      <c r="A3940" s="188"/>
      <c r="B3940" s="190"/>
      <c r="C3940" s="99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0"/>
      <c r="E3940" s="78" t="str">
        <f>IF(C3940="","",IFERROR(VLOOKUP(C3940,parametros!$A$11:$E$15,5,0),""))</f>
        <v/>
      </c>
      <c r="F3940" s="79" t="str">
        <f t="shared" si="307"/>
        <v/>
      </c>
      <c r="G3940" s="101"/>
      <c r="H3940" s="91">
        <f t="shared" si="308"/>
        <v>0</v>
      </c>
      <c r="I3940" s="91" t="str">
        <f t="shared" si="309"/>
        <v/>
      </c>
      <c r="J3940" s="91" t="str">
        <f t="shared" si="310"/>
        <v/>
      </c>
      <c r="K3940" s="92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2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58"/>
      <c r="U3940" s="217" t="str">
        <f t="shared" si="311"/>
        <v/>
      </c>
      <c r="V3940" s="215" t="s">
        <v>47</v>
      </c>
      <c r="W3940" s="102" t="s">
        <v>136</v>
      </c>
      <c r="X3940" s="102" t="s">
        <v>137</v>
      </c>
      <c r="Y3940" s="103" t="s">
        <v>138</v>
      </c>
      <c r="Z3940" s="103" t="s">
        <v>139</v>
      </c>
      <c r="AA3940" s="103" t="s">
        <v>47</v>
      </c>
      <c r="AB3940" s="103" t="s">
        <v>140</v>
      </c>
      <c r="AC3940" s="104" t="s">
        <v>141</v>
      </c>
    </row>
    <row r="3941" spans="1:29" ht="25.5" customHeight="1" x14ac:dyDescent="0.35">
      <c r="A3941" s="188"/>
      <c r="B3941" s="190"/>
      <c r="C3941" s="99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0"/>
      <c r="E3941" s="78" t="str">
        <f>IF(C3941="","",IFERROR(VLOOKUP(C3941,parametros!$A$11:$E$15,5,0),""))</f>
        <v/>
      </c>
      <c r="F3941" s="79" t="str">
        <f t="shared" si="307"/>
        <v/>
      </c>
      <c r="G3941" s="101"/>
      <c r="H3941" s="91">
        <f t="shared" si="308"/>
        <v>0</v>
      </c>
      <c r="I3941" s="91" t="str">
        <f t="shared" si="309"/>
        <v/>
      </c>
      <c r="J3941" s="91" t="str">
        <f t="shared" si="310"/>
        <v/>
      </c>
      <c r="K3941" s="92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2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58"/>
      <c r="U3941" s="217" t="str">
        <f t="shared" si="311"/>
        <v/>
      </c>
      <c r="V3941" s="215" t="s">
        <v>47</v>
      </c>
      <c r="W3941" s="102" t="s">
        <v>136</v>
      </c>
      <c r="X3941" s="102" t="s">
        <v>137</v>
      </c>
      <c r="Y3941" s="103" t="s">
        <v>138</v>
      </c>
      <c r="Z3941" s="103" t="s">
        <v>139</v>
      </c>
      <c r="AA3941" s="103" t="s">
        <v>47</v>
      </c>
      <c r="AB3941" s="103" t="s">
        <v>140</v>
      </c>
      <c r="AC3941" s="104" t="s">
        <v>141</v>
      </c>
    </row>
    <row r="3942" spans="1:29" ht="25.5" customHeight="1" x14ac:dyDescent="0.35">
      <c r="A3942" s="188"/>
      <c r="B3942" s="190"/>
      <c r="C3942" s="99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0"/>
      <c r="E3942" s="78" t="str">
        <f>IF(C3942="","",IFERROR(VLOOKUP(C3942,parametros!$A$11:$E$15,5,0),""))</f>
        <v/>
      </c>
      <c r="F3942" s="79" t="str">
        <f t="shared" si="307"/>
        <v/>
      </c>
      <c r="G3942" s="101"/>
      <c r="H3942" s="91">
        <f t="shared" si="308"/>
        <v>0</v>
      </c>
      <c r="I3942" s="91" t="str">
        <f t="shared" si="309"/>
        <v/>
      </c>
      <c r="J3942" s="91" t="str">
        <f t="shared" si="310"/>
        <v/>
      </c>
      <c r="K3942" s="92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2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58"/>
      <c r="U3942" s="217" t="str">
        <f t="shared" si="311"/>
        <v/>
      </c>
      <c r="V3942" s="215" t="s">
        <v>47</v>
      </c>
      <c r="W3942" s="102" t="s">
        <v>136</v>
      </c>
      <c r="X3942" s="102" t="s">
        <v>137</v>
      </c>
      <c r="Y3942" s="103" t="s">
        <v>138</v>
      </c>
      <c r="Z3942" s="103" t="s">
        <v>139</v>
      </c>
      <c r="AA3942" s="103" t="s">
        <v>47</v>
      </c>
      <c r="AB3942" s="103" t="s">
        <v>140</v>
      </c>
      <c r="AC3942" s="104" t="s">
        <v>141</v>
      </c>
    </row>
    <row r="3943" spans="1:29" ht="25.5" customHeight="1" x14ac:dyDescent="0.35">
      <c r="A3943" s="188"/>
      <c r="B3943" s="190"/>
      <c r="C3943" s="99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0"/>
      <c r="E3943" s="78" t="str">
        <f>IF(C3943="","",IFERROR(VLOOKUP(C3943,parametros!$A$11:$E$15,5,0),""))</f>
        <v/>
      </c>
      <c r="F3943" s="79" t="str">
        <f t="shared" si="307"/>
        <v/>
      </c>
      <c r="G3943" s="101"/>
      <c r="H3943" s="91">
        <f t="shared" si="308"/>
        <v>0</v>
      </c>
      <c r="I3943" s="91" t="str">
        <f t="shared" si="309"/>
        <v/>
      </c>
      <c r="J3943" s="91" t="str">
        <f t="shared" si="310"/>
        <v/>
      </c>
      <c r="K3943" s="92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2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58"/>
      <c r="U3943" s="217" t="str">
        <f t="shared" si="311"/>
        <v/>
      </c>
      <c r="V3943" s="215" t="s">
        <v>47</v>
      </c>
      <c r="W3943" s="102" t="s">
        <v>136</v>
      </c>
      <c r="X3943" s="102" t="s">
        <v>137</v>
      </c>
      <c r="Y3943" s="103" t="s">
        <v>138</v>
      </c>
      <c r="Z3943" s="103" t="s">
        <v>139</v>
      </c>
      <c r="AA3943" s="103" t="s">
        <v>47</v>
      </c>
      <c r="AB3943" s="103" t="s">
        <v>140</v>
      </c>
      <c r="AC3943" s="104" t="s">
        <v>141</v>
      </c>
    </row>
    <row r="3944" spans="1:29" ht="25.5" customHeight="1" x14ac:dyDescent="0.35">
      <c r="A3944" s="188"/>
      <c r="B3944" s="190"/>
      <c r="C3944" s="99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0"/>
      <c r="E3944" s="78" t="str">
        <f>IF(C3944="","",IFERROR(VLOOKUP(C3944,parametros!$A$11:$E$15,5,0),""))</f>
        <v/>
      </c>
      <c r="F3944" s="79" t="str">
        <f t="shared" si="307"/>
        <v/>
      </c>
      <c r="G3944" s="101"/>
      <c r="H3944" s="91">
        <f t="shared" si="308"/>
        <v>0</v>
      </c>
      <c r="I3944" s="91" t="str">
        <f t="shared" si="309"/>
        <v/>
      </c>
      <c r="J3944" s="91" t="str">
        <f t="shared" si="310"/>
        <v/>
      </c>
      <c r="K3944" s="92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2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58"/>
      <c r="U3944" s="217" t="str">
        <f t="shared" si="311"/>
        <v/>
      </c>
      <c r="V3944" s="215" t="s">
        <v>47</v>
      </c>
      <c r="W3944" s="102" t="s">
        <v>136</v>
      </c>
      <c r="X3944" s="102" t="s">
        <v>137</v>
      </c>
      <c r="Y3944" s="103" t="s">
        <v>138</v>
      </c>
      <c r="Z3944" s="103" t="s">
        <v>139</v>
      </c>
      <c r="AA3944" s="103" t="s">
        <v>47</v>
      </c>
      <c r="AB3944" s="103" t="s">
        <v>140</v>
      </c>
      <c r="AC3944" s="104" t="s">
        <v>141</v>
      </c>
    </row>
    <row r="3945" spans="1:29" ht="25.5" customHeight="1" x14ac:dyDescent="0.35">
      <c r="A3945" s="188"/>
      <c r="B3945" s="190"/>
      <c r="C3945" s="99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0"/>
      <c r="E3945" s="78" t="str">
        <f>IF(C3945="","",IFERROR(VLOOKUP(C3945,parametros!$A$11:$E$15,5,0),""))</f>
        <v/>
      </c>
      <c r="F3945" s="79" t="str">
        <f t="shared" si="307"/>
        <v/>
      </c>
      <c r="G3945" s="101"/>
      <c r="H3945" s="91">
        <f t="shared" si="308"/>
        <v>0</v>
      </c>
      <c r="I3945" s="91" t="str">
        <f t="shared" si="309"/>
        <v/>
      </c>
      <c r="J3945" s="91" t="str">
        <f t="shared" si="310"/>
        <v/>
      </c>
      <c r="K3945" s="92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2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58"/>
      <c r="U3945" s="217" t="str">
        <f t="shared" si="311"/>
        <v/>
      </c>
      <c r="V3945" s="215" t="s">
        <v>47</v>
      </c>
      <c r="W3945" s="102" t="s">
        <v>136</v>
      </c>
      <c r="X3945" s="102" t="s">
        <v>137</v>
      </c>
      <c r="Y3945" s="103" t="s">
        <v>138</v>
      </c>
      <c r="Z3945" s="103" t="s">
        <v>139</v>
      </c>
      <c r="AA3945" s="103" t="s">
        <v>47</v>
      </c>
      <c r="AB3945" s="103" t="s">
        <v>140</v>
      </c>
      <c r="AC3945" s="104" t="s">
        <v>141</v>
      </c>
    </row>
    <row r="3946" spans="1:29" ht="25.5" customHeight="1" x14ac:dyDescent="0.35">
      <c r="A3946" s="188"/>
      <c r="B3946" s="190"/>
      <c r="C3946" s="99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0"/>
      <c r="E3946" s="78" t="str">
        <f>IF(C3946="","",IFERROR(VLOOKUP(C3946,parametros!$A$11:$E$15,5,0),""))</f>
        <v/>
      </c>
      <c r="F3946" s="79" t="str">
        <f t="shared" si="307"/>
        <v/>
      </c>
      <c r="G3946" s="101"/>
      <c r="H3946" s="91">
        <f t="shared" si="308"/>
        <v>0</v>
      </c>
      <c r="I3946" s="91" t="str">
        <f t="shared" si="309"/>
        <v/>
      </c>
      <c r="J3946" s="91" t="str">
        <f t="shared" si="310"/>
        <v/>
      </c>
      <c r="K3946" s="92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2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58"/>
      <c r="U3946" s="217" t="str">
        <f t="shared" si="311"/>
        <v/>
      </c>
      <c r="V3946" s="215" t="s">
        <v>47</v>
      </c>
      <c r="W3946" s="102" t="s">
        <v>136</v>
      </c>
      <c r="X3946" s="102" t="s">
        <v>137</v>
      </c>
      <c r="Y3946" s="103" t="s">
        <v>138</v>
      </c>
      <c r="Z3946" s="103" t="s">
        <v>139</v>
      </c>
      <c r="AA3946" s="103" t="s">
        <v>47</v>
      </c>
      <c r="AB3946" s="103" t="s">
        <v>140</v>
      </c>
      <c r="AC3946" s="104" t="s">
        <v>141</v>
      </c>
    </row>
    <row r="3947" spans="1:29" ht="25.5" customHeight="1" x14ac:dyDescent="0.35">
      <c r="A3947" s="188"/>
      <c r="B3947" s="190"/>
      <c r="C3947" s="99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0"/>
      <c r="E3947" s="78" t="str">
        <f>IF(C3947="","",IFERROR(VLOOKUP(C3947,parametros!$A$11:$E$15,5,0),""))</f>
        <v/>
      </c>
      <c r="F3947" s="79" t="str">
        <f t="shared" si="307"/>
        <v/>
      </c>
      <c r="G3947" s="101"/>
      <c r="H3947" s="91">
        <f t="shared" si="308"/>
        <v>0</v>
      </c>
      <c r="I3947" s="91" t="str">
        <f t="shared" si="309"/>
        <v/>
      </c>
      <c r="J3947" s="91" t="str">
        <f t="shared" si="310"/>
        <v/>
      </c>
      <c r="K3947" s="92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2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58"/>
      <c r="U3947" s="217" t="str">
        <f t="shared" si="311"/>
        <v/>
      </c>
      <c r="V3947" s="215" t="s">
        <v>47</v>
      </c>
      <c r="W3947" s="102" t="s">
        <v>136</v>
      </c>
      <c r="X3947" s="102" t="s">
        <v>137</v>
      </c>
      <c r="Y3947" s="103" t="s">
        <v>138</v>
      </c>
      <c r="Z3947" s="103" t="s">
        <v>139</v>
      </c>
      <c r="AA3947" s="103" t="s">
        <v>47</v>
      </c>
      <c r="AB3947" s="103" t="s">
        <v>140</v>
      </c>
      <c r="AC3947" s="104" t="s">
        <v>141</v>
      </c>
    </row>
    <row r="3948" spans="1:29" ht="25.5" customHeight="1" x14ac:dyDescent="0.35">
      <c r="A3948" s="188"/>
      <c r="B3948" s="190"/>
      <c r="C3948" s="99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0"/>
      <c r="E3948" s="78" t="str">
        <f>IF(C3948="","",IFERROR(VLOOKUP(C3948,parametros!$A$11:$E$15,5,0),""))</f>
        <v/>
      </c>
      <c r="F3948" s="79" t="str">
        <f t="shared" si="307"/>
        <v/>
      </c>
      <c r="G3948" s="101"/>
      <c r="H3948" s="91">
        <f t="shared" si="308"/>
        <v>0</v>
      </c>
      <c r="I3948" s="91" t="str">
        <f t="shared" si="309"/>
        <v/>
      </c>
      <c r="J3948" s="91" t="str">
        <f t="shared" si="310"/>
        <v/>
      </c>
      <c r="K3948" s="92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2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58"/>
      <c r="U3948" s="217" t="str">
        <f t="shared" si="311"/>
        <v/>
      </c>
      <c r="V3948" s="215" t="s">
        <v>47</v>
      </c>
      <c r="W3948" s="102" t="s">
        <v>136</v>
      </c>
      <c r="X3948" s="102" t="s">
        <v>137</v>
      </c>
      <c r="Y3948" s="103" t="s">
        <v>138</v>
      </c>
      <c r="Z3948" s="103" t="s">
        <v>139</v>
      </c>
      <c r="AA3948" s="103" t="s">
        <v>47</v>
      </c>
      <c r="AB3948" s="103" t="s">
        <v>140</v>
      </c>
      <c r="AC3948" s="104" t="s">
        <v>141</v>
      </c>
    </row>
    <row r="3949" spans="1:29" ht="25.5" customHeight="1" x14ac:dyDescent="0.35">
      <c r="A3949" s="188"/>
      <c r="B3949" s="190"/>
      <c r="C3949" s="99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0"/>
      <c r="E3949" s="78" t="str">
        <f>IF(C3949="","",IFERROR(VLOOKUP(C3949,parametros!$A$11:$E$15,5,0),""))</f>
        <v/>
      </c>
      <c r="F3949" s="79" t="str">
        <f t="shared" si="307"/>
        <v/>
      </c>
      <c r="G3949" s="101"/>
      <c r="H3949" s="91">
        <f t="shared" si="308"/>
        <v>0</v>
      </c>
      <c r="I3949" s="91" t="str">
        <f t="shared" si="309"/>
        <v/>
      </c>
      <c r="J3949" s="91" t="str">
        <f t="shared" si="310"/>
        <v/>
      </c>
      <c r="K3949" s="92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2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58"/>
      <c r="U3949" s="217" t="str">
        <f t="shared" si="311"/>
        <v/>
      </c>
      <c r="V3949" s="215" t="s">
        <v>47</v>
      </c>
      <c r="W3949" s="102" t="s">
        <v>136</v>
      </c>
      <c r="X3949" s="102" t="s">
        <v>137</v>
      </c>
      <c r="Y3949" s="103" t="s">
        <v>138</v>
      </c>
      <c r="Z3949" s="103" t="s">
        <v>139</v>
      </c>
      <c r="AA3949" s="103" t="s">
        <v>47</v>
      </c>
      <c r="AB3949" s="103" t="s">
        <v>140</v>
      </c>
      <c r="AC3949" s="104" t="s">
        <v>141</v>
      </c>
    </row>
    <row r="3950" spans="1:29" ht="25.5" customHeight="1" x14ac:dyDescent="0.35">
      <c r="A3950" s="188"/>
      <c r="B3950" s="190"/>
      <c r="C3950" s="99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0"/>
      <c r="E3950" s="78" t="str">
        <f>IF(C3950="","",IFERROR(VLOOKUP(C3950,parametros!$A$11:$E$15,5,0),""))</f>
        <v/>
      </c>
      <c r="F3950" s="79" t="str">
        <f t="shared" si="307"/>
        <v/>
      </c>
      <c r="G3950" s="101"/>
      <c r="H3950" s="91">
        <f t="shared" si="308"/>
        <v>0</v>
      </c>
      <c r="I3950" s="91" t="str">
        <f t="shared" si="309"/>
        <v/>
      </c>
      <c r="J3950" s="91" t="str">
        <f t="shared" si="310"/>
        <v/>
      </c>
      <c r="K3950" s="92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2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58"/>
      <c r="U3950" s="217" t="str">
        <f t="shared" si="311"/>
        <v/>
      </c>
      <c r="V3950" s="215" t="s">
        <v>47</v>
      </c>
      <c r="W3950" s="102" t="s">
        <v>136</v>
      </c>
      <c r="X3950" s="102" t="s">
        <v>137</v>
      </c>
      <c r="Y3950" s="103" t="s">
        <v>138</v>
      </c>
      <c r="Z3950" s="103" t="s">
        <v>139</v>
      </c>
      <c r="AA3950" s="103" t="s">
        <v>47</v>
      </c>
      <c r="AB3950" s="103" t="s">
        <v>140</v>
      </c>
      <c r="AC3950" s="104" t="s">
        <v>141</v>
      </c>
    </row>
    <row r="3951" spans="1:29" ht="25.5" customHeight="1" x14ac:dyDescent="0.35">
      <c r="A3951" s="188"/>
      <c r="B3951" s="190"/>
      <c r="C3951" s="99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0"/>
      <c r="E3951" s="78" t="str">
        <f>IF(C3951="","",IFERROR(VLOOKUP(C3951,parametros!$A$11:$E$15,5,0),""))</f>
        <v/>
      </c>
      <c r="F3951" s="79" t="str">
        <f t="shared" si="307"/>
        <v/>
      </c>
      <c r="G3951" s="101"/>
      <c r="H3951" s="91">
        <f t="shared" si="308"/>
        <v>0</v>
      </c>
      <c r="I3951" s="91" t="str">
        <f t="shared" si="309"/>
        <v/>
      </c>
      <c r="J3951" s="91" t="str">
        <f t="shared" si="310"/>
        <v/>
      </c>
      <c r="K3951" s="92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2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58"/>
      <c r="U3951" s="217" t="str">
        <f t="shared" si="311"/>
        <v/>
      </c>
      <c r="V3951" s="215" t="s">
        <v>47</v>
      </c>
      <c r="W3951" s="102" t="s">
        <v>136</v>
      </c>
      <c r="X3951" s="102" t="s">
        <v>137</v>
      </c>
      <c r="Y3951" s="103" t="s">
        <v>138</v>
      </c>
      <c r="Z3951" s="103" t="s">
        <v>139</v>
      </c>
      <c r="AA3951" s="103" t="s">
        <v>47</v>
      </c>
      <c r="AB3951" s="103" t="s">
        <v>140</v>
      </c>
      <c r="AC3951" s="104" t="s">
        <v>141</v>
      </c>
    </row>
    <row r="3952" spans="1:29" ht="25.5" customHeight="1" x14ac:dyDescent="0.35">
      <c r="A3952" s="188"/>
      <c r="B3952" s="190"/>
      <c r="C3952" s="99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0"/>
      <c r="E3952" s="78" t="str">
        <f>IF(C3952="","",IFERROR(VLOOKUP(C3952,parametros!$A$11:$E$15,5,0),""))</f>
        <v/>
      </c>
      <c r="F3952" s="79" t="str">
        <f t="shared" si="307"/>
        <v/>
      </c>
      <c r="G3952" s="101"/>
      <c r="H3952" s="91">
        <f t="shared" si="308"/>
        <v>0</v>
      </c>
      <c r="I3952" s="91" t="str">
        <f t="shared" si="309"/>
        <v/>
      </c>
      <c r="J3952" s="91" t="str">
        <f t="shared" si="310"/>
        <v/>
      </c>
      <c r="K3952" s="92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2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58"/>
      <c r="U3952" s="217" t="str">
        <f t="shared" si="311"/>
        <v/>
      </c>
      <c r="V3952" s="215" t="s">
        <v>47</v>
      </c>
      <c r="W3952" s="102" t="s">
        <v>136</v>
      </c>
      <c r="X3952" s="102" t="s">
        <v>137</v>
      </c>
      <c r="Y3952" s="103" t="s">
        <v>138</v>
      </c>
      <c r="Z3952" s="103" t="s">
        <v>139</v>
      </c>
      <c r="AA3952" s="103" t="s">
        <v>47</v>
      </c>
      <c r="AB3952" s="103" t="s">
        <v>140</v>
      </c>
      <c r="AC3952" s="104" t="s">
        <v>141</v>
      </c>
    </row>
    <row r="3953" spans="1:29" ht="25.5" customHeight="1" x14ac:dyDescent="0.35">
      <c r="A3953" s="188"/>
      <c r="B3953" s="190"/>
      <c r="C3953" s="99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0"/>
      <c r="E3953" s="78" t="str">
        <f>IF(C3953="","",IFERROR(VLOOKUP(C3953,parametros!$A$11:$E$15,5,0),""))</f>
        <v/>
      </c>
      <c r="F3953" s="79" t="str">
        <f t="shared" si="307"/>
        <v/>
      </c>
      <c r="G3953" s="101"/>
      <c r="H3953" s="91">
        <f t="shared" si="308"/>
        <v>0</v>
      </c>
      <c r="I3953" s="91" t="str">
        <f t="shared" si="309"/>
        <v/>
      </c>
      <c r="J3953" s="91" t="str">
        <f t="shared" si="310"/>
        <v/>
      </c>
      <c r="K3953" s="92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2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58"/>
      <c r="U3953" s="217" t="str">
        <f t="shared" si="311"/>
        <v/>
      </c>
      <c r="V3953" s="215" t="s">
        <v>47</v>
      </c>
      <c r="W3953" s="102" t="s">
        <v>136</v>
      </c>
      <c r="X3953" s="102" t="s">
        <v>137</v>
      </c>
      <c r="Y3953" s="103" t="s">
        <v>138</v>
      </c>
      <c r="Z3953" s="103" t="s">
        <v>139</v>
      </c>
      <c r="AA3953" s="103" t="s">
        <v>47</v>
      </c>
      <c r="AB3953" s="103" t="s">
        <v>140</v>
      </c>
      <c r="AC3953" s="104" t="s">
        <v>141</v>
      </c>
    </row>
    <row r="3954" spans="1:29" ht="25.5" customHeight="1" x14ac:dyDescent="0.35">
      <c r="A3954" s="188"/>
      <c r="B3954" s="190"/>
      <c r="C3954" s="99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0"/>
      <c r="E3954" s="78" t="str">
        <f>IF(C3954="","",IFERROR(VLOOKUP(C3954,parametros!$A$11:$E$15,5,0),""))</f>
        <v/>
      </c>
      <c r="F3954" s="79" t="str">
        <f t="shared" si="307"/>
        <v/>
      </c>
      <c r="G3954" s="101"/>
      <c r="H3954" s="91">
        <f t="shared" si="308"/>
        <v>0</v>
      </c>
      <c r="I3954" s="91" t="str">
        <f t="shared" si="309"/>
        <v/>
      </c>
      <c r="J3954" s="91" t="str">
        <f t="shared" si="310"/>
        <v/>
      </c>
      <c r="K3954" s="92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2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58"/>
      <c r="U3954" s="217" t="str">
        <f t="shared" si="311"/>
        <v/>
      </c>
      <c r="V3954" s="215" t="s">
        <v>47</v>
      </c>
      <c r="W3954" s="102" t="s">
        <v>136</v>
      </c>
      <c r="X3954" s="102" t="s">
        <v>137</v>
      </c>
      <c r="Y3954" s="103" t="s">
        <v>138</v>
      </c>
      <c r="Z3954" s="103" t="s">
        <v>139</v>
      </c>
      <c r="AA3954" s="103" t="s">
        <v>47</v>
      </c>
      <c r="AB3954" s="103" t="s">
        <v>140</v>
      </c>
      <c r="AC3954" s="104" t="s">
        <v>141</v>
      </c>
    </row>
    <row r="3955" spans="1:29" ht="25.5" customHeight="1" x14ac:dyDescent="0.35">
      <c r="A3955" s="188"/>
      <c r="B3955" s="190"/>
      <c r="C3955" s="99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0"/>
      <c r="E3955" s="78" t="str">
        <f>IF(C3955="","",IFERROR(VLOOKUP(C3955,parametros!$A$11:$E$15,5,0),""))</f>
        <v/>
      </c>
      <c r="F3955" s="79" t="str">
        <f t="shared" si="307"/>
        <v/>
      </c>
      <c r="G3955" s="101"/>
      <c r="H3955" s="91">
        <f t="shared" si="308"/>
        <v>0</v>
      </c>
      <c r="I3955" s="91" t="str">
        <f t="shared" si="309"/>
        <v/>
      </c>
      <c r="J3955" s="91" t="str">
        <f t="shared" si="310"/>
        <v/>
      </c>
      <c r="K3955" s="92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2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58"/>
      <c r="U3955" s="217" t="str">
        <f t="shared" si="311"/>
        <v/>
      </c>
      <c r="V3955" s="215" t="s">
        <v>47</v>
      </c>
      <c r="W3955" s="102" t="s">
        <v>136</v>
      </c>
      <c r="X3955" s="102" t="s">
        <v>137</v>
      </c>
      <c r="Y3955" s="103" t="s">
        <v>138</v>
      </c>
      <c r="Z3955" s="103" t="s">
        <v>139</v>
      </c>
      <c r="AA3955" s="103" t="s">
        <v>47</v>
      </c>
      <c r="AB3955" s="103" t="s">
        <v>140</v>
      </c>
      <c r="AC3955" s="104" t="s">
        <v>141</v>
      </c>
    </row>
    <row r="3956" spans="1:29" ht="25.5" customHeight="1" x14ac:dyDescent="0.35">
      <c r="A3956" s="188"/>
      <c r="B3956" s="190"/>
      <c r="C3956" s="99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0"/>
      <c r="E3956" s="78" t="str">
        <f>IF(C3956="","",IFERROR(VLOOKUP(C3956,parametros!$A$11:$E$15,5,0),""))</f>
        <v/>
      </c>
      <c r="F3956" s="79" t="str">
        <f t="shared" si="307"/>
        <v/>
      </c>
      <c r="G3956" s="101"/>
      <c r="H3956" s="91">
        <f t="shared" si="308"/>
        <v>0</v>
      </c>
      <c r="I3956" s="91" t="str">
        <f t="shared" si="309"/>
        <v/>
      </c>
      <c r="J3956" s="91" t="str">
        <f t="shared" si="310"/>
        <v/>
      </c>
      <c r="K3956" s="92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2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58"/>
      <c r="U3956" s="217" t="str">
        <f t="shared" si="311"/>
        <v/>
      </c>
      <c r="V3956" s="215" t="s">
        <v>47</v>
      </c>
      <c r="W3956" s="102" t="s">
        <v>136</v>
      </c>
      <c r="X3956" s="102" t="s">
        <v>137</v>
      </c>
      <c r="Y3956" s="103" t="s">
        <v>138</v>
      </c>
      <c r="Z3956" s="103" t="s">
        <v>139</v>
      </c>
      <c r="AA3956" s="103" t="s">
        <v>47</v>
      </c>
      <c r="AB3956" s="103" t="s">
        <v>140</v>
      </c>
      <c r="AC3956" s="104" t="s">
        <v>141</v>
      </c>
    </row>
    <row r="3957" spans="1:29" ht="25.5" customHeight="1" x14ac:dyDescent="0.35">
      <c r="A3957" s="188"/>
      <c r="B3957" s="190"/>
      <c r="C3957" s="99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0"/>
      <c r="E3957" s="78" t="str">
        <f>IF(C3957="","",IFERROR(VLOOKUP(C3957,parametros!$A$11:$E$15,5,0),""))</f>
        <v/>
      </c>
      <c r="F3957" s="79" t="str">
        <f t="shared" si="307"/>
        <v/>
      </c>
      <c r="G3957" s="101"/>
      <c r="H3957" s="91">
        <f t="shared" si="308"/>
        <v>0</v>
      </c>
      <c r="I3957" s="91" t="str">
        <f t="shared" si="309"/>
        <v/>
      </c>
      <c r="J3957" s="91" t="str">
        <f t="shared" si="310"/>
        <v/>
      </c>
      <c r="K3957" s="92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2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58"/>
      <c r="U3957" s="217" t="str">
        <f t="shared" si="311"/>
        <v/>
      </c>
      <c r="V3957" s="215" t="s">
        <v>47</v>
      </c>
      <c r="W3957" s="102" t="s">
        <v>136</v>
      </c>
      <c r="X3957" s="102" t="s">
        <v>137</v>
      </c>
      <c r="Y3957" s="103" t="s">
        <v>138</v>
      </c>
      <c r="Z3957" s="103" t="s">
        <v>139</v>
      </c>
      <c r="AA3957" s="103" t="s">
        <v>47</v>
      </c>
      <c r="AB3957" s="103" t="s">
        <v>140</v>
      </c>
      <c r="AC3957" s="104" t="s">
        <v>141</v>
      </c>
    </row>
    <row r="3958" spans="1:29" ht="25.5" customHeight="1" x14ac:dyDescent="0.35">
      <c r="A3958" s="188"/>
      <c r="B3958" s="190"/>
      <c r="C3958" s="99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0"/>
      <c r="E3958" s="78" t="str">
        <f>IF(C3958="","",IFERROR(VLOOKUP(C3958,parametros!$A$11:$E$15,5,0),""))</f>
        <v/>
      </c>
      <c r="F3958" s="79" t="str">
        <f t="shared" si="307"/>
        <v/>
      </c>
      <c r="G3958" s="101"/>
      <c r="H3958" s="91">
        <f t="shared" si="308"/>
        <v>0</v>
      </c>
      <c r="I3958" s="91" t="str">
        <f t="shared" si="309"/>
        <v/>
      </c>
      <c r="J3958" s="91" t="str">
        <f t="shared" si="310"/>
        <v/>
      </c>
      <c r="K3958" s="92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2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58"/>
      <c r="U3958" s="217" t="str">
        <f t="shared" si="311"/>
        <v/>
      </c>
      <c r="V3958" s="215" t="s">
        <v>47</v>
      </c>
      <c r="W3958" s="102" t="s">
        <v>136</v>
      </c>
      <c r="X3958" s="102" t="s">
        <v>137</v>
      </c>
      <c r="Y3958" s="103" t="s">
        <v>138</v>
      </c>
      <c r="Z3958" s="103" t="s">
        <v>139</v>
      </c>
      <c r="AA3958" s="103" t="s">
        <v>47</v>
      </c>
      <c r="AB3958" s="103" t="s">
        <v>140</v>
      </c>
      <c r="AC3958" s="104" t="s">
        <v>141</v>
      </c>
    </row>
    <row r="3959" spans="1:29" ht="25.5" customHeight="1" x14ac:dyDescent="0.35">
      <c r="A3959" s="188"/>
      <c r="B3959" s="190"/>
      <c r="C3959" s="99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0"/>
      <c r="E3959" s="78" t="str">
        <f>IF(C3959="","",IFERROR(VLOOKUP(C3959,parametros!$A$11:$E$15,5,0),""))</f>
        <v/>
      </c>
      <c r="F3959" s="79" t="str">
        <f t="shared" si="307"/>
        <v/>
      </c>
      <c r="G3959" s="101"/>
      <c r="H3959" s="91">
        <f t="shared" si="308"/>
        <v>0</v>
      </c>
      <c r="I3959" s="91" t="str">
        <f t="shared" si="309"/>
        <v/>
      </c>
      <c r="J3959" s="91" t="str">
        <f t="shared" si="310"/>
        <v/>
      </c>
      <c r="K3959" s="92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2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58"/>
      <c r="U3959" s="217" t="str">
        <f t="shared" si="311"/>
        <v/>
      </c>
      <c r="V3959" s="215" t="s">
        <v>47</v>
      </c>
      <c r="W3959" s="102" t="s">
        <v>136</v>
      </c>
      <c r="X3959" s="102" t="s">
        <v>137</v>
      </c>
      <c r="Y3959" s="103" t="s">
        <v>138</v>
      </c>
      <c r="Z3959" s="103" t="s">
        <v>139</v>
      </c>
      <c r="AA3959" s="103" t="s">
        <v>47</v>
      </c>
      <c r="AB3959" s="103" t="s">
        <v>140</v>
      </c>
      <c r="AC3959" s="104" t="s">
        <v>141</v>
      </c>
    </row>
    <row r="3960" spans="1:29" ht="25.5" customHeight="1" x14ac:dyDescent="0.35">
      <c r="A3960" s="188"/>
      <c r="B3960" s="190"/>
      <c r="C3960" s="99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0"/>
      <c r="E3960" s="78" t="str">
        <f>IF(C3960="","",IFERROR(VLOOKUP(C3960,parametros!$A$11:$E$15,5,0),""))</f>
        <v/>
      </c>
      <c r="F3960" s="79" t="str">
        <f t="shared" si="307"/>
        <v/>
      </c>
      <c r="G3960" s="101"/>
      <c r="H3960" s="91">
        <f t="shared" si="308"/>
        <v>0</v>
      </c>
      <c r="I3960" s="91" t="str">
        <f t="shared" si="309"/>
        <v/>
      </c>
      <c r="J3960" s="91" t="str">
        <f t="shared" si="310"/>
        <v/>
      </c>
      <c r="K3960" s="92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2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58"/>
      <c r="U3960" s="217" t="str">
        <f t="shared" si="311"/>
        <v/>
      </c>
      <c r="V3960" s="215" t="s">
        <v>47</v>
      </c>
      <c r="W3960" s="102" t="s">
        <v>136</v>
      </c>
      <c r="X3960" s="102" t="s">
        <v>137</v>
      </c>
      <c r="Y3960" s="103" t="s">
        <v>138</v>
      </c>
      <c r="Z3960" s="103" t="s">
        <v>139</v>
      </c>
      <c r="AA3960" s="103" t="s">
        <v>47</v>
      </c>
      <c r="AB3960" s="103" t="s">
        <v>140</v>
      </c>
      <c r="AC3960" s="104" t="s">
        <v>141</v>
      </c>
    </row>
    <row r="3961" spans="1:29" ht="25.5" customHeight="1" x14ac:dyDescent="0.35">
      <c r="A3961" s="188"/>
      <c r="B3961" s="190"/>
      <c r="C3961" s="99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0"/>
      <c r="E3961" s="78" t="str">
        <f>IF(C3961="","",IFERROR(VLOOKUP(C3961,parametros!$A$11:$E$15,5,0),""))</f>
        <v/>
      </c>
      <c r="F3961" s="79" t="str">
        <f t="shared" si="307"/>
        <v/>
      </c>
      <c r="G3961" s="101"/>
      <c r="H3961" s="91">
        <f t="shared" si="308"/>
        <v>0</v>
      </c>
      <c r="I3961" s="91" t="str">
        <f t="shared" si="309"/>
        <v/>
      </c>
      <c r="J3961" s="91" t="str">
        <f t="shared" si="310"/>
        <v/>
      </c>
      <c r="K3961" s="92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2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58"/>
      <c r="U3961" s="217" t="str">
        <f t="shared" si="311"/>
        <v/>
      </c>
      <c r="V3961" s="215" t="s">
        <v>47</v>
      </c>
      <c r="W3961" s="102" t="s">
        <v>136</v>
      </c>
      <c r="X3961" s="102" t="s">
        <v>137</v>
      </c>
      <c r="Y3961" s="103" t="s">
        <v>138</v>
      </c>
      <c r="Z3961" s="103" t="s">
        <v>139</v>
      </c>
      <c r="AA3961" s="103" t="s">
        <v>47</v>
      </c>
      <c r="AB3961" s="103" t="s">
        <v>140</v>
      </c>
      <c r="AC3961" s="104" t="s">
        <v>141</v>
      </c>
    </row>
    <row r="3962" spans="1:29" ht="25.5" customHeight="1" x14ac:dyDescent="0.35">
      <c r="A3962" s="188"/>
      <c r="B3962" s="190"/>
      <c r="C3962" s="99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0"/>
      <c r="E3962" s="78" t="str">
        <f>IF(C3962="","",IFERROR(VLOOKUP(C3962,parametros!$A$11:$E$15,5,0),""))</f>
        <v/>
      </c>
      <c r="F3962" s="79" t="str">
        <f t="shared" si="307"/>
        <v/>
      </c>
      <c r="G3962" s="101"/>
      <c r="H3962" s="91">
        <f t="shared" si="308"/>
        <v>0</v>
      </c>
      <c r="I3962" s="91" t="str">
        <f t="shared" si="309"/>
        <v/>
      </c>
      <c r="J3962" s="91" t="str">
        <f t="shared" si="310"/>
        <v/>
      </c>
      <c r="K3962" s="92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2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58"/>
      <c r="U3962" s="217" t="str">
        <f t="shared" si="311"/>
        <v/>
      </c>
      <c r="V3962" s="215" t="s">
        <v>47</v>
      </c>
      <c r="W3962" s="102" t="s">
        <v>136</v>
      </c>
      <c r="X3962" s="102" t="s">
        <v>137</v>
      </c>
      <c r="Y3962" s="103" t="s">
        <v>138</v>
      </c>
      <c r="Z3962" s="103" t="s">
        <v>139</v>
      </c>
      <c r="AA3962" s="103" t="s">
        <v>47</v>
      </c>
      <c r="AB3962" s="103" t="s">
        <v>140</v>
      </c>
      <c r="AC3962" s="104" t="s">
        <v>141</v>
      </c>
    </row>
    <row r="3963" spans="1:29" ht="25.5" customHeight="1" x14ac:dyDescent="0.35">
      <c r="A3963" s="188"/>
      <c r="B3963" s="190"/>
      <c r="C3963" s="99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0"/>
      <c r="E3963" s="78" t="str">
        <f>IF(C3963="","",IFERROR(VLOOKUP(C3963,parametros!$A$11:$E$15,5,0),""))</f>
        <v/>
      </c>
      <c r="F3963" s="79" t="str">
        <f t="shared" si="307"/>
        <v/>
      </c>
      <c r="G3963" s="101"/>
      <c r="H3963" s="91">
        <f t="shared" si="308"/>
        <v>0</v>
      </c>
      <c r="I3963" s="91" t="str">
        <f t="shared" si="309"/>
        <v/>
      </c>
      <c r="J3963" s="91" t="str">
        <f t="shared" si="310"/>
        <v/>
      </c>
      <c r="K3963" s="92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2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58"/>
      <c r="U3963" s="217" t="str">
        <f t="shared" si="311"/>
        <v/>
      </c>
      <c r="V3963" s="215" t="s">
        <v>47</v>
      </c>
      <c r="W3963" s="102" t="s">
        <v>136</v>
      </c>
      <c r="X3963" s="102" t="s">
        <v>137</v>
      </c>
      <c r="Y3963" s="103" t="s">
        <v>138</v>
      </c>
      <c r="Z3963" s="103" t="s">
        <v>139</v>
      </c>
      <c r="AA3963" s="103" t="s">
        <v>47</v>
      </c>
      <c r="AB3963" s="103" t="s">
        <v>140</v>
      </c>
      <c r="AC3963" s="104" t="s">
        <v>141</v>
      </c>
    </row>
    <row r="3964" spans="1:29" ht="25.5" customHeight="1" x14ac:dyDescent="0.35">
      <c r="A3964" s="188"/>
      <c r="B3964" s="190"/>
      <c r="C3964" s="99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0"/>
      <c r="E3964" s="78" t="str">
        <f>IF(C3964="","",IFERROR(VLOOKUP(C3964,parametros!$A$11:$E$15,5,0),""))</f>
        <v/>
      </c>
      <c r="F3964" s="79" t="str">
        <f t="shared" si="307"/>
        <v/>
      </c>
      <c r="G3964" s="101"/>
      <c r="H3964" s="91">
        <f t="shared" si="308"/>
        <v>0</v>
      </c>
      <c r="I3964" s="91" t="str">
        <f t="shared" si="309"/>
        <v/>
      </c>
      <c r="J3964" s="91" t="str">
        <f t="shared" si="310"/>
        <v/>
      </c>
      <c r="K3964" s="92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2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58"/>
      <c r="U3964" s="217" t="str">
        <f t="shared" si="311"/>
        <v/>
      </c>
      <c r="V3964" s="215" t="s">
        <v>47</v>
      </c>
      <c r="W3964" s="102" t="s">
        <v>136</v>
      </c>
      <c r="X3964" s="102" t="s">
        <v>137</v>
      </c>
      <c r="Y3964" s="103" t="s">
        <v>138</v>
      </c>
      <c r="Z3964" s="103" t="s">
        <v>139</v>
      </c>
      <c r="AA3964" s="103" t="s">
        <v>47</v>
      </c>
      <c r="AB3964" s="103" t="s">
        <v>140</v>
      </c>
      <c r="AC3964" s="104" t="s">
        <v>141</v>
      </c>
    </row>
    <row r="3965" spans="1:29" ht="25.5" customHeight="1" x14ac:dyDescent="0.35">
      <c r="A3965" s="188"/>
      <c r="B3965" s="190"/>
      <c r="C3965" s="99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0"/>
      <c r="E3965" s="78" t="str">
        <f>IF(C3965="","",IFERROR(VLOOKUP(C3965,parametros!$A$11:$E$15,5,0),""))</f>
        <v/>
      </c>
      <c r="F3965" s="79" t="str">
        <f t="shared" si="307"/>
        <v/>
      </c>
      <c r="G3965" s="101"/>
      <c r="H3965" s="91">
        <f t="shared" si="308"/>
        <v>0</v>
      </c>
      <c r="I3965" s="91" t="str">
        <f t="shared" si="309"/>
        <v/>
      </c>
      <c r="J3965" s="91" t="str">
        <f t="shared" si="310"/>
        <v/>
      </c>
      <c r="K3965" s="92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2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58"/>
      <c r="U3965" s="217" t="str">
        <f t="shared" si="311"/>
        <v/>
      </c>
      <c r="V3965" s="215" t="s">
        <v>47</v>
      </c>
      <c r="W3965" s="102" t="s">
        <v>136</v>
      </c>
      <c r="X3965" s="102" t="s">
        <v>137</v>
      </c>
      <c r="Y3965" s="103" t="s">
        <v>138</v>
      </c>
      <c r="Z3965" s="103" t="s">
        <v>139</v>
      </c>
      <c r="AA3965" s="103" t="s">
        <v>47</v>
      </c>
      <c r="AB3965" s="103" t="s">
        <v>140</v>
      </c>
      <c r="AC3965" s="104" t="s">
        <v>141</v>
      </c>
    </row>
    <row r="3966" spans="1:29" ht="25.5" customHeight="1" x14ac:dyDescent="0.35">
      <c r="A3966" s="188"/>
      <c r="B3966" s="190"/>
      <c r="C3966" s="99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0"/>
      <c r="E3966" s="78" t="str">
        <f>IF(C3966="","",IFERROR(VLOOKUP(C3966,parametros!$A$11:$E$15,5,0),""))</f>
        <v/>
      </c>
      <c r="F3966" s="79" t="str">
        <f t="shared" si="307"/>
        <v/>
      </c>
      <c r="G3966" s="101"/>
      <c r="H3966" s="91">
        <f t="shared" si="308"/>
        <v>0</v>
      </c>
      <c r="I3966" s="91" t="str">
        <f t="shared" si="309"/>
        <v/>
      </c>
      <c r="J3966" s="91" t="str">
        <f t="shared" si="310"/>
        <v/>
      </c>
      <c r="K3966" s="92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2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58"/>
      <c r="U3966" s="217" t="str">
        <f t="shared" si="311"/>
        <v/>
      </c>
      <c r="V3966" s="215" t="s">
        <v>47</v>
      </c>
      <c r="W3966" s="102" t="s">
        <v>136</v>
      </c>
      <c r="X3966" s="102" t="s">
        <v>137</v>
      </c>
      <c r="Y3966" s="103" t="s">
        <v>138</v>
      </c>
      <c r="Z3966" s="103" t="s">
        <v>139</v>
      </c>
      <c r="AA3966" s="103" t="s">
        <v>47</v>
      </c>
      <c r="AB3966" s="103" t="s">
        <v>140</v>
      </c>
      <c r="AC3966" s="104" t="s">
        <v>141</v>
      </c>
    </row>
    <row r="3967" spans="1:29" ht="25.5" customHeight="1" x14ac:dyDescent="0.35">
      <c r="A3967" s="188"/>
      <c r="B3967" s="190"/>
      <c r="C3967" s="99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0"/>
      <c r="E3967" s="78" t="str">
        <f>IF(C3967="","",IFERROR(VLOOKUP(C3967,parametros!$A$11:$E$15,5,0),""))</f>
        <v/>
      </c>
      <c r="F3967" s="79" t="str">
        <f t="shared" si="307"/>
        <v/>
      </c>
      <c r="G3967" s="101"/>
      <c r="H3967" s="91">
        <f t="shared" si="308"/>
        <v>0</v>
      </c>
      <c r="I3967" s="91" t="str">
        <f t="shared" si="309"/>
        <v/>
      </c>
      <c r="J3967" s="91" t="str">
        <f t="shared" si="310"/>
        <v/>
      </c>
      <c r="K3967" s="92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2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58"/>
      <c r="U3967" s="217" t="str">
        <f t="shared" si="311"/>
        <v/>
      </c>
      <c r="V3967" s="215" t="s">
        <v>47</v>
      </c>
      <c r="W3967" s="102" t="s">
        <v>136</v>
      </c>
      <c r="X3967" s="102" t="s">
        <v>137</v>
      </c>
      <c r="Y3967" s="103" t="s">
        <v>138</v>
      </c>
      <c r="Z3967" s="103" t="s">
        <v>139</v>
      </c>
      <c r="AA3967" s="103" t="s">
        <v>47</v>
      </c>
      <c r="AB3967" s="103" t="s">
        <v>140</v>
      </c>
      <c r="AC3967" s="104" t="s">
        <v>141</v>
      </c>
    </row>
    <row r="3968" spans="1:29" ht="25.5" customHeight="1" x14ac:dyDescent="0.35">
      <c r="A3968" s="188"/>
      <c r="B3968" s="190"/>
      <c r="C3968" s="99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0"/>
      <c r="E3968" s="78" t="str">
        <f>IF(C3968="","",IFERROR(VLOOKUP(C3968,parametros!$A$11:$E$15,5,0),""))</f>
        <v/>
      </c>
      <c r="F3968" s="79" t="str">
        <f t="shared" si="307"/>
        <v/>
      </c>
      <c r="G3968" s="101"/>
      <c r="H3968" s="91">
        <f t="shared" si="308"/>
        <v>0</v>
      </c>
      <c r="I3968" s="91" t="str">
        <f t="shared" si="309"/>
        <v/>
      </c>
      <c r="J3968" s="91" t="str">
        <f t="shared" si="310"/>
        <v/>
      </c>
      <c r="K3968" s="92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2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58"/>
      <c r="U3968" s="217" t="str">
        <f t="shared" si="311"/>
        <v/>
      </c>
      <c r="V3968" s="215" t="s">
        <v>47</v>
      </c>
      <c r="W3968" s="102" t="s">
        <v>136</v>
      </c>
      <c r="X3968" s="102" t="s">
        <v>137</v>
      </c>
      <c r="Y3968" s="103" t="s">
        <v>138</v>
      </c>
      <c r="Z3968" s="103" t="s">
        <v>139</v>
      </c>
      <c r="AA3968" s="103" t="s">
        <v>47</v>
      </c>
      <c r="AB3968" s="103" t="s">
        <v>140</v>
      </c>
      <c r="AC3968" s="104" t="s">
        <v>141</v>
      </c>
    </row>
    <row r="3969" spans="1:29" ht="25.5" customHeight="1" x14ac:dyDescent="0.35">
      <c r="A3969" s="188"/>
      <c r="B3969" s="190"/>
      <c r="C3969" s="99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0"/>
      <c r="E3969" s="78" t="str">
        <f>IF(C3969="","",IFERROR(VLOOKUP(C3969,parametros!$A$11:$E$15,5,0),""))</f>
        <v/>
      </c>
      <c r="F3969" s="79" t="str">
        <f t="shared" si="307"/>
        <v/>
      </c>
      <c r="G3969" s="101"/>
      <c r="H3969" s="91">
        <f t="shared" si="308"/>
        <v>0</v>
      </c>
      <c r="I3969" s="91" t="str">
        <f t="shared" si="309"/>
        <v/>
      </c>
      <c r="J3969" s="91" t="str">
        <f t="shared" si="310"/>
        <v/>
      </c>
      <c r="K3969" s="92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2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58"/>
      <c r="U3969" s="217" t="str">
        <f t="shared" si="311"/>
        <v/>
      </c>
      <c r="V3969" s="215" t="s">
        <v>47</v>
      </c>
      <c r="W3969" s="102" t="s">
        <v>136</v>
      </c>
      <c r="X3969" s="102" t="s">
        <v>137</v>
      </c>
      <c r="Y3969" s="103" t="s">
        <v>138</v>
      </c>
      <c r="Z3969" s="103" t="s">
        <v>139</v>
      </c>
      <c r="AA3969" s="103" t="s">
        <v>47</v>
      </c>
      <c r="AB3969" s="103" t="s">
        <v>140</v>
      </c>
      <c r="AC3969" s="104" t="s">
        <v>141</v>
      </c>
    </row>
    <row r="3970" spans="1:29" ht="25.5" customHeight="1" x14ac:dyDescent="0.35">
      <c r="A3970" s="188"/>
      <c r="B3970" s="190"/>
      <c r="C3970" s="99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0"/>
      <c r="E3970" s="78" t="str">
        <f>IF(C3970="","",IFERROR(VLOOKUP(C3970,parametros!$A$11:$E$15,5,0),""))</f>
        <v/>
      </c>
      <c r="F3970" s="79" t="str">
        <f t="shared" ref="F3970:F4033" si="312">IF(OR(D3970="",E3970=""),"",ROUND(D3970*E3970,2))</f>
        <v/>
      </c>
      <c r="G3970" s="101"/>
      <c r="H3970" s="91">
        <f t="shared" ref="H3970:H4033" si="313">IF(G3970="Sim",IF(OR(F3970="",D3970="",L3970=""),"",IF(L3970="Sim",ROUND(F3970-D3970,2),0)),0)</f>
        <v>0</v>
      </c>
      <c r="I3970" s="91" t="str">
        <f t="shared" ref="I3970:I4033" si="314">IF(G3970="Sim",0,IF(OR(F3970="",L3970=""),"",F3970))</f>
        <v/>
      </c>
      <c r="J3970" s="91" t="str">
        <f t="shared" ref="J3970:J4033" si="315">IF(G3970="Sim",0,IF(OR(F3970="",D3970="",L3970=""),"",IF(L3970="Sim",ROUND(F3970-D3970,2),0)))</f>
        <v/>
      </c>
      <c r="K3970" s="92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2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58"/>
      <c r="U3970" s="217" t="str">
        <f t="shared" ref="U3970:U4033" si="316">IF(OR($D3970="",$H3970=""),"",ROUND($D3970+$H3970,2))</f>
        <v/>
      </c>
      <c r="V3970" s="215" t="s">
        <v>47</v>
      </c>
      <c r="W3970" s="102" t="s">
        <v>136</v>
      </c>
      <c r="X3970" s="102" t="s">
        <v>137</v>
      </c>
      <c r="Y3970" s="103" t="s">
        <v>138</v>
      </c>
      <c r="Z3970" s="103" t="s">
        <v>139</v>
      </c>
      <c r="AA3970" s="103" t="s">
        <v>47</v>
      </c>
      <c r="AB3970" s="103" t="s">
        <v>140</v>
      </c>
      <c r="AC3970" s="104" t="s">
        <v>141</v>
      </c>
    </row>
    <row r="3971" spans="1:29" ht="25.5" customHeight="1" x14ac:dyDescent="0.35">
      <c r="A3971" s="188"/>
      <c r="B3971" s="190"/>
      <c r="C3971" s="99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0"/>
      <c r="E3971" s="78" t="str">
        <f>IF(C3971="","",IFERROR(VLOOKUP(C3971,parametros!$A$11:$E$15,5,0),""))</f>
        <v/>
      </c>
      <c r="F3971" s="79" t="str">
        <f t="shared" si="312"/>
        <v/>
      </c>
      <c r="G3971" s="101"/>
      <c r="H3971" s="91">
        <f t="shared" si="313"/>
        <v>0</v>
      </c>
      <c r="I3971" s="91" t="str">
        <f t="shared" si="314"/>
        <v/>
      </c>
      <c r="J3971" s="91" t="str">
        <f t="shared" si="315"/>
        <v/>
      </c>
      <c r="K3971" s="92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2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58"/>
      <c r="U3971" s="217" t="str">
        <f t="shared" si="316"/>
        <v/>
      </c>
      <c r="V3971" s="215" t="s">
        <v>47</v>
      </c>
      <c r="W3971" s="102" t="s">
        <v>136</v>
      </c>
      <c r="X3971" s="102" t="s">
        <v>137</v>
      </c>
      <c r="Y3971" s="103" t="s">
        <v>138</v>
      </c>
      <c r="Z3971" s="103" t="s">
        <v>139</v>
      </c>
      <c r="AA3971" s="103" t="s">
        <v>47</v>
      </c>
      <c r="AB3971" s="103" t="s">
        <v>140</v>
      </c>
      <c r="AC3971" s="104" t="s">
        <v>141</v>
      </c>
    </row>
    <row r="3972" spans="1:29" ht="25.5" customHeight="1" x14ac:dyDescent="0.35">
      <c r="A3972" s="188"/>
      <c r="B3972" s="190"/>
      <c r="C3972" s="99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0"/>
      <c r="E3972" s="78" t="str">
        <f>IF(C3972="","",IFERROR(VLOOKUP(C3972,parametros!$A$11:$E$15,5,0),""))</f>
        <v/>
      </c>
      <c r="F3972" s="79" t="str">
        <f t="shared" si="312"/>
        <v/>
      </c>
      <c r="G3972" s="101"/>
      <c r="H3972" s="91">
        <f t="shared" si="313"/>
        <v>0</v>
      </c>
      <c r="I3972" s="91" t="str">
        <f t="shared" si="314"/>
        <v/>
      </c>
      <c r="J3972" s="91" t="str">
        <f t="shared" si="315"/>
        <v/>
      </c>
      <c r="K3972" s="92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2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58"/>
      <c r="U3972" s="217" t="str">
        <f t="shared" si="316"/>
        <v/>
      </c>
      <c r="V3972" s="215" t="s">
        <v>47</v>
      </c>
      <c r="W3972" s="102" t="s">
        <v>136</v>
      </c>
      <c r="X3972" s="102" t="s">
        <v>137</v>
      </c>
      <c r="Y3972" s="103" t="s">
        <v>138</v>
      </c>
      <c r="Z3972" s="103" t="s">
        <v>139</v>
      </c>
      <c r="AA3972" s="103" t="s">
        <v>47</v>
      </c>
      <c r="AB3972" s="103" t="s">
        <v>140</v>
      </c>
      <c r="AC3972" s="104" t="s">
        <v>141</v>
      </c>
    </row>
    <row r="3973" spans="1:29" ht="25.5" customHeight="1" x14ac:dyDescent="0.35">
      <c r="A3973" s="188"/>
      <c r="B3973" s="190"/>
      <c r="C3973" s="99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0"/>
      <c r="E3973" s="78" t="str">
        <f>IF(C3973="","",IFERROR(VLOOKUP(C3973,parametros!$A$11:$E$15,5,0),""))</f>
        <v/>
      </c>
      <c r="F3973" s="79" t="str">
        <f t="shared" si="312"/>
        <v/>
      </c>
      <c r="G3973" s="101"/>
      <c r="H3973" s="91">
        <f t="shared" si="313"/>
        <v>0</v>
      </c>
      <c r="I3973" s="91" t="str">
        <f t="shared" si="314"/>
        <v/>
      </c>
      <c r="J3973" s="91" t="str">
        <f t="shared" si="315"/>
        <v/>
      </c>
      <c r="K3973" s="92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2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58"/>
      <c r="U3973" s="217" t="str">
        <f t="shared" si="316"/>
        <v/>
      </c>
      <c r="V3973" s="215" t="s">
        <v>47</v>
      </c>
      <c r="W3973" s="102" t="s">
        <v>136</v>
      </c>
      <c r="X3973" s="102" t="s">
        <v>137</v>
      </c>
      <c r="Y3973" s="103" t="s">
        <v>138</v>
      </c>
      <c r="Z3973" s="103" t="s">
        <v>139</v>
      </c>
      <c r="AA3973" s="103" t="s">
        <v>47</v>
      </c>
      <c r="AB3973" s="103" t="s">
        <v>140</v>
      </c>
      <c r="AC3973" s="104" t="s">
        <v>141</v>
      </c>
    </row>
    <row r="3974" spans="1:29" ht="25.5" customHeight="1" x14ac:dyDescent="0.35">
      <c r="A3974" s="188"/>
      <c r="B3974" s="190"/>
      <c r="C3974" s="99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0"/>
      <c r="E3974" s="78" t="str">
        <f>IF(C3974="","",IFERROR(VLOOKUP(C3974,parametros!$A$11:$E$15,5,0),""))</f>
        <v/>
      </c>
      <c r="F3974" s="79" t="str">
        <f t="shared" si="312"/>
        <v/>
      </c>
      <c r="G3974" s="101"/>
      <c r="H3974" s="91">
        <f t="shared" si="313"/>
        <v>0</v>
      </c>
      <c r="I3974" s="91" t="str">
        <f t="shared" si="314"/>
        <v/>
      </c>
      <c r="J3974" s="91" t="str">
        <f t="shared" si="315"/>
        <v/>
      </c>
      <c r="K3974" s="92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2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58"/>
      <c r="U3974" s="217" t="str">
        <f t="shared" si="316"/>
        <v/>
      </c>
      <c r="V3974" s="215" t="s">
        <v>47</v>
      </c>
      <c r="W3974" s="102" t="s">
        <v>136</v>
      </c>
      <c r="X3974" s="102" t="s">
        <v>137</v>
      </c>
      <c r="Y3974" s="103" t="s">
        <v>138</v>
      </c>
      <c r="Z3974" s="103" t="s">
        <v>139</v>
      </c>
      <c r="AA3974" s="103" t="s">
        <v>47</v>
      </c>
      <c r="AB3974" s="103" t="s">
        <v>140</v>
      </c>
      <c r="AC3974" s="104" t="s">
        <v>141</v>
      </c>
    </row>
    <row r="3975" spans="1:29" ht="25.5" customHeight="1" x14ac:dyDescent="0.35">
      <c r="A3975" s="188"/>
      <c r="B3975" s="190"/>
      <c r="C3975" s="99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0"/>
      <c r="E3975" s="78" t="str">
        <f>IF(C3975="","",IFERROR(VLOOKUP(C3975,parametros!$A$11:$E$15,5,0),""))</f>
        <v/>
      </c>
      <c r="F3975" s="79" t="str">
        <f t="shared" si="312"/>
        <v/>
      </c>
      <c r="G3975" s="101"/>
      <c r="H3975" s="91">
        <f t="shared" si="313"/>
        <v>0</v>
      </c>
      <c r="I3975" s="91" t="str">
        <f t="shared" si="314"/>
        <v/>
      </c>
      <c r="J3975" s="91" t="str">
        <f t="shared" si="315"/>
        <v/>
      </c>
      <c r="K3975" s="92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2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58"/>
      <c r="U3975" s="217" t="str">
        <f t="shared" si="316"/>
        <v/>
      </c>
      <c r="V3975" s="215" t="s">
        <v>47</v>
      </c>
      <c r="W3975" s="102" t="s">
        <v>136</v>
      </c>
      <c r="X3975" s="102" t="s">
        <v>137</v>
      </c>
      <c r="Y3975" s="103" t="s">
        <v>138</v>
      </c>
      <c r="Z3975" s="103" t="s">
        <v>139</v>
      </c>
      <c r="AA3975" s="103" t="s">
        <v>47</v>
      </c>
      <c r="AB3975" s="103" t="s">
        <v>140</v>
      </c>
      <c r="AC3975" s="104" t="s">
        <v>141</v>
      </c>
    </row>
    <row r="3976" spans="1:29" ht="25.5" customHeight="1" x14ac:dyDescent="0.35">
      <c r="A3976" s="188"/>
      <c r="B3976" s="190"/>
      <c r="C3976" s="99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0"/>
      <c r="E3976" s="78" t="str">
        <f>IF(C3976="","",IFERROR(VLOOKUP(C3976,parametros!$A$11:$E$15,5,0),""))</f>
        <v/>
      </c>
      <c r="F3976" s="79" t="str">
        <f t="shared" si="312"/>
        <v/>
      </c>
      <c r="G3976" s="101"/>
      <c r="H3976" s="91">
        <f t="shared" si="313"/>
        <v>0</v>
      </c>
      <c r="I3976" s="91" t="str">
        <f t="shared" si="314"/>
        <v/>
      </c>
      <c r="J3976" s="91" t="str">
        <f t="shared" si="315"/>
        <v/>
      </c>
      <c r="K3976" s="92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2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58"/>
      <c r="U3976" s="217" t="str">
        <f t="shared" si="316"/>
        <v/>
      </c>
      <c r="V3976" s="215" t="s">
        <v>47</v>
      </c>
      <c r="W3976" s="102" t="s">
        <v>136</v>
      </c>
      <c r="X3976" s="102" t="s">
        <v>137</v>
      </c>
      <c r="Y3976" s="103" t="s">
        <v>138</v>
      </c>
      <c r="Z3976" s="103" t="s">
        <v>139</v>
      </c>
      <c r="AA3976" s="103" t="s">
        <v>47</v>
      </c>
      <c r="AB3976" s="103" t="s">
        <v>140</v>
      </c>
      <c r="AC3976" s="104" t="s">
        <v>141</v>
      </c>
    </row>
    <row r="3977" spans="1:29" ht="25.5" customHeight="1" x14ac:dyDescent="0.35">
      <c r="A3977" s="188"/>
      <c r="B3977" s="190"/>
      <c r="C3977" s="99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0"/>
      <c r="E3977" s="78" t="str">
        <f>IF(C3977="","",IFERROR(VLOOKUP(C3977,parametros!$A$11:$E$15,5,0),""))</f>
        <v/>
      </c>
      <c r="F3977" s="79" t="str">
        <f t="shared" si="312"/>
        <v/>
      </c>
      <c r="G3977" s="101"/>
      <c r="H3977" s="91">
        <f t="shared" si="313"/>
        <v>0</v>
      </c>
      <c r="I3977" s="91" t="str">
        <f t="shared" si="314"/>
        <v/>
      </c>
      <c r="J3977" s="91" t="str">
        <f t="shared" si="315"/>
        <v/>
      </c>
      <c r="K3977" s="92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2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58"/>
      <c r="U3977" s="217" t="str">
        <f t="shared" si="316"/>
        <v/>
      </c>
      <c r="V3977" s="215" t="s">
        <v>47</v>
      </c>
      <c r="W3977" s="102" t="s">
        <v>136</v>
      </c>
      <c r="X3977" s="102" t="s">
        <v>137</v>
      </c>
      <c r="Y3977" s="103" t="s">
        <v>138</v>
      </c>
      <c r="Z3977" s="103" t="s">
        <v>139</v>
      </c>
      <c r="AA3977" s="103" t="s">
        <v>47</v>
      </c>
      <c r="AB3977" s="103" t="s">
        <v>140</v>
      </c>
      <c r="AC3977" s="104" t="s">
        <v>141</v>
      </c>
    </row>
    <row r="3978" spans="1:29" ht="25.5" customHeight="1" x14ac:dyDescent="0.35">
      <c r="A3978" s="188"/>
      <c r="B3978" s="190"/>
      <c r="C3978" s="99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0"/>
      <c r="E3978" s="78" t="str">
        <f>IF(C3978="","",IFERROR(VLOOKUP(C3978,parametros!$A$11:$E$15,5,0),""))</f>
        <v/>
      </c>
      <c r="F3978" s="79" t="str">
        <f t="shared" si="312"/>
        <v/>
      </c>
      <c r="G3978" s="101"/>
      <c r="H3978" s="91">
        <f t="shared" si="313"/>
        <v>0</v>
      </c>
      <c r="I3978" s="91" t="str">
        <f t="shared" si="314"/>
        <v/>
      </c>
      <c r="J3978" s="91" t="str">
        <f t="shared" si="315"/>
        <v/>
      </c>
      <c r="K3978" s="92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2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58"/>
      <c r="U3978" s="217" t="str">
        <f t="shared" si="316"/>
        <v/>
      </c>
      <c r="V3978" s="215" t="s">
        <v>47</v>
      </c>
      <c r="W3978" s="102" t="s">
        <v>136</v>
      </c>
      <c r="X3978" s="102" t="s">
        <v>137</v>
      </c>
      <c r="Y3978" s="103" t="s">
        <v>138</v>
      </c>
      <c r="Z3978" s="103" t="s">
        <v>139</v>
      </c>
      <c r="AA3978" s="103" t="s">
        <v>47</v>
      </c>
      <c r="AB3978" s="103" t="s">
        <v>140</v>
      </c>
      <c r="AC3978" s="104" t="s">
        <v>141</v>
      </c>
    </row>
    <row r="3979" spans="1:29" ht="25.5" customHeight="1" x14ac:dyDescent="0.35">
      <c r="A3979" s="188"/>
      <c r="B3979" s="190"/>
      <c r="C3979" s="99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0"/>
      <c r="E3979" s="78" t="str">
        <f>IF(C3979="","",IFERROR(VLOOKUP(C3979,parametros!$A$11:$E$15,5,0),""))</f>
        <v/>
      </c>
      <c r="F3979" s="79" t="str">
        <f t="shared" si="312"/>
        <v/>
      </c>
      <c r="G3979" s="101"/>
      <c r="H3979" s="91">
        <f t="shared" si="313"/>
        <v>0</v>
      </c>
      <c r="I3979" s="91" t="str">
        <f t="shared" si="314"/>
        <v/>
      </c>
      <c r="J3979" s="91" t="str">
        <f t="shared" si="315"/>
        <v/>
      </c>
      <c r="K3979" s="92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2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58"/>
      <c r="U3979" s="217" t="str">
        <f t="shared" si="316"/>
        <v/>
      </c>
      <c r="V3979" s="215" t="s">
        <v>47</v>
      </c>
      <c r="W3979" s="102" t="s">
        <v>136</v>
      </c>
      <c r="X3979" s="102" t="s">
        <v>137</v>
      </c>
      <c r="Y3979" s="103" t="s">
        <v>138</v>
      </c>
      <c r="Z3979" s="103" t="s">
        <v>139</v>
      </c>
      <c r="AA3979" s="103" t="s">
        <v>47</v>
      </c>
      <c r="AB3979" s="103" t="s">
        <v>140</v>
      </c>
      <c r="AC3979" s="104" t="s">
        <v>141</v>
      </c>
    </row>
    <row r="3980" spans="1:29" ht="25.5" customHeight="1" x14ac:dyDescent="0.35">
      <c r="A3980" s="188"/>
      <c r="B3980" s="190"/>
      <c r="C3980" s="99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0"/>
      <c r="E3980" s="78" t="str">
        <f>IF(C3980="","",IFERROR(VLOOKUP(C3980,parametros!$A$11:$E$15,5,0),""))</f>
        <v/>
      </c>
      <c r="F3980" s="79" t="str">
        <f t="shared" si="312"/>
        <v/>
      </c>
      <c r="G3980" s="101"/>
      <c r="H3980" s="91">
        <f t="shared" si="313"/>
        <v>0</v>
      </c>
      <c r="I3980" s="91" t="str">
        <f t="shared" si="314"/>
        <v/>
      </c>
      <c r="J3980" s="91" t="str">
        <f t="shared" si="315"/>
        <v/>
      </c>
      <c r="K3980" s="92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2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58"/>
      <c r="U3980" s="217" t="str">
        <f t="shared" si="316"/>
        <v/>
      </c>
      <c r="V3980" s="215" t="s">
        <v>47</v>
      </c>
      <c r="W3980" s="102" t="s">
        <v>136</v>
      </c>
      <c r="X3980" s="102" t="s">
        <v>137</v>
      </c>
      <c r="Y3980" s="103" t="s">
        <v>138</v>
      </c>
      <c r="Z3980" s="103" t="s">
        <v>139</v>
      </c>
      <c r="AA3980" s="103" t="s">
        <v>47</v>
      </c>
      <c r="AB3980" s="103" t="s">
        <v>140</v>
      </c>
      <c r="AC3980" s="104" t="s">
        <v>141</v>
      </c>
    </row>
    <row r="3981" spans="1:29" ht="25.5" customHeight="1" x14ac:dyDescent="0.35">
      <c r="A3981" s="188"/>
      <c r="B3981" s="190"/>
      <c r="C3981" s="99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0"/>
      <c r="E3981" s="78" t="str">
        <f>IF(C3981="","",IFERROR(VLOOKUP(C3981,parametros!$A$11:$E$15,5,0),""))</f>
        <v/>
      </c>
      <c r="F3981" s="79" t="str">
        <f t="shared" si="312"/>
        <v/>
      </c>
      <c r="G3981" s="101"/>
      <c r="H3981" s="91">
        <f t="shared" si="313"/>
        <v>0</v>
      </c>
      <c r="I3981" s="91" t="str">
        <f t="shared" si="314"/>
        <v/>
      </c>
      <c r="J3981" s="91" t="str">
        <f t="shared" si="315"/>
        <v/>
      </c>
      <c r="K3981" s="92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2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58"/>
      <c r="U3981" s="217" t="str">
        <f t="shared" si="316"/>
        <v/>
      </c>
      <c r="V3981" s="215" t="s">
        <v>47</v>
      </c>
      <c r="W3981" s="102" t="s">
        <v>136</v>
      </c>
      <c r="X3981" s="102" t="s">
        <v>137</v>
      </c>
      <c r="Y3981" s="103" t="s">
        <v>138</v>
      </c>
      <c r="Z3981" s="103" t="s">
        <v>139</v>
      </c>
      <c r="AA3981" s="103" t="s">
        <v>47</v>
      </c>
      <c r="AB3981" s="103" t="s">
        <v>140</v>
      </c>
      <c r="AC3981" s="104" t="s">
        <v>141</v>
      </c>
    </row>
    <row r="3982" spans="1:29" ht="25.5" customHeight="1" x14ac:dyDescent="0.35">
      <c r="A3982" s="188"/>
      <c r="B3982" s="190"/>
      <c r="C3982" s="99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0"/>
      <c r="E3982" s="78" t="str">
        <f>IF(C3982="","",IFERROR(VLOOKUP(C3982,parametros!$A$11:$E$15,5,0),""))</f>
        <v/>
      </c>
      <c r="F3982" s="79" t="str">
        <f t="shared" si="312"/>
        <v/>
      </c>
      <c r="G3982" s="101"/>
      <c r="H3982" s="91">
        <f t="shared" si="313"/>
        <v>0</v>
      </c>
      <c r="I3982" s="91" t="str">
        <f t="shared" si="314"/>
        <v/>
      </c>
      <c r="J3982" s="91" t="str">
        <f t="shared" si="315"/>
        <v/>
      </c>
      <c r="K3982" s="92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2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58"/>
      <c r="U3982" s="217" t="str">
        <f t="shared" si="316"/>
        <v/>
      </c>
      <c r="V3982" s="215" t="s">
        <v>47</v>
      </c>
      <c r="W3982" s="102" t="s">
        <v>136</v>
      </c>
      <c r="X3982" s="102" t="s">
        <v>137</v>
      </c>
      <c r="Y3982" s="103" t="s">
        <v>138</v>
      </c>
      <c r="Z3982" s="103" t="s">
        <v>139</v>
      </c>
      <c r="AA3982" s="103" t="s">
        <v>47</v>
      </c>
      <c r="AB3982" s="103" t="s">
        <v>140</v>
      </c>
      <c r="AC3982" s="104" t="s">
        <v>141</v>
      </c>
    </row>
    <row r="3983" spans="1:29" ht="25.5" customHeight="1" x14ac:dyDescent="0.35">
      <c r="A3983" s="188"/>
      <c r="B3983" s="190"/>
      <c r="C3983" s="99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0"/>
      <c r="E3983" s="78" t="str">
        <f>IF(C3983="","",IFERROR(VLOOKUP(C3983,parametros!$A$11:$E$15,5,0),""))</f>
        <v/>
      </c>
      <c r="F3983" s="79" t="str">
        <f t="shared" si="312"/>
        <v/>
      </c>
      <c r="G3983" s="101"/>
      <c r="H3983" s="91">
        <f t="shared" si="313"/>
        <v>0</v>
      </c>
      <c r="I3983" s="91" t="str">
        <f t="shared" si="314"/>
        <v/>
      </c>
      <c r="J3983" s="91" t="str">
        <f t="shared" si="315"/>
        <v/>
      </c>
      <c r="K3983" s="92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2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58"/>
      <c r="U3983" s="217" t="str">
        <f t="shared" si="316"/>
        <v/>
      </c>
      <c r="V3983" s="215" t="s">
        <v>47</v>
      </c>
      <c r="W3983" s="102" t="s">
        <v>136</v>
      </c>
      <c r="X3983" s="102" t="s">
        <v>137</v>
      </c>
      <c r="Y3983" s="103" t="s">
        <v>138</v>
      </c>
      <c r="Z3983" s="103" t="s">
        <v>139</v>
      </c>
      <c r="AA3983" s="103" t="s">
        <v>47</v>
      </c>
      <c r="AB3983" s="103" t="s">
        <v>140</v>
      </c>
      <c r="AC3983" s="104" t="s">
        <v>141</v>
      </c>
    </row>
    <row r="3984" spans="1:29" ht="25.5" customHeight="1" x14ac:dyDescent="0.35">
      <c r="A3984" s="188"/>
      <c r="B3984" s="190"/>
      <c r="C3984" s="99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0"/>
      <c r="E3984" s="78" t="str">
        <f>IF(C3984="","",IFERROR(VLOOKUP(C3984,parametros!$A$11:$E$15,5,0),""))</f>
        <v/>
      </c>
      <c r="F3984" s="79" t="str">
        <f t="shared" si="312"/>
        <v/>
      </c>
      <c r="G3984" s="101"/>
      <c r="H3984" s="91">
        <f t="shared" si="313"/>
        <v>0</v>
      </c>
      <c r="I3984" s="91" t="str">
        <f t="shared" si="314"/>
        <v/>
      </c>
      <c r="J3984" s="91" t="str">
        <f t="shared" si="315"/>
        <v/>
      </c>
      <c r="K3984" s="92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2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58"/>
      <c r="U3984" s="217" t="str">
        <f t="shared" si="316"/>
        <v/>
      </c>
      <c r="V3984" s="215" t="s">
        <v>47</v>
      </c>
      <c r="W3984" s="102" t="s">
        <v>136</v>
      </c>
      <c r="X3984" s="102" t="s">
        <v>137</v>
      </c>
      <c r="Y3984" s="103" t="s">
        <v>138</v>
      </c>
      <c r="Z3984" s="103" t="s">
        <v>139</v>
      </c>
      <c r="AA3984" s="103" t="s">
        <v>47</v>
      </c>
      <c r="AB3984" s="103" t="s">
        <v>140</v>
      </c>
      <c r="AC3984" s="104" t="s">
        <v>141</v>
      </c>
    </row>
    <row r="3985" spans="1:29" ht="25.5" customHeight="1" x14ac:dyDescent="0.35">
      <c r="A3985" s="188"/>
      <c r="B3985" s="190"/>
      <c r="C3985" s="99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0"/>
      <c r="E3985" s="78" t="str">
        <f>IF(C3985="","",IFERROR(VLOOKUP(C3985,parametros!$A$11:$E$15,5,0),""))</f>
        <v/>
      </c>
      <c r="F3985" s="79" t="str">
        <f t="shared" si="312"/>
        <v/>
      </c>
      <c r="G3985" s="101"/>
      <c r="H3985" s="91">
        <f t="shared" si="313"/>
        <v>0</v>
      </c>
      <c r="I3985" s="91" t="str">
        <f t="shared" si="314"/>
        <v/>
      </c>
      <c r="J3985" s="91" t="str">
        <f t="shared" si="315"/>
        <v/>
      </c>
      <c r="K3985" s="92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2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58"/>
      <c r="U3985" s="217" t="str">
        <f t="shared" si="316"/>
        <v/>
      </c>
      <c r="V3985" s="215" t="s">
        <v>47</v>
      </c>
      <c r="W3985" s="102" t="s">
        <v>136</v>
      </c>
      <c r="X3985" s="102" t="s">
        <v>137</v>
      </c>
      <c r="Y3985" s="103" t="s">
        <v>138</v>
      </c>
      <c r="Z3985" s="103" t="s">
        <v>139</v>
      </c>
      <c r="AA3985" s="103" t="s">
        <v>47</v>
      </c>
      <c r="AB3985" s="103" t="s">
        <v>140</v>
      </c>
      <c r="AC3985" s="104" t="s">
        <v>141</v>
      </c>
    </row>
    <row r="3986" spans="1:29" ht="25.5" customHeight="1" x14ac:dyDescent="0.35">
      <c r="A3986" s="188"/>
      <c r="B3986" s="190"/>
      <c r="C3986" s="99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0"/>
      <c r="E3986" s="78" t="str">
        <f>IF(C3986="","",IFERROR(VLOOKUP(C3986,parametros!$A$11:$E$15,5,0),""))</f>
        <v/>
      </c>
      <c r="F3986" s="79" t="str">
        <f t="shared" si="312"/>
        <v/>
      </c>
      <c r="G3986" s="101"/>
      <c r="H3986" s="91">
        <f t="shared" si="313"/>
        <v>0</v>
      </c>
      <c r="I3986" s="91" t="str">
        <f t="shared" si="314"/>
        <v/>
      </c>
      <c r="J3986" s="91" t="str">
        <f t="shared" si="315"/>
        <v/>
      </c>
      <c r="K3986" s="92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2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58"/>
      <c r="U3986" s="217" t="str">
        <f t="shared" si="316"/>
        <v/>
      </c>
      <c r="V3986" s="215" t="s">
        <v>47</v>
      </c>
      <c r="W3986" s="102" t="s">
        <v>136</v>
      </c>
      <c r="X3986" s="102" t="s">
        <v>137</v>
      </c>
      <c r="Y3986" s="103" t="s">
        <v>138</v>
      </c>
      <c r="Z3986" s="103" t="s">
        <v>139</v>
      </c>
      <c r="AA3986" s="103" t="s">
        <v>47</v>
      </c>
      <c r="AB3986" s="103" t="s">
        <v>140</v>
      </c>
      <c r="AC3986" s="104" t="s">
        <v>141</v>
      </c>
    </row>
    <row r="3987" spans="1:29" ht="25.5" customHeight="1" x14ac:dyDescent="0.35">
      <c r="A3987" s="188"/>
      <c r="B3987" s="190"/>
      <c r="C3987" s="99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0"/>
      <c r="E3987" s="78" t="str">
        <f>IF(C3987="","",IFERROR(VLOOKUP(C3987,parametros!$A$11:$E$15,5,0),""))</f>
        <v/>
      </c>
      <c r="F3987" s="79" t="str">
        <f t="shared" si="312"/>
        <v/>
      </c>
      <c r="G3987" s="101"/>
      <c r="H3987" s="91">
        <f t="shared" si="313"/>
        <v>0</v>
      </c>
      <c r="I3987" s="91" t="str">
        <f t="shared" si="314"/>
        <v/>
      </c>
      <c r="J3987" s="91" t="str">
        <f t="shared" si="315"/>
        <v/>
      </c>
      <c r="K3987" s="92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2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58"/>
      <c r="U3987" s="217" t="str">
        <f t="shared" si="316"/>
        <v/>
      </c>
      <c r="V3987" s="215" t="s">
        <v>47</v>
      </c>
      <c r="W3987" s="102" t="s">
        <v>136</v>
      </c>
      <c r="X3987" s="102" t="s">
        <v>137</v>
      </c>
      <c r="Y3987" s="103" t="s">
        <v>138</v>
      </c>
      <c r="Z3987" s="103" t="s">
        <v>139</v>
      </c>
      <c r="AA3987" s="103" t="s">
        <v>47</v>
      </c>
      <c r="AB3987" s="103" t="s">
        <v>140</v>
      </c>
      <c r="AC3987" s="104" t="s">
        <v>141</v>
      </c>
    </row>
    <row r="3988" spans="1:29" ht="25.5" customHeight="1" x14ac:dyDescent="0.35">
      <c r="A3988" s="188"/>
      <c r="B3988" s="190"/>
      <c r="C3988" s="99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0"/>
      <c r="E3988" s="78" t="str">
        <f>IF(C3988="","",IFERROR(VLOOKUP(C3988,parametros!$A$11:$E$15,5,0),""))</f>
        <v/>
      </c>
      <c r="F3988" s="79" t="str">
        <f t="shared" si="312"/>
        <v/>
      </c>
      <c r="G3988" s="101"/>
      <c r="H3988" s="91">
        <f t="shared" si="313"/>
        <v>0</v>
      </c>
      <c r="I3988" s="91" t="str">
        <f t="shared" si="314"/>
        <v/>
      </c>
      <c r="J3988" s="91" t="str">
        <f t="shared" si="315"/>
        <v/>
      </c>
      <c r="K3988" s="92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2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58"/>
      <c r="U3988" s="217" t="str">
        <f t="shared" si="316"/>
        <v/>
      </c>
      <c r="V3988" s="215" t="s">
        <v>47</v>
      </c>
      <c r="W3988" s="102" t="s">
        <v>136</v>
      </c>
      <c r="X3988" s="102" t="s">
        <v>137</v>
      </c>
      <c r="Y3988" s="103" t="s">
        <v>138</v>
      </c>
      <c r="Z3988" s="103" t="s">
        <v>139</v>
      </c>
      <c r="AA3988" s="103" t="s">
        <v>47</v>
      </c>
      <c r="AB3988" s="103" t="s">
        <v>140</v>
      </c>
      <c r="AC3988" s="104" t="s">
        <v>141</v>
      </c>
    </row>
    <row r="3989" spans="1:29" ht="25.5" customHeight="1" x14ac:dyDescent="0.35">
      <c r="A3989" s="188"/>
      <c r="B3989" s="190"/>
      <c r="C3989" s="99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0"/>
      <c r="E3989" s="78" t="str">
        <f>IF(C3989="","",IFERROR(VLOOKUP(C3989,parametros!$A$11:$E$15,5,0),""))</f>
        <v/>
      </c>
      <c r="F3989" s="79" t="str">
        <f t="shared" si="312"/>
        <v/>
      </c>
      <c r="G3989" s="101"/>
      <c r="H3989" s="91">
        <f t="shared" si="313"/>
        <v>0</v>
      </c>
      <c r="I3989" s="91" t="str">
        <f t="shared" si="314"/>
        <v/>
      </c>
      <c r="J3989" s="91" t="str">
        <f t="shared" si="315"/>
        <v/>
      </c>
      <c r="K3989" s="92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2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58"/>
      <c r="U3989" s="217" t="str">
        <f t="shared" si="316"/>
        <v/>
      </c>
      <c r="V3989" s="215" t="s">
        <v>47</v>
      </c>
      <c r="W3989" s="102" t="s">
        <v>136</v>
      </c>
      <c r="X3989" s="102" t="s">
        <v>137</v>
      </c>
      <c r="Y3989" s="103" t="s">
        <v>138</v>
      </c>
      <c r="Z3989" s="103" t="s">
        <v>139</v>
      </c>
      <c r="AA3989" s="103" t="s">
        <v>47</v>
      </c>
      <c r="AB3989" s="103" t="s">
        <v>140</v>
      </c>
      <c r="AC3989" s="104" t="s">
        <v>141</v>
      </c>
    </row>
    <row r="3990" spans="1:29" ht="25.5" customHeight="1" x14ac:dyDescent="0.35">
      <c r="A3990" s="188"/>
      <c r="B3990" s="190"/>
      <c r="C3990" s="99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0"/>
      <c r="E3990" s="78" t="str">
        <f>IF(C3990="","",IFERROR(VLOOKUP(C3990,parametros!$A$11:$E$15,5,0),""))</f>
        <v/>
      </c>
      <c r="F3990" s="79" t="str">
        <f t="shared" si="312"/>
        <v/>
      </c>
      <c r="G3990" s="101"/>
      <c r="H3990" s="91">
        <f t="shared" si="313"/>
        <v>0</v>
      </c>
      <c r="I3990" s="91" t="str">
        <f t="shared" si="314"/>
        <v/>
      </c>
      <c r="J3990" s="91" t="str">
        <f t="shared" si="315"/>
        <v/>
      </c>
      <c r="K3990" s="92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2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58"/>
      <c r="U3990" s="217" t="str">
        <f t="shared" si="316"/>
        <v/>
      </c>
      <c r="V3990" s="215" t="s">
        <v>47</v>
      </c>
      <c r="W3990" s="102" t="s">
        <v>136</v>
      </c>
      <c r="X3990" s="102" t="s">
        <v>137</v>
      </c>
      <c r="Y3990" s="103" t="s">
        <v>138</v>
      </c>
      <c r="Z3990" s="103" t="s">
        <v>139</v>
      </c>
      <c r="AA3990" s="103" t="s">
        <v>47</v>
      </c>
      <c r="AB3990" s="103" t="s">
        <v>140</v>
      </c>
      <c r="AC3990" s="104" t="s">
        <v>141</v>
      </c>
    </row>
    <row r="3991" spans="1:29" ht="25.5" customHeight="1" x14ac:dyDescent="0.35">
      <c r="A3991" s="188"/>
      <c r="B3991" s="190"/>
      <c r="C3991" s="99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0"/>
      <c r="E3991" s="78" t="str">
        <f>IF(C3991="","",IFERROR(VLOOKUP(C3991,parametros!$A$11:$E$15,5,0),""))</f>
        <v/>
      </c>
      <c r="F3991" s="79" t="str">
        <f t="shared" si="312"/>
        <v/>
      </c>
      <c r="G3991" s="101"/>
      <c r="H3991" s="91">
        <f t="shared" si="313"/>
        <v>0</v>
      </c>
      <c r="I3991" s="91" t="str">
        <f t="shared" si="314"/>
        <v/>
      </c>
      <c r="J3991" s="91" t="str">
        <f t="shared" si="315"/>
        <v/>
      </c>
      <c r="K3991" s="92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2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58"/>
      <c r="U3991" s="217" t="str">
        <f t="shared" si="316"/>
        <v/>
      </c>
      <c r="V3991" s="215" t="s">
        <v>47</v>
      </c>
      <c r="W3991" s="102" t="s">
        <v>136</v>
      </c>
      <c r="X3991" s="102" t="s">
        <v>137</v>
      </c>
      <c r="Y3991" s="103" t="s">
        <v>138</v>
      </c>
      <c r="Z3991" s="103" t="s">
        <v>139</v>
      </c>
      <c r="AA3991" s="103" t="s">
        <v>47</v>
      </c>
      <c r="AB3991" s="103" t="s">
        <v>140</v>
      </c>
      <c r="AC3991" s="104" t="s">
        <v>141</v>
      </c>
    </row>
    <row r="3992" spans="1:29" ht="25.5" customHeight="1" x14ac:dyDescent="0.35">
      <c r="A3992" s="188"/>
      <c r="B3992" s="190"/>
      <c r="C3992" s="99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0"/>
      <c r="E3992" s="78" t="str">
        <f>IF(C3992="","",IFERROR(VLOOKUP(C3992,parametros!$A$11:$E$15,5,0),""))</f>
        <v/>
      </c>
      <c r="F3992" s="79" t="str">
        <f t="shared" si="312"/>
        <v/>
      </c>
      <c r="G3992" s="101"/>
      <c r="H3992" s="91">
        <f t="shared" si="313"/>
        <v>0</v>
      </c>
      <c r="I3992" s="91" t="str">
        <f t="shared" si="314"/>
        <v/>
      </c>
      <c r="J3992" s="91" t="str">
        <f t="shared" si="315"/>
        <v/>
      </c>
      <c r="K3992" s="92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2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58"/>
      <c r="U3992" s="217" t="str">
        <f t="shared" si="316"/>
        <v/>
      </c>
      <c r="V3992" s="215" t="s">
        <v>47</v>
      </c>
      <c r="W3992" s="102" t="s">
        <v>136</v>
      </c>
      <c r="X3992" s="102" t="s">
        <v>137</v>
      </c>
      <c r="Y3992" s="103" t="s">
        <v>138</v>
      </c>
      <c r="Z3992" s="103" t="s">
        <v>139</v>
      </c>
      <c r="AA3992" s="103" t="s">
        <v>47</v>
      </c>
      <c r="AB3992" s="103" t="s">
        <v>140</v>
      </c>
      <c r="AC3992" s="104" t="s">
        <v>141</v>
      </c>
    </row>
    <row r="3993" spans="1:29" ht="25.5" customHeight="1" x14ac:dyDescent="0.35">
      <c r="A3993" s="188"/>
      <c r="B3993" s="190"/>
      <c r="C3993" s="99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0"/>
      <c r="E3993" s="78" t="str">
        <f>IF(C3993="","",IFERROR(VLOOKUP(C3993,parametros!$A$11:$E$15,5,0),""))</f>
        <v/>
      </c>
      <c r="F3993" s="79" t="str">
        <f t="shared" si="312"/>
        <v/>
      </c>
      <c r="G3993" s="101"/>
      <c r="H3993" s="91">
        <f t="shared" si="313"/>
        <v>0</v>
      </c>
      <c r="I3993" s="91" t="str">
        <f t="shared" si="314"/>
        <v/>
      </c>
      <c r="J3993" s="91" t="str">
        <f t="shared" si="315"/>
        <v/>
      </c>
      <c r="K3993" s="92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2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58"/>
      <c r="U3993" s="217" t="str">
        <f t="shared" si="316"/>
        <v/>
      </c>
      <c r="V3993" s="215" t="s">
        <v>47</v>
      </c>
      <c r="W3993" s="102" t="s">
        <v>136</v>
      </c>
      <c r="X3993" s="102" t="s">
        <v>137</v>
      </c>
      <c r="Y3993" s="103" t="s">
        <v>138</v>
      </c>
      <c r="Z3993" s="103" t="s">
        <v>139</v>
      </c>
      <c r="AA3993" s="103" t="s">
        <v>47</v>
      </c>
      <c r="AB3993" s="103" t="s">
        <v>140</v>
      </c>
      <c r="AC3993" s="104" t="s">
        <v>141</v>
      </c>
    </row>
    <row r="3994" spans="1:29" ht="25.5" customHeight="1" x14ac:dyDescent="0.35">
      <c r="A3994" s="188"/>
      <c r="B3994" s="190"/>
      <c r="C3994" s="99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0"/>
      <c r="E3994" s="78" t="str">
        <f>IF(C3994="","",IFERROR(VLOOKUP(C3994,parametros!$A$11:$E$15,5,0),""))</f>
        <v/>
      </c>
      <c r="F3994" s="79" t="str">
        <f t="shared" si="312"/>
        <v/>
      </c>
      <c r="G3994" s="101"/>
      <c r="H3994" s="91">
        <f t="shared" si="313"/>
        <v>0</v>
      </c>
      <c r="I3994" s="91" t="str">
        <f t="shared" si="314"/>
        <v/>
      </c>
      <c r="J3994" s="91" t="str">
        <f t="shared" si="315"/>
        <v/>
      </c>
      <c r="K3994" s="92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2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58"/>
      <c r="U3994" s="217" t="str">
        <f t="shared" si="316"/>
        <v/>
      </c>
      <c r="V3994" s="215" t="s">
        <v>47</v>
      </c>
      <c r="W3994" s="102" t="s">
        <v>136</v>
      </c>
      <c r="X3994" s="102" t="s">
        <v>137</v>
      </c>
      <c r="Y3994" s="103" t="s">
        <v>138</v>
      </c>
      <c r="Z3994" s="103" t="s">
        <v>139</v>
      </c>
      <c r="AA3994" s="103" t="s">
        <v>47</v>
      </c>
      <c r="AB3994" s="103" t="s">
        <v>140</v>
      </c>
      <c r="AC3994" s="104" t="s">
        <v>141</v>
      </c>
    </row>
    <row r="3995" spans="1:29" ht="25.5" customHeight="1" x14ac:dyDescent="0.35">
      <c r="A3995" s="188"/>
      <c r="B3995" s="190"/>
      <c r="C3995" s="99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0"/>
      <c r="E3995" s="78" t="str">
        <f>IF(C3995="","",IFERROR(VLOOKUP(C3995,parametros!$A$11:$E$15,5,0),""))</f>
        <v/>
      </c>
      <c r="F3995" s="79" t="str">
        <f t="shared" si="312"/>
        <v/>
      </c>
      <c r="G3995" s="101"/>
      <c r="H3995" s="91">
        <f t="shared" si="313"/>
        <v>0</v>
      </c>
      <c r="I3995" s="91" t="str">
        <f t="shared" si="314"/>
        <v/>
      </c>
      <c r="J3995" s="91" t="str">
        <f t="shared" si="315"/>
        <v/>
      </c>
      <c r="K3995" s="92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2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58"/>
      <c r="U3995" s="217" t="str">
        <f t="shared" si="316"/>
        <v/>
      </c>
      <c r="V3995" s="215" t="s">
        <v>47</v>
      </c>
      <c r="W3995" s="102" t="s">
        <v>136</v>
      </c>
      <c r="X3995" s="102" t="s">
        <v>137</v>
      </c>
      <c r="Y3995" s="103" t="s">
        <v>138</v>
      </c>
      <c r="Z3995" s="103" t="s">
        <v>139</v>
      </c>
      <c r="AA3995" s="103" t="s">
        <v>47</v>
      </c>
      <c r="AB3995" s="103" t="s">
        <v>140</v>
      </c>
      <c r="AC3995" s="104" t="s">
        <v>141</v>
      </c>
    </row>
    <row r="3996" spans="1:29" ht="25.5" customHeight="1" x14ac:dyDescent="0.35">
      <c r="A3996" s="188"/>
      <c r="B3996" s="190"/>
      <c r="C3996" s="99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0"/>
      <c r="E3996" s="78" t="str">
        <f>IF(C3996="","",IFERROR(VLOOKUP(C3996,parametros!$A$11:$E$15,5,0),""))</f>
        <v/>
      </c>
      <c r="F3996" s="79" t="str">
        <f t="shared" si="312"/>
        <v/>
      </c>
      <c r="G3996" s="101"/>
      <c r="H3996" s="91">
        <f t="shared" si="313"/>
        <v>0</v>
      </c>
      <c r="I3996" s="91" t="str">
        <f t="shared" si="314"/>
        <v/>
      </c>
      <c r="J3996" s="91" t="str">
        <f t="shared" si="315"/>
        <v/>
      </c>
      <c r="K3996" s="92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2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58"/>
      <c r="U3996" s="217" t="str">
        <f t="shared" si="316"/>
        <v/>
      </c>
      <c r="V3996" s="215" t="s">
        <v>47</v>
      </c>
      <c r="W3996" s="102" t="s">
        <v>136</v>
      </c>
      <c r="X3996" s="102" t="s">
        <v>137</v>
      </c>
      <c r="Y3996" s="103" t="s">
        <v>138</v>
      </c>
      <c r="Z3996" s="103" t="s">
        <v>139</v>
      </c>
      <c r="AA3996" s="103" t="s">
        <v>47</v>
      </c>
      <c r="AB3996" s="103" t="s">
        <v>140</v>
      </c>
      <c r="AC3996" s="104" t="s">
        <v>141</v>
      </c>
    </row>
    <row r="3997" spans="1:29" ht="25.5" customHeight="1" x14ac:dyDescent="0.35">
      <c r="A3997" s="188"/>
      <c r="B3997" s="190"/>
      <c r="C3997" s="99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0"/>
      <c r="E3997" s="78" t="str">
        <f>IF(C3997="","",IFERROR(VLOOKUP(C3997,parametros!$A$11:$E$15,5,0),""))</f>
        <v/>
      </c>
      <c r="F3997" s="79" t="str">
        <f t="shared" si="312"/>
        <v/>
      </c>
      <c r="G3997" s="101"/>
      <c r="H3997" s="91">
        <f t="shared" si="313"/>
        <v>0</v>
      </c>
      <c r="I3997" s="91" t="str">
        <f t="shared" si="314"/>
        <v/>
      </c>
      <c r="J3997" s="91" t="str">
        <f t="shared" si="315"/>
        <v/>
      </c>
      <c r="K3997" s="92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2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58"/>
      <c r="U3997" s="217" t="str">
        <f t="shared" si="316"/>
        <v/>
      </c>
      <c r="V3997" s="215" t="s">
        <v>47</v>
      </c>
      <c r="W3997" s="102" t="s">
        <v>136</v>
      </c>
      <c r="X3997" s="102" t="s">
        <v>137</v>
      </c>
      <c r="Y3997" s="103" t="s">
        <v>138</v>
      </c>
      <c r="Z3997" s="103" t="s">
        <v>139</v>
      </c>
      <c r="AA3997" s="103" t="s">
        <v>47</v>
      </c>
      <c r="AB3997" s="103" t="s">
        <v>140</v>
      </c>
      <c r="AC3997" s="104" t="s">
        <v>141</v>
      </c>
    </row>
    <row r="3998" spans="1:29" ht="25.5" customHeight="1" x14ac:dyDescent="0.35">
      <c r="A3998" s="188"/>
      <c r="B3998" s="190"/>
      <c r="C3998" s="99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0"/>
      <c r="E3998" s="78" t="str">
        <f>IF(C3998="","",IFERROR(VLOOKUP(C3998,parametros!$A$11:$E$15,5,0),""))</f>
        <v/>
      </c>
      <c r="F3998" s="79" t="str">
        <f t="shared" si="312"/>
        <v/>
      </c>
      <c r="G3998" s="101"/>
      <c r="H3998" s="91">
        <f t="shared" si="313"/>
        <v>0</v>
      </c>
      <c r="I3998" s="91" t="str">
        <f t="shared" si="314"/>
        <v/>
      </c>
      <c r="J3998" s="91" t="str">
        <f t="shared" si="315"/>
        <v/>
      </c>
      <c r="K3998" s="92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2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58"/>
      <c r="U3998" s="217" t="str">
        <f t="shared" si="316"/>
        <v/>
      </c>
      <c r="V3998" s="215" t="s">
        <v>47</v>
      </c>
      <c r="W3998" s="102" t="s">
        <v>136</v>
      </c>
      <c r="X3998" s="102" t="s">
        <v>137</v>
      </c>
      <c r="Y3998" s="103" t="s">
        <v>138</v>
      </c>
      <c r="Z3998" s="103" t="s">
        <v>139</v>
      </c>
      <c r="AA3998" s="103" t="s">
        <v>47</v>
      </c>
      <c r="AB3998" s="103" t="s">
        <v>140</v>
      </c>
      <c r="AC3998" s="104" t="s">
        <v>141</v>
      </c>
    </row>
    <row r="3999" spans="1:29" ht="25.5" customHeight="1" x14ac:dyDescent="0.35">
      <c r="A3999" s="188"/>
      <c r="B3999" s="190"/>
      <c r="C3999" s="99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0"/>
      <c r="E3999" s="78" t="str">
        <f>IF(C3999="","",IFERROR(VLOOKUP(C3999,parametros!$A$11:$E$15,5,0),""))</f>
        <v/>
      </c>
      <c r="F3999" s="79" t="str">
        <f t="shared" si="312"/>
        <v/>
      </c>
      <c r="G3999" s="101"/>
      <c r="H3999" s="91">
        <f t="shared" si="313"/>
        <v>0</v>
      </c>
      <c r="I3999" s="91" t="str">
        <f t="shared" si="314"/>
        <v/>
      </c>
      <c r="J3999" s="91" t="str">
        <f t="shared" si="315"/>
        <v/>
      </c>
      <c r="K3999" s="92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2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58"/>
      <c r="U3999" s="217" t="str">
        <f t="shared" si="316"/>
        <v/>
      </c>
      <c r="V3999" s="215" t="s">
        <v>47</v>
      </c>
      <c r="W3999" s="102" t="s">
        <v>136</v>
      </c>
      <c r="X3999" s="102" t="s">
        <v>137</v>
      </c>
      <c r="Y3999" s="103" t="s">
        <v>138</v>
      </c>
      <c r="Z3999" s="103" t="s">
        <v>139</v>
      </c>
      <c r="AA3999" s="103" t="s">
        <v>47</v>
      </c>
      <c r="AB3999" s="103" t="s">
        <v>140</v>
      </c>
      <c r="AC3999" s="104" t="s">
        <v>141</v>
      </c>
    </row>
    <row r="4000" spans="1:29" ht="25.5" customHeight="1" x14ac:dyDescent="0.35">
      <c r="A4000" s="188"/>
      <c r="B4000" s="190"/>
      <c r="C4000" s="99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0"/>
      <c r="E4000" s="78" t="str">
        <f>IF(C4000="","",IFERROR(VLOOKUP(C4000,parametros!$A$11:$E$15,5,0),""))</f>
        <v/>
      </c>
      <c r="F4000" s="79" t="str">
        <f t="shared" si="312"/>
        <v/>
      </c>
      <c r="G4000" s="101"/>
      <c r="H4000" s="91">
        <f t="shared" si="313"/>
        <v>0</v>
      </c>
      <c r="I4000" s="91" t="str">
        <f t="shared" si="314"/>
        <v/>
      </c>
      <c r="J4000" s="91" t="str">
        <f t="shared" si="315"/>
        <v/>
      </c>
      <c r="K4000" s="92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2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58"/>
      <c r="U4000" s="217" t="str">
        <f t="shared" si="316"/>
        <v/>
      </c>
      <c r="V4000" s="215" t="s">
        <v>47</v>
      </c>
      <c r="W4000" s="102" t="s">
        <v>136</v>
      </c>
      <c r="X4000" s="102" t="s">
        <v>137</v>
      </c>
      <c r="Y4000" s="103" t="s">
        <v>138</v>
      </c>
      <c r="Z4000" s="103" t="s">
        <v>139</v>
      </c>
      <c r="AA4000" s="103" t="s">
        <v>47</v>
      </c>
      <c r="AB4000" s="103" t="s">
        <v>140</v>
      </c>
      <c r="AC4000" s="104" t="s">
        <v>141</v>
      </c>
    </row>
    <row r="4001" spans="1:29" ht="25.5" customHeight="1" x14ac:dyDescent="0.35">
      <c r="A4001" s="188"/>
      <c r="B4001" s="190"/>
      <c r="C4001" s="99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0"/>
      <c r="E4001" s="78" t="str">
        <f>IF(C4001="","",IFERROR(VLOOKUP(C4001,parametros!$A$11:$E$15,5,0),""))</f>
        <v/>
      </c>
      <c r="F4001" s="79" t="str">
        <f t="shared" si="312"/>
        <v/>
      </c>
      <c r="G4001" s="101"/>
      <c r="H4001" s="91">
        <f t="shared" si="313"/>
        <v>0</v>
      </c>
      <c r="I4001" s="91" t="str">
        <f t="shared" si="314"/>
        <v/>
      </c>
      <c r="J4001" s="91" t="str">
        <f t="shared" si="315"/>
        <v/>
      </c>
      <c r="K4001" s="92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2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58"/>
      <c r="U4001" s="217" t="str">
        <f t="shared" si="316"/>
        <v/>
      </c>
      <c r="V4001" s="215" t="s">
        <v>47</v>
      </c>
      <c r="W4001" s="102" t="s">
        <v>136</v>
      </c>
      <c r="X4001" s="102" t="s">
        <v>137</v>
      </c>
      <c r="Y4001" s="103" t="s">
        <v>138</v>
      </c>
      <c r="Z4001" s="103" t="s">
        <v>139</v>
      </c>
      <c r="AA4001" s="103" t="s">
        <v>47</v>
      </c>
      <c r="AB4001" s="103" t="s">
        <v>140</v>
      </c>
      <c r="AC4001" s="104" t="s">
        <v>141</v>
      </c>
    </row>
    <row r="4002" spans="1:29" ht="25.5" customHeight="1" x14ac:dyDescent="0.35">
      <c r="A4002" s="188"/>
      <c r="B4002" s="190"/>
      <c r="C4002" s="99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0"/>
      <c r="E4002" s="78" t="str">
        <f>IF(C4002="","",IFERROR(VLOOKUP(C4002,parametros!$A$11:$E$15,5,0),""))</f>
        <v/>
      </c>
      <c r="F4002" s="79" t="str">
        <f t="shared" si="312"/>
        <v/>
      </c>
      <c r="G4002" s="101"/>
      <c r="H4002" s="91">
        <f t="shared" si="313"/>
        <v>0</v>
      </c>
      <c r="I4002" s="91" t="str">
        <f t="shared" si="314"/>
        <v/>
      </c>
      <c r="J4002" s="91" t="str">
        <f t="shared" si="315"/>
        <v/>
      </c>
      <c r="K4002" s="92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2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58"/>
      <c r="U4002" s="217" t="str">
        <f t="shared" si="316"/>
        <v/>
      </c>
      <c r="V4002" s="215" t="s">
        <v>47</v>
      </c>
      <c r="W4002" s="102" t="s">
        <v>136</v>
      </c>
      <c r="X4002" s="102" t="s">
        <v>137</v>
      </c>
      <c r="Y4002" s="103" t="s">
        <v>138</v>
      </c>
      <c r="Z4002" s="103" t="s">
        <v>139</v>
      </c>
      <c r="AA4002" s="103" t="s">
        <v>47</v>
      </c>
      <c r="AB4002" s="103" t="s">
        <v>140</v>
      </c>
      <c r="AC4002" s="104" t="s">
        <v>141</v>
      </c>
    </row>
    <row r="4003" spans="1:29" ht="25.5" customHeight="1" x14ac:dyDescent="0.35">
      <c r="A4003" s="188"/>
      <c r="B4003" s="190"/>
      <c r="C4003" s="99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0"/>
      <c r="E4003" s="78" t="str">
        <f>IF(C4003="","",IFERROR(VLOOKUP(C4003,parametros!$A$11:$E$15,5,0),""))</f>
        <v/>
      </c>
      <c r="F4003" s="79" t="str">
        <f t="shared" si="312"/>
        <v/>
      </c>
      <c r="G4003" s="101"/>
      <c r="H4003" s="91">
        <f t="shared" si="313"/>
        <v>0</v>
      </c>
      <c r="I4003" s="91" t="str">
        <f t="shared" si="314"/>
        <v/>
      </c>
      <c r="J4003" s="91" t="str">
        <f t="shared" si="315"/>
        <v/>
      </c>
      <c r="K4003" s="92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2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58"/>
      <c r="U4003" s="217" t="str">
        <f t="shared" si="316"/>
        <v/>
      </c>
      <c r="V4003" s="215" t="s">
        <v>47</v>
      </c>
      <c r="W4003" s="102" t="s">
        <v>136</v>
      </c>
      <c r="X4003" s="102" t="s">
        <v>137</v>
      </c>
      <c r="Y4003" s="103" t="s">
        <v>138</v>
      </c>
      <c r="Z4003" s="103" t="s">
        <v>139</v>
      </c>
      <c r="AA4003" s="103" t="s">
        <v>47</v>
      </c>
      <c r="AB4003" s="103" t="s">
        <v>140</v>
      </c>
      <c r="AC4003" s="104" t="s">
        <v>141</v>
      </c>
    </row>
    <row r="4004" spans="1:29" ht="25.5" customHeight="1" x14ac:dyDescent="0.35">
      <c r="A4004" s="188"/>
      <c r="B4004" s="190"/>
      <c r="C4004" s="99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0"/>
      <c r="E4004" s="78" t="str">
        <f>IF(C4004="","",IFERROR(VLOOKUP(C4004,parametros!$A$11:$E$15,5,0),""))</f>
        <v/>
      </c>
      <c r="F4004" s="79" t="str">
        <f t="shared" si="312"/>
        <v/>
      </c>
      <c r="G4004" s="101"/>
      <c r="H4004" s="91">
        <f t="shared" si="313"/>
        <v>0</v>
      </c>
      <c r="I4004" s="91" t="str">
        <f t="shared" si="314"/>
        <v/>
      </c>
      <c r="J4004" s="91" t="str">
        <f t="shared" si="315"/>
        <v/>
      </c>
      <c r="K4004" s="92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2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58"/>
      <c r="U4004" s="217" t="str">
        <f t="shared" si="316"/>
        <v/>
      </c>
      <c r="V4004" s="215" t="s">
        <v>47</v>
      </c>
      <c r="W4004" s="102" t="s">
        <v>136</v>
      </c>
      <c r="X4004" s="102" t="s">
        <v>137</v>
      </c>
      <c r="Y4004" s="103" t="s">
        <v>138</v>
      </c>
      <c r="Z4004" s="103" t="s">
        <v>139</v>
      </c>
      <c r="AA4004" s="103" t="s">
        <v>47</v>
      </c>
      <c r="AB4004" s="103" t="s">
        <v>140</v>
      </c>
      <c r="AC4004" s="104" t="s">
        <v>141</v>
      </c>
    </row>
    <row r="4005" spans="1:29" ht="25.5" customHeight="1" x14ac:dyDescent="0.35">
      <c r="A4005" s="188"/>
      <c r="B4005" s="190"/>
      <c r="C4005" s="99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0"/>
      <c r="E4005" s="78" t="str">
        <f>IF(C4005="","",IFERROR(VLOOKUP(C4005,parametros!$A$11:$E$15,5,0),""))</f>
        <v/>
      </c>
      <c r="F4005" s="79" t="str">
        <f t="shared" si="312"/>
        <v/>
      </c>
      <c r="G4005" s="101"/>
      <c r="H4005" s="91">
        <f t="shared" si="313"/>
        <v>0</v>
      </c>
      <c r="I4005" s="91" t="str">
        <f t="shared" si="314"/>
        <v/>
      </c>
      <c r="J4005" s="91" t="str">
        <f t="shared" si="315"/>
        <v/>
      </c>
      <c r="K4005" s="92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2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58"/>
      <c r="U4005" s="217" t="str">
        <f t="shared" si="316"/>
        <v/>
      </c>
      <c r="V4005" s="215" t="s">
        <v>47</v>
      </c>
      <c r="W4005" s="102" t="s">
        <v>136</v>
      </c>
      <c r="X4005" s="102" t="s">
        <v>137</v>
      </c>
      <c r="Y4005" s="103" t="s">
        <v>138</v>
      </c>
      <c r="Z4005" s="103" t="s">
        <v>139</v>
      </c>
      <c r="AA4005" s="103" t="s">
        <v>47</v>
      </c>
      <c r="AB4005" s="103" t="s">
        <v>140</v>
      </c>
      <c r="AC4005" s="104" t="s">
        <v>141</v>
      </c>
    </row>
    <row r="4006" spans="1:29" ht="25.5" customHeight="1" x14ac:dyDescent="0.35">
      <c r="A4006" s="188"/>
      <c r="B4006" s="190"/>
      <c r="C4006" s="99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0"/>
      <c r="E4006" s="78" t="str">
        <f>IF(C4006="","",IFERROR(VLOOKUP(C4006,parametros!$A$11:$E$15,5,0),""))</f>
        <v/>
      </c>
      <c r="F4006" s="79" t="str">
        <f t="shared" si="312"/>
        <v/>
      </c>
      <c r="G4006" s="101"/>
      <c r="H4006" s="91">
        <f t="shared" si="313"/>
        <v>0</v>
      </c>
      <c r="I4006" s="91" t="str">
        <f t="shared" si="314"/>
        <v/>
      </c>
      <c r="J4006" s="91" t="str">
        <f t="shared" si="315"/>
        <v/>
      </c>
      <c r="K4006" s="92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2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58"/>
      <c r="U4006" s="217" t="str">
        <f t="shared" si="316"/>
        <v/>
      </c>
      <c r="V4006" s="215" t="s">
        <v>47</v>
      </c>
      <c r="W4006" s="102" t="s">
        <v>136</v>
      </c>
      <c r="X4006" s="102" t="s">
        <v>137</v>
      </c>
      <c r="Y4006" s="103" t="s">
        <v>138</v>
      </c>
      <c r="Z4006" s="103" t="s">
        <v>139</v>
      </c>
      <c r="AA4006" s="103" t="s">
        <v>47</v>
      </c>
      <c r="AB4006" s="103" t="s">
        <v>140</v>
      </c>
      <c r="AC4006" s="104" t="s">
        <v>141</v>
      </c>
    </row>
    <row r="4007" spans="1:29" ht="25.5" customHeight="1" x14ac:dyDescent="0.35">
      <c r="A4007" s="188"/>
      <c r="B4007" s="190"/>
      <c r="C4007" s="99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0"/>
      <c r="E4007" s="78" t="str">
        <f>IF(C4007="","",IFERROR(VLOOKUP(C4007,parametros!$A$11:$E$15,5,0),""))</f>
        <v/>
      </c>
      <c r="F4007" s="79" t="str">
        <f t="shared" si="312"/>
        <v/>
      </c>
      <c r="G4007" s="101"/>
      <c r="H4007" s="91">
        <f t="shared" si="313"/>
        <v>0</v>
      </c>
      <c r="I4007" s="91" t="str">
        <f t="shared" si="314"/>
        <v/>
      </c>
      <c r="J4007" s="91" t="str">
        <f t="shared" si="315"/>
        <v/>
      </c>
      <c r="K4007" s="92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2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58"/>
      <c r="U4007" s="217" t="str">
        <f t="shared" si="316"/>
        <v/>
      </c>
      <c r="V4007" s="215" t="s">
        <v>47</v>
      </c>
      <c r="W4007" s="102" t="s">
        <v>136</v>
      </c>
      <c r="X4007" s="102" t="s">
        <v>137</v>
      </c>
      <c r="Y4007" s="103" t="s">
        <v>138</v>
      </c>
      <c r="Z4007" s="103" t="s">
        <v>139</v>
      </c>
      <c r="AA4007" s="103" t="s">
        <v>47</v>
      </c>
      <c r="AB4007" s="103" t="s">
        <v>140</v>
      </c>
      <c r="AC4007" s="104" t="s">
        <v>141</v>
      </c>
    </row>
    <row r="4008" spans="1:29" ht="25.5" customHeight="1" x14ac:dyDescent="0.35">
      <c r="A4008" s="188"/>
      <c r="B4008" s="190"/>
      <c r="C4008" s="99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0"/>
      <c r="E4008" s="78" t="str">
        <f>IF(C4008="","",IFERROR(VLOOKUP(C4008,parametros!$A$11:$E$15,5,0),""))</f>
        <v/>
      </c>
      <c r="F4008" s="79" t="str">
        <f t="shared" si="312"/>
        <v/>
      </c>
      <c r="G4008" s="101"/>
      <c r="H4008" s="91">
        <f t="shared" si="313"/>
        <v>0</v>
      </c>
      <c r="I4008" s="91" t="str">
        <f t="shared" si="314"/>
        <v/>
      </c>
      <c r="J4008" s="91" t="str">
        <f t="shared" si="315"/>
        <v/>
      </c>
      <c r="K4008" s="92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2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58"/>
      <c r="U4008" s="217" t="str">
        <f t="shared" si="316"/>
        <v/>
      </c>
      <c r="V4008" s="215" t="s">
        <v>47</v>
      </c>
      <c r="W4008" s="102" t="s">
        <v>136</v>
      </c>
      <c r="X4008" s="102" t="s">
        <v>137</v>
      </c>
      <c r="Y4008" s="103" t="s">
        <v>138</v>
      </c>
      <c r="Z4008" s="103" t="s">
        <v>139</v>
      </c>
      <c r="AA4008" s="103" t="s">
        <v>47</v>
      </c>
      <c r="AB4008" s="103" t="s">
        <v>140</v>
      </c>
      <c r="AC4008" s="104" t="s">
        <v>141</v>
      </c>
    </row>
    <row r="4009" spans="1:29" ht="25.5" customHeight="1" x14ac:dyDescent="0.35">
      <c r="A4009" s="188"/>
      <c r="B4009" s="190"/>
      <c r="C4009" s="99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0"/>
      <c r="E4009" s="78" t="str">
        <f>IF(C4009="","",IFERROR(VLOOKUP(C4009,parametros!$A$11:$E$15,5,0),""))</f>
        <v/>
      </c>
      <c r="F4009" s="79" t="str">
        <f t="shared" si="312"/>
        <v/>
      </c>
      <c r="G4009" s="101"/>
      <c r="H4009" s="91">
        <f t="shared" si="313"/>
        <v>0</v>
      </c>
      <c r="I4009" s="91" t="str">
        <f t="shared" si="314"/>
        <v/>
      </c>
      <c r="J4009" s="91" t="str">
        <f t="shared" si="315"/>
        <v/>
      </c>
      <c r="K4009" s="92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2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58"/>
      <c r="U4009" s="217" t="str">
        <f t="shared" si="316"/>
        <v/>
      </c>
      <c r="V4009" s="215" t="s">
        <v>47</v>
      </c>
      <c r="W4009" s="102" t="s">
        <v>136</v>
      </c>
      <c r="X4009" s="102" t="s">
        <v>137</v>
      </c>
      <c r="Y4009" s="103" t="s">
        <v>138</v>
      </c>
      <c r="Z4009" s="103" t="s">
        <v>139</v>
      </c>
      <c r="AA4009" s="103" t="s">
        <v>47</v>
      </c>
      <c r="AB4009" s="103" t="s">
        <v>140</v>
      </c>
      <c r="AC4009" s="104" t="s">
        <v>141</v>
      </c>
    </row>
    <row r="4010" spans="1:29" ht="25.5" customHeight="1" x14ac:dyDescent="0.35">
      <c r="A4010" s="188"/>
      <c r="B4010" s="190"/>
      <c r="C4010" s="99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0"/>
      <c r="E4010" s="78" t="str">
        <f>IF(C4010="","",IFERROR(VLOOKUP(C4010,parametros!$A$11:$E$15,5,0),""))</f>
        <v/>
      </c>
      <c r="F4010" s="79" t="str">
        <f t="shared" si="312"/>
        <v/>
      </c>
      <c r="G4010" s="101"/>
      <c r="H4010" s="91">
        <f t="shared" si="313"/>
        <v>0</v>
      </c>
      <c r="I4010" s="91" t="str">
        <f t="shared" si="314"/>
        <v/>
      </c>
      <c r="J4010" s="91" t="str">
        <f t="shared" si="315"/>
        <v/>
      </c>
      <c r="K4010" s="92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2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58"/>
      <c r="U4010" s="217" t="str">
        <f t="shared" si="316"/>
        <v/>
      </c>
      <c r="V4010" s="215" t="s">
        <v>47</v>
      </c>
      <c r="W4010" s="102" t="s">
        <v>136</v>
      </c>
      <c r="X4010" s="102" t="s">
        <v>137</v>
      </c>
      <c r="Y4010" s="103" t="s">
        <v>138</v>
      </c>
      <c r="Z4010" s="103" t="s">
        <v>139</v>
      </c>
      <c r="AA4010" s="103" t="s">
        <v>47</v>
      </c>
      <c r="AB4010" s="103" t="s">
        <v>140</v>
      </c>
      <c r="AC4010" s="104" t="s">
        <v>141</v>
      </c>
    </row>
    <row r="4011" spans="1:29" ht="25.5" customHeight="1" x14ac:dyDescent="0.35">
      <c r="A4011" s="188"/>
      <c r="B4011" s="190"/>
      <c r="C4011" s="99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0"/>
      <c r="E4011" s="78" t="str">
        <f>IF(C4011="","",IFERROR(VLOOKUP(C4011,parametros!$A$11:$E$15,5,0),""))</f>
        <v/>
      </c>
      <c r="F4011" s="79" t="str">
        <f t="shared" si="312"/>
        <v/>
      </c>
      <c r="G4011" s="101"/>
      <c r="H4011" s="91">
        <f t="shared" si="313"/>
        <v>0</v>
      </c>
      <c r="I4011" s="91" t="str">
        <f t="shared" si="314"/>
        <v/>
      </c>
      <c r="J4011" s="91" t="str">
        <f t="shared" si="315"/>
        <v/>
      </c>
      <c r="K4011" s="92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2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58"/>
      <c r="U4011" s="217" t="str">
        <f t="shared" si="316"/>
        <v/>
      </c>
      <c r="V4011" s="215" t="s">
        <v>47</v>
      </c>
      <c r="W4011" s="102" t="s">
        <v>136</v>
      </c>
      <c r="X4011" s="102" t="s">
        <v>137</v>
      </c>
      <c r="Y4011" s="103" t="s">
        <v>138</v>
      </c>
      <c r="Z4011" s="103" t="s">
        <v>139</v>
      </c>
      <c r="AA4011" s="103" t="s">
        <v>47</v>
      </c>
      <c r="AB4011" s="103" t="s">
        <v>140</v>
      </c>
      <c r="AC4011" s="104" t="s">
        <v>141</v>
      </c>
    </row>
    <row r="4012" spans="1:29" ht="25.5" customHeight="1" x14ac:dyDescent="0.35">
      <c r="A4012" s="188"/>
      <c r="B4012" s="190"/>
      <c r="C4012" s="99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0"/>
      <c r="E4012" s="78" t="str">
        <f>IF(C4012="","",IFERROR(VLOOKUP(C4012,parametros!$A$11:$E$15,5,0),""))</f>
        <v/>
      </c>
      <c r="F4012" s="79" t="str">
        <f t="shared" si="312"/>
        <v/>
      </c>
      <c r="G4012" s="101"/>
      <c r="H4012" s="91">
        <f t="shared" si="313"/>
        <v>0</v>
      </c>
      <c r="I4012" s="91" t="str">
        <f t="shared" si="314"/>
        <v/>
      </c>
      <c r="J4012" s="91" t="str">
        <f t="shared" si="315"/>
        <v/>
      </c>
      <c r="K4012" s="92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2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58"/>
      <c r="U4012" s="217" t="str">
        <f t="shared" si="316"/>
        <v/>
      </c>
      <c r="V4012" s="215" t="s">
        <v>47</v>
      </c>
      <c r="W4012" s="102" t="s">
        <v>136</v>
      </c>
      <c r="X4012" s="102" t="s">
        <v>137</v>
      </c>
      <c r="Y4012" s="103" t="s">
        <v>138</v>
      </c>
      <c r="Z4012" s="103" t="s">
        <v>139</v>
      </c>
      <c r="AA4012" s="103" t="s">
        <v>47</v>
      </c>
      <c r="AB4012" s="103" t="s">
        <v>140</v>
      </c>
      <c r="AC4012" s="104" t="s">
        <v>141</v>
      </c>
    </row>
    <row r="4013" spans="1:29" ht="25.5" customHeight="1" x14ac:dyDescent="0.35">
      <c r="A4013" s="188"/>
      <c r="B4013" s="190"/>
      <c r="C4013" s="99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0"/>
      <c r="E4013" s="78" t="str">
        <f>IF(C4013="","",IFERROR(VLOOKUP(C4013,parametros!$A$11:$E$15,5,0),""))</f>
        <v/>
      </c>
      <c r="F4013" s="79" t="str">
        <f t="shared" si="312"/>
        <v/>
      </c>
      <c r="G4013" s="101"/>
      <c r="H4013" s="91">
        <f t="shared" si="313"/>
        <v>0</v>
      </c>
      <c r="I4013" s="91" t="str">
        <f t="shared" si="314"/>
        <v/>
      </c>
      <c r="J4013" s="91" t="str">
        <f t="shared" si="315"/>
        <v/>
      </c>
      <c r="K4013" s="92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2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58"/>
      <c r="U4013" s="217" t="str">
        <f t="shared" si="316"/>
        <v/>
      </c>
      <c r="V4013" s="215" t="s">
        <v>47</v>
      </c>
      <c r="W4013" s="102" t="s">
        <v>136</v>
      </c>
      <c r="X4013" s="102" t="s">
        <v>137</v>
      </c>
      <c r="Y4013" s="103" t="s">
        <v>138</v>
      </c>
      <c r="Z4013" s="103" t="s">
        <v>139</v>
      </c>
      <c r="AA4013" s="103" t="s">
        <v>47</v>
      </c>
      <c r="AB4013" s="103" t="s">
        <v>140</v>
      </c>
      <c r="AC4013" s="104" t="s">
        <v>141</v>
      </c>
    </row>
    <row r="4014" spans="1:29" ht="25.5" customHeight="1" x14ac:dyDescent="0.35">
      <c r="A4014" s="188"/>
      <c r="B4014" s="190"/>
      <c r="C4014" s="99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0"/>
      <c r="E4014" s="78" t="str">
        <f>IF(C4014="","",IFERROR(VLOOKUP(C4014,parametros!$A$11:$E$15,5,0),""))</f>
        <v/>
      </c>
      <c r="F4014" s="79" t="str">
        <f t="shared" si="312"/>
        <v/>
      </c>
      <c r="G4014" s="101"/>
      <c r="H4014" s="91">
        <f t="shared" si="313"/>
        <v>0</v>
      </c>
      <c r="I4014" s="91" t="str">
        <f t="shared" si="314"/>
        <v/>
      </c>
      <c r="J4014" s="91" t="str">
        <f t="shared" si="315"/>
        <v/>
      </c>
      <c r="K4014" s="92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2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58"/>
      <c r="U4014" s="217" t="str">
        <f t="shared" si="316"/>
        <v/>
      </c>
      <c r="V4014" s="215" t="s">
        <v>47</v>
      </c>
      <c r="W4014" s="102" t="s">
        <v>136</v>
      </c>
      <c r="X4014" s="102" t="s">
        <v>137</v>
      </c>
      <c r="Y4014" s="103" t="s">
        <v>138</v>
      </c>
      <c r="Z4014" s="103" t="s">
        <v>139</v>
      </c>
      <c r="AA4014" s="103" t="s">
        <v>47</v>
      </c>
      <c r="AB4014" s="103" t="s">
        <v>140</v>
      </c>
      <c r="AC4014" s="104" t="s">
        <v>141</v>
      </c>
    </row>
    <row r="4015" spans="1:29" ht="25.5" customHeight="1" x14ac:dyDescent="0.35">
      <c r="A4015" s="188"/>
      <c r="B4015" s="190"/>
      <c r="C4015" s="99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0"/>
      <c r="E4015" s="78" t="str">
        <f>IF(C4015="","",IFERROR(VLOOKUP(C4015,parametros!$A$11:$E$15,5,0),""))</f>
        <v/>
      </c>
      <c r="F4015" s="79" t="str">
        <f t="shared" si="312"/>
        <v/>
      </c>
      <c r="G4015" s="101"/>
      <c r="H4015" s="91">
        <f t="shared" si="313"/>
        <v>0</v>
      </c>
      <c r="I4015" s="91" t="str">
        <f t="shared" si="314"/>
        <v/>
      </c>
      <c r="J4015" s="91" t="str">
        <f t="shared" si="315"/>
        <v/>
      </c>
      <c r="K4015" s="92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2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58"/>
      <c r="U4015" s="217" t="str">
        <f t="shared" si="316"/>
        <v/>
      </c>
      <c r="V4015" s="215" t="s">
        <v>47</v>
      </c>
      <c r="W4015" s="102" t="s">
        <v>136</v>
      </c>
      <c r="X4015" s="102" t="s">
        <v>137</v>
      </c>
      <c r="Y4015" s="103" t="s">
        <v>138</v>
      </c>
      <c r="Z4015" s="103" t="s">
        <v>139</v>
      </c>
      <c r="AA4015" s="103" t="s">
        <v>47</v>
      </c>
      <c r="AB4015" s="103" t="s">
        <v>140</v>
      </c>
      <c r="AC4015" s="104" t="s">
        <v>141</v>
      </c>
    </row>
    <row r="4016" spans="1:29" ht="25.5" customHeight="1" x14ac:dyDescent="0.35">
      <c r="A4016" s="188"/>
      <c r="B4016" s="190"/>
      <c r="C4016" s="99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0"/>
      <c r="E4016" s="78" t="str">
        <f>IF(C4016="","",IFERROR(VLOOKUP(C4016,parametros!$A$11:$E$15,5,0),""))</f>
        <v/>
      </c>
      <c r="F4016" s="79" t="str">
        <f t="shared" si="312"/>
        <v/>
      </c>
      <c r="G4016" s="101"/>
      <c r="H4016" s="91">
        <f t="shared" si="313"/>
        <v>0</v>
      </c>
      <c r="I4016" s="91" t="str">
        <f t="shared" si="314"/>
        <v/>
      </c>
      <c r="J4016" s="91" t="str">
        <f t="shared" si="315"/>
        <v/>
      </c>
      <c r="K4016" s="92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2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58"/>
      <c r="U4016" s="217" t="str">
        <f t="shared" si="316"/>
        <v/>
      </c>
      <c r="V4016" s="215" t="s">
        <v>47</v>
      </c>
      <c r="W4016" s="102" t="s">
        <v>136</v>
      </c>
      <c r="X4016" s="102" t="s">
        <v>137</v>
      </c>
      <c r="Y4016" s="103" t="s">
        <v>138</v>
      </c>
      <c r="Z4016" s="103" t="s">
        <v>139</v>
      </c>
      <c r="AA4016" s="103" t="s">
        <v>47</v>
      </c>
      <c r="AB4016" s="103" t="s">
        <v>140</v>
      </c>
      <c r="AC4016" s="104" t="s">
        <v>141</v>
      </c>
    </row>
    <row r="4017" spans="1:29" ht="25.5" customHeight="1" x14ac:dyDescent="0.35">
      <c r="A4017" s="188"/>
      <c r="B4017" s="190"/>
      <c r="C4017" s="99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0"/>
      <c r="E4017" s="78" t="str">
        <f>IF(C4017="","",IFERROR(VLOOKUP(C4017,parametros!$A$11:$E$15,5,0),""))</f>
        <v/>
      </c>
      <c r="F4017" s="79" t="str">
        <f t="shared" si="312"/>
        <v/>
      </c>
      <c r="G4017" s="101"/>
      <c r="H4017" s="91">
        <f t="shared" si="313"/>
        <v>0</v>
      </c>
      <c r="I4017" s="91" t="str">
        <f t="shared" si="314"/>
        <v/>
      </c>
      <c r="J4017" s="91" t="str">
        <f t="shared" si="315"/>
        <v/>
      </c>
      <c r="K4017" s="92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2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58"/>
      <c r="U4017" s="217" t="str">
        <f t="shared" si="316"/>
        <v/>
      </c>
      <c r="V4017" s="215" t="s">
        <v>47</v>
      </c>
      <c r="W4017" s="102" t="s">
        <v>136</v>
      </c>
      <c r="X4017" s="102" t="s">
        <v>137</v>
      </c>
      <c r="Y4017" s="103" t="s">
        <v>138</v>
      </c>
      <c r="Z4017" s="103" t="s">
        <v>139</v>
      </c>
      <c r="AA4017" s="103" t="s">
        <v>47</v>
      </c>
      <c r="AB4017" s="103" t="s">
        <v>140</v>
      </c>
      <c r="AC4017" s="104" t="s">
        <v>141</v>
      </c>
    </row>
    <row r="4018" spans="1:29" ht="25.5" customHeight="1" x14ac:dyDescent="0.35">
      <c r="A4018" s="188"/>
      <c r="B4018" s="190"/>
      <c r="C4018" s="99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0"/>
      <c r="E4018" s="78" t="str">
        <f>IF(C4018="","",IFERROR(VLOOKUP(C4018,parametros!$A$11:$E$15,5,0),""))</f>
        <v/>
      </c>
      <c r="F4018" s="79" t="str">
        <f t="shared" si="312"/>
        <v/>
      </c>
      <c r="G4018" s="101"/>
      <c r="H4018" s="91">
        <f t="shared" si="313"/>
        <v>0</v>
      </c>
      <c r="I4018" s="91" t="str">
        <f t="shared" si="314"/>
        <v/>
      </c>
      <c r="J4018" s="91" t="str">
        <f t="shared" si="315"/>
        <v/>
      </c>
      <c r="K4018" s="92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2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58"/>
      <c r="U4018" s="217" t="str">
        <f t="shared" si="316"/>
        <v/>
      </c>
      <c r="V4018" s="215" t="s">
        <v>47</v>
      </c>
      <c r="W4018" s="102" t="s">
        <v>136</v>
      </c>
      <c r="X4018" s="102" t="s">
        <v>137</v>
      </c>
      <c r="Y4018" s="103" t="s">
        <v>138</v>
      </c>
      <c r="Z4018" s="103" t="s">
        <v>139</v>
      </c>
      <c r="AA4018" s="103" t="s">
        <v>47</v>
      </c>
      <c r="AB4018" s="103" t="s">
        <v>140</v>
      </c>
      <c r="AC4018" s="104" t="s">
        <v>141</v>
      </c>
    </row>
    <row r="4019" spans="1:29" ht="25.5" customHeight="1" x14ac:dyDescent="0.35">
      <c r="A4019" s="188"/>
      <c r="B4019" s="190"/>
      <c r="C4019" s="99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0"/>
      <c r="E4019" s="78" t="str">
        <f>IF(C4019="","",IFERROR(VLOOKUP(C4019,parametros!$A$11:$E$15,5,0),""))</f>
        <v/>
      </c>
      <c r="F4019" s="79" t="str">
        <f t="shared" si="312"/>
        <v/>
      </c>
      <c r="G4019" s="101"/>
      <c r="H4019" s="91">
        <f t="shared" si="313"/>
        <v>0</v>
      </c>
      <c r="I4019" s="91" t="str">
        <f t="shared" si="314"/>
        <v/>
      </c>
      <c r="J4019" s="91" t="str">
        <f t="shared" si="315"/>
        <v/>
      </c>
      <c r="K4019" s="92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2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58"/>
      <c r="U4019" s="217" t="str">
        <f t="shared" si="316"/>
        <v/>
      </c>
      <c r="V4019" s="215" t="s">
        <v>47</v>
      </c>
      <c r="W4019" s="102" t="s">
        <v>136</v>
      </c>
      <c r="X4019" s="102" t="s">
        <v>137</v>
      </c>
      <c r="Y4019" s="103" t="s">
        <v>138</v>
      </c>
      <c r="Z4019" s="103" t="s">
        <v>139</v>
      </c>
      <c r="AA4019" s="103" t="s">
        <v>47</v>
      </c>
      <c r="AB4019" s="103" t="s">
        <v>140</v>
      </c>
      <c r="AC4019" s="104" t="s">
        <v>141</v>
      </c>
    </row>
    <row r="4020" spans="1:29" ht="25.5" customHeight="1" x14ac:dyDescent="0.35">
      <c r="A4020" s="188"/>
      <c r="B4020" s="190"/>
      <c r="C4020" s="99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0"/>
      <c r="E4020" s="78" t="str">
        <f>IF(C4020="","",IFERROR(VLOOKUP(C4020,parametros!$A$11:$E$15,5,0),""))</f>
        <v/>
      </c>
      <c r="F4020" s="79" t="str">
        <f t="shared" si="312"/>
        <v/>
      </c>
      <c r="G4020" s="101"/>
      <c r="H4020" s="91">
        <f t="shared" si="313"/>
        <v>0</v>
      </c>
      <c r="I4020" s="91" t="str">
        <f t="shared" si="314"/>
        <v/>
      </c>
      <c r="J4020" s="91" t="str">
        <f t="shared" si="315"/>
        <v/>
      </c>
      <c r="K4020" s="92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2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58"/>
      <c r="U4020" s="217" t="str">
        <f t="shared" si="316"/>
        <v/>
      </c>
      <c r="V4020" s="215" t="s">
        <v>47</v>
      </c>
      <c r="W4020" s="102" t="s">
        <v>136</v>
      </c>
      <c r="X4020" s="102" t="s">
        <v>137</v>
      </c>
      <c r="Y4020" s="103" t="s">
        <v>138</v>
      </c>
      <c r="Z4020" s="103" t="s">
        <v>139</v>
      </c>
      <c r="AA4020" s="103" t="s">
        <v>47</v>
      </c>
      <c r="AB4020" s="103" t="s">
        <v>140</v>
      </c>
      <c r="AC4020" s="104" t="s">
        <v>141</v>
      </c>
    </row>
    <row r="4021" spans="1:29" ht="25.5" customHeight="1" x14ac:dyDescent="0.35">
      <c r="A4021" s="188"/>
      <c r="B4021" s="190"/>
      <c r="C4021" s="99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0"/>
      <c r="E4021" s="78" t="str">
        <f>IF(C4021="","",IFERROR(VLOOKUP(C4021,parametros!$A$11:$E$15,5,0),""))</f>
        <v/>
      </c>
      <c r="F4021" s="79" t="str">
        <f t="shared" si="312"/>
        <v/>
      </c>
      <c r="G4021" s="101"/>
      <c r="H4021" s="91">
        <f t="shared" si="313"/>
        <v>0</v>
      </c>
      <c r="I4021" s="91" t="str">
        <f t="shared" si="314"/>
        <v/>
      </c>
      <c r="J4021" s="91" t="str">
        <f t="shared" si="315"/>
        <v/>
      </c>
      <c r="K4021" s="92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2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58"/>
      <c r="U4021" s="217" t="str">
        <f t="shared" si="316"/>
        <v/>
      </c>
      <c r="V4021" s="215" t="s">
        <v>47</v>
      </c>
      <c r="W4021" s="102" t="s">
        <v>136</v>
      </c>
      <c r="X4021" s="102" t="s">
        <v>137</v>
      </c>
      <c r="Y4021" s="103" t="s">
        <v>138</v>
      </c>
      <c r="Z4021" s="103" t="s">
        <v>139</v>
      </c>
      <c r="AA4021" s="103" t="s">
        <v>47</v>
      </c>
      <c r="AB4021" s="103" t="s">
        <v>140</v>
      </c>
      <c r="AC4021" s="104" t="s">
        <v>141</v>
      </c>
    </row>
    <row r="4022" spans="1:29" ht="25.5" customHeight="1" x14ac:dyDescent="0.35">
      <c r="A4022" s="188"/>
      <c r="B4022" s="190"/>
      <c r="C4022" s="99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0"/>
      <c r="E4022" s="78" t="str">
        <f>IF(C4022="","",IFERROR(VLOOKUP(C4022,parametros!$A$11:$E$15,5,0),""))</f>
        <v/>
      </c>
      <c r="F4022" s="79" t="str">
        <f t="shared" si="312"/>
        <v/>
      </c>
      <c r="G4022" s="101"/>
      <c r="H4022" s="91">
        <f t="shared" si="313"/>
        <v>0</v>
      </c>
      <c r="I4022" s="91" t="str">
        <f t="shared" si="314"/>
        <v/>
      </c>
      <c r="J4022" s="91" t="str">
        <f t="shared" si="315"/>
        <v/>
      </c>
      <c r="K4022" s="92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2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58"/>
      <c r="U4022" s="217" t="str">
        <f t="shared" si="316"/>
        <v/>
      </c>
      <c r="V4022" s="215" t="s">
        <v>47</v>
      </c>
      <c r="W4022" s="102" t="s">
        <v>136</v>
      </c>
      <c r="X4022" s="102" t="s">
        <v>137</v>
      </c>
      <c r="Y4022" s="103" t="s">
        <v>138</v>
      </c>
      <c r="Z4022" s="103" t="s">
        <v>139</v>
      </c>
      <c r="AA4022" s="103" t="s">
        <v>47</v>
      </c>
      <c r="AB4022" s="103" t="s">
        <v>140</v>
      </c>
      <c r="AC4022" s="104" t="s">
        <v>141</v>
      </c>
    </row>
    <row r="4023" spans="1:29" ht="25.5" customHeight="1" x14ac:dyDescent="0.35">
      <c r="A4023" s="188"/>
      <c r="B4023" s="190"/>
      <c r="C4023" s="99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0"/>
      <c r="E4023" s="78" t="str">
        <f>IF(C4023="","",IFERROR(VLOOKUP(C4023,parametros!$A$11:$E$15,5,0),""))</f>
        <v/>
      </c>
      <c r="F4023" s="79" t="str">
        <f t="shared" si="312"/>
        <v/>
      </c>
      <c r="G4023" s="101"/>
      <c r="H4023" s="91">
        <f t="shared" si="313"/>
        <v>0</v>
      </c>
      <c r="I4023" s="91" t="str">
        <f t="shared" si="314"/>
        <v/>
      </c>
      <c r="J4023" s="91" t="str">
        <f t="shared" si="315"/>
        <v/>
      </c>
      <c r="K4023" s="92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2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58"/>
      <c r="U4023" s="217" t="str">
        <f t="shared" si="316"/>
        <v/>
      </c>
      <c r="V4023" s="215" t="s">
        <v>47</v>
      </c>
      <c r="W4023" s="102" t="s">
        <v>136</v>
      </c>
      <c r="X4023" s="102" t="s">
        <v>137</v>
      </c>
      <c r="Y4023" s="103" t="s">
        <v>138</v>
      </c>
      <c r="Z4023" s="103" t="s">
        <v>139</v>
      </c>
      <c r="AA4023" s="103" t="s">
        <v>47</v>
      </c>
      <c r="AB4023" s="103" t="s">
        <v>140</v>
      </c>
      <c r="AC4023" s="104" t="s">
        <v>141</v>
      </c>
    </row>
    <row r="4024" spans="1:29" ht="25.5" customHeight="1" x14ac:dyDescent="0.35">
      <c r="A4024" s="188"/>
      <c r="B4024" s="190"/>
      <c r="C4024" s="99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0"/>
      <c r="E4024" s="78" t="str">
        <f>IF(C4024="","",IFERROR(VLOOKUP(C4024,parametros!$A$11:$E$15,5,0),""))</f>
        <v/>
      </c>
      <c r="F4024" s="79" t="str">
        <f t="shared" si="312"/>
        <v/>
      </c>
      <c r="G4024" s="101"/>
      <c r="H4024" s="91">
        <f t="shared" si="313"/>
        <v>0</v>
      </c>
      <c r="I4024" s="91" t="str">
        <f t="shared" si="314"/>
        <v/>
      </c>
      <c r="J4024" s="91" t="str">
        <f t="shared" si="315"/>
        <v/>
      </c>
      <c r="K4024" s="92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2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58"/>
      <c r="U4024" s="217" t="str">
        <f t="shared" si="316"/>
        <v/>
      </c>
      <c r="V4024" s="215" t="s">
        <v>47</v>
      </c>
      <c r="W4024" s="102" t="s">
        <v>136</v>
      </c>
      <c r="X4024" s="102" t="s">
        <v>137</v>
      </c>
      <c r="Y4024" s="103" t="s">
        <v>138</v>
      </c>
      <c r="Z4024" s="103" t="s">
        <v>139</v>
      </c>
      <c r="AA4024" s="103" t="s">
        <v>47</v>
      </c>
      <c r="AB4024" s="103" t="s">
        <v>140</v>
      </c>
      <c r="AC4024" s="104" t="s">
        <v>141</v>
      </c>
    </row>
    <row r="4025" spans="1:29" ht="25.5" customHeight="1" x14ac:dyDescent="0.35">
      <c r="A4025" s="188"/>
      <c r="B4025" s="190"/>
      <c r="C4025" s="99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0"/>
      <c r="E4025" s="78" t="str">
        <f>IF(C4025="","",IFERROR(VLOOKUP(C4025,parametros!$A$11:$E$15,5,0),""))</f>
        <v/>
      </c>
      <c r="F4025" s="79" t="str">
        <f t="shared" si="312"/>
        <v/>
      </c>
      <c r="G4025" s="101"/>
      <c r="H4025" s="91">
        <f t="shared" si="313"/>
        <v>0</v>
      </c>
      <c r="I4025" s="91" t="str">
        <f t="shared" si="314"/>
        <v/>
      </c>
      <c r="J4025" s="91" t="str">
        <f t="shared" si="315"/>
        <v/>
      </c>
      <c r="K4025" s="92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2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58"/>
      <c r="U4025" s="217" t="str">
        <f t="shared" si="316"/>
        <v/>
      </c>
      <c r="V4025" s="215" t="s">
        <v>47</v>
      </c>
      <c r="W4025" s="102" t="s">
        <v>136</v>
      </c>
      <c r="X4025" s="102" t="s">
        <v>137</v>
      </c>
      <c r="Y4025" s="103" t="s">
        <v>138</v>
      </c>
      <c r="Z4025" s="103" t="s">
        <v>139</v>
      </c>
      <c r="AA4025" s="103" t="s">
        <v>47</v>
      </c>
      <c r="AB4025" s="103" t="s">
        <v>140</v>
      </c>
      <c r="AC4025" s="104" t="s">
        <v>141</v>
      </c>
    </row>
    <row r="4026" spans="1:29" ht="25.5" customHeight="1" x14ac:dyDescent="0.35">
      <c r="A4026" s="188"/>
      <c r="B4026" s="190"/>
      <c r="C4026" s="99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0"/>
      <c r="E4026" s="78" t="str">
        <f>IF(C4026="","",IFERROR(VLOOKUP(C4026,parametros!$A$11:$E$15,5,0),""))</f>
        <v/>
      </c>
      <c r="F4026" s="79" t="str">
        <f t="shared" si="312"/>
        <v/>
      </c>
      <c r="G4026" s="101"/>
      <c r="H4026" s="91">
        <f t="shared" si="313"/>
        <v>0</v>
      </c>
      <c r="I4026" s="91" t="str">
        <f t="shared" si="314"/>
        <v/>
      </c>
      <c r="J4026" s="91" t="str">
        <f t="shared" si="315"/>
        <v/>
      </c>
      <c r="K4026" s="92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2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58"/>
      <c r="U4026" s="217" t="str">
        <f t="shared" si="316"/>
        <v/>
      </c>
      <c r="V4026" s="215" t="s">
        <v>47</v>
      </c>
      <c r="W4026" s="102" t="s">
        <v>136</v>
      </c>
      <c r="X4026" s="102" t="s">
        <v>137</v>
      </c>
      <c r="Y4026" s="103" t="s">
        <v>138</v>
      </c>
      <c r="Z4026" s="103" t="s">
        <v>139</v>
      </c>
      <c r="AA4026" s="103" t="s">
        <v>47</v>
      </c>
      <c r="AB4026" s="103" t="s">
        <v>140</v>
      </c>
      <c r="AC4026" s="104" t="s">
        <v>141</v>
      </c>
    </row>
    <row r="4027" spans="1:29" ht="25.5" customHeight="1" x14ac:dyDescent="0.35">
      <c r="A4027" s="188"/>
      <c r="B4027" s="190"/>
      <c r="C4027" s="99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0"/>
      <c r="E4027" s="78" t="str">
        <f>IF(C4027="","",IFERROR(VLOOKUP(C4027,parametros!$A$11:$E$15,5,0),""))</f>
        <v/>
      </c>
      <c r="F4027" s="79" t="str">
        <f t="shared" si="312"/>
        <v/>
      </c>
      <c r="G4027" s="101"/>
      <c r="H4027" s="91">
        <f t="shared" si="313"/>
        <v>0</v>
      </c>
      <c r="I4027" s="91" t="str">
        <f t="shared" si="314"/>
        <v/>
      </c>
      <c r="J4027" s="91" t="str">
        <f t="shared" si="315"/>
        <v/>
      </c>
      <c r="K4027" s="92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2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58"/>
      <c r="U4027" s="217" t="str">
        <f t="shared" si="316"/>
        <v/>
      </c>
      <c r="V4027" s="215" t="s">
        <v>47</v>
      </c>
      <c r="W4027" s="102" t="s">
        <v>136</v>
      </c>
      <c r="X4027" s="102" t="s">
        <v>137</v>
      </c>
      <c r="Y4027" s="103" t="s">
        <v>138</v>
      </c>
      <c r="Z4027" s="103" t="s">
        <v>139</v>
      </c>
      <c r="AA4027" s="103" t="s">
        <v>47</v>
      </c>
      <c r="AB4027" s="103" t="s">
        <v>140</v>
      </c>
      <c r="AC4027" s="104" t="s">
        <v>141</v>
      </c>
    </row>
    <row r="4028" spans="1:29" ht="25.5" customHeight="1" x14ac:dyDescent="0.35">
      <c r="A4028" s="188"/>
      <c r="B4028" s="190"/>
      <c r="C4028" s="99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0"/>
      <c r="E4028" s="78" t="str">
        <f>IF(C4028="","",IFERROR(VLOOKUP(C4028,parametros!$A$11:$E$15,5,0),""))</f>
        <v/>
      </c>
      <c r="F4028" s="79" t="str">
        <f t="shared" si="312"/>
        <v/>
      </c>
      <c r="G4028" s="101"/>
      <c r="H4028" s="91">
        <f t="shared" si="313"/>
        <v>0</v>
      </c>
      <c r="I4028" s="91" t="str">
        <f t="shared" si="314"/>
        <v/>
      </c>
      <c r="J4028" s="91" t="str">
        <f t="shared" si="315"/>
        <v/>
      </c>
      <c r="K4028" s="92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2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58"/>
      <c r="U4028" s="217" t="str">
        <f t="shared" si="316"/>
        <v/>
      </c>
      <c r="V4028" s="215" t="s">
        <v>47</v>
      </c>
      <c r="W4028" s="102" t="s">
        <v>136</v>
      </c>
      <c r="X4028" s="102" t="s">
        <v>137</v>
      </c>
      <c r="Y4028" s="103" t="s">
        <v>138</v>
      </c>
      <c r="Z4028" s="103" t="s">
        <v>139</v>
      </c>
      <c r="AA4028" s="103" t="s">
        <v>47</v>
      </c>
      <c r="AB4028" s="103" t="s">
        <v>140</v>
      </c>
      <c r="AC4028" s="104" t="s">
        <v>141</v>
      </c>
    </row>
    <row r="4029" spans="1:29" ht="25.5" customHeight="1" x14ac:dyDescent="0.35">
      <c r="A4029" s="188"/>
      <c r="B4029" s="190"/>
      <c r="C4029" s="99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0"/>
      <c r="E4029" s="78" t="str">
        <f>IF(C4029="","",IFERROR(VLOOKUP(C4029,parametros!$A$11:$E$15,5,0),""))</f>
        <v/>
      </c>
      <c r="F4029" s="79" t="str">
        <f t="shared" si="312"/>
        <v/>
      </c>
      <c r="G4029" s="101"/>
      <c r="H4029" s="91">
        <f t="shared" si="313"/>
        <v>0</v>
      </c>
      <c r="I4029" s="91" t="str">
        <f t="shared" si="314"/>
        <v/>
      </c>
      <c r="J4029" s="91" t="str">
        <f t="shared" si="315"/>
        <v/>
      </c>
      <c r="K4029" s="92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2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58"/>
      <c r="U4029" s="217" t="str">
        <f t="shared" si="316"/>
        <v/>
      </c>
      <c r="V4029" s="215" t="s">
        <v>47</v>
      </c>
      <c r="W4029" s="102" t="s">
        <v>136</v>
      </c>
      <c r="X4029" s="102" t="s">
        <v>137</v>
      </c>
      <c r="Y4029" s="103" t="s">
        <v>138</v>
      </c>
      <c r="Z4029" s="103" t="s">
        <v>139</v>
      </c>
      <c r="AA4029" s="103" t="s">
        <v>47</v>
      </c>
      <c r="AB4029" s="103" t="s">
        <v>140</v>
      </c>
      <c r="AC4029" s="104" t="s">
        <v>141</v>
      </c>
    </row>
    <row r="4030" spans="1:29" ht="25.5" customHeight="1" x14ac:dyDescent="0.35">
      <c r="A4030" s="188"/>
      <c r="B4030" s="190"/>
      <c r="C4030" s="99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0"/>
      <c r="E4030" s="78" t="str">
        <f>IF(C4030="","",IFERROR(VLOOKUP(C4030,parametros!$A$11:$E$15,5,0),""))</f>
        <v/>
      </c>
      <c r="F4030" s="79" t="str">
        <f t="shared" si="312"/>
        <v/>
      </c>
      <c r="G4030" s="101"/>
      <c r="H4030" s="91">
        <f t="shared" si="313"/>
        <v>0</v>
      </c>
      <c r="I4030" s="91" t="str">
        <f t="shared" si="314"/>
        <v/>
      </c>
      <c r="J4030" s="91" t="str">
        <f t="shared" si="315"/>
        <v/>
      </c>
      <c r="K4030" s="92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2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58"/>
      <c r="U4030" s="217" t="str">
        <f t="shared" si="316"/>
        <v/>
      </c>
      <c r="V4030" s="215" t="s">
        <v>47</v>
      </c>
      <c r="W4030" s="102" t="s">
        <v>136</v>
      </c>
      <c r="X4030" s="102" t="s">
        <v>137</v>
      </c>
      <c r="Y4030" s="103" t="s">
        <v>138</v>
      </c>
      <c r="Z4030" s="103" t="s">
        <v>139</v>
      </c>
      <c r="AA4030" s="103" t="s">
        <v>47</v>
      </c>
      <c r="AB4030" s="103" t="s">
        <v>140</v>
      </c>
      <c r="AC4030" s="104" t="s">
        <v>141</v>
      </c>
    </row>
    <row r="4031" spans="1:29" ht="25.5" customHeight="1" x14ac:dyDescent="0.35">
      <c r="A4031" s="188"/>
      <c r="B4031" s="190"/>
      <c r="C4031" s="99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0"/>
      <c r="E4031" s="78" t="str">
        <f>IF(C4031="","",IFERROR(VLOOKUP(C4031,parametros!$A$11:$E$15,5,0),""))</f>
        <v/>
      </c>
      <c r="F4031" s="79" t="str">
        <f t="shared" si="312"/>
        <v/>
      </c>
      <c r="G4031" s="101"/>
      <c r="H4031" s="91">
        <f t="shared" si="313"/>
        <v>0</v>
      </c>
      <c r="I4031" s="91" t="str">
        <f t="shared" si="314"/>
        <v/>
      </c>
      <c r="J4031" s="91" t="str">
        <f t="shared" si="315"/>
        <v/>
      </c>
      <c r="K4031" s="92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2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58"/>
      <c r="U4031" s="217" t="str">
        <f t="shared" si="316"/>
        <v/>
      </c>
      <c r="V4031" s="215" t="s">
        <v>47</v>
      </c>
      <c r="W4031" s="102" t="s">
        <v>136</v>
      </c>
      <c r="X4031" s="102" t="s">
        <v>137</v>
      </c>
      <c r="Y4031" s="103" t="s">
        <v>138</v>
      </c>
      <c r="Z4031" s="103" t="s">
        <v>139</v>
      </c>
      <c r="AA4031" s="103" t="s">
        <v>47</v>
      </c>
      <c r="AB4031" s="103" t="s">
        <v>140</v>
      </c>
      <c r="AC4031" s="104" t="s">
        <v>141</v>
      </c>
    </row>
    <row r="4032" spans="1:29" ht="25.5" customHeight="1" x14ac:dyDescent="0.35">
      <c r="A4032" s="188"/>
      <c r="B4032" s="190"/>
      <c r="C4032" s="99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0"/>
      <c r="E4032" s="78" t="str">
        <f>IF(C4032="","",IFERROR(VLOOKUP(C4032,parametros!$A$11:$E$15,5,0),""))</f>
        <v/>
      </c>
      <c r="F4032" s="79" t="str">
        <f t="shared" si="312"/>
        <v/>
      </c>
      <c r="G4032" s="101"/>
      <c r="H4032" s="91">
        <f t="shared" si="313"/>
        <v>0</v>
      </c>
      <c r="I4032" s="91" t="str">
        <f t="shared" si="314"/>
        <v/>
      </c>
      <c r="J4032" s="91" t="str">
        <f t="shared" si="315"/>
        <v/>
      </c>
      <c r="K4032" s="92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2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58"/>
      <c r="U4032" s="217" t="str">
        <f t="shared" si="316"/>
        <v/>
      </c>
      <c r="V4032" s="215" t="s">
        <v>47</v>
      </c>
      <c r="W4032" s="102" t="s">
        <v>136</v>
      </c>
      <c r="X4032" s="102" t="s">
        <v>137</v>
      </c>
      <c r="Y4032" s="103" t="s">
        <v>138</v>
      </c>
      <c r="Z4032" s="103" t="s">
        <v>139</v>
      </c>
      <c r="AA4032" s="103" t="s">
        <v>47</v>
      </c>
      <c r="AB4032" s="103" t="s">
        <v>140</v>
      </c>
      <c r="AC4032" s="104" t="s">
        <v>141</v>
      </c>
    </row>
    <row r="4033" spans="1:29" ht="25.5" customHeight="1" x14ac:dyDescent="0.35">
      <c r="A4033" s="188"/>
      <c r="B4033" s="190"/>
      <c r="C4033" s="99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0"/>
      <c r="E4033" s="78" t="str">
        <f>IF(C4033="","",IFERROR(VLOOKUP(C4033,parametros!$A$11:$E$15,5,0),""))</f>
        <v/>
      </c>
      <c r="F4033" s="79" t="str">
        <f t="shared" si="312"/>
        <v/>
      </c>
      <c r="G4033" s="101"/>
      <c r="H4033" s="91">
        <f t="shared" si="313"/>
        <v>0</v>
      </c>
      <c r="I4033" s="91" t="str">
        <f t="shared" si="314"/>
        <v/>
      </c>
      <c r="J4033" s="91" t="str">
        <f t="shared" si="315"/>
        <v/>
      </c>
      <c r="K4033" s="92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2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58"/>
      <c r="U4033" s="217" t="str">
        <f t="shared" si="316"/>
        <v/>
      </c>
      <c r="V4033" s="215" t="s">
        <v>47</v>
      </c>
      <c r="W4033" s="102" t="s">
        <v>136</v>
      </c>
      <c r="X4033" s="102" t="s">
        <v>137</v>
      </c>
      <c r="Y4033" s="103" t="s">
        <v>138</v>
      </c>
      <c r="Z4033" s="103" t="s">
        <v>139</v>
      </c>
      <c r="AA4033" s="103" t="s">
        <v>47</v>
      </c>
      <c r="AB4033" s="103" t="s">
        <v>140</v>
      </c>
      <c r="AC4033" s="104" t="s">
        <v>141</v>
      </c>
    </row>
    <row r="4034" spans="1:29" ht="25.5" customHeight="1" x14ac:dyDescent="0.35">
      <c r="A4034" s="188"/>
      <c r="B4034" s="190"/>
      <c r="C4034" s="99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0"/>
      <c r="E4034" s="78" t="str">
        <f>IF(C4034="","",IFERROR(VLOOKUP(C4034,parametros!$A$11:$E$15,5,0),""))</f>
        <v/>
      </c>
      <c r="F4034" s="79" t="str">
        <f t="shared" ref="F4034:F4097" si="317">IF(OR(D4034="",E4034=""),"",ROUND(D4034*E4034,2))</f>
        <v/>
      </c>
      <c r="G4034" s="101"/>
      <c r="H4034" s="91">
        <f t="shared" ref="H4034:H4097" si="318">IF(G4034="Sim",IF(OR(F4034="",D4034="",L4034=""),"",IF(L4034="Sim",ROUND(F4034-D4034,2),0)),0)</f>
        <v>0</v>
      </c>
      <c r="I4034" s="91" t="str">
        <f t="shared" ref="I4034:I4097" si="319">IF(G4034="Sim",0,IF(OR(F4034="",L4034=""),"",F4034))</f>
        <v/>
      </c>
      <c r="J4034" s="91" t="str">
        <f t="shared" ref="J4034:J4097" si="320">IF(G4034="Sim",0,IF(OR(F4034="",D4034="",L4034=""),"",IF(L4034="Sim",ROUND(F4034-D4034,2),0)))</f>
        <v/>
      </c>
      <c r="K4034" s="92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2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58"/>
      <c r="U4034" s="217" t="str">
        <f t="shared" ref="U4034:U4097" si="321">IF(OR($D4034="",$H4034=""),"",ROUND($D4034+$H4034,2))</f>
        <v/>
      </c>
      <c r="V4034" s="215" t="s">
        <v>47</v>
      </c>
      <c r="W4034" s="102" t="s">
        <v>136</v>
      </c>
      <c r="X4034" s="102" t="s">
        <v>137</v>
      </c>
      <c r="Y4034" s="103" t="s">
        <v>138</v>
      </c>
      <c r="Z4034" s="103" t="s">
        <v>139</v>
      </c>
      <c r="AA4034" s="103" t="s">
        <v>47</v>
      </c>
      <c r="AB4034" s="103" t="s">
        <v>140</v>
      </c>
      <c r="AC4034" s="104" t="s">
        <v>141</v>
      </c>
    </row>
    <row r="4035" spans="1:29" ht="25.5" customHeight="1" x14ac:dyDescent="0.35">
      <c r="A4035" s="188"/>
      <c r="B4035" s="190"/>
      <c r="C4035" s="99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0"/>
      <c r="E4035" s="78" t="str">
        <f>IF(C4035="","",IFERROR(VLOOKUP(C4035,parametros!$A$11:$E$15,5,0),""))</f>
        <v/>
      </c>
      <c r="F4035" s="79" t="str">
        <f t="shared" si="317"/>
        <v/>
      </c>
      <c r="G4035" s="101"/>
      <c r="H4035" s="91">
        <f t="shared" si="318"/>
        <v>0</v>
      </c>
      <c r="I4035" s="91" t="str">
        <f t="shared" si="319"/>
        <v/>
      </c>
      <c r="J4035" s="91" t="str">
        <f t="shared" si="320"/>
        <v/>
      </c>
      <c r="K4035" s="92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2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58"/>
      <c r="U4035" s="217" t="str">
        <f t="shared" si="321"/>
        <v/>
      </c>
      <c r="V4035" s="215" t="s">
        <v>47</v>
      </c>
      <c r="W4035" s="102" t="s">
        <v>136</v>
      </c>
      <c r="X4035" s="102" t="s">
        <v>137</v>
      </c>
      <c r="Y4035" s="103" t="s">
        <v>138</v>
      </c>
      <c r="Z4035" s="103" t="s">
        <v>139</v>
      </c>
      <c r="AA4035" s="103" t="s">
        <v>47</v>
      </c>
      <c r="AB4035" s="103" t="s">
        <v>140</v>
      </c>
      <c r="AC4035" s="104" t="s">
        <v>141</v>
      </c>
    </row>
    <row r="4036" spans="1:29" ht="25.5" customHeight="1" x14ac:dyDescent="0.35">
      <c r="A4036" s="188"/>
      <c r="B4036" s="190"/>
      <c r="C4036" s="99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0"/>
      <c r="E4036" s="78" t="str">
        <f>IF(C4036="","",IFERROR(VLOOKUP(C4036,parametros!$A$11:$E$15,5,0),""))</f>
        <v/>
      </c>
      <c r="F4036" s="79" t="str">
        <f t="shared" si="317"/>
        <v/>
      </c>
      <c r="G4036" s="101"/>
      <c r="H4036" s="91">
        <f t="shared" si="318"/>
        <v>0</v>
      </c>
      <c r="I4036" s="91" t="str">
        <f t="shared" si="319"/>
        <v/>
      </c>
      <c r="J4036" s="91" t="str">
        <f t="shared" si="320"/>
        <v/>
      </c>
      <c r="K4036" s="92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2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58"/>
      <c r="U4036" s="217" t="str">
        <f t="shared" si="321"/>
        <v/>
      </c>
      <c r="V4036" s="215" t="s">
        <v>47</v>
      </c>
      <c r="W4036" s="102" t="s">
        <v>136</v>
      </c>
      <c r="X4036" s="102" t="s">
        <v>137</v>
      </c>
      <c r="Y4036" s="103" t="s">
        <v>138</v>
      </c>
      <c r="Z4036" s="103" t="s">
        <v>139</v>
      </c>
      <c r="AA4036" s="103" t="s">
        <v>47</v>
      </c>
      <c r="AB4036" s="103" t="s">
        <v>140</v>
      </c>
      <c r="AC4036" s="104" t="s">
        <v>141</v>
      </c>
    </row>
    <row r="4037" spans="1:29" ht="25.5" customHeight="1" x14ac:dyDescent="0.35">
      <c r="A4037" s="188"/>
      <c r="B4037" s="190"/>
      <c r="C4037" s="99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0"/>
      <c r="E4037" s="78" t="str">
        <f>IF(C4037="","",IFERROR(VLOOKUP(C4037,parametros!$A$11:$E$15,5,0),""))</f>
        <v/>
      </c>
      <c r="F4037" s="79" t="str">
        <f t="shared" si="317"/>
        <v/>
      </c>
      <c r="G4037" s="101"/>
      <c r="H4037" s="91">
        <f t="shared" si="318"/>
        <v>0</v>
      </c>
      <c r="I4037" s="91" t="str">
        <f t="shared" si="319"/>
        <v/>
      </c>
      <c r="J4037" s="91" t="str">
        <f t="shared" si="320"/>
        <v/>
      </c>
      <c r="K4037" s="92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2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58"/>
      <c r="U4037" s="217" t="str">
        <f t="shared" si="321"/>
        <v/>
      </c>
      <c r="V4037" s="215" t="s">
        <v>47</v>
      </c>
      <c r="W4037" s="102" t="s">
        <v>136</v>
      </c>
      <c r="X4037" s="102" t="s">
        <v>137</v>
      </c>
      <c r="Y4037" s="103" t="s">
        <v>138</v>
      </c>
      <c r="Z4037" s="103" t="s">
        <v>139</v>
      </c>
      <c r="AA4037" s="103" t="s">
        <v>47</v>
      </c>
      <c r="AB4037" s="103" t="s">
        <v>140</v>
      </c>
      <c r="AC4037" s="104" t="s">
        <v>141</v>
      </c>
    </row>
    <row r="4038" spans="1:29" ht="25.5" customHeight="1" x14ac:dyDescent="0.35">
      <c r="A4038" s="188"/>
      <c r="B4038" s="190"/>
      <c r="C4038" s="99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0"/>
      <c r="E4038" s="78" t="str">
        <f>IF(C4038="","",IFERROR(VLOOKUP(C4038,parametros!$A$11:$E$15,5,0),""))</f>
        <v/>
      </c>
      <c r="F4038" s="79" t="str">
        <f t="shared" si="317"/>
        <v/>
      </c>
      <c r="G4038" s="101"/>
      <c r="H4038" s="91">
        <f t="shared" si="318"/>
        <v>0</v>
      </c>
      <c r="I4038" s="91" t="str">
        <f t="shared" si="319"/>
        <v/>
      </c>
      <c r="J4038" s="91" t="str">
        <f t="shared" si="320"/>
        <v/>
      </c>
      <c r="K4038" s="92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2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58"/>
      <c r="U4038" s="217" t="str">
        <f t="shared" si="321"/>
        <v/>
      </c>
      <c r="V4038" s="215" t="s">
        <v>47</v>
      </c>
      <c r="W4038" s="102" t="s">
        <v>136</v>
      </c>
      <c r="X4038" s="102" t="s">
        <v>137</v>
      </c>
      <c r="Y4038" s="103" t="s">
        <v>138</v>
      </c>
      <c r="Z4038" s="103" t="s">
        <v>139</v>
      </c>
      <c r="AA4038" s="103" t="s">
        <v>47</v>
      </c>
      <c r="AB4038" s="103" t="s">
        <v>140</v>
      </c>
      <c r="AC4038" s="104" t="s">
        <v>141</v>
      </c>
    </row>
    <row r="4039" spans="1:29" ht="25.5" customHeight="1" x14ac:dyDescent="0.35">
      <c r="A4039" s="188"/>
      <c r="B4039" s="190"/>
      <c r="C4039" s="99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0"/>
      <c r="E4039" s="78" t="str">
        <f>IF(C4039="","",IFERROR(VLOOKUP(C4039,parametros!$A$11:$E$15,5,0),""))</f>
        <v/>
      </c>
      <c r="F4039" s="79" t="str">
        <f t="shared" si="317"/>
        <v/>
      </c>
      <c r="G4039" s="101"/>
      <c r="H4039" s="91">
        <f t="shared" si="318"/>
        <v>0</v>
      </c>
      <c r="I4039" s="91" t="str">
        <f t="shared" si="319"/>
        <v/>
      </c>
      <c r="J4039" s="91" t="str">
        <f t="shared" si="320"/>
        <v/>
      </c>
      <c r="K4039" s="92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2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58"/>
      <c r="U4039" s="217" t="str">
        <f t="shared" si="321"/>
        <v/>
      </c>
      <c r="V4039" s="215" t="s">
        <v>47</v>
      </c>
      <c r="W4039" s="102" t="s">
        <v>136</v>
      </c>
      <c r="X4039" s="102" t="s">
        <v>137</v>
      </c>
      <c r="Y4039" s="103" t="s">
        <v>138</v>
      </c>
      <c r="Z4039" s="103" t="s">
        <v>139</v>
      </c>
      <c r="AA4039" s="103" t="s">
        <v>47</v>
      </c>
      <c r="AB4039" s="103" t="s">
        <v>140</v>
      </c>
      <c r="AC4039" s="104" t="s">
        <v>141</v>
      </c>
    </row>
    <row r="4040" spans="1:29" ht="25.5" customHeight="1" x14ac:dyDescent="0.35">
      <c r="A4040" s="188"/>
      <c r="B4040" s="190"/>
      <c r="C4040" s="99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0"/>
      <c r="E4040" s="78" t="str">
        <f>IF(C4040="","",IFERROR(VLOOKUP(C4040,parametros!$A$11:$E$15,5,0),""))</f>
        <v/>
      </c>
      <c r="F4040" s="79" t="str">
        <f t="shared" si="317"/>
        <v/>
      </c>
      <c r="G4040" s="101"/>
      <c r="H4040" s="91">
        <f t="shared" si="318"/>
        <v>0</v>
      </c>
      <c r="I4040" s="91" t="str">
        <f t="shared" si="319"/>
        <v/>
      </c>
      <c r="J4040" s="91" t="str">
        <f t="shared" si="320"/>
        <v/>
      </c>
      <c r="K4040" s="92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2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58"/>
      <c r="U4040" s="217" t="str">
        <f t="shared" si="321"/>
        <v/>
      </c>
      <c r="V4040" s="215" t="s">
        <v>47</v>
      </c>
      <c r="W4040" s="102" t="s">
        <v>136</v>
      </c>
      <c r="X4040" s="102" t="s">
        <v>137</v>
      </c>
      <c r="Y4040" s="103" t="s">
        <v>138</v>
      </c>
      <c r="Z4040" s="103" t="s">
        <v>139</v>
      </c>
      <c r="AA4040" s="103" t="s">
        <v>47</v>
      </c>
      <c r="AB4040" s="103" t="s">
        <v>140</v>
      </c>
      <c r="AC4040" s="104" t="s">
        <v>141</v>
      </c>
    </row>
    <row r="4041" spans="1:29" ht="25.5" customHeight="1" x14ac:dyDescent="0.35">
      <c r="A4041" s="188"/>
      <c r="B4041" s="190"/>
      <c r="C4041" s="99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0"/>
      <c r="E4041" s="78" t="str">
        <f>IF(C4041="","",IFERROR(VLOOKUP(C4041,parametros!$A$11:$E$15,5,0),""))</f>
        <v/>
      </c>
      <c r="F4041" s="79" t="str">
        <f t="shared" si="317"/>
        <v/>
      </c>
      <c r="G4041" s="101"/>
      <c r="H4041" s="91">
        <f t="shared" si="318"/>
        <v>0</v>
      </c>
      <c r="I4041" s="91" t="str">
        <f t="shared" si="319"/>
        <v/>
      </c>
      <c r="J4041" s="91" t="str">
        <f t="shared" si="320"/>
        <v/>
      </c>
      <c r="K4041" s="92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2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58"/>
      <c r="U4041" s="217" t="str">
        <f t="shared" si="321"/>
        <v/>
      </c>
      <c r="V4041" s="215" t="s">
        <v>47</v>
      </c>
      <c r="W4041" s="102" t="s">
        <v>136</v>
      </c>
      <c r="X4041" s="102" t="s">
        <v>137</v>
      </c>
      <c r="Y4041" s="103" t="s">
        <v>138</v>
      </c>
      <c r="Z4041" s="103" t="s">
        <v>139</v>
      </c>
      <c r="AA4041" s="103" t="s">
        <v>47</v>
      </c>
      <c r="AB4041" s="103" t="s">
        <v>140</v>
      </c>
      <c r="AC4041" s="104" t="s">
        <v>141</v>
      </c>
    </row>
    <row r="4042" spans="1:29" ht="25.5" customHeight="1" x14ac:dyDescent="0.35">
      <c r="A4042" s="188"/>
      <c r="B4042" s="190"/>
      <c r="C4042" s="99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0"/>
      <c r="E4042" s="78" t="str">
        <f>IF(C4042="","",IFERROR(VLOOKUP(C4042,parametros!$A$11:$E$15,5,0),""))</f>
        <v/>
      </c>
      <c r="F4042" s="79" t="str">
        <f t="shared" si="317"/>
        <v/>
      </c>
      <c r="G4042" s="101"/>
      <c r="H4042" s="91">
        <f t="shared" si="318"/>
        <v>0</v>
      </c>
      <c r="I4042" s="91" t="str">
        <f t="shared" si="319"/>
        <v/>
      </c>
      <c r="J4042" s="91" t="str">
        <f t="shared" si="320"/>
        <v/>
      </c>
      <c r="K4042" s="92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2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58"/>
      <c r="U4042" s="217" t="str">
        <f t="shared" si="321"/>
        <v/>
      </c>
      <c r="V4042" s="215" t="s">
        <v>47</v>
      </c>
      <c r="W4042" s="102" t="s">
        <v>136</v>
      </c>
      <c r="X4042" s="102" t="s">
        <v>137</v>
      </c>
      <c r="Y4042" s="103" t="s">
        <v>138</v>
      </c>
      <c r="Z4042" s="103" t="s">
        <v>139</v>
      </c>
      <c r="AA4042" s="103" t="s">
        <v>47</v>
      </c>
      <c r="AB4042" s="103" t="s">
        <v>140</v>
      </c>
      <c r="AC4042" s="104" t="s">
        <v>141</v>
      </c>
    </row>
    <row r="4043" spans="1:29" ht="25.5" customHeight="1" x14ac:dyDescent="0.35">
      <c r="A4043" s="188"/>
      <c r="B4043" s="190"/>
      <c r="C4043" s="99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0"/>
      <c r="E4043" s="78" t="str">
        <f>IF(C4043="","",IFERROR(VLOOKUP(C4043,parametros!$A$11:$E$15,5,0),""))</f>
        <v/>
      </c>
      <c r="F4043" s="79" t="str">
        <f t="shared" si="317"/>
        <v/>
      </c>
      <c r="G4043" s="101"/>
      <c r="H4043" s="91">
        <f t="shared" si="318"/>
        <v>0</v>
      </c>
      <c r="I4043" s="91" t="str">
        <f t="shared" si="319"/>
        <v/>
      </c>
      <c r="J4043" s="91" t="str">
        <f t="shared" si="320"/>
        <v/>
      </c>
      <c r="K4043" s="92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2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58"/>
      <c r="U4043" s="217" t="str">
        <f t="shared" si="321"/>
        <v/>
      </c>
      <c r="V4043" s="215" t="s">
        <v>47</v>
      </c>
      <c r="W4043" s="102" t="s">
        <v>136</v>
      </c>
      <c r="X4043" s="102" t="s">
        <v>137</v>
      </c>
      <c r="Y4043" s="103" t="s">
        <v>138</v>
      </c>
      <c r="Z4043" s="103" t="s">
        <v>139</v>
      </c>
      <c r="AA4043" s="103" t="s">
        <v>47</v>
      </c>
      <c r="AB4043" s="103" t="s">
        <v>140</v>
      </c>
      <c r="AC4043" s="104" t="s">
        <v>141</v>
      </c>
    </row>
    <row r="4044" spans="1:29" ht="25.5" customHeight="1" x14ac:dyDescent="0.35">
      <c r="A4044" s="188"/>
      <c r="B4044" s="190"/>
      <c r="C4044" s="99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0"/>
      <c r="E4044" s="78" t="str">
        <f>IF(C4044="","",IFERROR(VLOOKUP(C4044,parametros!$A$11:$E$15,5,0),""))</f>
        <v/>
      </c>
      <c r="F4044" s="79" t="str">
        <f t="shared" si="317"/>
        <v/>
      </c>
      <c r="G4044" s="101"/>
      <c r="H4044" s="91">
        <f t="shared" si="318"/>
        <v>0</v>
      </c>
      <c r="I4044" s="91" t="str">
        <f t="shared" si="319"/>
        <v/>
      </c>
      <c r="J4044" s="91" t="str">
        <f t="shared" si="320"/>
        <v/>
      </c>
      <c r="K4044" s="92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2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58"/>
      <c r="U4044" s="217" t="str">
        <f t="shared" si="321"/>
        <v/>
      </c>
      <c r="V4044" s="215" t="s">
        <v>47</v>
      </c>
      <c r="W4044" s="102" t="s">
        <v>136</v>
      </c>
      <c r="X4044" s="102" t="s">
        <v>137</v>
      </c>
      <c r="Y4044" s="103" t="s">
        <v>138</v>
      </c>
      <c r="Z4044" s="103" t="s">
        <v>139</v>
      </c>
      <c r="AA4044" s="103" t="s">
        <v>47</v>
      </c>
      <c r="AB4044" s="103" t="s">
        <v>140</v>
      </c>
      <c r="AC4044" s="104" t="s">
        <v>141</v>
      </c>
    </row>
    <row r="4045" spans="1:29" ht="25.5" customHeight="1" x14ac:dyDescent="0.35">
      <c r="A4045" s="188"/>
      <c r="B4045" s="190"/>
      <c r="C4045" s="99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0"/>
      <c r="E4045" s="78" t="str">
        <f>IF(C4045="","",IFERROR(VLOOKUP(C4045,parametros!$A$11:$E$15,5,0),""))</f>
        <v/>
      </c>
      <c r="F4045" s="79" t="str">
        <f t="shared" si="317"/>
        <v/>
      </c>
      <c r="G4045" s="101"/>
      <c r="H4045" s="91">
        <f t="shared" si="318"/>
        <v>0</v>
      </c>
      <c r="I4045" s="91" t="str">
        <f t="shared" si="319"/>
        <v/>
      </c>
      <c r="J4045" s="91" t="str">
        <f t="shared" si="320"/>
        <v/>
      </c>
      <c r="K4045" s="92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2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58"/>
      <c r="U4045" s="217" t="str">
        <f t="shared" si="321"/>
        <v/>
      </c>
      <c r="V4045" s="215" t="s">
        <v>47</v>
      </c>
      <c r="W4045" s="102" t="s">
        <v>136</v>
      </c>
      <c r="X4045" s="102" t="s">
        <v>137</v>
      </c>
      <c r="Y4045" s="103" t="s">
        <v>138</v>
      </c>
      <c r="Z4045" s="103" t="s">
        <v>139</v>
      </c>
      <c r="AA4045" s="103" t="s">
        <v>47</v>
      </c>
      <c r="AB4045" s="103" t="s">
        <v>140</v>
      </c>
      <c r="AC4045" s="104" t="s">
        <v>141</v>
      </c>
    </row>
    <row r="4046" spans="1:29" ht="25.5" customHeight="1" x14ac:dyDescent="0.35">
      <c r="A4046" s="188"/>
      <c r="B4046" s="190"/>
      <c r="C4046" s="99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0"/>
      <c r="E4046" s="78" t="str">
        <f>IF(C4046="","",IFERROR(VLOOKUP(C4046,parametros!$A$11:$E$15,5,0),""))</f>
        <v/>
      </c>
      <c r="F4046" s="79" t="str">
        <f t="shared" si="317"/>
        <v/>
      </c>
      <c r="G4046" s="101"/>
      <c r="H4046" s="91">
        <f t="shared" si="318"/>
        <v>0</v>
      </c>
      <c r="I4046" s="91" t="str">
        <f t="shared" si="319"/>
        <v/>
      </c>
      <c r="J4046" s="91" t="str">
        <f t="shared" si="320"/>
        <v/>
      </c>
      <c r="K4046" s="92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2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58"/>
      <c r="U4046" s="217" t="str">
        <f t="shared" si="321"/>
        <v/>
      </c>
      <c r="V4046" s="215" t="s">
        <v>47</v>
      </c>
      <c r="W4046" s="102" t="s">
        <v>136</v>
      </c>
      <c r="X4046" s="102" t="s">
        <v>137</v>
      </c>
      <c r="Y4046" s="103" t="s">
        <v>138</v>
      </c>
      <c r="Z4046" s="103" t="s">
        <v>139</v>
      </c>
      <c r="AA4046" s="103" t="s">
        <v>47</v>
      </c>
      <c r="AB4046" s="103" t="s">
        <v>140</v>
      </c>
      <c r="AC4046" s="104" t="s">
        <v>141</v>
      </c>
    </row>
    <row r="4047" spans="1:29" ht="25.5" customHeight="1" x14ac:dyDescent="0.35">
      <c r="A4047" s="188"/>
      <c r="B4047" s="190"/>
      <c r="C4047" s="99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0"/>
      <c r="E4047" s="78" t="str">
        <f>IF(C4047="","",IFERROR(VLOOKUP(C4047,parametros!$A$11:$E$15,5,0),""))</f>
        <v/>
      </c>
      <c r="F4047" s="79" t="str">
        <f t="shared" si="317"/>
        <v/>
      </c>
      <c r="G4047" s="101"/>
      <c r="H4047" s="91">
        <f t="shared" si="318"/>
        <v>0</v>
      </c>
      <c r="I4047" s="91" t="str">
        <f t="shared" si="319"/>
        <v/>
      </c>
      <c r="J4047" s="91" t="str">
        <f t="shared" si="320"/>
        <v/>
      </c>
      <c r="K4047" s="92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2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58"/>
      <c r="U4047" s="217" t="str">
        <f t="shared" si="321"/>
        <v/>
      </c>
      <c r="V4047" s="215" t="s">
        <v>47</v>
      </c>
      <c r="W4047" s="102" t="s">
        <v>136</v>
      </c>
      <c r="X4047" s="102" t="s">
        <v>137</v>
      </c>
      <c r="Y4047" s="103" t="s">
        <v>138</v>
      </c>
      <c r="Z4047" s="103" t="s">
        <v>139</v>
      </c>
      <c r="AA4047" s="103" t="s">
        <v>47</v>
      </c>
      <c r="AB4047" s="103" t="s">
        <v>140</v>
      </c>
      <c r="AC4047" s="104" t="s">
        <v>141</v>
      </c>
    </row>
    <row r="4048" spans="1:29" ht="25.5" customHeight="1" x14ac:dyDescent="0.35">
      <c r="A4048" s="188"/>
      <c r="B4048" s="190"/>
      <c r="C4048" s="99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0"/>
      <c r="E4048" s="78" t="str">
        <f>IF(C4048="","",IFERROR(VLOOKUP(C4048,parametros!$A$11:$E$15,5,0),""))</f>
        <v/>
      </c>
      <c r="F4048" s="79" t="str">
        <f t="shared" si="317"/>
        <v/>
      </c>
      <c r="G4048" s="101"/>
      <c r="H4048" s="91">
        <f t="shared" si="318"/>
        <v>0</v>
      </c>
      <c r="I4048" s="91" t="str">
        <f t="shared" si="319"/>
        <v/>
      </c>
      <c r="J4048" s="91" t="str">
        <f t="shared" si="320"/>
        <v/>
      </c>
      <c r="K4048" s="92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2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58"/>
      <c r="U4048" s="217" t="str">
        <f t="shared" si="321"/>
        <v/>
      </c>
      <c r="V4048" s="215" t="s">
        <v>47</v>
      </c>
      <c r="W4048" s="102" t="s">
        <v>136</v>
      </c>
      <c r="X4048" s="102" t="s">
        <v>137</v>
      </c>
      <c r="Y4048" s="103" t="s">
        <v>138</v>
      </c>
      <c r="Z4048" s="103" t="s">
        <v>139</v>
      </c>
      <c r="AA4048" s="103" t="s">
        <v>47</v>
      </c>
      <c r="AB4048" s="103" t="s">
        <v>140</v>
      </c>
      <c r="AC4048" s="104" t="s">
        <v>141</v>
      </c>
    </row>
    <row r="4049" spans="1:29" ht="25.5" customHeight="1" x14ac:dyDescent="0.35">
      <c r="A4049" s="188"/>
      <c r="B4049" s="190"/>
      <c r="C4049" s="99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0"/>
      <c r="E4049" s="78" t="str">
        <f>IF(C4049="","",IFERROR(VLOOKUP(C4049,parametros!$A$11:$E$15,5,0),""))</f>
        <v/>
      </c>
      <c r="F4049" s="79" t="str">
        <f t="shared" si="317"/>
        <v/>
      </c>
      <c r="G4049" s="101"/>
      <c r="H4049" s="91">
        <f t="shared" si="318"/>
        <v>0</v>
      </c>
      <c r="I4049" s="91" t="str">
        <f t="shared" si="319"/>
        <v/>
      </c>
      <c r="J4049" s="91" t="str">
        <f t="shared" si="320"/>
        <v/>
      </c>
      <c r="K4049" s="92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2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58"/>
      <c r="U4049" s="217" t="str">
        <f t="shared" si="321"/>
        <v/>
      </c>
      <c r="V4049" s="215" t="s">
        <v>47</v>
      </c>
      <c r="W4049" s="102" t="s">
        <v>136</v>
      </c>
      <c r="X4049" s="102" t="s">
        <v>137</v>
      </c>
      <c r="Y4049" s="103" t="s">
        <v>138</v>
      </c>
      <c r="Z4049" s="103" t="s">
        <v>139</v>
      </c>
      <c r="AA4049" s="103" t="s">
        <v>47</v>
      </c>
      <c r="AB4049" s="103" t="s">
        <v>140</v>
      </c>
      <c r="AC4049" s="104" t="s">
        <v>141</v>
      </c>
    </row>
    <row r="4050" spans="1:29" ht="25.5" customHeight="1" x14ac:dyDescent="0.35">
      <c r="A4050" s="188"/>
      <c r="B4050" s="190"/>
      <c r="C4050" s="99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0"/>
      <c r="E4050" s="78" t="str">
        <f>IF(C4050="","",IFERROR(VLOOKUP(C4050,parametros!$A$11:$E$15,5,0),""))</f>
        <v/>
      </c>
      <c r="F4050" s="79" t="str">
        <f t="shared" si="317"/>
        <v/>
      </c>
      <c r="G4050" s="101"/>
      <c r="H4050" s="91">
        <f t="shared" si="318"/>
        <v>0</v>
      </c>
      <c r="I4050" s="91" t="str">
        <f t="shared" si="319"/>
        <v/>
      </c>
      <c r="J4050" s="91" t="str">
        <f t="shared" si="320"/>
        <v/>
      </c>
      <c r="K4050" s="92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2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58"/>
      <c r="U4050" s="217" t="str">
        <f t="shared" si="321"/>
        <v/>
      </c>
      <c r="V4050" s="215" t="s">
        <v>47</v>
      </c>
      <c r="W4050" s="102" t="s">
        <v>136</v>
      </c>
      <c r="X4050" s="102" t="s">
        <v>137</v>
      </c>
      <c r="Y4050" s="103" t="s">
        <v>138</v>
      </c>
      <c r="Z4050" s="103" t="s">
        <v>139</v>
      </c>
      <c r="AA4050" s="103" t="s">
        <v>47</v>
      </c>
      <c r="AB4050" s="103" t="s">
        <v>140</v>
      </c>
      <c r="AC4050" s="104" t="s">
        <v>141</v>
      </c>
    </row>
    <row r="4051" spans="1:29" ht="25.5" customHeight="1" x14ac:dyDescent="0.35">
      <c r="A4051" s="188"/>
      <c r="B4051" s="190"/>
      <c r="C4051" s="99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0"/>
      <c r="E4051" s="78" t="str">
        <f>IF(C4051="","",IFERROR(VLOOKUP(C4051,parametros!$A$11:$E$15,5,0),""))</f>
        <v/>
      </c>
      <c r="F4051" s="79" t="str">
        <f t="shared" si="317"/>
        <v/>
      </c>
      <c r="G4051" s="101"/>
      <c r="H4051" s="91">
        <f t="shared" si="318"/>
        <v>0</v>
      </c>
      <c r="I4051" s="91" t="str">
        <f t="shared" si="319"/>
        <v/>
      </c>
      <c r="J4051" s="91" t="str">
        <f t="shared" si="320"/>
        <v/>
      </c>
      <c r="K4051" s="92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2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58"/>
      <c r="U4051" s="217" t="str">
        <f t="shared" si="321"/>
        <v/>
      </c>
      <c r="V4051" s="215" t="s">
        <v>47</v>
      </c>
      <c r="W4051" s="102" t="s">
        <v>136</v>
      </c>
      <c r="X4051" s="102" t="s">
        <v>137</v>
      </c>
      <c r="Y4051" s="103" t="s">
        <v>138</v>
      </c>
      <c r="Z4051" s="103" t="s">
        <v>139</v>
      </c>
      <c r="AA4051" s="103" t="s">
        <v>47</v>
      </c>
      <c r="AB4051" s="103" t="s">
        <v>140</v>
      </c>
      <c r="AC4051" s="104" t="s">
        <v>141</v>
      </c>
    </row>
    <row r="4052" spans="1:29" ht="25.5" customHeight="1" x14ac:dyDescent="0.35">
      <c r="A4052" s="188"/>
      <c r="B4052" s="190"/>
      <c r="C4052" s="99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0"/>
      <c r="E4052" s="78" t="str">
        <f>IF(C4052="","",IFERROR(VLOOKUP(C4052,parametros!$A$11:$E$15,5,0),""))</f>
        <v/>
      </c>
      <c r="F4052" s="79" t="str">
        <f t="shared" si="317"/>
        <v/>
      </c>
      <c r="G4052" s="101"/>
      <c r="H4052" s="91">
        <f t="shared" si="318"/>
        <v>0</v>
      </c>
      <c r="I4052" s="91" t="str">
        <f t="shared" si="319"/>
        <v/>
      </c>
      <c r="J4052" s="91" t="str">
        <f t="shared" si="320"/>
        <v/>
      </c>
      <c r="K4052" s="92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2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58"/>
      <c r="U4052" s="217" t="str">
        <f t="shared" si="321"/>
        <v/>
      </c>
      <c r="V4052" s="215" t="s">
        <v>47</v>
      </c>
      <c r="W4052" s="102" t="s">
        <v>136</v>
      </c>
      <c r="X4052" s="102" t="s">
        <v>137</v>
      </c>
      <c r="Y4052" s="103" t="s">
        <v>138</v>
      </c>
      <c r="Z4052" s="103" t="s">
        <v>139</v>
      </c>
      <c r="AA4052" s="103" t="s">
        <v>47</v>
      </c>
      <c r="AB4052" s="103" t="s">
        <v>140</v>
      </c>
      <c r="AC4052" s="104" t="s">
        <v>141</v>
      </c>
    </row>
    <row r="4053" spans="1:29" ht="25.5" customHeight="1" x14ac:dyDescent="0.35">
      <c r="A4053" s="188"/>
      <c r="B4053" s="190"/>
      <c r="C4053" s="99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0"/>
      <c r="E4053" s="78" t="str">
        <f>IF(C4053="","",IFERROR(VLOOKUP(C4053,parametros!$A$11:$E$15,5,0),""))</f>
        <v/>
      </c>
      <c r="F4053" s="79" t="str">
        <f t="shared" si="317"/>
        <v/>
      </c>
      <c r="G4053" s="101"/>
      <c r="H4053" s="91">
        <f t="shared" si="318"/>
        <v>0</v>
      </c>
      <c r="I4053" s="91" t="str">
        <f t="shared" si="319"/>
        <v/>
      </c>
      <c r="J4053" s="91" t="str">
        <f t="shared" si="320"/>
        <v/>
      </c>
      <c r="K4053" s="92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2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58"/>
      <c r="U4053" s="217" t="str">
        <f t="shared" si="321"/>
        <v/>
      </c>
      <c r="V4053" s="215" t="s">
        <v>47</v>
      </c>
      <c r="W4053" s="102" t="s">
        <v>136</v>
      </c>
      <c r="X4053" s="102" t="s">
        <v>137</v>
      </c>
      <c r="Y4053" s="103" t="s">
        <v>138</v>
      </c>
      <c r="Z4053" s="103" t="s">
        <v>139</v>
      </c>
      <c r="AA4053" s="103" t="s">
        <v>47</v>
      </c>
      <c r="AB4053" s="103" t="s">
        <v>140</v>
      </c>
      <c r="AC4053" s="104" t="s">
        <v>141</v>
      </c>
    </row>
    <row r="4054" spans="1:29" ht="25.5" customHeight="1" x14ac:dyDescent="0.35">
      <c r="A4054" s="188"/>
      <c r="B4054" s="190"/>
      <c r="C4054" s="99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0"/>
      <c r="E4054" s="78" t="str">
        <f>IF(C4054="","",IFERROR(VLOOKUP(C4054,parametros!$A$11:$E$15,5,0),""))</f>
        <v/>
      </c>
      <c r="F4054" s="79" t="str">
        <f t="shared" si="317"/>
        <v/>
      </c>
      <c r="G4054" s="101"/>
      <c r="H4054" s="91">
        <f t="shared" si="318"/>
        <v>0</v>
      </c>
      <c r="I4054" s="91" t="str">
        <f t="shared" si="319"/>
        <v/>
      </c>
      <c r="J4054" s="91" t="str">
        <f t="shared" si="320"/>
        <v/>
      </c>
      <c r="K4054" s="92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2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58"/>
      <c r="U4054" s="217" t="str">
        <f t="shared" si="321"/>
        <v/>
      </c>
      <c r="V4054" s="215" t="s">
        <v>47</v>
      </c>
      <c r="W4054" s="102" t="s">
        <v>136</v>
      </c>
      <c r="X4054" s="102" t="s">
        <v>137</v>
      </c>
      <c r="Y4054" s="103" t="s">
        <v>138</v>
      </c>
      <c r="Z4054" s="103" t="s">
        <v>139</v>
      </c>
      <c r="AA4054" s="103" t="s">
        <v>47</v>
      </c>
      <c r="AB4054" s="103" t="s">
        <v>140</v>
      </c>
      <c r="AC4054" s="104" t="s">
        <v>141</v>
      </c>
    </row>
    <row r="4055" spans="1:29" ht="25.5" customHeight="1" x14ac:dyDescent="0.35">
      <c r="A4055" s="188"/>
      <c r="B4055" s="190"/>
      <c r="C4055" s="99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0"/>
      <c r="E4055" s="78" t="str">
        <f>IF(C4055="","",IFERROR(VLOOKUP(C4055,parametros!$A$11:$E$15,5,0),""))</f>
        <v/>
      </c>
      <c r="F4055" s="79" t="str">
        <f t="shared" si="317"/>
        <v/>
      </c>
      <c r="G4055" s="101"/>
      <c r="H4055" s="91">
        <f t="shared" si="318"/>
        <v>0</v>
      </c>
      <c r="I4055" s="91" t="str">
        <f t="shared" si="319"/>
        <v/>
      </c>
      <c r="J4055" s="91" t="str">
        <f t="shared" si="320"/>
        <v/>
      </c>
      <c r="K4055" s="92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2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58"/>
      <c r="U4055" s="217" t="str">
        <f t="shared" si="321"/>
        <v/>
      </c>
      <c r="V4055" s="215" t="s">
        <v>47</v>
      </c>
      <c r="W4055" s="102" t="s">
        <v>136</v>
      </c>
      <c r="X4055" s="102" t="s">
        <v>137</v>
      </c>
      <c r="Y4055" s="103" t="s">
        <v>138</v>
      </c>
      <c r="Z4055" s="103" t="s">
        <v>139</v>
      </c>
      <c r="AA4055" s="103" t="s">
        <v>47</v>
      </c>
      <c r="AB4055" s="103" t="s">
        <v>140</v>
      </c>
      <c r="AC4055" s="104" t="s">
        <v>141</v>
      </c>
    </row>
    <row r="4056" spans="1:29" ht="25.5" customHeight="1" x14ac:dyDescent="0.35">
      <c r="A4056" s="188"/>
      <c r="B4056" s="190"/>
      <c r="C4056" s="99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0"/>
      <c r="E4056" s="78" t="str">
        <f>IF(C4056="","",IFERROR(VLOOKUP(C4056,parametros!$A$11:$E$15,5,0),""))</f>
        <v/>
      </c>
      <c r="F4056" s="79" t="str">
        <f t="shared" si="317"/>
        <v/>
      </c>
      <c r="G4056" s="101"/>
      <c r="H4056" s="91">
        <f t="shared" si="318"/>
        <v>0</v>
      </c>
      <c r="I4056" s="91" t="str">
        <f t="shared" si="319"/>
        <v/>
      </c>
      <c r="J4056" s="91" t="str">
        <f t="shared" si="320"/>
        <v/>
      </c>
      <c r="K4056" s="92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2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58"/>
      <c r="U4056" s="217" t="str">
        <f t="shared" si="321"/>
        <v/>
      </c>
      <c r="V4056" s="215" t="s">
        <v>47</v>
      </c>
      <c r="W4056" s="102" t="s">
        <v>136</v>
      </c>
      <c r="X4056" s="102" t="s">
        <v>137</v>
      </c>
      <c r="Y4056" s="103" t="s">
        <v>138</v>
      </c>
      <c r="Z4056" s="103" t="s">
        <v>139</v>
      </c>
      <c r="AA4056" s="103" t="s">
        <v>47</v>
      </c>
      <c r="AB4056" s="103" t="s">
        <v>140</v>
      </c>
      <c r="AC4056" s="104" t="s">
        <v>141</v>
      </c>
    </row>
    <row r="4057" spans="1:29" ht="25.5" customHeight="1" x14ac:dyDescent="0.35">
      <c r="A4057" s="188"/>
      <c r="B4057" s="190"/>
      <c r="C4057" s="99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0"/>
      <c r="E4057" s="78" t="str">
        <f>IF(C4057="","",IFERROR(VLOOKUP(C4057,parametros!$A$11:$E$15,5,0),""))</f>
        <v/>
      </c>
      <c r="F4057" s="79" t="str">
        <f t="shared" si="317"/>
        <v/>
      </c>
      <c r="G4057" s="101"/>
      <c r="H4057" s="91">
        <f t="shared" si="318"/>
        <v>0</v>
      </c>
      <c r="I4057" s="91" t="str">
        <f t="shared" si="319"/>
        <v/>
      </c>
      <c r="J4057" s="91" t="str">
        <f t="shared" si="320"/>
        <v/>
      </c>
      <c r="K4057" s="92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2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58"/>
      <c r="U4057" s="217" t="str">
        <f t="shared" si="321"/>
        <v/>
      </c>
      <c r="V4057" s="215" t="s">
        <v>47</v>
      </c>
      <c r="W4057" s="102" t="s">
        <v>136</v>
      </c>
      <c r="X4057" s="102" t="s">
        <v>137</v>
      </c>
      <c r="Y4057" s="103" t="s">
        <v>138</v>
      </c>
      <c r="Z4057" s="103" t="s">
        <v>139</v>
      </c>
      <c r="AA4057" s="103" t="s">
        <v>47</v>
      </c>
      <c r="AB4057" s="103" t="s">
        <v>140</v>
      </c>
      <c r="AC4057" s="104" t="s">
        <v>141</v>
      </c>
    </row>
    <row r="4058" spans="1:29" ht="25.5" customHeight="1" x14ac:dyDescent="0.35">
      <c r="A4058" s="188"/>
      <c r="B4058" s="190"/>
      <c r="C4058" s="99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0"/>
      <c r="E4058" s="78" t="str">
        <f>IF(C4058="","",IFERROR(VLOOKUP(C4058,parametros!$A$11:$E$15,5,0),""))</f>
        <v/>
      </c>
      <c r="F4058" s="79" t="str">
        <f t="shared" si="317"/>
        <v/>
      </c>
      <c r="G4058" s="101"/>
      <c r="H4058" s="91">
        <f t="shared" si="318"/>
        <v>0</v>
      </c>
      <c r="I4058" s="91" t="str">
        <f t="shared" si="319"/>
        <v/>
      </c>
      <c r="J4058" s="91" t="str">
        <f t="shared" si="320"/>
        <v/>
      </c>
      <c r="K4058" s="92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2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58"/>
      <c r="U4058" s="217" t="str">
        <f t="shared" si="321"/>
        <v/>
      </c>
      <c r="V4058" s="215" t="s">
        <v>47</v>
      </c>
      <c r="W4058" s="102" t="s">
        <v>136</v>
      </c>
      <c r="X4058" s="102" t="s">
        <v>137</v>
      </c>
      <c r="Y4058" s="103" t="s">
        <v>138</v>
      </c>
      <c r="Z4058" s="103" t="s">
        <v>139</v>
      </c>
      <c r="AA4058" s="103" t="s">
        <v>47</v>
      </c>
      <c r="AB4058" s="103" t="s">
        <v>140</v>
      </c>
      <c r="AC4058" s="104" t="s">
        <v>141</v>
      </c>
    </row>
    <row r="4059" spans="1:29" ht="25.5" customHeight="1" x14ac:dyDescent="0.35">
      <c r="A4059" s="188"/>
      <c r="B4059" s="190"/>
      <c r="C4059" s="99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0"/>
      <c r="E4059" s="78" t="str">
        <f>IF(C4059="","",IFERROR(VLOOKUP(C4059,parametros!$A$11:$E$15,5,0),""))</f>
        <v/>
      </c>
      <c r="F4059" s="79" t="str">
        <f t="shared" si="317"/>
        <v/>
      </c>
      <c r="G4059" s="101"/>
      <c r="H4059" s="91">
        <f t="shared" si="318"/>
        <v>0</v>
      </c>
      <c r="I4059" s="91" t="str">
        <f t="shared" si="319"/>
        <v/>
      </c>
      <c r="J4059" s="91" t="str">
        <f t="shared" si="320"/>
        <v/>
      </c>
      <c r="K4059" s="92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2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58"/>
      <c r="U4059" s="217" t="str">
        <f t="shared" si="321"/>
        <v/>
      </c>
      <c r="V4059" s="215" t="s">
        <v>47</v>
      </c>
      <c r="W4059" s="102" t="s">
        <v>136</v>
      </c>
      <c r="X4059" s="102" t="s">
        <v>137</v>
      </c>
      <c r="Y4059" s="103" t="s">
        <v>138</v>
      </c>
      <c r="Z4059" s="103" t="s">
        <v>139</v>
      </c>
      <c r="AA4059" s="103" t="s">
        <v>47</v>
      </c>
      <c r="AB4059" s="103" t="s">
        <v>140</v>
      </c>
      <c r="AC4059" s="104" t="s">
        <v>141</v>
      </c>
    </row>
    <row r="4060" spans="1:29" ht="25.5" customHeight="1" x14ac:dyDescent="0.35">
      <c r="A4060" s="188"/>
      <c r="B4060" s="190"/>
      <c r="C4060" s="99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0"/>
      <c r="E4060" s="78" t="str">
        <f>IF(C4060="","",IFERROR(VLOOKUP(C4060,parametros!$A$11:$E$15,5,0),""))</f>
        <v/>
      </c>
      <c r="F4060" s="79" t="str">
        <f t="shared" si="317"/>
        <v/>
      </c>
      <c r="G4060" s="101"/>
      <c r="H4060" s="91">
        <f t="shared" si="318"/>
        <v>0</v>
      </c>
      <c r="I4060" s="91" t="str">
        <f t="shared" si="319"/>
        <v/>
      </c>
      <c r="J4060" s="91" t="str">
        <f t="shared" si="320"/>
        <v/>
      </c>
      <c r="K4060" s="92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2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58"/>
      <c r="U4060" s="217" t="str">
        <f t="shared" si="321"/>
        <v/>
      </c>
      <c r="V4060" s="215" t="s">
        <v>47</v>
      </c>
      <c r="W4060" s="102" t="s">
        <v>136</v>
      </c>
      <c r="X4060" s="102" t="s">
        <v>137</v>
      </c>
      <c r="Y4060" s="103" t="s">
        <v>138</v>
      </c>
      <c r="Z4060" s="103" t="s">
        <v>139</v>
      </c>
      <c r="AA4060" s="103" t="s">
        <v>47</v>
      </c>
      <c r="AB4060" s="103" t="s">
        <v>140</v>
      </c>
      <c r="AC4060" s="104" t="s">
        <v>141</v>
      </c>
    </row>
    <row r="4061" spans="1:29" ht="25.5" customHeight="1" x14ac:dyDescent="0.35">
      <c r="A4061" s="188"/>
      <c r="B4061" s="190"/>
      <c r="C4061" s="99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0"/>
      <c r="E4061" s="78" t="str">
        <f>IF(C4061="","",IFERROR(VLOOKUP(C4061,parametros!$A$11:$E$15,5,0),""))</f>
        <v/>
      </c>
      <c r="F4061" s="79" t="str">
        <f t="shared" si="317"/>
        <v/>
      </c>
      <c r="G4061" s="101"/>
      <c r="H4061" s="91">
        <f t="shared" si="318"/>
        <v>0</v>
      </c>
      <c r="I4061" s="91" t="str">
        <f t="shared" si="319"/>
        <v/>
      </c>
      <c r="J4061" s="91" t="str">
        <f t="shared" si="320"/>
        <v/>
      </c>
      <c r="K4061" s="92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2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58"/>
      <c r="U4061" s="217" t="str">
        <f t="shared" si="321"/>
        <v/>
      </c>
      <c r="V4061" s="215" t="s">
        <v>47</v>
      </c>
      <c r="W4061" s="102" t="s">
        <v>136</v>
      </c>
      <c r="X4061" s="102" t="s">
        <v>137</v>
      </c>
      <c r="Y4061" s="103" t="s">
        <v>138</v>
      </c>
      <c r="Z4061" s="103" t="s">
        <v>139</v>
      </c>
      <c r="AA4061" s="103" t="s">
        <v>47</v>
      </c>
      <c r="AB4061" s="103" t="s">
        <v>140</v>
      </c>
      <c r="AC4061" s="104" t="s">
        <v>141</v>
      </c>
    </row>
    <row r="4062" spans="1:29" ht="25.5" customHeight="1" x14ac:dyDescent="0.35">
      <c r="A4062" s="188"/>
      <c r="B4062" s="190"/>
      <c r="C4062" s="99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0"/>
      <c r="E4062" s="78" t="str">
        <f>IF(C4062="","",IFERROR(VLOOKUP(C4062,parametros!$A$11:$E$15,5,0),""))</f>
        <v/>
      </c>
      <c r="F4062" s="79" t="str">
        <f t="shared" si="317"/>
        <v/>
      </c>
      <c r="G4062" s="101"/>
      <c r="H4062" s="91">
        <f t="shared" si="318"/>
        <v>0</v>
      </c>
      <c r="I4062" s="91" t="str">
        <f t="shared" si="319"/>
        <v/>
      </c>
      <c r="J4062" s="91" t="str">
        <f t="shared" si="320"/>
        <v/>
      </c>
      <c r="K4062" s="92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2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58"/>
      <c r="U4062" s="217" t="str">
        <f t="shared" si="321"/>
        <v/>
      </c>
      <c r="V4062" s="215" t="s">
        <v>47</v>
      </c>
      <c r="W4062" s="102" t="s">
        <v>136</v>
      </c>
      <c r="X4062" s="102" t="s">
        <v>137</v>
      </c>
      <c r="Y4062" s="103" t="s">
        <v>138</v>
      </c>
      <c r="Z4062" s="103" t="s">
        <v>139</v>
      </c>
      <c r="AA4062" s="103" t="s">
        <v>47</v>
      </c>
      <c r="AB4062" s="103" t="s">
        <v>140</v>
      </c>
      <c r="AC4062" s="104" t="s">
        <v>141</v>
      </c>
    </row>
    <row r="4063" spans="1:29" ht="25.5" customHeight="1" x14ac:dyDescent="0.35">
      <c r="A4063" s="188"/>
      <c r="B4063" s="190"/>
      <c r="C4063" s="99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0"/>
      <c r="E4063" s="78" t="str">
        <f>IF(C4063="","",IFERROR(VLOOKUP(C4063,parametros!$A$11:$E$15,5,0),""))</f>
        <v/>
      </c>
      <c r="F4063" s="79" t="str">
        <f t="shared" si="317"/>
        <v/>
      </c>
      <c r="G4063" s="101"/>
      <c r="H4063" s="91">
        <f t="shared" si="318"/>
        <v>0</v>
      </c>
      <c r="I4063" s="91" t="str">
        <f t="shared" si="319"/>
        <v/>
      </c>
      <c r="J4063" s="91" t="str">
        <f t="shared" si="320"/>
        <v/>
      </c>
      <c r="K4063" s="92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2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58"/>
      <c r="U4063" s="217" t="str">
        <f t="shared" si="321"/>
        <v/>
      </c>
      <c r="V4063" s="215" t="s">
        <v>47</v>
      </c>
      <c r="W4063" s="102" t="s">
        <v>136</v>
      </c>
      <c r="X4063" s="102" t="s">
        <v>137</v>
      </c>
      <c r="Y4063" s="103" t="s">
        <v>138</v>
      </c>
      <c r="Z4063" s="103" t="s">
        <v>139</v>
      </c>
      <c r="AA4063" s="103" t="s">
        <v>47</v>
      </c>
      <c r="AB4063" s="103" t="s">
        <v>140</v>
      </c>
      <c r="AC4063" s="104" t="s">
        <v>141</v>
      </c>
    </row>
    <row r="4064" spans="1:29" ht="25.5" customHeight="1" x14ac:dyDescent="0.35">
      <c r="A4064" s="188"/>
      <c r="B4064" s="190"/>
      <c r="C4064" s="99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0"/>
      <c r="E4064" s="78" t="str">
        <f>IF(C4064="","",IFERROR(VLOOKUP(C4064,parametros!$A$11:$E$15,5,0),""))</f>
        <v/>
      </c>
      <c r="F4064" s="79" t="str">
        <f t="shared" si="317"/>
        <v/>
      </c>
      <c r="G4064" s="101"/>
      <c r="H4064" s="91">
        <f t="shared" si="318"/>
        <v>0</v>
      </c>
      <c r="I4064" s="91" t="str">
        <f t="shared" si="319"/>
        <v/>
      </c>
      <c r="J4064" s="91" t="str">
        <f t="shared" si="320"/>
        <v/>
      </c>
      <c r="K4064" s="92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2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58"/>
      <c r="U4064" s="217" t="str">
        <f t="shared" si="321"/>
        <v/>
      </c>
      <c r="V4064" s="215" t="s">
        <v>47</v>
      </c>
      <c r="W4064" s="102" t="s">
        <v>136</v>
      </c>
      <c r="X4064" s="102" t="s">
        <v>137</v>
      </c>
      <c r="Y4064" s="103" t="s">
        <v>138</v>
      </c>
      <c r="Z4064" s="103" t="s">
        <v>139</v>
      </c>
      <c r="AA4064" s="103" t="s">
        <v>47</v>
      </c>
      <c r="AB4064" s="103" t="s">
        <v>140</v>
      </c>
      <c r="AC4064" s="104" t="s">
        <v>141</v>
      </c>
    </row>
    <row r="4065" spans="1:29" ht="25.5" customHeight="1" x14ac:dyDescent="0.35">
      <c r="A4065" s="188"/>
      <c r="B4065" s="190"/>
      <c r="C4065" s="99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0"/>
      <c r="E4065" s="78" t="str">
        <f>IF(C4065="","",IFERROR(VLOOKUP(C4065,parametros!$A$11:$E$15,5,0),""))</f>
        <v/>
      </c>
      <c r="F4065" s="79" t="str">
        <f t="shared" si="317"/>
        <v/>
      </c>
      <c r="G4065" s="101"/>
      <c r="H4065" s="91">
        <f t="shared" si="318"/>
        <v>0</v>
      </c>
      <c r="I4065" s="91" t="str">
        <f t="shared" si="319"/>
        <v/>
      </c>
      <c r="J4065" s="91" t="str">
        <f t="shared" si="320"/>
        <v/>
      </c>
      <c r="K4065" s="92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2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58"/>
      <c r="U4065" s="217" t="str">
        <f t="shared" si="321"/>
        <v/>
      </c>
      <c r="V4065" s="215" t="s">
        <v>47</v>
      </c>
      <c r="W4065" s="102" t="s">
        <v>136</v>
      </c>
      <c r="X4065" s="102" t="s">
        <v>137</v>
      </c>
      <c r="Y4065" s="103" t="s">
        <v>138</v>
      </c>
      <c r="Z4065" s="103" t="s">
        <v>139</v>
      </c>
      <c r="AA4065" s="103" t="s">
        <v>47</v>
      </c>
      <c r="AB4065" s="103" t="s">
        <v>140</v>
      </c>
      <c r="AC4065" s="104" t="s">
        <v>141</v>
      </c>
    </row>
    <row r="4066" spans="1:29" ht="25.5" customHeight="1" x14ac:dyDescent="0.35">
      <c r="A4066" s="188"/>
      <c r="B4066" s="190"/>
      <c r="C4066" s="99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0"/>
      <c r="E4066" s="78" t="str">
        <f>IF(C4066="","",IFERROR(VLOOKUP(C4066,parametros!$A$11:$E$15,5,0),""))</f>
        <v/>
      </c>
      <c r="F4066" s="79" t="str">
        <f t="shared" si="317"/>
        <v/>
      </c>
      <c r="G4066" s="101"/>
      <c r="H4066" s="91">
        <f t="shared" si="318"/>
        <v>0</v>
      </c>
      <c r="I4066" s="91" t="str">
        <f t="shared" si="319"/>
        <v/>
      </c>
      <c r="J4066" s="91" t="str">
        <f t="shared" si="320"/>
        <v/>
      </c>
      <c r="K4066" s="92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2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58"/>
      <c r="U4066" s="217" t="str">
        <f t="shared" si="321"/>
        <v/>
      </c>
      <c r="V4066" s="215" t="s">
        <v>47</v>
      </c>
      <c r="W4066" s="102" t="s">
        <v>136</v>
      </c>
      <c r="X4066" s="102" t="s">
        <v>137</v>
      </c>
      <c r="Y4066" s="103" t="s">
        <v>138</v>
      </c>
      <c r="Z4066" s="103" t="s">
        <v>139</v>
      </c>
      <c r="AA4066" s="103" t="s">
        <v>47</v>
      </c>
      <c r="AB4066" s="103" t="s">
        <v>140</v>
      </c>
      <c r="AC4066" s="104" t="s">
        <v>141</v>
      </c>
    </row>
    <row r="4067" spans="1:29" ht="25.5" customHeight="1" x14ac:dyDescent="0.35">
      <c r="A4067" s="188"/>
      <c r="B4067" s="190"/>
      <c r="C4067" s="99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0"/>
      <c r="E4067" s="78" t="str">
        <f>IF(C4067="","",IFERROR(VLOOKUP(C4067,parametros!$A$11:$E$15,5,0),""))</f>
        <v/>
      </c>
      <c r="F4067" s="79" t="str">
        <f t="shared" si="317"/>
        <v/>
      </c>
      <c r="G4067" s="101"/>
      <c r="H4067" s="91">
        <f t="shared" si="318"/>
        <v>0</v>
      </c>
      <c r="I4067" s="91" t="str">
        <f t="shared" si="319"/>
        <v/>
      </c>
      <c r="J4067" s="91" t="str">
        <f t="shared" si="320"/>
        <v/>
      </c>
      <c r="K4067" s="92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2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58"/>
      <c r="U4067" s="217" t="str">
        <f t="shared" si="321"/>
        <v/>
      </c>
      <c r="V4067" s="215" t="s">
        <v>47</v>
      </c>
      <c r="W4067" s="102" t="s">
        <v>136</v>
      </c>
      <c r="X4067" s="102" t="s">
        <v>137</v>
      </c>
      <c r="Y4067" s="103" t="s">
        <v>138</v>
      </c>
      <c r="Z4067" s="103" t="s">
        <v>139</v>
      </c>
      <c r="AA4067" s="103" t="s">
        <v>47</v>
      </c>
      <c r="AB4067" s="103" t="s">
        <v>140</v>
      </c>
      <c r="AC4067" s="104" t="s">
        <v>141</v>
      </c>
    </row>
    <row r="4068" spans="1:29" ht="25.5" customHeight="1" x14ac:dyDescent="0.35">
      <c r="A4068" s="188"/>
      <c r="B4068" s="190"/>
      <c r="C4068" s="99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0"/>
      <c r="E4068" s="78" t="str">
        <f>IF(C4068="","",IFERROR(VLOOKUP(C4068,parametros!$A$11:$E$15,5,0),""))</f>
        <v/>
      </c>
      <c r="F4068" s="79" t="str">
        <f t="shared" si="317"/>
        <v/>
      </c>
      <c r="G4068" s="101"/>
      <c r="H4068" s="91">
        <f t="shared" si="318"/>
        <v>0</v>
      </c>
      <c r="I4068" s="91" t="str">
        <f t="shared" si="319"/>
        <v/>
      </c>
      <c r="J4068" s="91" t="str">
        <f t="shared" si="320"/>
        <v/>
      </c>
      <c r="K4068" s="92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2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58"/>
      <c r="U4068" s="217" t="str">
        <f t="shared" si="321"/>
        <v/>
      </c>
      <c r="V4068" s="215" t="s">
        <v>47</v>
      </c>
      <c r="W4068" s="102" t="s">
        <v>136</v>
      </c>
      <c r="X4068" s="102" t="s">
        <v>137</v>
      </c>
      <c r="Y4068" s="103" t="s">
        <v>138</v>
      </c>
      <c r="Z4068" s="103" t="s">
        <v>139</v>
      </c>
      <c r="AA4068" s="103" t="s">
        <v>47</v>
      </c>
      <c r="AB4068" s="103" t="s">
        <v>140</v>
      </c>
      <c r="AC4068" s="104" t="s">
        <v>141</v>
      </c>
    </row>
    <row r="4069" spans="1:29" ht="25.5" customHeight="1" x14ac:dyDescent="0.35">
      <c r="A4069" s="188"/>
      <c r="B4069" s="190"/>
      <c r="C4069" s="99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0"/>
      <c r="E4069" s="78" t="str">
        <f>IF(C4069="","",IFERROR(VLOOKUP(C4069,parametros!$A$11:$E$15,5,0),""))</f>
        <v/>
      </c>
      <c r="F4069" s="79" t="str">
        <f t="shared" si="317"/>
        <v/>
      </c>
      <c r="G4069" s="101"/>
      <c r="H4069" s="91">
        <f t="shared" si="318"/>
        <v>0</v>
      </c>
      <c r="I4069" s="91" t="str">
        <f t="shared" si="319"/>
        <v/>
      </c>
      <c r="J4069" s="91" t="str">
        <f t="shared" si="320"/>
        <v/>
      </c>
      <c r="K4069" s="92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2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58"/>
      <c r="U4069" s="217" t="str">
        <f t="shared" si="321"/>
        <v/>
      </c>
      <c r="V4069" s="215" t="s">
        <v>47</v>
      </c>
      <c r="W4069" s="102" t="s">
        <v>136</v>
      </c>
      <c r="X4069" s="102" t="s">
        <v>137</v>
      </c>
      <c r="Y4069" s="103" t="s">
        <v>138</v>
      </c>
      <c r="Z4069" s="103" t="s">
        <v>139</v>
      </c>
      <c r="AA4069" s="103" t="s">
        <v>47</v>
      </c>
      <c r="AB4069" s="103" t="s">
        <v>140</v>
      </c>
      <c r="AC4069" s="104" t="s">
        <v>141</v>
      </c>
    </row>
    <row r="4070" spans="1:29" ht="25.5" customHeight="1" x14ac:dyDescent="0.35">
      <c r="A4070" s="188"/>
      <c r="B4070" s="190"/>
      <c r="C4070" s="99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0"/>
      <c r="E4070" s="78" t="str">
        <f>IF(C4070="","",IFERROR(VLOOKUP(C4070,parametros!$A$11:$E$15,5,0),""))</f>
        <v/>
      </c>
      <c r="F4070" s="79" t="str">
        <f t="shared" si="317"/>
        <v/>
      </c>
      <c r="G4070" s="101"/>
      <c r="H4070" s="91">
        <f t="shared" si="318"/>
        <v>0</v>
      </c>
      <c r="I4070" s="91" t="str">
        <f t="shared" si="319"/>
        <v/>
      </c>
      <c r="J4070" s="91" t="str">
        <f t="shared" si="320"/>
        <v/>
      </c>
      <c r="K4070" s="92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2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58"/>
      <c r="U4070" s="217" t="str">
        <f t="shared" si="321"/>
        <v/>
      </c>
      <c r="V4070" s="215" t="s">
        <v>47</v>
      </c>
      <c r="W4070" s="102" t="s">
        <v>136</v>
      </c>
      <c r="X4070" s="102" t="s">
        <v>137</v>
      </c>
      <c r="Y4070" s="103" t="s">
        <v>138</v>
      </c>
      <c r="Z4070" s="103" t="s">
        <v>139</v>
      </c>
      <c r="AA4070" s="103" t="s">
        <v>47</v>
      </c>
      <c r="AB4070" s="103" t="s">
        <v>140</v>
      </c>
      <c r="AC4070" s="104" t="s">
        <v>141</v>
      </c>
    </row>
    <row r="4071" spans="1:29" ht="25.5" customHeight="1" x14ac:dyDescent="0.35">
      <c r="A4071" s="188"/>
      <c r="B4071" s="190"/>
      <c r="C4071" s="99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0"/>
      <c r="E4071" s="78" t="str">
        <f>IF(C4071="","",IFERROR(VLOOKUP(C4071,parametros!$A$11:$E$15,5,0),""))</f>
        <v/>
      </c>
      <c r="F4071" s="79" t="str">
        <f t="shared" si="317"/>
        <v/>
      </c>
      <c r="G4071" s="101"/>
      <c r="H4071" s="91">
        <f t="shared" si="318"/>
        <v>0</v>
      </c>
      <c r="I4071" s="91" t="str">
        <f t="shared" si="319"/>
        <v/>
      </c>
      <c r="J4071" s="91" t="str">
        <f t="shared" si="320"/>
        <v/>
      </c>
      <c r="K4071" s="92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2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58"/>
      <c r="U4071" s="217" t="str">
        <f t="shared" si="321"/>
        <v/>
      </c>
      <c r="V4071" s="215" t="s">
        <v>47</v>
      </c>
      <c r="W4071" s="102" t="s">
        <v>136</v>
      </c>
      <c r="X4071" s="102" t="s">
        <v>137</v>
      </c>
      <c r="Y4071" s="103" t="s">
        <v>138</v>
      </c>
      <c r="Z4071" s="103" t="s">
        <v>139</v>
      </c>
      <c r="AA4071" s="103" t="s">
        <v>47</v>
      </c>
      <c r="AB4071" s="103" t="s">
        <v>140</v>
      </c>
      <c r="AC4071" s="104" t="s">
        <v>141</v>
      </c>
    </row>
    <row r="4072" spans="1:29" ht="25.5" customHeight="1" x14ac:dyDescent="0.35">
      <c r="A4072" s="188"/>
      <c r="B4072" s="190"/>
      <c r="C4072" s="99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0"/>
      <c r="E4072" s="78" t="str">
        <f>IF(C4072="","",IFERROR(VLOOKUP(C4072,parametros!$A$11:$E$15,5,0),""))</f>
        <v/>
      </c>
      <c r="F4072" s="79" t="str">
        <f t="shared" si="317"/>
        <v/>
      </c>
      <c r="G4072" s="101"/>
      <c r="H4072" s="91">
        <f t="shared" si="318"/>
        <v>0</v>
      </c>
      <c r="I4072" s="91" t="str">
        <f t="shared" si="319"/>
        <v/>
      </c>
      <c r="J4072" s="91" t="str">
        <f t="shared" si="320"/>
        <v/>
      </c>
      <c r="K4072" s="92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2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58"/>
      <c r="U4072" s="217" t="str">
        <f t="shared" si="321"/>
        <v/>
      </c>
      <c r="V4072" s="215" t="s">
        <v>47</v>
      </c>
      <c r="W4072" s="102" t="s">
        <v>136</v>
      </c>
      <c r="X4072" s="102" t="s">
        <v>137</v>
      </c>
      <c r="Y4072" s="103" t="s">
        <v>138</v>
      </c>
      <c r="Z4072" s="103" t="s">
        <v>139</v>
      </c>
      <c r="AA4072" s="103" t="s">
        <v>47</v>
      </c>
      <c r="AB4072" s="103" t="s">
        <v>140</v>
      </c>
      <c r="AC4072" s="104" t="s">
        <v>141</v>
      </c>
    </row>
    <row r="4073" spans="1:29" ht="25.5" customHeight="1" x14ac:dyDescent="0.35">
      <c r="A4073" s="188"/>
      <c r="B4073" s="190"/>
      <c r="C4073" s="99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0"/>
      <c r="E4073" s="78" t="str">
        <f>IF(C4073="","",IFERROR(VLOOKUP(C4073,parametros!$A$11:$E$15,5,0),""))</f>
        <v/>
      </c>
      <c r="F4073" s="79" t="str">
        <f t="shared" si="317"/>
        <v/>
      </c>
      <c r="G4073" s="101"/>
      <c r="H4073" s="91">
        <f t="shared" si="318"/>
        <v>0</v>
      </c>
      <c r="I4073" s="91" t="str">
        <f t="shared" si="319"/>
        <v/>
      </c>
      <c r="J4073" s="91" t="str">
        <f t="shared" si="320"/>
        <v/>
      </c>
      <c r="K4073" s="92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2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58"/>
      <c r="U4073" s="217" t="str">
        <f t="shared" si="321"/>
        <v/>
      </c>
      <c r="V4073" s="215" t="s">
        <v>47</v>
      </c>
      <c r="W4073" s="102" t="s">
        <v>136</v>
      </c>
      <c r="X4073" s="102" t="s">
        <v>137</v>
      </c>
      <c r="Y4073" s="103" t="s">
        <v>138</v>
      </c>
      <c r="Z4073" s="103" t="s">
        <v>139</v>
      </c>
      <c r="AA4073" s="103" t="s">
        <v>47</v>
      </c>
      <c r="AB4073" s="103" t="s">
        <v>140</v>
      </c>
      <c r="AC4073" s="104" t="s">
        <v>141</v>
      </c>
    </row>
    <row r="4074" spans="1:29" ht="25.5" customHeight="1" x14ac:dyDescent="0.35">
      <c r="A4074" s="188"/>
      <c r="B4074" s="190"/>
      <c r="C4074" s="99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0"/>
      <c r="E4074" s="78" t="str">
        <f>IF(C4074="","",IFERROR(VLOOKUP(C4074,parametros!$A$11:$E$15,5,0),""))</f>
        <v/>
      </c>
      <c r="F4074" s="79" t="str">
        <f t="shared" si="317"/>
        <v/>
      </c>
      <c r="G4074" s="101"/>
      <c r="H4074" s="91">
        <f t="shared" si="318"/>
        <v>0</v>
      </c>
      <c r="I4074" s="91" t="str">
        <f t="shared" si="319"/>
        <v/>
      </c>
      <c r="J4074" s="91" t="str">
        <f t="shared" si="320"/>
        <v/>
      </c>
      <c r="K4074" s="92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2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58"/>
      <c r="U4074" s="217" t="str">
        <f t="shared" si="321"/>
        <v/>
      </c>
      <c r="V4074" s="215" t="s">
        <v>47</v>
      </c>
      <c r="W4074" s="102" t="s">
        <v>136</v>
      </c>
      <c r="X4074" s="102" t="s">
        <v>137</v>
      </c>
      <c r="Y4074" s="103" t="s">
        <v>138</v>
      </c>
      <c r="Z4074" s="103" t="s">
        <v>139</v>
      </c>
      <c r="AA4074" s="103" t="s">
        <v>47</v>
      </c>
      <c r="AB4074" s="103" t="s">
        <v>140</v>
      </c>
      <c r="AC4074" s="104" t="s">
        <v>141</v>
      </c>
    </row>
    <row r="4075" spans="1:29" ht="25.5" customHeight="1" x14ac:dyDescent="0.35">
      <c r="A4075" s="188"/>
      <c r="B4075" s="190"/>
      <c r="C4075" s="99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0"/>
      <c r="E4075" s="78" t="str">
        <f>IF(C4075="","",IFERROR(VLOOKUP(C4075,parametros!$A$11:$E$15,5,0),""))</f>
        <v/>
      </c>
      <c r="F4075" s="79" t="str">
        <f t="shared" si="317"/>
        <v/>
      </c>
      <c r="G4075" s="101"/>
      <c r="H4075" s="91">
        <f t="shared" si="318"/>
        <v>0</v>
      </c>
      <c r="I4075" s="91" t="str">
        <f t="shared" si="319"/>
        <v/>
      </c>
      <c r="J4075" s="91" t="str">
        <f t="shared" si="320"/>
        <v/>
      </c>
      <c r="K4075" s="92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2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58"/>
      <c r="U4075" s="217" t="str">
        <f t="shared" si="321"/>
        <v/>
      </c>
      <c r="V4075" s="215" t="s">
        <v>47</v>
      </c>
      <c r="W4075" s="102" t="s">
        <v>136</v>
      </c>
      <c r="X4075" s="102" t="s">
        <v>137</v>
      </c>
      <c r="Y4075" s="103" t="s">
        <v>138</v>
      </c>
      <c r="Z4075" s="103" t="s">
        <v>139</v>
      </c>
      <c r="AA4075" s="103" t="s">
        <v>47</v>
      </c>
      <c r="AB4075" s="103" t="s">
        <v>140</v>
      </c>
      <c r="AC4075" s="104" t="s">
        <v>141</v>
      </c>
    </row>
    <row r="4076" spans="1:29" ht="25.5" customHeight="1" x14ac:dyDescent="0.35">
      <c r="A4076" s="188"/>
      <c r="B4076" s="190"/>
      <c r="C4076" s="99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0"/>
      <c r="E4076" s="78" t="str">
        <f>IF(C4076="","",IFERROR(VLOOKUP(C4076,parametros!$A$11:$E$15,5,0),""))</f>
        <v/>
      </c>
      <c r="F4076" s="79" t="str">
        <f t="shared" si="317"/>
        <v/>
      </c>
      <c r="G4076" s="101"/>
      <c r="H4076" s="91">
        <f t="shared" si="318"/>
        <v>0</v>
      </c>
      <c r="I4076" s="91" t="str">
        <f t="shared" si="319"/>
        <v/>
      </c>
      <c r="J4076" s="91" t="str">
        <f t="shared" si="320"/>
        <v/>
      </c>
      <c r="K4076" s="92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2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58"/>
      <c r="U4076" s="217" t="str">
        <f t="shared" si="321"/>
        <v/>
      </c>
      <c r="V4076" s="215" t="s">
        <v>47</v>
      </c>
      <c r="W4076" s="102" t="s">
        <v>136</v>
      </c>
      <c r="X4076" s="102" t="s">
        <v>137</v>
      </c>
      <c r="Y4076" s="103" t="s">
        <v>138</v>
      </c>
      <c r="Z4076" s="103" t="s">
        <v>139</v>
      </c>
      <c r="AA4076" s="103" t="s">
        <v>47</v>
      </c>
      <c r="AB4076" s="103" t="s">
        <v>140</v>
      </c>
      <c r="AC4076" s="104" t="s">
        <v>141</v>
      </c>
    </row>
    <row r="4077" spans="1:29" ht="25.5" customHeight="1" x14ac:dyDescent="0.35">
      <c r="A4077" s="188"/>
      <c r="B4077" s="190"/>
      <c r="C4077" s="99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0"/>
      <c r="E4077" s="78" t="str">
        <f>IF(C4077="","",IFERROR(VLOOKUP(C4077,parametros!$A$11:$E$15,5,0),""))</f>
        <v/>
      </c>
      <c r="F4077" s="79" t="str">
        <f t="shared" si="317"/>
        <v/>
      </c>
      <c r="G4077" s="101"/>
      <c r="H4077" s="91">
        <f t="shared" si="318"/>
        <v>0</v>
      </c>
      <c r="I4077" s="91" t="str">
        <f t="shared" si="319"/>
        <v/>
      </c>
      <c r="J4077" s="91" t="str">
        <f t="shared" si="320"/>
        <v/>
      </c>
      <c r="K4077" s="92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2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58"/>
      <c r="U4077" s="217" t="str">
        <f t="shared" si="321"/>
        <v/>
      </c>
      <c r="V4077" s="215" t="s">
        <v>47</v>
      </c>
      <c r="W4077" s="102" t="s">
        <v>136</v>
      </c>
      <c r="X4077" s="102" t="s">
        <v>137</v>
      </c>
      <c r="Y4077" s="103" t="s">
        <v>138</v>
      </c>
      <c r="Z4077" s="103" t="s">
        <v>139</v>
      </c>
      <c r="AA4077" s="103" t="s">
        <v>47</v>
      </c>
      <c r="AB4077" s="103" t="s">
        <v>140</v>
      </c>
      <c r="AC4077" s="104" t="s">
        <v>141</v>
      </c>
    </row>
    <row r="4078" spans="1:29" ht="25.5" customHeight="1" x14ac:dyDescent="0.35">
      <c r="A4078" s="188"/>
      <c r="B4078" s="190"/>
      <c r="C4078" s="99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0"/>
      <c r="E4078" s="78" t="str">
        <f>IF(C4078="","",IFERROR(VLOOKUP(C4078,parametros!$A$11:$E$15,5,0),""))</f>
        <v/>
      </c>
      <c r="F4078" s="79" t="str">
        <f t="shared" si="317"/>
        <v/>
      </c>
      <c r="G4078" s="101"/>
      <c r="H4078" s="91">
        <f t="shared" si="318"/>
        <v>0</v>
      </c>
      <c r="I4078" s="91" t="str">
        <f t="shared" si="319"/>
        <v/>
      </c>
      <c r="J4078" s="91" t="str">
        <f t="shared" si="320"/>
        <v/>
      </c>
      <c r="K4078" s="92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2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58"/>
      <c r="U4078" s="217" t="str">
        <f t="shared" si="321"/>
        <v/>
      </c>
      <c r="V4078" s="215" t="s">
        <v>47</v>
      </c>
      <c r="W4078" s="102" t="s">
        <v>136</v>
      </c>
      <c r="X4078" s="102" t="s">
        <v>137</v>
      </c>
      <c r="Y4078" s="103" t="s">
        <v>138</v>
      </c>
      <c r="Z4078" s="103" t="s">
        <v>139</v>
      </c>
      <c r="AA4078" s="103" t="s">
        <v>47</v>
      </c>
      <c r="AB4078" s="103" t="s">
        <v>140</v>
      </c>
      <c r="AC4078" s="104" t="s">
        <v>141</v>
      </c>
    </row>
    <row r="4079" spans="1:29" ht="25.5" customHeight="1" x14ac:dyDescent="0.35">
      <c r="A4079" s="188"/>
      <c r="B4079" s="190"/>
      <c r="C4079" s="99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0"/>
      <c r="E4079" s="78" t="str">
        <f>IF(C4079="","",IFERROR(VLOOKUP(C4079,parametros!$A$11:$E$15,5,0),""))</f>
        <v/>
      </c>
      <c r="F4079" s="79" t="str">
        <f t="shared" si="317"/>
        <v/>
      </c>
      <c r="G4079" s="101"/>
      <c r="H4079" s="91">
        <f t="shared" si="318"/>
        <v>0</v>
      </c>
      <c r="I4079" s="91" t="str">
        <f t="shared" si="319"/>
        <v/>
      </c>
      <c r="J4079" s="91" t="str">
        <f t="shared" si="320"/>
        <v/>
      </c>
      <c r="K4079" s="92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2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58"/>
      <c r="U4079" s="217" t="str">
        <f t="shared" si="321"/>
        <v/>
      </c>
      <c r="V4079" s="215" t="s">
        <v>47</v>
      </c>
      <c r="W4079" s="102" t="s">
        <v>136</v>
      </c>
      <c r="X4079" s="102" t="s">
        <v>137</v>
      </c>
      <c r="Y4079" s="103" t="s">
        <v>138</v>
      </c>
      <c r="Z4079" s="103" t="s">
        <v>139</v>
      </c>
      <c r="AA4079" s="103" t="s">
        <v>47</v>
      </c>
      <c r="AB4079" s="103" t="s">
        <v>140</v>
      </c>
      <c r="AC4079" s="104" t="s">
        <v>141</v>
      </c>
    </row>
    <row r="4080" spans="1:29" ht="25.5" customHeight="1" x14ac:dyDescent="0.35">
      <c r="A4080" s="188"/>
      <c r="B4080" s="190"/>
      <c r="C4080" s="99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0"/>
      <c r="E4080" s="78" t="str">
        <f>IF(C4080="","",IFERROR(VLOOKUP(C4080,parametros!$A$11:$E$15,5,0),""))</f>
        <v/>
      </c>
      <c r="F4080" s="79" t="str">
        <f t="shared" si="317"/>
        <v/>
      </c>
      <c r="G4080" s="101"/>
      <c r="H4080" s="91">
        <f t="shared" si="318"/>
        <v>0</v>
      </c>
      <c r="I4080" s="91" t="str">
        <f t="shared" si="319"/>
        <v/>
      </c>
      <c r="J4080" s="91" t="str">
        <f t="shared" si="320"/>
        <v/>
      </c>
      <c r="K4080" s="92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2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58"/>
      <c r="U4080" s="217" t="str">
        <f t="shared" si="321"/>
        <v/>
      </c>
      <c r="V4080" s="215" t="s">
        <v>47</v>
      </c>
      <c r="W4080" s="102" t="s">
        <v>136</v>
      </c>
      <c r="X4080" s="102" t="s">
        <v>137</v>
      </c>
      <c r="Y4080" s="103" t="s">
        <v>138</v>
      </c>
      <c r="Z4080" s="103" t="s">
        <v>139</v>
      </c>
      <c r="AA4080" s="103" t="s">
        <v>47</v>
      </c>
      <c r="AB4080" s="103" t="s">
        <v>140</v>
      </c>
      <c r="AC4080" s="104" t="s">
        <v>141</v>
      </c>
    </row>
    <row r="4081" spans="1:29" ht="25.5" customHeight="1" x14ac:dyDescent="0.35">
      <c r="A4081" s="188"/>
      <c r="B4081" s="190"/>
      <c r="C4081" s="99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0"/>
      <c r="E4081" s="78" t="str">
        <f>IF(C4081="","",IFERROR(VLOOKUP(C4081,parametros!$A$11:$E$15,5,0),""))</f>
        <v/>
      </c>
      <c r="F4081" s="79" t="str">
        <f t="shared" si="317"/>
        <v/>
      </c>
      <c r="G4081" s="101"/>
      <c r="H4081" s="91">
        <f t="shared" si="318"/>
        <v>0</v>
      </c>
      <c r="I4081" s="91" t="str">
        <f t="shared" si="319"/>
        <v/>
      </c>
      <c r="J4081" s="91" t="str">
        <f t="shared" si="320"/>
        <v/>
      </c>
      <c r="K4081" s="92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2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58"/>
      <c r="U4081" s="217" t="str">
        <f t="shared" si="321"/>
        <v/>
      </c>
      <c r="V4081" s="215" t="s">
        <v>47</v>
      </c>
      <c r="W4081" s="102" t="s">
        <v>136</v>
      </c>
      <c r="X4081" s="102" t="s">
        <v>137</v>
      </c>
      <c r="Y4081" s="103" t="s">
        <v>138</v>
      </c>
      <c r="Z4081" s="103" t="s">
        <v>139</v>
      </c>
      <c r="AA4081" s="103" t="s">
        <v>47</v>
      </c>
      <c r="AB4081" s="103" t="s">
        <v>140</v>
      </c>
      <c r="AC4081" s="104" t="s">
        <v>141</v>
      </c>
    </row>
    <row r="4082" spans="1:29" ht="25.5" customHeight="1" x14ac:dyDescent="0.35">
      <c r="A4082" s="188"/>
      <c r="B4082" s="190"/>
      <c r="C4082" s="99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0"/>
      <c r="E4082" s="78" t="str">
        <f>IF(C4082="","",IFERROR(VLOOKUP(C4082,parametros!$A$11:$E$15,5,0),""))</f>
        <v/>
      </c>
      <c r="F4082" s="79" t="str">
        <f t="shared" si="317"/>
        <v/>
      </c>
      <c r="G4082" s="101"/>
      <c r="H4082" s="91">
        <f t="shared" si="318"/>
        <v>0</v>
      </c>
      <c r="I4082" s="91" t="str">
        <f t="shared" si="319"/>
        <v/>
      </c>
      <c r="J4082" s="91" t="str">
        <f t="shared" si="320"/>
        <v/>
      </c>
      <c r="K4082" s="92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2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58"/>
      <c r="U4082" s="217" t="str">
        <f t="shared" si="321"/>
        <v/>
      </c>
      <c r="V4082" s="215" t="s">
        <v>47</v>
      </c>
      <c r="W4082" s="102" t="s">
        <v>136</v>
      </c>
      <c r="X4082" s="102" t="s">
        <v>137</v>
      </c>
      <c r="Y4082" s="103" t="s">
        <v>138</v>
      </c>
      <c r="Z4082" s="103" t="s">
        <v>139</v>
      </c>
      <c r="AA4082" s="103" t="s">
        <v>47</v>
      </c>
      <c r="AB4082" s="103" t="s">
        <v>140</v>
      </c>
      <c r="AC4082" s="104" t="s">
        <v>141</v>
      </c>
    </row>
    <row r="4083" spans="1:29" ht="25.5" customHeight="1" x14ac:dyDescent="0.35">
      <c r="A4083" s="188"/>
      <c r="B4083" s="190"/>
      <c r="C4083" s="99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0"/>
      <c r="E4083" s="78" t="str">
        <f>IF(C4083="","",IFERROR(VLOOKUP(C4083,parametros!$A$11:$E$15,5,0),""))</f>
        <v/>
      </c>
      <c r="F4083" s="79" t="str">
        <f t="shared" si="317"/>
        <v/>
      </c>
      <c r="G4083" s="101"/>
      <c r="H4083" s="91">
        <f t="shared" si="318"/>
        <v>0</v>
      </c>
      <c r="I4083" s="91" t="str">
        <f t="shared" si="319"/>
        <v/>
      </c>
      <c r="J4083" s="91" t="str">
        <f t="shared" si="320"/>
        <v/>
      </c>
      <c r="K4083" s="92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2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58"/>
      <c r="U4083" s="217" t="str">
        <f t="shared" si="321"/>
        <v/>
      </c>
      <c r="V4083" s="215" t="s">
        <v>47</v>
      </c>
      <c r="W4083" s="102" t="s">
        <v>136</v>
      </c>
      <c r="X4083" s="102" t="s">
        <v>137</v>
      </c>
      <c r="Y4083" s="103" t="s">
        <v>138</v>
      </c>
      <c r="Z4083" s="103" t="s">
        <v>139</v>
      </c>
      <c r="AA4083" s="103" t="s">
        <v>47</v>
      </c>
      <c r="AB4083" s="103" t="s">
        <v>140</v>
      </c>
      <c r="AC4083" s="104" t="s">
        <v>141</v>
      </c>
    </row>
    <row r="4084" spans="1:29" ht="25.5" customHeight="1" x14ac:dyDescent="0.35">
      <c r="A4084" s="188"/>
      <c r="B4084" s="190"/>
      <c r="C4084" s="99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0"/>
      <c r="E4084" s="78" t="str">
        <f>IF(C4084="","",IFERROR(VLOOKUP(C4084,parametros!$A$11:$E$15,5,0),""))</f>
        <v/>
      </c>
      <c r="F4084" s="79" t="str">
        <f t="shared" si="317"/>
        <v/>
      </c>
      <c r="G4084" s="101"/>
      <c r="H4084" s="91">
        <f t="shared" si="318"/>
        <v>0</v>
      </c>
      <c r="I4084" s="91" t="str">
        <f t="shared" si="319"/>
        <v/>
      </c>
      <c r="J4084" s="91" t="str">
        <f t="shared" si="320"/>
        <v/>
      </c>
      <c r="K4084" s="92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2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58"/>
      <c r="U4084" s="217" t="str">
        <f t="shared" si="321"/>
        <v/>
      </c>
      <c r="V4084" s="215" t="s">
        <v>47</v>
      </c>
      <c r="W4084" s="102" t="s">
        <v>136</v>
      </c>
      <c r="X4084" s="102" t="s">
        <v>137</v>
      </c>
      <c r="Y4084" s="103" t="s">
        <v>138</v>
      </c>
      <c r="Z4084" s="103" t="s">
        <v>139</v>
      </c>
      <c r="AA4084" s="103" t="s">
        <v>47</v>
      </c>
      <c r="AB4084" s="103" t="s">
        <v>140</v>
      </c>
      <c r="AC4084" s="104" t="s">
        <v>141</v>
      </c>
    </row>
    <row r="4085" spans="1:29" ht="25.5" customHeight="1" x14ac:dyDescent="0.35">
      <c r="A4085" s="188"/>
      <c r="B4085" s="190"/>
      <c r="C4085" s="99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0"/>
      <c r="E4085" s="78" t="str">
        <f>IF(C4085="","",IFERROR(VLOOKUP(C4085,parametros!$A$11:$E$15,5,0),""))</f>
        <v/>
      </c>
      <c r="F4085" s="79" t="str">
        <f t="shared" si="317"/>
        <v/>
      </c>
      <c r="G4085" s="101"/>
      <c r="H4085" s="91">
        <f t="shared" si="318"/>
        <v>0</v>
      </c>
      <c r="I4085" s="91" t="str">
        <f t="shared" si="319"/>
        <v/>
      </c>
      <c r="J4085" s="91" t="str">
        <f t="shared" si="320"/>
        <v/>
      </c>
      <c r="K4085" s="92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2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58"/>
      <c r="U4085" s="217" t="str">
        <f t="shared" si="321"/>
        <v/>
      </c>
      <c r="V4085" s="215" t="s">
        <v>47</v>
      </c>
      <c r="W4085" s="102" t="s">
        <v>136</v>
      </c>
      <c r="X4085" s="102" t="s">
        <v>137</v>
      </c>
      <c r="Y4085" s="103" t="s">
        <v>138</v>
      </c>
      <c r="Z4085" s="103" t="s">
        <v>139</v>
      </c>
      <c r="AA4085" s="103" t="s">
        <v>47</v>
      </c>
      <c r="AB4085" s="103" t="s">
        <v>140</v>
      </c>
      <c r="AC4085" s="104" t="s">
        <v>141</v>
      </c>
    </row>
    <row r="4086" spans="1:29" ht="25.5" customHeight="1" x14ac:dyDescent="0.35">
      <c r="A4086" s="188"/>
      <c r="B4086" s="190"/>
      <c r="C4086" s="99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0"/>
      <c r="E4086" s="78" t="str">
        <f>IF(C4086="","",IFERROR(VLOOKUP(C4086,parametros!$A$11:$E$15,5,0),""))</f>
        <v/>
      </c>
      <c r="F4086" s="79" t="str">
        <f t="shared" si="317"/>
        <v/>
      </c>
      <c r="G4086" s="101"/>
      <c r="H4086" s="91">
        <f t="shared" si="318"/>
        <v>0</v>
      </c>
      <c r="I4086" s="91" t="str">
        <f t="shared" si="319"/>
        <v/>
      </c>
      <c r="J4086" s="91" t="str">
        <f t="shared" si="320"/>
        <v/>
      </c>
      <c r="K4086" s="92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2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58"/>
      <c r="U4086" s="217" t="str">
        <f t="shared" si="321"/>
        <v/>
      </c>
      <c r="V4086" s="215" t="s">
        <v>47</v>
      </c>
      <c r="W4086" s="102" t="s">
        <v>136</v>
      </c>
      <c r="X4086" s="102" t="s">
        <v>137</v>
      </c>
      <c r="Y4086" s="103" t="s">
        <v>138</v>
      </c>
      <c r="Z4086" s="103" t="s">
        <v>139</v>
      </c>
      <c r="AA4086" s="103" t="s">
        <v>47</v>
      </c>
      <c r="AB4086" s="103" t="s">
        <v>140</v>
      </c>
      <c r="AC4086" s="104" t="s">
        <v>141</v>
      </c>
    </row>
    <row r="4087" spans="1:29" ht="25.5" customHeight="1" x14ac:dyDescent="0.35">
      <c r="A4087" s="188"/>
      <c r="B4087" s="190"/>
      <c r="C4087" s="99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0"/>
      <c r="E4087" s="78" t="str">
        <f>IF(C4087="","",IFERROR(VLOOKUP(C4087,parametros!$A$11:$E$15,5,0),""))</f>
        <v/>
      </c>
      <c r="F4087" s="79" t="str">
        <f t="shared" si="317"/>
        <v/>
      </c>
      <c r="G4087" s="101"/>
      <c r="H4087" s="91">
        <f t="shared" si="318"/>
        <v>0</v>
      </c>
      <c r="I4087" s="91" t="str">
        <f t="shared" si="319"/>
        <v/>
      </c>
      <c r="J4087" s="91" t="str">
        <f t="shared" si="320"/>
        <v/>
      </c>
      <c r="K4087" s="92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2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58"/>
      <c r="U4087" s="217" t="str">
        <f t="shared" si="321"/>
        <v/>
      </c>
      <c r="V4087" s="215" t="s">
        <v>47</v>
      </c>
      <c r="W4087" s="102" t="s">
        <v>136</v>
      </c>
      <c r="X4087" s="102" t="s">
        <v>137</v>
      </c>
      <c r="Y4087" s="103" t="s">
        <v>138</v>
      </c>
      <c r="Z4087" s="103" t="s">
        <v>139</v>
      </c>
      <c r="AA4087" s="103" t="s">
        <v>47</v>
      </c>
      <c r="AB4087" s="103" t="s">
        <v>140</v>
      </c>
      <c r="AC4087" s="104" t="s">
        <v>141</v>
      </c>
    </row>
    <row r="4088" spans="1:29" ht="25.5" customHeight="1" x14ac:dyDescent="0.35">
      <c r="A4088" s="188"/>
      <c r="B4088" s="190"/>
      <c r="C4088" s="99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0"/>
      <c r="E4088" s="78" t="str">
        <f>IF(C4088="","",IFERROR(VLOOKUP(C4088,parametros!$A$11:$E$15,5,0),""))</f>
        <v/>
      </c>
      <c r="F4088" s="79" t="str">
        <f t="shared" si="317"/>
        <v/>
      </c>
      <c r="G4088" s="101"/>
      <c r="H4088" s="91">
        <f t="shared" si="318"/>
        <v>0</v>
      </c>
      <c r="I4088" s="91" t="str">
        <f t="shared" si="319"/>
        <v/>
      </c>
      <c r="J4088" s="91" t="str">
        <f t="shared" si="320"/>
        <v/>
      </c>
      <c r="K4088" s="92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2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58"/>
      <c r="U4088" s="217" t="str">
        <f t="shared" si="321"/>
        <v/>
      </c>
      <c r="V4088" s="215" t="s">
        <v>47</v>
      </c>
      <c r="W4088" s="102" t="s">
        <v>136</v>
      </c>
      <c r="X4088" s="102" t="s">
        <v>137</v>
      </c>
      <c r="Y4088" s="103" t="s">
        <v>138</v>
      </c>
      <c r="Z4088" s="103" t="s">
        <v>139</v>
      </c>
      <c r="AA4088" s="103" t="s">
        <v>47</v>
      </c>
      <c r="AB4088" s="103" t="s">
        <v>140</v>
      </c>
      <c r="AC4088" s="104" t="s">
        <v>141</v>
      </c>
    </row>
    <row r="4089" spans="1:29" ht="25.5" customHeight="1" x14ac:dyDescent="0.35">
      <c r="A4089" s="188"/>
      <c r="B4089" s="190"/>
      <c r="C4089" s="99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0"/>
      <c r="E4089" s="78" t="str">
        <f>IF(C4089="","",IFERROR(VLOOKUP(C4089,parametros!$A$11:$E$15,5,0),""))</f>
        <v/>
      </c>
      <c r="F4089" s="79" t="str">
        <f t="shared" si="317"/>
        <v/>
      </c>
      <c r="G4089" s="101"/>
      <c r="H4089" s="91">
        <f t="shared" si="318"/>
        <v>0</v>
      </c>
      <c r="I4089" s="91" t="str">
        <f t="shared" si="319"/>
        <v/>
      </c>
      <c r="J4089" s="91" t="str">
        <f t="shared" si="320"/>
        <v/>
      </c>
      <c r="K4089" s="92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2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58"/>
      <c r="U4089" s="217" t="str">
        <f t="shared" si="321"/>
        <v/>
      </c>
      <c r="V4089" s="215" t="s">
        <v>47</v>
      </c>
      <c r="W4089" s="102" t="s">
        <v>136</v>
      </c>
      <c r="X4089" s="102" t="s">
        <v>137</v>
      </c>
      <c r="Y4089" s="103" t="s">
        <v>138</v>
      </c>
      <c r="Z4089" s="103" t="s">
        <v>139</v>
      </c>
      <c r="AA4089" s="103" t="s">
        <v>47</v>
      </c>
      <c r="AB4089" s="103" t="s">
        <v>140</v>
      </c>
      <c r="AC4089" s="104" t="s">
        <v>141</v>
      </c>
    </row>
    <row r="4090" spans="1:29" ht="25.5" customHeight="1" x14ac:dyDescent="0.35">
      <c r="A4090" s="188"/>
      <c r="B4090" s="190"/>
      <c r="C4090" s="99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0"/>
      <c r="E4090" s="78" t="str">
        <f>IF(C4090="","",IFERROR(VLOOKUP(C4090,parametros!$A$11:$E$15,5,0),""))</f>
        <v/>
      </c>
      <c r="F4090" s="79" t="str">
        <f t="shared" si="317"/>
        <v/>
      </c>
      <c r="G4090" s="101"/>
      <c r="H4090" s="91">
        <f t="shared" si="318"/>
        <v>0</v>
      </c>
      <c r="I4090" s="91" t="str">
        <f t="shared" si="319"/>
        <v/>
      </c>
      <c r="J4090" s="91" t="str">
        <f t="shared" si="320"/>
        <v/>
      </c>
      <c r="K4090" s="92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2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58"/>
      <c r="U4090" s="217" t="str">
        <f t="shared" si="321"/>
        <v/>
      </c>
      <c r="V4090" s="215" t="s">
        <v>47</v>
      </c>
      <c r="W4090" s="102" t="s">
        <v>136</v>
      </c>
      <c r="X4090" s="102" t="s">
        <v>137</v>
      </c>
      <c r="Y4090" s="103" t="s">
        <v>138</v>
      </c>
      <c r="Z4090" s="103" t="s">
        <v>139</v>
      </c>
      <c r="AA4090" s="103" t="s">
        <v>47</v>
      </c>
      <c r="AB4090" s="103" t="s">
        <v>140</v>
      </c>
      <c r="AC4090" s="104" t="s">
        <v>141</v>
      </c>
    </row>
    <row r="4091" spans="1:29" ht="25.5" customHeight="1" x14ac:dyDescent="0.35">
      <c r="A4091" s="188"/>
      <c r="B4091" s="190"/>
      <c r="C4091" s="99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0"/>
      <c r="E4091" s="78" t="str">
        <f>IF(C4091="","",IFERROR(VLOOKUP(C4091,parametros!$A$11:$E$15,5,0),""))</f>
        <v/>
      </c>
      <c r="F4091" s="79" t="str">
        <f t="shared" si="317"/>
        <v/>
      </c>
      <c r="G4091" s="101"/>
      <c r="H4091" s="91">
        <f t="shared" si="318"/>
        <v>0</v>
      </c>
      <c r="I4091" s="91" t="str">
        <f t="shared" si="319"/>
        <v/>
      </c>
      <c r="J4091" s="91" t="str">
        <f t="shared" si="320"/>
        <v/>
      </c>
      <c r="K4091" s="92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2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58"/>
      <c r="U4091" s="217" t="str">
        <f t="shared" si="321"/>
        <v/>
      </c>
      <c r="V4091" s="215" t="s">
        <v>47</v>
      </c>
      <c r="W4091" s="102" t="s">
        <v>136</v>
      </c>
      <c r="X4091" s="102" t="s">
        <v>137</v>
      </c>
      <c r="Y4091" s="103" t="s">
        <v>138</v>
      </c>
      <c r="Z4091" s="103" t="s">
        <v>139</v>
      </c>
      <c r="AA4091" s="103" t="s">
        <v>47</v>
      </c>
      <c r="AB4091" s="103" t="s">
        <v>140</v>
      </c>
      <c r="AC4091" s="104" t="s">
        <v>141</v>
      </c>
    </row>
    <row r="4092" spans="1:29" ht="25.5" customHeight="1" x14ac:dyDescent="0.35">
      <c r="A4092" s="188"/>
      <c r="B4092" s="190"/>
      <c r="C4092" s="99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0"/>
      <c r="E4092" s="78" t="str">
        <f>IF(C4092="","",IFERROR(VLOOKUP(C4092,parametros!$A$11:$E$15,5,0),""))</f>
        <v/>
      </c>
      <c r="F4092" s="79" t="str">
        <f t="shared" si="317"/>
        <v/>
      </c>
      <c r="G4092" s="101"/>
      <c r="H4092" s="91">
        <f t="shared" si="318"/>
        <v>0</v>
      </c>
      <c r="I4092" s="91" t="str">
        <f t="shared" si="319"/>
        <v/>
      </c>
      <c r="J4092" s="91" t="str">
        <f t="shared" si="320"/>
        <v/>
      </c>
      <c r="K4092" s="92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2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58"/>
      <c r="U4092" s="217" t="str">
        <f t="shared" si="321"/>
        <v/>
      </c>
      <c r="V4092" s="215" t="s">
        <v>47</v>
      </c>
      <c r="W4092" s="102" t="s">
        <v>136</v>
      </c>
      <c r="X4092" s="102" t="s">
        <v>137</v>
      </c>
      <c r="Y4092" s="103" t="s">
        <v>138</v>
      </c>
      <c r="Z4092" s="103" t="s">
        <v>139</v>
      </c>
      <c r="AA4092" s="103" t="s">
        <v>47</v>
      </c>
      <c r="AB4092" s="103" t="s">
        <v>140</v>
      </c>
      <c r="AC4092" s="104" t="s">
        <v>141</v>
      </c>
    </row>
    <row r="4093" spans="1:29" ht="25.5" customHeight="1" x14ac:dyDescent="0.35">
      <c r="A4093" s="188"/>
      <c r="B4093" s="190"/>
      <c r="C4093" s="99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0"/>
      <c r="E4093" s="78" t="str">
        <f>IF(C4093="","",IFERROR(VLOOKUP(C4093,parametros!$A$11:$E$15,5,0),""))</f>
        <v/>
      </c>
      <c r="F4093" s="79" t="str">
        <f t="shared" si="317"/>
        <v/>
      </c>
      <c r="G4093" s="101"/>
      <c r="H4093" s="91">
        <f t="shared" si="318"/>
        <v>0</v>
      </c>
      <c r="I4093" s="91" t="str">
        <f t="shared" si="319"/>
        <v/>
      </c>
      <c r="J4093" s="91" t="str">
        <f t="shared" si="320"/>
        <v/>
      </c>
      <c r="K4093" s="92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2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58"/>
      <c r="U4093" s="217" t="str">
        <f t="shared" si="321"/>
        <v/>
      </c>
      <c r="V4093" s="215" t="s">
        <v>47</v>
      </c>
      <c r="W4093" s="102" t="s">
        <v>136</v>
      </c>
      <c r="X4093" s="102" t="s">
        <v>137</v>
      </c>
      <c r="Y4093" s="103" t="s">
        <v>138</v>
      </c>
      <c r="Z4093" s="103" t="s">
        <v>139</v>
      </c>
      <c r="AA4093" s="103" t="s">
        <v>47</v>
      </c>
      <c r="AB4093" s="103" t="s">
        <v>140</v>
      </c>
      <c r="AC4093" s="104" t="s">
        <v>141</v>
      </c>
    </row>
    <row r="4094" spans="1:29" ht="25.5" customHeight="1" x14ac:dyDescent="0.35">
      <c r="A4094" s="188"/>
      <c r="B4094" s="190"/>
      <c r="C4094" s="99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0"/>
      <c r="E4094" s="78" t="str">
        <f>IF(C4094="","",IFERROR(VLOOKUP(C4094,parametros!$A$11:$E$15,5,0),""))</f>
        <v/>
      </c>
      <c r="F4094" s="79" t="str">
        <f t="shared" si="317"/>
        <v/>
      </c>
      <c r="G4094" s="101"/>
      <c r="H4094" s="91">
        <f t="shared" si="318"/>
        <v>0</v>
      </c>
      <c r="I4094" s="91" t="str">
        <f t="shared" si="319"/>
        <v/>
      </c>
      <c r="J4094" s="91" t="str">
        <f t="shared" si="320"/>
        <v/>
      </c>
      <c r="K4094" s="92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2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58"/>
      <c r="U4094" s="217" t="str">
        <f t="shared" si="321"/>
        <v/>
      </c>
      <c r="V4094" s="215" t="s">
        <v>47</v>
      </c>
      <c r="W4094" s="102" t="s">
        <v>136</v>
      </c>
      <c r="X4094" s="102" t="s">
        <v>137</v>
      </c>
      <c r="Y4094" s="103" t="s">
        <v>138</v>
      </c>
      <c r="Z4094" s="103" t="s">
        <v>139</v>
      </c>
      <c r="AA4094" s="103" t="s">
        <v>47</v>
      </c>
      <c r="AB4094" s="103" t="s">
        <v>140</v>
      </c>
      <c r="AC4094" s="104" t="s">
        <v>141</v>
      </c>
    </row>
    <row r="4095" spans="1:29" ht="25.5" customHeight="1" x14ac:dyDescent="0.35">
      <c r="A4095" s="188"/>
      <c r="B4095" s="190"/>
      <c r="C4095" s="99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0"/>
      <c r="E4095" s="78" t="str">
        <f>IF(C4095="","",IFERROR(VLOOKUP(C4095,parametros!$A$11:$E$15,5,0),""))</f>
        <v/>
      </c>
      <c r="F4095" s="79" t="str">
        <f t="shared" si="317"/>
        <v/>
      </c>
      <c r="G4095" s="101"/>
      <c r="H4095" s="91">
        <f t="shared" si="318"/>
        <v>0</v>
      </c>
      <c r="I4095" s="91" t="str">
        <f t="shared" si="319"/>
        <v/>
      </c>
      <c r="J4095" s="91" t="str">
        <f t="shared" si="320"/>
        <v/>
      </c>
      <c r="K4095" s="92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2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58"/>
      <c r="U4095" s="217" t="str">
        <f t="shared" si="321"/>
        <v/>
      </c>
      <c r="V4095" s="215" t="s">
        <v>47</v>
      </c>
      <c r="W4095" s="102" t="s">
        <v>136</v>
      </c>
      <c r="X4095" s="102" t="s">
        <v>137</v>
      </c>
      <c r="Y4095" s="103" t="s">
        <v>138</v>
      </c>
      <c r="Z4095" s="103" t="s">
        <v>139</v>
      </c>
      <c r="AA4095" s="103" t="s">
        <v>47</v>
      </c>
      <c r="AB4095" s="103" t="s">
        <v>140</v>
      </c>
      <c r="AC4095" s="104" t="s">
        <v>141</v>
      </c>
    </row>
    <row r="4096" spans="1:29" ht="25.5" customHeight="1" x14ac:dyDescent="0.35">
      <c r="A4096" s="188"/>
      <c r="B4096" s="190"/>
      <c r="C4096" s="99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0"/>
      <c r="E4096" s="78" t="str">
        <f>IF(C4096="","",IFERROR(VLOOKUP(C4096,parametros!$A$11:$E$15,5,0),""))</f>
        <v/>
      </c>
      <c r="F4096" s="79" t="str">
        <f t="shared" si="317"/>
        <v/>
      </c>
      <c r="G4096" s="101"/>
      <c r="H4096" s="91">
        <f t="shared" si="318"/>
        <v>0</v>
      </c>
      <c r="I4096" s="91" t="str">
        <f t="shared" si="319"/>
        <v/>
      </c>
      <c r="J4096" s="91" t="str">
        <f t="shared" si="320"/>
        <v/>
      </c>
      <c r="K4096" s="92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2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58"/>
      <c r="U4096" s="217" t="str">
        <f t="shared" si="321"/>
        <v/>
      </c>
      <c r="V4096" s="215" t="s">
        <v>47</v>
      </c>
      <c r="W4096" s="102" t="s">
        <v>136</v>
      </c>
      <c r="X4096" s="102" t="s">
        <v>137</v>
      </c>
      <c r="Y4096" s="103" t="s">
        <v>138</v>
      </c>
      <c r="Z4096" s="103" t="s">
        <v>139</v>
      </c>
      <c r="AA4096" s="103" t="s">
        <v>47</v>
      </c>
      <c r="AB4096" s="103" t="s">
        <v>140</v>
      </c>
      <c r="AC4096" s="104" t="s">
        <v>141</v>
      </c>
    </row>
    <row r="4097" spans="1:29" ht="25.5" customHeight="1" x14ac:dyDescent="0.35">
      <c r="A4097" s="188"/>
      <c r="B4097" s="190"/>
      <c r="C4097" s="99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0"/>
      <c r="E4097" s="78" t="str">
        <f>IF(C4097="","",IFERROR(VLOOKUP(C4097,parametros!$A$11:$E$15,5,0),""))</f>
        <v/>
      </c>
      <c r="F4097" s="79" t="str">
        <f t="shared" si="317"/>
        <v/>
      </c>
      <c r="G4097" s="101"/>
      <c r="H4097" s="91">
        <f t="shared" si="318"/>
        <v>0</v>
      </c>
      <c r="I4097" s="91" t="str">
        <f t="shared" si="319"/>
        <v/>
      </c>
      <c r="J4097" s="91" t="str">
        <f t="shared" si="320"/>
        <v/>
      </c>
      <c r="K4097" s="92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2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58"/>
      <c r="U4097" s="217" t="str">
        <f t="shared" si="321"/>
        <v/>
      </c>
      <c r="V4097" s="215" t="s">
        <v>47</v>
      </c>
      <c r="W4097" s="102" t="s">
        <v>136</v>
      </c>
      <c r="X4097" s="102" t="s">
        <v>137</v>
      </c>
      <c r="Y4097" s="103" t="s">
        <v>138</v>
      </c>
      <c r="Z4097" s="103" t="s">
        <v>139</v>
      </c>
      <c r="AA4097" s="103" t="s">
        <v>47</v>
      </c>
      <c r="AB4097" s="103" t="s">
        <v>140</v>
      </c>
      <c r="AC4097" s="104" t="s">
        <v>141</v>
      </c>
    </row>
    <row r="4098" spans="1:29" ht="25.5" customHeight="1" x14ac:dyDescent="0.35">
      <c r="A4098" s="188"/>
      <c r="B4098" s="190"/>
      <c r="C4098" s="99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0"/>
      <c r="E4098" s="78" t="str">
        <f>IF(C4098="","",IFERROR(VLOOKUP(C4098,parametros!$A$11:$E$15,5,0),""))</f>
        <v/>
      </c>
      <c r="F4098" s="79" t="str">
        <f t="shared" ref="F4098:F4161" si="322">IF(OR(D4098="",E4098=""),"",ROUND(D4098*E4098,2))</f>
        <v/>
      </c>
      <c r="G4098" s="101"/>
      <c r="H4098" s="91">
        <f t="shared" ref="H4098:H4161" si="323">IF(G4098="Sim",IF(OR(F4098="",D4098="",L4098=""),"",IF(L4098="Sim",ROUND(F4098-D4098,2),0)),0)</f>
        <v>0</v>
      </c>
      <c r="I4098" s="91" t="str">
        <f t="shared" ref="I4098:I4161" si="324">IF(G4098="Sim",0,IF(OR(F4098="",L4098=""),"",F4098))</f>
        <v/>
      </c>
      <c r="J4098" s="91" t="str">
        <f t="shared" ref="J4098:J4161" si="325">IF(G4098="Sim",0,IF(OR(F4098="",D4098="",L4098=""),"",IF(L4098="Sim",ROUND(F4098-D4098,2),0)))</f>
        <v/>
      </c>
      <c r="K4098" s="92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2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58"/>
      <c r="U4098" s="217" t="str">
        <f t="shared" ref="U4098:U4161" si="326">IF(OR($D4098="",$H4098=""),"",ROUND($D4098+$H4098,2))</f>
        <v/>
      </c>
      <c r="V4098" s="215" t="s">
        <v>47</v>
      </c>
      <c r="W4098" s="102" t="s">
        <v>136</v>
      </c>
      <c r="X4098" s="102" t="s">
        <v>137</v>
      </c>
      <c r="Y4098" s="103" t="s">
        <v>138</v>
      </c>
      <c r="Z4098" s="103" t="s">
        <v>139</v>
      </c>
      <c r="AA4098" s="103" t="s">
        <v>47</v>
      </c>
      <c r="AB4098" s="103" t="s">
        <v>140</v>
      </c>
      <c r="AC4098" s="104" t="s">
        <v>141</v>
      </c>
    </row>
    <row r="4099" spans="1:29" ht="25.5" customHeight="1" x14ac:dyDescent="0.35">
      <c r="A4099" s="188"/>
      <c r="B4099" s="190"/>
      <c r="C4099" s="99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0"/>
      <c r="E4099" s="78" t="str">
        <f>IF(C4099="","",IFERROR(VLOOKUP(C4099,parametros!$A$11:$E$15,5,0),""))</f>
        <v/>
      </c>
      <c r="F4099" s="79" t="str">
        <f t="shared" si="322"/>
        <v/>
      </c>
      <c r="G4099" s="101"/>
      <c r="H4099" s="91">
        <f t="shared" si="323"/>
        <v>0</v>
      </c>
      <c r="I4099" s="91" t="str">
        <f t="shared" si="324"/>
        <v/>
      </c>
      <c r="J4099" s="91" t="str">
        <f t="shared" si="325"/>
        <v/>
      </c>
      <c r="K4099" s="92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2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58"/>
      <c r="U4099" s="217" t="str">
        <f t="shared" si="326"/>
        <v/>
      </c>
      <c r="V4099" s="215" t="s">
        <v>47</v>
      </c>
      <c r="W4099" s="102" t="s">
        <v>136</v>
      </c>
      <c r="X4099" s="102" t="s">
        <v>137</v>
      </c>
      <c r="Y4099" s="103" t="s">
        <v>138</v>
      </c>
      <c r="Z4099" s="103" t="s">
        <v>139</v>
      </c>
      <c r="AA4099" s="103" t="s">
        <v>47</v>
      </c>
      <c r="AB4099" s="103" t="s">
        <v>140</v>
      </c>
      <c r="AC4099" s="104" t="s">
        <v>141</v>
      </c>
    </row>
    <row r="4100" spans="1:29" ht="25.5" customHeight="1" x14ac:dyDescent="0.35">
      <c r="A4100" s="188"/>
      <c r="B4100" s="190"/>
      <c r="C4100" s="99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0"/>
      <c r="E4100" s="78" t="str">
        <f>IF(C4100="","",IFERROR(VLOOKUP(C4100,parametros!$A$11:$E$15,5,0),""))</f>
        <v/>
      </c>
      <c r="F4100" s="79" t="str">
        <f t="shared" si="322"/>
        <v/>
      </c>
      <c r="G4100" s="101"/>
      <c r="H4100" s="91">
        <f t="shared" si="323"/>
        <v>0</v>
      </c>
      <c r="I4100" s="91" t="str">
        <f t="shared" si="324"/>
        <v/>
      </c>
      <c r="J4100" s="91" t="str">
        <f t="shared" si="325"/>
        <v/>
      </c>
      <c r="K4100" s="92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2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58"/>
      <c r="U4100" s="217" t="str">
        <f t="shared" si="326"/>
        <v/>
      </c>
      <c r="V4100" s="215" t="s">
        <v>47</v>
      </c>
      <c r="W4100" s="102" t="s">
        <v>136</v>
      </c>
      <c r="X4100" s="102" t="s">
        <v>137</v>
      </c>
      <c r="Y4100" s="103" t="s">
        <v>138</v>
      </c>
      <c r="Z4100" s="103" t="s">
        <v>139</v>
      </c>
      <c r="AA4100" s="103" t="s">
        <v>47</v>
      </c>
      <c r="AB4100" s="103" t="s">
        <v>140</v>
      </c>
      <c r="AC4100" s="104" t="s">
        <v>141</v>
      </c>
    </row>
    <row r="4101" spans="1:29" ht="25.5" customHeight="1" x14ac:dyDescent="0.35">
      <c r="A4101" s="188"/>
      <c r="B4101" s="190"/>
      <c r="C4101" s="99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0"/>
      <c r="E4101" s="78" t="str">
        <f>IF(C4101="","",IFERROR(VLOOKUP(C4101,parametros!$A$11:$E$15,5,0),""))</f>
        <v/>
      </c>
      <c r="F4101" s="79" t="str">
        <f t="shared" si="322"/>
        <v/>
      </c>
      <c r="G4101" s="101"/>
      <c r="H4101" s="91">
        <f t="shared" si="323"/>
        <v>0</v>
      </c>
      <c r="I4101" s="91" t="str">
        <f t="shared" si="324"/>
        <v/>
      </c>
      <c r="J4101" s="91" t="str">
        <f t="shared" si="325"/>
        <v/>
      </c>
      <c r="K4101" s="92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2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58"/>
      <c r="U4101" s="217" t="str">
        <f t="shared" si="326"/>
        <v/>
      </c>
      <c r="V4101" s="215" t="s">
        <v>47</v>
      </c>
      <c r="W4101" s="102" t="s">
        <v>136</v>
      </c>
      <c r="X4101" s="102" t="s">
        <v>137</v>
      </c>
      <c r="Y4101" s="103" t="s">
        <v>138</v>
      </c>
      <c r="Z4101" s="103" t="s">
        <v>139</v>
      </c>
      <c r="AA4101" s="103" t="s">
        <v>47</v>
      </c>
      <c r="AB4101" s="103" t="s">
        <v>140</v>
      </c>
      <c r="AC4101" s="104" t="s">
        <v>141</v>
      </c>
    </row>
    <row r="4102" spans="1:29" ht="25.5" customHeight="1" x14ac:dyDescent="0.35">
      <c r="A4102" s="188"/>
      <c r="B4102" s="190"/>
      <c r="C4102" s="99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0"/>
      <c r="E4102" s="78" t="str">
        <f>IF(C4102="","",IFERROR(VLOOKUP(C4102,parametros!$A$11:$E$15,5,0),""))</f>
        <v/>
      </c>
      <c r="F4102" s="79" t="str">
        <f t="shared" si="322"/>
        <v/>
      </c>
      <c r="G4102" s="101"/>
      <c r="H4102" s="91">
        <f t="shared" si="323"/>
        <v>0</v>
      </c>
      <c r="I4102" s="91" t="str">
        <f t="shared" si="324"/>
        <v/>
      </c>
      <c r="J4102" s="91" t="str">
        <f t="shared" si="325"/>
        <v/>
      </c>
      <c r="K4102" s="92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2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58"/>
      <c r="U4102" s="217" t="str">
        <f t="shared" si="326"/>
        <v/>
      </c>
      <c r="V4102" s="215" t="s">
        <v>47</v>
      </c>
      <c r="W4102" s="102" t="s">
        <v>136</v>
      </c>
      <c r="X4102" s="102" t="s">
        <v>137</v>
      </c>
      <c r="Y4102" s="103" t="s">
        <v>138</v>
      </c>
      <c r="Z4102" s="103" t="s">
        <v>139</v>
      </c>
      <c r="AA4102" s="103" t="s">
        <v>47</v>
      </c>
      <c r="AB4102" s="103" t="s">
        <v>140</v>
      </c>
      <c r="AC4102" s="104" t="s">
        <v>141</v>
      </c>
    </row>
    <row r="4103" spans="1:29" ht="25.5" customHeight="1" x14ac:dyDescent="0.35">
      <c r="A4103" s="188"/>
      <c r="B4103" s="190"/>
      <c r="C4103" s="99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0"/>
      <c r="E4103" s="78" t="str">
        <f>IF(C4103="","",IFERROR(VLOOKUP(C4103,parametros!$A$11:$E$15,5,0),""))</f>
        <v/>
      </c>
      <c r="F4103" s="79" t="str">
        <f t="shared" si="322"/>
        <v/>
      </c>
      <c r="G4103" s="101"/>
      <c r="H4103" s="91">
        <f t="shared" si="323"/>
        <v>0</v>
      </c>
      <c r="I4103" s="91" t="str">
        <f t="shared" si="324"/>
        <v/>
      </c>
      <c r="J4103" s="91" t="str">
        <f t="shared" si="325"/>
        <v/>
      </c>
      <c r="K4103" s="92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2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58"/>
      <c r="U4103" s="217" t="str">
        <f t="shared" si="326"/>
        <v/>
      </c>
      <c r="V4103" s="215" t="s">
        <v>47</v>
      </c>
      <c r="W4103" s="102" t="s">
        <v>136</v>
      </c>
      <c r="X4103" s="102" t="s">
        <v>137</v>
      </c>
      <c r="Y4103" s="103" t="s">
        <v>138</v>
      </c>
      <c r="Z4103" s="103" t="s">
        <v>139</v>
      </c>
      <c r="AA4103" s="103" t="s">
        <v>47</v>
      </c>
      <c r="AB4103" s="103" t="s">
        <v>140</v>
      </c>
      <c r="AC4103" s="104" t="s">
        <v>141</v>
      </c>
    </row>
    <row r="4104" spans="1:29" ht="25.5" customHeight="1" x14ac:dyDescent="0.35">
      <c r="A4104" s="188"/>
      <c r="B4104" s="190"/>
      <c r="C4104" s="99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0"/>
      <c r="E4104" s="78" t="str">
        <f>IF(C4104="","",IFERROR(VLOOKUP(C4104,parametros!$A$11:$E$15,5,0),""))</f>
        <v/>
      </c>
      <c r="F4104" s="79" t="str">
        <f t="shared" si="322"/>
        <v/>
      </c>
      <c r="G4104" s="101"/>
      <c r="H4104" s="91">
        <f t="shared" si="323"/>
        <v>0</v>
      </c>
      <c r="I4104" s="91" t="str">
        <f t="shared" si="324"/>
        <v/>
      </c>
      <c r="J4104" s="91" t="str">
        <f t="shared" si="325"/>
        <v/>
      </c>
      <c r="K4104" s="92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2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58"/>
      <c r="U4104" s="217" t="str">
        <f t="shared" si="326"/>
        <v/>
      </c>
      <c r="V4104" s="215" t="s">
        <v>47</v>
      </c>
      <c r="W4104" s="102" t="s">
        <v>136</v>
      </c>
      <c r="X4104" s="102" t="s">
        <v>137</v>
      </c>
      <c r="Y4104" s="103" t="s">
        <v>138</v>
      </c>
      <c r="Z4104" s="103" t="s">
        <v>139</v>
      </c>
      <c r="AA4104" s="103" t="s">
        <v>47</v>
      </c>
      <c r="AB4104" s="103" t="s">
        <v>140</v>
      </c>
      <c r="AC4104" s="104" t="s">
        <v>141</v>
      </c>
    </row>
    <row r="4105" spans="1:29" ht="25.5" customHeight="1" x14ac:dyDescent="0.35">
      <c r="A4105" s="188"/>
      <c r="B4105" s="190"/>
      <c r="C4105" s="99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0"/>
      <c r="E4105" s="78" t="str">
        <f>IF(C4105="","",IFERROR(VLOOKUP(C4105,parametros!$A$11:$E$15,5,0),""))</f>
        <v/>
      </c>
      <c r="F4105" s="79" t="str">
        <f t="shared" si="322"/>
        <v/>
      </c>
      <c r="G4105" s="101"/>
      <c r="H4105" s="91">
        <f t="shared" si="323"/>
        <v>0</v>
      </c>
      <c r="I4105" s="91" t="str">
        <f t="shared" si="324"/>
        <v/>
      </c>
      <c r="J4105" s="91" t="str">
        <f t="shared" si="325"/>
        <v/>
      </c>
      <c r="K4105" s="92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2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58"/>
      <c r="U4105" s="217" t="str">
        <f t="shared" si="326"/>
        <v/>
      </c>
      <c r="V4105" s="215" t="s">
        <v>47</v>
      </c>
      <c r="W4105" s="102" t="s">
        <v>136</v>
      </c>
      <c r="X4105" s="102" t="s">
        <v>137</v>
      </c>
      <c r="Y4105" s="103" t="s">
        <v>138</v>
      </c>
      <c r="Z4105" s="103" t="s">
        <v>139</v>
      </c>
      <c r="AA4105" s="103" t="s">
        <v>47</v>
      </c>
      <c r="AB4105" s="103" t="s">
        <v>140</v>
      </c>
      <c r="AC4105" s="104" t="s">
        <v>141</v>
      </c>
    </row>
    <row r="4106" spans="1:29" ht="25.5" customHeight="1" x14ac:dyDescent="0.35">
      <c r="A4106" s="188"/>
      <c r="B4106" s="190"/>
      <c r="C4106" s="99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0"/>
      <c r="E4106" s="78" t="str">
        <f>IF(C4106="","",IFERROR(VLOOKUP(C4106,parametros!$A$11:$E$15,5,0),""))</f>
        <v/>
      </c>
      <c r="F4106" s="79" t="str">
        <f t="shared" si="322"/>
        <v/>
      </c>
      <c r="G4106" s="101"/>
      <c r="H4106" s="91">
        <f t="shared" si="323"/>
        <v>0</v>
      </c>
      <c r="I4106" s="91" t="str">
        <f t="shared" si="324"/>
        <v/>
      </c>
      <c r="J4106" s="91" t="str">
        <f t="shared" si="325"/>
        <v/>
      </c>
      <c r="K4106" s="92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2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58"/>
      <c r="U4106" s="217" t="str">
        <f t="shared" si="326"/>
        <v/>
      </c>
      <c r="V4106" s="215" t="s">
        <v>47</v>
      </c>
      <c r="W4106" s="102" t="s">
        <v>136</v>
      </c>
      <c r="X4106" s="102" t="s">
        <v>137</v>
      </c>
      <c r="Y4106" s="103" t="s">
        <v>138</v>
      </c>
      <c r="Z4106" s="103" t="s">
        <v>139</v>
      </c>
      <c r="AA4106" s="103" t="s">
        <v>47</v>
      </c>
      <c r="AB4106" s="103" t="s">
        <v>140</v>
      </c>
      <c r="AC4106" s="104" t="s">
        <v>141</v>
      </c>
    </row>
    <row r="4107" spans="1:29" ht="25.5" customHeight="1" x14ac:dyDescent="0.35">
      <c r="A4107" s="188"/>
      <c r="B4107" s="190"/>
      <c r="C4107" s="99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0"/>
      <c r="E4107" s="78" t="str">
        <f>IF(C4107="","",IFERROR(VLOOKUP(C4107,parametros!$A$11:$E$15,5,0),""))</f>
        <v/>
      </c>
      <c r="F4107" s="79" t="str">
        <f t="shared" si="322"/>
        <v/>
      </c>
      <c r="G4107" s="101"/>
      <c r="H4107" s="91">
        <f t="shared" si="323"/>
        <v>0</v>
      </c>
      <c r="I4107" s="91" t="str">
        <f t="shared" si="324"/>
        <v/>
      </c>
      <c r="J4107" s="91" t="str">
        <f t="shared" si="325"/>
        <v/>
      </c>
      <c r="K4107" s="92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2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58"/>
      <c r="U4107" s="217" t="str">
        <f t="shared" si="326"/>
        <v/>
      </c>
      <c r="V4107" s="215" t="s">
        <v>47</v>
      </c>
      <c r="W4107" s="102" t="s">
        <v>136</v>
      </c>
      <c r="X4107" s="102" t="s">
        <v>137</v>
      </c>
      <c r="Y4107" s="103" t="s">
        <v>138</v>
      </c>
      <c r="Z4107" s="103" t="s">
        <v>139</v>
      </c>
      <c r="AA4107" s="103" t="s">
        <v>47</v>
      </c>
      <c r="AB4107" s="103" t="s">
        <v>140</v>
      </c>
      <c r="AC4107" s="104" t="s">
        <v>141</v>
      </c>
    </row>
    <row r="4108" spans="1:29" ht="25.5" customHeight="1" x14ac:dyDescent="0.35">
      <c r="A4108" s="188"/>
      <c r="B4108" s="190"/>
      <c r="C4108" s="99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0"/>
      <c r="E4108" s="78" t="str">
        <f>IF(C4108="","",IFERROR(VLOOKUP(C4108,parametros!$A$11:$E$15,5,0),""))</f>
        <v/>
      </c>
      <c r="F4108" s="79" t="str">
        <f t="shared" si="322"/>
        <v/>
      </c>
      <c r="G4108" s="101"/>
      <c r="H4108" s="91">
        <f t="shared" si="323"/>
        <v>0</v>
      </c>
      <c r="I4108" s="91" t="str">
        <f t="shared" si="324"/>
        <v/>
      </c>
      <c r="J4108" s="91" t="str">
        <f t="shared" si="325"/>
        <v/>
      </c>
      <c r="K4108" s="92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2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58"/>
      <c r="U4108" s="217" t="str">
        <f t="shared" si="326"/>
        <v/>
      </c>
      <c r="V4108" s="215" t="s">
        <v>47</v>
      </c>
      <c r="W4108" s="102" t="s">
        <v>136</v>
      </c>
      <c r="X4108" s="102" t="s">
        <v>137</v>
      </c>
      <c r="Y4108" s="103" t="s">
        <v>138</v>
      </c>
      <c r="Z4108" s="103" t="s">
        <v>139</v>
      </c>
      <c r="AA4108" s="103" t="s">
        <v>47</v>
      </c>
      <c r="AB4108" s="103" t="s">
        <v>140</v>
      </c>
      <c r="AC4108" s="104" t="s">
        <v>141</v>
      </c>
    </row>
    <row r="4109" spans="1:29" ht="25.5" customHeight="1" x14ac:dyDescent="0.35">
      <c r="A4109" s="188"/>
      <c r="B4109" s="190"/>
      <c r="C4109" s="99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0"/>
      <c r="E4109" s="78" t="str">
        <f>IF(C4109="","",IFERROR(VLOOKUP(C4109,parametros!$A$11:$E$15,5,0),""))</f>
        <v/>
      </c>
      <c r="F4109" s="79" t="str">
        <f t="shared" si="322"/>
        <v/>
      </c>
      <c r="G4109" s="101"/>
      <c r="H4109" s="91">
        <f t="shared" si="323"/>
        <v>0</v>
      </c>
      <c r="I4109" s="91" t="str">
        <f t="shared" si="324"/>
        <v/>
      </c>
      <c r="J4109" s="91" t="str">
        <f t="shared" si="325"/>
        <v/>
      </c>
      <c r="K4109" s="92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2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58"/>
      <c r="U4109" s="217" t="str">
        <f t="shared" si="326"/>
        <v/>
      </c>
      <c r="V4109" s="215" t="s">
        <v>47</v>
      </c>
      <c r="W4109" s="102" t="s">
        <v>136</v>
      </c>
      <c r="X4109" s="102" t="s">
        <v>137</v>
      </c>
      <c r="Y4109" s="103" t="s">
        <v>138</v>
      </c>
      <c r="Z4109" s="103" t="s">
        <v>139</v>
      </c>
      <c r="AA4109" s="103" t="s">
        <v>47</v>
      </c>
      <c r="AB4109" s="103" t="s">
        <v>140</v>
      </c>
      <c r="AC4109" s="104" t="s">
        <v>141</v>
      </c>
    </row>
    <row r="4110" spans="1:29" ht="25.5" customHeight="1" x14ac:dyDescent="0.35">
      <c r="A4110" s="188"/>
      <c r="B4110" s="190"/>
      <c r="C4110" s="99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0"/>
      <c r="E4110" s="78" t="str">
        <f>IF(C4110="","",IFERROR(VLOOKUP(C4110,parametros!$A$11:$E$15,5,0),""))</f>
        <v/>
      </c>
      <c r="F4110" s="79" t="str">
        <f t="shared" si="322"/>
        <v/>
      </c>
      <c r="G4110" s="101"/>
      <c r="H4110" s="91">
        <f t="shared" si="323"/>
        <v>0</v>
      </c>
      <c r="I4110" s="91" t="str">
        <f t="shared" si="324"/>
        <v/>
      </c>
      <c r="J4110" s="91" t="str">
        <f t="shared" si="325"/>
        <v/>
      </c>
      <c r="K4110" s="92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2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58"/>
      <c r="U4110" s="217" t="str">
        <f t="shared" si="326"/>
        <v/>
      </c>
      <c r="V4110" s="215" t="s">
        <v>47</v>
      </c>
      <c r="W4110" s="102" t="s">
        <v>136</v>
      </c>
      <c r="X4110" s="102" t="s">
        <v>137</v>
      </c>
      <c r="Y4110" s="103" t="s">
        <v>138</v>
      </c>
      <c r="Z4110" s="103" t="s">
        <v>139</v>
      </c>
      <c r="AA4110" s="103" t="s">
        <v>47</v>
      </c>
      <c r="AB4110" s="103" t="s">
        <v>140</v>
      </c>
      <c r="AC4110" s="104" t="s">
        <v>141</v>
      </c>
    </row>
    <row r="4111" spans="1:29" ht="25.5" customHeight="1" x14ac:dyDescent="0.35">
      <c r="A4111" s="188"/>
      <c r="B4111" s="190"/>
      <c r="C4111" s="99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0"/>
      <c r="E4111" s="78" t="str">
        <f>IF(C4111="","",IFERROR(VLOOKUP(C4111,parametros!$A$11:$E$15,5,0),""))</f>
        <v/>
      </c>
      <c r="F4111" s="79" t="str">
        <f t="shared" si="322"/>
        <v/>
      </c>
      <c r="G4111" s="101"/>
      <c r="H4111" s="91">
        <f t="shared" si="323"/>
        <v>0</v>
      </c>
      <c r="I4111" s="91" t="str">
        <f t="shared" si="324"/>
        <v/>
      </c>
      <c r="J4111" s="91" t="str">
        <f t="shared" si="325"/>
        <v/>
      </c>
      <c r="K4111" s="92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2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58"/>
      <c r="U4111" s="217" t="str">
        <f t="shared" si="326"/>
        <v/>
      </c>
      <c r="V4111" s="215" t="s">
        <v>47</v>
      </c>
      <c r="W4111" s="102" t="s">
        <v>136</v>
      </c>
      <c r="X4111" s="102" t="s">
        <v>137</v>
      </c>
      <c r="Y4111" s="103" t="s">
        <v>138</v>
      </c>
      <c r="Z4111" s="103" t="s">
        <v>139</v>
      </c>
      <c r="AA4111" s="103" t="s">
        <v>47</v>
      </c>
      <c r="AB4111" s="103" t="s">
        <v>140</v>
      </c>
      <c r="AC4111" s="104" t="s">
        <v>141</v>
      </c>
    </row>
    <row r="4112" spans="1:29" ht="25.5" customHeight="1" x14ac:dyDescent="0.35">
      <c r="A4112" s="188"/>
      <c r="B4112" s="190"/>
      <c r="C4112" s="99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0"/>
      <c r="E4112" s="78" t="str">
        <f>IF(C4112="","",IFERROR(VLOOKUP(C4112,parametros!$A$11:$E$15,5,0),""))</f>
        <v/>
      </c>
      <c r="F4112" s="79" t="str">
        <f t="shared" si="322"/>
        <v/>
      </c>
      <c r="G4112" s="101"/>
      <c r="H4112" s="91">
        <f t="shared" si="323"/>
        <v>0</v>
      </c>
      <c r="I4112" s="91" t="str">
        <f t="shared" si="324"/>
        <v/>
      </c>
      <c r="J4112" s="91" t="str">
        <f t="shared" si="325"/>
        <v/>
      </c>
      <c r="K4112" s="92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2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58"/>
      <c r="U4112" s="217" t="str">
        <f t="shared" si="326"/>
        <v/>
      </c>
      <c r="V4112" s="215" t="s">
        <v>47</v>
      </c>
      <c r="W4112" s="102" t="s">
        <v>136</v>
      </c>
      <c r="X4112" s="102" t="s">
        <v>137</v>
      </c>
      <c r="Y4112" s="103" t="s">
        <v>138</v>
      </c>
      <c r="Z4112" s="103" t="s">
        <v>139</v>
      </c>
      <c r="AA4112" s="103" t="s">
        <v>47</v>
      </c>
      <c r="AB4112" s="103" t="s">
        <v>140</v>
      </c>
      <c r="AC4112" s="104" t="s">
        <v>141</v>
      </c>
    </row>
    <row r="4113" spans="1:29" ht="25.5" customHeight="1" x14ac:dyDescent="0.35">
      <c r="A4113" s="188"/>
      <c r="B4113" s="190"/>
      <c r="C4113" s="99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0"/>
      <c r="E4113" s="78" t="str">
        <f>IF(C4113="","",IFERROR(VLOOKUP(C4113,parametros!$A$11:$E$15,5,0),""))</f>
        <v/>
      </c>
      <c r="F4113" s="79" t="str">
        <f t="shared" si="322"/>
        <v/>
      </c>
      <c r="G4113" s="101"/>
      <c r="H4113" s="91">
        <f t="shared" si="323"/>
        <v>0</v>
      </c>
      <c r="I4113" s="91" t="str">
        <f t="shared" si="324"/>
        <v/>
      </c>
      <c r="J4113" s="91" t="str">
        <f t="shared" si="325"/>
        <v/>
      </c>
      <c r="K4113" s="92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2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58"/>
      <c r="U4113" s="217" t="str">
        <f t="shared" si="326"/>
        <v/>
      </c>
      <c r="V4113" s="215" t="s">
        <v>47</v>
      </c>
      <c r="W4113" s="102" t="s">
        <v>136</v>
      </c>
      <c r="X4113" s="102" t="s">
        <v>137</v>
      </c>
      <c r="Y4113" s="103" t="s">
        <v>138</v>
      </c>
      <c r="Z4113" s="103" t="s">
        <v>139</v>
      </c>
      <c r="AA4113" s="103" t="s">
        <v>47</v>
      </c>
      <c r="AB4113" s="103" t="s">
        <v>140</v>
      </c>
      <c r="AC4113" s="104" t="s">
        <v>141</v>
      </c>
    </row>
    <row r="4114" spans="1:29" ht="25.5" customHeight="1" x14ac:dyDescent="0.35">
      <c r="A4114" s="188"/>
      <c r="B4114" s="190"/>
      <c r="C4114" s="99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0"/>
      <c r="E4114" s="78" t="str">
        <f>IF(C4114="","",IFERROR(VLOOKUP(C4114,parametros!$A$11:$E$15,5,0),""))</f>
        <v/>
      </c>
      <c r="F4114" s="79" t="str">
        <f t="shared" si="322"/>
        <v/>
      </c>
      <c r="G4114" s="101"/>
      <c r="H4114" s="91">
        <f t="shared" si="323"/>
        <v>0</v>
      </c>
      <c r="I4114" s="91" t="str">
        <f t="shared" si="324"/>
        <v/>
      </c>
      <c r="J4114" s="91" t="str">
        <f t="shared" si="325"/>
        <v/>
      </c>
      <c r="K4114" s="92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2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58"/>
      <c r="U4114" s="217" t="str">
        <f t="shared" si="326"/>
        <v/>
      </c>
      <c r="V4114" s="215" t="s">
        <v>47</v>
      </c>
      <c r="W4114" s="102" t="s">
        <v>136</v>
      </c>
      <c r="X4114" s="102" t="s">
        <v>137</v>
      </c>
      <c r="Y4114" s="103" t="s">
        <v>138</v>
      </c>
      <c r="Z4114" s="103" t="s">
        <v>139</v>
      </c>
      <c r="AA4114" s="103" t="s">
        <v>47</v>
      </c>
      <c r="AB4114" s="103" t="s">
        <v>140</v>
      </c>
      <c r="AC4114" s="104" t="s">
        <v>141</v>
      </c>
    </row>
    <row r="4115" spans="1:29" ht="25.5" customHeight="1" x14ac:dyDescent="0.35">
      <c r="A4115" s="188"/>
      <c r="B4115" s="190"/>
      <c r="C4115" s="99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0"/>
      <c r="E4115" s="78" t="str">
        <f>IF(C4115="","",IFERROR(VLOOKUP(C4115,parametros!$A$11:$E$15,5,0),""))</f>
        <v/>
      </c>
      <c r="F4115" s="79" t="str">
        <f t="shared" si="322"/>
        <v/>
      </c>
      <c r="G4115" s="101"/>
      <c r="H4115" s="91">
        <f t="shared" si="323"/>
        <v>0</v>
      </c>
      <c r="I4115" s="91" t="str">
        <f t="shared" si="324"/>
        <v/>
      </c>
      <c r="J4115" s="91" t="str">
        <f t="shared" si="325"/>
        <v/>
      </c>
      <c r="K4115" s="92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2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58"/>
      <c r="U4115" s="217" t="str">
        <f t="shared" si="326"/>
        <v/>
      </c>
      <c r="V4115" s="215" t="s">
        <v>47</v>
      </c>
      <c r="W4115" s="102" t="s">
        <v>136</v>
      </c>
      <c r="X4115" s="102" t="s">
        <v>137</v>
      </c>
      <c r="Y4115" s="103" t="s">
        <v>138</v>
      </c>
      <c r="Z4115" s="103" t="s">
        <v>139</v>
      </c>
      <c r="AA4115" s="103" t="s">
        <v>47</v>
      </c>
      <c r="AB4115" s="103" t="s">
        <v>140</v>
      </c>
      <c r="AC4115" s="104" t="s">
        <v>141</v>
      </c>
    </row>
    <row r="4116" spans="1:29" ht="25.5" customHeight="1" x14ac:dyDescent="0.35">
      <c r="A4116" s="188"/>
      <c r="B4116" s="190"/>
      <c r="C4116" s="99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0"/>
      <c r="E4116" s="78" t="str">
        <f>IF(C4116="","",IFERROR(VLOOKUP(C4116,parametros!$A$11:$E$15,5,0),""))</f>
        <v/>
      </c>
      <c r="F4116" s="79" t="str">
        <f t="shared" si="322"/>
        <v/>
      </c>
      <c r="G4116" s="101"/>
      <c r="H4116" s="91">
        <f t="shared" si="323"/>
        <v>0</v>
      </c>
      <c r="I4116" s="91" t="str">
        <f t="shared" si="324"/>
        <v/>
      </c>
      <c r="J4116" s="91" t="str">
        <f t="shared" si="325"/>
        <v/>
      </c>
      <c r="K4116" s="92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2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58"/>
      <c r="U4116" s="217" t="str">
        <f t="shared" si="326"/>
        <v/>
      </c>
      <c r="V4116" s="215" t="s">
        <v>47</v>
      </c>
      <c r="W4116" s="102" t="s">
        <v>136</v>
      </c>
      <c r="X4116" s="102" t="s">
        <v>137</v>
      </c>
      <c r="Y4116" s="103" t="s">
        <v>138</v>
      </c>
      <c r="Z4116" s="103" t="s">
        <v>139</v>
      </c>
      <c r="AA4116" s="103" t="s">
        <v>47</v>
      </c>
      <c r="AB4116" s="103" t="s">
        <v>140</v>
      </c>
      <c r="AC4116" s="104" t="s">
        <v>141</v>
      </c>
    </row>
    <row r="4117" spans="1:29" ht="25.5" customHeight="1" x14ac:dyDescent="0.35">
      <c r="A4117" s="188"/>
      <c r="B4117" s="190"/>
      <c r="C4117" s="99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0"/>
      <c r="E4117" s="78" t="str">
        <f>IF(C4117="","",IFERROR(VLOOKUP(C4117,parametros!$A$11:$E$15,5,0),""))</f>
        <v/>
      </c>
      <c r="F4117" s="79" t="str">
        <f t="shared" si="322"/>
        <v/>
      </c>
      <c r="G4117" s="101"/>
      <c r="H4117" s="91">
        <f t="shared" si="323"/>
        <v>0</v>
      </c>
      <c r="I4117" s="91" t="str">
        <f t="shared" si="324"/>
        <v/>
      </c>
      <c r="J4117" s="91" t="str">
        <f t="shared" si="325"/>
        <v/>
      </c>
      <c r="K4117" s="92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2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58"/>
      <c r="U4117" s="217" t="str">
        <f t="shared" si="326"/>
        <v/>
      </c>
      <c r="V4117" s="215" t="s">
        <v>47</v>
      </c>
      <c r="W4117" s="102" t="s">
        <v>136</v>
      </c>
      <c r="X4117" s="102" t="s">
        <v>137</v>
      </c>
      <c r="Y4117" s="103" t="s">
        <v>138</v>
      </c>
      <c r="Z4117" s="103" t="s">
        <v>139</v>
      </c>
      <c r="AA4117" s="103" t="s">
        <v>47</v>
      </c>
      <c r="AB4117" s="103" t="s">
        <v>140</v>
      </c>
      <c r="AC4117" s="104" t="s">
        <v>141</v>
      </c>
    </row>
    <row r="4118" spans="1:29" ht="25.5" customHeight="1" x14ac:dyDescent="0.35">
      <c r="A4118" s="188"/>
      <c r="B4118" s="190"/>
      <c r="C4118" s="99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0"/>
      <c r="E4118" s="78" t="str">
        <f>IF(C4118="","",IFERROR(VLOOKUP(C4118,parametros!$A$11:$E$15,5,0),""))</f>
        <v/>
      </c>
      <c r="F4118" s="79" t="str">
        <f t="shared" si="322"/>
        <v/>
      </c>
      <c r="G4118" s="101"/>
      <c r="H4118" s="91">
        <f t="shared" si="323"/>
        <v>0</v>
      </c>
      <c r="I4118" s="91" t="str">
        <f t="shared" si="324"/>
        <v/>
      </c>
      <c r="J4118" s="91" t="str">
        <f t="shared" si="325"/>
        <v/>
      </c>
      <c r="K4118" s="92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2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58"/>
      <c r="U4118" s="217" t="str">
        <f t="shared" si="326"/>
        <v/>
      </c>
      <c r="V4118" s="215" t="s">
        <v>47</v>
      </c>
      <c r="W4118" s="102" t="s">
        <v>136</v>
      </c>
      <c r="X4118" s="102" t="s">
        <v>137</v>
      </c>
      <c r="Y4118" s="103" t="s">
        <v>138</v>
      </c>
      <c r="Z4118" s="103" t="s">
        <v>139</v>
      </c>
      <c r="AA4118" s="103" t="s">
        <v>47</v>
      </c>
      <c r="AB4118" s="103" t="s">
        <v>140</v>
      </c>
      <c r="AC4118" s="104" t="s">
        <v>141</v>
      </c>
    </row>
    <row r="4119" spans="1:29" ht="25.5" customHeight="1" x14ac:dyDescent="0.35">
      <c r="A4119" s="188"/>
      <c r="B4119" s="190"/>
      <c r="C4119" s="99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0"/>
      <c r="E4119" s="78" t="str">
        <f>IF(C4119="","",IFERROR(VLOOKUP(C4119,parametros!$A$11:$E$15,5,0),""))</f>
        <v/>
      </c>
      <c r="F4119" s="79" t="str">
        <f t="shared" si="322"/>
        <v/>
      </c>
      <c r="G4119" s="101"/>
      <c r="H4119" s="91">
        <f t="shared" si="323"/>
        <v>0</v>
      </c>
      <c r="I4119" s="91" t="str">
        <f t="shared" si="324"/>
        <v/>
      </c>
      <c r="J4119" s="91" t="str">
        <f t="shared" si="325"/>
        <v/>
      </c>
      <c r="K4119" s="92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2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58"/>
      <c r="U4119" s="217" t="str">
        <f t="shared" si="326"/>
        <v/>
      </c>
      <c r="V4119" s="215" t="s">
        <v>47</v>
      </c>
      <c r="W4119" s="102" t="s">
        <v>136</v>
      </c>
      <c r="X4119" s="102" t="s">
        <v>137</v>
      </c>
      <c r="Y4119" s="103" t="s">
        <v>138</v>
      </c>
      <c r="Z4119" s="103" t="s">
        <v>139</v>
      </c>
      <c r="AA4119" s="103" t="s">
        <v>47</v>
      </c>
      <c r="AB4119" s="103" t="s">
        <v>140</v>
      </c>
      <c r="AC4119" s="104" t="s">
        <v>141</v>
      </c>
    </row>
    <row r="4120" spans="1:29" ht="25.5" customHeight="1" x14ac:dyDescent="0.35">
      <c r="A4120" s="188"/>
      <c r="B4120" s="190"/>
      <c r="C4120" s="99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0"/>
      <c r="E4120" s="78" t="str">
        <f>IF(C4120="","",IFERROR(VLOOKUP(C4120,parametros!$A$11:$E$15,5,0),""))</f>
        <v/>
      </c>
      <c r="F4120" s="79" t="str">
        <f t="shared" si="322"/>
        <v/>
      </c>
      <c r="G4120" s="101"/>
      <c r="H4120" s="91">
        <f t="shared" si="323"/>
        <v>0</v>
      </c>
      <c r="I4120" s="91" t="str">
        <f t="shared" si="324"/>
        <v/>
      </c>
      <c r="J4120" s="91" t="str">
        <f t="shared" si="325"/>
        <v/>
      </c>
      <c r="K4120" s="92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2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58"/>
      <c r="U4120" s="217" t="str">
        <f t="shared" si="326"/>
        <v/>
      </c>
      <c r="V4120" s="215" t="s">
        <v>47</v>
      </c>
      <c r="W4120" s="102" t="s">
        <v>136</v>
      </c>
      <c r="X4120" s="102" t="s">
        <v>137</v>
      </c>
      <c r="Y4120" s="103" t="s">
        <v>138</v>
      </c>
      <c r="Z4120" s="103" t="s">
        <v>139</v>
      </c>
      <c r="AA4120" s="103" t="s">
        <v>47</v>
      </c>
      <c r="AB4120" s="103" t="s">
        <v>140</v>
      </c>
      <c r="AC4120" s="104" t="s">
        <v>141</v>
      </c>
    </row>
    <row r="4121" spans="1:29" ht="25.5" customHeight="1" x14ac:dyDescent="0.35">
      <c r="A4121" s="188"/>
      <c r="B4121" s="190"/>
      <c r="C4121" s="99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0"/>
      <c r="E4121" s="78" t="str">
        <f>IF(C4121="","",IFERROR(VLOOKUP(C4121,parametros!$A$11:$E$15,5,0),""))</f>
        <v/>
      </c>
      <c r="F4121" s="79" t="str">
        <f t="shared" si="322"/>
        <v/>
      </c>
      <c r="G4121" s="101"/>
      <c r="H4121" s="91">
        <f t="shared" si="323"/>
        <v>0</v>
      </c>
      <c r="I4121" s="91" t="str">
        <f t="shared" si="324"/>
        <v/>
      </c>
      <c r="J4121" s="91" t="str">
        <f t="shared" si="325"/>
        <v/>
      </c>
      <c r="K4121" s="92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2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58"/>
      <c r="U4121" s="217" t="str">
        <f t="shared" si="326"/>
        <v/>
      </c>
      <c r="V4121" s="215" t="s">
        <v>47</v>
      </c>
      <c r="W4121" s="102" t="s">
        <v>136</v>
      </c>
      <c r="X4121" s="102" t="s">
        <v>137</v>
      </c>
      <c r="Y4121" s="103" t="s">
        <v>138</v>
      </c>
      <c r="Z4121" s="103" t="s">
        <v>139</v>
      </c>
      <c r="AA4121" s="103" t="s">
        <v>47</v>
      </c>
      <c r="AB4121" s="103" t="s">
        <v>140</v>
      </c>
      <c r="AC4121" s="104" t="s">
        <v>141</v>
      </c>
    </row>
    <row r="4122" spans="1:29" ht="25.5" customHeight="1" x14ac:dyDescent="0.35">
      <c r="A4122" s="188"/>
      <c r="B4122" s="190"/>
      <c r="C4122" s="99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0"/>
      <c r="E4122" s="78" t="str">
        <f>IF(C4122="","",IFERROR(VLOOKUP(C4122,parametros!$A$11:$E$15,5,0),""))</f>
        <v/>
      </c>
      <c r="F4122" s="79" t="str">
        <f t="shared" si="322"/>
        <v/>
      </c>
      <c r="G4122" s="101"/>
      <c r="H4122" s="91">
        <f t="shared" si="323"/>
        <v>0</v>
      </c>
      <c r="I4122" s="91" t="str">
        <f t="shared" si="324"/>
        <v/>
      </c>
      <c r="J4122" s="91" t="str">
        <f t="shared" si="325"/>
        <v/>
      </c>
      <c r="K4122" s="92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2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58"/>
      <c r="U4122" s="217" t="str">
        <f t="shared" si="326"/>
        <v/>
      </c>
      <c r="V4122" s="215" t="s">
        <v>47</v>
      </c>
      <c r="W4122" s="102" t="s">
        <v>136</v>
      </c>
      <c r="X4122" s="102" t="s">
        <v>137</v>
      </c>
      <c r="Y4122" s="103" t="s">
        <v>138</v>
      </c>
      <c r="Z4122" s="103" t="s">
        <v>139</v>
      </c>
      <c r="AA4122" s="103" t="s">
        <v>47</v>
      </c>
      <c r="AB4122" s="103" t="s">
        <v>140</v>
      </c>
      <c r="AC4122" s="104" t="s">
        <v>141</v>
      </c>
    </row>
    <row r="4123" spans="1:29" ht="25.5" customHeight="1" x14ac:dyDescent="0.35">
      <c r="A4123" s="188"/>
      <c r="B4123" s="190"/>
      <c r="C4123" s="99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0"/>
      <c r="E4123" s="78" t="str">
        <f>IF(C4123="","",IFERROR(VLOOKUP(C4123,parametros!$A$11:$E$15,5,0),""))</f>
        <v/>
      </c>
      <c r="F4123" s="79" t="str">
        <f t="shared" si="322"/>
        <v/>
      </c>
      <c r="G4123" s="101"/>
      <c r="H4123" s="91">
        <f t="shared" si="323"/>
        <v>0</v>
      </c>
      <c r="I4123" s="91" t="str">
        <f t="shared" si="324"/>
        <v/>
      </c>
      <c r="J4123" s="91" t="str">
        <f t="shared" si="325"/>
        <v/>
      </c>
      <c r="K4123" s="92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2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58"/>
      <c r="U4123" s="217" t="str">
        <f t="shared" si="326"/>
        <v/>
      </c>
      <c r="V4123" s="215" t="s">
        <v>47</v>
      </c>
      <c r="W4123" s="102" t="s">
        <v>136</v>
      </c>
      <c r="X4123" s="102" t="s">
        <v>137</v>
      </c>
      <c r="Y4123" s="103" t="s">
        <v>138</v>
      </c>
      <c r="Z4123" s="103" t="s">
        <v>139</v>
      </c>
      <c r="AA4123" s="103" t="s">
        <v>47</v>
      </c>
      <c r="AB4123" s="103" t="s">
        <v>140</v>
      </c>
      <c r="AC4123" s="104" t="s">
        <v>141</v>
      </c>
    </row>
    <row r="4124" spans="1:29" ht="25.5" customHeight="1" x14ac:dyDescent="0.35">
      <c r="A4124" s="188"/>
      <c r="B4124" s="190"/>
      <c r="C4124" s="99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0"/>
      <c r="E4124" s="78" t="str">
        <f>IF(C4124="","",IFERROR(VLOOKUP(C4124,parametros!$A$11:$E$15,5,0),""))</f>
        <v/>
      </c>
      <c r="F4124" s="79" t="str">
        <f t="shared" si="322"/>
        <v/>
      </c>
      <c r="G4124" s="101"/>
      <c r="H4124" s="91">
        <f t="shared" si="323"/>
        <v>0</v>
      </c>
      <c r="I4124" s="91" t="str">
        <f t="shared" si="324"/>
        <v/>
      </c>
      <c r="J4124" s="91" t="str">
        <f t="shared" si="325"/>
        <v/>
      </c>
      <c r="K4124" s="92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2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58"/>
      <c r="U4124" s="217" t="str">
        <f t="shared" si="326"/>
        <v/>
      </c>
      <c r="V4124" s="215" t="s">
        <v>47</v>
      </c>
      <c r="W4124" s="102" t="s">
        <v>136</v>
      </c>
      <c r="X4124" s="102" t="s">
        <v>137</v>
      </c>
      <c r="Y4124" s="103" t="s">
        <v>138</v>
      </c>
      <c r="Z4124" s="103" t="s">
        <v>139</v>
      </c>
      <c r="AA4124" s="103" t="s">
        <v>47</v>
      </c>
      <c r="AB4124" s="103" t="s">
        <v>140</v>
      </c>
      <c r="AC4124" s="104" t="s">
        <v>141</v>
      </c>
    </row>
    <row r="4125" spans="1:29" ht="25.5" customHeight="1" x14ac:dyDescent="0.35">
      <c r="A4125" s="188"/>
      <c r="B4125" s="190"/>
      <c r="C4125" s="99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0"/>
      <c r="E4125" s="78" t="str">
        <f>IF(C4125="","",IFERROR(VLOOKUP(C4125,parametros!$A$11:$E$15,5,0),""))</f>
        <v/>
      </c>
      <c r="F4125" s="79" t="str">
        <f t="shared" si="322"/>
        <v/>
      </c>
      <c r="G4125" s="101"/>
      <c r="H4125" s="91">
        <f t="shared" si="323"/>
        <v>0</v>
      </c>
      <c r="I4125" s="91" t="str">
        <f t="shared" si="324"/>
        <v/>
      </c>
      <c r="J4125" s="91" t="str">
        <f t="shared" si="325"/>
        <v/>
      </c>
      <c r="K4125" s="92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2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58"/>
      <c r="U4125" s="217" t="str">
        <f t="shared" si="326"/>
        <v/>
      </c>
      <c r="V4125" s="215" t="s">
        <v>47</v>
      </c>
      <c r="W4125" s="102" t="s">
        <v>136</v>
      </c>
      <c r="X4125" s="102" t="s">
        <v>137</v>
      </c>
      <c r="Y4125" s="103" t="s">
        <v>138</v>
      </c>
      <c r="Z4125" s="103" t="s">
        <v>139</v>
      </c>
      <c r="AA4125" s="103" t="s">
        <v>47</v>
      </c>
      <c r="AB4125" s="103" t="s">
        <v>140</v>
      </c>
      <c r="AC4125" s="104" t="s">
        <v>141</v>
      </c>
    </row>
    <row r="4126" spans="1:29" ht="25.5" customHeight="1" x14ac:dyDescent="0.35">
      <c r="A4126" s="188"/>
      <c r="B4126" s="190"/>
      <c r="C4126" s="99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0"/>
      <c r="E4126" s="78" t="str">
        <f>IF(C4126="","",IFERROR(VLOOKUP(C4126,parametros!$A$11:$E$15,5,0),""))</f>
        <v/>
      </c>
      <c r="F4126" s="79" t="str">
        <f t="shared" si="322"/>
        <v/>
      </c>
      <c r="G4126" s="101"/>
      <c r="H4126" s="91">
        <f t="shared" si="323"/>
        <v>0</v>
      </c>
      <c r="I4126" s="91" t="str">
        <f t="shared" si="324"/>
        <v/>
      </c>
      <c r="J4126" s="91" t="str">
        <f t="shared" si="325"/>
        <v/>
      </c>
      <c r="K4126" s="92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2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58"/>
      <c r="U4126" s="217" t="str">
        <f t="shared" si="326"/>
        <v/>
      </c>
      <c r="V4126" s="215" t="s">
        <v>47</v>
      </c>
      <c r="W4126" s="102" t="s">
        <v>136</v>
      </c>
      <c r="X4126" s="102" t="s">
        <v>137</v>
      </c>
      <c r="Y4126" s="103" t="s">
        <v>138</v>
      </c>
      <c r="Z4126" s="103" t="s">
        <v>139</v>
      </c>
      <c r="AA4126" s="103" t="s">
        <v>47</v>
      </c>
      <c r="AB4126" s="103" t="s">
        <v>140</v>
      </c>
      <c r="AC4126" s="104" t="s">
        <v>141</v>
      </c>
    </row>
    <row r="4127" spans="1:29" ht="25.5" customHeight="1" x14ac:dyDescent="0.35">
      <c r="A4127" s="188"/>
      <c r="B4127" s="190"/>
      <c r="C4127" s="99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0"/>
      <c r="E4127" s="78" t="str">
        <f>IF(C4127="","",IFERROR(VLOOKUP(C4127,parametros!$A$11:$E$15,5,0),""))</f>
        <v/>
      </c>
      <c r="F4127" s="79" t="str">
        <f t="shared" si="322"/>
        <v/>
      </c>
      <c r="G4127" s="101"/>
      <c r="H4127" s="91">
        <f t="shared" si="323"/>
        <v>0</v>
      </c>
      <c r="I4127" s="91" t="str">
        <f t="shared" si="324"/>
        <v/>
      </c>
      <c r="J4127" s="91" t="str">
        <f t="shared" si="325"/>
        <v/>
      </c>
      <c r="K4127" s="92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2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58"/>
      <c r="U4127" s="217" t="str">
        <f t="shared" si="326"/>
        <v/>
      </c>
      <c r="V4127" s="215" t="s">
        <v>47</v>
      </c>
      <c r="W4127" s="102" t="s">
        <v>136</v>
      </c>
      <c r="X4127" s="102" t="s">
        <v>137</v>
      </c>
      <c r="Y4127" s="103" t="s">
        <v>138</v>
      </c>
      <c r="Z4127" s="103" t="s">
        <v>139</v>
      </c>
      <c r="AA4127" s="103" t="s">
        <v>47</v>
      </c>
      <c r="AB4127" s="103" t="s">
        <v>140</v>
      </c>
      <c r="AC4127" s="104" t="s">
        <v>141</v>
      </c>
    </row>
    <row r="4128" spans="1:29" ht="25.5" customHeight="1" x14ac:dyDescent="0.35">
      <c r="A4128" s="188"/>
      <c r="B4128" s="190"/>
      <c r="C4128" s="99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0"/>
      <c r="E4128" s="78" t="str">
        <f>IF(C4128="","",IFERROR(VLOOKUP(C4128,parametros!$A$11:$E$15,5,0),""))</f>
        <v/>
      </c>
      <c r="F4128" s="79" t="str">
        <f t="shared" si="322"/>
        <v/>
      </c>
      <c r="G4128" s="101"/>
      <c r="H4128" s="91">
        <f t="shared" si="323"/>
        <v>0</v>
      </c>
      <c r="I4128" s="91" t="str">
        <f t="shared" si="324"/>
        <v/>
      </c>
      <c r="J4128" s="91" t="str">
        <f t="shared" si="325"/>
        <v/>
      </c>
      <c r="K4128" s="92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2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58"/>
      <c r="U4128" s="217" t="str">
        <f t="shared" si="326"/>
        <v/>
      </c>
      <c r="V4128" s="215" t="s">
        <v>47</v>
      </c>
      <c r="W4128" s="102" t="s">
        <v>136</v>
      </c>
      <c r="X4128" s="102" t="s">
        <v>137</v>
      </c>
      <c r="Y4128" s="103" t="s">
        <v>138</v>
      </c>
      <c r="Z4128" s="103" t="s">
        <v>139</v>
      </c>
      <c r="AA4128" s="103" t="s">
        <v>47</v>
      </c>
      <c r="AB4128" s="103" t="s">
        <v>140</v>
      </c>
      <c r="AC4128" s="104" t="s">
        <v>141</v>
      </c>
    </row>
    <row r="4129" spans="1:29" ht="25.5" customHeight="1" x14ac:dyDescent="0.35">
      <c r="A4129" s="188"/>
      <c r="B4129" s="190"/>
      <c r="C4129" s="99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0"/>
      <c r="E4129" s="78" t="str">
        <f>IF(C4129="","",IFERROR(VLOOKUP(C4129,parametros!$A$11:$E$15,5,0),""))</f>
        <v/>
      </c>
      <c r="F4129" s="79" t="str">
        <f t="shared" si="322"/>
        <v/>
      </c>
      <c r="G4129" s="101"/>
      <c r="H4129" s="91">
        <f t="shared" si="323"/>
        <v>0</v>
      </c>
      <c r="I4129" s="91" t="str">
        <f t="shared" si="324"/>
        <v/>
      </c>
      <c r="J4129" s="91" t="str">
        <f t="shared" si="325"/>
        <v/>
      </c>
      <c r="K4129" s="92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2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58"/>
      <c r="U4129" s="217" t="str">
        <f t="shared" si="326"/>
        <v/>
      </c>
      <c r="V4129" s="215" t="s">
        <v>47</v>
      </c>
      <c r="W4129" s="102" t="s">
        <v>136</v>
      </c>
      <c r="X4129" s="102" t="s">
        <v>137</v>
      </c>
      <c r="Y4129" s="103" t="s">
        <v>138</v>
      </c>
      <c r="Z4129" s="103" t="s">
        <v>139</v>
      </c>
      <c r="AA4129" s="103" t="s">
        <v>47</v>
      </c>
      <c r="AB4129" s="103" t="s">
        <v>140</v>
      </c>
      <c r="AC4129" s="104" t="s">
        <v>141</v>
      </c>
    </row>
    <row r="4130" spans="1:29" ht="25.5" customHeight="1" x14ac:dyDescent="0.35">
      <c r="A4130" s="188"/>
      <c r="B4130" s="190"/>
      <c r="C4130" s="99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0"/>
      <c r="E4130" s="78" t="str">
        <f>IF(C4130="","",IFERROR(VLOOKUP(C4130,parametros!$A$11:$E$15,5,0),""))</f>
        <v/>
      </c>
      <c r="F4130" s="79" t="str">
        <f t="shared" si="322"/>
        <v/>
      </c>
      <c r="G4130" s="101"/>
      <c r="H4130" s="91">
        <f t="shared" si="323"/>
        <v>0</v>
      </c>
      <c r="I4130" s="91" t="str">
        <f t="shared" si="324"/>
        <v/>
      </c>
      <c r="J4130" s="91" t="str">
        <f t="shared" si="325"/>
        <v/>
      </c>
      <c r="K4130" s="92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2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58"/>
      <c r="U4130" s="217" t="str">
        <f t="shared" si="326"/>
        <v/>
      </c>
      <c r="V4130" s="215" t="s">
        <v>47</v>
      </c>
      <c r="W4130" s="102" t="s">
        <v>136</v>
      </c>
      <c r="X4130" s="102" t="s">
        <v>137</v>
      </c>
      <c r="Y4130" s="103" t="s">
        <v>138</v>
      </c>
      <c r="Z4130" s="103" t="s">
        <v>139</v>
      </c>
      <c r="AA4130" s="103" t="s">
        <v>47</v>
      </c>
      <c r="AB4130" s="103" t="s">
        <v>140</v>
      </c>
      <c r="AC4130" s="104" t="s">
        <v>141</v>
      </c>
    </row>
    <row r="4131" spans="1:29" ht="25.5" customHeight="1" x14ac:dyDescent="0.35">
      <c r="A4131" s="188"/>
      <c r="B4131" s="190"/>
      <c r="C4131" s="99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0"/>
      <c r="E4131" s="78" t="str">
        <f>IF(C4131="","",IFERROR(VLOOKUP(C4131,parametros!$A$11:$E$15,5,0),""))</f>
        <v/>
      </c>
      <c r="F4131" s="79" t="str">
        <f t="shared" si="322"/>
        <v/>
      </c>
      <c r="G4131" s="101"/>
      <c r="H4131" s="91">
        <f t="shared" si="323"/>
        <v>0</v>
      </c>
      <c r="I4131" s="91" t="str">
        <f t="shared" si="324"/>
        <v/>
      </c>
      <c r="J4131" s="91" t="str">
        <f t="shared" si="325"/>
        <v/>
      </c>
      <c r="K4131" s="92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2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58"/>
      <c r="U4131" s="217" t="str">
        <f t="shared" si="326"/>
        <v/>
      </c>
      <c r="V4131" s="215" t="s">
        <v>47</v>
      </c>
      <c r="W4131" s="102" t="s">
        <v>136</v>
      </c>
      <c r="X4131" s="102" t="s">
        <v>137</v>
      </c>
      <c r="Y4131" s="103" t="s">
        <v>138</v>
      </c>
      <c r="Z4131" s="103" t="s">
        <v>139</v>
      </c>
      <c r="AA4131" s="103" t="s">
        <v>47</v>
      </c>
      <c r="AB4131" s="103" t="s">
        <v>140</v>
      </c>
      <c r="AC4131" s="104" t="s">
        <v>141</v>
      </c>
    </row>
    <row r="4132" spans="1:29" ht="25.5" customHeight="1" x14ac:dyDescent="0.35">
      <c r="A4132" s="188"/>
      <c r="B4132" s="190"/>
      <c r="C4132" s="99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0"/>
      <c r="E4132" s="78" t="str">
        <f>IF(C4132="","",IFERROR(VLOOKUP(C4132,parametros!$A$11:$E$15,5,0),""))</f>
        <v/>
      </c>
      <c r="F4132" s="79" t="str">
        <f t="shared" si="322"/>
        <v/>
      </c>
      <c r="G4132" s="101"/>
      <c r="H4132" s="91">
        <f t="shared" si="323"/>
        <v>0</v>
      </c>
      <c r="I4132" s="91" t="str">
        <f t="shared" si="324"/>
        <v/>
      </c>
      <c r="J4132" s="91" t="str">
        <f t="shared" si="325"/>
        <v/>
      </c>
      <c r="K4132" s="92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2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58"/>
      <c r="U4132" s="217" t="str">
        <f t="shared" si="326"/>
        <v/>
      </c>
      <c r="V4132" s="215" t="s">
        <v>47</v>
      </c>
      <c r="W4132" s="102" t="s">
        <v>136</v>
      </c>
      <c r="X4132" s="102" t="s">
        <v>137</v>
      </c>
      <c r="Y4132" s="103" t="s">
        <v>138</v>
      </c>
      <c r="Z4132" s="103" t="s">
        <v>139</v>
      </c>
      <c r="AA4132" s="103" t="s">
        <v>47</v>
      </c>
      <c r="AB4132" s="103" t="s">
        <v>140</v>
      </c>
      <c r="AC4132" s="104" t="s">
        <v>141</v>
      </c>
    </row>
    <row r="4133" spans="1:29" ht="25.5" customHeight="1" x14ac:dyDescent="0.35">
      <c r="A4133" s="188"/>
      <c r="B4133" s="190"/>
      <c r="C4133" s="99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0"/>
      <c r="E4133" s="78" t="str">
        <f>IF(C4133="","",IFERROR(VLOOKUP(C4133,parametros!$A$11:$E$15,5,0),""))</f>
        <v/>
      </c>
      <c r="F4133" s="79" t="str">
        <f t="shared" si="322"/>
        <v/>
      </c>
      <c r="G4133" s="101"/>
      <c r="H4133" s="91">
        <f t="shared" si="323"/>
        <v>0</v>
      </c>
      <c r="I4133" s="91" t="str">
        <f t="shared" si="324"/>
        <v/>
      </c>
      <c r="J4133" s="91" t="str">
        <f t="shared" si="325"/>
        <v/>
      </c>
      <c r="K4133" s="92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2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58"/>
      <c r="U4133" s="217" t="str">
        <f t="shared" si="326"/>
        <v/>
      </c>
      <c r="V4133" s="215" t="s">
        <v>47</v>
      </c>
      <c r="W4133" s="102" t="s">
        <v>136</v>
      </c>
      <c r="X4133" s="102" t="s">
        <v>137</v>
      </c>
      <c r="Y4133" s="103" t="s">
        <v>138</v>
      </c>
      <c r="Z4133" s="103" t="s">
        <v>139</v>
      </c>
      <c r="AA4133" s="103" t="s">
        <v>47</v>
      </c>
      <c r="AB4133" s="103" t="s">
        <v>140</v>
      </c>
      <c r="AC4133" s="104" t="s">
        <v>141</v>
      </c>
    </row>
    <row r="4134" spans="1:29" ht="25.5" customHeight="1" x14ac:dyDescent="0.35">
      <c r="A4134" s="188"/>
      <c r="B4134" s="190"/>
      <c r="C4134" s="99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0"/>
      <c r="E4134" s="78" t="str">
        <f>IF(C4134="","",IFERROR(VLOOKUP(C4134,parametros!$A$11:$E$15,5,0),""))</f>
        <v/>
      </c>
      <c r="F4134" s="79" t="str">
        <f t="shared" si="322"/>
        <v/>
      </c>
      <c r="G4134" s="101"/>
      <c r="H4134" s="91">
        <f t="shared" si="323"/>
        <v>0</v>
      </c>
      <c r="I4134" s="91" t="str">
        <f t="shared" si="324"/>
        <v/>
      </c>
      <c r="J4134" s="91" t="str">
        <f t="shared" si="325"/>
        <v/>
      </c>
      <c r="K4134" s="92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2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58"/>
      <c r="U4134" s="217" t="str">
        <f t="shared" si="326"/>
        <v/>
      </c>
      <c r="V4134" s="215" t="s">
        <v>47</v>
      </c>
      <c r="W4134" s="102" t="s">
        <v>136</v>
      </c>
      <c r="X4134" s="102" t="s">
        <v>137</v>
      </c>
      <c r="Y4134" s="103" t="s">
        <v>138</v>
      </c>
      <c r="Z4134" s="103" t="s">
        <v>139</v>
      </c>
      <c r="AA4134" s="103" t="s">
        <v>47</v>
      </c>
      <c r="AB4134" s="103" t="s">
        <v>140</v>
      </c>
      <c r="AC4134" s="104" t="s">
        <v>141</v>
      </c>
    </row>
    <row r="4135" spans="1:29" ht="25.5" customHeight="1" x14ac:dyDescent="0.35">
      <c r="A4135" s="188"/>
      <c r="B4135" s="190"/>
      <c r="C4135" s="99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0"/>
      <c r="E4135" s="78" t="str">
        <f>IF(C4135="","",IFERROR(VLOOKUP(C4135,parametros!$A$11:$E$15,5,0),""))</f>
        <v/>
      </c>
      <c r="F4135" s="79" t="str">
        <f t="shared" si="322"/>
        <v/>
      </c>
      <c r="G4135" s="101"/>
      <c r="H4135" s="91">
        <f t="shared" si="323"/>
        <v>0</v>
      </c>
      <c r="I4135" s="91" t="str">
        <f t="shared" si="324"/>
        <v/>
      </c>
      <c r="J4135" s="91" t="str">
        <f t="shared" si="325"/>
        <v/>
      </c>
      <c r="K4135" s="92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2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58"/>
      <c r="U4135" s="217" t="str">
        <f t="shared" si="326"/>
        <v/>
      </c>
      <c r="V4135" s="215" t="s">
        <v>47</v>
      </c>
      <c r="W4135" s="102" t="s">
        <v>136</v>
      </c>
      <c r="X4135" s="102" t="s">
        <v>137</v>
      </c>
      <c r="Y4135" s="103" t="s">
        <v>138</v>
      </c>
      <c r="Z4135" s="103" t="s">
        <v>139</v>
      </c>
      <c r="AA4135" s="103" t="s">
        <v>47</v>
      </c>
      <c r="AB4135" s="103" t="s">
        <v>140</v>
      </c>
      <c r="AC4135" s="104" t="s">
        <v>141</v>
      </c>
    </row>
    <row r="4136" spans="1:29" ht="25.5" customHeight="1" x14ac:dyDescent="0.35">
      <c r="A4136" s="188"/>
      <c r="B4136" s="190"/>
      <c r="C4136" s="99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0"/>
      <c r="E4136" s="78" t="str">
        <f>IF(C4136="","",IFERROR(VLOOKUP(C4136,parametros!$A$11:$E$15,5,0),""))</f>
        <v/>
      </c>
      <c r="F4136" s="79" t="str">
        <f t="shared" si="322"/>
        <v/>
      </c>
      <c r="G4136" s="101"/>
      <c r="H4136" s="91">
        <f t="shared" si="323"/>
        <v>0</v>
      </c>
      <c r="I4136" s="91" t="str">
        <f t="shared" si="324"/>
        <v/>
      </c>
      <c r="J4136" s="91" t="str">
        <f t="shared" si="325"/>
        <v/>
      </c>
      <c r="K4136" s="92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2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58"/>
      <c r="U4136" s="217" t="str">
        <f t="shared" si="326"/>
        <v/>
      </c>
      <c r="V4136" s="215" t="s">
        <v>47</v>
      </c>
      <c r="W4136" s="102" t="s">
        <v>136</v>
      </c>
      <c r="X4136" s="102" t="s">
        <v>137</v>
      </c>
      <c r="Y4136" s="103" t="s">
        <v>138</v>
      </c>
      <c r="Z4136" s="103" t="s">
        <v>139</v>
      </c>
      <c r="AA4136" s="103" t="s">
        <v>47</v>
      </c>
      <c r="AB4136" s="103" t="s">
        <v>140</v>
      </c>
      <c r="AC4136" s="104" t="s">
        <v>141</v>
      </c>
    </row>
    <row r="4137" spans="1:29" ht="25.5" customHeight="1" x14ac:dyDescent="0.35">
      <c r="A4137" s="188"/>
      <c r="B4137" s="190"/>
      <c r="C4137" s="99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0"/>
      <c r="E4137" s="78" t="str">
        <f>IF(C4137="","",IFERROR(VLOOKUP(C4137,parametros!$A$11:$E$15,5,0),""))</f>
        <v/>
      </c>
      <c r="F4137" s="79" t="str">
        <f t="shared" si="322"/>
        <v/>
      </c>
      <c r="G4137" s="101"/>
      <c r="H4137" s="91">
        <f t="shared" si="323"/>
        <v>0</v>
      </c>
      <c r="I4137" s="91" t="str">
        <f t="shared" si="324"/>
        <v/>
      </c>
      <c r="J4137" s="91" t="str">
        <f t="shared" si="325"/>
        <v/>
      </c>
      <c r="K4137" s="92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2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58"/>
      <c r="U4137" s="217" t="str">
        <f t="shared" si="326"/>
        <v/>
      </c>
      <c r="V4137" s="215" t="s">
        <v>47</v>
      </c>
      <c r="W4137" s="102" t="s">
        <v>136</v>
      </c>
      <c r="X4137" s="102" t="s">
        <v>137</v>
      </c>
      <c r="Y4137" s="103" t="s">
        <v>138</v>
      </c>
      <c r="Z4137" s="103" t="s">
        <v>139</v>
      </c>
      <c r="AA4137" s="103" t="s">
        <v>47</v>
      </c>
      <c r="AB4137" s="103" t="s">
        <v>140</v>
      </c>
      <c r="AC4137" s="104" t="s">
        <v>141</v>
      </c>
    </row>
    <row r="4138" spans="1:29" ht="25.5" customHeight="1" x14ac:dyDescent="0.35">
      <c r="A4138" s="188"/>
      <c r="B4138" s="190"/>
      <c r="C4138" s="99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0"/>
      <c r="E4138" s="78" t="str">
        <f>IF(C4138="","",IFERROR(VLOOKUP(C4138,parametros!$A$11:$E$15,5,0),""))</f>
        <v/>
      </c>
      <c r="F4138" s="79" t="str">
        <f t="shared" si="322"/>
        <v/>
      </c>
      <c r="G4138" s="101"/>
      <c r="H4138" s="91">
        <f t="shared" si="323"/>
        <v>0</v>
      </c>
      <c r="I4138" s="91" t="str">
        <f t="shared" si="324"/>
        <v/>
      </c>
      <c r="J4138" s="91" t="str">
        <f t="shared" si="325"/>
        <v/>
      </c>
      <c r="K4138" s="92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2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58"/>
      <c r="U4138" s="217" t="str">
        <f t="shared" si="326"/>
        <v/>
      </c>
      <c r="V4138" s="215" t="s">
        <v>47</v>
      </c>
      <c r="W4138" s="102" t="s">
        <v>136</v>
      </c>
      <c r="X4138" s="102" t="s">
        <v>137</v>
      </c>
      <c r="Y4138" s="103" t="s">
        <v>138</v>
      </c>
      <c r="Z4138" s="103" t="s">
        <v>139</v>
      </c>
      <c r="AA4138" s="103" t="s">
        <v>47</v>
      </c>
      <c r="AB4138" s="103" t="s">
        <v>140</v>
      </c>
      <c r="AC4138" s="104" t="s">
        <v>141</v>
      </c>
    </row>
    <row r="4139" spans="1:29" ht="25.5" customHeight="1" x14ac:dyDescent="0.35">
      <c r="A4139" s="188"/>
      <c r="B4139" s="190"/>
      <c r="C4139" s="99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0"/>
      <c r="E4139" s="78" t="str">
        <f>IF(C4139="","",IFERROR(VLOOKUP(C4139,parametros!$A$11:$E$15,5,0),""))</f>
        <v/>
      </c>
      <c r="F4139" s="79" t="str">
        <f t="shared" si="322"/>
        <v/>
      </c>
      <c r="G4139" s="101"/>
      <c r="H4139" s="91">
        <f t="shared" si="323"/>
        <v>0</v>
      </c>
      <c r="I4139" s="91" t="str">
        <f t="shared" si="324"/>
        <v/>
      </c>
      <c r="J4139" s="91" t="str">
        <f t="shared" si="325"/>
        <v/>
      </c>
      <c r="K4139" s="92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2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58"/>
      <c r="U4139" s="217" t="str">
        <f t="shared" si="326"/>
        <v/>
      </c>
      <c r="V4139" s="215" t="s">
        <v>47</v>
      </c>
      <c r="W4139" s="102" t="s">
        <v>136</v>
      </c>
      <c r="X4139" s="102" t="s">
        <v>137</v>
      </c>
      <c r="Y4139" s="103" t="s">
        <v>138</v>
      </c>
      <c r="Z4139" s="103" t="s">
        <v>139</v>
      </c>
      <c r="AA4139" s="103" t="s">
        <v>47</v>
      </c>
      <c r="AB4139" s="103" t="s">
        <v>140</v>
      </c>
      <c r="AC4139" s="104" t="s">
        <v>141</v>
      </c>
    </row>
    <row r="4140" spans="1:29" ht="25.5" customHeight="1" x14ac:dyDescent="0.35">
      <c r="A4140" s="188"/>
      <c r="B4140" s="190"/>
      <c r="C4140" s="99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0"/>
      <c r="E4140" s="78" t="str">
        <f>IF(C4140="","",IFERROR(VLOOKUP(C4140,parametros!$A$11:$E$15,5,0),""))</f>
        <v/>
      </c>
      <c r="F4140" s="79" t="str">
        <f t="shared" si="322"/>
        <v/>
      </c>
      <c r="G4140" s="101"/>
      <c r="H4140" s="91">
        <f t="shared" si="323"/>
        <v>0</v>
      </c>
      <c r="I4140" s="91" t="str">
        <f t="shared" si="324"/>
        <v/>
      </c>
      <c r="J4140" s="91" t="str">
        <f t="shared" si="325"/>
        <v/>
      </c>
      <c r="K4140" s="92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2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58"/>
      <c r="U4140" s="217" t="str">
        <f t="shared" si="326"/>
        <v/>
      </c>
      <c r="V4140" s="215" t="s">
        <v>47</v>
      </c>
      <c r="W4140" s="102" t="s">
        <v>136</v>
      </c>
      <c r="X4140" s="102" t="s">
        <v>137</v>
      </c>
      <c r="Y4140" s="103" t="s">
        <v>138</v>
      </c>
      <c r="Z4140" s="103" t="s">
        <v>139</v>
      </c>
      <c r="AA4140" s="103" t="s">
        <v>47</v>
      </c>
      <c r="AB4140" s="103" t="s">
        <v>140</v>
      </c>
      <c r="AC4140" s="104" t="s">
        <v>141</v>
      </c>
    </row>
    <row r="4141" spans="1:29" ht="25.5" customHeight="1" x14ac:dyDescent="0.35">
      <c r="A4141" s="188"/>
      <c r="B4141" s="190"/>
      <c r="C4141" s="99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0"/>
      <c r="E4141" s="78" t="str">
        <f>IF(C4141="","",IFERROR(VLOOKUP(C4141,parametros!$A$11:$E$15,5,0),""))</f>
        <v/>
      </c>
      <c r="F4141" s="79" t="str">
        <f t="shared" si="322"/>
        <v/>
      </c>
      <c r="G4141" s="101"/>
      <c r="H4141" s="91">
        <f t="shared" si="323"/>
        <v>0</v>
      </c>
      <c r="I4141" s="91" t="str">
        <f t="shared" si="324"/>
        <v/>
      </c>
      <c r="J4141" s="91" t="str">
        <f t="shared" si="325"/>
        <v/>
      </c>
      <c r="K4141" s="92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2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58"/>
      <c r="U4141" s="217" t="str">
        <f t="shared" si="326"/>
        <v/>
      </c>
      <c r="V4141" s="215" t="s">
        <v>47</v>
      </c>
      <c r="W4141" s="102" t="s">
        <v>136</v>
      </c>
      <c r="X4141" s="102" t="s">
        <v>137</v>
      </c>
      <c r="Y4141" s="103" t="s">
        <v>138</v>
      </c>
      <c r="Z4141" s="103" t="s">
        <v>139</v>
      </c>
      <c r="AA4141" s="103" t="s">
        <v>47</v>
      </c>
      <c r="AB4141" s="103" t="s">
        <v>140</v>
      </c>
      <c r="AC4141" s="104" t="s">
        <v>141</v>
      </c>
    </row>
    <row r="4142" spans="1:29" ht="25.5" customHeight="1" x14ac:dyDescent="0.35">
      <c r="A4142" s="188"/>
      <c r="B4142" s="190"/>
      <c r="C4142" s="99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0"/>
      <c r="E4142" s="78" t="str">
        <f>IF(C4142="","",IFERROR(VLOOKUP(C4142,parametros!$A$11:$E$15,5,0),""))</f>
        <v/>
      </c>
      <c r="F4142" s="79" t="str">
        <f t="shared" si="322"/>
        <v/>
      </c>
      <c r="G4142" s="101"/>
      <c r="H4142" s="91">
        <f t="shared" si="323"/>
        <v>0</v>
      </c>
      <c r="I4142" s="91" t="str">
        <f t="shared" si="324"/>
        <v/>
      </c>
      <c r="J4142" s="91" t="str">
        <f t="shared" si="325"/>
        <v/>
      </c>
      <c r="K4142" s="92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2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58"/>
      <c r="U4142" s="217" t="str">
        <f t="shared" si="326"/>
        <v/>
      </c>
      <c r="V4142" s="215" t="s">
        <v>47</v>
      </c>
      <c r="W4142" s="102" t="s">
        <v>136</v>
      </c>
      <c r="X4142" s="102" t="s">
        <v>137</v>
      </c>
      <c r="Y4142" s="103" t="s">
        <v>138</v>
      </c>
      <c r="Z4142" s="103" t="s">
        <v>139</v>
      </c>
      <c r="AA4142" s="103" t="s">
        <v>47</v>
      </c>
      <c r="AB4142" s="103" t="s">
        <v>140</v>
      </c>
      <c r="AC4142" s="104" t="s">
        <v>141</v>
      </c>
    </row>
    <row r="4143" spans="1:29" ht="25.5" customHeight="1" x14ac:dyDescent="0.35">
      <c r="A4143" s="188"/>
      <c r="B4143" s="190"/>
      <c r="C4143" s="99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0"/>
      <c r="E4143" s="78" t="str">
        <f>IF(C4143="","",IFERROR(VLOOKUP(C4143,parametros!$A$11:$E$15,5,0),""))</f>
        <v/>
      </c>
      <c r="F4143" s="79" t="str">
        <f t="shared" si="322"/>
        <v/>
      </c>
      <c r="G4143" s="101"/>
      <c r="H4143" s="91">
        <f t="shared" si="323"/>
        <v>0</v>
      </c>
      <c r="I4143" s="91" t="str">
        <f t="shared" si="324"/>
        <v/>
      </c>
      <c r="J4143" s="91" t="str">
        <f t="shared" si="325"/>
        <v/>
      </c>
      <c r="K4143" s="92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2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58"/>
      <c r="U4143" s="217" t="str">
        <f t="shared" si="326"/>
        <v/>
      </c>
      <c r="V4143" s="215" t="s">
        <v>47</v>
      </c>
      <c r="W4143" s="102" t="s">
        <v>136</v>
      </c>
      <c r="X4143" s="102" t="s">
        <v>137</v>
      </c>
      <c r="Y4143" s="103" t="s">
        <v>138</v>
      </c>
      <c r="Z4143" s="103" t="s">
        <v>139</v>
      </c>
      <c r="AA4143" s="103" t="s">
        <v>47</v>
      </c>
      <c r="AB4143" s="103" t="s">
        <v>140</v>
      </c>
      <c r="AC4143" s="104" t="s">
        <v>141</v>
      </c>
    </row>
    <row r="4144" spans="1:29" ht="25.5" customHeight="1" x14ac:dyDescent="0.35">
      <c r="A4144" s="188"/>
      <c r="B4144" s="190"/>
      <c r="C4144" s="99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0"/>
      <c r="E4144" s="78" t="str">
        <f>IF(C4144="","",IFERROR(VLOOKUP(C4144,parametros!$A$11:$E$15,5,0),""))</f>
        <v/>
      </c>
      <c r="F4144" s="79" t="str">
        <f t="shared" si="322"/>
        <v/>
      </c>
      <c r="G4144" s="101"/>
      <c r="H4144" s="91">
        <f t="shared" si="323"/>
        <v>0</v>
      </c>
      <c r="I4144" s="91" t="str">
        <f t="shared" si="324"/>
        <v/>
      </c>
      <c r="J4144" s="91" t="str">
        <f t="shared" si="325"/>
        <v/>
      </c>
      <c r="K4144" s="92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2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58"/>
      <c r="U4144" s="217" t="str">
        <f t="shared" si="326"/>
        <v/>
      </c>
      <c r="V4144" s="215" t="s">
        <v>47</v>
      </c>
      <c r="W4144" s="102" t="s">
        <v>136</v>
      </c>
      <c r="X4144" s="102" t="s">
        <v>137</v>
      </c>
      <c r="Y4144" s="103" t="s">
        <v>138</v>
      </c>
      <c r="Z4144" s="103" t="s">
        <v>139</v>
      </c>
      <c r="AA4144" s="103" t="s">
        <v>47</v>
      </c>
      <c r="AB4144" s="103" t="s">
        <v>140</v>
      </c>
      <c r="AC4144" s="104" t="s">
        <v>141</v>
      </c>
    </row>
    <row r="4145" spans="1:29" ht="25.5" customHeight="1" x14ac:dyDescent="0.35">
      <c r="A4145" s="188"/>
      <c r="B4145" s="190"/>
      <c r="C4145" s="99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0"/>
      <c r="E4145" s="78" t="str">
        <f>IF(C4145="","",IFERROR(VLOOKUP(C4145,parametros!$A$11:$E$15,5,0),""))</f>
        <v/>
      </c>
      <c r="F4145" s="79" t="str">
        <f t="shared" si="322"/>
        <v/>
      </c>
      <c r="G4145" s="101"/>
      <c r="H4145" s="91">
        <f t="shared" si="323"/>
        <v>0</v>
      </c>
      <c r="I4145" s="91" t="str">
        <f t="shared" si="324"/>
        <v/>
      </c>
      <c r="J4145" s="91" t="str">
        <f t="shared" si="325"/>
        <v/>
      </c>
      <c r="K4145" s="92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2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58"/>
      <c r="U4145" s="217" t="str">
        <f t="shared" si="326"/>
        <v/>
      </c>
      <c r="V4145" s="215" t="s">
        <v>47</v>
      </c>
      <c r="W4145" s="102" t="s">
        <v>136</v>
      </c>
      <c r="X4145" s="102" t="s">
        <v>137</v>
      </c>
      <c r="Y4145" s="103" t="s">
        <v>138</v>
      </c>
      <c r="Z4145" s="103" t="s">
        <v>139</v>
      </c>
      <c r="AA4145" s="103" t="s">
        <v>47</v>
      </c>
      <c r="AB4145" s="103" t="s">
        <v>140</v>
      </c>
      <c r="AC4145" s="104" t="s">
        <v>141</v>
      </c>
    </row>
    <row r="4146" spans="1:29" ht="25.5" customHeight="1" x14ac:dyDescent="0.35">
      <c r="A4146" s="188"/>
      <c r="B4146" s="190"/>
      <c r="C4146" s="99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0"/>
      <c r="E4146" s="78" t="str">
        <f>IF(C4146="","",IFERROR(VLOOKUP(C4146,parametros!$A$11:$E$15,5,0),""))</f>
        <v/>
      </c>
      <c r="F4146" s="79" t="str">
        <f t="shared" si="322"/>
        <v/>
      </c>
      <c r="G4146" s="101"/>
      <c r="H4146" s="91">
        <f t="shared" si="323"/>
        <v>0</v>
      </c>
      <c r="I4146" s="91" t="str">
        <f t="shared" si="324"/>
        <v/>
      </c>
      <c r="J4146" s="91" t="str">
        <f t="shared" si="325"/>
        <v/>
      </c>
      <c r="K4146" s="92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2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58"/>
      <c r="U4146" s="217" t="str">
        <f t="shared" si="326"/>
        <v/>
      </c>
      <c r="V4146" s="215" t="s">
        <v>47</v>
      </c>
      <c r="W4146" s="102" t="s">
        <v>136</v>
      </c>
      <c r="X4146" s="102" t="s">
        <v>137</v>
      </c>
      <c r="Y4146" s="103" t="s">
        <v>138</v>
      </c>
      <c r="Z4146" s="103" t="s">
        <v>139</v>
      </c>
      <c r="AA4146" s="103" t="s">
        <v>47</v>
      </c>
      <c r="AB4146" s="103" t="s">
        <v>140</v>
      </c>
      <c r="AC4146" s="104" t="s">
        <v>141</v>
      </c>
    </row>
    <row r="4147" spans="1:29" ht="25.5" customHeight="1" x14ac:dyDescent="0.35">
      <c r="A4147" s="188"/>
      <c r="B4147" s="190"/>
      <c r="C4147" s="99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0"/>
      <c r="E4147" s="78" t="str">
        <f>IF(C4147="","",IFERROR(VLOOKUP(C4147,parametros!$A$11:$E$15,5,0),""))</f>
        <v/>
      </c>
      <c r="F4147" s="79" t="str">
        <f t="shared" si="322"/>
        <v/>
      </c>
      <c r="G4147" s="101"/>
      <c r="H4147" s="91">
        <f t="shared" si="323"/>
        <v>0</v>
      </c>
      <c r="I4147" s="91" t="str">
        <f t="shared" si="324"/>
        <v/>
      </c>
      <c r="J4147" s="91" t="str">
        <f t="shared" si="325"/>
        <v/>
      </c>
      <c r="K4147" s="92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2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58"/>
      <c r="U4147" s="217" t="str">
        <f t="shared" si="326"/>
        <v/>
      </c>
      <c r="V4147" s="215" t="s">
        <v>47</v>
      </c>
      <c r="W4147" s="102" t="s">
        <v>136</v>
      </c>
      <c r="X4147" s="102" t="s">
        <v>137</v>
      </c>
      <c r="Y4147" s="103" t="s">
        <v>138</v>
      </c>
      <c r="Z4147" s="103" t="s">
        <v>139</v>
      </c>
      <c r="AA4147" s="103" t="s">
        <v>47</v>
      </c>
      <c r="AB4147" s="103" t="s">
        <v>140</v>
      </c>
      <c r="AC4147" s="104" t="s">
        <v>141</v>
      </c>
    </row>
    <row r="4148" spans="1:29" ht="25.5" customHeight="1" x14ac:dyDescent="0.35">
      <c r="A4148" s="188"/>
      <c r="B4148" s="190"/>
      <c r="C4148" s="99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0"/>
      <c r="E4148" s="78" t="str">
        <f>IF(C4148="","",IFERROR(VLOOKUP(C4148,parametros!$A$11:$E$15,5,0),""))</f>
        <v/>
      </c>
      <c r="F4148" s="79" t="str">
        <f t="shared" si="322"/>
        <v/>
      </c>
      <c r="G4148" s="101"/>
      <c r="H4148" s="91">
        <f t="shared" si="323"/>
        <v>0</v>
      </c>
      <c r="I4148" s="91" t="str">
        <f t="shared" si="324"/>
        <v/>
      </c>
      <c r="J4148" s="91" t="str">
        <f t="shared" si="325"/>
        <v/>
      </c>
      <c r="K4148" s="92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2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58"/>
      <c r="U4148" s="217" t="str">
        <f t="shared" si="326"/>
        <v/>
      </c>
      <c r="V4148" s="215" t="s">
        <v>47</v>
      </c>
      <c r="W4148" s="102" t="s">
        <v>136</v>
      </c>
      <c r="X4148" s="102" t="s">
        <v>137</v>
      </c>
      <c r="Y4148" s="103" t="s">
        <v>138</v>
      </c>
      <c r="Z4148" s="103" t="s">
        <v>139</v>
      </c>
      <c r="AA4148" s="103" t="s">
        <v>47</v>
      </c>
      <c r="AB4148" s="103" t="s">
        <v>140</v>
      </c>
      <c r="AC4148" s="104" t="s">
        <v>141</v>
      </c>
    </row>
    <row r="4149" spans="1:29" ht="25.5" customHeight="1" x14ac:dyDescent="0.35">
      <c r="A4149" s="188"/>
      <c r="B4149" s="190"/>
      <c r="C4149" s="99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0"/>
      <c r="E4149" s="78" t="str">
        <f>IF(C4149="","",IFERROR(VLOOKUP(C4149,parametros!$A$11:$E$15,5,0),""))</f>
        <v/>
      </c>
      <c r="F4149" s="79" t="str">
        <f t="shared" si="322"/>
        <v/>
      </c>
      <c r="G4149" s="101"/>
      <c r="H4149" s="91">
        <f t="shared" si="323"/>
        <v>0</v>
      </c>
      <c r="I4149" s="91" t="str">
        <f t="shared" si="324"/>
        <v/>
      </c>
      <c r="J4149" s="91" t="str">
        <f t="shared" si="325"/>
        <v/>
      </c>
      <c r="K4149" s="92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2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58"/>
      <c r="U4149" s="217" t="str">
        <f t="shared" si="326"/>
        <v/>
      </c>
      <c r="V4149" s="215" t="s">
        <v>47</v>
      </c>
      <c r="W4149" s="102" t="s">
        <v>136</v>
      </c>
      <c r="X4149" s="102" t="s">
        <v>137</v>
      </c>
      <c r="Y4149" s="103" t="s">
        <v>138</v>
      </c>
      <c r="Z4149" s="103" t="s">
        <v>139</v>
      </c>
      <c r="AA4149" s="103" t="s">
        <v>47</v>
      </c>
      <c r="AB4149" s="103" t="s">
        <v>140</v>
      </c>
      <c r="AC4149" s="104" t="s">
        <v>141</v>
      </c>
    </row>
    <row r="4150" spans="1:29" ht="25.5" customHeight="1" x14ac:dyDescent="0.35">
      <c r="A4150" s="188"/>
      <c r="B4150" s="190"/>
      <c r="C4150" s="99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0"/>
      <c r="E4150" s="78" t="str">
        <f>IF(C4150="","",IFERROR(VLOOKUP(C4150,parametros!$A$11:$E$15,5,0),""))</f>
        <v/>
      </c>
      <c r="F4150" s="79" t="str">
        <f t="shared" si="322"/>
        <v/>
      </c>
      <c r="G4150" s="101"/>
      <c r="H4150" s="91">
        <f t="shared" si="323"/>
        <v>0</v>
      </c>
      <c r="I4150" s="91" t="str">
        <f t="shared" si="324"/>
        <v/>
      </c>
      <c r="J4150" s="91" t="str">
        <f t="shared" si="325"/>
        <v/>
      </c>
      <c r="K4150" s="92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2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58"/>
      <c r="U4150" s="217" t="str">
        <f t="shared" si="326"/>
        <v/>
      </c>
      <c r="V4150" s="215" t="s">
        <v>47</v>
      </c>
      <c r="W4150" s="102" t="s">
        <v>136</v>
      </c>
      <c r="X4150" s="102" t="s">
        <v>137</v>
      </c>
      <c r="Y4150" s="103" t="s">
        <v>138</v>
      </c>
      <c r="Z4150" s="103" t="s">
        <v>139</v>
      </c>
      <c r="AA4150" s="103" t="s">
        <v>47</v>
      </c>
      <c r="AB4150" s="103" t="s">
        <v>140</v>
      </c>
      <c r="AC4150" s="104" t="s">
        <v>141</v>
      </c>
    </row>
    <row r="4151" spans="1:29" ht="25.5" customHeight="1" x14ac:dyDescent="0.35">
      <c r="A4151" s="188"/>
      <c r="B4151" s="190"/>
      <c r="C4151" s="99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0"/>
      <c r="E4151" s="78" t="str">
        <f>IF(C4151="","",IFERROR(VLOOKUP(C4151,parametros!$A$11:$E$15,5,0),""))</f>
        <v/>
      </c>
      <c r="F4151" s="79" t="str">
        <f t="shared" si="322"/>
        <v/>
      </c>
      <c r="G4151" s="101"/>
      <c r="H4151" s="91">
        <f t="shared" si="323"/>
        <v>0</v>
      </c>
      <c r="I4151" s="91" t="str">
        <f t="shared" si="324"/>
        <v/>
      </c>
      <c r="J4151" s="91" t="str">
        <f t="shared" si="325"/>
        <v/>
      </c>
      <c r="K4151" s="92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2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58"/>
      <c r="U4151" s="217" t="str">
        <f t="shared" si="326"/>
        <v/>
      </c>
      <c r="V4151" s="215" t="s">
        <v>47</v>
      </c>
      <c r="W4151" s="102" t="s">
        <v>136</v>
      </c>
      <c r="X4151" s="102" t="s">
        <v>137</v>
      </c>
      <c r="Y4151" s="103" t="s">
        <v>138</v>
      </c>
      <c r="Z4151" s="103" t="s">
        <v>139</v>
      </c>
      <c r="AA4151" s="103" t="s">
        <v>47</v>
      </c>
      <c r="AB4151" s="103" t="s">
        <v>140</v>
      </c>
      <c r="AC4151" s="104" t="s">
        <v>141</v>
      </c>
    </row>
    <row r="4152" spans="1:29" ht="25.5" customHeight="1" x14ac:dyDescent="0.35">
      <c r="A4152" s="188"/>
      <c r="B4152" s="190"/>
      <c r="C4152" s="99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0"/>
      <c r="E4152" s="78" t="str">
        <f>IF(C4152="","",IFERROR(VLOOKUP(C4152,parametros!$A$11:$E$15,5,0),""))</f>
        <v/>
      </c>
      <c r="F4152" s="79" t="str">
        <f t="shared" si="322"/>
        <v/>
      </c>
      <c r="G4152" s="101"/>
      <c r="H4152" s="91">
        <f t="shared" si="323"/>
        <v>0</v>
      </c>
      <c r="I4152" s="91" t="str">
        <f t="shared" si="324"/>
        <v/>
      </c>
      <c r="J4152" s="91" t="str">
        <f t="shared" si="325"/>
        <v/>
      </c>
      <c r="K4152" s="92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2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58"/>
      <c r="U4152" s="217" t="str">
        <f t="shared" si="326"/>
        <v/>
      </c>
      <c r="V4152" s="215" t="s">
        <v>47</v>
      </c>
      <c r="W4152" s="102" t="s">
        <v>136</v>
      </c>
      <c r="X4152" s="102" t="s">
        <v>137</v>
      </c>
      <c r="Y4152" s="103" t="s">
        <v>138</v>
      </c>
      <c r="Z4152" s="103" t="s">
        <v>139</v>
      </c>
      <c r="AA4152" s="103" t="s">
        <v>47</v>
      </c>
      <c r="AB4152" s="103" t="s">
        <v>140</v>
      </c>
      <c r="AC4152" s="104" t="s">
        <v>141</v>
      </c>
    </row>
    <row r="4153" spans="1:29" ht="25.5" customHeight="1" x14ac:dyDescent="0.35">
      <c r="A4153" s="188"/>
      <c r="B4153" s="190"/>
      <c r="C4153" s="99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0"/>
      <c r="E4153" s="78" t="str">
        <f>IF(C4153="","",IFERROR(VLOOKUP(C4153,parametros!$A$11:$E$15,5,0),""))</f>
        <v/>
      </c>
      <c r="F4153" s="79" t="str">
        <f t="shared" si="322"/>
        <v/>
      </c>
      <c r="G4153" s="101"/>
      <c r="H4153" s="91">
        <f t="shared" si="323"/>
        <v>0</v>
      </c>
      <c r="I4153" s="91" t="str">
        <f t="shared" si="324"/>
        <v/>
      </c>
      <c r="J4153" s="91" t="str">
        <f t="shared" si="325"/>
        <v/>
      </c>
      <c r="K4153" s="92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2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58"/>
      <c r="U4153" s="217" t="str">
        <f t="shared" si="326"/>
        <v/>
      </c>
      <c r="V4153" s="215" t="s">
        <v>47</v>
      </c>
      <c r="W4153" s="102" t="s">
        <v>136</v>
      </c>
      <c r="X4153" s="102" t="s">
        <v>137</v>
      </c>
      <c r="Y4153" s="103" t="s">
        <v>138</v>
      </c>
      <c r="Z4153" s="103" t="s">
        <v>139</v>
      </c>
      <c r="AA4153" s="103" t="s">
        <v>47</v>
      </c>
      <c r="AB4153" s="103" t="s">
        <v>140</v>
      </c>
      <c r="AC4153" s="104" t="s">
        <v>141</v>
      </c>
    </row>
    <row r="4154" spans="1:29" ht="25.5" customHeight="1" x14ac:dyDescent="0.35">
      <c r="A4154" s="188"/>
      <c r="B4154" s="190"/>
      <c r="C4154" s="99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0"/>
      <c r="E4154" s="78" t="str">
        <f>IF(C4154="","",IFERROR(VLOOKUP(C4154,parametros!$A$11:$E$15,5,0),""))</f>
        <v/>
      </c>
      <c r="F4154" s="79" t="str">
        <f t="shared" si="322"/>
        <v/>
      </c>
      <c r="G4154" s="101"/>
      <c r="H4154" s="91">
        <f t="shared" si="323"/>
        <v>0</v>
      </c>
      <c r="I4154" s="91" t="str">
        <f t="shared" si="324"/>
        <v/>
      </c>
      <c r="J4154" s="91" t="str">
        <f t="shared" si="325"/>
        <v/>
      </c>
      <c r="K4154" s="92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2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58"/>
      <c r="U4154" s="217" t="str">
        <f t="shared" si="326"/>
        <v/>
      </c>
      <c r="V4154" s="215" t="s">
        <v>47</v>
      </c>
      <c r="W4154" s="102" t="s">
        <v>136</v>
      </c>
      <c r="X4154" s="102" t="s">
        <v>137</v>
      </c>
      <c r="Y4154" s="103" t="s">
        <v>138</v>
      </c>
      <c r="Z4154" s="103" t="s">
        <v>139</v>
      </c>
      <c r="AA4154" s="103" t="s">
        <v>47</v>
      </c>
      <c r="AB4154" s="103" t="s">
        <v>140</v>
      </c>
      <c r="AC4154" s="104" t="s">
        <v>141</v>
      </c>
    </row>
    <row r="4155" spans="1:29" ht="25.5" customHeight="1" x14ac:dyDescent="0.35">
      <c r="A4155" s="188"/>
      <c r="B4155" s="190"/>
      <c r="C4155" s="99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0"/>
      <c r="E4155" s="78" t="str">
        <f>IF(C4155="","",IFERROR(VLOOKUP(C4155,parametros!$A$11:$E$15,5,0),""))</f>
        <v/>
      </c>
      <c r="F4155" s="79" t="str">
        <f t="shared" si="322"/>
        <v/>
      </c>
      <c r="G4155" s="101"/>
      <c r="H4155" s="91">
        <f t="shared" si="323"/>
        <v>0</v>
      </c>
      <c r="I4155" s="91" t="str">
        <f t="shared" si="324"/>
        <v/>
      </c>
      <c r="J4155" s="91" t="str">
        <f t="shared" si="325"/>
        <v/>
      </c>
      <c r="K4155" s="92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2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58"/>
      <c r="U4155" s="217" t="str">
        <f t="shared" si="326"/>
        <v/>
      </c>
      <c r="V4155" s="215" t="s">
        <v>47</v>
      </c>
      <c r="W4155" s="102" t="s">
        <v>136</v>
      </c>
      <c r="X4155" s="102" t="s">
        <v>137</v>
      </c>
      <c r="Y4155" s="103" t="s">
        <v>138</v>
      </c>
      <c r="Z4155" s="103" t="s">
        <v>139</v>
      </c>
      <c r="AA4155" s="103" t="s">
        <v>47</v>
      </c>
      <c r="AB4155" s="103" t="s">
        <v>140</v>
      </c>
      <c r="AC4155" s="104" t="s">
        <v>141</v>
      </c>
    </row>
    <row r="4156" spans="1:29" ht="25.5" customHeight="1" x14ac:dyDescent="0.35">
      <c r="A4156" s="188"/>
      <c r="B4156" s="190"/>
      <c r="C4156" s="99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0"/>
      <c r="E4156" s="78" t="str">
        <f>IF(C4156="","",IFERROR(VLOOKUP(C4156,parametros!$A$11:$E$15,5,0),""))</f>
        <v/>
      </c>
      <c r="F4156" s="79" t="str">
        <f t="shared" si="322"/>
        <v/>
      </c>
      <c r="G4156" s="101"/>
      <c r="H4156" s="91">
        <f t="shared" si="323"/>
        <v>0</v>
      </c>
      <c r="I4156" s="91" t="str">
        <f t="shared" si="324"/>
        <v/>
      </c>
      <c r="J4156" s="91" t="str">
        <f t="shared" si="325"/>
        <v/>
      </c>
      <c r="K4156" s="92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2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58"/>
      <c r="U4156" s="217" t="str">
        <f t="shared" si="326"/>
        <v/>
      </c>
      <c r="V4156" s="215" t="s">
        <v>47</v>
      </c>
      <c r="W4156" s="102" t="s">
        <v>136</v>
      </c>
      <c r="X4156" s="102" t="s">
        <v>137</v>
      </c>
      <c r="Y4156" s="103" t="s">
        <v>138</v>
      </c>
      <c r="Z4156" s="103" t="s">
        <v>139</v>
      </c>
      <c r="AA4156" s="103" t="s">
        <v>47</v>
      </c>
      <c r="AB4156" s="103" t="s">
        <v>140</v>
      </c>
      <c r="AC4156" s="104" t="s">
        <v>141</v>
      </c>
    </row>
    <row r="4157" spans="1:29" ht="25.5" customHeight="1" x14ac:dyDescent="0.35">
      <c r="A4157" s="188"/>
      <c r="B4157" s="190"/>
      <c r="C4157" s="99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0"/>
      <c r="E4157" s="78" t="str">
        <f>IF(C4157="","",IFERROR(VLOOKUP(C4157,parametros!$A$11:$E$15,5,0),""))</f>
        <v/>
      </c>
      <c r="F4157" s="79" t="str">
        <f t="shared" si="322"/>
        <v/>
      </c>
      <c r="G4157" s="101"/>
      <c r="H4157" s="91">
        <f t="shared" si="323"/>
        <v>0</v>
      </c>
      <c r="I4157" s="91" t="str">
        <f t="shared" si="324"/>
        <v/>
      </c>
      <c r="J4157" s="91" t="str">
        <f t="shared" si="325"/>
        <v/>
      </c>
      <c r="K4157" s="92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2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58"/>
      <c r="U4157" s="217" t="str">
        <f t="shared" si="326"/>
        <v/>
      </c>
      <c r="V4157" s="215" t="s">
        <v>47</v>
      </c>
      <c r="W4157" s="102" t="s">
        <v>136</v>
      </c>
      <c r="X4157" s="102" t="s">
        <v>137</v>
      </c>
      <c r="Y4157" s="103" t="s">
        <v>138</v>
      </c>
      <c r="Z4157" s="103" t="s">
        <v>139</v>
      </c>
      <c r="AA4157" s="103" t="s">
        <v>47</v>
      </c>
      <c r="AB4157" s="103" t="s">
        <v>140</v>
      </c>
      <c r="AC4157" s="104" t="s">
        <v>141</v>
      </c>
    </row>
    <row r="4158" spans="1:29" ht="25.5" customHeight="1" x14ac:dyDescent="0.35">
      <c r="A4158" s="188"/>
      <c r="B4158" s="190"/>
      <c r="C4158" s="99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0"/>
      <c r="E4158" s="78" t="str">
        <f>IF(C4158="","",IFERROR(VLOOKUP(C4158,parametros!$A$11:$E$15,5,0),""))</f>
        <v/>
      </c>
      <c r="F4158" s="79" t="str">
        <f t="shared" si="322"/>
        <v/>
      </c>
      <c r="G4158" s="101"/>
      <c r="H4158" s="91">
        <f t="shared" si="323"/>
        <v>0</v>
      </c>
      <c r="I4158" s="91" t="str">
        <f t="shared" si="324"/>
        <v/>
      </c>
      <c r="J4158" s="91" t="str">
        <f t="shared" si="325"/>
        <v/>
      </c>
      <c r="K4158" s="92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2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58"/>
      <c r="U4158" s="217" t="str">
        <f t="shared" si="326"/>
        <v/>
      </c>
      <c r="V4158" s="215" t="s">
        <v>47</v>
      </c>
      <c r="W4158" s="102" t="s">
        <v>136</v>
      </c>
      <c r="X4158" s="102" t="s">
        <v>137</v>
      </c>
      <c r="Y4158" s="103" t="s">
        <v>138</v>
      </c>
      <c r="Z4158" s="103" t="s">
        <v>139</v>
      </c>
      <c r="AA4158" s="103" t="s">
        <v>47</v>
      </c>
      <c r="AB4158" s="103" t="s">
        <v>140</v>
      </c>
      <c r="AC4158" s="104" t="s">
        <v>141</v>
      </c>
    </row>
    <row r="4159" spans="1:29" ht="25.5" customHeight="1" x14ac:dyDescent="0.35">
      <c r="A4159" s="188"/>
      <c r="B4159" s="190"/>
      <c r="C4159" s="99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0"/>
      <c r="E4159" s="78" t="str">
        <f>IF(C4159="","",IFERROR(VLOOKUP(C4159,parametros!$A$11:$E$15,5,0),""))</f>
        <v/>
      </c>
      <c r="F4159" s="79" t="str">
        <f t="shared" si="322"/>
        <v/>
      </c>
      <c r="G4159" s="101"/>
      <c r="H4159" s="91">
        <f t="shared" si="323"/>
        <v>0</v>
      </c>
      <c r="I4159" s="91" t="str">
        <f t="shared" si="324"/>
        <v/>
      </c>
      <c r="J4159" s="91" t="str">
        <f t="shared" si="325"/>
        <v/>
      </c>
      <c r="K4159" s="92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2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58"/>
      <c r="U4159" s="217" t="str">
        <f t="shared" si="326"/>
        <v/>
      </c>
      <c r="V4159" s="215" t="s">
        <v>47</v>
      </c>
      <c r="W4159" s="102" t="s">
        <v>136</v>
      </c>
      <c r="X4159" s="102" t="s">
        <v>137</v>
      </c>
      <c r="Y4159" s="103" t="s">
        <v>138</v>
      </c>
      <c r="Z4159" s="103" t="s">
        <v>139</v>
      </c>
      <c r="AA4159" s="103" t="s">
        <v>47</v>
      </c>
      <c r="AB4159" s="103" t="s">
        <v>140</v>
      </c>
      <c r="AC4159" s="104" t="s">
        <v>141</v>
      </c>
    </row>
    <row r="4160" spans="1:29" ht="25.5" customHeight="1" x14ac:dyDescent="0.35">
      <c r="A4160" s="188"/>
      <c r="B4160" s="190"/>
      <c r="C4160" s="99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0"/>
      <c r="E4160" s="78" t="str">
        <f>IF(C4160="","",IFERROR(VLOOKUP(C4160,parametros!$A$11:$E$15,5,0),""))</f>
        <v/>
      </c>
      <c r="F4160" s="79" t="str">
        <f t="shared" si="322"/>
        <v/>
      </c>
      <c r="G4160" s="101"/>
      <c r="H4160" s="91">
        <f t="shared" si="323"/>
        <v>0</v>
      </c>
      <c r="I4160" s="91" t="str">
        <f t="shared" si="324"/>
        <v/>
      </c>
      <c r="J4160" s="91" t="str">
        <f t="shared" si="325"/>
        <v/>
      </c>
      <c r="K4160" s="92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2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58"/>
      <c r="U4160" s="217" t="str">
        <f t="shared" si="326"/>
        <v/>
      </c>
      <c r="V4160" s="215" t="s">
        <v>47</v>
      </c>
      <c r="W4160" s="102" t="s">
        <v>136</v>
      </c>
      <c r="X4160" s="102" t="s">
        <v>137</v>
      </c>
      <c r="Y4160" s="103" t="s">
        <v>138</v>
      </c>
      <c r="Z4160" s="103" t="s">
        <v>139</v>
      </c>
      <c r="AA4160" s="103" t="s">
        <v>47</v>
      </c>
      <c r="AB4160" s="103" t="s">
        <v>140</v>
      </c>
      <c r="AC4160" s="104" t="s">
        <v>141</v>
      </c>
    </row>
    <row r="4161" spans="1:29" ht="25.5" customHeight="1" x14ac:dyDescent="0.35">
      <c r="A4161" s="188"/>
      <c r="B4161" s="190"/>
      <c r="C4161" s="99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0"/>
      <c r="E4161" s="78" t="str">
        <f>IF(C4161="","",IFERROR(VLOOKUP(C4161,parametros!$A$11:$E$15,5,0),""))</f>
        <v/>
      </c>
      <c r="F4161" s="79" t="str">
        <f t="shared" si="322"/>
        <v/>
      </c>
      <c r="G4161" s="101"/>
      <c r="H4161" s="91">
        <f t="shared" si="323"/>
        <v>0</v>
      </c>
      <c r="I4161" s="91" t="str">
        <f t="shared" si="324"/>
        <v/>
      </c>
      <c r="J4161" s="91" t="str">
        <f t="shared" si="325"/>
        <v/>
      </c>
      <c r="K4161" s="92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2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58"/>
      <c r="U4161" s="217" t="str">
        <f t="shared" si="326"/>
        <v/>
      </c>
      <c r="V4161" s="215" t="s">
        <v>47</v>
      </c>
      <c r="W4161" s="102" t="s">
        <v>136</v>
      </c>
      <c r="X4161" s="102" t="s">
        <v>137</v>
      </c>
      <c r="Y4161" s="103" t="s">
        <v>138</v>
      </c>
      <c r="Z4161" s="103" t="s">
        <v>139</v>
      </c>
      <c r="AA4161" s="103" t="s">
        <v>47</v>
      </c>
      <c r="AB4161" s="103" t="s">
        <v>140</v>
      </c>
      <c r="AC4161" s="104" t="s">
        <v>141</v>
      </c>
    </row>
    <row r="4162" spans="1:29" ht="25.5" customHeight="1" x14ac:dyDescent="0.35">
      <c r="A4162" s="188"/>
      <c r="B4162" s="190"/>
      <c r="C4162" s="99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0"/>
      <c r="E4162" s="78" t="str">
        <f>IF(C4162="","",IFERROR(VLOOKUP(C4162,parametros!$A$11:$E$15,5,0),""))</f>
        <v/>
      </c>
      <c r="F4162" s="79" t="str">
        <f t="shared" ref="F4162:F4225" si="327">IF(OR(D4162="",E4162=""),"",ROUND(D4162*E4162,2))</f>
        <v/>
      </c>
      <c r="G4162" s="101"/>
      <c r="H4162" s="91">
        <f t="shared" ref="H4162:H4225" si="328">IF(G4162="Sim",IF(OR(F4162="",D4162="",L4162=""),"",IF(L4162="Sim",ROUND(F4162-D4162,2),0)),0)</f>
        <v>0</v>
      </c>
      <c r="I4162" s="91" t="str">
        <f t="shared" ref="I4162:I4225" si="329">IF(G4162="Sim",0,IF(OR(F4162="",L4162=""),"",F4162))</f>
        <v/>
      </c>
      <c r="J4162" s="91" t="str">
        <f t="shared" ref="J4162:J4225" si="330">IF(G4162="Sim",0,IF(OR(F4162="",D4162="",L4162=""),"",IF(L4162="Sim",ROUND(F4162-D4162,2),0)))</f>
        <v/>
      </c>
      <c r="K4162" s="92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2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58"/>
      <c r="U4162" s="217" t="str">
        <f t="shared" ref="U4162:U4225" si="331">IF(OR($D4162="",$H4162=""),"",ROUND($D4162+$H4162,2))</f>
        <v/>
      </c>
      <c r="V4162" s="215" t="s">
        <v>47</v>
      </c>
      <c r="W4162" s="102" t="s">
        <v>136</v>
      </c>
      <c r="X4162" s="102" t="s">
        <v>137</v>
      </c>
      <c r="Y4162" s="103" t="s">
        <v>138</v>
      </c>
      <c r="Z4162" s="103" t="s">
        <v>139</v>
      </c>
      <c r="AA4162" s="103" t="s">
        <v>47</v>
      </c>
      <c r="AB4162" s="103" t="s">
        <v>140</v>
      </c>
      <c r="AC4162" s="104" t="s">
        <v>141</v>
      </c>
    </row>
    <row r="4163" spans="1:29" ht="25.5" customHeight="1" x14ac:dyDescent="0.35">
      <c r="A4163" s="188"/>
      <c r="B4163" s="190"/>
      <c r="C4163" s="99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0"/>
      <c r="E4163" s="78" t="str">
        <f>IF(C4163="","",IFERROR(VLOOKUP(C4163,parametros!$A$11:$E$15,5,0),""))</f>
        <v/>
      </c>
      <c r="F4163" s="79" t="str">
        <f t="shared" si="327"/>
        <v/>
      </c>
      <c r="G4163" s="101"/>
      <c r="H4163" s="91">
        <f t="shared" si="328"/>
        <v>0</v>
      </c>
      <c r="I4163" s="91" t="str">
        <f t="shared" si="329"/>
        <v/>
      </c>
      <c r="J4163" s="91" t="str">
        <f t="shared" si="330"/>
        <v/>
      </c>
      <c r="K4163" s="92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2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58"/>
      <c r="U4163" s="217" t="str">
        <f t="shared" si="331"/>
        <v/>
      </c>
      <c r="V4163" s="215" t="s">
        <v>47</v>
      </c>
      <c r="W4163" s="102" t="s">
        <v>136</v>
      </c>
      <c r="X4163" s="102" t="s">
        <v>137</v>
      </c>
      <c r="Y4163" s="103" t="s">
        <v>138</v>
      </c>
      <c r="Z4163" s="103" t="s">
        <v>139</v>
      </c>
      <c r="AA4163" s="103" t="s">
        <v>47</v>
      </c>
      <c r="AB4163" s="103" t="s">
        <v>140</v>
      </c>
      <c r="AC4163" s="104" t="s">
        <v>141</v>
      </c>
    </row>
    <row r="4164" spans="1:29" ht="25.5" customHeight="1" x14ac:dyDescent="0.35">
      <c r="A4164" s="188"/>
      <c r="B4164" s="190"/>
      <c r="C4164" s="99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0"/>
      <c r="E4164" s="78" t="str">
        <f>IF(C4164="","",IFERROR(VLOOKUP(C4164,parametros!$A$11:$E$15,5,0),""))</f>
        <v/>
      </c>
      <c r="F4164" s="79" t="str">
        <f t="shared" si="327"/>
        <v/>
      </c>
      <c r="G4164" s="101"/>
      <c r="H4164" s="91">
        <f t="shared" si="328"/>
        <v>0</v>
      </c>
      <c r="I4164" s="91" t="str">
        <f t="shared" si="329"/>
        <v/>
      </c>
      <c r="J4164" s="91" t="str">
        <f t="shared" si="330"/>
        <v/>
      </c>
      <c r="K4164" s="92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2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58"/>
      <c r="U4164" s="217" t="str">
        <f t="shared" si="331"/>
        <v/>
      </c>
      <c r="V4164" s="215" t="s">
        <v>47</v>
      </c>
      <c r="W4164" s="102" t="s">
        <v>136</v>
      </c>
      <c r="X4164" s="102" t="s">
        <v>137</v>
      </c>
      <c r="Y4164" s="103" t="s">
        <v>138</v>
      </c>
      <c r="Z4164" s="103" t="s">
        <v>139</v>
      </c>
      <c r="AA4164" s="103" t="s">
        <v>47</v>
      </c>
      <c r="AB4164" s="103" t="s">
        <v>140</v>
      </c>
      <c r="AC4164" s="104" t="s">
        <v>141</v>
      </c>
    </row>
    <row r="4165" spans="1:29" ht="25.5" customHeight="1" x14ac:dyDescent="0.35">
      <c r="A4165" s="188"/>
      <c r="B4165" s="190"/>
      <c r="C4165" s="99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0"/>
      <c r="E4165" s="78" t="str">
        <f>IF(C4165="","",IFERROR(VLOOKUP(C4165,parametros!$A$11:$E$15,5,0),""))</f>
        <v/>
      </c>
      <c r="F4165" s="79" t="str">
        <f t="shared" si="327"/>
        <v/>
      </c>
      <c r="G4165" s="101"/>
      <c r="H4165" s="91">
        <f t="shared" si="328"/>
        <v>0</v>
      </c>
      <c r="I4165" s="91" t="str">
        <f t="shared" si="329"/>
        <v/>
      </c>
      <c r="J4165" s="91" t="str">
        <f t="shared" si="330"/>
        <v/>
      </c>
      <c r="K4165" s="92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2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58"/>
      <c r="U4165" s="217" t="str">
        <f t="shared" si="331"/>
        <v/>
      </c>
      <c r="V4165" s="215" t="s">
        <v>47</v>
      </c>
      <c r="W4165" s="102" t="s">
        <v>136</v>
      </c>
      <c r="X4165" s="102" t="s">
        <v>137</v>
      </c>
      <c r="Y4165" s="103" t="s">
        <v>138</v>
      </c>
      <c r="Z4165" s="103" t="s">
        <v>139</v>
      </c>
      <c r="AA4165" s="103" t="s">
        <v>47</v>
      </c>
      <c r="AB4165" s="103" t="s">
        <v>140</v>
      </c>
      <c r="AC4165" s="104" t="s">
        <v>141</v>
      </c>
    </row>
    <row r="4166" spans="1:29" ht="25.5" customHeight="1" x14ac:dyDescent="0.35">
      <c r="A4166" s="188"/>
      <c r="B4166" s="190"/>
      <c r="C4166" s="99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0"/>
      <c r="E4166" s="78" t="str">
        <f>IF(C4166="","",IFERROR(VLOOKUP(C4166,parametros!$A$11:$E$15,5,0),""))</f>
        <v/>
      </c>
      <c r="F4166" s="79" t="str">
        <f t="shared" si="327"/>
        <v/>
      </c>
      <c r="G4166" s="101"/>
      <c r="H4166" s="91">
        <f t="shared" si="328"/>
        <v>0</v>
      </c>
      <c r="I4166" s="91" t="str">
        <f t="shared" si="329"/>
        <v/>
      </c>
      <c r="J4166" s="91" t="str">
        <f t="shared" si="330"/>
        <v/>
      </c>
      <c r="K4166" s="92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2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58"/>
      <c r="U4166" s="217" t="str">
        <f t="shared" si="331"/>
        <v/>
      </c>
      <c r="V4166" s="215" t="s">
        <v>47</v>
      </c>
      <c r="W4166" s="102" t="s">
        <v>136</v>
      </c>
      <c r="X4166" s="102" t="s">
        <v>137</v>
      </c>
      <c r="Y4166" s="103" t="s">
        <v>138</v>
      </c>
      <c r="Z4166" s="103" t="s">
        <v>139</v>
      </c>
      <c r="AA4166" s="103" t="s">
        <v>47</v>
      </c>
      <c r="AB4166" s="103" t="s">
        <v>140</v>
      </c>
      <c r="AC4166" s="104" t="s">
        <v>141</v>
      </c>
    </row>
    <row r="4167" spans="1:29" ht="25.5" customHeight="1" x14ac:dyDescent="0.35">
      <c r="A4167" s="188"/>
      <c r="B4167" s="190"/>
      <c r="C4167" s="99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0"/>
      <c r="E4167" s="78" t="str">
        <f>IF(C4167="","",IFERROR(VLOOKUP(C4167,parametros!$A$11:$E$15,5,0),""))</f>
        <v/>
      </c>
      <c r="F4167" s="79" t="str">
        <f t="shared" si="327"/>
        <v/>
      </c>
      <c r="G4167" s="101"/>
      <c r="H4167" s="91">
        <f t="shared" si="328"/>
        <v>0</v>
      </c>
      <c r="I4167" s="91" t="str">
        <f t="shared" si="329"/>
        <v/>
      </c>
      <c r="J4167" s="91" t="str">
        <f t="shared" si="330"/>
        <v/>
      </c>
      <c r="K4167" s="92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2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58"/>
      <c r="U4167" s="217" t="str">
        <f t="shared" si="331"/>
        <v/>
      </c>
      <c r="V4167" s="215" t="s">
        <v>47</v>
      </c>
      <c r="W4167" s="102" t="s">
        <v>136</v>
      </c>
      <c r="X4167" s="102" t="s">
        <v>137</v>
      </c>
      <c r="Y4167" s="103" t="s">
        <v>138</v>
      </c>
      <c r="Z4167" s="103" t="s">
        <v>139</v>
      </c>
      <c r="AA4167" s="103" t="s">
        <v>47</v>
      </c>
      <c r="AB4167" s="103" t="s">
        <v>140</v>
      </c>
      <c r="AC4167" s="104" t="s">
        <v>141</v>
      </c>
    </row>
    <row r="4168" spans="1:29" ht="25.5" customHeight="1" x14ac:dyDescent="0.35">
      <c r="A4168" s="188"/>
      <c r="B4168" s="190"/>
      <c r="C4168" s="99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0"/>
      <c r="E4168" s="78" t="str">
        <f>IF(C4168="","",IFERROR(VLOOKUP(C4168,parametros!$A$11:$E$15,5,0),""))</f>
        <v/>
      </c>
      <c r="F4168" s="79" t="str">
        <f t="shared" si="327"/>
        <v/>
      </c>
      <c r="G4168" s="101"/>
      <c r="H4168" s="91">
        <f t="shared" si="328"/>
        <v>0</v>
      </c>
      <c r="I4168" s="91" t="str">
        <f t="shared" si="329"/>
        <v/>
      </c>
      <c r="J4168" s="91" t="str">
        <f t="shared" si="330"/>
        <v/>
      </c>
      <c r="K4168" s="92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2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58"/>
      <c r="U4168" s="217" t="str">
        <f t="shared" si="331"/>
        <v/>
      </c>
      <c r="V4168" s="215" t="s">
        <v>47</v>
      </c>
      <c r="W4168" s="102" t="s">
        <v>136</v>
      </c>
      <c r="X4168" s="102" t="s">
        <v>137</v>
      </c>
      <c r="Y4168" s="103" t="s">
        <v>138</v>
      </c>
      <c r="Z4168" s="103" t="s">
        <v>139</v>
      </c>
      <c r="AA4168" s="103" t="s">
        <v>47</v>
      </c>
      <c r="AB4168" s="103" t="s">
        <v>140</v>
      </c>
      <c r="AC4168" s="104" t="s">
        <v>141</v>
      </c>
    </row>
    <row r="4169" spans="1:29" ht="25.5" customHeight="1" x14ac:dyDescent="0.35">
      <c r="A4169" s="188"/>
      <c r="B4169" s="190"/>
      <c r="C4169" s="99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0"/>
      <c r="E4169" s="78" t="str">
        <f>IF(C4169="","",IFERROR(VLOOKUP(C4169,parametros!$A$11:$E$15,5,0),""))</f>
        <v/>
      </c>
      <c r="F4169" s="79" t="str">
        <f t="shared" si="327"/>
        <v/>
      </c>
      <c r="G4169" s="101"/>
      <c r="H4169" s="91">
        <f t="shared" si="328"/>
        <v>0</v>
      </c>
      <c r="I4169" s="91" t="str">
        <f t="shared" si="329"/>
        <v/>
      </c>
      <c r="J4169" s="91" t="str">
        <f t="shared" si="330"/>
        <v/>
      </c>
      <c r="K4169" s="92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2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58"/>
      <c r="U4169" s="217" t="str">
        <f t="shared" si="331"/>
        <v/>
      </c>
      <c r="V4169" s="215" t="s">
        <v>47</v>
      </c>
      <c r="W4169" s="102" t="s">
        <v>136</v>
      </c>
      <c r="X4169" s="102" t="s">
        <v>137</v>
      </c>
      <c r="Y4169" s="103" t="s">
        <v>138</v>
      </c>
      <c r="Z4169" s="103" t="s">
        <v>139</v>
      </c>
      <c r="AA4169" s="103" t="s">
        <v>47</v>
      </c>
      <c r="AB4169" s="103" t="s">
        <v>140</v>
      </c>
      <c r="AC4169" s="104" t="s">
        <v>141</v>
      </c>
    </row>
    <row r="4170" spans="1:29" ht="25.5" customHeight="1" x14ac:dyDescent="0.35">
      <c r="A4170" s="188"/>
      <c r="B4170" s="190"/>
      <c r="C4170" s="99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0"/>
      <c r="E4170" s="78" t="str">
        <f>IF(C4170="","",IFERROR(VLOOKUP(C4170,parametros!$A$11:$E$15,5,0),""))</f>
        <v/>
      </c>
      <c r="F4170" s="79" t="str">
        <f t="shared" si="327"/>
        <v/>
      </c>
      <c r="G4170" s="101"/>
      <c r="H4170" s="91">
        <f t="shared" si="328"/>
        <v>0</v>
      </c>
      <c r="I4170" s="91" t="str">
        <f t="shared" si="329"/>
        <v/>
      </c>
      <c r="J4170" s="91" t="str">
        <f t="shared" si="330"/>
        <v/>
      </c>
      <c r="K4170" s="92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2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58"/>
      <c r="U4170" s="217" t="str">
        <f t="shared" si="331"/>
        <v/>
      </c>
      <c r="V4170" s="215" t="s">
        <v>47</v>
      </c>
      <c r="W4170" s="102" t="s">
        <v>136</v>
      </c>
      <c r="X4170" s="102" t="s">
        <v>137</v>
      </c>
      <c r="Y4170" s="103" t="s">
        <v>138</v>
      </c>
      <c r="Z4170" s="103" t="s">
        <v>139</v>
      </c>
      <c r="AA4170" s="103" t="s">
        <v>47</v>
      </c>
      <c r="AB4170" s="103" t="s">
        <v>140</v>
      </c>
      <c r="AC4170" s="104" t="s">
        <v>141</v>
      </c>
    </row>
    <row r="4171" spans="1:29" ht="25.5" customHeight="1" x14ac:dyDescent="0.35">
      <c r="A4171" s="188"/>
      <c r="B4171" s="190"/>
      <c r="C4171" s="99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0"/>
      <c r="E4171" s="78" t="str">
        <f>IF(C4171="","",IFERROR(VLOOKUP(C4171,parametros!$A$11:$E$15,5,0),""))</f>
        <v/>
      </c>
      <c r="F4171" s="79" t="str">
        <f t="shared" si="327"/>
        <v/>
      </c>
      <c r="G4171" s="101"/>
      <c r="H4171" s="91">
        <f t="shared" si="328"/>
        <v>0</v>
      </c>
      <c r="I4171" s="91" t="str">
        <f t="shared" si="329"/>
        <v/>
      </c>
      <c r="J4171" s="91" t="str">
        <f t="shared" si="330"/>
        <v/>
      </c>
      <c r="K4171" s="92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2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58"/>
      <c r="U4171" s="217" t="str">
        <f t="shared" si="331"/>
        <v/>
      </c>
      <c r="V4171" s="215" t="s">
        <v>47</v>
      </c>
      <c r="W4171" s="102" t="s">
        <v>136</v>
      </c>
      <c r="X4171" s="102" t="s">
        <v>137</v>
      </c>
      <c r="Y4171" s="103" t="s">
        <v>138</v>
      </c>
      <c r="Z4171" s="103" t="s">
        <v>139</v>
      </c>
      <c r="AA4171" s="103" t="s">
        <v>47</v>
      </c>
      <c r="AB4171" s="103" t="s">
        <v>140</v>
      </c>
      <c r="AC4171" s="104" t="s">
        <v>141</v>
      </c>
    </row>
    <row r="4172" spans="1:29" ht="25.5" customHeight="1" x14ac:dyDescent="0.35">
      <c r="A4172" s="188"/>
      <c r="B4172" s="190"/>
      <c r="C4172" s="99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0"/>
      <c r="E4172" s="78" t="str">
        <f>IF(C4172="","",IFERROR(VLOOKUP(C4172,parametros!$A$11:$E$15,5,0),""))</f>
        <v/>
      </c>
      <c r="F4172" s="79" t="str">
        <f t="shared" si="327"/>
        <v/>
      </c>
      <c r="G4172" s="101"/>
      <c r="H4172" s="91">
        <f t="shared" si="328"/>
        <v>0</v>
      </c>
      <c r="I4172" s="91" t="str">
        <f t="shared" si="329"/>
        <v/>
      </c>
      <c r="J4172" s="91" t="str">
        <f t="shared" si="330"/>
        <v/>
      </c>
      <c r="K4172" s="92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2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58"/>
      <c r="U4172" s="217" t="str">
        <f t="shared" si="331"/>
        <v/>
      </c>
      <c r="V4172" s="215" t="s">
        <v>47</v>
      </c>
      <c r="W4172" s="102" t="s">
        <v>136</v>
      </c>
      <c r="X4172" s="102" t="s">
        <v>137</v>
      </c>
      <c r="Y4172" s="103" t="s">
        <v>138</v>
      </c>
      <c r="Z4172" s="103" t="s">
        <v>139</v>
      </c>
      <c r="AA4172" s="103" t="s">
        <v>47</v>
      </c>
      <c r="AB4172" s="103" t="s">
        <v>140</v>
      </c>
      <c r="AC4172" s="104" t="s">
        <v>141</v>
      </c>
    </row>
    <row r="4173" spans="1:29" ht="25.5" customHeight="1" x14ac:dyDescent="0.35">
      <c r="A4173" s="188"/>
      <c r="B4173" s="190"/>
      <c r="C4173" s="99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0"/>
      <c r="E4173" s="78" t="str">
        <f>IF(C4173="","",IFERROR(VLOOKUP(C4173,parametros!$A$11:$E$15,5,0),""))</f>
        <v/>
      </c>
      <c r="F4173" s="79" t="str">
        <f t="shared" si="327"/>
        <v/>
      </c>
      <c r="G4173" s="101"/>
      <c r="H4173" s="91">
        <f t="shared" si="328"/>
        <v>0</v>
      </c>
      <c r="I4173" s="91" t="str">
        <f t="shared" si="329"/>
        <v/>
      </c>
      <c r="J4173" s="91" t="str">
        <f t="shared" si="330"/>
        <v/>
      </c>
      <c r="K4173" s="92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2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58"/>
      <c r="U4173" s="217" t="str">
        <f t="shared" si="331"/>
        <v/>
      </c>
      <c r="V4173" s="215" t="s">
        <v>47</v>
      </c>
      <c r="W4173" s="102" t="s">
        <v>136</v>
      </c>
      <c r="X4173" s="102" t="s">
        <v>137</v>
      </c>
      <c r="Y4173" s="103" t="s">
        <v>138</v>
      </c>
      <c r="Z4173" s="103" t="s">
        <v>139</v>
      </c>
      <c r="AA4173" s="103" t="s">
        <v>47</v>
      </c>
      <c r="AB4173" s="103" t="s">
        <v>140</v>
      </c>
      <c r="AC4173" s="104" t="s">
        <v>141</v>
      </c>
    </row>
    <row r="4174" spans="1:29" ht="25.5" customHeight="1" x14ac:dyDescent="0.35">
      <c r="A4174" s="188"/>
      <c r="B4174" s="190"/>
      <c r="C4174" s="99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0"/>
      <c r="E4174" s="78" t="str">
        <f>IF(C4174="","",IFERROR(VLOOKUP(C4174,parametros!$A$11:$E$15,5,0),""))</f>
        <v/>
      </c>
      <c r="F4174" s="79" t="str">
        <f t="shared" si="327"/>
        <v/>
      </c>
      <c r="G4174" s="101"/>
      <c r="H4174" s="91">
        <f t="shared" si="328"/>
        <v>0</v>
      </c>
      <c r="I4174" s="91" t="str">
        <f t="shared" si="329"/>
        <v/>
      </c>
      <c r="J4174" s="91" t="str">
        <f t="shared" si="330"/>
        <v/>
      </c>
      <c r="K4174" s="92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2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58"/>
      <c r="U4174" s="217" t="str">
        <f t="shared" si="331"/>
        <v/>
      </c>
      <c r="V4174" s="215" t="s">
        <v>47</v>
      </c>
      <c r="W4174" s="102" t="s">
        <v>136</v>
      </c>
      <c r="X4174" s="102" t="s">
        <v>137</v>
      </c>
      <c r="Y4174" s="103" t="s">
        <v>138</v>
      </c>
      <c r="Z4174" s="103" t="s">
        <v>139</v>
      </c>
      <c r="AA4174" s="103" t="s">
        <v>47</v>
      </c>
      <c r="AB4174" s="103" t="s">
        <v>140</v>
      </c>
      <c r="AC4174" s="104" t="s">
        <v>141</v>
      </c>
    </row>
    <row r="4175" spans="1:29" ht="25.5" customHeight="1" x14ac:dyDescent="0.35">
      <c r="A4175" s="188"/>
      <c r="B4175" s="190"/>
      <c r="C4175" s="99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0"/>
      <c r="E4175" s="78" t="str">
        <f>IF(C4175="","",IFERROR(VLOOKUP(C4175,parametros!$A$11:$E$15,5,0),""))</f>
        <v/>
      </c>
      <c r="F4175" s="79" t="str">
        <f t="shared" si="327"/>
        <v/>
      </c>
      <c r="G4175" s="101"/>
      <c r="H4175" s="91">
        <f t="shared" si="328"/>
        <v>0</v>
      </c>
      <c r="I4175" s="91" t="str">
        <f t="shared" si="329"/>
        <v/>
      </c>
      <c r="J4175" s="91" t="str">
        <f t="shared" si="330"/>
        <v/>
      </c>
      <c r="K4175" s="92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2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58"/>
      <c r="U4175" s="217" t="str">
        <f t="shared" si="331"/>
        <v/>
      </c>
      <c r="V4175" s="215" t="s">
        <v>47</v>
      </c>
      <c r="W4175" s="102" t="s">
        <v>136</v>
      </c>
      <c r="X4175" s="102" t="s">
        <v>137</v>
      </c>
      <c r="Y4175" s="103" t="s">
        <v>138</v>
      </c>
      <c r="Z4175" s="103" t="s">
        <v>139</v>
      </c>
      <c r="AA4175" s="103" t="s">
        <v>47</v>
      </c>
      <c r="AB4175" s="103" t="s">
        <v>140</v>
      </c>
      <c r="AC4175" s="104" t="s">
        <v>141</v>
      </c>
    </row>
    <row r="4176" spans="1:29" ht="25.5" customHeight="1" x14ac:dyDescent="0.35">
      <c r="A4176" s="188"/>
      <c r="B4176" s="190"/>
      <c r="C4176" s="99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0"/>
      <c r="E4176" s="78" t="str">
        <f>IF(C4176="","",IFERROR(VLOOKUP(C4176,parametros!$A$11:$E$15,5,0),""))</f>
        <v/>
      </c>
      <c r="F4176" s="79" t="str">
        <f t="shared" si="327"/>
        <v/>
      </c>
      <c r="G4176" s="101"/>
      <c r="H4176" s="91">
        <f t="shared" si="328"/>
        <v>0</v>
      </c>
      <c r="I4176" s="91" t="str">
        <f t="shared" si="329"/>
        <v/>
      </c>
      <c r="J4176" s="91" t="str">
        <f t="shared" si="330"/>
        <v/>
      </c>
      <c r="K4176" s="92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2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58"/>
      <c r="U4176" s="217" t="str">
        <f t="shared" si="331"/>
        <v/>
      </c>
      <c r="V4176" s="215" t="s">
        <v>47</v>
      </c>
      <c r="W4176" s="102" t="s">
        <v>136</v>
      </c>
      <c r="X4176" s="102" t="s">
        <v>137</v>
      </c>
      <c r="Y4176" s="103" t="s">
        <v>138</v>
      </c>
      <c r="Z4176" s="103" t="s">
        <v>139</v>
      </c>
      <c r="AA4176" s="103" t="s">
        <v>47</v>
      </c>
      <c r="AB4176" s="103" t="s">
        <v>140</v>
      </c>
      <c r="AC4176" s="104" t="s">
        <v>141</v>
      </c>
    </row>
    <row r="4177" spans="1:29" ht="25.5" customHeight="1" x14ac:dyDescent="0.35">
      <c r="A4177" s="188"/>
      <c r="B4177" s="190"/>
      <c r="C4177" s="99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0"/>
      <c r="E4177" s="78" t="str">
        <f>IF(C4177="","",IFERROR(VLOOKUP(C4177,parametros!$A$11:$E$15,5,0),""))</f>
        <v/>
      </c>
      <c r="F4177" s="79" t="str">
        <f t="shared" si="327"/>
        <v/>
      </c>
      <c r="G4177" s="101"/>
      <c r="H4177" s="91">
        <f t="shared" si="328"/>
        <v>0</v>
      </c>
      <c r="I4177" s="91" t="str">
        <f t="shared" si="329"/>
        <v/>
      </c>
      <c r="J4177" s="91" t="str">
        <f t="shared" si="330"/>
        <v/>
      </c>
      <c r="K4177" s="92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2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58"/>
      <c r="U4177" s="217" t="str">
        <f t="shared" si="331"/>
        <v/>
      </c>
      <c r="V4177" s="215" t="s">
        <v>47</v>
      </c>
      <c r="W4177" s="102" t="s">
        <v>136</v>
      </c>
      <c r="X4177" s="102" t="s">
        <v>137</v>
      </c>
      <c r="Y4177" s="103" t="s">
        <v>138</v>
      </c>
      <c r="Z4177" s="103" t="s">
        <v>139</v>
      </c>
      <c r="AA4177" s="103" t="s">
        <v>47</v>
      </c>
      <c r="AB4177" s="103" t="s">
        <v>140</v>
      </c>
      <c r="AC4177" s="104" t="s">
        <v>141</v>
      </c>
    </row>
    <row r="4178" spans="1:29" ht="25.5" customHeight="1" x14ac:dyDescent="0.35">
      <c r="A4178" s="188"/>
      <c r="B4178" s="190"/>
      <c r="C4178" s="99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0"/>
      <c r="E4178" s="78" t="str">
        <f>IF(C4178="","",IFERROR(VLOOKUP(C4178,parametros!$A$11:$E$15,5,0),""))</f>
        <v/>
      </c>
      <c r="F4178" s="79" t="str">
        <f t="shared" si="327"/>
        <v/>
      </c>
      <c r="G4178" s="101"/>
      <c r="H4178" s="91">
        <f t="shared" si="328"/>
        <v>0</v>
      </c>
      <c r="I4178" s="91" t="str">
        <f t="shared" si="329"/>
        <v/>
      </c>
      <c r="J4178" s="91" t="str">
        <f t="shared" si="330"/>
        <v/>
      </c>
      <c r="K4178" s="92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2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58"/>
      <c r="U4178" s="217" t="str">
        <f t="shared" si="331"/>
        <v/>
      </c>
      <c r="V4178" s="215" t="s">
        <v>47</v>
      </c>
      <c r="W4178" s="102" t="s">
        <v>136</v>
      </c>
      <c r="X4178" s="102" t="s">
        <v>137</v>
      </c>
      <c r="Y4178" s="103" t="s">
        <v>138</v>
      </c>
      <c r="Z4178" s="103" t="s">
        <v>139</v>
      </c>
      <c r="AA4178" s="103" t="s">
        <v>47</v>
      </c>
      <c r="AB4178" s="103" t="s">
        <v>140</v>
      </c>
      <c r="AC4178" s="104" t="s">
        <v>141</v>
      </c>
    </row>
    <row r="4179" spans="1:29" ht="25.5" customHeight="1" x14ac:dyDescent="0.35">
      <c r="A4179" s="188"/>
      <c r="B4179" s="190"/>
      <c r="C4179" s="99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0"/>
      <c r="E4179" s="78" t="str">
        <f>IF(C4179="","",IFERROR(VLOOKUP(C4179,parametros!$A$11:$E$15,5,0),""))</f>
        <v/>
      </c>
      <c r="F4179" s="79" t="str">
        <f t="shared" si="327"/>
        <v/>
      </c>
      <c r="G4179" s="101"/>
      <c r="H4179" s="91">
        <f t="shared" si="328"/>
        <v>0</v>
      </c>
      <c r="I4179" s="91" t="str">
        <f t="shared" si="329"/>
        <v/>
      </c>
      <c r="J4179" s="91" t="str">
        <f t="shared" si="330"/>
        <v/>
      </c>
      <c r="K4179" s="92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2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58"/>
      <c r="U4179" s="217" t="str">
        <f t="shared" si="331"/>
        <v/>
      </c>
      <c r="V4179" s="215" t="s">
        <v>47</v>
      </c>
      <c r="W4179" s="102" t="s">
        <v>136</v>
      </c>
      <c r="X4179" s="102" t="s">
        <v>137</v>
      </c>
      <c r="Y4179" s="103" t="s">
        <v>138</v>
      </c>
      <c r="Z4179" s="103" t="s">
        <v>139</v>
      </c>
      <c r="AA4179" s="103" t="s">
        <v>47</v>
      </c>
      <c r="AB4179" s="103" t="s">
        <v>140</v>
      </c>
      <c r="AC4179" s="104" t="s">
        <v>141</v>
      </c>
    </row>
    <row r="4180" spans="1:29" ht="25.5" customHeight="1" x14ac:dyDescent="0.35">
      <c r="A4180" s="188"/>
      <c r="B4180" s="190"/>
      <c r="C4180" s="99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0"/>
      <c r="E4180" s="78" t="str">
        <f>IF(C4180="","",IFERROR(VLOOKUP(C4180,parametros!$A$11:$E$15,5,0),""))</f>
        <v/>
      </c>
      <c r="F4180" s="79" t="str">
        <f t="shared" si="327"/>
        <v/>
      </c>
      <c r="G4180" s="101"/>
      <c r="H4180" s="91">
        <f t="shared" si="328"/>
        <v>0</v>
      </c>
      <c r="I4180" s="91" t="str">
        <f t="shared" si="329"/>
        <v/>
      </c>
      <c r="J4180" s="91" t="str">
        <f t="shared" si="330"/>
        <v/>
      </c>
      <c r="K4180" s="92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2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58"/>
      <c r="U4180" s="217" t="str">
        <f t="shared" si="331"/>
        <v/>
      </c>
      <c r="V4180" s="215" t="s">
        <v>47</v>
      </c>
      <c r="W4180" s="102" t="s">
        <v>136</v>
      </c>
      <c r="X4180" s="102" t="s">
        <v>137</v>
      </c>
      <c r="Y4180" s="103" t="s">
        <v>138</v>
      </c>
      <c r="Z4180" s="103" t="s">
        <v>139</v>
      </c>
      <c r="AA4180" s="103" t="s">
        <v>47</v>
      </c>
      <c r="AB4180" s="103" t="s">
        <v>140</v>
      </c>
      <c r="AC4180" s="104" t="s">
        <v>141</v>
      </c>
    </row>
    <row r="4181" spans="1:29" ht="25.5" customHeight="1" x14ac:dyDescent="0.35">
      <c r="A4181" s="188"/>
      <c r="B4181" s="190"/>
      <c r="C4181" s="99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0"/>
      <c r="E4181" s="78" t="str">
        <f>IF(C4181="","",IFERROR(VLOOKUP(C4181,parametros!$A$11:$E$15,5,0),""))</f>
        <v/>
      </c>
      <c r="F4181" s="79" t="str">
        <f t="shared" si="327"/>
        <v/>
      </c>
      <c r="G4181" s="101"/>
      <c r="H4181" s="91">
        <f t="shared" si="328"/>
        <v>0</v>
      </c>
      <c r="I4181" s="91" t="str">
        <f t="shared" si="329"/>
        <v/>
      </c>
      <c r="J4181" s="91" t="str">
        <f t="shared" si="330"/>
        <v/>
      </c>
      <c r="K4181" s="92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2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58"/>
      <c r="U4181" s="217" t="str">
        <f t="shared" si="331"/>
        <v/>
      </c>
      <c r="V4181" s="215" t="s">
        <v>47</v>
      </c>
      <c r="W4181" s="102" t="s">
        <v>136</v>
      </c>
      <c r="X4181" s="102" t="s">
        <v>137</v>
      </c>
      <c r="Y4181" s="103" t="s">
        <v>138</v>
      </c>
      <c r="Z4181" s="103" t="s">
        <v>139</v>
      </c>
      <c r="AA4181" s="103" t="s">
        <v>47</v>
      </c>
      <c r="AB4181" s="103" t="s">
        <v>140</v>
      </c>
      <c r="AC4181" s="104" t="s">
        <v>141</v>
      </c>
    </row>
    <row r="4182" spans="1:29" ht="25.5" customHeight="1" x14ac:dyDescent="0.35">
      <c r="A4182" s="188"/>
      <c r="B4182" s="190"/>
      <c r="C4182" s="99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0"/>
      <c r="E4182" s="78" t="str">
        <f>IF(C4182="","",IFERROR(VLOOKUP(C4182,parametros!$A$11:$E$15,5,0),""))</f>
        <v/>
      </c>
      <c r="F4182" s="79" t="str">
        <f t="shared" si="327"/>
        <v/>
      </c>
      <c r="G4182" s="101"/>
      <c r="H4182" s="91">
        <f t="shared" si="328"/>
        <v>0</v>
      </c>
      <c r="I4182" s="91" t="str">
        <f t="shared" si="329"/>
        <v/>
      </c>
      <c r="J4182" s="91" t="str">
        <f t="shared" si="330"/>
        <v/>
      </c>
      <c r="K4182" s="92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2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58"/>
      <c r="U4182" s="217" t="str">
        <f t="shared" si="331"/>
        <v/>
      </c>
      <c r="V4182" s="215" t="s">
        <v>47</v>
      </c>
      <c r="W4182" s="102" t="s">
        <v>136</v>
      </c>
      <c r="X4182" s="102" t="s">
        <v>137</v>
      </c>
      <c r="Y4182" s="103" t="s">
        <v>138</v>
      </c>
      <c r="Z4182" s="103" t="s">
        <v>139</v>
      </c>
      <c r="AA4182" s="103" t="s">
        <v>47</v>
      </c>
      <c r="AB4182" s="103" t="s">
        <v>140</v>
      </c>
      <c r="AC4182" s="104" t="s">
        <v>141</v>
      </c>
    </row>
    <row r="4183" spans="1:29" ht="25.5" customHeight="1" x14ac:dyDescent="0.35">
      <c r="A4183" s="188"/>
      <c r="B4183" s="190"/>
      <c r="C4183" s="99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0"/>
      <c r="E4183" s="78" t="str">
        <f>IF(C4183="","",IFERROR(VLOOKUP(C4183,parametros!$A$11:$E$15,5,0),""))</f>
        <v/>
      </c>
      <c r="F4183" s="79" t="str">
        <f t="shared" si="327"/>
        <v/>
      </c>
      <c r="G4183" s="101"/>
      <c r="H4183" s="91">
        <f t="shared" si="328"/>
        <v>0</v>
      </c>
      <c r="I4183" s="91" t="str">
        <f t="shared" si="329"/>
        <v/>
      </c>
      <c r="J4183" s="91" t="str">
        <f t="shared" si="330"/>
        <v/>
      </c>
      <c r="K4183" s="92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2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58"/>
      <c r="U4183" s="217" t="str">
        <f t="shared" si="331"/>
        <v/>
      </c>
      <c r="V4183" s="215" t="s">
        <v>47</v>
      </c>
      <c r="W4183" s="102" t="s">
        <v>136</v>
      </c>
      <c r="X4183" s="102" t="s">
        <v>137</v>
      </c>
      <c r="Y4183" s="103" t="s">
        <v>138</v>
      </c>
      <c r="Z4183" s="103" t="s">
        <v>139</v>
      </c>
      <c r="AA4183" s="103" t="s">
        <v>47</v>
      </c>
      <c r="AB4183" s="103" t="s">
        <v>140</v>
      </c>
      <c r="AC4183" s="104" t="s">
        <v>141</v>
      </c>
    </row>
    <row r="4184" spans="1:29" ht="25.5" customHeight="1" x14ac:dyDescent="0.35">
      <c r="A4184" s="188"/>
      <c r="B4184" s="190"/>
      <c r="C4184" s="99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0"/>
      <c r="E4184" s="78" t="str">
        <f>IF(C4184="","",IFERROR(VLOOKUP(C4184,parametros!$A$11:$E$15,5,0),""))</f>
        <v/>
      </c>
      <c r="F4184" s="79" t="str">
        <f t="shared" si="327"/>
        <v/>
      </c>
      <c r="G4184" s="101"/>
      <c r="H4184" s="91">
        <f t="shared" si="328"/>
        <v>0</v>
      </c>
      <c r="I4184" s="91" t="str">
        <f t="shared" si="329"/>
        <v/>
      </c>
      <c r="J4184" s="91" t="str">
        <f t="shared" si="330"/>
        <v/>
      </c>
      <c r="K4184" s="92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2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58"/>
      <c r="U4184" s="217" t="str">
        <f t="shared" si="331"/>
        <v/>
      </c>
      <c r="V4184" s="215" t="s">
        <v>47</v>
      </c>
      <c r="W4184" s="102" t="s">
        <v>136</v>
      </c>
      <c r="X4184" s="102" t="s">
        <v>137</v>
      </c>
      <c r="Y4184" s="103" t="s">
        <v>138</v>
      </c>
      <c r="Z4184" s="103" t="s">
        <v>139</v>
      </c>
      <c r="AA4184" s="103" t="s">
        <v>47</v>
      </c>
      <c r="AB4184" s="103" t="s">
        <v>140</v>
      </c>
      <c r="AC4184" s="104" t="s">
        <v>141</v>
      </c>
    </row>
    <row r="4185" spans="1:29" ht="25.5" customHeight="1" x14ac:dyDescent="0.35">
      <c r="A4185" s="188"/>
      <c r="B4185" s="190"/>
      <c r="C4185" s="99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0"/>
      <c r="E4185" s="78" t="str">
        <f>IF(C4185="","",IFERROR(VLOOKUP(C4185,parametros!$A$11:$E$15,5,0),""))</f>
        <v/>
      </c>
      <c r="F4185" s="79" t="str">
        <f t="shared" si="327"/>
        <v/>
      </c>
      <c r="G4185" s="101"/>
      <c r="H4185" s="91">
        <f t="shared" si="328"/>
        <v>0</v>
      </c>
      <c r="I4185" s="91" t="str">
        <f t="shared" si="329"/>
        <v/>
      </c>
      <c r="J4185" s="91" t="str">
        <f t="shared" si="330"/>
        <v/>
      </c>
      <c r="K4185" s="92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2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58"/>
      <c r="U4185" s="217" t="str">
        <f t="shared" si="331"/>
        <v/>
      </c>
      <c r="V4185" s="215" t="s">
        <v>47</v>
      </c>
      <c r="W4185" s="102" t="s">
        <v>136</v>
      </c>
      <c r="X4185" s="102" t="s">
        <v>137</v>
      </c>
      <c r="Y4185" s="103" t="s">
        <v>138</v>
      </c>
      <c r="Z4185" s="103" t="s">
        <v>139</v>
      </c>
      <c r="AA4185" s="103" t="s">
        <v>47</v>
      </c>
      <c r="AB4185" s="103" t="s">
        <v>140</v>
      </c>
      <c r="AC4185" s="104" t="s">
        <v>141</v>
      </c>
    </row>
    <row r="4186" spans="1:29" ht="25.5" customHeight="1" x14ac:dyDescent="0.35">
      <c r="A4186" s="188"/>
      <c r="B4186" s="190"/>
      <c r="C4186" s="99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0"/>
      <c r="E4186" s="78" t="str">
        <f>IF(C4186="","",IFERROR(VLOOKUP(C4186,parametros!$A$11:$E$15,5,0),""))</f>
        <v/>
      </c>
      <c r="F4186" s="79" t="str">
        <f t="shared" si="327"/>
        <v/>
      </c>
      <c r="G4186" s="101"/>
      <c r="H4186" s="91">
        <f t="shared" si="328"/>
        <v>0</v>
      </c>
      <c r="I4186" s="91" t="str">
        <f t="shared" si="329"/>
        <v/>
      </c>
      <c r="J4186" s="91" t="str">
        <f t="shared" si="330"/>
        <v/>
      </c>
      <c r="K4186" s="92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2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58"/>
      <c r="U4186" s="217" t="str">
        <f t="shared" si="331"/>
        <v/>
      </c>
      <c r="V4186" s="215" t="s">
        <v>47</v>
      </c>
      <c r="W4186" s="102" t="s">
        <v>136</v>
      </c>
      <c r="X4186" s="102" t="s">
        <v>137</v>
      </c>
      <c r="Y4186" s="103" t="s">
        <v>138</v>
      </c>
      <c r="Z4186" s="103" t="s">
        <v>139</v>
      </c>
      <c r="AA4186" s="103" t="s">
        <v>47</v>
      </c>
      <c r="AB4186" s="103" t="s">
        <v>140</v>
      </c>
      <c r="AC4186" s="104" t="s">
        <v>141</v>
      </c>
    </row>
    <row r="4187" spans="1:29" ht="25.5" customHeight="1" x14ac:dyDescent="0.35">
      <c r="A4187" s="188"/>
      <c r="B4187" s="190"/>
      <c r="C4187" s="99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0"/>
      <c r="E4187" s="78" t="str">
        <f>IF(C4187="","",IFERROR(VLOOKUP(C4187,parametros!$A$11:$E$15,5,0),""))</f>
        <v/>
      </c>
      <c r="F4187" s="79" t="str">
        <f t="shared" si="327"/>
        <v/>
      </c>
      <c r="G4187" s="101"/>
      <c r="H4187" s="91">
        <f t="shared" si="328"/>
        <v>0</v>
      </c>
      <c r="I4187" s="91" t="str">
        <f t="shared" si="329"/>
        <v/>
      </c>
      <c r="J4187" s="91" t="str">
        <f t="shared" si="330"/>
        <v/>
      </c>
      <c r="K4187" s="92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2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58"/>
      <c r="U4187" s="217" t="str">
        <f t="shared" si="331"/>
        <v/>
      </c>
      <c r="V4187" s="215" t="s">
        <v>47</v>
      </c>
      <c r="W4187" s="102" t="s">
        <v>136</v>
      </c>
      <c r="X4187" s="102" t="s">
        <v>137</v>
      </c>
      <c r="Y4187" s="103" t="s">
        <v>138</v>
      </c>
      <c r="Z4187" s="103" t="s">
        <v>139</v>
      </c>
      <c r="AA4187" s="103" t="s">
        <v>47</v>
      </c>
      <c r="AB4187" s="103" t="s">
        <v>140</v>
      </c>
      <c r="AC4187" s="104" t="s">
        <v>141</v>
      </c>
    </row>
    <row r="4188" spans="1:29" ht="25.5" customHeight="1" x14ac:dyDescent="0.35">
      <c r="A4188" s="188"/>
      <c r="B4188" s="190"/>
      <c r="C4188" s="99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0"/>
      <c r="E4188" s="78" t="str">
        <f>IF(C4188="","",IFERROR(VLOOKUP(C4188,parametros!$A$11:$E$15,5,0),""))</f>
        <v/>
      </c>
      <c r="F4188" s="79" t="str">
        <f t="shared" si="327"/>
        <v/>
      </c>
      <c r="G4188" s="101"/>
      <c r="H4188" s="91">
        <f t="shared" si="328"/>
        <v>0</v>
      </c>
      <c r="I4188" s="91" t="str">
        <f t="shared" si="329"/>
        <v/>
      </c>
      <c r="J4188" s="91" t="str">
        <f t="shared" si="330"/>
        <v/>
      </c>
      <c r="K4188" s="92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2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58"/>
      <c r="U4188" s="217" t="str">
        <f t="shared" si="331"/>
        <v/>
      </c>
      <c r="V4188" s="215" t="s">
        <v>47</v>
      </c>
      <c r="W4188" s="102" t="s">
        <v>136</v>
      </c>
      <c r="X4188" s="102" t="s">
        <v>137</v>
      </c>
      <c r="Y4188" s="103" t="s">
        <v>138</v>
      </c>
      <c r="Z4188" s="103" t="s">
        <v>139</v>
      </c>
      <c r="AA4188" s="103" t="s">
        <v>47</v>
      </c>
      <c r="AB4188" s="103" t="s">
        <v>140</v>
      </c>
      <c r="AC4188" s="104" t="s">
        <v>141</v>
      </c>
    </row>
    <row r="4189" spans="1:29" ht="25.5" customHeight="1" x14ac:dyDescent="0.35">
      <c r="A4189" s="188"/>
      <c r="B4189" s="190"/>
      <c r="C4189" s="99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0"/>
      <c r="E4189" s="78" t="str">
        <f>IF(C4189="","",IFERROR(VLOOKUP(C4189,parametros!$A$11:$E$15,5,0),""))</f>
        <v/>
      </c>
      <c r="F4189" s="79" t="str">
        <f t="shared" si="327"/>
        <v/>
      </c>
      <c r="G4189" s="101"/>
      <c r="H4189" s="91">
        <f t="shared" si="328"/>
        <v>0</v>
      </c>
      <c r="I4189" s="91" t="str">
        <f t="shared" si="329"/>
        <v/>
      </c>
      <c r="J4189" s="91" t="str">
        <f t="shared" si="330"/>
        <v/>
      </c>
      <c r="K4189" s="92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2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58"/>
      <c r="U4189" s="217" t="str">
        <f t="shared" si="331"/>
        <v/>
      </c>
      <c r="V4189" s="215" t="s">
        <v>47</v>
      </c>
      <c r="W4189" s="102" t="s">
        <v>136</v>
      </c>
      <c r="X4189" s="102" t="s">
        <v>137</v>
      </c>
      <c r="Y4189" s="103" t="s">
        <v>138</v>
      </c>
      <c r="Z4189" s="103" t="s">
        <v>139</v>
      </c>
      <c r="AA4189" s="103" t="s">
        <v>47</v>
      </c>
      <c r="AB4189" s="103" t="s">
        <v>140</v>
      </c>
      <c r="AC4189" s="104" t="s">
        <v>141</v>
      </c>
    </row>
    <row r="4190" spans="1:29" ht="25.5" customHeight="1" x14ac:dyDescent="0.35">
      <c r="A4190" s="188"/>
      <c r="B4190" s="190"/>
      <c r="C4190" s="99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0"/>
      <c r="E4190" s="78" t="str">
        <f>IF(C4190="","",IFERROR(VLOOKUP(C4190,parametros!$A$11:$E$15,5,0),""))</f>
        <v/>
      </c>
      <c r="F4190" s="79" t="str">
        <f t="shared" si="327"/>
        <v/>
      </c>
      <c r="G4190" s="101"/>
      <c r="H4190" s="91">
        <f t="shared" si="328"/>
        <v>0</v>
      </c>
      <c r="I4190" s="91" t="str">
        <f t="shared" si="329"/>
        <v/>
      </c>
      <c r="J4190" s="91" t="str">
        <f t="shared" si="330"/>
        <v/>
      </c>
      <c r="K4190" s="92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2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58"/>
      <c r="U4190" s="217" t="str">
        <f t="shared" si="331"/>
        <v/>
      </c>
      <c r="V4190" s="215" t="s">
        <v>47</v>
      </c>
      <c r="W4190" s="102" t="s">
        <v>136</v>
      </c>
      <c r="X4190" s="102" t="s">
        <v>137</v>
      </c>
      <c r="Y4190" s="103" t="s">
        <v>138</v>
      </c>
      <c r="Z4190" s="103" t="s">
        <v>139</v>
      </c>
      <c r="AA4190" s="103" t="s">
        <v>47</v>
      </c>
      <c r="AB4190" s="103" t="s">
        <v>140</v>
      </c>
      <c r="AC4190" s="104" t="s">
        <v>141</v>
      </c>
    </row>
    <row r="4191" spans="1:29" ht="25.5" customHeight="1" x14ac:dyDescent="0.35">
      <c r="A4191" s="188"/>
      <c r="B4191" s="190"/>
      <c r="C4191" s="99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0"/>
      <c r="E4191" s="78" t="str">
        <f>IF(C4191="","",IFERROR(VLOOKUP(C4191,parametros!$A$11:$E$15,5,0),""))</f>
        <v/>
      </c>
      <c r="F4191" s="79" t="str">
        <f t="shared" si="327"/>
        <v/>
      </c>
      <c r="G4191" s="101"/>
      <c r="H4191" s="91">
        <f t="shared" si="328"/>
        <v>0</v>
      </c>
      <c r="I4191" s="91" t="str">
        <f t="shared" si="329"/>
        <v/>
      </c>
      <c r="J4191" s="91" t="str">
        <f t="shared" si="330"/>
        <v/>
      </c>
      <c r="K4191" s="92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2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58"/>
      <c r="U4191" s="217" t="str">
        <f t="shared" si="331"/>
        <v/>
      </c>
      <c r="V4191" s="215" t="s">
        <v>47</v>
      </c>
      <c r="W4191" s="102" t="s">
        <v>136</v>
      </c>
      <c r="X4191" s="102" t="s">
        <v>137</v>
      </c>
      <c r="Y4191" s="103" t="s">
        <v>138</v>
      </c>
      <c r="Z4191" s="103" t="s">
        <v>139</v>
      </c>
      <c r="AA4191" s="103" t="s">
        <v>47</v>
      </c>
      <c r="AB4191" s="103" t="s">
        <v>140</v>
      </c>
      <c r="AC4191" s="104" t="s">
        <v>141</v>
      </c>
    </row>
    <row r="4192" spans="1:29" ht="25.5" customHeight="1" x14ac:dyDescent="0.35">
      <c r="A4192" s="188"/>
      <c r="B4192" s="190"/>
      <c r="C4192" s="99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0"/>
      <c r="E4192" s="78" t="str">
        <f>IF(C4192="","",IFERROR(VLOOKUP(C4192,parametros!$A$11:$E$15,5,0),""))</f>
        <v/>
      </c>
      <c r="F4192" s="79" t="str">
        <f t="shared" si="327"/>
        <v/>
      </c>
      <c r="G4192" s="101"/>
      <c r="H4192" s="91">
        <f t="shared" si="328"/>
        <v>0</v>
      </c>
      <c r="I4192" s="91" t="str">
        <f t="shared" si="329"/>
        <v/>
      </c>
      <c r="J4192" s="91" t="str">
        <f t="shared" si="330"/>
        <v/>
      </c>
      <c r="K4192" s="92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2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58"/>
      <c r="U4192" s="217" t="str">
        <f t="shared" si="331"/>
        <v/>
      </c>
      <c r="V4192" s="215" t="s">
        <v>47</v>
      </c>
      <c r="W4192" s="102" t="s">
        <v>136</v>
      </c>
      <c r="X4192" s="102" t="s">
        <v>137</v>
      </c>
      <c r="Y4192" s="103" t="s">
        <v>138</v>
      </c>
      <c r="Z4192" s="103" t="s">
        <v>139</v>
      </c>
      <c r="AA4192" s="103" t="s">
        <v>47</v>
      </c>
      <c r="AB4192" s="103" t="s">
        <v>140</v>
      </c>
      <c r="AC4192" s="104" t="s">
        <v>141</v>
      </c>
    </row>
    <row r="4193" spans="1:29" ht="25.5" customHeight="1" x14ac:dyDescent="0.35">
      <c r="A4193" s="188"/>
      <c r="B4193" s="190"/>
      <c r="C4193" s="99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0"/>
      <c r="E4193" s="78" t="str">
        <f>IF(C4193="","",IFERROR(VLOOKUP(C4193,parametros!$A$11:$E$15,5,0),""))</f>
        <v/>
      </c>
      <c r="F4193" s="79" t="str">
        <f t="shared" si="327"/>
        <v/>
      </c>
      <c r="G4193" s="101"/>
      <c r="H4193" s="91">
        <f t="shared" si="328"/>
        <v>0</v>
      </c>
      <c r="I4193" s="91" t="str">
        <f t="shared" si="329"/>
        <v/>
      </c>
      <c r="J4193" s="91" t="str">
        <f t="shared" si="330"/>
        <v/>
      </c>
      <c r="K4193" s="92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2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58"/>
      <c r="U4193" s="217" t="str">
        <f t="shared" si="331"/>
        <v/>
      </c>
      <c r="V4193" s="215" t="s">
        <v>47</v>
      </c>
      <c r="W4193" s="102" t="s">
        <v>136</v>
      </c>
      <c r="X4193" s="102" t="s">
        <v>137</v>
      </c>
      <c r="Y4193" s="103" t="s">
        <v>138</v>
      </c>
      <c r="Z4193" s="103" t="s">
        <v>139</v>
      </c>
      <c r="AA4193" s="103" t="s">
        <v>47</v>
      </c>
      <c r="AB4193" s="103" t="s">
        <v>140</v>
      </c>
      <c r="AC4193" s="104" t="s">
        <v>141</v>
      </c>
    </row>
    <row r="4194" spans="1:29" ht="25.5" customHeight="1" x14ac:dyDescent="0.35">
      <c r="A4194" s="188"/>
      <c r="B4194" s="190"/>
      <c r="C4194" s="99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0"/>
      <c r="E4194" s="78" t="str">
        <f>IF(C4194="","",IFERROR(VLOOKUP(C4194,parametros!$A$11:$E$15,5,0),""))</f>
        <v/>
      </c>
      <c r="F4194" s="79" t="str">
        <f t="shared" si="327"/>
        <v/>
      </c>
      <c r="G4194" s="101"/>
      <c r="H4194" s="91">
        <f t="shared" si="328"/>
        <v>0</v>
      </c>
      <c r="I4194" s="91" t="str">
        <f t="shared" si="329"/>
        <v/>
      </c>
      <c r="J4194" s="91" t="str">
        <f t="shared" si="330"/>
        <v/>
      </c>
      <c r="K4194" s="92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2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58"/>
      <c r="U4194" s="217" t="str">
        <f t="shared" si="331"/>
        <v/>
      </c>
      <c r="V4194" s="215" t="s">
        <v>47</v>
      </c>
      <c r="W4194" s="102" t="s">
        <v>136</v>
      </c>
      <c r="X4194" s="102" t="s">
        <v>137</v>
      </c>
      <c r="Y4194" s="103" t="s">
        <v>138</v>
      </c>
      <c r="Z4194" s="103" t="s">
        <v>139</v>
      </c>
      <c r="AA4194" s="103" t="s">
        <v>47</v>
      </c>
      <c r="AB4194" s="103" t="s">
        <v>140</v>
      </c>
      <c r="AC4194" s="104" t="s">
        <v>141</v>
      </c>
    </row>
    <row r="4195" spans="1:29" ht="25.5" customHeight="1" x14ac:dyDescent="0.35">
      <c r="A4195" s="188"/>
      <c r="B4195" s="190"/>
      <c r="C4195" s="99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0"/>
      <c r="E4195" s="78" t="str">
        <f>IF(C4195="","",IFERROR(VLOOKUP(C4195,parametros!$A$11:$E$15,5,0),""))</f>
        <v/>
      </c>
      <c r="F4195" s="79" t="str">
        <f t="shared" si="327"/>
        <v/>
      </c>
      <c r="G4195" s="101"/>
      <c r="H4195" s="91">
        <f t="shared" si="328"/>
        <v>0</v>
      </c>
      <c r="I4195" s="91" t="str">
        <f t="shared" si="329"/>
        <v/>
      </c>
      <c r="J4195" s="91" t="str">
        <f t="shared" si="330"/>
        <v/>
      </c>
      <c r="K4195" s="92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2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58"/>
      <c r="U4195" s="217" t="str">
        <f t="shared" si="331"/>
        <v/>
      </c>
      <c r="V4195" s="215" t="s">
        <v>47</v>
      </c>
      <c r="W4195" s="102" t="s">
        <v>136</v>
      </c>
      <c r="X4195" s="102" t="s">
        <v>137</v>
      </c>
      <c r="Y4195" s="103" t="s">
        <v>138</v>
      </c>
      <c r="Z4195" s="103" t="s">
        <v>139</v>
      </c>
      <c r="AA4195" s="103" t="s">
        <v>47</v>
      </c>
      <c r="AB4195" s="103" t="s">
        <v>140</v>
      </c>
      <c r="AC4195" s="104" t="s">
        <v>141</v>
      </c>
    </row>
    <row r="4196" spans="1:29" ht="25.5" customHeight="1" x14ac:dyDescent="0.35">
      <c r="A4196" s="188"/>
      <c r="B4196" s="190"/>
      <c r="C4196" s="99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0"/>
      <c r="E4196" s="78" t="str">
        <f>IF(C4196="","",IFERROR(VLOOKUP(C4196,parametros!$A$11:$E$15,5,0),""))</f>
        <v/>
      </c>
      <c r="F4196" s="79" t="str">
        <f t="shared" si="327"/>
        <v/>
      </c>
      <c r="G4196" s="101"/>
      <c r="H4196" s="91">
        <f t="shared" si="328"/>
        <v>0</v>
      </c>
      <c r="I4196" s="91" t="str">
        <f t="shared" si="329"/>
        <v/>
      </c>
      <c r="J4196" s="91" t="str">
        <f t="shared" si="330"/>
        <v/>
      </c>
      <c r="K4196" s="92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2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58"/>
      <c r="U4196" s="217" t="str">
        <f t="shared" si="331"/>
        <v/>
      </c>
      <c r="V4196" s="215" t="s">
        <v>47</v>
      </c>
      <c r="W4196" s="102" t="s">
        <v>136</v>
      </c>
      <c r="X4196" s="102" t="s">
        <v>137</v>
      </c>
      <c r="Y4196" s="103" t="s">
        <v>138</v>
      </c>
      <c r="Z4196" s="103" t="s">
        <v>139</v>
      </c>
      <c r="AA4196" s="103" t="s">
        <v>47</v>
      </c>
      <c r="AB4196" s="103" t="s">
        <v>140</v>
      </c>
      <c r="AC4196" s="104" t="s">
        <v>141</v>
      </c>
    </row>
    <row r="4197" spans="1:29" ht="25.5" customHeight="1" x14ac:dyDescent="0.35">
      <c r="A4197" s="188"/>
      <c r="B4197" s="190"/>
      <c r="C4197" s="99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0"/>
      <c r="E4197" s="78" t="str">
        <f>IF(C4197="","",IFERROR(VLOOKUP(C4197,parametros!$A$11:$E$15,5,0),""))</f>
        <v/>
      </c>
      <c r="F4197" s="79" t="str">
        <f t="shared" si="327"/>
        <v/>
      </c>
      <c r="G4197" s="101"/>
      <c r="H4197" s="91">
        <f t="shared" si="328"/>
        <v>0</v>
      </c>
      <c r="I4197" s="91" t="str">
        <f t="shared" si="329"/>
        <v/>
      </c>
      <c r="J4197" s="91" t="str">
        <f t="shared" si="330"/>
        <v/>
      </c>
      <c r="K4197" s="92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2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58"/>
      <c r="U4197" s="217" t="str">
        <f t="shared" si="331"/>
        <v/>
      </c>
      <c r="V4197" s="215" t="s">
        <v>47</v>
      </c>
      <c r="W4197" s="102" t="s">
        <v>136</v>
      </c>
      <c r="X4197" s="102" t="s">
        <v>137</v>
      </c>
      <c r="Y4197" s="103" t="s">
        <v>138</v>
      </c>
      <c r="Z4197" s="103" t="s">
        <v>139</v>
      </c>
      <c r="AA4197" s="103" t="s">
        <v>47</v>
      </c>
      <c r="AB4197" s="103" t="s">
        <v>140</v>
      </c>
      <c r="AC4197" s="104" t="s">
        <v>141</v>
      </c>
    </row>
    <row r="4198" spans="1:29" ht="25.5" customHeight="1" x14ac:dyDescent="0.35">
      <c r="A4198" s="188"/>
      <c r="B4198" s="190"/>
      <c r="C4198" s="99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0"/>
      <c r="E4198" s="78" t="str">
        <f>IF(C4198="","",IFERROR(VLOOKUP(C4198,parametros!$A$11:$E$15,5,0),""))</f>
        <v/>
      </c>
      <c r="F4198" s="79" t="str">
        <f t="shared" si="327"/>
        <v/>
      </c>
      <c r="G4198" s="101"/>
      <c r="H4198" s="91">
        <f t="shared" si="328"/>
        <v>0</v>
      </c>
      <c r="I4198" s="91" t="str">
        <f t="shared" si="329"/>
        <v/>
      </c>
      <c r="J4198" s="91" t="str">
        <f t="shared" si="330"/>
        <v/>
      </c>
      <c r="K4198" s="92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2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58"/>
      <c r="U4198" s="217" t="str">
        <f t="shared" si="331"/>
        <v/>
      </c>
      <c r="V4198" s="215" t="s">
        <v>47</v>
      </c>
      <c r="W4198" s="102" t="s">
        <v>136</v>
      </c>
      <c r="X4198" s="102" t="s">
        <v>137</v>
      </c>
      <c r="Y4198" s="103" t="s">
        <v>138</v>
      </c>
      <c r="Z4198" s="103" t="s">
        <v>139</v>
      </c>
      <c r="AA4198" s="103" t="s">
        <v>47</v>
      </c>
      <c r="AB4198" s="103" t="s">
        <v>140</v>
      </c>
      <c r="AC4198" s="104" t="s">
        <v>141</v>
      </c>
    </row>
    <row r="4199" spans="1:29" ht="25.5" customHeight="1" x14ac:dyDescent="0.35">
      <c r="A4199" s="188"/>
      <c r="B4199" s="190"/>
      <c r="C4199" s="99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0"/>
      <c r="E4199" s="78" t="str">
        <f>IF(C4199="","",IFERROR(VLOOKUP(C4199,parametros!$A$11:$E$15,5,0),""))</f>
        <v/>
      </c>
      <c r="F4199" s="79" t="str">
        <f t="shared" si="327"/>
        <v/>
      </c>
      <c r="G4199" s="101"/>
      <c r="H4199" s="91">
        <f t="shared" si="328"/>
        <v>0</v>
      </c>
      <c r="I4199" s="91" t="str">
        <f t="shared" si="329"/>
        <v/>
      </c>
      <c r="J4199" s="91" t="str">
        <f t="shared" si="330"/>
        <v/>
      </c>
      <c r="K4199" s="92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2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58"/>
      <c r="U4199" s="217" t="str">
        <f t="shared" si="331"/>
        <v/>
      </c>
      <c r="V4199" s="215" t="s">
        <v>47</v>
      </c>
      <c r="W4199" s="102" t="s">
        <v>136</v>
      </c>
      <c r="X4199" s="102" t="s">
        <v>137</v>
      </c>
      <c r="Y4199" s="103" t="s">
        <v>138</v>
      </c>
      <c r="Z4199" s="103" t="s">
        <v>139</v>
      </c>
      <c r="AA4199" s="103" t="s">
        <v>47</v>
      </c>
      <c r="AB4199" s="103" t="s">
        <v>140</v>
      </c>
      <c r="AC4199" s="104" t="s">
        <v>141</v>
      </c>
    </row>
    <row r="4200" spans="1:29" ht="25.5" customHeight="1" x14ac:dyDescent="0.35">
      <c r="A4200" s="188"/>
      <c r="B4200" s="190"/>
      <c r="C4200" s="99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0"/>
      <c r="E4200" s="78" t="str">
        <f>IF(C4200="","",IFERROR(VLOOKUP(C4200,parametros!$A$11:$E$15,5,0),""))</f>
        <v/>
      </c>
      <c r="F4200" s="79" t="str">
        <f t="shared" si="327"/>
        <v/>
      </c>
      <c r="G4200" s="101"/>
      <c r="H4200" s="91">
        <f t="shared" si="328"/>
        <v>0</v>
      </c>
      <c r="I4200" s="91" t="str">
        <f t="shared" si="329"/>
        <v/>
      </c>
      <c r="J4200" s="91" t="str">
        <f t="shared" si="330"/>
        <v/>
      </c>
      <c r="K4200" s="92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2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58"/>
      <c r="U4200" s="217" t="str">
        <f t="shared" si="331"/>
        <v/>
      </c>
      <c r="V4200" s="215" t="s">
        <v>47</v>
      </c>
      <c r="W4200" s="102" t="s">
        <v>136</v>
      </c>
      <c r="X4200" s="102" t="s">
        <v>137</v>
      </c>
      <c r="Y4200" s="103" t="s">
        <v>138</v>
      </c>
      <c r="Z4200" s="103" t="s">
        <v>139</v>
      </c>
      <c r="AA4200" s="103" t="s">
        <v>47</v>
      </c>
      <c r="AB4200" s="103" t="s">
        <v>140</v>
      </c>
      <c r="AC4200" s="104" t="s">
        <v>141</v>
      </c>
    </row>
    <row r="4201" spans="1:29" ht="25.5" customHeight="1" x14ac:dyDescent="0.35">
      <c r="A4201" s="188"/>
      <c r="B4201" s="190"/>
      <c r="C4201" s="99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0"/>
      <c r="E4201" s="78" t="str">
        <f>IF(C4201="","",IFERROR(VLOOKUP(C4201,parametros!$A$11:$E$15,5,0),""))</f>
        <v/>
      </c>
      <c r="F4201" s="79" t="str">
        <f t="shared" si="327"/>
        <v/>
      </c>
      <c r="G4201" s="101"/>
      <c r="H4201" s="91">
        <f t="shared" si="328"/>
        <v>0</v>
      </c>
      <c r="I4201" s="91" t="str">
        <f t="shared" si="329"/>
        <v/>
      </c>
      <c r="J4201" s="91" t="str">
        <f t="shared" si="330"/>
        <v/>
      </c>
      <c r="K4201" s="92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2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58"/>
      <c r="U4201" s="217" t="str">
        <f t="shared" si="331"/>
        <v/>
      </c>
      <c r="V4201" s="215" t="s">
        <v>47</v>
      </c>
      <c r="W4201" s="102" t="s">
        <v>136</v>
      </c>
      <c r="X4201" s="102" t="s">
        <v>137</v>
      </c>
      <c r="Y4201" s="103" t="s">
        <v>138</v>
      </c>
      <c r="Z4201" s="103" t="s">
        <v>139</v>
      </c>
      <c r="AA4201" s="103" t="s">
        <v>47</v>
      </c>
      <c r="AB4201" s="103" t="s">
        <v>140</v>
      </c>
      <c r="AC4201" s="104" t="s">
        <v>141</v>
      </c>
    </row>
    <row r="4202" spans="1:29" ht="25.5" customHeight="1" x14ac:dyDescent="0.35">
      <c r="A4202" s="188"/>
      <c r="B4202" s="190"/>
      <c r="C4202" s="99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0"/>
      <c r="E4202" s="78" t="str">
        <f>IF(C4202="","",IFERROR(VLOOKUP(C4202,parametros!$A$11:$E$15,5,0),""))</f>
        <v/>
      </c>
      <c r="F4202" s="79" t="str">
        <f t="shared" si="327"/>
        <v/>
      </c>
      <c r="G4202" s="101"/>
      <c r="H4202" s="91">
        <f t="shared" si="328"/>
        <v>0</v>
      </c>
      <c r="I4202" s="91" t="str">
        <f t="shared" si="329"/>
        <v/>
      </c>
      <c r="J4202" s="91" t="str">
        <f t="shared" si="330"/>
        <v/>
      </c>
      <c r="K4202" s="92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2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58"/>
      <c r="U4202" s="217" t="str">
        <f t="shared" si="331"/>
        <v/>
      </c>
      <c r="V4202" s="215" t="s">
        <v>47</v>
      </c>
      <c r="W4202" s="102" t="s">
        <v>136</v>
      </c>
      <c r="X4202" s="102" t="s">
        <v>137</v>
      </c>
      <c r="Y4202" s="103" t="s">
        <v>138</v>
      </c>
      <c r="Z4202" s="103" t="s">
        <v>139</v>
      </c>
      <c r="AA4202" s="103" t="s">
        <v>47</v>
      </c>
      <c r="AB4202" s="103" t="s">
        <v>140</v>
      </c>
      <c r="AC4202" s="104" t="s">
        <v>141</v>
      </c>
    </row>
    <row r="4203" spans="1:29" ht="25.5" customHeight="1" x14ac:dyDescent="0.35">
      <c r="A4203" s="188"/>
      <c r="B4203" s="190"/>
      <c r="C4203" s="99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0"/>
      <c r="E4203" s="78" t="str">
        <f>IF(C4203="","",IFERROR(VLOOKUP(C4203,parametros!$A$11:$E$15,5,0),""))</f>
        <v/>
      </c>
      <c r="F4203" s="79" t="str">
        <f t="shared" si="327"/>
        <v/>
      </c>
      <c r="G4203" s="101"/>
      <c r="H4203" s="91">
        <f t="shared" si="328"/>
        <v>0</v>
      </c>
      <c r="I4203" s="91" t="str">
        <f t="shared" si="329"/>
        <v/>
      </c>
      <c r="J4203" s="91" t="str">
        <f t="shared" si="330"/>
        <v/>
      </c>
      <c r="K4203" s="92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2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58"/>
      <c r="U4203" s="217" t="str">
        <f t="shared" si="331"/>
        <v/>
      </c>
      <c r="V4203" s="215" t="s">
        <v>47</v>
      </c>
      <c r="W4203" s="102" t="s">
        <v>136</v>
      </c>
      <c r="X4203" s="102" t="s">
        <v>137</v>
      </c>
      <c r="Y4203" s="103" t="s">
        <v>138</v>
      </c>
      <c r="Z4203" s="103" t="s">
        <v>139</v>
      </c>
      <c r="AA4203" s="103" t="s">
        <v>47</v>
      </c>
      <c r="AB4203" s="103" t="s">
        <v>140</v>
      </c>
      <c r="AC4203" s="104" t="s">
        <v>141</v>
      </c>
    </row>
    <row r="4204" spans="1:29" ht="25.5" customHeight="1" x14ac:dyDescent="0.35">
      <c r="A4204" s="188"/>
      <c r="B4204" s="190"/>
      <c r="C4204" s="99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0"/>
      <c r="E4204" s="78" t="str">
        <f>IF(C4204="","",IFERROR(VLOOKUP(C4204,parametros!$A$11:$E$15,5,0),""))</f>
        <v/>
      </c>
      <c r="F4204" s="79" t="str">
        <f t="shared" si="327"/>
        <v/>
      </c>
      <c r="G4204" s="101"/>
      <c r="H4204" s="91">
        <f t="shared" si="328"/>
        <v>0</v>
      </c>
      <c r="I4204" s="91" t="str">
        <f t="shared" si="329"/>
        <v/>
      </c>
      <c r="J4204" s="91" t="str">
        <f t="shared" si="330"/>
        <v/>
      </c>
      <c r="K4204" s="92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2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58"/>
      <c r="U4204" s="217" t="str">
        <f t="shared" si="331"/>
        <v/>
      </c>
      <c r="V4204" s="215" t="s">
        <v>47</v>
      </c>
      <c r="W4204" s="102" t="s">
        <v>136</v>
      </c>
      <c r="X4204" s="102" t="s">
        <v>137</v>
      </c>
      <c r="Y4204" s="103" t="s">
        <v>138</v>
      </c>
      <c r="Z4204" s="103" t="s">
        <v>139</v>
      </c>
      <c r="AA4204" s="103" t="s">
        <v>47</v>
      </c>
      <c r="AB4204" s="103" t="s">
        <v>140</v>
      </c>
      <c r="AC4204" s="104" t="s">
        <v>141</v>
      </c>
    </row>
    <row r="4205" spans="1:29" ht="25.5" customHeight="1" x14ac:dyDescent="0.35">
      <c r="A4205" s="188"/>
      <c r="B4205" s="190"/>
      <c r="C4205" s="99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0"/>
      <c r="E4205" s="78" t="str">
        <f>IF(C4205="","",IFERROR(VLOOKUP(C4205,parametros!$A$11:$E$15,5,0),""))</f>
        <v/>
      </c>
      <c r="F4205" s="79" t="str">
        <f t="shared" si="327"/>
        <v/>
      </c>
      <c r="G4205" s="101"/>
      <c r="H4205" s="91">
        <f t="shared" si="328"/>
        <v>0</v>
      </c>
      <c r="I4205" s="91" t="str">
        <f t="shared" si="329"/>
        <v/>
      </c>
      <c r="J4205" s="91" t="str">
        <f t="shared" si="330"/>
        <v/>
      </c>
      <c r="K4205" s="92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2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58"/>
      <c r="U4205" s="217" t="str">
        <f t="shared" si="331"/>
        <v/>
      </c>
      <c r="V4205" s="215" t="s">
        <v>47</v>
      </c>
      <c r="W4205" s="102" t="s">
        <v>136</v>
      </c>
      <c r="X4205" s="102" t="s">
        <v>137</v>
      </c>
      <c r="Y4205" s="103" t="s">
        <v>138</v>
      </c>
      <c r="Z4205" s="103" t="s">
        <v>139</v>
      </c>
      <c r="AA4205" s="103" t="s">
        <v>47</v>
      </c>
      <c r="AB4205" s="103" t="s">
        <v>140</v>
      </c>
      <c r="AC4205" s="104" t="s">
        <v>141</v>
      </c>
    </row>
    <row r="4206" spans="1:29" ht="25.5" customHeight="1" x14ac:dyDescent="0.35">
      <c r="A4206" s="188"/>
      <c r="B4206" s="190"/>
      <c r="C4206" s="99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0"/>
      <c r="E4206" s="78" t="str">
        <f>IF(C4206="","",IFERROR(VLOOKUP(C4206,parametros!$A$11:$E$15,5,0),""))</f>
        <v/>
      </c>
      <c r="F4206" s="79" t="str">
        <f t="shared" si="327"/>
        <v/>
      </c>
      <c r="G4206" s="101"/>
      <c r="H4206" s="91">
        <f t="shared" si="328"/>
        <v>0</v>
      </c>
      <c r="I4206" s="91" t="str">
        <f t="shared" si="329"/>
        <v/>
      </c>
      <c r="J4206" s="91" t="str">
        <f t="shared" si="330"/>
        <v/>
      </c>
      <c r="K4206" s="92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2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58"/>
      <c r="U4206" s="217" t="str">
        <f t="shared" si="331"/>
        <v/>
      </c>
      <c r="V4206" s="215" t="s">
        <v>47</v>
      </c>
      <c r="W4206" s="102" t="s">
        <v>136</v>
      </c>
      <c r="X4206" s="102" t="s">
        <v>137</v>
      </c>
      <c r="Y4206" s="103" t="s">
        <v>138</v>
      </c>
      <c r="Z4206" s="103" t="s">
        <v>139</v>
      </c>
      <c r="AA4206" s="103" t="s">
        <v>47</v>
      </c>
      <c r="AB4206" s="103" t="s">
        <v>140</v>
      </c>
      <c r="AC4206" s="104" t="s">
        <v>141</v>
      </c>
    </row>
    <row r="4207" spans="1:29" ht="25.5" customHeight="1" x14ac:dyDescent="0.35">
      <c r="A4207" s="188"/>
      <c r="B4207" s="190"/>
      <c r="C4207" s="99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0"/>
      <c r="E4207" s="78" t="str">
        <f>IF(C4207="","",IFERROR(VLOOKUP(C4207,parametros!$A$11:$E$15,5,0),""))</f>
        <v/>
      </c>
      <c r="F4207" s="79" t="str">
        <f t="shared" si="327"/>
        <v/>
      </c>
      <c r="G4207" s="101"/>
      <c r="H4207" s="91">
        <f t="shared" si="328"/>
        <v>0</v>
      </c>
      <c r="I4207" s="91" t="str">
        <f t="shared" si="329"/>
        <v/>
      </c>
      <c r="J4207" s="91" t="str">
        <f t="shared" si="330"/>
        <v/>
      </c>
      <c r="K4207" s="92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2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58"/>
      <c r="U4207" s="217" t="str">
        <f t="shared" si="331"/>
        <v/>
      </c>
      <c r="V4207" s="215" t="s">
        <v>47</v>
      </c>
      <c r="W4207" s="102" t="s">
        <v>136</v>
      </c>
      <c r="X4207" s="102" t="s">
        <v>137</v>
      </c>
      <c r="Y4207" s="103" t="s">
        <v>138</v>
      </c>
      <c r="Z4207" s="103" t="s">
        <v>139</v>
      </c>
      <c r="AA4207" s="103" t="s">
        <v>47</v>
      </c>
      <c r="AB4207" s="103" t="s">
        <v>140</v>
      </c>
      <c r="AC4207" s="104" t="s">
        <v>141</v>
      </c>
    </row>
    <row r="4208" spans="1:29" ht="25.5" customHeight="1" x14ac:dyDescent="0.35">
      <c r="A4208" s="188"/>
      <c r="B4208" s="190"/>
      <c r="C4208" s="99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0"/>
      <c r="E4208" s="78" t="str">
        <f>IF(C4208="","",IFERROR(VLOOKUP(C4208,parametros!$A$11:$E$15,5,0),""))</f>
        <v/>
      </c>
      <c r="F4208" s="79" t="str">
        <f t="shared" si="327"/>
        <v/>
      </c>
      <c r="G4208" s="101"/>
      <c r="H4208" s="91">
        <f t="shared" si="328"/>
        <v>0</v>
      </c>
      <c r="I4208" s="91" t="str">
        <f t="shared" si="329"/>
        <v/>
      </c>
      <c r="J4208" s="91" t="str">
        <f t="shared" si="330"/>
        <v/>
      </c>
      <c r="K4208" s="92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2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58"/>
      <c r="U4208" s="217" t="str">
        <f t="shared" si="331"/>
        <v/>
      </c>
      <c r="V4208" s="215" t="s">
        <v>47</v>
      </c>
      <c r="W4208" s="102" t="s">
        <v>136</v>
      </c>
      <c r="X4208" s="102" t="s">
        <v>137</v>
      </c>
      <c r="Y4208" s="103" t="s">
        <v>138</v>
      </c>
      <c r="Z4208" s="103" t="s">
        <v>139</v>
      </c>
      <c r="AA4208" s="103" t="s">
        <v>47</v>
      </c>
      <c r="AB4208" s="103" t="s">
        <v>140</v>
      </c>
      <c r="AC4208" s="104" t="s">
        <v>141</v>
      </c>
    </row>
    <row r="4209" spans="1:29" ht="25.5" customHeight="1" x14ac:dyDescent="0.35">
      <c r="A4209" s="188"/>
      <c r="B4209" s="190"/>
      <c r="C4209" s="99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0"/>
      <c r="E4209" s="78" t="str">
        <f>IF(C4209="","",IFERROR(VLOOKUP(C4209,parametros!$A$11:$E$15,5,0),""))</f>
        <v/>
      </c>
      <c r="F4209" s="79" t="str">
        <f t="shared" si="327"/>
        <v/>
      </c>
      <c r="G4209" s="101"/>
      <c r="H4209" s="91">
        <f t="shared" si="328"/>
        <v>0</v>
      </c>
      <c r="I4209" s="91" t="str">
        <f t="shared" si="329"/>
        <v/>
      </c>
      <c r="J4209" s="91" t="str">
        <f t="shared" si="330"/>
        <v/>
      </c>
      <c r="K4209" s="92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2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58"/>
      <c r="U4209" s="217" t="str">
        <f t="shared" si="331"/>
        <v/>
      </c>
      <c r="V4209" s="215" t="s">
        <v>47</v>
      </c>
      <c r="W4209" s="102" t="s">
        <v>136</v>
      </c>
      <c r="X4209" s="102" t="s">
        <v>137</v>
      </c>
      <c r="Y4209" s="103" t="s">
        <v>138</v>
      </c>
      <c r="Z4209" s="103" t="s">
        <v>139</v>
      </c>
      <c r="AA4209" s="103" t="s">
        <v>47</v>
      </c>
      <c r="AB4209" s="103" t="s">
        <v>140</v>
      </c>
      <c r="AC4209" s="104" t="s">
        <v>141</v>
      </c>
    </row>
    <row r="4210" spans="1:29" ht="25.5" customHeight="1" x14ac:dyDescent="0.35">
      <c r="A4210" s="188"/>
      <c r="B4210" s="190"/>
      <c r="C4210" s="99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0"/>
      <c r="E4210" s="78" t="str">
        <f>IF(C4210="","",IFERROR(VLOOKUP(C4210,parametros!$A$11:$E$15,5,0),""))</f>
        <v/>
      </c>
      <c r="F4210" s="79" t="str">
        <f t="shared" si="327"/>
        <v/>
      </c>
      <c r="G4210" s="101"/>
      <c r="H4210" s="91">
        <f t="shared" si="328"/>
        <v>0</v>
      </c>
      <c r="I4210" s="91" t="str">
        <f t="shared" si="329"/>
        <v/>
      </c>
      <c r="J4210" s="91" t="str">
        <f t="shared" si="330"/>
        <v/>
      </c>
      <c r="K4210" s="92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2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58"/>
      <c r="U4210" s="217" t="str">
        <f t="shared" si="331"/>
        <v/>
      </c>
      <c r="V4210" s="215" t="s">
        <v>47</v>
      </c>
      <c r="W4210" s="102" t="s">
        <v>136</v>
      </c>
      <c r="X4210" s="102" t="s">
        <v>137</v>
      </c>
      <c r="Y4210" s="103" t="s">
        <v>138</v>
      </c>
      <c r="Z4210" s="103" t="s">
        <v>139</v>
      </c>
      <c r="AA4210" s="103" t="s">
        <v>47</v>
      </c>
      <c r="AB4210" s="103" t="s">
        <v>140</v>
      </c>
      <c r="AC4210" s="104" t="s">
        <v>141</v>
      </c>
    </row>
    <row r="4211" spans="1:29" ht="25.5" customHeight="1" x14ac:dyDescent="0.35">
      <c r="A4211" s="188"/>
      <c r="B4211" s="190"/>
      <c r="C4211" s="99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0"/>
      <c r="E4211" s="78" t="str">
        <f>IF(C4211="","",IFERROR(VLOOKUP(C4211,parametros!$A$11:$E$15,5,0),""))</f>
        <v/>
      </c>
      <c r="F4211" s="79" t="str">
        <f t="shared" si="327"/>
        <v/>
      </c>
      <c r="G4211" s="101"/>
      <c r="H4211" s="91">
        <f t="shared" si="328"/>
        <v>0</v>
      </c>
      <c r="I4211" s="91" t="str">
        <f t="shared" si="329"/>
        <v/>
      </c>
      <c r="J4211" s="91" t="str">
        <f t="shared" si="330"/>
        <v/>
      </c>
      <c r="K4211" s="92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2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58"/>
      <c r="U4211" s="217" t="str">
        <f t="shared" si="331"/>
        <v/>
      </c>
      <c r="V4211" s="215" t="s">
        <v>47</v>
      </c>
      <c r="W4211" s="102" t="s">
        <v>136</v>
      </c>
      <c r="X4211" s="102" t="s">
        <v>137</v>
      </c>
      <c r="Y4211" s="103" t="s">
        <v>138</v>
      </c>
      <c r="Z4211" s="103" t="s">
        <v>139</v>
      </c>
      <c r="AA4211" s="103" t="s">
        <v>47</v>
      </c>
      <c r="AB4211" s="103" t="s">
        <v>140</v>
      </c>
      <c r="AC4211" s="104" t="s">
        <v>141</v>
      </c>
    </row>
    <row r="4212" spans="1:29" ht="25.5" customHeight="1" x14ac:dyDescent="0.35">
      <c r="A4212" s="188"/>
      <c r="B4212" s="190"/>
      <c r="C4212" s="99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0"/>
      <c r="E4212" s="78" t="str">
        <f>IF(C4212="","",IFERROR(VLOOKUP(C4212,parametros!$A$11:$E$15,5,0),""))</f>
        <v/>
      </c>
      <c r="F4212" s="79" t="str">
        <f t="shared" si="327"/>
        <v/>
      </c>
      <c r="G4212" s="101"/>
      <c r="H4212" s="91">
        <f t="shared" si="328"/>
        <v>0</v>
      </c>
      <c r="I4212" s="91" t="str">
        <f t="shared" si="329"/>
        <v/>
      </c>
      <c r="J4212" s="91" t="str">
        <f t="shared" si="330"/>
        <v/>
      </c>
      <c r="K4212" s="92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2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58"/>
      <c r="U4212" s="217" t="str">
        <f t="shared" si="331"/>
        <v/>
      </c>
      <c r="V4212" s="215" t="s">
        <v>47</v>
      </c>
      <c r="W4212" s="102" t="s">
        <v>136</v>
      </c>
      <c r="X4212" s="102" t="s">
        <v>137</v>
      </c>
      <c r="Y4212" s="103" t="s">
        <v>138</v>
      </c>
      <c r="Z4212" s="103" t="s">
        <v>139</v>
      </c>
      <c r="AA4212" s="103" t="s">
        <v>47</v>
      </c>
      <c r="AB4212" s="103" t="s">
        <v>140</v>
      </c>
      <c r="AC4212" s="104" t="s">
        <v>141</v>
      </c>
    </row>
    <row r="4213" spans="1:29" ht="25.5" customHeight="1" x14ac:dyDescent="0.35">
      <c r="A4213" s="188"/>
      <c r="B4213" s="190"/>
      <c r="C4213" s="99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0"/>
      <c r="E4213" s="78" t="str">
        <f>IF(C4213="","",IFERROR(VLOOKUP(C4213,parametros!$A$11:$E$15,5,0),""))</f>
        <v/>
      </c>
      <c r="F4213" s="79" t="str">
        <f t="shared" si="327"/>
        <v/>
      </c>
      <c r="G4213" s="101"/>
      <c r="H4213" s="91">
        <f t="shared" si="328"/>
        <v>0</v>
      </c>
      <c r="I4213" s="91" t="str">
        <f t="shared" si="329"/>
        <v/>
      </c>
      <c r="J4213" s="91" t="str">
        <f t="shared" si="330"/>
        <v/>
      </c>
      <c r="K4213" s="92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2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58"/>
      <c r="U4213" s="217" t="str">
        <f t="shared" si="331"/>
        <v/>
      </c>
      <c r="V4213" s="215" t="s">
        <v>47</v>
      </c>
      <c r="W4213" s="102" t="s">
        <v>136</v>
      </c>
      <c r="X4213" s="102" t="s">
        <v>137</v>
      </c>
      <c r="Y4213" s="103" t="s">
        <v>138</v>
      </c>
      <c r="Z4213" s="103" t="s">
        <v>139</v>
      </c>
      <c r="AA4213" s="103" t="s">
        <v>47</v>
      </c>
      <c r="AB4213" s="103" t="s">
        <v>140</v>
      </c>
      <c r="AC4213" s="104" t="s">
        <v>141</v>
      </c>
    </row>
    <row r="4214" spans="1:29" ht="25.5" customHeight="1" x14ac:dyDescent="0.35">
      <c r="A4214" s="188"/>
      <c r="B4214" s="190"/>
      <c r="C4214" s="99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0"/>
      <c r="E4214" s="78" t="str">
        <f>IF(C4214="","",IFERROR(VLOOKUP(C4214,parametros!$A$11:$E$15,5,0),""))</f>
        <v/>
      </c>
      <c r="F4214" s="79" t="str">
        <f t="shared" si="327"/>
        <v/>
      </c>
      <c r="G4214" s="101"/>
      <c r="H4214" s="91">
        <f t="shared" si="328"/>
        <v>0</v>
      </c>
      <c r="I4214" s="91" t="str">
        <f t="shared" si="329"/>
        <v/>
      </c>
      <c r="J4214" s="91" t="str">
        <f t="shared" si="330"/>
        <v/>
      </c>
      <c r="K4214" s="92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2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58"/>
      <c r="U4214" s="217" t="str">
        <f t="shared" si="331"/>
        <v/>
      </c>
      <c r="V4214" s="215" t="s">
        <v>47</v>
      </c>
      <c r="W4214" s="102" t="s">
        <v>136</v>
      </c>
      <c r="X4214" s="102" t="s">
        <v>137</v>
      </c>
      <c r="Y4214" s="103" t="s">
        <v>138</v>
      </c>
      <c r="Z4214" s="103" t="s">
        <v>139</v>
      </c>
      <c r="AA4214" s="103" t="s">
        <v>47</v>
      </c>
      <c r="AB4214" s="103" t="s">
        <v>140</v>
      </c>
      <c r="AC4214" s="104" t="s">
        <v>141</v>
      </c>
    </row>
    <row r="4215" spans="1:29" ht="25.5" customHeight="1" x14ac:dyDescent="0.35">
      <c r="A4215" s="188"/>
      <c r="B4215" s="190"/>
      <c r="C4215" s="99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0"/>
      <c r="E4215" s="78" t="str">
        <f>IF(C4215="","",IFERROR(VLOOKUP(C4215,parametros!$A$11:$E$15,5,0),""))</f>
        <v/>
      </c>
      <c r="F4215" s="79" t="str">
        <f t="shared" si="327"/>
        <v/>
      </c>
      <c r="G4215" s="101"/>
      <c r="H4215" s="91">
        <f t="shared" si="328"/>
        <v>0</v>
      </c>
      <c r="I4215" s="91" t="str">
        <f t="shared" si="329"/>
        <v/>
      </c>
      <c r="J4215" s="91" t="str">
        <f t="shared" si="330"/>
        <v/>
      </c>
      <c r="K4215" s="92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2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58"/>
      <c r="U4215" s="217" t="str">
        <f t="shared" si="331"/>
        <v/>
      </c>
      <c r="V4215" s="215" t="s">
        <v>47</v>
      </c>
      <c r="W4215" s="102" t="s">
        <v>136</v>
      </c>
      <c r="X4215" s="102" t="s">
        <v>137</v>
      </c>
      <c r="Y4215" s="103" t="s">
        <v>138</v>
      </c>
      <c r="Z4215" s="103" t="s">
        <v>139</v>
      </c>
      <c r="AA4215" s="103" t="s">
        <v>47</v>
      </c>
      <c r="AB4215" s="103" t="s">
        <v>140</v>
      </c>
      <c r="AC4215" s="104" t="s">
        <v>141</v>
      </c>
    </row>
    <row r="4216" spans="1:29" ht="25.5" customHeight="1" x14ac:dyDescent="0.35">
      <c r="A4216" s="188"/>
      <c r="B4216" s="190"/>
      <c r="C4216" s="99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0"/>
      <c r="E4216" s="78" t="str">
        <f>IF(C4216="","",IFERROR(VLOOKUP(C4216,parametros!$A$11:$E$15,5,0),""))</f>
        <v/>
      </c>
      <c r="F4216" s="79" t="str">
        <f t="shared" si="327"/>
        <v/>
      </c>
      <c r="G4216" s="101"/>
      <c r="H4216" s="91">
        <f t="shared" si="328"/>
        <v>0</v>
      </c>
      <c r="I4216" s="91" t="str">
        <f t="shared" si="329"/>
        <v/>
      </c>
      <c r="J4216" s="91" t="str">
        <f t="shared" si="330"/>
        <v/>
      </c>
      <c r="K4216" s="92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2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58"/>
      <c r="U4216" s="217" t="str">
        <f t="shared" si="331"/>
        <v/>
      </c>
      <c r="V4216" s="215" t="s">
        <v>47</v>
      </c>
      <c r="W4216" s="102" t="s">
        <v>136</v>
      </c>
      <c r="X4216" s="102" t="s">
        <v>137</v>
      </c>
      <c r="Y4216" s="103" t="s">
        <v>138</v>
      </c>
      <c r="Z4216" s="103" t="s">
        <v>139</v>
      </c>
      <c r="AA4216" s="103" t="s">
        <v>47</v>
      </c>
      <c r="AB4216" s="103" t="s">
        <v>140</v>
      </c>
      <c r="AC4216" s="104" t="s">
        <v>141</v>
      </c>
    </row>
    <row r="4217" spans="1:29" ht="25.5" customHeight="1" x14ac:dyDescent="0.35">
      <c r="A4217" s="188"/>
      <c r="B4217" s="190"/>
      <c r="C4217" s="99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0"/>
      <c r="E4217" s="78" t="str">
        <f>IF(C4217="","",IFERROR(VLOOKUP(C4217,parametros!$A$11:$E$15,5,0),""))</f>
        <v/>
      </c>
      <c r="F4217" s="79" t="str">
        <f t="shared" si="327"/>
        <v/>
      </c>
      <c r="G4217" s="101"/>
      <c r="H4217" s="91">
        <f t="shared" si="328"/>
        <v>0</v>
      </c>
      <c r="I4217" s="91" t="str">
        <f t="shared" si="329"/>
        <v/>
      </c>
      <c r="J4217" s="91" t="str">
        <f t="shared" si="330"/>
        <v/>
      </c>
      <c r="K4217" s="92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2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58"/>
      <c r="U4217" s="217" t="str">
        <f t="shared" si="331"/>
        <v/>
      </c>
      <c r="V4217" s="215" t="s">
        <v>47</v>
      </c>
      <c r="W4217" s="102" t="s">
        <v>136</v>
      </c>
      <c r="X4217" s="102" t="s">
        <v>137</v>
      </c>
      <c r="Y4217" s="103" t="s">
        <v>138</v>
      </c>
      <c r="Z4217" s="103" t="s">
        <v>139</v>
      </c>
      <c r="AA4217" s="103" t="s">
        <v>47</v>
      </c>
      <c r="AB4217" s="103" t="s">
        <v>140</v>
      </c>
      <c r="AC4217" s="104" t="s">
        <v>141</v>
      </c>
    </row>
    <row r="4218" spans="1:29" ht="25.5" customHeight="1" x14ac:dyDescent="0.35">
      <c r="A4218" s="188"/>
      <c r="B4218" s="190"/>
      <c r="C4218" s="99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0"/>
      <c r="E4218" s="78" t="str">
        <f>IF(C4218="","",IFERROR(VLOOKUP(C4218,parametros!$A$11:$E$15,5,0),""))</f>
        <v/>
      </c>
      <c r="F4218" s="79" t="str">
        <f t="shared" si="327"/>
        <v/>
      </c>
      <c r="G4218" s="101"/>
      <c r="H4218" s="91">
        <f t="shared" si="328"/>
        <v>0</v>
      </c>
      <c r="I4218" s="91" t="str">
        <f t="shared" si="329"/>
        <v/>
      </c>
      <c r="J4218" s="91" t="str">
        <f t="shared" si="330"/>
        <v/>
      </c>
      <c r="K4218" s="92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2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58"/>
      <c r="U4218" s="217" t="str">
        <f t="shared" si="331"/>
        <v/>
      </c>
      <c r="V4218" s="215" t="s">
        <v>47</v>
      </c>
      <c r="W4218" s="102" t="s">
        <v>136</v>
      </c>
      <c r="X4218" s="102" t="s">
        <v>137</v>
      </c>
      <c r="Y4218" s="103" t="s">
        <v>138</v>
      </c>
      <c r="Z4218" s="103" t="s">
        <v>139</v>
      </c>
      <c r="AA4218" s="103" t="s">
        <v>47</v>
      </c>
      <c r="AB4218" s="103" t="s">
        <v>140</v>
      </c>
      <c r="AC4218" s="104" t="s">
        <v>141</v>
      </c>
    </row>
    <row r="4219" spans="1:29" ht="25.5" customHeight="1" x14ac:dyDescent="0.35">
      <c r="A4219" s="188"/>
      <c r="B4219" s="190"/>
      <c r="C4219" s="99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0"/>
      <c r="E4219" s="78" t="str">
        <f>IF(C4219="","",IFERROR(VLOOKUP(C4219,parametros!$A$11:$E$15,5,0),""))</f>
        <v/>
      </c>
      <c r="F4219" s="79" t="str">
        <f t="shared" si="327"/>
        <v/>
      </c>
      <c r="G4219" s="101"/>
      <c r="H4219" s="91">
        <f t="shared" si="328"/>
        <v>0</v>
      </c>
      <c r="I4219" s="91" t="str">
        <f t="shared" si="329"/>
        <v/>
      </c>
      <c r="J4219" s="91" t="str">
        <f t="shared" si="330"/>
        <v/>
      </c>
      <c r="K4219" s="92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2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58"/>
      <c r="U4219" s="217" t="str">
        <f t="shared" si="331"/>
        <v/>
      </c>
      <c r="V4219" s="215" t="s">
        <v>47</v>
      </c>
      <c r="W4219" s="102" t="s">
        <v>136</v>
      </c>
      <c r="X4219" s="102" t="s">
        <v>137</v>
      </c>
      <c r="Y4219" s="103" t="s">
        <v>138</v>
      </c>
      <c r="Z4219" s="103" t="s">
        <v>139</v>
      </c>
      <c r="AA4219" s="103" t="s">
        <v>47</v>
      </c>
      <c r="AB4219" s="103" t="s">
        <v>140</v>
      </c>
      <c r="AC4219" s="104" t="s">
        <v>141</v>
      </c>
    </row>
    <row r="4220" spans="1:29" ht="25.5" customHeight="1" x14ac:dyDescent="0.35">
      <c r="A4220" s="188"/>
      <c r="B4220" s="190"/>
      <c r="C4220" s="99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0"/>
      <c r="E4220" s="78" t="str">
        <f>IF(C4220="","",IFERROR(VLOOKUP(C4220,parametros!$A$11:$E$15,5,0),""))</f>
        <v/>
      </c>
      <c r="F4220" s="79" t="str">
        <f t="shared" si="327"/>
        <v/>
      </c>
      <c r="G4220" s="101"/>
      <c r="H4220" s="91">
        <f t="shared" si="328"/>
        <v>0</v>
      </c>
      <c r="I4220" s="91" t="str">
        <f t="shared" si="329"/>
        <v/>
      </c>
      <c r="J4220" s="91" t="str">
        <f t="shared" si="330"/>
        <v/>
      </c>
      <c r="K4220" s="92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2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58"/>
      <c r="U4220" s="217" t="str">
        <f t="shared" si="331"/>
        <v/>
      </c>
      <c r="V4220" s="215" t="s">
        <v>47</v>
      </c>
      <c r="W4220" s="102" t="s">
        <v>136</v>
      </c>
      <c r="X4220" s="102" t="s">
        <v>137</v>
      </c>
      <c r="Y4220" s="103" t="s">
        <v>138</v>
      </c>
      <c r="Z4220" s="103" t="s">
        <v>139</v>
      </c>
      <c r="AA4220" s="103" t="s">
        <v>47</v>
      </c>
      <c r="AB4220" s="103" t="s">
        <v>140</v>
      </c>
      <c r="AC4220" s="104" t="s">
        <v>141</v>
      </c>
    </row>
    <row r="4221" spans="1:29" ht="25.5" customHeight="1" x14ac:dyDescent="0.35">
      <c r="A4221" s="188"/>
      <c r="B4221" s="190"/>
      <c r="C4221" s="99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0"/>
      <c r="E4221" s="78" t="str">
        <f>IF(C4221="","",IFERROR(VLOOKUP(C4221,parametros!$A$11:$E$15,5,0),""))</f>
        <v/>
      </c>
      <c r="F4221" s="79" t="str">
        <f t="shared" si="327"/>
        <v/>
      </c>
      <c r="G4221" s="101"/>
      <c r="H4221" s="91">
        <f t="shared" si="328"/>
        <v>0</v>
      </c>
      <c r="I4221" s="91" t="str">
        <f t="shared" si="329"/>
        <v/>
      </c>
      <c r="J4221" s="91" t="str">
        <f t="shared" si="330"/>
        <v/>
      </c>
      <c r="K4221" s="92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2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58"/>
      <c r="U4221" s="217" t="str">
        <f t="shared" si="331"/>
        <v/>
      </c>
      <c r="V4221" s="215" t="s">
        <v>47</v>
      </c>
      <c r="W4221" s="102" t="s">
        <v>136</v>
      </c>
      <c r="X4221" s="102" t="s">
        <v>137</v>
      </c>
      <c r="Y4221" s="103" t="s">
        <v>138</v>
      </c>
      <c r="Z4221" s="103" t="s">
        <v>139</v>
      </c>
      <c r="AA4221" s="103" t="s">
        <v>47</v>
      </c>
      <c r="AB4221" s="103" t="s">
        <v>140</v>
      </c>
      <c r="AC4221" s="104" t="s">
        <v>141</v>
      </c>
    </row>
    <row r="4222" spans="1:29" ht="25.5" customHeight="1" x14ac:dyDescent="0.35">
      <c r="A4222" s="188"/>
      <c r="B4222" s="190"/>
      <c r="C4222" s="99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0"/>
      <c r="E4222" s="78" t="str">
        <f>IF(C4222="","",IFERROR(VLOOKUP(C4222,parametros!$A$11:$E$15,5,0),""))</f>
        <v/>
      </c>
      <c r="F4222" s="79" t="str">
        <f t="shared" si="327"/>
        <v/>
      </c>
      <c r="G4222" s="101"/>
      <c r="H4222" s="91">
        <f t="shared" si="328"/>
        <v>0</v>
      </c>
      <c r="I4222" s="91" t="str">
        <f t="shared" si="329"/>
        <v/>
      </c>
      <c r="J4222" s="91" t="str">
        <f t="shared" si="330"/>
        <v/>
      </c>
      <c r="K4222" s="92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2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58"/>
      <c r="U4222" s="217" t="str">
        <f t="shared" si="331"/>
        <v/>
      </c>
      <c r="V4222" s="215" t="s">
        <v>47</v>
      </c>
      <c r="W4222" s="102" t="s">
        <v>136</v>
      </c>
      <c r="X4222" s="102" t="s">
        <v>137</v>
      </c>
      <c r="Y4222" s="103" t="s">
        <v>138</v>
      </c>
      <c r="Z4222" s="103" t="s">
        <v>139</v>
      </c>
      <c r="AA4222" s="103" t="s">
        <v>47</v>
      </c>
      <c r="AB4222" s="103" t="s">
        <v>140</v>
      </c>
      <c r="AC4222" s="104" t="s">
        <v>141</v>
      </c>
    </row>
    <row r="4223" spans="1:29" ht="25.5" customHeight="1" x14ac:dyDescent="0.35">
      <c r="A4223" s="188"/>
      <c r="B4223" s="190"/>
      <c r="C4223" s="99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0"/>
      <c r="E4223" s="78" t="str">
        <f>IF(C4223="","",IFERROR(VLOOKUP(C4223,parametros!$A$11:$E$15,5,0),""))</f>
        <v/>
      </c>
      <c r="F4223" s="79" t="str">
        <f t="shared" si="327"/>
        <v/>
      </c>
      <c r="G4223" s="101"/>
      <c r="H4223" s="91">
        <f t="shared" si="328"/>
        <v>0</v>
      </c>
      <c r="I4223" s="91" t="str">
        <f t="shared" si="329"/>
        <v/>
      </c>
      <c r="J4223" s="91" t="str">
        <f t="shared" si="330"/>
        <v/>
      </c>
      <c r="K4223" s="92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2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58"/>
      <c r="U4223" s="217" t="str">
        <f t="shared" si="331"/>
        <v/>
      </c>
      <c r="V4223" s="215" t="s">
        <v>47</v>
      </c>
      <c r="W4223" s="102" t="s">
        <v>136</v>
      </c>
      <c r="X4223" s="102" t="s">
        <v>137</v>
      </c>
      <c r="Y4223" s="103" t="s">
        <v>138</v>
      </c>
      <c r="Z4223" s="103" t="s">
        <v>139</v>
      </c>
      <c r="AA4223" s="103" t="s">
        <v>47</v>
      </c>
      <c r="AB4223" s="103" t="s">
        <v>140</v>
      </c>
      <c r="AC4223" s="104" t="s">
        <v>141</v>
      </c>
    </row>
    <row r="4224" spans="1:29" ht="25.5" customHeight="1" x14ac:dyDescent="0.35">
      <c r="A4224" s="188"/>
      <c r="B4224" s="190"/>
      <c r="C4224" s="99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0"/>
      <c r="E4224" s="78" t="str">
        <f>IF(C4224="","",IFERROR(VLOOKUP(C4224,parametros!$A$11:$E$15,5,0),""))</f>
        <v/>
      </c>
      <c r="F4224" s="79" t="str">
        <f t="shared" si="327"/>
        <v/>
      </c>
      <c r="G4224" s="101"/>
      <c r="H4224" s="91">
        <f t="shared" si="328"/>
        <v>0</v>
      </c>
      <c r="I4224" s="91" t="str">
        <f t="shared" si="329"/>
        <v/>
      </c>
      <c r="J4224" s="91" t="str">
        <f t="shared" si="330"/>
        <v/>
      </c>
      <c r="K4224" s="92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2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58"/>
      <c r="U4224" s="217" t="str">
        <f t="shared" si="331"/>
        <v/>
      </c>
      <c r="V4224" s="215" t="s">
        <v>47</v>
      </c>
      <c r="W4224" s="102" t="s">
        <v>136</v>
      </c>
      <c r="X4224" s="102" t="s">
        <v>137</v>
      </c>
      <c r="Y4224" s="103" t="s">
        <v>138</v>
      </c>
      <c r="Z4224" s="103" t="s">
        <v>139</v>
      </c>
      <c r="AA4224" s="103" t="s">
        <v>47</v>
      </c>
      <c r="AB4224" s="103" t="s">
        <v>140</v>
      </c>
      <c r="AC4224" s="104" t="s">
        <v>141</v>
      </c>
    </row>
    <row r="4225" spans="1:29" ht="25.5" customHeight="1" x14ac:dyDescent="0.35">
      <c r="A4225" s="188"/>
      <c r="B4225" s="190"/>
      <c r="C4225" s="99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0"/>
      <c r="E4225" s="78" t="str">
        <f>IF(C4225="","",IFERROR(VLOOKUP(C4225,parametros!$A$11:$E$15,5,0),""))</f>
        <v/>
      </c>
      <c r="F4225" s="79" t="str">
        <f t="shared" si="327"/>
        <v/>
      </c>
      <c r="G4225" s="101"/>
      <c r="H4225" s="91">
        <f t="shared" si="328"/>
        <v>0</v>
      </c>
      <c r="I4225" s="91" t="str">
        <f t="shared" si="329"/>
        <v/>
      </c>
      <c r="J4225" s="91" t="str">
        <f t="shared" si="330"/>
        <v/>
      </c>
      <c r="K4225" s="92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2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58"/>
      <c r="U4225" s="217" t="str">
        <f t="shared" si="331"/>
        <v/>
      </c>
      <c r="V4225" s="215" t="s">
        <v>47</v>
      </c>
      <c r="W4225" s="102" t="s">
        <v>136</v>
      </c>
      <c r="X4225" s="102" t="s">
        <v>137</v>
      </c>
      <c r="Y4225" s="103" t="s">
        <v>138</v>
      </c>
      <c r="Z4225" s="103" t="s">
        <v>139</v>
      </c>
      <c r="AA4225" s="103" t="s">
        <v>47</v>
      </c>
      <c r="AB4225" s="103" t="s">
        <v>140</v>
      </c>
      <c r="AC4225" s="104" t="s">
        <v>141</v>
      </c>
    </row>
    <row r="4226" spans="1:29" ht="25.5" customHeight="1" x14ac:dyDescent="0.35">
      <c r="A4226" s="188"/>
      <c r="B4226" s="190"/>
      <c r="C4226" s="99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0"/>
      <c r="E4226" s="78" t="str">
        <f>IF(C4226="","",IFERROR(VLOOKUP(C4226,parametros!$A$11:$E$15,5,0),""))</f>
        <v/>
      </c>
      <c r="F4226" s="79" t="str">
        <f t="shared" ref="F4226:F4289" si="332">IF(OR(D4226="",E4226=""),"",ROUND(D4226*E4226,2))</f>
        <v/>
      </c>
      <c r="G4226" s="101"/>
      <c r="H4226" s="91">
        <f t="shared" ref="H4226:H4289" si="333">IF(G4226="Sim",IF(OR(F4226="",D4226="",L4226=""),"",IF(L4226="Sim",ROUND(F4226-D4226,2),0)),0)</f>
        <v>0</v>
      </c>
      <c r="I4226" s="91" t="str">
        <f t="shared" ref="I4226:I4289" si="334">IF(G4226="Sim",0,IF(OR(F4226="",L4226=""),"",F4226))</f>
        <v/>
      </c>
      <c r="J4226" s="91" t="str">
        <f t="shared" ref="J4226:J4289" si="335">IF(G4226="Sim",0,IF(OR(F4226="",D4226="",L4226=""),"",IF(L4226="Sim",ROUND(F4226-D4226,2),0)))</f>
        <v/>
      </c>
      <c r="K4226" s="92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2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58"/>
      <c r="U4226" s="217" t="str">
        <f t="shared" ref="U4226:U4289" si="336">IF(OR($D4226="",$H4226=""),"",ROUND($D4226+$H4226,2))</f>
        <v/>
      </c>
      <c r="V4226" s="215" t="s">
        <v>47</v>
      </c>
      <c r="W4226" s="102" t="s">
        <v>136</v>
      </c>
      <c r="X4226" s="102" t="s">
        <v>137</v>
      </c>
      <c r="Y4226" s="103" t="s">
        <v>138</v>
      </c>
      <c r="Z4226" s="103" t="s">
        <v>139</v>
      </c>
      <c r="AA4226" s="103" t="s">
        <v>47</v>
      </c>
      <c r="AB4226" s="103" t="s">
        <v>140</v>
      </c>
      <c r="AC4226" s="104" t="s">
        <v>141</v>
      </c>
    </row>
    <row r="4227" spans="1:29" ht="25.5" customHeight="1" x14ac:dyDescent="0.35">
      <c r="A4227" s="188"/>
      <c r="B4227" s="190"/>
      <c r="C4227" s="99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0"/>
      <c r="E4227" s="78" t="str">
        <f>IF(C4227="","",IFERROR(VLOOKUP(C4227,parametros!$A$11:$E$15,5,0),""))</f>
        <v/>
      </c>
      <c r="F4227" s="79" t="str">
        <f t="shared" si="332"/>
        <v/>
      </c>
      <c r="G4227" s="101"/>
      <c r="H4227" s="91">
        <f t="shared" si="333"/>
        <v>0</v>
      </c>
      <c r="I4227" s="91" t="str">
        <f t="shared" si="334"/>
        <v/>
      </c>
      <c r="J4227" s="91" t="str">
        <f t="shared" si="335"/>
        <v/>
      </c>
      <c r="K4227" s="92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2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58"/>
      <c r="U4227" s="217" t="str">
        <f t="shared" si="336"/>
        <v/>
      </c>
      <c r="V4227" s="215" t="s">
        <v>47</v>
      </c>
      <c r="W4227" s="102" t="s">
        <v>136</v>
      </c>
      <c r="X4227" s="102" t="s">
        <v>137</v>
      </c>
      <c r="Y4227" s="103" t="s">
        <v>138</v>
      </c>
      <c r="Z4227" s="103" t="s">
        <v>139</v>
      </c>
      <c r="AA4227" s="103" t="s">
        <v>47</v>
      </c>
      <c r="AB4227" s="103" t="s">
        <v>140</v>
      </c>
      <c r="AC4227" s="104" t="s">
        <v>141</v>
      </c>
    </row>
    <row r="4228" spans="1:29" ht="25.5" customHeight="1" x14ac:dyDescent="0.35">
      <c r="A4228" s="188"/>
      <c r="B4228" s="190"/>
      <c r="C4228" s="99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0"/>
      <c r="E4228" s="78" t="str">
        <f>IF(C4228="","",IFERROR(VLOOKUP(C4228,parametros!$A$11:$E$15,5,0),""))</f>
        <v/>
      </c>
      <c r="F4228" s="79" t="str">
        <f t="shared" si="332"/>
        <v/>
      </c>
      <c r="G4228" s="101"/>
      <c r="H4228" s="91">
        <f t="shared" si="333"/>
        <v>0</v>
      </c>
      <c r="I4228" s="91" t="str">
        <f t="shared" si="334"/>
        <v/>
      </c>
      <c r="J4228" s="91" t="str">
        <f t="shared" si="335"/>
        <v/>
      </c>
      <c r="K4228" s="92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2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58"/>
      <c r="U4228" s="217" t="str">
        <f t="shared" si="336"/>
        <v/>
      </c>
      <c r="V4228" s="215" t="s">
        <v>47</v>
      </c>
      <c r="W4228" s="102" t="s">
        <v>136</v>
      </c>
      <c r="X4228" s="102" t="s">
        <v>137</v>
      </c>
      <c r="Y4228" s="103" t="s">
        <v>138</v>
      </c>
      <c r="Z4228" s="103" t="s">
        <v>139</v>
      </c>
      <c r="AA4228" s="103" t="s">
        <v>47</v>
      </c>
      <c r="AB4228" s="103" t="s">
        <v>140</v>
      </c>
      <c r="AC4228" s="104" t="s">
        <v>141</v>
      </c>
    </row>
    <row r="4229" spans="1:29" ht="25.5" customHeight="1" x14ac:dyDescent="0.35">
      <c r="A4229" s="188"/>
      <c r="B4229" s="190"/>
      <c r="C4229" s="99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0"/>
      <c r="E4229" s="78" t="str">
        <f>IF(C4229="","",IFERROR(VLOOKUP(C4229,parametros!$A$11:$E$15,5,0),""))</f>
        <v/>
      </c>
      <c r="F4229" s="79" t="str">
        <f t="shared" si="332"/>
        <v/>
      </c>
      <c r="G4229" s="101"/>
      <c r="H4229" s="91">
        <f t="shared" si="333"/>
        <v>0</v>
      </c>
      <c r="I4229" s="91" t="str">
        <f t="shared" si="334"/>
        <v/>
      </c>
      <c r="J4229" s="91" t="str">
        <f t="shared" si="335"/>
        <v/>
      </c>
      <c r="K4229" s="92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2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58"/>
      <c r="U4229" s="217" t="str">
        <f t="shared" si="336"/>
        <v/>
      </c>
      <c r="V4229" s="215" t="s">
        <v>47</v>
      </c>
      <c r="W4229" s="102" t="s">
        <v>136</v>
      </c>
      <c r="X4229" s="102" t="s">
        <v>137</v>
      </c>
      <c r="Y4229" s="103" t="s">
        <v>138</v>
      </c>
      <c r="Z4229" s="103" t="s">
        <v>139</v>
      </c>
      <c r="AA4229" s="103" t="s">
        <v>47</v>
      </c>
      <c r="AB4229" s="103" t="s">
        <v>140</v>
      </c>
      <c r="AC4229" s="104" t="s">
        <v>141</v>
      </c>
    </row>
    <row r="4230" spans="1:29" ht="25.5" customHeight="1" x14ac:dyDescent="0.35">
      <c r="A4230" s="188"/>
      <c r="B4230" s="190"/>
      <c r="C4230" s="99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0"/>
      <c r="E4230" s="78" t="str">
        <f>IF(C4230="","",IFERROR(VLOOKUP(C4230,parametros!$A$11:$E$15,5,0),""))</f>
        <v/>
      </c>
      <c r="F4230" s="79" t="str">
        <f t="shared" si="332"/>
        <v/>
      </c>
      <c r="G4230" s="101"/>
      <c r="H4230" s="91">
        <f t="shared" si="333"/>
        <v>0</v>
      </c>
      <c r="I4230" s="91" t="str">
        <f t="shared" si="334"/>
        <v/>
      </c>
      <c r="J4230" s="91" t="str">
        <f t="shared" si="335"/>
        <v/>
      </c>
      <c r="K4230" s="92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2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58"/>
      <c r="U4230" s="217" t="str">
        <f t="shared" si="336"/>
        <v/>
      </c>
      <c r="V4230" s="215" t="s">
        <v>47</v>
      </c>
      <c r="W4230" s="102" t="s">
        <v>136</v>
      </c>
      <c r="X4230" s="102" t="s">
        <v>137</v>
      </c>
      <c r="Y4230" s="103" t="s">
        <v>138</v>
      </c>
      <c r="Z4230" s="103" t="s">
        <v>139</v>
      </c>
      <c r="AA4230" s="103" t="s">
        <v>47</v>
      </c>
      <c r="AB4230" s="103" t="s">
        <v>140</v>
      </c>
      <c r="AC4230" s="104" t="s">
        <v>141</v>
      </c>
    </row>
    <row r="4231" spans="1:29" ht="25.5" customHeight="1" x14ac:dyDescent="0.35">
      <c r="A4231" s="188"/>
      <c r="B4231" s="190"/>
      <c r="C4231" s="99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0"/>
      <c r="E4231" s="78" t="str">
        <f>IF(C4231="","",IFERROR(VLOOKUP(C4231,parametros!$A$11:$E$15,5,0),""))</f>
        <v/>
      </c>
      <c r="F4231" s="79" t="str">
        <f t="shared" si="332"/>
        <v/>
      </c>
      <c r="G4231" s="101"/>
      <c r="H4231" s="91">
        <f t="shared" si="333"/>
        <v>0</v>
      </c>
      <c r="I4231" s="91" t="str">
        <f t="shared" si="334"/>
        <v/>
      </c>
      <c r="J4231" s="91" t="str">
        <f t="shared" si="335"/>
        <v/>
      </c>
      <c r="K4231" s="92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2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58"/>
      <c r="U4231" s="217" t="str">
        <f t="shared" si="336"/>
        <v/>
      </c>
      <c r="V4231" s="215" t="s">
        <v>47</v>
      </c>
      <c r="W4231" s="102" t="s">
        <v>136</v>
      </c>
      <c r="X4231" s="102" t="s">
        <v>137</v>
      </c>
      <c r="Y4231" s="103" t="s">
        <v>138</v>
      </c>
      <c r="Z4231" s="103" t="s">
        <v>139</v>
      </c>
      <c r="AA4231" s="103" t="s">
        <v>47</v>
      </c>
      <c r="AB4231" s="103" t="s">
        <v>140</v>
      </c>
      <c r="AC4231" s="104" t="s">
        <v>141</v>
      </c>
    </row>
    <row r="4232" spans="1:29" ht="25.5" customHeight="1" x14ac:dyDescent="0.35">
      <c r="A4232" s="188"/>
      <c r="B4232" s="190"/>
      <c r="C4232" s="99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0"/>
      <c r="E4232" s="78" t="str">
        <f>IF(C4232="","",IFERROR(VLOOKUP(C4232,parametros!$A$11:$E$15,5,0),""))</f>
        <v/>
      </c>
      <c r="F4232" s="79" t="str">
        <f t="shared" si="332"/>
        <v/>
      </c>
      <c r="G4232" s="101"/>
      <c r="H4232" s="91">
        <f t="shared" si="333"/>
        <v>0</v>
      </c>
      <c r="I4232" s="91" t="str">
        <f t="shared" si="334"/>
        <v/>
      </c>
      <c r="J4232" s="91" t="str">
        <f t="shared" si="335"/>
        <v/>
      </c>
      <c r="K4232" s="92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2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58"/>
      <c r="U4232" s="217" t="str">
        <f t="shared" si="336"/>
        <v/>
      </c>
      <c r="V4232" s="215" t="s">
        <v>47</v>
      </c>
      <c r="W4232" s="102" t="s">
        <v>136</v>
      </c>
      <c r="X4232" s="102" t="s">
        <v>137</v>
      </c>
      <c r="Y4232" s="103" t="s">
        <v>138</v>
      </c>
      <c r="Z4232" s="103" t="s">
        <v>139</v>
      </c>
      <c r="AA4232" s="103" t="s">
        <v>47</v>
      </c>
      <c r="AB4232" s="103" t="s">
        <v>140</v>
      </c>
      <c r="AC4232" s="104" t="s">
        <v>141</v>
      </c>
    </row>
    <row r="4233" spans="1:29" ht="25.5" customHeight="1" x14ac:dyDescent="0.35">
      <c r="A4233" s="188"/>
      <c r="B4233" s="190"/>
      <c r="C4233" s="99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0"/>
      <c r="E4233" s="78" t="str">
        <f>IF(C4233="","",IFERROR(VLOOKUP(C4233,parametros!$A$11:$E$15,5,0),""))</f>
        <v/>
      </c>
      <c r="F4233" s="79" t="str">
        <f t="shared" si="332"/>
        <v/>
      </c>
      <c r="G4233" s="101"/>
      <c r="H4233" s="91">
        <f t="shared" si="333"/>
        <v>0</v>
      </c>
      <c r="I4233" s="91" t="str">
        <f t="shared" si="334"/>
        <v/>
      </c>
      <c r="J4233" s="91" t="str">
        <f t="shared" si="335"/>
        <v/>
      </c>
      <c r="K4233" s="92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2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58"/>
      <c r="U4233" s="217" t="str">
        <f t="shared" si="336"/>
        <v/>
      </c>
      <c r="V4233" s="215" t="s">
        <v>47</v>
      </c>
      <c r="W4233" s="102" t="s">
        <v>136</v>
      </c>
      <c r="X4233" s="102" t="s">
        <v>137</v>
      </c>
      <c r="Y4233" s="103" t="s">
        <v>138</v>
      </c>
      <c r="Z4233" s="103" t="s">
        <v>139</v>
      </c>
      <c r="AA4233" s="103" t="s">
        <v>47</v>
      </c>
      <c r="AB4233" s="103" t="s">
        <v>140</v>
      </c>
      <c r="AC4233" s="104" t="s">
        <v>141</v>
      </c>
    </row>
    <row r="4234" spans="1:29" ht="25.5" customHeight="1" x14ac:dyDescent="0.35">
      <c r="A4234" s="188"/>
      <c r="B4234" s="190"/>
      <c r="C4234" s="99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0"/>
      <c r="E4234" s="78" t="str">
        <f>IF(C4234="","",IFERROR(VLOOKUP(C4234,parametros!$A$11:$E$15,5,0),""))</f>
        <v/>
      </c>
      <c r="F4234" s="79" t="str">
        <f t="shared" si="332"/>
        <v/>
      </c>
      <c r="G4234" s="101"/>
      <c r="H4234" s="91">
        <f t="shared" si="333"/>
        <v>0</v>
      </c>
      <c r="I4234" s="91" t="str">
        <f t="shared" si="334"/>
        <v/>
      </c>
      <c r="J4234" s="91" t="str">
        <f t="shared" si="335"/>
        <v/>
      </c>
      <c r="K4234" s="92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2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58"/>
      <c r="U4234" s="217" t="str">
        <f t="shared" si="336"/>
        <v/>
      </c>
      <c r="V4234" s="215" t="s">
        <v>47</v>
      </c>
      <c r="W4234" s="102" t="s">
        <v>136</v>
      </c>
      <c r="X4234" s="102" t="s">
        <v>137</v>
      </c>
      <c r="Y4234" s="103" t="s">
        <v>138</v>
      </c>
      <c r="Z4234" s="103" t="s">
        <v>139</v>
      </c>
      <c r="AA4234" s="103" t="s">
        <v>47</v>
      </c>
      <c r="AB4234" s="103" t="s">
        <v>140</v>
      </c>
      <c r="AC4234" s="104" t="s">
        <v>141</v>
      </c>
    </row>
    <row r="4235" spans="1:29" ht="25.5" customHeight="1" x14ac:dyDescent="0.35">
      <c r="A4235" s="188"/>
      <c r="B4235" s="190"/>
      <c r="C4235" s="99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0"/>
      <c r="E4235" s="78" t="str">
        <f>IF(C4235="","",IFERROR(VLOOKUP(C4235,parametros!$A$11:$E$15,5,0),""))</f>
        <v/>
      </c>
      <c r="F4235" s="79" t="str">
        <f t="shared" si="332"/>
        <v/>
      </c>
      <c r="G4235" s="101"/>
      <c r="H4235" s="91">
        <f t="shared" si="333"/>
        <v>0</v>
      </c>
      <c r="I4235" s="91" t="str">
        <f t="shared" si="334"/>
        <v/>
      </c>
      <c r="J4235" s="91" t="str">
        <f t="shared" si="335"/>
        <v/>
      </c>
      <c r="K4235" s="92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2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58"/>
      <c r="U4235" s="217" t="str">
        <f t="shared" si="336"/>
        <v/>
      </c>
      <c r="V4235" s="215" t="s">
        <v>47</v>
      </c>
      <c r="W4235" s="102" t="s">
        <v>136</v>
      </c>
      <c r="X4235" s="102" t="s">
        <v>137</v>
      </c>
      <c r="Y4235" s="103" t="s">
        <v>138</v>
      </c>
      <c r="Z4235" s="103" t="s">
        <v>139</v>
      </c>
      <c r="AA4235" s="103" t="s">
        <v>47</v>
      </c>
      <c r="AB4235" s="103" t="s">
        <v>140</v>
      </c>
      <c r="AC4235" s="104" t="s">
        <v>141</v>
      </c>
    </row>
    <row r="4236" spans="1:29" ht="25.5" customHeight="1" x14ac:dyDescent="0.35">
      <c r="A4236" s="188"/>
      <c r="B4236" s="190"/>
      <c r="C4236" s="99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0"/>
      <c r="E4236" s="78" t="str">
        <f>IF(C4236="","",IFERROR(VLOOKUP(C4236,parametros!$A$11:$E$15,5,0),""))</f>
        <v/>
      </c>
      <c r="F4236" s="79" t="str">
        <f t="shared" si="332"/>
        <v/>
      </c>
      <c r="G4236" s="101"/>
      <c r="H4236" s="91">
        <f t="shared" si="333"/>
        <v>0</v>
      </c>
      <c r="I4236" s="91" t="str">
        <f t="shared" si="334"/>
        <v/>
      </c>
      <c r="J4236" s="91" t="str">
        <f t="shared" si="335"/>
        <v/>
      </c>
      <c r="K4236" s="92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2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58"/>
      <c r="U4236" s="217" t="str">
        <f t="shared" si="336"/>
        <v/>
      </c>
      <c r="V4236" s="215" t="s">
        <v>47</v>
      </c>
      <c r="W4236" s="102" t="s">
        <v>136</v>
      </c>
      <c r="X4236" s="102" t="s">
        <v>137</v>
      </c>
      <c r="Y4236" s="103" t="s">
        <v>138</v>
      </c>
      <c r="Z4236" s="103" t="s">
        <v>139</v>
      </c>
      <c r="AA4236" s="103" t="s">
        <v>47</v>
      </c>
      <c r="AB4236" s="103" t="s">
        <v>140</v>
      </c>
      <c r="AC4236" s="104" t="s">
        <v>141</v>
      </c>
    </row>
    <row r="4237" spans="1:29" ht="25.5" customHeight="1" x14ac:dyDescent="0.35">
      <c r="A4237" s="188"/>
      <c r="B4237" s="190"/>
      <c r="C4237" s="99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0"/>
      <c r="E4237" s="78" t="str">
        <f>IF(C4237="","",IFERROR(VLOOKUP(C4237,parametros!$A$11:$E$15,5,0),""))</f>
        <v/>
      </c>
      <c r="F4237" s="79" t="str">
        <f t="shared" si="332"/>
        <v/>
      </c>
      <c r="G4237" s="101"/>
      <c r="H4237" s="91">
        <f t="shared" si="333"/>
        <v>0</v>
      </c>
      <c r="I4237" s="91" t="str">
        <f t="shared" si="334"/>
        <v/>
      </c>
      <c r="J4237" s="91" t="str">
        <f t="shared" si="335"/>
        <v/>
      </c>
      <c r="K4237" s="92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2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58"/>
      <c r="U4237" s="217" t="str">
        <f t="shared" si="336"/>
        <v/>
      </c>
      <c r="V4237" s="215" t="s">
        <v>47</v>
      </c>
      <c r="W4237" s="102" t="s">
        <v>136</v>
      </c>
      <c r="X4237" s="102" t="s">
        <v>137</v>
      </c>
      <c r="Y4237" s="103" t="s">
        <v>138</v>
      </c>
      <c r="Z4237" s="103" t="s">
        <v>139</v>
      </c>
      <c r="AA4237" s="103" t="s">
        <v>47</v>
      </c>
      <c r="AB4237" s="103" t="s">
        <v>140</v>
      </c>
      <c r="AC4237" s="104" t="s">
        <v>141</v>
      </c>
    </row>
    <row r="4238" spans="1:29" ht="25.5" customHeight="1" x14ac:dyDescent="0.35">
      <c r="A4238" s="188"/>
      <c r="B4238" s="190"/>
      <c r="C4238" s="99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0"/>
      <c r="E4238" s="78" t="str">
        <f>IF(C4238="","",IFERROR(VLOOKUP(C4238,parametros!$A$11:$E$15,5,0),""))</f>
        <v/>
      </c>
      <c r="F4238" s="79" t="str">
        <f t="shared" si="332"/>
        <v/>
      </c>
      <c r="G4238" s="101"/>
      <c r="H4238" s="91">
        <f t="shared" si="333"/>
        <v>0</v>
      </c>
      <c r="I4238" s="91" t="str">
        <f t="shared" si="334"/>
        <v/>
      </c>
      <c r="J4238" s="91" t="str">
        <f t="shared" si="335"/>
        <v/>
      </c>
      <c r="K4238" s="92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2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58"/>
      <c r="U4238" s="217" t="str">
        <f t="shared" si="336"/>
        <v/>
      </c>
      <c r="V4238" s="215" t="s">
        <v>47</v>
      </c>
      <c r="W4238" s="102" t="s">
        <v>136</v>
      </c>
      <c r="X4238" s="102" t="s">
        <v>137</v>
      </c>
      <c r="Y4238" s="103" t="s">
        <v>138</v>
      </c>
      <c r="Z4238" s="103" t="s">
        <v>139</v>
      </c>
      <c r="AA4238" s="103" t="s">
        <v>47</v>
      </c>
      <c r="AB4238" s="103" t="s">
        <v>140</v>
      </c>
      <c r="AC4238" s="104" t="s">
        <v>141</v>
      </c>
    </row>
    <row r="4239" spans="1:29" ht="25.5" customHeight="1" x14ac:dyDescent="0.35">
      <c r="A4239" s="188"/>
      <c r="B4239" s="190"/>
      <c r="C4239" s="99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0"/>
      <c r="E4239" s="78" t="str">
        <f>IF(C4239="","",IFERROR(VLOOKUP(C4239,parametros!$A$11:$E$15,5,0),""))</f>
        <v/>
      </c>
      <c r="F4239" s="79" t="str">
        <f t="shared" si="332"/>
        <v/>
      </c>
      <c r="G4239" s="101"/>
      <c r="H4239" s="91">
        <f t="shared" si="333"/>
        <v>0</v>
      </c>
      <c r="I4239" s="91" t="str">
        <f t="shared" si="334"/>
        <v/>
      </c>
      <c r="J4239" s="91" t="str">
        <f t="shared" si="335"/>
        <v/>
      </c>
      <c r="K4239" s="92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2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58"/>
      <c r="U4239" s="217" t="str">
        <f t="shared" si="336"/>
        <v/>
      </c>
      <c r="V4239" s="215" t="s">
        <v>47</v>
      </c>
      <c r="W4239" s="102" t="s">
        <v>136</v>
      </c>
      <c r="X4239" s="102" t="s">
        <v>137</v>
      </c>
      <c r="Y4239" s="103" t="s">
        <v>138</v>
      </c>
      <c r="Z4239" s="103" t="s">
        <v>139</v>
      </c>
      <c r="AA4239" s="103" t="s">
        <v>47</v>
      </c>
      <c r="AB4239" s="103" t="s">
        <v>140</v>
      </c>
      <c r="AC4239" s="104" t="s">
        <v>141</v>
      </c>
    </row>
    <row r="4240" spans="1:29" ht="25.5" customHeight="1" x14ac:dyDescent="0.35">
      <c r="A4240" s="188"/>
      <c r="B4240" s="190"/>
      <c r="C4240" s="99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0"/>
      <c r="E4240" s="78" t="str">
        <f>IF(C4240="","",IFERROR(VLOOKUP(C4240,parametros!$A$11:$E$15,5,0),""))</f>
        <v/>
      </c>
      <c r="F4240" s="79" t="str">
        <f t="shared" si="332"/>
        <v/>
      </c>
      <c r="G4240" s="101"/>
      <c r="H4240" s="91">
        <f t="shared" si="333"/>
        <v>0</v>
      </c>
      <c r="I4240" s="91" t="str">
        <f t="shared" si="334"/>
        <v/>
      </c>
      <c r="J4240" s="91" t="str">
        <f t="shared" si="335"/>
        <v/>
      </c>
      <c r="K4240" s="92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2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58"/>
      <c r="U4240" s="217" t="str">
        <f t="shared" si="336"/>
        <v/>
      </c>
      <c r="V4240" s="215" t="s">
        <v>47</v>
      </c>
      <c r="W4240" s="102" t="s">
        <v>136</v>
      </c>
      <c r="X4240" s="102" t="s">
        <v>137</v>
      </c>
      <c r="Y4240" s="103" t="s">
        <v>138</v>
      </c>
      <c r="Z4240" s="103" t="s">
        <v>139</v>
      </c>
      <c r="AA4240" s="103" t="s">
        <v>47</v>
      </c>
      <c r="AB4240" s="103" t="s">
        <v>140</v>
      </c>
      <c r="AC4240" s="104" t="s">
        <v>141</v>
      </c>
    </row>
    <row r="4241" spans="1:29" ht="25.5" customHeight="1" x14ac:dyDescent="0.35">
      <c r="A4241" s="188"/>
      <c r="B4241" s="190"/>
      <c r="C4241" s="99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0"/>
      <c r="E4241" s="78" t="str">
        <f>IF(C4241="","",IFERROR(VLOOKUP(C4241,parametros!$A$11:$E$15,5,0),""))</f>
        <v/>
      </c>
      <c r="F4241" s="79" t="str">
        <f t="shared" si="332"/>
        <v/>
      </c>
      <c r="G4241" s="101"/>
      <c r="H4241" s="91">
        <f t="shared" si="333"/>
        <v>0</v>
      </c>
      <c r="I4241" s="91" t="str">
        <f t="shared" si="334"/>
        <v/>
      </c>
      <c r="J4241" s="91" t="str">
        <f t="shared" si="335"/>
        <v/>
      </c>
      <c r="K4241" s="92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2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58"/>
      <c r="U4241" s="217" t="str">
        <f t="shared" si="336"/>
        <v/>
      </c>
      <c r="V4241" s="215" t="s">
        <v>47</v>
      </c>
      <c r="W4241" s="102" t="s">
        <v>136</v>
      </c>
      <c r="X4241" s="102" t="s">
        <v>137</v>
      </c>
      <c r="Y4241" s="103" t="s">
        <v>138</v>
      </c>
      <c r="Z4241" s="103" t="s">
        <v>139</v>
      </c>
      <c r="AA4241" s="103" t="s">
        <v>47</v>
      </c>
      <c r="AB4241" s="103" t="s">
        <v>140</v>
      </c>
      <c r="AC4241" s="104" t="s">
        <v>141</v>
      </c>
    </row>
    <row r="4242" spans="1:29" ht="25.5" customHeight="1" x14ac:dyDescent="0.35">
      <c r="A4242" s="188"/>
      <c r="B4242" s="190"/>
      <c r="C4242" s="99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0"/>
      <c r="E4242" s="78" t="str">
        <f>IF(C4242="","",IFERROR(VLOOKUP(C4242,parametros!$A$11:$E$15,5,0),""))</f>
        <v/>
      </c>
      <c r="F4242" s="79" t="str">
        <f t="shared" si="332"/>
        <v/>
      </c>
      <c r="G4242" s="101"/>
      <c r="H4242" s="91">
        <f t="shared" si="333"/>
        <v>0</v>
      </c>
      <c r="I4242" s="91" t="str">
        <f t="shared" si="334"/>
        <v/>
      </c>
      <c r="J4242" s="91" t="str">
        <f t="shared" si="335"/>
        <v/>
      </c>
      <c r="K4242" s="92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2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58"/>
      <c r="U4242" s="217" t="str">
        <f t="shared" si="336"/>
        <v/>
      </c>
      <c r="V4242" s="215" t="s">
        <v>47</v>
      </c>
      <c r="W4242" s="102" t="s">
        <v>136</v>
      </c>
      <c r="X4242" s="102" t="s">
        <v>137</v>
      </c>
      <c r="Y4242" s="103" t="s">
        <v>138</v>
      </c>
      <c r="Z4242" s="103" t="s">
        <v>139</v>
      </c>
      <c r="AA4242" s="103" t="s">
        <v>47</v>
      </c>
      <c r="AB4242" s="103" t="s">
        <v>140</v>
      </c>
      <c r="AC4242" s="104" t="s">
        <v>141</v>
      </c>
    </row>
    <row r="4243" spans="1:29" ht="25.5" customHeight="1" x14ac:dyDescent="0.35">
      <c r="A4243" s="188"/>
      <c r="B4243" s="190"/>
      <c r="C4243" s="99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0"/>
      <c r="E4243" s="78" t="str">
        <f>IF(C4243="","",IFERROR(VLOOKUP(C4243,parametros!$A$11:$E$15,5,0),""))</f>
        <v/>
      </c>
      <c r="F4243" s="79" t="str">
        <f t="shared" si="332"/>
        <v/>
      </c>
      <c r="G4243" s="101"/>
      <c r="H4243" s="91">
        <f t="shared" si="333"/>
        <v>0</v>
      </c>
      <c r="I4243" s="91" t="str">
        <f t="shared" si="334"/>
        <v/>
      </c>
      <c r="J4243" s="91" t="str">
        <f t="shared" si="335"/>
        <v/>
      </c>
      <c r="K4243" s="92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2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58"/>
      <c r="U4243" s="217" t="str">
        <f t="shared" si="336"/>
        <v/>
      </c>
      <c r="V4243" s="215" t="s">
        <v>47</v>
      </c>
      <c r="W4243" s="102" t="s">
        <v>136</v>
      </c>
      <c r="X4243" s="102" t="s">
        <v>137</v>
      </c>
      <c r="Y4243" s="103" t="s">
        <v>138</v>
      </c>
      <c r="Z4243" s="103" t="s">
        <v>139</v>
      </c>
      <c r="AA4243" s="103" t="s">
        <v>47</v>
      </c>
      <c r="AB4243" s="103" t="s">
        <v>140</v>
      </c>
      <c r="AC4243" s="104" t="s">
        <v>141</v>
      </c>
    </row>
    <row r="4244" spans="1:29" ht="25.5" customHeight="1" x14ac:dyDescent="0.35">
      <c r="A4244" s="188"/>
      <c r="B4244" s="190"/>
      <c r="C4244" s="99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0"/>
      <c r="E4244" s="78" t="str">
        <f>IF(C4244="","",IFERROR(VLOOKUP(C4244,parametros!$A$11:$E$15,5,0),""))</f>
        <v/>
      </c>
      <c r="F4244" s="79" t="str">
        <f t="shared" si="332"/>
        <v/>
      </c>
      <c r="G4244" s="101"/>
      <c r="H4244" s="91">
        <f t="shared" si="333"/>
        <v>0</v>
      </c>
      <c r="I4244" s="91" t="str">
        <f t="shared" si="334"/>
        <v/>
      </c>
      <c r="J4244" s="91" t="str">
        <f t="shared" si="335"/>
        <v/>
      </c>
      <c r="K4244" s="92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2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58"/>
      <c r="U4244" s="217" t="str">
        <f t="shared" si="336"/>
        <v/>
      </c>
      <c r="V4244" s="215" t="s">
        <v>47</v>
      </c>
      <c r="W4244" s="102" t="s">
        <v>136</v>
      </c>
      <c r="X4244" s="102" t="s">
        <v>137</v>
      </c>
      <c r="Y4244" s="103" t="s">
        <v>138</v>
      </c>
      <c r="Z4244" s="103" t="s">
        <v>139</v>
      </c>
      <c r="AA4244" s="103" t="s">
        <v>47</v>
      </c>
      <c r="AB4244" s="103" t="s">
        <v>140</v>
      </c>
      <c r="AC4244" s="104" t="s">
        <v>141</v>
      </c>
    </row>
    <row r="4245" spans="1:29" ht="25.5" customHeight="1" x14ac:dyDescent="0.35">
      <c r="A4245" s="188"/>
      <c r="B4245" s="190"/>
      <c r="C4245" s="99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0"/>
      <c r="E4245" s="78" t="str">
        <f>IF(C4245="","",IFERROR(VLOOKUP(C4245,parametros!$A$11:$E$15,5,0),""))</f>
        <v/>
      </c>
      <c r="F4245" s="79" t="str">
        <f t="shared" si="332"/>
        <v/>
      </c>
      <c r="G4245" s="101"/>
      <c r="H4245" s="91">
        <f t="shared" si="333"/>
        <v>0</v>
      </c>
      <c r="I4245" s="91" t="str">
        <f t="shared" si="334"/>
        <v/>
      </c>
      <c r="J4245" s="91" t="str">
        <f t="shared" si="335"/>
        <v/>
      </c>
      <c r="K4245" s="92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2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58"/>
      <c r="U4245" s="217" t="str">
        <f t="shared" si="336"/>
        <v/>
      </c>
      <c r="V4245" s="215" t="s">
        <v>47</v>
      </c>
      <c r="W4245" s="102" t="s">
        <v>136</v>
      </c>
      <c r="X4245" s="102" t="s">
        <v>137</v>
      </c>
      <c r="Y4245" s="103" t="s">
        <v>138</v>
      </c>
      <c r="Z4245" s="103" t="s">
        <v>139</v>
      </c>
      <c r="AA4245" s="103" t="s">
        <v>47</v>
      </c>
      <c r="AB4245" s="103" t="s">
        <v>140</v>
      </c>
      <c r="AC4245" s="104" t="s">
        <v>141</v>
      </c>
    </row>
    <row r="4246" spans="1:29" ht="25.5" customHeight="1" x14ac:dyDescent="0.35">
      <c r="A4246" s="188"/>
      <c r="B4246" s="190"/>
      <c r="C4246" s="99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0"/>
      <c r="E4246" s="78" t="str">
        <f>IF(C4246="","",IFERROR(VLOOKUP(C4246,parametros!$A$11:$E$15,5,0),""))</f>
        <v/>
      </c>
      <c r="F4246" s="79" t="str">
        <f t="shared" si="332"/>
        <v/>
      </c>
      <c r="G4246" s="101"/>
      <c r="H4246" s="91">
        <f t="shared" si="333"/>
        <v>0</v>
      </c>
      <c r="I4246" s="91" t="str">
        <f t="shared" si="334"/>
        <v/>
      </c>
      <c r="J4246" s="91" t="str">
        <f t="shared" si="335"/>
        <v/>
      </c>
      <c r="K4246" s="92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2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58"/>
      <c r="U4246" s="217" t="str">
        <f t="shared" si="336"/>
        <v/>
      </c>
      <c r="V4246" s="215" t="s">
        <v>47</v>
      </c>
      <c r="W4246" s="102" t="s">
        <v>136</v>
      </c>
      <c r="X4246" s="102" t="s">
        <v>137</v>
      </c>
      <c r="Y4246" s="103" t="s">
        <v>138</v>
      </c>
      <c r="Z4246" s="103" t="s">
        <v>139</v>
      </c>
      <c r="AA4246" s="103" t="s">
        <v>47</v>
      </c>
      <c r="AB4246" s="103" t="s">
        <v>140</v>
      </c>
      <c r="AC4246" s="104" t="s">
        <v>141</v>
      </c>
    </row>
    <row r="4247" spans="1:29" ht="25.5" customHeight="1" x14ac:dyDescent="0.35">
      <c r="A4247" s="188"/>
      <c r="B4247" s="190"/>
      <c r="C4247" s="99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0"/>
      <c r="E4247" s="78" t="str">
        <f>IF(C4247="","",IFERROR(VLOOKUP(C4247,parametros!$A$11:$E$15,5,0),""))</f>
        <v/>
      </c>
      <c r="F4247" s="79" t="str">
        <f t="shared" si="332"/>
        <v/>
      </c>
      <c r="G4247" s="101"/>
      <c r="H4247" s="91">
        <f t="shared" si="333"/>
        <v>0</v>
      </c>
      <c r="I4247" s="91" t="str">
        <f t="shared" si="334"/>
        <v/>
      </c>
      <c r="J4247" s="91" t="str">
        <f t="shared" si="335"/>
        <v/>
      </c>
      <c r="K4247" s="92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2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58"/>
      <c r="U4247" s="217" t="str">
        <f t="shared" si="336"/>
        <v/>
      </c>
      <c r="V4247" s="215" t="s">
        <v>47</v>
      </c>
      <c r="W4247" s="102" t="s">
        <v>136</v>
      </c>
      <c r="X4247" s="102" t="s">
        <v>137</v>
      </c>
      <c r="Y4247" s="103" t="s">
        <v>138</v>
      </c>
      <c r="Z4247" s="103" t="s">
        <v>139</v>
      </c>
      <c r="AA4247" s="103" t="s">
        <v>47</v>
      </c>
      <c r="AB4247" s="103" t="s">
        <v>140</v>
      </c>
      <c r="AC4247" s="104" t="s">
        <v>141</v>
      </c>
    </row>
    <row r="4248" spans="1:29" ht="25.5" customHeight="1" x14ac:dyDescent="0.35">
      <c r="A4248" s="188"/>
      <c r="B4248" s="190"/>
      <c r="C4248" s="99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0"/>
      <c r="E4248" s="78" t="str">
        <f>IF(C4248="","",IFERROR(VLOOKUP(C4248,parametros!$A$11:$E$15,5,0),""))</f>
        <v/>
      </c>
      <c r="F4248" s="79" t="str">
        <f t="shared" si="332"/>
        <v/>
      </c>
      <c r="G4248" s="101"/>
      <c r="H4248" s="91">
        <f t="shared" si="333"/>
        <v>0</v>
      </c>
      <c r="I4248" s="91" t="str">
        <f t="shared" si="334"/>
        <v/>
      </c>
      <c r="J4248" s="91" t="str">
        <f t="shared" si="335"/>
        <v/>
      </c>
      <c r="K4248" s="92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2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58"/>
      <c r="U4248" s="217" t="str">
        <f t="shared" si="336"/>
        <v/>
      </c>
      <c r="V4248" s="215" t="s">
        <v>47</v>
      </c>
      <c r="W4248" s="102" t="s">
        <v>136</v>
      </c>
      <c r="X4248" s="102" t="s">
        <v>137</v>
      </c>
      <c r="Y4248" s="103" t="s">
        <v>138</v>
      </c>
      <c r="Z4248" s="103" t="s">
        <v>139</v>
      </c>
      <c r="AA4248" s="103" t="s">
        <v>47</v>
      </c>
      <c r="AB4248" s="103" t="s">
        <v>140</v>
      </c>
      <c r="AC4248" s="104" t="s">
        <v>141</v>
      </c>
    </row>
    <row r="4249" spans="1:29" ht="25.5" customHeight="1" x14ac:dyDescent="0.35">
      <c r="A4249" s="188"/>
      <c r="B4249" s="190"/>
      <c r="C4249" s="99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0"/>
      <c r="E4249" s="78" t="str">
        <f>IF(C4249="","",IFERROR(VLOOKUP(C4249,parametros!$A$11:$E$15,5,0),""))</f>
        <v/>
      </c>
      <c r="F4249" s="79" t="str">
        <f t="shared" si="332"/>
        <v/>
      </c>
      <c r="G4249" s="101"/>
      <c r="H4249" s="91">
        <f t="shared" si="333"/>
        <v>0</v>
      </c>
      <c r="I4249" s="91" t="str">
        <f t="shared" si="334"/>
        <v/>
      </c>
      <c r="J4249" s="91" t="str">
        <f t="shared" si="335"/>
        <v/>
      </c>
      <c r="K4249" s="92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2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58"/>
      <c r="U4249" s="217" t="str">
        <f t="shared" si="336"/>
        <v/>
      </c>
      <c r="V4249" s="215" t="s">
        <v>47</v>
      </c>
      <c r="W4249" s="102" t="s">
        <v>136</v>
      </c>
      <c r="X4249" s="102" t="s">
        <v>137</v>
      </c>
      <c r="Y4249" s="103" t="s">
        <v>138</v>
      </c>
      <c r="Z4249" s="103" t="s">
        <v>139</v>
      </c>
      <c r="AA4249" s="103" t="s">
        <v>47</v>
      </c>
      <c r="AB4249" s="103" t="s">
        <v>140</v>
      </c>
      <c r="AC4249" s="104" t="s">
        <v>141</v>
      </c>
    </row>
    <row r="4250" spans="1:29" ht="25.5" customHeight="1" x14ac:dyDescent="0.35">
      <c r="A4250" s="188"/>
      <c r="B4250" s="190"/>
      <c r="C4250" s="99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0"/>
      <c r="E4250" s="78" t="str">
        <f>IF(C4250="","",IFERROR(VLOOKUP(C4250,parametros!$A$11:$E$15,5,0),""))</f>
        <v/>
      </c>
      <c r="F4250" s="79" t="str">
        <f t="shared" si="332"/>
        <v/>
      </c>
      <c r="G4250" s="101"/>
      <c r="H4250" s="91">
        <f t="shared" si="333"/>
        <v>0</v>
      </c>
      <c r="I4250" s="91" t="str">
        <f t="shared" si="334"/>
        <v/>
      </c>
      <c r="J4250" s="91" t="str">
        <f t="shared" si="335"/>
        <v/>
      </c>
      <c r="K4250" s="92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2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58"/>
      <c r="U4250" s="217" t="str">
        <f t="shared" si="336"/>
        <v/>
      </c>
      <c r="V4250" s="215" t="s">
        <v>47</v>
      </c>
      <c r="W4250" s="102" t="s">
        <v>136</v>
      </c>
      <c r="X4250" s="102" t="s">
        <v>137</v>
      </c>
      <c r="Y4250" s="103" t="s">
        <v>138</v>
      </c>
      <c r="Z4250" s="103" t="s">
        <v>139</v>
      </c>
      <c r="AA4250" s="103" t="s">
        <v>47</v>
      </c>
      <c r="AB4250" s="103" t="s">
        <v>140</v>
      </c>
      <c r="AC4250" s="104" t="s">
        <v>141</v>
      </c>
    </row>
    <row r="4251" spans="1:29" ht="25.5" customHeight="1" x14ac:dyDescent="0.35">
      <c r="A4251" s="188"/>
      <c r="B4251" s="190"/>
      <c r="C4251" s="99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0"/>
      <c r="E4251" s="78" t="str">
        <f>IF(C4251="","",IFERROR(VLOOKUP(C4251,parametros!$A$11:$E$15,5,0),""))</f>
        <v/>
      </c>
      <c r="F4251" s="79" t="str">
        <f t="shared" si="332"/>
        <v/>
      </c>
      <c r="G4251" s="101"/>
      <c r="H4251" s="91">
        <f t="shared" si="333"/>
        <v>0</v>
      </c>
      <c r="I4251" s="91" t="str">
        <f t="shared" si="334"/>
        <v/>
      </c>
      <c r="J4251" s="91" t="str">
        <f t="shared" si="335"/>
        <v/>
      </c>
      <c r="K4251" s="92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2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58"/>
      <c r="U4251" s="217" t="str">
        <f t="shared" si="336"/>
        <v/>
      </c>
      <c r="V4251" s="215" t="s">
        <v>47</v>
      </c>
      <c r="W4251" s="102" t="s">
        <v>136</v>
      </c>
      <c r="X4251" s="102" t="s">
        <v>137</v>
      </c>
      <c r="Y4251" s="103" t="s">
        <v>138</v>
      </c>
      <c r="Z4251" s="103" t="s">
        <v>139</v>
      </c>
      <c r="AA4251" s="103" t="s">
        <v>47</v>
      </c>
      <c r="AB4251" s="103" t="s">
        <v>140</v>
      </c>
      <c r="AC4251" s="104" t="s">
        <v>141</v>
      </c>
    </row>
    <row r="4252" spans="1:29" ht="25.5" customHeight="1" x14ac:dyDescent="0.35">
      <c r="A4252" s="188"/>
      <c r="B4252" s="190"/>
      <c r="C4252" s="99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0"/>
      <c r="E4252" s="78" t="str">
        <f>IF(C4252="","",IFERROR(VLOOKUP(C4252,parametros!$A$11:$E$15,5,0),""))</f>
        <v/>
      </c>
      <c r="F4252" s="79" t="str">
        <f t="shared" si="332"/>
        <v/>
      </c>
      <c r="G4252" s="101"/>
      <c r="H4252" s="91">
        <f t="shared" si="333"/>
        <v>0</v>
      </c>
      <c r="I4252" s="91" t="str">
        <f t="shared" si="334"/>
        <v/>
      </c>
      <c r="J4252" s="91" t="str">
        <f t="shared" si="335"/>
        <v/>
      </c>
      <c r="K4252" s="92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2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58"/>
      <c r="U4252" s="217" t="str">
        <f t="shared" si="336"/>
        <v/>
      </c>
      <c r="V4252" s="215" t="s">
        <v>47</v>
      </c>
      <c r="W4252" s="102" t="s">
        <v>136</v>
      </c>
      <c r="X4252" s="102" t="s">
        <v>137</v>
      </c>
      <c r="Y4252" s="103" t="s">
        <v>138</v>
      </c>
      <c r="Z4252" s="103" t="s">
        <v>139</v>
      </c>
      <c r="AA4252" s="103" t="s">
        <v>47</v>
      </c>
      <c r="AB4252" s="103" t="s">
        <v>140</v>
      </c>
      <c r="AC4252" s="104" t="s">
        <v>141</v>
      </c>
    </row>
    <row r="4253" spans="1:29" ht="25.5" customHeight="1" x14ac:dyDescent="0.35">
      <c r="A4253" s="188"/>
      <c r="B4253" s="190"/>
      <c r="C4253" s="99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0"/>
      <c r="E4253" s="78" t="str">
        <f>IF(C4253="","",IFERROR(VLOOKUP(C4253,parametros!$A$11:$E$15,5,0),""))</f>
        <v/>
      </c>
      <c r="F4253" s="79" t="str">
        <f t="shared" si="332"/>
        <v/>
      </c>
      <c r="G4253" s="101"/>
      <c r="H4253" s="91">
        <f t="shared" si="333"/>
        <v>0</v>
      </c>
      <c r="I4253" s="91" t="str">
        <f t="shared" si="334"/>
        <v/>
      </c>
      <c r="J4253" s="91" t="str">
        <f t="shared" si="335"/>
        <v/>
      </c>
      <c r="K4253" s="92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2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58"/>
      <c r="U4253" s="217" t="str">
        <f t="shared" si="336"/>
        <v/>
      </c>
      <c r="V4253" s="215" t="s">
        <v>47</v>
      </c>
      <c r="W4253" s="102" t="s">
        <v>136</v>
      </c>
      <c r="X4253" s="102" t="s">
        <v>137</v>
      </c>
      <c r="Y4253" s="103" t="s">
        <v>138</v>
      </c>
      <c r="Z4253" s="103" t="s">
        <v>139</v>
      </c>
      <c r="AA4253" s="103" t="s">
        <v>47</v>
      </c>
      <c r="AB4253" s="103" t="s">
        <v>140</v>
      </c>
      <c r="AC4253" s="104" t="s">
        <v>141</v>
      </c>
    </row>
    <row r="4254" spans="1:29" ht="25.5" customHeight="1" x14ac:dyDescent="0.35">
      <c r="A4254" s="188"/>
      <c r="B4254" s="190"/>
      <c r="C4254" s="99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0"/>
      <c r="E4254" s="78" t="str">
        <f>IF(C4254="","",IFERROR(VLOOKUP(C4254,parametros!$A$11:$E$15,5,0),""))</f>
        <v/>
      </c>
      <c r="F4254" s="79" t="str">
        <f t="shared" si="332"/>
        <v/>
      </c>
      <c r="G4254" s="101"/>
      <c r="H4254" s="91">
        <f t="shared" si="333"/>
        <v>0</v>
      </c>
      <c r="I4254" s="91" t="str">
        <f t="shared" si="334"/>
        <v/>
      </c>
      <c r="J4254" s="91" t="str">
        <f t="shared" si="335"/>
        <v/>
      </c>
      <c r="K4254" s="92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2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58"/>
      <c r="U4254" s="217" t="str">
        <f t="shared" si="336"/>
        <v/>
      </c>
      <c r="V4254" s="215" t="s">
        <v>47</v>
      </c>
      <c r="W4254" s="102" t="s">
        <v>136</v>
      </c>
      <c r="X4254" s="102" t="s">
        <v>137</v>
      </c>
      <c r="Y4254" s="103" t="s">
        <v>138</v>
      </c>
      <c r="Z4254" s="103" t="s">
        <v>139</v>
      </c>
      <c r="AA4254" s="103" t="s">
        <v>47</v>
      </c>
      <c r="AB4254" s="103" t="s">
        <v>140</v>
      </c>
      <c r="AC4254" s="104" t="s">
        <v>141</v>
      </c>
    </row>
    <row r="4255" spans="1:29" ht="25.5" customHeight="1" x14ac:dyDescent="0.35">
      <c r="A4255" s="188"/>
      <c r="B4255" s="190"/>
      <c r="C4255" s="99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0"/>
      <c r="E4255" s="78" t="str">
        <f>IF(C4255="","",IFERROR(VLOOKUP(C4255,parametros!$A$11:$E$15,5,0),""))</f>
        <v/>
      </c>
      <c r="F4255" s="79" t="str">
        <f t="shared" si="332"/>
        <v/>
      </c>
      <c r="G4255" s="101"/>
      <c r="H4255" s="91">
        <f t="shared" si="333"/>
        <v>0</v>
      </c>
      <c r="I4255" s="91" t="str">
        <f t="shared" si="334"/>
        <v/>
      </c>
      <c r="J4255" s="91" t="str">
        <f t="shared" si="335"/>
        <v/>
      </c>
      <c r="K4255" s="92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2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58"/>
      <c r="U4255" s="217" t="str">
        <f t="shared" si="336"/>
        <v/>
      </c>
      <c r="V4255" s="215" t="s">
        <v>47</v>
      </c>
      <c r="W4255" s="102" t="s">
        <v>136</v>
      </c>
      <c r="X4255" s="102" t="s">
        <v>137</v>
      </c>
      <c r="Y4255" s="103" t="s">
        <v>138</v>
      </c>
      <c r="Z4255" s="103" t="s">
        <v>139</v>
      </c>
      <c r="AA4255" s="103" t="s">
        <v>47</v>
      </c>
      <c r="AB4255" s="103" t="s">
        <v>140</v>
      </c>
      <c r="AC4255" s="104" t="s">
        <v>141</v>
      </c>
    </row>
    <row r="4256" spans="1:29" ht="25.5" customHeight="1" x14ac:dyDescent="0.35">
      <c r="A4256" s="188"/>
      <c r="B4256" s="190"/>
      <c r="C4256" s="99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0"/>
      <c r="E4256" s="78" t="str">
        <f>IF(C4256="","",IFERROR(VLOOKUP(C4256,parametros!$A$11:$E$15,5,0),""))</f>
        <v/>
      </c>
      <c r="F4256" s="79" t="str">
        <f t="shared" si="332"/>
        <v/>
      </c>
      <c r="G4256" s="101"/>
      <c r="H4256" s="91">
        <f t="shared" si="333"/>
        <v>0</v>
      </c>
      <c r="I4256" s="91" t="str">
        <f t="shared" si="334"/>
        <v/>
      </c>
      <c r="J4256" s="91" t="str">
        <f t="shared" si="335"/>
        <v/>
      </c>
      <c r="K4256" s="92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2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58"/>
      <c r="U4256" s="217" t="str">
        <f t="shared" si="336"/>
        <v/>
      </c>
      <c r="V4256" s="215" t="s">
        <v>47</v>
      </c>
      <c r="W4256" s="102" t="s">
        <v>136</v>
      </c>
      <c r="X4256" s="102" t="s">
        <v>137</v>
      </c>
      <c r="Y4256" s="103" t="s">
        <v>138</v>
      </c>
      <c r="Z4256" s="103" t="s">
        <v>139</v>
      </c>
      <c r="AA4256" s="103" t="s">
        <v>47</v>
      </c>
      <c r="AB4256" s="103" t="s">
        <v>140</v>
      </c>
      <c r="AC4256" s="104" t="s">
        <v>141</v>
      </c>
    </row>
    <row r="4257" spans="1:29" ht="25.5" customHeight="1" x14ac:dyDescent="0.35">
      <c r="A4257" s="188"/>
      <c r="B4257" s="190"/>
      <c r="C4257" s="99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0"/>
      <c r="E4257" s="78" t="str">
        <f>IF(C4257="","",IFERROR(VLOOKUP(C4257,parametros!$A$11:$E$15,5,0),""))</f>
        <v/>
      </c>
      <c r="F4257" s="79" t="str">
        <f t="shared" si="332"/>
        <v/>
      </c>
      <c r="G4257" s="101"/>
      <c r="H4257" s="91">
        <f t="shared" si="333"/>
        <v>0</v>
      </c>
      <c r="I4257" s="91" t="str">
        <f t="shared" si="334"/>
        <v/>
      </c>
      <c r="J4257" s="91" t="str">
        <f t="shared" si="335"/>
        <v/>
      </c>
      <c r="K4257" s="92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2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58"/>
      <c r="U4257" s="217" t="str">
        <f t="shared" si="336"/>
        <v/>
      </c>
      <c r="V4257" s="215" t="s">
        <v>47</v>
      </c>
      <c r="W4257" s="102" t="s">
        <v>136</v>
      </c>
      <c r="X4257" s="102" t="s">
        <v>137</v>
      </c>
      <c r="Y4257" s="103" t="s">
        <v>138</v>
      </c>
      <c r="Z4257" s="103" t="s">
        <v>139</v>
      </c>
      <c r="AA4257" s="103" t="s">
        <v>47</v>
      </c>
      <c r="AB4257" s="103" t="s">
        <v>140</v>
      </c>
      <c r="AC4257" s="104" t="s">
        <v>141</v>
      </c>
    </row>
    <row r="4258" spans="1:29" ht="25.5" customHeight="1" x14ac:dyDescent="0.35">
      <c r="A4258" s="188"/>
      <c r="B4258" s="190"/>
      <c r="C4258" s="99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0"/>
      <c r="E4258" s="78" t="str">
        <f>IF(C4258="","",IFERROR(VLOOKUP(C4258,parametros!$A$11:$E$15,5,0),""))</f>
        <v/>
      </c>
      <c r="F4258" s="79" t="str">
        <f t="shared" si="332"/>
        <v/>
      </c>
      <c r="G4258" s="101"/>
      <c r="H4258" s="91">
        <f t="shared" si="333"/>
        <v>0</v>
      </c>
      <c r="I4258" s="91" t="str">
        <f t="shared" si="334"/>
        <v/>
      </c>
      <c r="J4258" s="91" t="str">
        <f t="shared" si="335"/>
        <v/>
      </c>
      <c r="K4258" s="92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2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58"/>
      <c r="U4258" s="217" t="str">
        <f t="shared" si="336"/>
        <v/>
      </c>
      <c r="V4258" s="215" t="s">
        <v>47</v>
      </c>
      <c r="W4258" s="102" t="s">
        <v>136</v>
      </c>
      <c r="X4258" s="102" t="s">
        <v>137</v>
      </c>
      <c r="Y4258" s="103" t="s">
        <v>138</v>
      </c>
      <c r="Z4258" s="103" t="s">
        <v>139</v>
      </c>
      <c r="AA4258" s="103" t="s">
        <v>47</v>
      </c>
      <c r="AB4258" s="103" t="s">
        <v>140</v>
      </c>
      <c r="AC4258" s="104" t="s">
        <v>141</v>
      </c>
    </row>
    <row r="4259" spans="1:29" ht="25.5" customHeight="1" x14ac:dyDescent="0.35">
      <c r="A4259" s="188"/>
      <c r="B4259" s="190"/>
      <c r="C4259" s="99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0"/>
      <c r="E4259" s="78" t="str">
        <f>IF(C4259="","",IFERROR(VLOOKUP(C4259,parametros!$A$11:$E$15,5,0),""))</f>
        <v/>
      </c>
      <c r="F4259" s="79" t="str">
        <f t="shared" si="332"/>
        <v/>
      </c>
      <c r="G4259" s="101"/>
      <c r="H4259" s="91">
        <f t="shared" si="333"/>
        <v>0</v>
      </c>
      <c r="I4259" s="91" t="str">
        <f t="shared" si="334"/>
        <v/>
      </c>
      <c r="J4259" s="91" t="str">
        <f t="shared" si="335"/>
        <v/>
      </c>
      <c r="K4259" s="92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2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58"/>
      <c r="U4259" s="217" t="str">
        <f t="shared" si="336"/>
        <v/>
      </c>
      <c r="V4259" s="215" t="s">
        <v>47</v>
      </c>
      <c r="W4259" s="102" t="s">
        <v>136</v>
      </c>
      <c r="X4259" s="102" t="s">
        <v>137</v>
      </c>
      <c r="Y4259" s="103" t="s">
        <v>138</v>
      </c>
      <c r="Z4259" s="103" t="s">
        <v>139</v>
      </c>
      <c r="AA4259" s="103" t="s">
        <v>47</v>
      </c>
      <c r="AB4259" s="103" t="s">
        <v>140</v>
      </c>
      <c r="AC4259" s="104" t="s">
        <v>141</v>
      </c>
    </row>
    <row r="4260" spans="1:29" ht="25.5" customHeight="1" x14ac:dyDescent="0.35">
      <c r="A4260" s="188"/>
      <c r="B4260" s="190"/>
      <c r="C4260" s="99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0"/>
      <c r="E4260" s="78" t="str">
        <f>IF(C4260="","",IFERROR(VLOOKUP(C4260,parametros!$A$11:$E$15,5,0),""))</f>
        <v/>
      </c>
      <c r="F4260" s="79" t="str">
        <f t="shared" si="332"/>
        <v/>
      </c>
      <c r="G4260" s="101"/>
      <c r="H4260" s="91">
        <f t="shared" si="333"/>
        <v>0</v>
      </c>
      <c r="I4260" s="91" t="str">
        <f t="shared" si="334"/>
        <v/>
      </c>
      <c r="J4260" s="91" t="str">
        <f t="shared" si="335"/>
        <v/>
      </c>
      <c r="K4260" s="92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2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58"/>
      <c r="U4260" s="217" t="str">
        <f t="shared" si="336"/>
        <v/>
      </c>
      <c r="V4260" s="215" t="s">
        <v>47</v>
      </c>
      <c r="W4260" s="102" t="s">
        <v>136</v>
      </c>
      <c r="X4260" s="102" t="s">
        <v>137</v>
      </c>
      <c r="Y4260" s="103" t="s">
        <v>138</v>
      </c>
      <c r="Z4260" s="103" t="s">
        <v>139</v>
      </c>
      <c r="AA4260" s="103" t="s">
        <v>47</v>
      </c>
      <c r="AB4260" s="103" t="s">
        <v>140</v>
      </c>
      <c r="AC4260" s="104" t="s">
        <v>141</v>
      </c>
    </row>
    <row r="4261" spans="1:29" ht="25.5" customHeight="1" x14ac:dyDescent="0.35">
      <c r="A4261" s="188"/>
      <c r="B4261" s="190"/>
      <c r="C4261" s="99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0"/>
      <c r="E4261" s="78" t="str">
        <f>IF(C4261="","",IFERROR(VLOOKUP(C4261,parametros!$A$11:$E$15,5,0),""))</f>
        <v/>
      </c>
      <c r="F4261" s="79" t="str">
        <f t="shared" si="332"/>
        <v/>
      </c>
      <c r="G4261" s="101"/>
      <c r="H4261" s="91">
        <f t="shared" si="333"/>
        <v>0</v>
      </c>
      <c r="I4261" s="91" t="str">
        <f t="shared" si="334"/>
        <v/>
      </c>
      <c r="J4261" s="91" t="str">
        <f t="shared" si="335"/>
        <v/>
      </c>
      <c r="K4261" s="92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2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58"/>
      <c r="U4261" s="217" t="str">
        <f t="shared" si="336"/>
        <v/>
      </c>
      <c r="V4261" s="215" t="s">
        <v>47</v>
      </c>
      <c r="W4261" s="102" t="s">
        <v>136</v>
      </c>
      <c r="X4261" s="102" t="s">
        <v>137</v>
      </c>
      <c r="Y4261" s="103" t="s">
        <v>138</v>
      </c>
      <c r="Z4261" s="103" t="s">
        <v>139</v>
      </c>
      <c r="AA4261" s="103" t="s">
        <v>47</v>
      </c>
      <c r="AB4261" s="103" t="s">
        <v>140</v>
      </c>
      <c r="AC4261" s="104" t="s">
        <v>141</v>
      </c>
    </row>
    <row r="4262" spans="1:29" ht="25.5" customHeight="1" x14ac:dyDescent="0.35">
      <c r="A4262" s="188"/>
      <c r="B4262" s="190"/>
      <c r="C4262" s="99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0"/>
      <c r="E4262" s="78" t="str">
        <f>IF(C4262="","",IFERROR(VLOOKUP(C4262,parametros!$A$11:$E$15,5,0),""))</f>
        <v/>
      </c>
      <c r="F4262" s="79" t="str">
        <f t="shared" si="332"/>
        <v/>
      </c>
      <c r="G4262" s="101"/>
      <c r="H4262" s="91">
        <f t="shared" si="333"/>
        <v>0</v>
      </c>
      <c r="I4262" s="91" t="str">
        <f t="shared" si="334"/>
        <v/>
      </c>
      <c r="J4262" s="91" t="str">
        <f t="shared" si="335"/>
        <v/>
      </c>
      <c r="K4262" s="92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2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58"/>
      <c r="U4262" s="217" t="str">
        <f t="shared" si="336"/>
        <v/>
      </c>
      <c r="V4262" s="215" t="s">
        <v>47</v>
      </c>
      <c r="W4262" s="102" t="s">
        <v>136</v>
      </c>
      <c r="X4262" s="102" t="s">
        <v>137</v>
      </c>
      <c r="Y4262" s="103" t="s">
        <v>138</v>
      </c>
      <c r="Z4262" s="103" t="s">
        <v>139</v>
      </c>
      <c r="AA4262" s="103" t="s">
        <v>47</v>
      </c>
      <c r="AB4262" s="103" t="s">
        <v>140</v>
      </c>
      <c r="AC4262" s="104" t="s">
        <v>141</v>
      </c>
    </row>
    <row r="4263" spans="1:29" ht="25.5" customHeight="1" x14ac:dyDescent="0.35">
      <c r="A4263" s="188"/>
      <c r="B4263" s="190"/>
      <c r="C4263" s="99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0"/>
      <c r="E4263" s="78" t="str">
        <f>IF(C4263="","",IFERROR(VLOOKUP(C4263,parametros!$A$11:$E$15,5,0),""))</f>
        <v/>
      </c>
      <c r="F4263" s="79" t="str">
        <f t="shared" si="332"/>
        <v/>
      </c>
      <c r="G4263" s="101"/>
      <c r="H4263" s="91">
        <f t="shared" si="333"/>
        <v>0</v>
      </c>
      <c r="I4263" s="91" t="str">
        <f t="shared" si="334"/>
        <v/>
      </c>
      <c r="J4263" s="91" t="str">
        <f t="shared" si="335"/>
        <v/>
      </c>
      <c r="K4263" s="92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2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58"/>
      <c r="U4263" s="217" t="str">
        <f t="shared" si="336"/>
        <v/>
      </c>
      <c r="V4263" s="215" t="s">
        <v>47</v>
      </c>
      <c r="W4263" s="102" t="s">
        <v>136</v>
      </c>
      <c r="X4263" s="102" t="s">
        <v>137</v>
      </c>
      <c r="Y4263" s="103" t="s">
        <v>138</v>
      </c>
      <c r="Z4263" s="103" t="s">
        <v>139</v>
      </c>
      <c r="AA4263" s="103" t="s">
        <v>47</v>
      </c>
      <c r="AB4263" s="103" t="s">
        <v>140</v>
      </c>
      <c r="AC4263" s="104" t="s">
        <v>141</v>
      </c>
    </row>
    <row r="4264" spans="1:29" ht="25.5" customHeight="1" x14ac:dyDescent="0.35">
      <c r="A4264" s="188"/>
      <c r="B4264" s="190"/>
      <c r="C4264" s="99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0"/>
      <c r="E4264" s="78" t="str">
        <f>IF(C4264="","",IFERROR(VLOOKUP(C4264,parametros!$A$11:$E$15,5,0),""))</f>
        <v/>
      </c>
      <c r="F4264" s="79" t="str">
        <f t="shared" si="332"/>
        <v/>
      </c>
      <c r="G4264" s="101"/>
      <c r="H4264" s="91">
        <f t="shared" si="333"/>
        <v>0</v>
      </c>
      <c r="I4264" s="91" t="str">
        <f t="shared" si="334"/>
        <v/>
      </c>
      <c r="J4264" s="91" t="str">
        <f t="shared" si="335"/>
        <v/>
      </c>
      <c r="K4264" s="92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2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58"/>
      <c r="U4264" s="217" t="str">
        <f t="shared" si="336"/>
        <v/>
      </c>
      <c r="V4264" s="215" t="s">
        <v>47</v>
      </c>
      <c r="W4264" s="102" t="s">
        <v>136</v>
      </c>
      <c r="X4264" s="102" t="s">
        <v>137</v>
      </c>
      <c r="Y4264" s="103" t="s">
        <v>138</v>
      </c>
      <c r="Z4264" s="103" t="s">
        <v>139</v>
      </c>
      <c r="AA4264" s="103" t="s">
        <v>47</v>
      </c>
      <c r="AB4264" s="103" t="s">
        <v>140</v>
      </c>
      <c r="AC4264" s="104" t="s">
        <v>141</v>
      </c>
    </row>
    <row r="4265" spans="1:29" ht="25.5" customHeight="1" x14ac:dyDescent="0.35">
      <c r="A4265" s="188"/>
      <c r="B4265" s="190"/>
      <c r="C4265" s="99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0"/>
      <c r="E4265" s="78" t="str">
        <f>IF(C4265="","",IFERROR(VLOOKUP(C4265,parametros!$A$11:$E$15,5,0),""))</f>
        <v/>
      </c>
      <c r="F4265" s="79" t="str">
        <f t="shared" si="332"/>
        <v/>
      </c>
      <c r="G4265" s="101"/>
      <c r="H4265" s="91">
        <f t="shared" si="333"/>
        <v>0</v>
      </c>
      <c r="I4265" s="91" t="str">
        <f t="shared" si="334"/>
        <v/>
      </c>
      <c r="J4265" s="91" t="str">
        <f t="shared" si="335"/>
        <v/>
      </c>
      <c r="K4265" s="92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2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58"/>
      <c r="U4265" s="217" t="str">
        <f t="shared" si="336"/>
        <v/>
      </c>
      <c r="V4265" s="215" t="s">
        <v>47</v>
      </c>
      <c r="W4265" s="102" t="s">
        <v>136</v>
      </c>
      <c r="X4265" s="102" t="s">
        <v>137</v>
      </c>
      <c r="Y4265" s="103" t="s">
        <v>138</v>
      </c>
      <c r="Z4265" s="103" t="s">
        <v>139</v>
      </c>
      <c r="AA4265" s="103" t="s">
        <v>47</v>
      </c>
      <c r="AB4265" s="103" t="s">
        <v>140</v>
      </c>
      <c r="AC4265" s="104" t="s">
        <v>141</v>
      </c>
    </row>
    <row r="4266" spans="1:29" ht="25.5" customHeight="1" x14ac:dyDescent="0.35">
      <c r="A4266" s="188"/>
      <c r="B4266" s="190"/>
      <c r="C4266" s="99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0"/>
      <c r="E4266" s="78" t="str">
        <f>IF(C4266="","",IFERROR(VLOOKUP(C4266,parametros!$A$11:$E$15,5,0),""))</f>
        <v/>
      </c>
      <c r="F4266" s="79" t="str">
        <f t="shared" si="332"/>
        <v/>
      </c>
      <c r="G4266" s="101"/>
      <c r="H4266" s="91">
        <f t="shared" si="333"/>
        <v>0</v>
      </c>
      <c r="I4266" s="91" t="str">
        <f t="shared" si="334"/>
        <v/>
      </c>
      <c r="J4266" s="91" t="str">
        <f t="shared" si="335"/>
        <v/>
      </c>
      <c r="K4266" s="92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2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58"/>
      <c r="U4266" s="217" t="str">
        <f t="shared" si="336"/>
        <v/>
      </c>
      <c r="V4266" s="215" t="s">
        <v>47</v>
      </c>
      <c r="W4266" s="102" t="s">
        <v>136</v>
      </c>
      <c r="X4266" s="102" t="s">
        <v>137</v>
      </c>
      <c r="Y4266" s="103" t="s">
        <v>138</v>
      </c>
      <c r="Z4266" s="103" t="s">
        <v>139</v>
      </c>
      <c r="AA4266" s="103" t="s">
        <v>47</v>
      </c>
      <c r="AB4266" s="103" t="s">
        <v>140</v>
      </c>
      <c r="AC4266" s="104" t="s">
        <v>141</v>
      </c>
    </row>
    <row r="4267" spans="1:29" ht="25.5" customHeight="1" x14ac:dyDescent="0.35">
      <c r="A4267" s="188"/>
      <c r="B4267" s="190"/>
      <c r="C4267" s="99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0"/>
      <c r="E4267" s="78" t="str">
        <f>IF(C4267="","",IFERROR(VLOOKUP(C4267,parametros!$A$11:$E$15,5,0),""))</f>
        <v/>
      </c>
      <c r="F4267" s="79" t="str">
        <f t="shared" si="332"/>
        <v/>
      </c>
      <c r="G4267" s="101"/>
      <c r="H4267" s="91">
        <f t="shared" si="333"/>
        <v>0</v>
      </c>
      <c r="I4267" s="91" t="str">
        <f t="shared" si="334"/>
        <v/>
      </c>
      <c r="J4267" s="91" t="str">
        <f t="shared" si="335"/>
        <v/>
      </c>
      <c r="K4267" s="92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2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58"/>
      <c r="U4267" s="217" t="str">
        <f t="shared" si="336"/>
        <v/>
      </c>
      <c r="V4267" s="215" t="s">
        <v>47</v>
      </c>
      <c r="W4267" s="102" t="s">
        <v>136</v>
      </c>
      <c r="X4267" s="102" t="s">
        <v>137</v>
      </c>
      <c r="Y4267" s="103" t="s">
        <v>138</v>
      </c>
      <c r="Z4267" s="103" t="s">
        <v>139</v>
      </c>
      <c r="AA4267" s="103" t="s">
        <v>47</v>
      </c>
      <c r="AB4267" s="103" t="s">
        <v>140</v>
      </c>
      <c r="AC4267" s="104" t="s">
        <v>141</v>
      </c>
    </row>
    <row r="4268" spans="1:29" ht="25.5" customHeight="1" x14ac:dyDescent="0.35">
      <c r="A4268" s="188"/>
      <c r="B4268" s="190"/>
      <c r="C4268" s="99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0"/>
      <c r="E4268" s="78" t="str">
        <f>IF(C4268="","",IFERROR(VLOOKUP(C4268,parametros!$A$11:$E$15,5,0),""))</f>
        <v/>
      </c>
      <c r="F4268" s="79" t="str">
        <f t="shared" si="332"/>
        <v/>
      </c>
      <c r="G4268" s="101"/>
      <c r="H4268" s="91">
        <f t="shared" si="333"/>
        <v>0</v>
      </c>
      <c r="I4268" s="91" t="str">
        <f t="shared" si="334"/>
        <v/>
      </c>
      <c r="J4268" s="91" t="str">
        <f t="shared" si="335"/>
        <v/>
      </c>
      <c r="K4268" s="92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2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58"/>
      <c r="U4268" s="217" t="str">
        <f t="shared" si="336"/>
        <v/>
      </c>
      <c r="V4268" s="215" t="s">
        <v>47</v>
      </c>
      <c r="W4268" s="102" t="s">
        <v>136</v>
      </c>
      <c r="X4268" s="102" t="s">
        <v>137</v>
      </c>
      <c r="Y4268" s="103" t="s">
        <v>138</v>
      </c>
      <c r="Z4268" s="103" t="s">
        <v>139</v>
      </c>
      <c r="AA4268" s="103" t="s">
        <v>47</v>
      </c>
      <c r="AB4268" s="103" t="s">
        <v>140</v>
      </c>
      <c r="AC4268" s="104" t="s">
        <v>141</v>
      </c>
    </row>
    <row r="4269" spans="1:29" ht="25.5" customHeight="1" x14ac:dyDescent="0.35">
      <c r="A4269" s="188"/>
      <c r="B4269" s="190"/>
      <c r="C4269" s="99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0"/>
      <c r="E4269" s="78" t="str">
        <f>IF(C4269="","",IFERROR(VLOOKUP(C4269,parametros!$A$11:$E$15,5,0),""))</f>
        <v/>
      </c>
      <c r="F4269" s="79" t="str">
        <f t="shared" si="332"/>
        <v/>
      </c>
      <c r="G4269" s="101"/>
      <c r="H4269" s="91">
        <f t="shared" si="333"/>
        <v>0</v>
      </c>
      <c r="I4269" s="91" t="str">
        <f t="shared" si="334"/>
        <v/>
      </c>
      <c r="J4269" s="91" t="str">
        <f t="shared" si="335"/>
        <v/>
      </c>
      <c r="K4269" s="92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2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58"/>
      <c r="U4269" s="217" t="str">
        <f t="shared" si="336"/>
        <v/>
      </c>
      <c r="V4269" s="215" t="s">
        <v>47</v>
      </c>
      <c r="W4269" s="102" t="s">
        <v>136</v>
      </c>
      <c r="X4269" s="102" t="s">
        <v>137</v>
      </c>
      <c r="Y4269" s="103" t="s">
        <v>138</v>
      </c>
      <c r="Z4269" s="103" t="s">
        <v>139</v>
      </c>
      <c r="AA4269" s="103" t="s">
        <v>47</v>
      </c>
      <c r="AB4269" s="103" t="s">
        <v>140</v>
      </c>
      <c r="AC4269" s="104" t="s">
        <v>141</v>
      </c>
    </row>
    <row r="4270" spans="1:29" ht="25.5" customHeight="1" x14ac:dyDescent="0.35">
      <c r="A4270" s="188"/>
      <c r="B4270" s="190"/>
      <c r="C4270" s="99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0"/>
      <c r="E4270" s="78" t="str">
        <f>IF(C4270="","",IFERROR(VLOOKUP(C4270,parametros!$A$11:$E$15,5,0),""))</f>
        <v/>
      </c>
      <c r="F4270" s="79" t="str">
        <f t="shared" si="332"/>
        <v/>
      </c>
      <c r="G4270" s="101"/>
      <c r="H4270" s="91">
        <f t="shared" si="333"/>
        <v>0</v>
      </c>
      <c r="I4270" s="91" t="str">
        <f t="shared" si="334"/>
        <v/>
      </c>
      <c r="J4270" s="91" t="str">
        <f t="shared" si="335"/>
        <v/>
      </c>
      <c r="K4270" s="92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2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58"/>
      <c r="U4270" s="217" t="str">
        <f t="shared" si="336"/>
        <v/>
      </c>
      <c r="V4270" s="215" t="s">
        <v>47</v>
      </c>
      <c r="W4270" s="102" t="s">
        <v>136</v>
      </c>
      <c r="X4270" s="102" t="s">
        <v>137</v>
      </c>
      <c r="Y4270" s="103" t="s">
        <v>138</v>
      </c>
      <c r="Z4270" s="103" t="s">
        <v>139</v>
      </c>
      <c r="AA4270" s="103" t="s">
        <v>47</v>
      </c>
      <c r="AB4270" s="103" t="s">
        <v>140</v>
      </c>
      <c r="AC4270" s="104" t="s">
        <v>141</v>
      </c>
    </row>
    <row r="4271" spans="1:29" ht="25.5" customHeight="1" x14ac:dyDescent="0.35">
      <c r="A4271" s="188"/>
      <c r="B4271" s="190"/>
      <c r="C4271" s="99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0"/>
      <c r="E4271" s="78" t="str">
        <f>IF(C4271="","",IFERROR(VLOOKUP(C4271,parametros!$A$11:$E$15,5,0),""))</f>
        <v/>
      </c>
      <c r="F4271" s="79" t="str">
        <f t="shared" si="332"/>
        <v/>
      </c>
      <c r="G4271" s="101"/>
      <c r="H4271" s="91">
        <f t="shared" si="333"/>
        <v>0</v>
      </c>
      <c r="I4271" s="91" t="str">
        <f t="shared" si="334"/>
        <v/>
      </c>
      <c r="J4271" s="91" t="str">
        <f t="shared" si="335"/>
        <v/>
      </c>
      <c r="K4271" s="92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2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58"/>
      <c r="U4271" s="217" t="str">
        <f t="shared" si="336"/>
        <v/>
      </c>
      <c r="V4271" s="215" t="s">
        <v>47</v>
      </c>
      <c r="W4271" s="102" t="s">
        <v>136</v>
      </c>
      <c r="X4271" s="102" t="s">
        <v>137</v>
      </c>
      <c r="Y4271" s="103" t="s">
        <v>138</v>
      </c>
      <c r="Z4271" s="103" t="s">
        <v>139</v>
      </c>
      <c r="AA4271" s="103" t="s">
        <v>47</v>
      </c>
      <c r="AB4271" s="103" t="s">
        <v>140</v>
      </c>
      <c r="AC4271" s="104" t="s">
        <v>141</v>
      </c>
    </row>
    <row r="4272" spans="1:29" ht="25.5" customHeight="1" x14ac:dyDescent="0.35">
      <c r="A4272" s="188"/>
      <c r="B4272" s="190"/>
      <c r="C4272" s="99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0"/>
      <c r="E4272" s="78" t="str">
        <f>IF(C4272="","",IFERROR(VLOOKUP(C4272,parametros!$A$11:$E$15,5,0),""))</f>
        <v/>
      </c>
      <c r="F4272" s="79" t="str">
        <f t="shared" si="332"/>
        <v/>
      </c>
      <c r="G4272" s="101"/>
      <c r="H4272" s="91">
        <f t="shared" si="333"/>
        <v>0</v>
      </c>
      <c r="I4272" s="91" t="str">
        <f t="shared" si="334"/>
        <v/>
      </c>
      <c r="J4272" s="91" t="str">
        <f t="shared" si="335"/>
        <v/>
      </c>
      <c r="K4272" s="92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2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58"/>
      <c r="U4272" s="217" t="str">
        <f t="shared" si="336"/>
        <v/>
      </c>
      <c r="V4272" s="215" t="s">
        <v>47</v>
      </c>
      <c r="W4272" s="102" t="s">
        <v>136</v>
      </c>
      <c r="X4272" s="102" t="s">
        <v>137</v>
      </c>
      <c r="Y4272" s="103" t="s">
        <v>138</v>
      </c>
      <c r="Z4272" s="103" t="s">
        <v>139</v>
      </c>
      <c r="AA4272" s="103" t="s">
        <v>47</v>
      </c>
      <c r="AB4272" s="103" t="s">
        <v>140</v>
      </c>
      <c r="AC4272" s="104" t="s">
        <v>141</v>
      </c>
    </row>
    <row r="4273" spans="1:29" ht="25.5" customHeight="1" x14ac:dyDescent="0.35">
      <c r="A4273" s="188"/>
      <c r="B4273" s="190"/>
      <c r="C4273" s="99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0"/>
      <c r="E4273" s="78" t="str">
        <f>IF(C4273="","",IFERROR(VLOOKUP(C4273,parametros!$A$11:$E$15,5,0),""))</f>
        <v/>
      </c>
      <c r="F4273" s="79" t="str">
        <f t="shared" si="332"/>
        <v/>
      </c>
      <c r="G4273" s="101"/>
      <c r="H4273" s="91">
        <f t="shared" si="333"/>
        <v>0</v>
      </c>
      <c r="I4273" s="91" t="str">
        <f t="shared" si="334"/>
        <v/>
      </c>
      <c r="J4273" s="91" t="str">
        <f t="shared" si="335"/>
        <v/>
      </c>
      <c r="K4273" s="92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2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58"/>
      <c r="U4273" s="217" t="str">
        <f t="shared" si="336"/>
        <v/>
      </c>
      <c r="V4273" s="215" t="s">
        <v>47</v>
      </c>
      <c r="W4273" s="102" t="s">
        <v>136</v>
      </c>
      <c r="X4273" s="102" t="s">
        <v>137</v>
      </c>
      <c r="Y4273" s="103" t="s">
        <v>138</v>
      </c>
      <c r="Z4273" s="103" t="s">
        <v>139</v>
      </c>
      <c r="AA4273" s="103" t="s">
        <v>47</v>
      </c>
      <c r="AB4273" s="103" t="s">
        <v>140</v>
      </c>
      <c r="AC4273" s="104" t="s">
        <v>141</v>
      </c>
    </row>
    <row r="4274" spans="1:29" ht="25.5" customHeight="1" x14ac:dyDescent="0.35">
      <c r="A4274" s="188"/>
      <c r="B4274" s="190"/>
      <c r="C4274" s="99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0"/>
      <c r="E4274" s="78" t="str">
        <f>IF(C4274="","",IFERROR(VLOOKUP(C4274,parametros!$A$11:$E$15,5,0),""))</f>
        <v/>
      </c>
      <c r="F4274" s="79" t="str">
        <f t="shared" si="332"/>
        <v/>
      </c>
      <c r="G4274" s="101"/>
      <c r="H4274" s="91">
        <f t="shared" si="333"/>
        <v>0</v>
      </c>
      <c r="I4274" s="91" t="str">
        <f t="shared" si="334"/>
        <v/>
      </c>
      <c r="J4274" s="91" t="str">
        <f t="shared" si="335"/>
        <v/>
      </c>
      <c r="K4274" s="92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2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58"/>
      <c r="U4274" s="217" t="str">
        <f t="shared" si="336"/>
        <v/>
      </c>
      <c r="V4274" s="215" t="s">
        <v>47</v>
      </c>
      <c r="W4274" s="102" t="s">
        <v>136</v>
      </c>
      <c r="X4274" s="102" t="s">
        <v>137</v>
      </c>
      <c r="Y4274" s="103" t="s">
        <v>138</v>
      </c>
      <c r="Z4274" s="103" t="s">
        <v>139</v>
      </c>
      <c r="AA4274" s="103" t="s">
        <v>47</v>
      </c>
      <c r="AB4274" s="103" t="s">
        <v>140</v>
      </c>
      <c r="AC4274" s="104" t="s">
        <v>141</v>
      </c>
    </row>
    <row r="4275" spans="1:29" ht="25.5" customHeight="1" x14ac:dyDescent="0.35">
      <c r="A4275" s="188"/>
      <c r="B4275" s="190"/>
      <c r="C4275" s="99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0"/>
      <c r="E4275" s="78" t="str">
        <f>IF(C4275="","",IFERROR(VLOOKUP(C4275,parametros!$A$11:$E$15,5,0),""))</f>
        <v/>
      </c>
      <c r="F4275" s="79" t="str">
        <f t="shared" si="332"/>
        <v/>
      </c>
      <c r="G4275" s="101"/>
      <c r="H4275" s="91">
        <f t="shared" si="333"/>
        <v>0</v>
      </c>
      <c r="I4275" s="91" t="str">
        <f t="shared" si="334"/>
        <v/>
      </c>
      <c r="J4275" s="91" t="str">
        <f t="shared" si="335"/>
        <v/>
      </c>
      <c r="K4275" s="92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2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58"/>
      <c r="U4275" s="217" t="str">
        <f t="shared" si="336"/>
        <v/>
      </c>
      <c r="V4275" s="215" t="s">
        <v>47</v>
      </c>
      <c r="W4275" s="102" t="s">
        <v>136</v>
      </c>
      <c r="X4275" s="102" t="s">
        <v>137</v>
      </c>
      <c r="Y4275" s="103" t="s">
        <v>138</v>
      </c>
      <c r="Z4275" s="103" t="s">
        <v>139</v>
      </c>
      <c r="AA4275" s="103" t="s">
        <v>47</v>
      </c>
      <c r="AB4275" s="103" t="s">
        <v>140</v>
      </c>
      <c r="AC4275" s="104" t="s">
        <v>141</v>
      </c>
    </row>
    <row r="4276" spans="1:29" ht="25.5" customHeight="1" x14ac:dyDescent="0.35">
      <c r="A4276" s="188"/>
      <c r="B4276" s="190"/>
      <c r="C4276" s="99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0"/>
      <c r="E4276" s="78" t="str">
        <f>IF(C4276="","",IFERROR(VLOOKUP(C4276,parametros!$A$11:$E$15,5,0),""))</f>
        <v/>
      </c>
      <c r="F4276" s="79" t="str">
        <f t="shared" si="332"/>
        <v/>
      </c>
      <c r="G4276" s="101"/>
      <c r="H4276" s="91">
        <f t="shared" si="333"/>
        <v>0</v>
      </c>
      <c r="I4276" s="91" t="str">
        <f t="shared" si="334"/>
        <v/>
      </c>
      <c r="J4276" s="91" t="str">
        <f t="shared" si="335"/>
        <v/>
      </c>
      <c r="K4276" s="92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2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58"/>
      <c r="U4276" s="217" t="str">
        <f t="shared" si="336"/>
        <v/>
      </c>
      <c r="V4276" s="215" t="s">
        <v>47</v>
      </c>
      <c r="W4276" s="102" t="s">
        <v>136</v>
      </c>
      <c r="X4276" s="102" t="s">
        <v>137</v>
      </c>
      <c r="Y4276" s="103" t="s">
        <v>138</v>
      </c>
      <c r="Z4276" s="103" t="s">
        <v>139</v>
      </c>
      <c r="AA4276" s="103" t="s">
        <v>47</v>
      </c>
      <c r="AB4276" s="103" t="s">
        <v>140</v>
      </c>
      <c r="AC4276" s="104" t="s">
        <v>141</v>
      </c>
    </row>
    <row r="4277" spans="1:29" ht="25.5" customHeight="1" x14ac:dyDescent="0.35">
      <c r="A4277" s="188"/>
      <c r="B4277" s="190"/>
      <c r="C4277" s="99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0"/>
      <c r="E4277" s="78" t="str">
        <f>IF(C4277="","",IFERROR(VLOOKUP(C4277,parametros!$A$11:$E$15,5,0),""))</f>
        <v/>
      </c>
      <c r="F4277" s="79" t="str">
        <f t="shared" si="332"/>
        <v/>
      </c>
      <c r="G4277" s="101"/>
      <c r="H4277" s="91">
        <f t="shared" si="333"/>
        <v>0</v>
      </c>
      <c r="I4277" s="91" t="str">
        <f t="shared" si="334"/>
        <v/>
      </c>
      <c r="J4277" s="91" t="str">
        <f t="shared" si="335"/>
        <v/>
      </c>
      <c r="K4277" s="92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2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58"/>
      <c r="U4277" s="217" t="str">
        <f t="shared" si="336"/>
        <v/>
      </c>
      <c r="V4277" s="215" t="s">
        <v>47</v>
      </c>
      <c r="W4277" s="102" t="s">
        <v>136</v>
      </c>
      <c r="X4277" s="102" t="s">
        <v>137</v>
      </c>
      <c r="Y4277" s="103" t="s">
        <v>138</v>
      </c>
      <c r="Z4277" s="103" t="s">
        <v>139</v>
      </c>
      <c r="AA4277" s="103" t="s">
        <v>47</v>
      </c>
      <c r="AB4277" s="103" t="s">
        <v>140</v>
      </c>
      <c r="AC4277" s="104" t="s">
        <v>141</v>
      </c>
    </row>
    <row r="4278" spans="1:29" ht="25.5" customHeight="1" x14ac:dyDescent="0.35">
      <c r="A4278" s="188"/>
      <c r="B4278" s="190"/>
      <c r="C4278" s="99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0"/>
      <c r="E4278" s="78" t="str">
        <f>IF(C4278="","",IFERROR(VLOOKUP(C4278,parametros!$A$11:$E$15,5,0),""))</f>
        <v/>
      </c>
      <c r="F4278" s="79" t="str">
        <f t="shared" si="332"/>
        <v/>
      </c>
      <c r="G4278" s="101"/>
      <c r="H4278" s="91">
        <f t="shared" si="333"/>
        <v>0</v>
      </c>
      <c r="I4278" s="91" t="str">
        <f t="shared" si="334"/>
        <v/>
      </c>
      <c r="J4278" s="91" t="str">
        <f t="shared" si="335"/>
        <v/>
      </c>
      <c r="K4278" s="92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2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58"/>
      <c r="U4278" s="217" t="str">
        <f t="shared" si="336"/>
        <v/>
      </c>
      <c r="V4278" s="215" t="s">
        <v>47</v>
      </c>
      <c r="W4278" s="102" t="s">
        <v>136</v>
      </c>
      <c r="X4278" s="102" t="s">
        <v>137</v>
      </c>
      <c r="Y4278" s="103" t="s">
        <v>138</v>
      </c>
      <c r="Z4278" s="103" t="s">
        <v>139</v>
      </c>
      <c r="AA4278" s="103" t="s">
        <v>47</v>
      </c>
      <c r="AB4278" s="103" t="s">
        <v>140</v>
      </c>
      <c r="AC4278" s="104" t="s">
        <v>141</v>
      </c>
    </row>
    <row r="4279" spans="1:29" ht="25.5" customHeight="1" x14ac:dyDescent="0.35">
      <c r="A4279" s="188"/>
      <c r="B4279" s="190"/>
      <c r="C4279" s="99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0"/>
      <c r="E4279" s="78" t="str">
        <f>IF(C4279="","",IFERROR(VLOOKUP(C4279,parametros!$A$11:$E$15,5,0),""))</f>
        <v/>
      </c>
      <c r="F4279" s="79" t="str">
        <f t="shared" si="332"/>
        <v/>
      </c>
      <c r="G4279" s="101"/>
      <c r="H4279" s="91">
        <f t="shared" si="333"/>
        <v>0</v>
      </c>
      <c r="I4279" s="91" t="str">
        <f t="shared" si="334"/>
        <v/>
      </c>
      <c r="J4279" s="91" t="str">
        <f t="shared" si="335"/>
        <v/>
      </c>
      <c r="K4279" s="92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2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58"/>
      <c r="U4279" s="217" t="str">
        <f t="shared" si="336"/>
        <v/>
      </c>
      <c r="V4279" s="215" t="s">
        <v>47</v>
      </c>
      <c r="W4279" s="102" t="s">
        <v>136</v>
      </c>
      <c r="X4279" s="102" t="s">
        <v>137</v>
      </c>
      <c r="Y4279" s="103" t="s">
        <v>138</v>
      </c>
      <c r="Z4279" s="103" t="s">
        <v>139</v>
      </c>
      <c r="AA4279" s="103" t="s">
        <v>47</v>
      </c>
      <c r="AB4279" s="103" t="s">
        <v>140</v>
      </c>
      <c r="AC4279" s="104" t="s">
        <v>141</v>
      </c>
    </row>
    <row r="4280" spans="1:29" ht="25.5" customHeight="1" x14ac:dyDescent="0.35">
      <c r="A4280" s="188"/>
      <c r="B4280" s="190"/>
      <c r="C4280" s="99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0"/>
      <c r="E4280" s="78" t="str">
        <f>IF(C4280="","",IFERROR(VLOOKUP(C4280,parametros!$A$11:$E$15,5,0),""))</f>
        <v/>
      </c>
      <c r="F4280" s="79" t="str">
        <f t="shared" si="332"/>
        <v/>
      </c>
      <c r="G4280" s="101"/>
      <c r="H4280" s="91">
        <f t="shared" si="333"/>
        <v>0</v>
      </c>
      <c r="I4280" s="91" t="str">
        <f t="shared" si="334"/>
        <v/>
      </c>
      <c r="J4280" s="91" t="str">
        <f t="shared" si="335"/>
        <v/>
      </c>
      <c r="K4280" s="92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2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58"/>
      <c r="U4280" s="217" t="str">
        <f t="shared" si="336"/>
        <v/>
      </c>
      <c r="V4280" s="215" t="s">
        <v>47</v>
      </c>
      <c r="W4280" s="102" t="s">
        <v>136</v>
      </c>
      <c r="X4280" s="102" t="s">
        <v>137</v>
      </c>
      <c r="Y4280" s="103" t="s">
        <v>138</v>
      </c>
      <c r="Z4280" s="103" t="s">
        <v>139</v>
      </c>
      <c r="AA4280" s="103" t="s">
        <v>47</v>
      </c>
      <c r="AB4280" s="103" t="s">
        <v>140</v>
      </c>
      <c r="AC4280" s="104" t="s">
        <v>141</v>
      </c>
    </row>
    <row r="4281" spans="1:29" ht="25.5" customHeight="1" x14ac:dyDescent="0.35">
      <c r="A4281" s="188"/>
      <c r="B4281" s="190"/>
      <c r="C4281" s="99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0"/>
      <c r="E4281" s="78" t="str">
        <f>IF(C4281="","",IFERROR(VLOOKUP(C4281,parametros!$A$11:$E$15,5,0),""))</f>
        <v/>
      </c>
      <c r="F4281" s="79" t="str">
        <f t="shared" si="332"/>
        <v/>
      </c>
      <c r="G4281" s="101"/>
      <c r="H4281" s="91">
        <f t="shared" si="333"/>
        <v>0</v>
      </c>
      <c r="I4281" s="91" t="str">
        <f t="shared" si="334"/>
        <v/>
      </c>
      <c r="J4281" s="91" t="str">
        <f t="shared" si="335"/>
        <v/>
      </c>
      <c r="K4281" s="92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2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58"/>
      <c r="U4281" s="217" t="str">
        <f t="shared" si="336"/>
        <v/>
      </c>
      <c r="V4281" s="215" t="s">
        <v>47</v>
      </c>
      <c r="W4281" s="102" t="s">
        <v>136</v>
      </c>
      <c r="X4281" s="102" t="s">
        <v>137</v>
      </c>
      <c r="Y4281" s="103" t="s">
        <v>138</v>
      </c>
      <c r="Z4281" s="103" t="s">
        <v>139</v>
      </c>
      <c r="AA4281" s="103" t="s">
        <v>47</v>
      </c>
      <c r="AB4281" s="103" t="s">
        <v>140</v>
      </c>
      <c r="AC4281" s="104" t="s">
        <v>141</v>
      </c>
    </row>
    <row r="4282" spans="1:29" ht="25.5" customHeight="1" x14ac:dyDescent="0.35">
      <c r="A4282" s="188"/>
      <c r="B4282" s="190"/>
      <c r="C4282" s="99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0"/>
      <c r="E4282" s="78" t="str">
        <f>IF(C4282="","",IFERROR(VLOOKUP(C4282,parametros!$A$11:$E$15,5,0),""))</f>
        <v/>
      </c>
      <c r="F4282" s="79" t="str">
        <f t="shared" si="332"/>
        <v/>
      </c>
      <c r="G4282" s="101"/>
      <c r="H4282" s="91">
        <f t="shared" si="333"/>
        <v>0</v>
      </c>
      <c r="I4282" s="91" t="str">
        <f t="shared" si="334"/>
        <v/>
      </c>
      <c r="J4282" s="91" t="str">
        <f t="shared" si="335"/>
        <v/>
      </c>
      <c r="K4282" s="92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2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58"/>
      <c r="U4282" s="217" t="str">
        <f t="shared" si="336"/>
        <v/>
      </c>
      <c r="V4282" s="215" t="s">
        <v>47</v>
      </c>
      <c r="W4282" s="102" t="s">
        <v>136</v>
      </c>
      <c r="X4282" s="102" t="s">
        <v>137</v>
      </c>
      <c r="Y4282" s="103" t="s">
        <v>138</v>
      </c>
      <c r="Z4282" s="103" t="s">
        <v>139</v>
      </c>
      <c r="AA4282" s="103" t="s">
        <v>47</v>
      </c>
      <c r="AB4282" s="103" t="s">
        <v>140</v>
      </c>
      <c r="AC4282" s="104" t="s">
        <v>141</v>
      </c>
    </row>
    <row r="4283" spans="1:29" ht="25.5" customHeight="1" x14ac:dyDescent="0.35">
      <c r="A4283" s="188"/>
      <c r="B4283" s="190"/>
      <c r="C4283" s="99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0"/>
      <c r="E4283" s="78" t="str">
        <f>IF(C4283="","",IFERROR(VLOOKUP(C4283,parametros!$A$11:$E$15,5,0),""))</f>
        <v/>
      </c>
      <c r="F4283" s="79" t="str">
        <f t="shared" si="332"/>
        <v/>
      </c>
      <c r="G4283" s="101"/>
      <c r="H4283" s="91">
        <f t="shared" si="333"/>
        <v>0</v>
      </c>
      <c r="I4283" s="91" t="str">
        <f t="shared" si="334"/>
        <v/>
      </c>
      <c r="J4283" s="91" t="str">
        <f t="shared" si="335"/>
        <v/>
      </c>
      <c r="K4283" s="92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2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58"/>
      <c r="U4283" s="217" t="str">
        <f t="shared" si="336"/>
        <v/>
      </c>
      <c r="V4283" s="215" t="s">
        <v>47</v>
      </c>
      <c r="W4283" s="102" t="s">
        <v>136</v>
      </c>
      <c r="X4283" s="102" t="s">
        <v>137</v>
      </c>
      <c r="Y4283" s="103" t="s">
        <v>138</v>
      </c>
      <c r="Z4283" s="103" t="s">
        <v>139</v>
      </c>
      <c r="AA4283" s="103" t="s">
        <v>47</v>
      </c>
      <c r="AB4283" s="103" t="s">
        <v>140</v>
      </c>
      <c r="AC4283" s="104" t="s">
        <v>141</v>
      </c>
    </row>
    <row r="4284" spans="1:29" ht="25.5" customHeight="1" x14ac:dyDescent="0.35">
      <c r="A4284" s="188"/>
      <c r="B4284" s="190"/>
      <c r="C4284" s="99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0"/>
      <c r="E4284" s="78" t="str">
        <f>IF(C4284="","",IFERROR(VLOOKUP(C4284,parametros!$A$11:$E$15,5,0),""))</f>
        <v/>
      </c>
      <c r="F4284" s="79" t="str">
        <f t="shared" si="332"/>
        <v/>
      </c>
      <c r="G4284" s="101"/>
      <c r="H4284" s="91">
        <f t="shared" si="333"/>
        <v>0</v>
      </c>
      <c r="I4284" s="91" t="str">
        <f t="shared" si="334"/>
        <v/>
      </c>
      <c r="J4284" s="91" t="str">
        <f t="shared" si="335"/>
        <v/>
      </c>
      <c r="K4284" s="92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2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58"/>
      <c r="U4284" s="217" t="str">
        <f t="shared" si="336"/>
        <v/>
      </c>
      <c r="V4284" s="215" t="s">
        <v>47</v>
      </c>
      <c r="W4284" s="102" t="s">
        <v>136</v>
      </c>
      <c r="X4284" s="102" t="s">
        <v>137</v>
      </c>
      <c r="Y4284" s="103" t="s">
        <v>138</v>
      </c>
      <c r="Z4284" s="103" t="s">
        <v>139</v>
      </c>
      <c r="AA4284" s="103" t="s">
        <v>47</v>
      </c>
      <c r="AB4284" s="103" t="s">
        <v>140</v>
      </c>
      <c r="AC4284" s="104" t="s">
        <v>141</v>
      </c>
    </row>
    <row r="4285" spans="1:29" ht="25.5" customHeight="1" x14ac:dyDescent="0.35">
      <c r="A4285" s="188"/>
      <c r="B4285" s="190"/>
      <c r="C4285" s="99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0"/>
      <c r="E4285" s="78" t="str">
        <f>IF(C4285="","",IFERROR(VLOOKUP(C4285,parametros!$A$11:$E$15,5,0),""))</f>
        <v/>
      </c>
      <c r="F4285" s="79" t="str">
        <f t="shared" si="332"/>
        <v/>
      </c>
      <c r="G4285" s="101"/>
      <c r="H4285" s="91">
        <f t="shared" si="333"/>
        <v>0</v>
      </c>
      <c r="I4285" s="91" t="str">
        <f t="shared" si="334"/>
        <v/>
      </c>
      <c r="J4285" s="91" t="str">
        <f t="shared" si="335"/>
        <v/>
      </c>
      <c r="K4285" s="92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2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58"/>
      <c r="U4285" s="217" t="str">
        <f t="shared" si="336"/>
        <v/>
      </c>
      <c r="V4285" s="215" t="s">
        <v>47</v>
      </c>
      <c r="W4285" s="102" t="s">
        <v>136</v>
      </c>
      <c r="X4285" s="102" t="s">
        <v>137</v>
      </c>
      <c r="Y4285" s="103" t="s">
        <v>138</v>
      </c>
      <c r="Z4285" s="103" t="s">
        <v>139</v>
      </c>
      <c r="AA4285" s="103" t="s">
        <v>47</v>
      </c>
      <c r="AB4285" s="103" t="s">
        <v>140</v>
      </c>
      <c r="AC4285" s="104" t="s">
        <v>141</v>
      </c>
    </row>
    <row r="4286" spans="1:29" ht="25.5" customHeight="1" x14ac:dyDescent="0.35">
      <c r="A4286" s="188"/>
      <c r="B4286" s="190"/>
      <c r="C4286" s="99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0"/>
      <c r="E4286" s="78" t="str">
        <f>IF(C4286="","",IFERROR(VLOOKUP(C4286,parametros!$A$11:$E$15,5,0),""))</f>
        <v/>
      </c>
      <c r="F4286" s="79" t="str">
        <f t="shared" si="332"/>
        <v/>
      </c>
      <c r="G4286" s="101"/>
      <c r="H4286" s="91">
        <f t="shared" si="333"/>
        <v>0</v>
      </c>
      <c r="I4286" s="91" t="str">
        <f t="shared" si="334"/>
        <v/>
      </c>
      <c r="J4286" s="91" t="str">
        <f t="shared" si="335"/>
        <v/>
      </c>
      <c r="K4286" s="92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2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58"/>
      <c r="U4286" s="217" t="str">
        <f t="shared" si="336"/>
        <v/>
      </c>
      <c r="V4286" s="215" t="s">
        <v>47</v>
      </c>
      <c r="W4286" s="102" t="s">
        <v>136</v>
      </c>
      <c r="X4286" s="102" t="s">
        <v>137</v>
      </c>
      <c r="Y4286" s="103" t="s">
        <v>138</v>
      </c>
      <c r="Z4286" s="103" t="s">
        <v>139</v>
      </c>
      <c r="AA4286" s="103" t="s">
        <v>47</v>
      </c>
      <c r="AB4286" s="103" t="s">
        <v>140</v>
      </c>
      <c r="AC4286" s="104" t="s">
        <v>141</v>
      </c>
    </row>
    <row r="4287" spans="1:29" ht="25.5" customHeight="1" x14ac:dyDescent="0.35">
      <c r="A4287" s="188"/>
      <c r="B4287" s="190"/>
      <c r="C4287" s="99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0"/>
      <c r="E4287" s="78" t="str">
        <f>IF(C4287="","",IFERROR(VLOOKUP(C4287,parametros!$A$11:$E$15,5,0),""))</f>
        <v/>
      </c>
      <c r="F4287" s="79" t="str">
        <f t="shared" si="332"/>
        <v/>
      </c>
      <c r="G4287" s="101"/>
      <c r="H4287" s="91">
        <f t="shared" si="333"/>
        <v>0</v>
      </c>
      <c r="I4287" s="91" t="str">
        <f t="shared" si="334"/>
        <v/>
      </c>
      <c r="J4287" s="91" t="str">
        <f t="shared" si="335"/>
        <v/>
      </c>
      <c r="K4287" s="92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2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58"/>
      <c r="U4287" s="217" t="str">
        <f t="shared" si="336"/>
        <v/>
      </c>
      <c r="V4287" s="215" t="s">
        <v>47</v>
      </c>
      <c r="W4287" s="102" t="s">
        <v>136</v>
      </c>
      <c r="X4287" s="102" t="s">
        <v>137</v>
      </c>
      <c r="Y4287" s="103" t="s">
        <v>138</v>
      </c>
      <c r="Z4287" s="103" t="s">
        <v>139</v>
      </c>
      <c r="AA4287" s="103" t="s">
        <v>47</v>
      </c>
      <c r="AB4287" s="103" t="s">
        <v>140</v>
      </c>
      <c r="AC4287" s="104" t="s">
        <v>141</v>
      </c>
    </row>
    <row r="4288" spans="1:29" ht="25.5" customHeight="1" x14ac:dyDescent="0.35">
      <c r="A4288" s="188"/>
      <c r="B4288" s="190"/>
      <c r="C4288" s="99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0"/>
      <c r="E4288" s="78" t="str">
        <f>IF(C4288="","",IFERROR(VLOOKUP(C4288,parametros!$A$11:$E$15,5,0),""))</f>
        <v/>
      </c>
      <c r="F4288" s="79" t="str">
        <f t="shared" si="332"/>
        <v/>
      </c>
      <c r="G4288" s="101"/>
      <c r="H4288" s="91">
        <f t="shared" si="333"/>
        <v>0</v>
      </c>
      <c r="I4288" s="91" t="str">
        <f t="shared" si="334"/>
        <v/>
      </c>
      <c r="J4288" s="91" t="str">
        <f t="shared" si="335"/>
        <v/>
      </c>
      <c r="K4288" s="92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2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58"/>
      <c r="U4288" s="217" t="str">
        <f t="shared" si="336"/>
        <v/>
      </c>
      <c r="V4288" s="215" t="s">
        <v>47</v>
      </c>
      <c r="W4288" s="102" t="s">
        <v>136</v>
      </c>
      <c r="X4288" s="102" t="s">
        <v>137</v>
      </c>
      <c r="Y4288" s="103" t="s">
        <v>138</v>
      </c>
      <c r="Z4288" s="103" t="s">
        <v>139</v>
      </c>
      <c r="AA4288" s="103" t="s">
        <v>47</v>
      </c>
      <c r="AB4288" s="103" t="s">
        <v>140</v>
      </c>
      <c r="AC4288" s="104" t="s">
        <v>141</v>
      </c>
    </row>
    <row r="4289" spans="1:29" ht="25.5" customHeight="1" x14ac:dyDescent="0.35">
      <c r="A4289" s="188"/>
      <c r="B4289" s="190"/>
      <c r="C4289" s="99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0"/>
      <c r="E4289" s="78" t="str">
        <f>IF(C4289="","",IFERROR(VLOOKUP(C4289,parametros!$A$11:$E$15,5,0),""))</f>
        <v/>
      </c>
      <c r="F4289" s="79" t="str">
        <f t="shared" si="332"/>
        <v/>
      </c>
      <c r="G4289" s="101"/>
      <c r="H4289" s="91">
        <f t="shared" si="333"/>
        <v>0</v>
      </c>
      <c r="I4289" s="91" t="str">
        <f t="shared" si="334"/>
        <v/>
      </c>
      <c r="J4289" s="91" t="str">
        <f t="shared" si="335"/>
        <v/>
      </c>
      <c r="K4289" s="92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2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58"/>
      <c r="U4289" s="217" t="str">
        <f t="shared" si="336"/>
        <v/>
      </c>
      <c r="V4289" s="215" t="s">
        <v>47</v>
      </c>
      <c r="W4289" s="102" t="s">
        <v>136</v>
      </c>
      <c r="X4289" s="102" t="s">
        <v>137</v>
      </c>
      <c r="Y4289" s="103" t="s">
        <v>138</v>
      </c>
      <c r="Z4289" s="103" t="s">
        <v>139</v>
      </c>
      <c r="AA4289" s="103" t="s">
        <v>47</v>
      </c>
      <c r="AB4289" s="103" t="s">
        <v>140</v>
      </c>
      <c r="AC4289" s="104" t="s">
        <v>141</v>
      </c>
    </row>
    <row r="4290" spans="1:29" ht="25.5" customHeight="1" x14ac:dyDescent="0.35">
      <c r="A4290" s="188"/>
      <c r="B4290" s="190"/>
      <c r="C4290" s="99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0"/>
      <c r="E4290" s="78" t="str">
        <f>IF(C4290="","",IFERROR(VLOOKUP(C4290,parametros!$A$11:$E$15,5,0),""))</f>
        <v/>
      </c>
      <c r="F4290" s="79" t="str">
        <f t="shared" ref="F4290:F4353" si="337">IF(OR(D4290="",E4290=""),"",ROUND(D4290*E4290,2))</f>
        <v/>
      </c>
      <c r="G4290" s="101"/>
      <c r="H4290" s="91">
        <f t="shared" ref="H4290:H4353" si="338">IF(G4290="Sim",IF(OR(F4290="",D4290="",L4290=""),"",IF(L4290="Sim",ROUND(F4290-D4290,2),0)),0)</f>
        <v>0</v>
      </c>
      <c r="I4290" s="91" t="str">
        <f t="shared" ref="I4290:I4353" si="339">IF(G4290="Sim",0,IF(OR(F4290="",L4290=""),"",F4290))</f>
        <v/>
      </c>
      <c r="J4290" s="91" t="str">
        <f t="shared" ref="J4290:J4353" si="340">IF(G4290="Sim",0,IF(OR(F4290="",D4290="",L4290=""),"",IF(L4290="Sim",ROUND(F4290-D4290,2),0)))</f>
        <v/>
      </c>
      <c r="K4290" s="92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2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58"/>
      <c r="U4290" s="217" t="str">
        <f t="shared" ref="U4290:U4353" si="341">IF(OR($D4290="",$H4290=""),"",ROUND($D4290+$H4290,2))</f>
        <v/>
      </c>
      <c r="V4290" s="215" t="s">
        <v>47</v>
      </c>
      <c r="W4290" s="102" t="s">
        <v>136</v>
      </c>
      <c r="X4290" s="102" t="s">
        <v>137</v>
      </c>
      <c r="Y4290" s="103" t="s">
        <v>138</v>
      </c>
      <c r="Z4290" s="103" t="s">
        <v>139</v>
      </c>
      <c r="AA4290" s="103" t="s">
        <v>47</v>
      </c>
      <c r="AB4290" s="103" t="s">
        <v>140</v>
      </c>
      <c r="AC4290" s="104" t="s">
        <v>141</v>
      </c>
    </row>
    <row r="4291" spans="1:29" ht="25.5" customHeight="1" x14ac:dyDescent="0.35">
      <c r="A4291" s="188"/>
      <c r="B4291" s="190"/>
      <c r="C4291" s="99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0"/>
      <c r="E4291" s="78" t="str">
        <f>IF(C4291="","",IFERROR(VLOOKUP(C4291,parametros!$A$11:$E$15,5,0),""))</f>
        <v/>
      </c>
      <c r="F4291" s="79" t="str">
        <f t="shared" si="337"/>
        <v/>
      </c>
      <c r="G4291" s="101"/>
      <c r="H4291" s="91">
        <f t="shared" si="338"/>
        <v>0</v>
      </c>
      <c r="I4291" s="91" t="str">
        <f t="shared" si="339"/>
        <v/>
      </c>
      <c r="J4291" s="91" t="str">
        <f t="shared" si="340"/>
        <v/>
      </c>
      <c r="K4291" s="92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2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58"/>
      <c r="U4291" s="217" t="str">
        <f t="shared" si="341"/>
        <v/>
      </c>
      <c r="V4291" s="215" t="s">
        <v>47</v>
      </c>
      <c r="W4291" s="102" t="s">
        <v>136</v>
      </c>
      <c r="X4291" s="102" t="s">
        <v>137</v>
      </c>
      <c r="Y4291" s="103" t="s">
        <v>138</v>
      </c>
      <c r="Z4291" s="103" t="s">
        <v>139</v>
      </c>
      <c r="AA4291" s="103" t="s">
        <v>47</v>
      </c>
      <c r="AB4291" s="103" t="s">
        <v>140</v>
      </c>
      <c r="AC4291" s="104" t="s">
        <v>141</v>
      </c>
    </row>
    <row r="4292" spans="1:29" ht="25.5" customHeight="1" x14ac:dyDescent="0.35">
      <c r="A4292" s="188"/>
      <c r="B4292" s="190"/>
      <c r="C4292" s="99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0"/>
      <c r="E4292" s="78" t="str">
        <f>IF(C4292="","",IFERROR(VLOOKUP(C4292,parametros!$A$11:$E$15,5,0),""))</f>
        <v/>
      </c>
      <c r="F4292" s="79" t="str">
        <f t="shared" si="337"/>
        <v/>
      </c>
      <c r="G4292" s="101"/>
      <c r="H4292" s="91">
        <f t="shared" si="338"/>
        <v>0</v>
      </c>
      <c r="I4292" s="91" t="str">
        <f t="shared" si="339"/>
        <v/>
      </c>
      <c r="J4292" s="91" t="str">
        <f t="shared" si="340"/>
        <v/>
      </c>
      <c r="K4292" s="92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2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58"/>
      <c r="U4292" s="217" t="str">
        <f t="shared" si="341"/>
        <v/>
      </c>
      <c r="V4292" s="215" t="s">
        <v>47</v>
      </c>
      <c r="W4292" s="102" t="s">
        <v>136</v>
      </c>
      <c r="X4292" s="102" t="s">
        <v>137</v>
      </c>
      <c r="Y4292" s="103" t="s">
        <v>138</v>
      </c>
      <c r="Z4292" s="103" t="s">
        <v>139</v>
      </c>
      <c r="AA4292" s="103" t="s">
        <v>47</v>
      </c>
      <c r="AB4292" s="103" t="s">
        <v>140</v>
      </c>
      <c r="AC4292" s="104" t="s">
        <v>141</v>
      </c>
    </row>
    <row r="4293" spans="1:29" ht="25.5" customHeight="1" x14ac:dyDescent="0.35">
      <c r="A4293" s="188"/>
      <c r="B4293" s="190"/>
      <c r="C4293" s="99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0"/>
      <c r="E4293" s="78" t="str">
        <f>IF(C4293="","",IFERROR(VLOOKUP(C4293,parametros!$A$11:$E$15,5,0),""))</f>
        <v/>
      </c>
      <c r="F4293" s="79" t="str">
        <f t="shared" si="337"/>
        <v/>
      </c>
      <c r="G4293" s="101"/>
      <c r="H4293" s="91">
        <f t="shared" si="338"/>
        <v>0</v>
      </c>
      <c r="I4293" s="91" t="str">
        <f t="shared" si="339"/>
        <v/>
      </c>
      <c r="J4293" s="91" t="str">
        <f t="shared" si="340"/>
        <v/>
      </c>
      <c r="K4293" s="92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2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58"/>
      <c r="U4293" s="217" t="str">
        <f t="shared" si="341"/>
        <v/>
      </c>
      <c r="V4293" s="215" t="s">
        <v>47</v>
      </c>
      <c r="W4293" s="102" t="s">
        <v>136</v>
      </c>
      <c r="X4293" s="102" t="s">
        <v>137</v>
      </c>
      <c r="Y4293" s="103" t="s">
        <v>138</v>
      </c>
      <c r="Z4293" s="103" t="s">
        <v>139</v>
      </c>
      <c r="AA4293" s="103" t="s">
        <v>47</v>
      </c>
      <c r="AB4293" s="103" t="s">
        <v>140</v>
      </c>
      <c r="AC4293" s="104" t="s">
        <v>141</v>
      </c>
    </row>
    <row r="4294" spans="1:29" ht="25.5" customHeight="1" x14ac:dyDescent="0.35">
      <c r="A4294" s="188"/>
      <c r="B4294" s="190"/>
      <c r="C4294" s="99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0"/>
      <c r="E4294" s="78" t="str">
        <f>IF(C4294="","",IFERROR(VLOOKUP(C4294,parametros!$A$11:$E$15,5,0),""))</f>
        <v/>
      </c>
      <c r="F4294" s="79" t="str">
        <f t="shared" si="337"/>
        <v/>
      </c>
      <c r="G4294" s="101"/>
      <c r="H4294" s="91">
        <f t="shared" si="338"/>
        <v>0</v>
      </c>
      <c r="I4294" s="91" t="str">
        <f t="shared" si="339"/>
        <v/>
      </c>
      <c r="J4294" s="91" t="str">
        <f t="shared" si="340"/>
        <v/>
      </c>
      <c r="K4294" s="92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2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58"/>
      <c r="U4294" s="217" t="str">
        <f t="shared" si="341"/>
        <v/>
      </c>
      <c r="V4294" s="215" t="s">
        <v>47</v>
      </c>
      <c r="W4294" s="102" t="s">
        <v>136</v>
      </c>
      <c r="X4294" s="102" t="s">
        <v>137</v>
      </c>
      <c r="Y4294" s="103" t="s">
        <v>138</v>
      </c>
      <c r="Z4294" s="103" t="s">
        <v>139</v>
      </c>
      <c r="AA4294" s="103" t="s">
        <v>47</v>
      </c>
      <c r="AB4294" s="103" t="s">
        <v>140</v>
      </c>
      <c r="AC4294" s="104" t="s">
        <v>141</v>
      </c>
    </row>
    <row r="4295" spans="1:29" ht="25.5" customHeight="1" x14ac:dyDescent="0.35">
      <c r="A4295" s="188"/>
      <c r="B4295" s="190"/>
      <c r="C4295" s="99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0"/>
      <c r="E4295" s="78" t="str">
        <f>IF(C4295="","",IFERROR(VLOOKUP(C4295,parametros!$A$11:$E$15,5,0),""))</f>
        <v/>
      </c>
      <c r="F4295" s="79" t="str">
        <f t="shared" si="337"/>
        <v/>
      </c>
      <c r="G4295" s="101"/>
      <c r="H4295" s="91">
        <f t="shared" si="338"/>
        <v>0</v>
      </c>
      <c r="I4295" s="91" t="str">
        <f t="shared" si="339"/>
        <v/>
      </c>
      <c r="J4295" s="91" t="str">
        <f t="shared" si="340"/>
        <v/>
      </c>
      <c r="K4295" s="92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2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58"/>
      <c r="U4295" s="217" t="str">
        <f t="shared" si="341"/>
        <v/>
      </c>
      <c r="V4295" s="215" t="s">
        <v>47</v>
      </c>
      <c r="W4295" s="102" t="s">
        <v>136</v>
      </c>
      <c r="X4295" s="102" t="s">
        <v>137</v>
      </c>
      <c r="Y4295" s="103" t="s">
        <v>138</v>
      </c>
      <c r="Z4295" s="103" t="s">
        <v>139</v>
      </c>
      <c r="AA4295" s="103" t="s">
        <v>47</v>
      </c>
      <c r="AB4295" s="103" t="s">
        <v>140</v>
      </c>
      <c r="AC4295" s="104" t="s">
        <v>141</v>
      </c>
    </row>
    <row r="4296" spans="1:29" ht="25.5" customHeight="1" x14ac:dyDescent="0.35">
      <c r="A4296" s="188"/>
      <c r="B4296" s="190"/>
      <c r="C4296" s="99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0"/>
      <c r="E4296" s="78" t="str">
        <f>IF(C4296="","",IFERROR(VLOOKUP(C4296,parametros!$A$11:$E$15,5,0),""))</f>
        <v/>
      </c>
      <c r="F4296" s="79" t="str">
        <f t="shared" si="337"/>
        <v/>
      </c>
      <c r="G4296" s="101"/>
      <c r="H4296" s="91">
        <f t="shared" si="338"/>
        <v>0</v>
      </c>
      <c r="I4296" s="91" t="str">
        <f t="shared" si="339"/>
        <v/>
      </c>
      <c r="J4296" s="91" t="str">
        <f t="shared" si="340"/>
        <v/>
      </c>
      <c r="K4296" s="92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2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58"/>
      <c r="U4296" s="217" t="str">
        <f t="shared" si="341"/>
        <v/>
      </c>
      <c r="V4296" s="215" t="s">
        <v>47</v>
      </c>
      <c r="W4296" s="102" t="s">
        <v>136</v>
      </c>
      <c r="X4296" s="102" t="s">
        <v>137</v>
      </c>
      <c r="Y4296" s="103" t="s">
        <v>138</v>
      </c>
      <c r="Z4296" s="103" t="s">
        <v>139</v>
      </c>
      <c r="AA4296" s="103" t="s">
        <v>47</v>
      </c>
      <c r="AB4296" s="103" t="s">
        <v>140</v>
      </c>
      <c r="AC4296" s="104" t="s">
        <v>141</v>
      </c>
    </row>
    <row r="4297" spans="1:29" ht="25.5" customHeight="1" x14ac:dyDescent="0.35">
      <c r="A4297" s="188"/>
      <c r="B4297" s="190"/>
      <c r="C4297" s="99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0"/>
      <c r="E4297" s="78" t="str">
        <f>IF(C4297="","",IFERROR(VLOOKUP(C4297,parametros!$A$11:$E$15,5,0),""))</f>
        <v/>
      </c>
      <c r="F4297" s="79" t="str">
        <f t="shared" si="337"/>
        <v/>
      </c>
      <c r="G4297" s="101"/>
      <c r="H4297" s="91">
        <f t="shared" si="338"/>
        <v>0</v>
      </c>
      <c r="I4297" s="91" t="str">
        <f t="shared" si="339"/>
        <v/>
      </c>
      <c r="J4297" s="91" t="str">
        <f t="shared" si="340"/>
        <v/>
      </c>
      <c r="K4297" s="92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2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58"/>
      <c r="U4297" s="217" t="str">
        <f t="shared" si="341"/>
        <v/>
      </c>
      <c r="V4297" s="215" t="s">
        <v>47</v>
      </c>
      <c r="W4297" s="102" t="s">
        <v>136</v>
      </c>
      <c r="X4297" s="102" t="s">
        <v>137</v>
      </c>
      <c r="Y4297" s="103" t="s">
        <v>138</v>
      </c>
      <c r="Z4297" s="103" t="s">
        <v>139</v>
      </c>
      <c r="AA4297" s="103" t="s">
        <v>47</v>
      </c>
      <c r="AB4297" s="103" t="s">
        <v>140</v>
      </c>
      <c r="AC4297" s="104" t="s">
        <v>141</v>
      </c>
    </row>
    <row r="4298" spans="1:29" ht="25.5" customHeight="1" x14ac:dyDescent="0.35">
      <c r="A4298" s="188"/>
      <c r="B4298" s="190"/>
      <c r="C4298" s="99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0"/>
      <c r="E4298" s="78" t="str">
        <f>IF(C4298="","",IFERROR(VLOOKUP(C4298,parametros!$A$11:$E$15,5,0),""))</f>
        <v/>
      </c>
      <c r="F4298" s="79" t="str">
        <f t="shared" si="337"/>
        <v/>
      </c>
      <c r="G4298" s="101"/>
      <c r="H4298" s="91">
        <f t="shared" si="338"/>
        <v>0</v>
      </c>
      <c r="I4298" s="91" t="str">
        <f t="shared" si="339"/>
        <v/>
      </c>
      <c r="J4298" s="91" t="str">
        <f t="shared" si="340"/>
        <v/>
      </c>
      <c r="K4298" s="92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2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58"/>
      <c r="U4298" s="217" t="str">
        <f t="shared" si="341"/>
        <v/>
      </c>
      <c r="V4298" s="215" t="s">
        <v>47</v>
      </c>
      <c r="W4298" s="102" t="s">
        <v>136</v>
      </c>
      <c r="X4298" s="102" t="s">
        <v>137</v>
      </c>
      <c r="Y4298" s="103" t="s">
        <v>138</v>
      </c>
      <c r="Z4298" s="103" t="s">
        <v>139</v>
      </c>
      <c r="AA4298" s="103" t="s">
        <v>47</v>
      </c>
      <c r="AB4298" s="103" t="s">
        <v>140</v>
      </c>
      <c r="AC4298" s="104" t="s">
        <v>141</v>
      </c>
    </row>
    <row r="4299" spans="1:29" ht="25.5" customHeight="1" x14ac:dyDescent="0.35">
      <c r="A4299" s="188"/>
      <c r="B4299" s="190"/>
      <c r="C4299" s="99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0"/>
      <c r="E4299" s="78" t="str">
        <f>IF(C4299="","",IFERROR(VLOOKUP(C4299,parametros!$A$11:$E$15,5,0),""))</f>
        <v/>
      </c>
      <c r="F4299" s="79" t="str">
        <f t="shared" si="337"/>
        <v/>
      </c>
      <c r="G4299" s="101"/>
      <c r="H4299" s="91">
        <f t="shared" si="338"/>
        <v>0</v>
      </c>
      <c r="I4299" s="91" t="str">
        <f t="shared" si="339"/>
        <v/>
      </c>
      <c r="J4299" s="91" t="str">
        <f t="shared" si="340"/>
        <v/>
      </c>
      <c r="K4299" s="92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2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58"/>
      <c r="U4299" s="217" t="str">
        <f t="shared" si="341"/>
        <v/>
      </c>
      <c r="V4299" s="215" t="s">
        <v>47</v>
      </c>
      <c r="W4299" s="102" t="s">
        <v>136</v>
      </c>
      <c r="X4299" s="102" t="s">
        <v>137</v>
      </c>
      <c r="Y4299" s="103" t="s">
        <v>138</v>
      </c>
      <c r="Z4299" s="103" t="s">
        <v>139</v>
      </c>
      <c r="AA4299" s="103" t="s">
        <v>47</v>
      </c>
      <c r="AB4299" s="103" t="s">
        <v>140</v>
      </c>
      <c r="AC4299" s="104" t="s">
        <v>141</v>
      </c>
    </row>
    <row r="4300" spans="1:29" ht="25.5" customHeight="1" x14ac:dyDescent="0.35">
      <c r="A4300" s="188"/>
      <c r="B4300" s="190"/>
      <c r="C4300" s="99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0"/>
      <c r="E4300" s="78" t="str">
        <f>IF(C4300="","",IFERROR(VLOOKUP(C4300,parametros!$A$11:$E$15,5,0),""))</f>
        <v/>
      </c>
      <c r="F4300" s="79" t="str">
        <f t="shared" si="337"/>
        <v/>
      </c>
      <c r="G4300" s="101"/>
      <c r="H4300" s="91">
        <f t="shared" si="338"/>
        <v>0</v>
      </c>
      <c r="I4300" s="91" t="str">
        <f t="shared" si="339"/>
        <v/>
      </c>
      <c r="J4300" s="91" t="str">
        <f t="shared" si="340"/>
        <v/>
      </c>
      <c r="K4300" s="92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2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58"/>
      <c r="U4300" s="217" t="str">
        <f t="shared" si="341"/>
        <v/>
      </c>
      <c r="V4300" s="215" t="s">
        <v>47</v>
      </c>
      <c r="W4300" s="102" t="s">
        <v>136</v>
      </c>
      <c r="X4300" s="102" t="s">
        <v>137</v>
      </c>
      <c r="Y4300" s="103" t="s">
        <v>138</v>
      </c>
      <c r="Z4300" s="103" t="s">
        <v>139</v>
      </c>
      <c r="AA4300" s="103" t="s">
        <v>47</v>
      </c>
      <c r="AB4300" s="103" t="s">
        <v>140</v>
      </c>
      <c r="AC4300" s="104" t="s">
        <v>141</v>
      </c>
    </row>
    <row r="4301" spans="1:29" ht="25.5" customHeight="1" x14ac:dyDescent="0.35">
      <c r="A4301" s="188"/>
      <c r="B4301" s="190"/>
      <c r="C4301" s="99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0"/>
      <c r="E4301" s="78" t="str">
        <f>IF(C4301="","",IFERROR(VLOOKUP(C4301,parametros!$A$11:$E$15,5,0),""))</f>
        <v/>
      </c>
      <c r="F4301" s="79" t="str">
        <f t="shared" si="337"/>
        <v/>
      </c>
      <c r="G4301" s="101"/>
      <c r="H4301" s="91">
        <f t="shared" si="338"/>
        <v>0</v>
      </c>
      <c r="I4301" s="91" t="str">
        <f t="shared" si="339"/>
        <v/>
      </c>
      <c r="J4301" s="91" t="str">
        <f t="shared" si="340"/>
        <v/>
      </c>
      <c r="K4301" s="92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2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58"/>
      <c r="U4301" s="217" t="str">
        <f t="shared" si="341"/>
        <v/>
      </c>
      <c r="V4301" s="215" t="s">
        <v>47</v>
      </c>
      <c r="W4301" s="102" t="s">
        <v>136</v>
      </c>
      <c r="X4301" s="102" t="s">
        <v>137</v>
      </c>
      <c r="Y4301" s="103" t="s">
        <v>138</v>
      </c>
      <c r="Z4301" s="103" t="s">
        <v>139</v>
      </c>
      <c r="AA4301" s="103" t="s">
        <v>47</v>
      </c>
      <c r="AB4301" s="103" t="s">
        <v>140</v>
      </c>
      <c r="AC4301" s="104" t="s">
        <v>141</v>
      </c>
    </row>
    <row r="4302" spans="1:29" ht="25.5" customHeight="1" x14ac:dyDescent="0.35">
      <c r="A4302" s="188"/>
      <c r="B4302" s="190"/>
      <c r="C4302" s="99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0"/>
      <c r="E4302" s="78" t="str">
        <f>IF(C4302="","",IFERROR(VLOOKUP(C4302,parametros!$A$11:$E$15,5,0),""))</f>
        <v/>
      </c>
      <c r="F4302" s="79" t="str">
        <f t="shared" si="337"/>
        <v/>
      </c>
      <c r="G4302" s="101"/>
      <c r="H4302" s="91">
        <f t="shared" si="338"/>
        <v>0</v>
      </c>
      <c r="I4302" s="91" t="str">
        <f t="shared" si="339"/>
        <v/>
      </c>
      <c r="J4302" s="91" t="str">
        <f t="shared" si="340"/>
        <v/>
      </c>
      <c r="K4302" s="92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2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58"/>
      <c r="U4302" s="217" t="str">
        <f t="shared" si="341"/>
        <v/>
      </c>
      <c r="V4302" s="215" t="s">
        <v>47</v>
      </c>
      <c r="W4302" s="102" t="s">
        <v>136</v>
      </c>
      <c r="X4302" s="102" t="s">
        <v>137</v>
      </c>
      <c r="Y4302" s="103" t="s">
        <v>138</v>
      </c>
      <c r="Z4302" s="103" t="s">
        <v>139</v>
      </c>
      <c r="AA4302" s="103" t="s">
        <v>47</v>
      </c>
      <c r="AB4302" s="103" t="s">
        <v>140</v>
      </c>
      <c r="AC4302" s="104" t="s">
        <v>141</v>
      </c>
    </row>
    <row r="4303" spans="1:29" ht="25.5" customHeight="1" x14ac:dyDescent="0.35">
      <c r="A4303" s="188"/>
      <c r="B4303" s="190"/>
      <c r="C4303" s="99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0"/>
      <c r="E4303" s="78" t="str">
        <f>IF(C4303="","",IFERROR(VLOOKUP(C4303,parametros!$A$11:$E$15,5,0),""))</f>
        <v/>
      </c>
      <c r="F4303" s="79" t="str">
        <f t="shared" si="337"/>
        <v/>
      </c>
      <c r="G4303" s="101"/>
      <c r="H4303" s="91">
        <f t="shared" si="338"/>
        <v>0</v>
      </c>
      <c r="I4303" s="91" t="str">
        <f t="shared" si="339"/>
        <v/>
      </c>
      <c r="J4303" s="91" t="str">
        <f t="shared" si="340"/>
        <v/>
      </c>
      <c r="K4303" s="92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2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58"/>
      <c r="U4303" s="217" t="str">
        <f t="shared" si="341"/>
        <v/>
      </c>
      <c r="V4303" s="215" t="s">
        <v>47</v>
      </c>
      <c r="W4303" s="102" t="s">
        <v>136</v>
      </c>
      <c r="X4303" s="102" t="s">
        <v>137</v>
      </c>
      <c r="Y4303" s="103" t="s">
        <v>138</v>
      </c>
      <c r="Z4303" s="103" t="s">
        <v>139</v>
      </c>
      <c r="AA4303" s="103" t="s">
        <v>47</v>
      </c>
      <c r="AB4303" s="103" t="s">
        <v>140</v>
      </c>
      <c r="AC4303" s="104" t="s">
        <v>141</v>
      </c>
    </row>
    <row r="4304" spans="1:29" ht="25.5" customHeight="1" x14ac:dyDescent="0.35">
      <c r="A4304" s="188"/>
      <c r="B4304" s="190"/>
      <c r="C4304" s="99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0"/>
      <c r="E4304" s="78" t="str">
        <f>IF(C4304="","",IFERROR(VLOOKUP(C4304,parametros!$A$11:$E$15,5,0),""))</f>
        <v/>
      </c>
      <c r="F4304" s="79" t="str">
        <f t="shared" si="337"/>
        <v/>
      </c>
      <c r="G4304" s="101"/>
      <c r="H4304" s="91">
        <f t="shared" si="338"/>
        <v>0</v>
      </c>
      <c r="I4304" s="91" t="str">
        <f t="shared" si="339"/>
        <v/>
      </c>
      <c r="J4304" s="91" t="str">
        <f t="shared" si="340"/>
        <v/>
      </c>
      <c r="K4304" s="92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2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58"/>
      <c r="U4304" s="217" t="str">
        <f t="shared" si="341"/>
        <v/>
      </c>
      <c r="V4304" s="215" t="s">
        <v>47</v>
      </c>
      <c r="W4304" s="102" t="s">
        <v>136</v>
      </c>
      <c r="X4304" s="102" t="s">
        <v>137</v>
      </c>
      <c r="Y4304" s="103" t="s">
        <v>138</v>
      </c>
      <c r="Z4304" s="103" t="s">
        <v>139</v>
      </c>
      <c r="AA4304" s="103" t="s">
        <v>47</v>
      </c>
      <c r="AB4304" s="103" t="s">
        <v>140</v>
      </c>
      <c r="AC4304" s="104" t="s">
        <v>141</v>
      </c>
    </row>
    <row r="4305" spans="1:29" ht="25.5" customHeight="1" x14ac:dyDescent="0.35">
      <c r="A4305" s="188"/>
      <c r="B4305" s="190"/>
      <c r="C4305" s="99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0"/>
      <c r="E4305" s="78" t="str">
        <f>IF(C4305="","",IFERROR(VLOOKUP(C4305,parametros!$A$11:$E$15,5,0),""))</f>
        <v/>
      </c>
      <c r="F4305" s="79" t="str">
        <f t="shared" si="337"/>
        <v/>
      </c>
      <c r="G4305" s="101"/>
      <c r="H4305" s="91">
        <f t="shared" si="338"/>
        <v>0</v>
      </c>
      <c r="I4305" s="91" t="str">
        <f t="shared" si="339"/>
        <v/>
      </c>
      <c r="J4305" s="91" t="str">
        <f t="shared" si="340"/>
        <v/>
      </c>
      <c r="K4305" s="92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2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58"/>
      <c r="U4305" s="217" t="str">
        <f t="shared" si="341"/>
        <v/>
      </c>
      <c r="V4305" s="215" t="s">
        <v>47</v>
      </c>
      <c r="W4305" s="102" t="s">
        <v>136</v>
      </c>
      <c r="X4305" s="102" t="s">
        <v>137</v>
      </c>
      <c r="Y4305" s="103" t="s">
        <v>138</v>
      </c>
      <c r="Z4305" s="103" t="s">
        <v>139</v>
      </c>
      <c r="AA4305" s="103" t="s">
        <v>47</v>
      </c>
      <c r="AB4305" s="103" t="s">
        <v>140</v>
      </c>
      <c r="AC4305" s="104" t="s">
        <v>141</v>
      </c>
    </row>
    <row r="4306" spans="1:29" ht="25.5" customHeight="1" x14ac:dyDescent="0.35">
      <c r="A4306" s="188"/>
      <c r="B4306" s="190"/>
      <c r="C4306" s="99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0"/>
      <c r="E4306" s="78" t="str">
        <f>IF(C4306="","",IFERROR(VLOOKUP(C4306,parametros!$A$11:$E$15,5,0),""))</f>
        <v/>
      </c>
      <c r="F4306" s="79" t="str">
        <f t="shared" si="337"/>
        <v/>
      </c>
      <c r="G4306" s="101"/>
      <c r="H4306" s="91">
        <f t="shared" si="338"/>
        <v>0</v>
      </c>
      <c r="I4306" s="91" t="str">
        <f t="shared" si="339"/>
        <v/>
      </c>
      <c r="J4306" s="91" t="str">
        <f t="shared" si="340"/>
        <v/>
      </c>
      <c r="K4306" s="92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2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58"/>
      <c r="U4306" s="217" t="str">
        <f t="shared" si="341"/>
        <v/>
      </c>
      <c r="V4306" s="215" t="s">
        <v>47</v>
      </c>
      <c r="W4306" s="102" t="s">
        <v>136</v>
      </c>
      <c r="X4306" s="102" t="s">
        <v>137</v>
      </c>
      <c r="Y4306" s="103" t="s">
        <v>138</v>
      </c>
      <c r="Z4306" s="103" t="s">
        <v>139</v>
      </c>
      <c r="AA4306" s="103" t="s">
        <v>47</v>
      </c>
      <c r="AB4306" s="103" t="s">
        <v>140</v>
      </c>
      <c r="AC4306" s="104" t="s">
        <v>141</v>
      </c>
    </row>
    <row r="4307" spans="1:29" ht="25.5" customHeight="1" x14ac:dyDescent="0.35">
      <c r="A4307" s="188"/>
      <c r="B4307" s="190"/>
      <c r="C4307" s="99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0"/>
      <c r="E4307" s="78" t="str">
        <f>IF(C4307="","",IFERROR(VLOOKUP(C4307,parametros!$A$11:$E$15,5,0),""))</f>
        <v/>
      </c>
      <c r="F4307" s="79" t="str">
        <f t="shared" si="337"/>
        <v/>
      </c>
      <c r="G4307" s="101"/>
      <c r="H4307" s="91">
        <f t="shared" si="338"/>
        <v>0</v>
      </c>
      <c r="I4307" s="91" t="str">
        <f t="shared" si="339"/>
        <v/>
      </c>
      <c r="J4307" s="91" t="str">
        <f t="shared" si="340"/>
        <v/>
      </c>
      <c r="K4307" s="92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2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58"/>
      <c r="U4307" s="217" t="str">
        <f t="shared" si="341"/>
        <v/>
      </c>
      <c r="V4307" s="215" t="s">
        <v>47</v>
      </c>
      <c r="W4307" s="102" t="s">
        <v>136</v>
      </c>
      <c r="X4307" s="102" t="s">
        <v>137</v>
      </c>
      <c r="Y4307" s="103" t="s">
        <v>138</v>
      </c>
      <c r="Z4307" s="103" t="s">
        <v>139</v>
      </c>
      <c r="AA4307" s="103" t="s">
        <v>47</v>
      </c>
      <c r="AB4307" s="103" t="s">
        <v>140</v>
      </c>
      <c r="AC4307" s="104" t="s">
        <v>141</v>
      </c>
    </row>
    <row r="4308" spans="1:29" ht="25.5" customHeight="1" x14ac:dyDescent="0.35">
      <c r="A4308" s="188"/>
      <c r="B4308" s="190"/>
      <c r="C4308" s="99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0"/>
      <c r="E4308" s="78" t="str">
        <f>IF(C4308="","",IFERROR(VLOOKUP(C4308,parametros!$A$11:$E$15,5,0),""))</f>
        <v/>
      </c>
      <c r="F4308" s="79" t="str">
        <f t="shared" si="337"/>
        <v/>
      </c>
      <c r="G4308" s="101"/>
      <c r="H4308" s="91">
        <f t="shared" si="338"/>
        <v>0</v>
      </c>
      <c r="I4308" s="91" t="str">
        <f t="shared" si="339"/>
        <v/>
      </c>
      <c r="J4308" s="91" t="str">
        <f t="shared" si="340"/>
        <v/>
      </c>
      <c r="K4308" s="92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2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58"/>
      <c r="U4308" s="217" t="str">
        <f t="shared" si="341"/>
        <v/>
      </c>
      <c r="V4308" s="215" t="s">
        <v>47</v>
      </c>
      <c r="W4308" s="102" t="s">
        <v>136</v>
      </c>
      <c r="X4308" s="102" t="s">
        <v>137</v>
      </c>
      <c r="Y4308" s="103" t="s">
        <v>138</v>
      </c>
      <c r="Z4308" s="103" t="s">
        <v>139</v>
      </c>
      <c r="AA4308" s="103" t="s">
        <v>47</v>
      </c>
      <c r="AB4308" s="103" t="s">
        <v>140</v>
      </c>
      <c r="AC4308" s="104" t="s">
        <v>141</v>
      </c>
    </row>
    <row r="4309" spans="1:29" ht="25.5" customHeight="1" x14ac:dyDescent="0.35">
      <c r="A4309" s="188"/>
      <c r="B4309" s="190"/>
      <c r="C4309" s="99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0"/>
      <c r="E4309" s="78" t="str">
        <f>IF(C4309="","",IFERROR(VLOOKUP(C4309,parametros!$A$11:$E$15,5,0),""))</f>
        <v/>
      </c>
      <c r="F4309" s="79" t="str">
        <f t="shared" si="337"/>
        <v/>
      </c>
      <c r="G4309" s="101"/>
      <c r="H4309" s="91">
        <f t="shared" si="338"/>
        <v>0</v>
      </c>
      <c r="I4309" s="91" t="str">
        <f t="shared" si="339"/>
        <v/>
      </c>
      <c r="J4309" s="91" t="str">
        <f t="shared" si="340"/>
        <v/>
      </c>
      <c r="K4309" s="92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2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58"/>
      <c r="U4309" s="217" t="str">
        <f t="shared" si="341"/>
        <v/>
      </c>
      <c r="V4309" s="215" t="s">
        <v>47</v>
      </c>
      <c r="W4309" s="102" t="s">
        <v>136</v>
      </c>
      <c r="X4309" s="102" t="s">
        <v>137</v>
      </c>
      <c r="Y4309" s="103" t="s">
        <v>138</v>
      </c>
      <c r="Z4309" s="103" t="s">
        <v>139</v>
      </c>
      <c r="AA4309" s="103" t="s">
        <v>47</v>
      </c>
      <c r="AB4309" s="103" t="s">
        <v>140</v>
      </c>
      <c r="AC4309" s="104" t="s">
        <v>141</v>
      </c>
    </row>
    <row r="4310" spans="1:29" ht="25.5" customHeight="1" x14ac:dyDescent="0.35">
      <c r="A4310" s="188"/>
      <c r="B4310" s="190"/>
      <c r="C4310" s="99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0"/>
      <c r="E4310" s="78" t="str">
        <f>IF(C4310="","",IFERROR(VLOOKUP(C4310,parametros!$A$11:$E$15,5,0),""))</f>
        <v/>
      </c>
      <c r="F4310" s="79" t="str">
        <f t="shared" si="337"/>
        <v/>
      </c>
      <c r="G4310" s="101"/>
      <c r="H4310" s="91">
        <f t="shared" si="338"/>
        <v>0</v>
      </c>
      <c r="I4310" s="91" t="str">
        <f t="shared" si="339"/>
        <v/>
      </c>
      <c r="J4310" s="91" t="str">
        <f t="shared" si="340"/>
        <v/>
      </c>
      <c r="K4310" s="92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2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58"/>
      <c r="U4310" s="217" t="str">
        <f t="shared" si="341"/>
        <v/>
      </c>
      <c r="V4310" s="215" t="s">
        <v>47</v>
      </c>
      <c r="W4310" s="102" t="s">
        <v>136</v>
      </c>
      <c r="X4310" s="102" t="s">
        <v>137</v>
      </c>
      <c r="Y4310" s="103" t="s">
        <v>138</v>
      </c>
      <c r="Z4310" s="103" t="s">
        <v>139</v>
      </c>
      <c r="AA4310" s="103" t="s">
        <v>47</v>
      </c>
      <c r="AB4310" s="103" t="s">
        <v>140</v>
      </c>
      <c r="AC4310" s="104" t="s">
        <v>141</v>
      </c>
    </row>
    <row r="4311" spans="1:29" ht="25.5" customHeight="1" x14ac:dyDescent="0.35">
      <c r="A4311" s="188"/>
      <c r="B4311" s="190"/>
      <c r="C4311" s="99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0"/>
      <c r="E4311" s="78" t="str">
        <f>IF(C4311="","",IFERROR(VLOOKUP(C4311,parametros!$A$11:$E$15,5,0),""))</f>
        <v/>
      </c>
      <c r="F4311" s="79" t="str">
        <f t="shared" si="337"/>
        <v/>
      </c>
      <c r="G4311" s="101"/>
      <c r="H4311" s="91">
        <f t="shared" si="338"/>
        <v>0</v>
      </c>
      <c r="I4311" s="91" t="str">
        <f t="shared" si="339"/>
        <v/>
      </c>
      <c r="J4311" s="91" t="str">
        <f t="shared" si="340"/>
        <v/>
      </c>
      <c r="K4311" s="92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2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58"/>
      <c r="U4311" s="217" t="str">
        <f t="shared" si="341"/>
        <v/>
      </c>
      <c r="V4311" s="215" t="s">
        <v>47</v>
      </c>
      <c r="W4311" s="102" t="s">
        <v>136</v>
      </c>
      <c r="X4311" s="102" t="s">
        <v>137</v>
      </c>
      <c r="Y4311" s="103" t="s">
        <v>138</v>
      </c>
      <c r="Z4311" s="103" t="s">
        <v>139</v>
      </c>
      <c r="AA4311" s="103" t="s">
        <v>47</v>
      </c>
      <c r="AB4311" s="103" t="s">
        <v>140</v>
      </c>
      <c r="AC4311" s="104" t="s">
        <v>141</v>
      </c>
    </row>
    <row r="4312" spans="1:29" ht="25.5" customHeight="1" x14ac:dyDescent="0.35">
      <c r="A4312" s="188"/>
      <c r="B4312" s="190"/>
      <c r="C4312" s="99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0"/>
      <c r="E4312" s="78" t="str">
        <f>IF(C4312="","",IFERROR(VLOOKUP(C4312,parametros!$A$11:$E$15,5,0),""))</f>
        <v/>
      </c>
      <c r="F4312" s="79" t="str">
        <f t="shared" si="337"/>
        <v/>
      </c>
      <c r="G4312" s="101"/>
      <c r="H4312" s="91">
        <f t="shared" si="338"/>
        <v>0</v>
      </c>
      <c r="I4312" s="91" t="str">
        <f t="shared" si="339"/>
        <v/>
      </c>
      <c r="J4312" s="91" t="str">
        <f t="shared" si="340"/>
        <v/>
      </c>
      <c r="K4312" s="92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2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58"/>
      <c r="U4312" s="217" t="str">
        <f t="shared" si="341"/>
        <v/>
      </c>
      <c r="V4312" s="215" t="s">
        <v>47</v>
      </c>
      <c r="W4312" s="102" t="s">
        <v>136</v>
      </c>
      <c r="X4312" s="102" t="s">
        <v>137</v>
      </c>
      <c r="Y4312" s="103" t="s">
        <v>138</v>
      </c>
      <c r="Z4312" s="103" t="s">
        <v>139</v>
      </c>
      <c r="AA4312" s="103" t="s">
        <v>47</v>
      </c>
      <c r="AB4312" s="103" t="s">
        <v>140</v>
      </c>
      <c r="AC4312" s="104" t="s">
        <v>141</v>
      </c>
    </row>
    <row r="4313" spans="1:29" ht="25.5" customHeight="1" x14ac:dyDescent="0.35">
      <c r="A4313" s="188"/>
      <c r="B4313" s="190"/>
      <c r="C4313" s="99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0"/>
      <c r="E4313" s="78" t="str">
        <f>IF(C4313="","",IFERROR(VLOOKUP(C4313,parametros!$A$11:$E$15,5,0),""))</f>
        <v/>
      </c>
      <c r="F4313" s="79" t="str">
        <f t="shared" si="337"/>
        <v/>
      </c>
      <c r="G4313" s="101"/>
      <c r="H4313" s="91">
        <f t="shared" si="338"/>
        <v>0</v>
      </c>
      <c r="I4313" s="91" t="str">
        <f t="shared" si="339"/>
        <v/>
      </c>
      <c r="J4313" s="91" t="str">
        <f t="shared" si="340"/>
        <v/>
      </c>
      <c r="K4313" s="92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2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58"/>
      <c r="U4313" s="217" t="str">
        <f t="shared" si="341"/>
        <v/>
      </c>
      <c r="V4313" s="215" t="s">
        <v>47</v>
      </c>
      <c r="W4313" s="102" t="s">
        <v>136</v>
      </c>
      <c r="X4313" s="102" t="s">
        <v>137</v>
      </c>
      <c r="Y4313" s="103" t="s">
        <v>138</v>
      </c>
      <c r="Z4313" s="103" t="s">
        <v>139</v>
      </c>
      <c r="AA4313" s="103" t="s">
        <v>47</v>
      </c>
      <c r="AB4313" s="103" t="s">
        <v>140</v>
      </c>
      <c r="AC4313" s="104" t="s">
        <v>141</v>
      </c>
    </row>
    <row r="4314" spans="1:29" ht="25.5" customHeight="1" x14ac:dyDescent="0.35">
      <c r="A4314" s="188"/>
      <c r="B4314" s="190"/>
      <c r="C4314" s="99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0"/>
      <c r="E4314" s="78" t="str">
        <f>IF(C4314="","",IFERROR(VLOOKUP(C4314,parametros!$A$11:$E$15,5,0),""))</f>
        <v/>
      </c>
      <c r="F4314" s="79" t="str">
        <f t="shared" si="337"/>
        <v/>
      </c>
      <c r="G4314" s="101"/>
      <c r="H4314" s="91">
        <f t="shared" si="338"/>
        <v>0</v>
      </c>
      <c r="I4314" s="91" t="str">
        <f t="shared" si="339"/>
        <v/>
      </c>
      <c r="J4314" s="91" t="str">
        <f t="shared" si="340"/>
        <v/>
      </c>
      <c r="K4314" s="92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2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58"/>
      <c r="U4314" s="217" t="str">
        <f t="shared" si="341"/>
        <v/>
      </c>
      <c r="V4314" s="215" t="s">
        <v>47</v>
      </c>
      <c r="W4314" s="102" t="s">
        <v>136</v>
      </c>
      <c r="X4314" s="102" t="s">
        <v>137</v>
      </c>
      <c r="Y4314" s="103" t="s">
        <v>138</v>
      </c>
      <c r="Z4314" s="103" t="s">
        <v>139</v>
      </c>
      <c r="AA4314" s="103" t="s">
        <v>47</v>
      </c>
      <c r="AB4314" s="103" t="s">
        <v>140</v>
      </c>
      <c r="AC4314" s="104" t="s">
        <v>141</v>
      </c>
    </row>
    <row r="4315" spans="1:29" ht="25.5" customHeight="1" x14ac:dyDescent="0.35">
      <c r="A4315" s="188"/>
      <c r="B4315" s="190"/>
      <c r="C4315" s="99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0"/>
      <c r="E4315" s="78" t="str">
        <f>IF(C4315="","",IFERROR(VLOOKUP(C4315,parametros!$A$11:$E$15,5,0),""))</f>
        <v/>
      </c>
      <c r="F4315" s="79" t="str">
        <f t="shared" si="337"/>
        <v/>
      </c>
      <c r="G4315" s="101"/>
      <c r="H4315" s="91">
        <f t="shared" si="338"/>
        <v>0</v>
      </c>
      <c r="I4315" s="91" t="str">
        <f t="shared" si="339"/>
        <v/>
      </c>
      <c r="J4315" s="91" t="str">
        <f t="shared" si="340"/>
        <v/>
      </c>
      <c r="K4315" s="92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2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58"/>
      <c r="U4315" s="217" t="str">
        <f t="shared" si="341"/>
        <v/>
      </c>
      <c r="V4315" s="215" t="s">
        <v>47</v>
      </c>
      <c r="W4315" s="102" t="s">
        <v>136</v>
      </c>
      <c r="X4315" s="102" t="s">
        <v>137</v>
      </c>
      <c r="Y4315" s="103" t="s">
        <v>138</v>
      </c>
      <c r="Z4315" s="103" t="s">
        <v>139</v>
      </c>
      <c r="AA4315" s="103" t="s">
        <v>47</v>
      </c>
      <c r="AB4315" s="103" t="s">
        <v>140</v>
      </c>
      <c r="AC4315" s="104" t="s">
        <v>141</v>
      </c>
    </row>
    <row r="4316" spans="1:29" ht="25.5" customHeight="1" x14ac:dyDescent="0.35">
      <c r="A4316" s="188"/>
      <c r="B4316" s="190"/>
      <c r="C4316" s="99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0"/>
      <c r="E4316" s="78" t="str">
        <f>IF(C4316="","",IFERROR(VLOOKUP(C4316,parametros!$A$11:$E$15,5,0),""))</f>
        <v/>
      </c>
      <c r="F4316" s="79" t="str">
        <f t="shared" si="337"/>
        <v/>
      </c>
      <c r="G4316" s="101"/>
      <c r="H4316" s="91">
        <f t="shared" si="338"/>
        <v>0</v>
      </c>
      <c r="I4316" s="91" t="str">
        <f t="shared" si="339"/>
        <v/>
      </c>
      <c r="J4316" s="91" t="str">
        <f t="shared" si="340"/>
        <v/>
      </c>
      <c r="K4316" s="92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2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58"/>
      <c r="U4316" s="217" t="str">
        <f t="shared" si="341"/>
        <v/>
      </c>
      <c r="V4316" s="215" t="s">
        <v>47</v>
      </c>
      <c r="W4316" s="102" t="s">
        <v>136</v>
      </c>
      <c r="X4316" s="102" t="s">
        <v>137</v>
      </c>
      <c r="Y4316" s="103" t="s">
        <v>138</v>
      </c>
      <c r="Z4316" s="103" t="s">
        <v>139</v>
      </c>
      <c r="AA4316" s="103" t="s">
        <v>47</v>
      </c>
      <c r="AB4316" s="103" t="s">
        <v>140</v>
      </c>
      <c r="AC4316" s="104" t="s">
        <v>141</v>
      </c>
    </row>
    <row r="4317" spans="1:29" ht="25.5" customHeight="1" x14ac:dyDescent="0.35">
      <c r="A4317" s="188"/>
      <c r="B4317" s="190"/>
      <c r="C4317" s="99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0"/>
      <c r="E4317" s="78" t="str">
        <f>IF(C4317="","",IFERROR(VLOOKUP(C4317,parametros!$A$11:$E$15,5,0),""))</f>
        <v/>
      </c>
      <c r="F4317" s="79" t="str">
        <f t="shared" si="337"/>
        <v/>
      </c>
      <c r="G4317" s="101"/>
      <c r="H4317" s="91">
        <f t="shared" si="338"/>
        <v>0</v>
      </c>
      <c r="I4317" s="91" t="str">
        <f t="shared" si="339"/>
        <v/>
      </c>
      <c r="J4317" s="91" t="str">
        <f t="shared" si="340"/>
        <v/>
      </c>
      <c r="K4317" s="92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2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58"/>
      <c r="U4317" s="217" t="str">
        <f t="shared" si="341"/>
        <v/>
      </c>
      <c r="V4317" s="215" t="s">
        <v>47</v>
      </c>
      <c r="W4317" s="102" t="s">
        <v>136</v>
      </c>
      <c r="X4317" s="102" t="s">
        <v>137</v>
      </c>
      <c r="Y4317" s="103" t="s">
        <v>138</v>
      </c>
      <c r="Z4317" s="103" t="s">
        <v>139</v>
      </c>
      <c r="AA4317" s="103" t="s">
        <v>47</v>
      </c>
      <c r="AB4317" s="103" t="s">
        <v>140</v>
      </c>
      <c r="AC4317" s="104" t="s">
        <v>141</v>
      </c>
    </row>
    <row r="4318" spans="1:29" ht="25.5" customHeight="1" x14ac:dyDescent="0.35">
      <c r="A4318" s="188"/>
      <c r="B4318" s="190"/>
      <c r="C4318" s="99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0"/>
      <c r="E4318" s="78" t="str">
        <f>IF(C4318="","",IFERROR(VLOOKUP(C4318,parametros!$A$11:$E$15,5,0),""))</f>
        <v/>
      </c>
      <c r="F4318" s="79" t="str">
        <f t="shared" si="337"/>
        <v/>
      </c>
      <c r="G4318" s="101"/>
      <c r="H4318" s="91">
        <f t="shared" si="338"/>
        <v>0</v>
      </c>
      <c r="I4318" s="91" t="str">
        <f t="shared" si="339"/>
        <v/>
      </c>
      <c r="J4318" s="91" t="str">
        <f t="shared" si="340"/>
        <v/>
      </c>
      <c r="K4318" s="92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2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58"/>
      <c r="U4318" s="217" t="str">
        <f t="shared" si="341"/>
        <v/>
      </c>
      <c r="V4318" s="215" t="s">
        <v>47</v>
      </c>
      <c r="W4318" s="102" t="s">
        <v>136</v>
      </c>
      <c r="X4318" s="102" t="s">
        <v>137</v>
      </c>
      <c r="Y4318" s="103" t="s">
        <v>138</v>
      </c>
      <c r="Z4318" s="103" t="s">
        <v>139</v>
      </c>
      <c r="AA4318" s="103" t="s">
        <v>47</v>
      </c>
      <c r="AB4318" s="103" t="s">
        <v>140</v>
      </c>
      <c r="AC4318" s="104" t="s">
        <v>141</v>
      </c>
    </row>
    <row r="4319" spans="1:29" ht="25.5" customHeight="1" x14ac:dyDescent="0.35">
      <c r="A4319" s="188"/>
      <c r="B4319" s="190"/>
      <c r="C4319" s="99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0"/>
      <c r="E4319" s="78" t="str">
        <f>IF(C4319="","",IFERROR(VLOOKUP(C4319,parametros!$A$11:$E$15,5,0),""))</f>
        <v/>
      </c>
      <c r="F4319" s="79" t="str">
        <f t="shared" si="337"/>
        <v/>
      </c>
      <c r="G4319" s="101"/>
      <c r="H4319" s="91">
        <f t="shared" si="338"/>
        <v>0</v>
      </c>
      <c r="I4319" s="91" t="str">
        <f t="shared" si="339"/>
        <v/>
      </c>
      <c r="J4319" s="91" t="str">
        <f t="shared" si="340"/>
        <v/>
      </c>
      <c r="K4319" s="92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2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58"/>
      <c r="U4319" s="217" t="str">
        <f t="shared" si="341"/>
        <v/>
      </c>
      <c r="V4319" s="215" t="s">
        <v>47</v>
      </c>
      <c r="W4319" s="102" t="s">
        <v>136</v>
      </c>
      <c r="X4319" s="102" t="s">
        <v>137</v>
      </c>
      <c r="Y4319" s="103" t="s">
        <v>138</v>
      </c>
      <c r="Z4319" s="103" t="s">
        <v>139</v>
      </c>
      <c r="AA4319" s="103" t="s">
        <v>47</v>
      </c>
      <c r="AB4319" s="103" t="s">
        <v>140</v>
      </c>
      <c r="AC4319" s="104" t="s">
        <v>141</v>
      </c>
    </row>
    <row r="4320" spans="1:29" ht="25.5" customHeight="1" x14ac:dyDescent="0.35">
      <c r="A4320" s="188"/>
      <c r="B4320" s="190"/>
      <c r="C4320" s="99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0"/>
      <c r="E4320" s="78" t="str">
        <f>IF(C4320="","",IFERROR(VLOOKUP(C4320,parametros!$A$11:$E$15,5,0),""))</f>
        <v/>
      </c>
      <c r="F4320" s="79" t="str">
        <f t="shared" si="337"/>
        <v/>
      </c>
      <c r="G4320" s="101"/>
      <c r="H4320" s="91">
        <f t="shared" si="338"/>
        <v>0</v>
      </c>
      <c r="I4320" s="91" t="str">
        <f t="shared" si="339"/>
        <v/>
      </c>
      <c r="J4320" s="91" t="str">
        <f t="shared" si="340"/>
        <v/>
      </c>
      <c r="K4320" s="92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2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58"/>
      <c r="U4320" s="217" t="str">
        <f t="shared" si="341"/>
        <v/>
      </c>
      <c r="V4320" s="215" t="s">
        <v>47</v>
      </c>
      <c r="W4320" s="102" t="s">
        <v>136</v>
      </c>
      <c r="X4320" s="102" t="s">
        <v>137</v>
      </c>
      <c r="Y4320" s="103" t="s">
        <v>138</v>
      </c>
      <c r="Z4320" s="103" t="s">
        <v>139</v>
      </c>
      <c r="AA4320" s="103" t="s">
        <v>47</v>
      </c>
      <c r="AB4320" s="103" t="s">
        <v>140</v>
      </c>
      <c r="AC4320" s="104" t="s">
        <v>141</v>
      </c>
    </row>
    <row r="4321" spans="1:29" ht="25.5" customHeight="1" x14ac:dyDescent="0.35">
      <c r="A4321" s="188"/>
      <c r="B4321" s="190"/>
      <c r="C4321" s="99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0"/>
      <c r="E4321" s="78" t="str">
        <f>IF(C4321="","",IFERROR(VLOOKUP(C4321,parametros!$A$11:$E$15,5,0),""))</f>
        <v/>
      </c>
      <c r="F4321" s="79" t="str">
        <f t="shared" si="337"/>
        <v/>
      </c>
      <c r="G4321" s="101"/>
      <c r="H4321" s="91">
        <f t="shared" si="338"/>
        <v>0</v>
      </c>
      <c r="I4321" s="91" t="str">
        <f t="shared" si="339"/>
        <v/>
      </c>
      <c r="J4321" s="91" t="str">
        <f t="shared" si="340"/>
        <v/>
      </c>
      <c r="K4321" s="92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2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58"/>
      <c r="U4321" s="217" t="str">
        <f t="shared" si="341"/>
        <v/>
      </c>
      <c r="V4321" s="215" t="s">
        <v>47</v>
      </c>
      <c r="W4321" s="102" t="s">
        <v>136</v>
      </c>
      <c r="X4321" s="102" t="s">
        <v>137</v>
      </c>
      <c r="Y4321" s="103" t="s">
        <v>138</v>
      </c>
      <c r="Z4321" s="103" t="s">
        <v>139</v>
      </c>
      <c r="AA4321" s="103" t="s">
        <v>47</v>
      </c>
      <c r="AB4321" s="103" t="s">
        <v>140</v>
      </c>
      <c r="AC4321" s="104" t="s">
        <v>141</v>
      </c>
    </row>
    <row r="4322" spans="1:29" ht="25.5" customHeight="1" x14ac:dyDescent="0.35">
      <c r="A4322" s="188"/>
      <c r="B4322" s="190"/>
      <c r="C4322" s="99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0"/>
      <c r="E4322" s="78" t="str">
        <f>IF(C4322="","",IFERROR(VLOOKUP(C4322,parametros!$A$11:$E$15,5,0),""))</f>
        <v/>
      </c>
      <c r="F4322" s="79" t="str">
        <f t="shared" si="337"/>
        <v/>
      </c>
      <c r="G4322" s="101"/>
      <c r="H4322" s="91">
        <f t="shared" si="338"/>
        <v>0</v>
      </c>
      <c r="I4322" s="91" t="str">
        <f t="shared" si="339"/>
        <v/>
      </c>
      <c r="J4322" s="91" t="str">
        <f t="shared" si="340"/>
        <v/>
      </c>
      <c r="K4322" s="92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2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58"/>
      <c r="U4322" s="217" t="str">
        <f t="shared" si="341"/>
        <v/>
      </c>
      <c r="V4322" s="215" t="s">
        <v>47</v>
      </c>
      <c r="W4322" s="102" t="s">
        <v>136</v>
      </c>
      <c r="X4322" s="102" t="s">
        <v>137</v>
      </c>
      <c r="Y4322" s="103" t="s">
        <v>138</v>
      </c>
      <c r="Z4322" s="103" t="s">
        <v>139</v>
      </c>
      <c r="AA4322" s="103" t="s">
        <v>47</v>
      </c>
      <c r="AB4322" s="103" t="s">
        <v>140</v>
      </c>
      <c r="AC4322" s="104" t="s">
        <v>141</v>
      </c>
    </row>
    <row r="4323" spans="1:29" ht="25.5" customHeight="1" x14ac:dyDescent="0.35">
      <c r="A4323" s="188"/>
      <c r="B4323" s="190"/>
      <c r="C4323" s="99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0"/>
      <c r="E4323" s="78" t="str">
        <f>IF(C4323="","",IFERROR(VLOOKUP(C4323,parametros!$A$11:$E$15,5,0),""))</f>
        <v/>
      </c>
      <c r="F4323" s="79" t="str">
        <f t="shared" si="337"/>
        <v/>
      </c>
      <c r="G4323" s="101"/>
      <c r="H4323" s="91">
        <f t="shared" si="338"/>
        <v>0</v>
      </c>
      <c r="I4323" s="91" t="str">
        <f t="shared" si="339"/>
        <v/>
      </c>
      <c r="J4323" s="91" t="str">
        <f t="shared" si="340"/>
        <v/>
      </c>
      <c r="K4323" s="92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2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58"/>
      <c r="U4323" s="217" t="str">
        <f t="shared" si="341"/>
        <v/>
      </c>
      <c r="V4323" s="215" t="s">
        <v>47</v>
      </c>
      <c r="W4323" s="102" t="s">
        <v>136</v>
      </c>
      <c r="X4323" s="102" t="s">
        <v>137</v>
      </c>
      <c r="Y4323" s="103" t="s">
        <v>138</v>
      </c>
      <c r="Z4323" s="103" t="s">
        <v>139</v>
      </c>
      <c r="AA4323" s="103" t="s">
        <v>47</v>
      </c>
      <c r="AB4323" s="103" t="s">
        <v>140</v>
      </c>
      <c r="AC4323" s="104" t="s">
        <v>141</v>
      </c>
    </row>
    <row r="4324" spans="1:29" ht="25.5" customHeight="1" x14ac:dyDescent="0.35">
      <c r="A4324" s="188"/>
      <c r="B4324" s="190"/>
      <c r="C4324" s="99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0"/>
      <c r="E4324" s="78" t="str">
        <f>IF(C4324="","",IFERROR(VLOOKUP(C4324,parametros!$A$11:$E$15,5,0),""))</f>
        <v/>
      </c>
      <c r="F4324" s="79" t="str">
        <f t="shared" si="337"/>
        <v/>
      </c>
      <c r="G4324" s="101"/>
      <c r="H4324" s="91">
        <f t="shared" si="338"/>
        <v>0</v>
      </c>
      <c r="I4324" s="91" t="str">
        <f t="shared" si="339"/>
        <v/>
      </c>
      <c r="J4324" s="91" t="str">
        <f t="shared" si="340"/>
        <v/>
      </c>
      <c r="K4324" s="92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2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58"/>
      <c r="U4324" s="217" t="str">
        <f t="shared" si="341"/>
        <v/>
      </c>
      <c r="V4324" s="215" t="s">
        <v>47</v>
      </c>
      <c r="W4324" s="102" t="s">
        <v>136</v>
      </c>
      <c r="X4324" s="102" t="s">
        <v>137</v>
      </c>
      <c r="Y4324" s="103" t="s">
        <v>138</v>
      </c>
      <c r="Z4324" s="103" t="s">
        <v>139</v>
      </c>
      <c r="AA4324" s="103" t="s">
        <v>47</v>
      </c>
      <c r="AB4324" s="103" t="s">
        <v>140</v>
      </c>
      <c r="AC4324" s="104" t="s">
        <v>141</v>
      </c>
    </row>
    <row r="4325" spans="1:29" ht="25.5" customHeight="1" x14ac:dyDescent="0.35">
      <c r="A4325" s="188"/>
      <c r="B4325" s="190"/>
      <c r="C4325" s="99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0"/>
      <c r="E4325" s="78" t="str">
        <f>IF(C4325="","",IFERROR(VLOOKUP(C4325,parametros!$A$11:$E$15,5,0),""))</f>
        <v/>
      </c>
      <c r="F4325" s="79" t="str">
        <f t="shared" si="337"/>
        <v/>
      </c>
      <c r="G4325" s="101"/>
      <c r="H4325" s="91">
        <f t="shared" si="338"/>
        <v>0</v>
      </c>
      <c r="I4325" s="91" t="str">
        <f t="shared" si="339"/>
        <v/>
      </c>
      <c r="J4325" s="91" t="str">
        <f t="shared" si="340"/>
        <v/>
      </c>
      <c r="K4325" s="92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2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58"/>
      <c r="U4325" s="217" t="str">
        <f t="shared" si="341"/>
        <v/>
      </c>
      <c r="V4325" s="215" t="s">
        <v>47</v>
      </c>
      <c r="W4325" s="102" t="s">
        <v>136</v>
      </c>
      <c r="X4325" s="102" t="s">
        <v>137</v>
      </c>
      <c r="Y4325" s="103" t="s">
        <v>138</v>
      </c>
      <c r="Z4325" s="103" t="s">
        <v>139</v>
      </c>
      <c r="AA4325" s="103" t="s">
        <v>47</v>
      </c>
      <c r="AB4325" s="103" t="s">
        <v>140</v>
      </c>
      <c r="AC4325" s="104" t="s">
        <v>141</v>
      </c>
    </row>
    <row r="4326" spans="1:29" ht="25.5" customHeight="1" x14ac:dyDescent="0.35">
      <c r="A4326" s="188"/>
      <c r="B4326" s="190"/>
      <c r="C4326" s="99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0"/>
      <c r="E4326" s="78" t="str">
        <f>IF(C4326="","",IFERROR(VLOOKUP(C4326,parametros!$A$11:$E$15,5,0),""))</f>
        <v/>
      </c>
      <c r="F4326" s="79" t="str">
        <f t="shared" si="337"/>
        <v/>
      </c>
      <c r="G4326" s="101"/>
      <c r="H4326" s="91">
        <f t="shared" si="338"/>
        <v>0</v>
      </c>
      <c r="I4326" s="91" t="str">
        <f t="shared" si="339"/>
        <v/>
      </c>
      <c r="J4326" s="91" t="str">
        <f t="shared" si="340"/>
        <v/>
      </c>
      <c r="K4326" s="92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2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58"/>
      <c r="U4326" s="217" t="str">
        <f t="shared" si="341"/>
        <v/>
      </c>
      <c r="V4326" s="215" t="s">
        <v>47</v>
      </c>
      <c r="W4326" s="102" t="s">
        <v>136</v>
      </c>
      <c r="X4326" s="102" t="s">
        <v>137</v>
      </c>
      <c r="Y4326" s="103" t="s">
        <v>138</v>
      </c>
      <c r="Z4326" s="103" t="s">
        <v>139</v>
      </c>
      <c r="AA4326" s="103" t="s">
        <v>47</v>
      </c>
      <c r="AB4326" s="103" t="s">
        <v>140</v>
      </c>
      <c r="AC4326" s="104" t="s">
        <v>141</v>
      </c>
    </row>
    <row r="4327" spans="1:29" ht="25.5" customHeight="1" x14ac:dyDescent="0.35">
      <c r="A4327" s="188"/>
      <c r="B4327" s="190"/>
      <c r="C4327" s="99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0"/>
      <c r="E4327" s="78" t="str">
        <f>IF(C4327="","",IFERROR(VLOOKUP(C4327,parametros!$A$11:$E$15,5,0),""))</f>
        <v/>
      </c>
      <c r="F4327" s="79" t="str">
        <f t="shared" si="337"/>
        <v/>
      </c>
      <c r="G4327" s="101"/>
      <c r="H4327" s="91">
        <f t="shared" si="338"/>
        <v>0</v>
      </c>
      <c r="I4327" s="91" t="str">
        <f t="shared" si="339"/>
        <v/>
      </c>
      <c r="J4327" s="91" t="str">
        <f t="shared" si="340"/>
        <v/>
      </c>
      <c r="K4327" s="92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2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58"/>
      <c r="U4327" s="217" t="str">
        <f t="shared" si="341"/>
        <v/>
      </c>
      <c r="V4327" s="215" t="s">
        <v>47</v>
      </c>
      <c r="W4327" s="102" t="s">
        <v>136</v>
      </c>
      <c r="X4327" s="102" t="s">
        <v>137</v>
      </c>
      <c r="Y4327" s="103" t="s">
        <v>138</v>
      </c>
      <c r="Z4327" s="103" t="s">
        <v>139</v>
      </c>
      <c r="AA4327" s="103" t="s">
        <v>47</v>
      </c>
      <c r="AB4327" s="103" t="s">
        <v>140</v>
      </c>
      <c r="AC4327" s="104" t="s">
        <v>141</v>
      </c>
    </row>
    <row r="4328" spans="1:29" ht="25.5" customHeight="1" x14ac:dyDescent="0.35">
      <c r="A4328" s="188"/>
      <c r="B4328" s="190"/>
      <c r="C4328" s="99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0"/>
      <c r="E4328" s="78" t="str">
        <f>IF(C4328="","",IFERROR(VLOOKUP(C4328,parametros!$A$11:$E$15,5,0),""))</f>
        <v/>
      </c>
      <c r="F4328" s="79" t="str">
        <f t="shared" si="337"/>
        <v/>
      </c>
      <c r="G4328" s="101"/>
      <c r="H4328" s="91">
        <f t="shared" si="338"/>
        <v>0</v>
      </c>
      <c r="I4328" s="91" t="str">
        <f t="shared" si="339"/>
        <v/>
      </c>
      <c r="J4328" s="91" t="str">
        <f t="shared" si="340"/>
        <v/>
      </c>
      <c r="K4328" s="92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2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58"/>
      <c r="U4328" s="217" t="str">
        <f t="shared" si="341"/>
        <v/>
      </c>
      <c r="V4328" s="215" t="s">
        <v>47</v>
      </c>
      <c r="W4328" s="102" t="s">
        <v>136</v>
      </c>
      <c r="X4328" s="102" t="s">
        <v>137</v>
      </c>
      <c r="Y4328" s="103" t="s">
        <v>138</v>
      </c>
      <c r="Z4328" s="103" t="s">
        <v>139</v>
      </c>
      <c r="AA4328" s="103" t="s">
        <v>47</v>
      </c>
      <c r="AB4328" s="103" t="s">
        <v>140</v>
      </c>
      <c r="AC4328" s="104" t="s">
        <v>141</v>
      </c>
    </row>
    <row r="4329" spans="1:29" ht="25.5" customHeight="1" x14ac:dyDescent="0.35">
      <c r="A4329" s="188"/>
      <c r="B4329" s="190"/>
      <c r="C4329" s="99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0"/>
      <c r="E4329" s="78" t="str">
        <f>IF(C4329="","",IFERROR(VLOOKUP(C4329,parametros!$A$11:$E$15,5,0),""))</f>
        <v/>
      </c>
      <c r="F4329" s="79" t="str">
        <f t="shared" si="337"/>
        <v/>
      </c>
      <c r="G4329" s="101"/>
      <c r="H4329" s="91">
        <f t="shared" si="338"/>
        <v>0</v>
      </c>
      <c r="I4329" s="91" t="str">
        <f t="shared" si="339"/>
        <v/>
      </c>
      <c r="J4329" s="91" t="str">
        <f t="shared" si="340"/>
        <v/>
      </c>
      <c r="K4329" s="92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2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58"/>
      <c r="U4329" s="217" t="str">
        <f t="shared" si="341"/>
        <v/>
      </c>
      <c r="V4329" s="215" t="s">
        <v>47</v>
      </c>
      <c r="W4329" s="102" t="s">
        <v>136</v>
      </c>
      <c r="X4329" s="102" t="s">
        <v>137</v>
      </c>
      <c r="Y4329" s="103" t="s">
        <v>138</v>
      </c>
      <c r="Z4329" s="103" t="s">
        <v>139</v>
      </c>
      <c r="AA4329" s="103" t="s">
        <v>47</v>
      </c>
      <c r="AB4329" s="103" t="s">
        <v>140</v>
      </c>
      <c r="AC4329" s="104" t="s">
        <v>141</v>
      </c>
    </row>
    <row r="4330" spans="1:29" ht="25.5" customHeight="1" x14ac:dyDescent="0.35">
      <c r="A4330" s="188"/>
      <c r="B4330" s="190"/>
      <c r="C4330" s="99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0"/>
      <c r="E4330" s="78" t="str">
        <f>IF(C4330="","",IFERROR(VLOOKUP(C4330,parametros!$A$11:$E$15,5,0),""))</f>
        <v/>
      </c>
      <c r="F4330" s="79" t="str">
        <f t="shared" si="337"/>
        <v/>
      </c>
      <c r="G4330" s="101"/>
      <c r="H4330" s="91">
        <f t="shared" si="338"/>
        <v>0</v>
      </c>
      <c r="I4330" s="91" t="str">
        <f t="shared" si="339"/>
        <v/>
      </c>
      <c r="J4330" s="91" t="str">
        <f t="shared" si="340"/>
        <v/>
      </c>
      <c r="K4330" s="92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2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58"/>
      <c r="U4330" s="217" t="str">
        <f t="shared" si="341"/>
        <v/>
      </c>
      <c r="V4330" s="215" t="s">
        <v>47</v>
      </c>
      <c r="W4330" s="102" t="s">
        <v>136</v>
      </c>
      <c r="X4330" s="102" t="s">
        <v>137</v>
      </c>
      <c r="Y4330" s="103" t="s">
        <v>138</v>
      </c>
      <c r="Z4330" s="103" t="s">
        <v>139</v>
      </c>
      <c r="AA4330" s="103" t="s">
        <v>47</v>
      </c>
      <c r="AB4330" s="103" t="s">
        <v>140</v>
      </c>
      <c r="AC4330" s="104" t="s">
        <v>141</v>
      </c>
    </row>
    <row r="4331" spans="1:29" ht="25.5" customHeight="1" x14ac:dyDescent="0.35">
      <c r="A4331" s="188"/>
      <c r="B4331" s="190"/>
      <c r="C4331" s="99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0"/>
      <c r="E4331" s="78" t="str">
        <f>IF(C4331="","",IFERROR(VLOOKUP(C4331,parametros!$A$11:$E$15,5,0),""))</f>
        <v/>
      </c>
      <c r="F4331" s="79" t="str">
        <f t="shared" si="337"/>
        <v/>
      </c>
      <c r="G4331" s="101"/>
      <c r="H4331" s="91">
        <f t="shared" si="338"/>
        <v>0</v>
      </c>
      <c r="I4331" s="91" t="str">
        <f t="shared" si="339"/>
        <v/>
      </c>
      <c r="J4331" s="91" t="str">
        <f t="shared" si="340"/>
        <v/>
      </c>
      <c r="K4331" s="92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2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58"/>
      <c r="U4331" s="217" t="str">
        <f t="shared" si="341"/>
        <v/>
      </c>
      <c r="V4331" s="215" t="s">
        <v>47</v>
      </c>
      <c r="W4331" s="102" t="s">
        <v>136</v>
      </c>
      <c r="X4331" s="102" t="s">
        <v>137</v>
      </c>
      <c r="Y4331" s="103" t="s">
        <v>138</v>
      </c>
      <c r="Z4331" s="103" t="s">
        <v>139</v>
      </c>
      <c r="AA4331" s="103" t="s">
        <v>47</v>
      </c>
      <c r="AB4331" s="103" t="s">
        <v>140</v>
      </c>
      <c r="AC4331" s="104" t="s">
        <v>141</v>
      </c>
    </row>
    <row r="4332" spans="1:29" ht="25.5" customHeight="1" x14ac:dyDescent="0.35">
      <c r="A4332" s="188"/>
      <c r="B4332" s="190"/>
      <c r="C4332" s="99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0"/>
      <c r="E4332" s="78" t="str">
        <f>IF(C4332="","",IFERROR(VLOOKUP(C4332,parametros!$A$11:$E$15,5,0),""))</f>
        <v/>
      </c>
      <c r="F4332" s="79" t="str">
        <f t="shared" si="337"/>
        <v/>
      </c>
      <c r="G4332" s="101"/>
      <c r="H4332" s="91">
        <f t="shared" si="338"/>
        <v>0</v>
      </c>
      <c r="I4332" s="91" t="str">
        <f t="shared" si="339"/>
        <v/>
      </c>
      <c r="J4332" s="91" t="str">
        <f t="shared" si="340"/>
        <v/>
      </c>
      <c r="K4332" s="92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2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58"/>
      <c r="U4332" s="217" t="str">
        <f t="shared" si="341"/>
        <v/>
      </c>
      <c r="V4332" s="215" t="s">
        <v>47</v>
      </c>
      <c r="W4332" s="102" t="s">
        <v>136</v>
      </c>
      <c r="X4332" s="102" t="s">
        <v>137</v>
      </c>
      <c r="Y4332" s="103" t="s">
        <v>138</v>
      </c>
      <c r="Z4332" s="103" t="s">
        <v>139</v>
      </c>
      <c r="AA4332" s="103" t="s">
        <v>47</v>
      </c>
      <c r="AB4332" s="103" t="s">
        <v>140</v>
      </c>
      <c r="AC4332" s="104" t="s">
        <v>141</v>
      </c>
    </row>
    <row r="4333" spans="1:29" ht="25.5" customHeight="1" x14ac:dyDescent="0.35">
      <c r="A4333" s="188"/>
      <c r="B4333" s="190"/>
      <c r="C4333" s="99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0"/>
      <c r="E4333" s="78" t="str">
        <f>IF(C4333="","",IFERROR(VLOOKUP(C4333,parametros!$A$11:$E$15,5,0),""))</f>
        <v/>
      </c>
      <c r="F4333" s="79" t="str">
        <f t="shared" si="337"/>
        <v/>
      </c>
      <c r="G4333" s="101"/>
      <c r="H4333" s="91">
        <f t="shared" si="338"/>
        <v>0</v>
      </c>
      <c r="I4333" s="91" t="str">
        <f t="shared" si="339"/>
        <v/>
      </c>
      <c r="J4333" s="91" t="str">
        <f t="shared" si="340"/>
        <v/>
      </c>
      <c r="K4333" s="92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2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58"/>
      <c r="U4333" s="217" t="str">
        <f t="shared" si="341"/>
        <v/>
      </c>
      <c r="V4333" s="215" t="s">
        <v>47</v>
      </c>
      <c r="W4333" s="102" t="s">
        <v>136</v>
      </c>
      <c r="X4333" s="102" t="s">
        <v>137</v>
      </c>
      <c r="Y4333" s="103" t="s">
        <v>138</v>
      </c>
      <c r="Z4333" s="103" t="s">
        <v>139</v>
      </c>
      <c r="AA4333" s="103" t="s">
        <v>47</v>
      </c>
      <c r="AB4333" s="103" t="s">
        <v>140</v>
      </c>
      <c r="AC4333" s="104" t="s">
        <v>141</v>
      </c>
    </row>
    <row r="4334" spans="1:29" ht="25.5" customHeight="1" x14ac:dyDescent="0.35">
      <c r="A4334" s="188"/>
      <c r="B4334" s="190"/>
      <c r="C4334" s="99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0"/>
      <c r="E4334" s="78" t="str">
        <f>IF(C4334="","",IFERROR(VLOOKUP(C4334,parametros!$A$11:$E$15,5,0),""))</f>
        <v/>
      </c>
      <c r="F4334" s="79" t="str">
        <f t="shared" si="337"/>
        <v/>
      </c>
      <c r="G4334" s="101"/>
      <c r="H4334" s="91">
        <f t="shared" si="338"/>
        <v>0</v>
      </c>
      <c r="I4334" s="91" t="str">
        <f t="shared" si="339"/>
        <v/>
      </c>
      <c r="J4334" s="91" t="str">
        <f t="shared" si="340"/>
        <v/>
      </c>
      <c r="K4334" s="92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2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58"/>
      <c r="U4334" s="217" t="str">
        <f t="shared" si="341"/>
        <v/>
      </c>
      <c r="V4334" s="215" t="s">
        <v>47</v>
      </c>
      <c r="W4334" s="102" t="s">
        <v>136</v>
      </c>
      <c r="X4334" s="102" t="s">
        <v>137</v>
      </c>
      <c r="Y4334" s="103" t="s">
        <v>138</v>
      </c>
      <c r="Z4334" s="103" t="s">
        <v>139</v>
      </c>
      <c r="AA4334" s="103" t="s">
        <v>47</v>
      </c>
      <c r="AB4334" s="103" t="s">
        <v>140</v>
      </c>
      <c r="AC4334" s="104" t="s">
        <v>141</v>
      </c>
    </row>
    <row r="4335" spans="1:29" ht="25.5" customHeight="1" x14ac:dyDescent="0.35">
      <c r="A4335" s="188"/>
      <c r="B4335" s="190"/>
      <c r="C4335" s="99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0"/>
      <c r="E4335" s="78" t="str">
        <f>IF(C4335="","",IFERROR(VLOOKUP(C4335,parametros!$A$11:$E$15,5,0),""))</f>
        <v/>
      </c>
      <c r="F4335" s="79" t="str">
        <f t="shared" si="337"/>
        <v/>
      </c>
      <c r="G4335" s="101"/>
      <c r="H4335" s="91">
        <f t="shared" si="338"/>
        <v>0</v>
      </c>
      <c r="I4335" s="91" t="str">
        <f t="shared" si="339"/>
        <v/>
      </c>
      <c r="J4335" s="91" t="str">
        <f t="shared" si="340"/>
        <v/>
      </c>
      <c r="K4335" s="92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2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58"/>
      <c r="U4335" s="217" t="str">
        <f t="shared" si="341"/>
        <v/>
      </c>
      <c r="V4335" s="215" t="s">
        <v>47</v>
      </c>
      <c r="W4335" s="102" t="s">
        <v>136</v>
      </c>
      <c r="X4335" s="102" t="s">
        <v>137</v>
      </c>
      <c r="Y4335" s="103" t="s">
        <v>138</v>
      </c>
      <c r="Z4335" s="103" t="s">
        <v>139</v>
      </c>
      <c r="AA4335" s="103" t="s">
        <v>47</v>
      </c>
      <c r="AB4335" s="103" t="s">
        <v>140</v>
      </c>
      <c r="AC4335" s="104" t="s">
        <v>141</v>
      </c>
    </row>
    <row r="4336" spans="1:29" ht="25.5" customHeight="1" x14ac:dyDescent="0.35">
      <c r="A4336" s="188"/>
      <c r="B4336" s="190"/>
      <c r="C4336" s="99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0"/>
      <c r="E4336" s="78" t="str">
        <f>IF(C4336="","",IFERROR(VLOOKUP(C4336,parametros!$A$11:$E$15,5,0),""))</f>
        <v/>
      </c>
      <c r="F4336" s="79" t="str">
        <f t="shared" si="337"/>
        <v/>
      </c>
      <c r="G4336" s="101"/>
      <c r="H4336" s="91">
        <f t="shared" si="338"/>
        <v>0</v>
      </c>
      <c r="I4336" s="91" t="str">
        <f t="shared" si="339"/>
        <v/>
      </c>
      <c r="J4336" s="91" t="str">
        <f t="shared" si="340"/>
        <v/>
      </c>
      <c r="K4336" s="92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2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58"/>
      <c r="U4336" s="217" t="str">
        <f t="shared" si="341"/>
        <v/>
      </c>
      <c r="V4336" s="215" t="s">
        <v>47</v>
      </c>
      <c r="W4336" s="102" t="s">
        <v>136</v>
      </c>
      <c r="X4336" s="102" t="s">
        <v>137</v>
      </c>
      <c r="Y4336" s="103" t="s">
        <v>138</v>
      </c>
      <c r="Z4336" s="103" t="s">
        <v>139</v>
      </c>
      <c r="AA4336" s="103" t="s">
        <v>47</v>
      </c>
      <c r="AB4336" s="103" t="s">
        <v>140</v>
      </c>
      <c r="AC4336" s="104" t="s">
        <v>141</v>
      </c>
    </row>
    <row r="4337" spans="1:29" ht="25.5" customHeight="1" x14ac:dyDescent="0.35">
      <c r="A4337" s="188"/>
      <c r="B4337" s="190"/>
      <c r="C4337" s="99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0"/>
      <c r="E4337" s="78" t="str">
        <f>IF(C4337="","",IFERROR(VLOOKUP(C4337,parametros!$A$11:$E$15,5,0),""))</f>
        <v/>
      </c>
      <c r="F4337" s="79" t="str">
        <f t="shared" si="337"/>
        <v/>
      </c>
      <c r="G4337" s="101"/>
      <c r="H4337" s="91">
        <f t="shared" si="338"/>
        <v>0</v>
      </c>
      <c r="I4337" s="91" t="str">
        <f t="shared" si="339"/>
        <v/>
      </c>
      <c r="J4337" s="91" t="str">
        <f t="shared" si="340"/>
        <v/>
      </c>
      <c r="K4337" s="92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2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58"/>
      <c r="U4337" s="217" t="str">
        <f t="shared" si="341"/>
        <v/>
      </c>
      <c r="V4337" s="215" t="s">
        <v>47</v>
      </c>
      <c r="W4337" s="102" t="s">
        <v>136</v>
      </c>
      <c r="X4337" s="102" t="s">
        <v>137</v>
      </c>
      <c r="Y4337" s="103" t="s">
        <v>138</v>
      </c>
      <c r="Z4337" s="103" t="s">
        <v>139</v>
      </c>
      <c r="AA4337" s="103" t="s">
        <v>47</v>
      </c>
      <c r="AB4337" s="103" t="s">
        <v>140</v>
      </c>
      <c r="AC4337" s="104" t="s">
        <v>141</v>
      </c>
    </row>
    <row r="4338" spans="1:29" ht="25.5" customHeight="1" x14ac:dyDescent="0.35">
      <c r="A4338" s="188"/>
      <c r="B4338" s="190"/>
      <c r="C4338" s="99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0"/>
      <c r="E4338" s="78" t="str">
        <f>IF(C4338="","",IFERROR(VLOOKUP(C4338,parametros!$A$11:$E$15,5,0),""))</f>
        <v/>
      </c>
      <c r="F4338" s="79" t="str">
        <f t="shared" si="337"/>
        <v/>
      </c>
      <c r="G4338" s="101"/>
      <c r="H4338" s="91">
        <f t="shared" si="338"/>
        <v>0</v>
      </c>
      <c r="I4338" s="91" t="str">
        <f t="shared" si="339"/>
        <v/>
      </c>
      <c r="J4338" s="91" t="str">
        <f t="shared" si="340"/>
        <v/>
      </c>
      <c r="K4338" s="92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2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58"/>
      <c r="U4338" s="217" t="str">
        <f t="shared" si="341"/>
        <v/>
      </c>
      <c r="V4338" s="215" t="s">
        <v>47</v>
      </c>
      <c r="W4338" s="102" t="s">
        <v>136</v>
      </c>
      <c r="X4338" s="102" t="s">
        <v>137</v>
      </c>
      <c r="Y4338" s="103" t="s">
        <v>138</v>
      </c>
      <c r="Z4338" s="103" t="s">
        <v>139</v>
      </c>
      <c r="AA4338" s="103" t="s">
        <v>47</v>
      </c>
      <c r="AB4338" s="103" t="s">
        <v>140</v>
      </c>
      <c r="AC4338" s="104" t="s">
        <v>141</v>
      </c>
    </row>
    <row r="4339" spans="1:29" ht="25.5" customHeight="1" x14ac:dyDescent="0.35">
      <c r="A4339" s="188"/>
      <c r="B4339" s="190"/>
      <c r="C4339" s="99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0"/>
      <c r="E4339" s="78" t="str">
        <f>IF(C4339="","",IFERROR(VLOOKUP(C4339,parametros!$A$11:$E$15,5,0),""))</f>
        <v/>
      </c>
      <c r="F4339" s="79" t="str">
        <f t="shared" si="337"/>
        <v/>
      </c>
      <c r="G4339" s="101"/>
      <c r="H4339" s="91">
        <f t="shared" si="338"/>
        <v>0</v>
      </c>
      <c r="I4339" s="91" t="str">
        <f t="shared" si="339"/>
        <v/>
      </c>
      <c r="J4339" s="91" t="str">
        <f t="shared" si="340"/>
        <v/>
      </c>
      <c r="K4339" s="92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2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58"/>
      <c r="U4339" s="217" t="str">
        <f t="shared" si="341"/>
        <v/>
      </c>
      <c r="V4339" s="215" t="s">
        <v>47</v>
      </c>
      <c r="W4339" s="102" t="s">
        <v>136</v>
      </c>
      <c r="X4339" s="102" t="s">
        <v>137</v>
      </c>
      <c r="Y4339" s="103" t="s">
        <v>138</v>
      </c>
      <c r="Z4339" s="103" t="s">
        <v>139</v>
      </c>
      <c r="AA4339" s="103" t="s">
        <v>47</v>
      </c>
      <c r="AB4339" s="103" t="s">
        <v>140</v>
      </c>
      <c r="AC4339" s="104" t="s">
        <v>141</v>
      </c>
    </row>
    <row r="4340" spans="1:29" ht="25.5" customHeight="1" x14ac:dyDescent="0.35">
      <c r="A4340" s="188"/>
      <c r="B4340" s="190"/>
      <c r="C4340" s="99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0"/>
      <c r="E4340" s="78" t="str">
        <f>IF(C4340="","",IFERROR(VLOOKUP(C4340,parametros!$A$11:$E$15,5,0),""))</f>
        <v/>
      </c>
      <c r="F4340" s="79" t="str">
        <f t="shared" si="337"/>
        <v/>
      </c>
      <c r="G4340" s="101"/>
      <c r="H4340" s="91">
        <f t="shared" si="338"/>
        <v>0</v>
      </c>
      <c r="I4340" s="91" t="str">
        <f t="shared" si="339"/>
        <v/>
      </c>
      <c r="J4340" s="91" t="str">
        <f t="shared" si="340"/>
        <v/>
      </c>
      <c r="K4340" s="92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2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58"/>
      <c r="U4340" s="217" t="str">
        <f t="shared" si="341"/>
        <v/>
      </c>
      <c r="V4340" s="215" t="s">
        <v>47</v>
      </c>
      <c r="W4340" s="102" t="s">
        <v>136</v>
      </c>
      <c r="X4340" s="102" t="s">
        <v>137</v>
      </c>
      <c r="Y4340" s="103" t="s">
        <v>138</v>
      </c>
      <c r="Z4340" s="103" t="s">
        <v>139</v>
      </c>
      <c r="AA4340" s="103" t="s">
        <v>47</v>
      </c>
      <c r="AB4340" s="103" t="s">
        <v>140</v>
      </c>
      <c r="AC4340" s="104" t="s">
        <v>141</v>
      </c>
    </row>
    <row r="4341" spans="1:29" ht="25.5" customHeight="1" x14ac:dyDescent="0.35">
      <c r="A4341" s="188"/>
      <c r="B4341" s="190"/>
      <c r="C4341" s="99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0"/>
      <c r="E4341" s="78" t="str">
        <f>IF(C4341="","",IFERROR(VLOOKUP(C4341,parametros!$A$11:$E$15,5,0),""))</f>
        <v/>
      </c>
      <c r="F4341" s="79" t="str">
        <f t="shared" si="337"/>
        <v/>
      </c>
      <c r="G4341" s="101"/>
      <c r="H4341" s="91">
        <f t="shared" si="338"/>
        <v>0</v>
      </c>
      <c r="I4341" s="91" t="str">
        <f t="shared" si="339"/>
        <v/>
      </c>
      <c r="J4341" s="91" t="str">
        <f t="shared" si="340"/>
        <v/>
      </c>
      <c r="K4341" s="92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2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58"/>
      <c r="U4341" s="217" t="str">
        <f t="shared" si="341"/>
        <v/>
      </c>
      <c r="V4341" s="215" t="s">
        <v>47</v>
      </c>
      <c r="W4341" s="102" t="s">
        <v>136</v>
      </c>
      <c r="X4341" s="102" t="s">
        <v>137</v>
      </c>
      <c r="Y4341" s="103" t="s">
        <v>138</v>
      </c>
      <c r="Z4341" s="103" t="s">
        <v>139</v>
      </c>
      <c r="AA4341" s="103" t="s">
        <v>47</v>
      </c>
      <c r="AB4341" s="103" t="s">
        <v>140</v>
      </c>
      <c r="AC4341" s="104" t="s">
        <v>141</v>
      </c>
    </row>
    <row r="4342" spans="1:29" ht="25.5" customHeight="1" x14ac:dyDescent="0.35">
      <c r="A4342" s="188"/>
      <c r="B4342" s="190"/>
      <c r="C4342" s="99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0"/>
      <c r="E4342" s="78" t="str">
        <f>IF(C4342="","",IFERROR(VLOOKUP(C4342,parametros!$A$11:$E$15,5,0),""))</f>
        <v/>
      </c>
      <c r="F4342" s="79" t="str">
        <f t="shared" si="337"/>
        <v/>
      </c>
      <c r="G4342" s="101"/>
      <c r="H4342" s="91">
        <f t="shared" si="338"/>
        <v>0</v>
      </c>
      <c r="I4342" s="91" t="str">
        <f t="shared" si="339"/>
        <v/>
      </c>
      <c r="J4342" s="91" t="str">
        <f t="shared" si="340"/>
        <v/>
      </c>
      <c r="K4342" s="92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2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58"/>
      <c r="U4342" s="217" t="str">
        <f t="shared" si="341"/>
        <v/>
      </c>
      <c r="V4342" s="215" t="s">
        <v>47</v>
      </c>
      <c r="W4342" s="102" t="s">
        <v>136</v>
      </c>
      <c r="X4342" s="102" t="s">
        <v>137</v>
      </c>
      <c r="Y4342" s="103" t="s">
        <v>138</v>
      </c>
      <c r="Z4342" s="103" t="s">
        <v>139</v>
      </c>
      <c r="AA4342" s="103" t="s">
        <v>47</v>
      </c>
      <c r="AB4342" s="103" t="s">
        <v>140</v>
      </c>
      <c r="AC4342" s="104" t="s">
        <v>141</v>
      </c>
    </row>
    <row r="4343" spans="1:29" ht="25.5" customHeight="1" x14ac:dyDescent="0.35">
      <c r="A4343" s="188"/>
      <c r="B4343" s="190"/>
      <c r="C4343" s="99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0"/>
      <c r="E4343" s="78" t="str">
        <f>IF(C4343="","",IFERROR(VLOOKUP(C4343,parametros!$A$11:$E$15,5,0),""))</f>
        <v/>
      </c>
      <c r="F4343" s="79" t="str">
        <f t="shared" si="337"/>
        <v/>
      </c>
      <c r="G4343" s="101"/>
      <c r="H4343" s="91">
        <f t="shared" si="338"/>
        <v>0</v>
      </c>
      <c r="I4343" s="91" t="str">
        <f t="shared" si="339"/>
        <v/>
      </c>
      <c r="J4343" s="91" t="str">
        <f t="shared" si="340"/>
        <v/>
      </c>
      <c r="K4343" s="92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2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58"/>
      <c r="U4343" s="217" t="str">
        <f t="shared" si="341"/>
        <v/>
      </c>
      <c r="V4343" s="215" t="s">
        <v>47</v>
      </c>
      <c r="W4343" s="102" t="s">
        <v>136</v>
      </c>
      <c r="X4343" s="102" t="s">
        <v>137</v>
      </c>
      <c r="Y4343" s="103" t="s">
        <v>138</v>
      </c>
      <c r="Z4343" s="103" t="s">
        <v>139</v>
      </c>
      <c r="AA4343" s="103" t="s">
        <v>47</v>
      </c>
      <c r="AB4343" s="103" t="s">
        <v>140</v>
      </c>
      <c r="AC4343" s="104" t="s">
        <v>141</v>
      </c>
    </row>
    <row r="4344" spans="1:29" ht="25.5" customHeight="1" x14ac:dyDescent="0.35">
      <c r="A4344" s="188"/>
      <c r="B4344" s="190"/>
      <c r="C4344" s="99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0"/>
      <c r="E4344" s="78" t="str">
        <f>IF(C4344="","",IFERROR(VLOOKUP(C4344,parametros!$A$11:$E$15,5,0),""))</f>
        <v/>
      </c>
      <c r="F4344" s="79" t="str">
        <f t="shared" si="337"/>
        <v/>
      </c>
      <c r="G4344" s="101"/>
      <c r="H4344" s="91">
        <f t="shared" si="338"/>
        <v>0</v>
      </c>
      <c r="I4344" s="91" t="str">
        <f t="shared" si="339"/>
        <v/>
      </c>
      <c r="J4344" s="91" t="str">
        <f t="shared" si="340"/>
        <v/>
      </c>
      <c r="K4344" s="92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2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58"/>
      <c r="U4344" s="217" t="str">
        <f t="shared" si="341"/>
        <v/>
      </c>
      <c r="V4344" s="215" t="s">
        <v>47</v>
      </c>
      <c r="W4344" s="102" t="s">
        <v>136</v>
      </c>
      <c r="X4344" s="102" t="s">
        <v>137</v>
      </c>
      <c r="Y4344" s="103" t="s">
        <v>138</v>
      </c>
      <c r="Z4344" s="103" t="s">
        <v>139</v>
      </c>
      <c r="AA4344" s="103" t="s">
        <v>47</v>
      </c>
      <c r="AB4344" s="103" t="s">
        <v>140</v>
      </c>
      <c r="AC4344" s="104" t="s">
        <v>141</v>
      </c>
    </row>
    <row r="4345" spans="1:29" ht="25.5" customHeight="1" x14ac:dyDescent="0.35">
      <c r="A4345" s="188"/>
      <c r="B4345" s="190"/>
      <c r="C4345" s="99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0"/>
      <c r="E4345" s="78" t="str">
        <f>IF(C4345="","",IFERROR(VLOOKUP(C4345,parametros!$A$11:$E$15,5,0),""))</f>
        <v/>
      </c>
      <c r="F4345" s="79" t="str">
        <f t="shared" si="337"/>
        <v/>
      </c>
      <c r="G4345" s="101"/>
      <c r="H4345" s="91">
        <f t="shared" si="338"/>
        <v>0</v>
      </c>
      <c r="I4345" s="91" t="str">
        <f t="shared" si="339"/>
        <v/>
      </c>
      <c r="J4345" s="91" t="str">
        <f t="shared" si="340"/>
        <v/>
      </c>
      <c r="K4345" s="92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2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58"/>
      <c r="U4345" s="217" t="str">
        <f t="shared" si="341"/>
        <v/>
      </c>
      <c r="V4345" s="215" t="s">
        <v>47</v>
      </c>
      <c r="W4345" s="102" t="s">
        <v>136</v>
      </c>
      <c r="X4345" s="102" t="s">
        <v>137</v>
      </c>
      <c r="Y4345" s="103" t="s">
        <v>138</v>
      </c>
      <c r="Z4345" s="103" t="s">
        <v>139</v>
      </c>
      <c r="AA4345" s="103" t="s">
        <v>47</v>
      </c>
      <c r="AB4345" s="103" t="s">
        <v>140</v>
      </c>
      <c r="AC4345" s="104" t="s">
        <v>141</v>
      </c>
    </row>
    <row r="4346" spans="1:29" ht="25.5" customHeight="1" x14ac:dyDescent="0.35">
      <c r="A4346" s="188"/>
      <c r="B4346" s="190"/>
      <c r="C4346" s="99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0"/>
      <c r="E4346" s="78" t="str">
        <f>IF(C4346="","",IFERROR(VLOOKUP(C4346,parametros!$A$11:$E$15,5,0),""))</f>
        <v/>
      </c>
      <c r="F4346" s="79" t="str">
        <f t="shared" si="337"/>
        <v/>
      </c>
      <c r="G4346" s="101"/>
      <c r="H4346" s="91">
        <f t="shared" si="338"/>
        <v>0</v>
      </c>
      <c r="I4346" s="91" t="str">
        <f t="shared" si="339"/>
        <v/>
      </c>
      <c r="J4346" s="91" t="str">
        <f t="shared" si="340"/>
        <v/>
      </c>
      <c r="K4346" s="92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2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58"/>
      <c r="U4346" s="217" t="str">
        <f t="shared" si="341"/>
        <v/>
      </c>
      <c r="V4346" s="215" t="s">
        <v>47</v>
      </c>
      <c r="W4346" s="102" t="s">
        <v>136</v>
      </c>
      <c r="X4346" s="102" t="s">
        <v>137</v>
      </c>
      <c r="Y4346" s="103" t="s">
        <v>138</v>
      </c>
      <c r="Z4346" s="103" t="s">
        <v>139</v>
      </c>
      <c r="AA4346" s="103" t="s">
        <v>47</v>
      </c>
      <c r="AB4346" s="103" t="s">
        <v>140</v>
      </c>
      <c r="AC4346" s="104" t="s">
        <v>141</v>
      </c>
    </row>
    <row r="4347" spans="1:29" ht="25.5" customHeight="1" x14ac:dyDescent="0.35">
      <c r="A4347" s="188"/>
      <c r="B4347" s="190"/>
      <c r="C4347" s="99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0"/>
      <c r="E4347" s="78" t="str">
        <f>IF(C4347="","",IFERROR(VLOOKUP(C4347,parametros!$A$11:$E$15,5,0),""))</f>
        <v/>
      </c>
      <c r="F4347" s="79" t="str">
        <f t="shared" si="337"/>
        <v/>
      </c>
      <c r="G4347" s="101"/>
      <c r="H4347" s="91">
        <f t="shared" si="338"/>
        <v>0</v>
      </c>
      <c r="I4347" s="91" t="str">
        <f t="shared" si="339"/>
        <v/>
      </c>
      <c r="J4347" s="91" t="str">
        <f t="shared" si="340"/>
        <v/>
      </c>
      <c r="K4347" s="92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2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58"/>
      <c r="U4347" s="217" t="str">
        <f t="shared" si="341"/>
        <v/>
      </c>
      <c r="V4347" s="215" t="s">
        <v>47</v>
      </c>
      <c r="W4347" s="102" t="s">
        <v>136</v>
      </c>
      <c r="X4347" s="102" t="s">
        <v>137</v>
      </c>
      <c r="Y4347" s="103" t="s">
        <v>138</v>
      </c>
      <c r="Z4347" s="103" t="s">
        <v>139</v>
      </c>
      <c r="AA4347" s="103" t="s">
        <v>47</v>
      </c>
      <c r="AB4347" s="103" t="s">
        <v>140</v>
      </c>
      <c r="AC4347" s="104" t="s">
        <v>141</v>
      </c>
    </row>
    <row r="4348" spans="1:29" ht="25.5" customHeight="1" x14ac:dyDescent="0.35">
      <c r="A4348" s="188"/>
      <c r="B4348" s="190"/>
      <c r="C4348" s="99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0"/>
      <c r="E4348" s="78" t="str">
        <f>IF(C4348="","",IFERROR(VLOOKUP(C4348,parametros!$A$11:$E$15,5,0),""))</f>
        <v/>
      </c>
      <c r="F4348" s="79" t="str">
        <f t="shared" si="337"/>
        <v/>
      </c>
      <c r="G4348" s="101"/>
      <c r="H4348" s="91">
        <f t="shared" si="338"/>
        <v>0</v>
      </c>
      <c r="I4348" s="91" t="str">
        <f t="shared" si="339"/>
        <v/>
      </c>
      <c r="J4348" s="91" t="str">
        <f t="shared" si="340"/>
        <v/>
      </c>
      <c r="K4348" s="92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2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58"/>
      <c r="U4348" s="217" t="str">
        <f t="shared" si="341"/>
        <v/>
      </c>
      <c r="V4348" s="215" t="s">
        <v>47</v>
      </c>
      <c r="W4348" s="102" t="s">
        <v>136</v>
      </c>
      <c r="X4348" s="102" t="s">
        <v>137</v>
      </c>
      <c r="Y4348" s="103" t="s">
        <v>138</v>
      </c>
      <c r="Z4348" s="103" t="s">
        <v>139</v>
      </c>
      <c r="AA4348" s="103" t="s">
        <v>47</v>
      </c>
      <c r="AB4348" s="103" t="s">
        <v>140</v>
      </c>
      <c r="AC4348" s="104" t="s">
        <v>141</v>
      </c>
    </row>
    <row r="4349" spans="1:29" ht="25.5" customHeight="1" x14ac:dyDescent="0.35">
      <c r="A4349" s="188"/>
      <c r="B4349" s="190"/>
      <c r="C4349" s="99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0"/>
      <c r="E4349" s="78" t="str">
        <f>IF(C4349="","",IFERROR(VLOOKUP(C4349,parametros!$A$11:$E$15,5,0),""))</f>
        <v/>
      </c>
      <c r="F4349" s="79" t="str">
        <f t="shared" si="337"/>
        <v/>
      </c>
      <c r="G4349" s="101"/>
      <c r="H4349" s="91">
        <f t="shared" si="338"/>
        <v>0</v>
      </c>
      <c r="I4349" s="91" t="str">
        <f t="shared" si="339"/>
        <v/>
      </c>
      <c r="J4349" s="91" t="str">
        <f t="shared" si="340"/>
        <v/>
      </c>
      <c r="K4349" s="92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2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58"/>
      <c r="U4349" s="217" t="str">
        <f t="shared" si="341"/>
        <v/>
      </c>
      <c r="V4349" s="215" t="s">
        <v>47</v>
      </c>
      <c r="W4349" s="102" t="s">
        <v>136</v>
      </c>
      <c r="X4349" s="102" t="s">
        <v>137</v>
      </c>
      <c r="Y4349" s="103" t="s">
        <v>138</v>
      </c>
      <c r="Z4349" s="103" t="s">
        <v>139</v>
      </c>
      <c r="AA4349" s="103" t="s">
        <v>47</v>
      </c>
      <c r="AB4349" s="103" t="s">
        <v>140</v>
      </c>
      <c r="AC4349" s="104" t="s">
        <v>141</v>
      </c>
    </row>
    <row r="4350" spans="1:29" ht="25.5" customHeight="1" x14ac:dyDescent="0.35">
      <c r="A4350" s="188"/>
      <c r="B4350" s="190"/>
      <c r="C4350" s="99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0"/>
      <c r="E4350" s="78" t="str">
        <f>IF(C4350="","",IFERROR(VLOOKUP(C4350,parametros!$A$11:$E$15,5,0),""))</f>
        <v/>
      </c>
      <c r="F4350" s="79" t="str">
        <f t="shared" si="337"/>
        <v/>
      </c>
      <c r="G4350" s="101"/>
      <c r="H4350" s="91">
        <f t="shared" si="338"/>
        <v>0</v>
      </c>
      <c r="I4350" s="91" t="str">
        <f t="shared" si="339"/>
        <v/>
      </c>
      <c r="J4350" s="91" t="str">
        <f t="shared" si="340"/>
        <v/>
      </c>
      <c r="K4350" s="92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2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58"/>
      <c r="U4350" s="217" t="str">
        <f t="shared" si="341"/>
        <v/>
      </c>
      <c r="V4350" s="215" t="s">
        <v>47</v>
      </c>
      <c r="W4350" s="102" t="s">
        <v>136</v>
      </c>
      <c r="X4350" s="102" t="s">
        <v>137</v>
      </c>
      <c r="Y4350" s="103" t="s">
        <v>138</v>
      </c>
      <c r="Z4350" s="103" t="s">
        <v>139</v>
      </c>
      <c r="AA4350" s="103" t="s">
        <v>47</v>
      </c>
      <c r="AB4350" s="103" t="s">
        <v>140</v>
      </c>
      <c r="AC4350" s="104" t="s">
        <v>141</v>
      </c>
    </row>
    <row r="4351" spans="1:29" ht="25.5" customHeight="1" x14ac:dyDescent="0.35">
      <c r="A4351" s="188"/>
      <c r="B4351" s="190"/>
      <c r="C4351" s="99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0"/>
      <c r="E4351" s="78" t="str">
        <f>IF(C4351="","",IFERROR(VLOOKUP(C4351,parametros!$A$11:$E$15,5,0),""))</f>
        <v/>
      </c>
      <c r="F4351" s="79" t="str">
        <f t="shared" si="337"/>
        <v/>
      </c>
      <c r="G4351" s="101"/>
      <c r="H4351" s="91">
        <f t="shared" si="338"/>
        <v>0</v>
      </c>
      <c r="I4351" s="91" t="str">
        <f t="shared" si="339"/>
        <v/>
      </c>
      <c r="J4351" s="91" t="str">
        <f t="shared" si="340"/>
        <v/>
      </c>
      <c r="K4351" s="92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2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58"/>
      <c r="U4351" s="217" t="str">
        <f t="shared" si="341"/>
        <v/>
      </c>
      <c r="V4351" s="215" t="s">
        <v>47</v>
      </c>
      <c r="W4351" s="102" t="s">
        <v>136</v>
      </c>
      <c r="X4351" s="102" t="s">
        <v>137</v>
      </c>
      <c r="Y4351" s="103" t="s">
        <v>138</v>
      </c>
      <c r="Z4351" s="103" t="s">
        <v>139</v>
      </c>
      <c r="AA4351" s="103" t="s">
        <v>47</v>
      </c>
      <c r="AB4351" s="103" t="s">
        <v>140</v>
      </c>
      <c r="AC4351" s="104" t="s">
        <v>141</v>
      </c>
    </row>
    <row r="4352" spans="1:29" ht="25.5" customHeight="1" x14ac:dyDescent="0.35">
      <c r="A4352" s="188"/>
      <c r="B4352" s="190"/>
      <c r="C4352" s="99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0"/>
      <c r="E4352" s="78" t="str">
        <f>IF(C4352="","",IFERROR(VLOOKUP(C4352,parametros!$A$11:$E$15,5,0),""))</f>
        <v/>
      </c>
      <c r="F4352" s="79" t="str">
        <f t="shared" si="337"/>
        <v/>
      </c>
      <c r="G4352" s="101"/>
      <c r="H4352" s="91">
        <f t="shared" si="338"/>
        <v>0</v>
      </c>
      <c r="I4352" s="91" t="str">
        <f t="shared" si="339"/>
        <v/>
      </c>
      <c r="J4352" s="91" t="str">
        <f t="shared" si="340"/>
        <v/>
      </c>
      <c r="K4352" s="92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2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58"/>
      <c r="U4352" s="217" t="str">
        <f t="shared" si="341"/>
        <v/>
      </c>
      <c r="V4352" s="215" t="s">
        <v>47</v>
      </c>
      <c r="W4352" s="102" t="s">
        <v>136</v>
      </c>
      <c r="X4352" s="102" t="s">
        <v>137</v>
      </c>
      <c r="Y4352" s="103" t="s">
        <v>138</v>
      </c>
      <c r="Z4352" s="103" t="s">
        <v>139</v>
      </c>
      <c r="AA4352" s="103" t="s">
        <v>47</v>
      </c>
      <c r="AB4352" s="103" t="s">
        <v>140</v>
      </c>
      <c r="AC4352" s="104" t="s">
        <v>141</v>
      </c>
    </row>
    <row r="4353" spans="1:29" ht="25.5" customHeight="1" x14ac:dyDescent="0.35">
      <c r="A4353" s="188"/>
      <c r="B4353" s="190"/>
      <c r="C4353" s="99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0"/>
      <c r="E4353" s="78" t="str">
        <f>IF(C4353="","",IFERROR(VLOOKUP(C4353,parametros!$A$11:$E$15,5,0),""))</f>
        <v/>
      </c>
      <c r="F4353" s="79" t="str">
        <f t="shared" si="337"/>
        <v/>
      </c>
      <c r="G4353" s="101"/>
      <c r="H4353" s="91">
        <f t="shared" si="338"/>
        <v>0</v>
      </c>
      <c r="I4353" s="91" t="str">
        <f t="shared" si="339"/>
        <v/>
      </c>
      <c r="J4353" s="91" t="str">
        <f t="shared" si="340"/>
        <v/>
      </c>
      <c r="K4353" s="92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2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58"/>
      <c r="U4353" s="217" t="str">
        <f t="shared" si="341"/>
        <v/>
      </c>
      <c r="V4353" s="215" t="s">
        <v>47</v>
      </c>
      <c r="W4353" s="102" t="s">
        <v>136</v>
      </c>
      <c r="X4353" s="102" t="s">
        <v>137</v>
      </c>
      <c r="Y4353" s="103" t="s">
        <v>138</v>
      </c>
      <c r="Z4353" s="103" t="s">
        <v>139</v>
      </c>
      <c r="AA4353" s="103" t="s">
        <v>47</v>
      </c>
      <c r="AB4353" s="103" t="s">
        <v>140</v>
      </c>
      <c r="AC4353" s="104" t="s">
        <v>141</v>
      </c>
    </row>
    <row r="4354" spans="1:29" ht="25.5" customHeight="1" x14ac:dyDescent="0.35">
      <c r="A4354" s="188"/>
      <c r="B4354" s="190"/>
      <c r="C4354" s="99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0"/>
      <c r="E4354" s="78" t="str">
        <f>IF(C4354="","",IFERROR(VLOOKUP(C4354,parametros!$A$11:$E$15,5,0),""))</f>
        <v/>
      </c>
      <c r="F4354" s="79" t="str">
        <f t="shared" ref="F4354:F4417" si="342">IF(OR(D4354="",E4354=""),"",ROUND(D4354*E4354,2))</f>
        <v/>
      </c>
      <c r="G4354" s="101"/>
      <c r="H4354" s="91">
        <f t="shared" ref="H4354:H4417" si="343">IF(G4354="Sim",IF(OR(F4354="",D4354="",L4354=""),"",IF(L4354="Sim",ROUND(F4354-D4354,2),0)),0)</f>
        <v>0</v>
      </c>
      <c r="I4354" s="91" t="str">
        <f t="shared" ref="I4354:I4417" si="344">IF(G4354="Sim",0,IF(OR(F4354="",L4354=""),"",F4354))</f>
        <v/>
      </c>
      <c r="J4354" s="91" t="str">
        <f t="shared" ref="J4354:J4417" si="345">IF(G4354="Sim",0,IF(OR(F4354="",D4354="",L4354=""),"",IF(L4354="Sim",ROUND(F4354-D4354,2),0)))</f>
        <v/>
      </c>
      <c r="K4354" s="92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2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58"/>
      <c r="U4354" s="217" t="str">
        <f t="shared" ref="U4354:U4417" si="346">IF(OR($D4354="",$H4354=""),"",ROUND($D4354+$H4354,2))</f>
        <v/>
      </c>
      <c r="V4354" s="215" t="s">
        <v>47</v>
      </c>
      <c r="W4354" s="102" t="s">
        <v>136</v>
      </c>
      <c r="X4354" s="102" t="s">
        <v>137</v>
      </c>
      <c r="Y4354" s="103" t="s">
        <v>138</v>
      </c>
      <c r="Z4354" s="103" t="s">
        <v>139</v>
      </c>
      <c r="AA4354" s="103" t="s">
        <v>47</v>
      </c>
      <c r="AB4354" s="103" t="s">
        <v>140</v>
      </c>
      <c r="AC4354" s="104" t="s">
        <v>141</v>
      </c>
    </row>
    <row r="4355" spans="1:29" ht="25.5" customHeight="1" x14ac:dyDescent="0.35">
      <c r="A4355" s="188"/>
      <c r="B4355" s="190"/>
      <c r="C4355" s="99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0"/>
      <c r="E4355" s="78" t="str">
        <f>IF(C4355="","",IFERROR(VLOOKUP(C4355,parametros!$A$11:$E$15,5,0),""))</f>
        <v/>
      </c>
      <c r="F4355" s="79" t="str">
        <f t="shared" si="342"/>
        <v/>
      </c>
      <c r="G4355" s="101"/>
      <c r="H4355" s="91">
        <f t="shared" si="343"/>
        <v>0</v>
      </c>
      <c r="I4355" s="91" t="str">
        <f t="shared" si="344"/>
        <v/>
      </c>
      <c r="J4355" s="91" t="str">
        <f t="shared" si="345"/>
        <v/>
      </c>
      <c r="K4355" s="92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2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58"/>
      <c r="U4355" s="217" t="str">
        <f t="shared" si="346"/>
        <v/>
      </c>
      <c r="V4355" s="215" t="s">
        <v>47</v>
      </c>
      <c r="W4355" s="102" t="s">
        <v>136</v>
      </c>
      <c r="X4355" s="102" t="s">
        <v>137</v>
      </c>
      <c r="Y4355" s="103" t="s">
        <v>138</v>
      </c>
      <c r="Z4355" s="103" t="s">
        <v>139</v>
      </c>
      <c r="AA4355" s="103" t="s">
        <v>47</v>
      </c>
      <c r="AB4355" s="103" t="s">
        <v>140</v>
      </c>
      <c r="AC4355" s="104" t="s">
        <v>141</v>
      </c>
    </row>
    <row r="4356" spans="1:29" ht="25.5" customHeight="1" x14ac:dyDescent="0.35">
      <c r="A4356" s="188"/>
      <c r="B4356" s="190"/>
      <c r="C4356" s="99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0"/>
      <c r="E4356" s="78" t="str">
        <f>IF(C4356="","",IFERROR(VLOOKUP(C4356,parametros!$A$11:$E$15,5,0),""))</f>
        <v/>
      </c>
      <c r="F4356" s="79" t="str">
        <f t="shared" si="342"/>
        <v/>
      </c>
      <c r="G4356" s="101"/>
      <c r="H4356" s="91">
        <f t="shared" si="343"/>
        <v>0</v>
      </c>
      <c r="I4356" s="91" t="str">
        <f t="shared" si="344"/>
        <v/>
      </c>
      <c r="J4356" s="91" t="str">
        <f t="shared" si="345"/>
        <v/>
      </c>
      <c r="K4356" s="92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2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58"/>
      <c r="U4356" s="217" t="str">
        <f t="shared" si="346"/>
        <v/>
      </c>
      <c r="V4356" s="215" t="s">
        <v>47</v>
      </c>
      <c r="W4356" s="102" t="s">
        <v>136</v>
      </c>
      <c r="X4356" s="102" t="s">
        <v>137</v>
      </c>
      <c r="Y4356" s="103" t="s">
        <v>138</v>
      </c>
      <c r="Z4356" s="103" t="s">
        <v>139</v>
      </c>
      <c r="AA4356" s="103" t="s">
        <v>47</v>
      </c>
      <c r="AB4356" s="103" t="s">
        <v>140</v>
      </c>
      <c r="AC4356" s="104" t="s">
        <v>141</v>
      </c>
    </row>
    <row r="4357" spans="1:29" ht="25.5" customHeight="1" x14ac:dyDescent="0.35">
      <c r="A4357" s="188"/>
      <c r="B4357" s="190"/>
      <c r="C4357" s="99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0"/>
      <c r="E4357" s="78" t="str">
        <f>IF(C4357="","",IFERROR(VLOOKUP(C4357,parametros!$A$11:$E$15,5,0),""))</f>
        <v/>
      </c>
      <c r="F4357" s="79" t="str">
        <f t="shared" si="342"/>
        <v/>
      </c>
      <c r="G4357" s="101"/>
      <c r="H4357" s="91">
        <f t="shared" si="343"/>
        <v>0</v>
      </c>
      <c r="I4357" s="91" t="str">
        <f t="shared" si="344"/>
        <v/>
      </c>
      <c r="J4357" s="91" t="str">
        <f t="shared" si="345"/>
        <v/>
      </c>
      <c r="K4357" s="92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2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58"/>
      <c r="U4357" s="217" t="str">
        <f t="shared" si="346"/>
        <v/>
      </c>
      <c r="V4357" s="215" t="s">
        <v>47</v>
      </c>
      <c r="W4357" s="102" t="s">
        <v>136</v>
      </c>
      <c r="X4357" s="102" t="s">
        <v>137</v>
      </c>
      <c r="Y4357" s="103" t="s">
        <v>138</v>
      </c>
      <c r="Z4357" s="103" t="s">
        <v>139</v>
      </c>
      <c r="AA4357" s="103" t="s">
        <v>47</v>
      </c>
      <c r="AB4357" s="103" t="s">
        <v>140</v>
      </c>
      <c r="AC4357" s="104" t="s">
        <v>141</v>
      </c>
    </row>
    <row r="4358" spans="1:29" ht="25.5" customHeight="1" x14ac:dyDescent="0.35">
      <c r="A4358" s="188"/>
      <c r="B4358" s="190"/>
      <c r="C4358" s="99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0"/>
      <c r="E4358" s="78" t="str">
        <f>IF(C4358="","",IFERROR(VLOOKUP(C4358,parametros!$A$11:$E$15,5,0),""))</f>
        <v/>
      </c>
      <c r="F4358" s="79" t="str">
        <f t="shared" si="342"/>
        <v/>
      </c>
      <c r="G4358" s="101"/>
      <c r="H4358" s="91">
        <f t="shared" si="343"/>
        <v>0</v>
      </c>
      <c r="I4358" s="91" t="str">
        <f t="shared" si="344"/>
        <v/>
      </c>
      <c r="J4358" s="91" t="str">
        <f t="shared" si="345"/>
        <v/>
      </c>
      <c r="K4358" s="92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2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58"/>
      <c r="U4358" s="217" t="str">
        <f t="shared" si="346"/>
        <v/>
      </c>
      <c r="V4358" s="215" t="s">
        <v>47</v>
      </c>
      <c r="W4358" s="102" t="s">
        <v>136</v>
      </c>
      <c r="X4358" s="102" t="s">
        <v>137</v>
      </c>
      <c r="Y4358" s="103" t="s">
        <v>138</v>
      </c>
      <c r="Z4358" s="103" t="s">
        <v>139</v>
      </c>
      <c r="AA4358" s="103" t="s">
        <v>47</v>
      </c>
      <c r="AB4358" s="103" t="s">
        <v>140</v>
      </c>
      <c r="AC4358" s="104" t="s">
        <v>141</v>
      </c>
    </row>
    <row r="4359" spans="1:29" ht="25.5" customHeight="1" x14ac:dyDescent="0.35">
      <c r="A4359" s="188"/>
      <c r="B4359" s="190"/>
      <c r="C4359" s="99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0"/>
      <c r="E4359" s="78" t="str">
        <f>IF(C4359="","",IFERROR(VLOOKUP(C4359,parametros!$A$11:$E$15,5,0),""))</f>
        <v/>
      </c>
      <c r="F4359" s="79" t="str">
        <f t="shared" si="342"/>
        <v/>
      </c>
      <c r="G4359" s="101"/>
      <c r="H4359" s="91">
        <f t="shared" si="343"/>
        <v>0</v>
      </c>
      <c r="I4359" s="91" t="str">
        <f t="shared" si="344"/>
        <v/>
      </c>
      <c r="J4359" s="91" t="str">
        <f t="shared" si="345"/>
        <v/>
      </c>
      <c r="K4359" s="92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2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58"/>
      <c r="U4359" s="217" t="str">
        <f t="shared" si="346"/>
        <v/>
      </c>
      <c r="V4359" s="215" t="s">
        <v>47</v>
      </c>
      <c r="W4359" s="102" t="s">
        <v>136</v>
      </c>
      <c r="X4359" s="102" t="s">
        <v>137</v>
      </c>
      <c r="Y4359" s="103" t="s">
        <v>138</v>
      </c>
      <c r="Z4359" s="103" t="s">
        <v>139</v>
      </c>
      <c r="AA4359" s="103" t="s">
        <v>47</v>
      </c>
      <c r="AB4359" s="103" t="s">
        <v>140</v>
      </c>
      <c r="AC4359" s="104" t="s">
        <v>141</v>
      </c>
    </row>
    <row r="4360" spans="1:29" ht="25.5" customHeight="1" x14ac:dyDescent="0.35">
      <c r="A4360" s="188"/>
      <c r="B4360" s="190"/>
      <c r="C4360" s="99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0"/>
      <c r="E4360" s="78" t="str">
        <f>IF(C4360="","",IFERROR(VLOOKUP(C4360,parametros!$A$11:$E$15,5,0),""))</f>
        <v/>
      </c>
      <c r="F4360" s="79" t="str">
        <f t="shared" si="342"/>
        <v/>
      </c>
      <c r="G4360" s="101"/>
      <c r="H4360" s="91">
        <f t="shared" si="343"/>
        <v>0</v>
      </c>
      <c r="I4360" s="91" t="str">
        <f t="shared" si="344"/>
        <v/>
      </c>
      <c r="J4360" s="91" t="str">
        <f t="shared" si="345"/>
        <v/>
      </c>
      <c r="K4360" s="92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2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58"/>
      <c r="U4360" s="217" t="str">
        <f t="shared" si="346"/>
        <v/>
      </c>
      <c r="V4360" s="215" t="s">
        <v>47</v>
      </c>
      <c r="W4360" s="102" t="s">
        <v>136</v>
      </c>
      <c r="X4360" s="102" t="s">
        <v>137</v>
      </c>
      <c r="Y4360" s="103" t="s">
        <v>138</v>
      </c>
      <c r="Z4360" s="103" t="s">
        <v>139</v>
      </c>
      <c r="AA4360" s="103" t="s">
        <v>47</v>
      </c>
      <c r="AB4360" s="103" t="s">
        <v>140</v>
      </c>
      <c r="AC4360" s="104" t="s">
        <v>141</v>
      </c>
    </row>
    <row r="4361" spans="1:29" ht="25.5" customHeight="1" x14ac:dyDescent="0.35">
      <c r="A4361" s="188"/>
      <c r="B4361" s="190"/>
      <c r="C4361" s="99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0"/>
      <c r="E4361" s="78" t="str">
        <f>IF(C4361="","",IFERROR(VLOOKUP(C4361,parametros!$A$11:$E$15,5,0),""))</f>
        <v/>
      </c>
      <c r="F4361" s="79" t="str">
        <f t="shared" si="342"/>
        <v/>
      </c>
      <c r="G4361" s="101"/>
      <c r="H4361" s="91">
        <f t="shared" si="343"/>
        <v>0</v>
      </c>
      <c r="I4361" s="91" t="str">
        <f t="shared" si="344"/>
        <v/>
      </c>
      <c r="J4361" s="91" t="str">
        <f t="shared" si="345"/>
        <v/>
      </c>
      <c r="K4361" s="92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2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58"/>
      <c r="U4361" s="217" t="str">
        <f t="shared" si="346"/>
        <v/>
      </c>
      <c r="V4361" s="215" t="s">
        <v>47</v>
      </c>
      <c r="W4361" s="102" t="s">
        <v>136</v>
      </c>
      <c r="X4361" s="102" t="s">
        <v>137</v>
      </c>
      <c r="Y4361" s="103" t="s">
        <v>138</v>
      </c>
      <c r="Z4361" s="103" t="s">
        <v>139</v>
      </c>
      <c r="AA4361" s="103" t="s">
        <v>47</v>
      </c>
      <c r="AB4361" s="103" t="s">
        <v>140</v>
      </c>
      <c r="AC4361" s="104" t="s">
        <v>141</v>
      </c>
    </row>
    <row r="4362" spans="1:29" ht="25.5" customHeight="1" x14ac:dyDescent="0.35">
      <c r="A4362" s="188"/>
      <c r="B4362" s="190"/>
      <c r="C4362" s="99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0"/>
      <c r="E4362" s="78" t="str">
        <f>IF(C4362="","",IFERROR(VLOOKUP(C4362,parametros!$A$11:$E$15,5,0),""))</f>
        <v/>
      </c>
      <c r="F4362" s="79" t="str">
        <f t="shared" si="342"/>
        <v/>
      </c>
      <c r="G4362" s="101"/>
      <c r="H4362" s="91">
        <f t="shared" si="343"/>
        <v>0</v>
      </c>
      <c r="I4362" s="91" t="str">
        <f t="shared" si="344"/>
        <v/>
      </c>
      <c r="J4362" s="91" t="str">
        <f t="shared" si="345"/>
        <v/>
      </c>
      <c r="K4362" s="92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2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58"/>
      <c r="U4362" s="217" t="str">
        <f t="shared" si="346"/>
        <v/>
      </c>
      <c r="V4362" s="215" t="s">
        <v>47</v>
      </c>
      <c r="W4362" s="102" t="s">
        <v>136</v>
      </c>
      <c r="X4362" s="102" t="s">
        <v>137</v>
      </c>
      <c r="Y4362" s="103" t="s">
        <v>138</v>
      </c>
      <c r="Z4362" s="103" t="s">
        <v>139</v>
      </c>
      <c r="AA4362" s="103" t="s">
        <v>47</v>
      </c>
      <c r="AB4362" s="103" t="s">
        <v>140</v>
      </c>
      <c r="AC4362" s="104" t="s">
        <v>141</v>
      </c>
    </row>
    <row r="4363" spans="1:29" ht="25.5" customHeight="1" x14ac:dyDescent="0.35">
      <c r="A4363" s="188"/>
      <c r="B4363" s="190"/>
      <c r="C4363" s="99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0"/>
      <c r="E4363" s="78" t="str">
        <f>IF(C4363="","",IFERROR(VLOOKUP(C4363,parametros!$A$11:$E$15,5,0),""))</f>
        <v/>
      </c>
      <c r="F4363" s="79" t="str">
        <f t="shared" si="342"/>
        <v/>
      </c>
      <c r="G4363" s="101"/>
      <c r="H4363" s="91">
        <f t="shared" si="343"/>
        <v>0</v>
      </c>
      <c r="I4363" s="91" t="str">
        <f t="shared" si="344"/>
        <v/>
      </c>
      <c r="J4363" s="91" t="str">
        <f t="shared" si="345"/>
        <v/>
      </c>
      <c r="K4363" s="92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2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58"/>
      <c r="U4363" s="217" t="str">
        <f t="shared" si="346"/>
        <v/>
      </c>
      <c r="V4363" s="215" t="s">
        <v>47</v>
      </c>
      <c r="W4363" s="102" t="s">
        <v>136</v>
      </c>
      <c r="X4363" s="102" t="s">
        <v>137</v>
      </c>
      <c r="Y4363" s="103" t="s">
        <v>138</v>
      </c>
      <c r="Z4363" s="103" t="s">
        <v>139</v>
      </c>
      <c r="AA4363" s="103" t="s">
        <v>47</v>
      </c>
      <c r="AB4363" s="103" t="s">
        <v>140</v>
      </c>
      <c r="AC4363" s="104" t="s">
        <v>141</v>
      </c>
    </row>
    <row r="4364" spans="1:29" ht="25.5" customHeight="1" x14ac:dyDescent="0.35">
      <c r="A4364" s="188"/>
      <c r="B4364" s="190"/>
      <c r="C4364" s="99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0"/>
      <c r="E4364" s="78" t="str">
        <f>IF(C4364="","",IFERROR(VLOOKUP(C4364,parametros!$A$11:$E$15,5,0),""))</f>
        <v/>
      </c>
      <c r="F4364" s="79" t="str">
        <f t="shared" si="342"/>
        <v/>
      </c>
      <c r="G4364" s="101"/>
      <c r="H4364" s="91">
        <f t="shared" si="343"/>
        <v>0</v>
      </c>
      <c r="I4364" s="91" t="str">
        <f t="shared" si="344"/>
        <v/>
      </c>
      <c r="J4364" s="91" t="str">
        <f t="shared" si="345"/>
        <v/>
      </c>
      <c r="K4364" s="92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2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58"/>
      <c r="U4364" s="217" t="str">
        <f t="shared" si="346"/>
        <v/>
      </c>
      <c r="V4364" s="215" t="s">
        <v>47</v>
      </c>
      <c r="W4364" s="102" t="s">
        <v>136</v>
      </c>
      <c r="X4364" s="102" t="s">
        <v>137</v>
      </c>
      <c r="Y4364" s="103" t="s">
        <v>138</v>
      </c>
      <c r="Z4364" s="103" t="s">
        <v>139</v>
      </c>
      <c r="AA4364" s="103" t="s">
        <v>47</v>
      </c>
      <c r="AB4364" s="103" t="s">
        <v>140</v>
      </c>
      <c r="AC4364" s="104" t="s">
        <v>141</v>
      </c>
    </row>
    <row r="4365" spans="1:29" ht="25.5" customHeight="1" x14ac:dyDescent="0.35">
      <c r="A4365" s="188"/>
      <c r="B4365" s="190"/>
      <c r="C4365" s="99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0"/>
      <c r="E4365" s="78" t="str">
        <f>IF(C4365="","",IFERROR(VLOOKUP(C4365,parametros!$A$11:$E$15,5,0),""))</f>
        <v/>
      </c>
      <c r="F4365" s="79" t="str">
        <f t="shared" si="342"/>
        <v/>
      </c>
      <c r="G4365" s="101"/>
      <c r="H4365" s="91">
        <f t="shared" si="343"/>
        <v>0</v>
      </c>
      <c r="I4365" s="91" t="str">
        <f t="shared" si="344"/>
        <v/>
      </c>
      <c r="J4365" s="91" t="str">
        <f t="shared" si="345"/>
        <v/>
      </c>
      <c r="K4365" s="92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2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58"/>
      <c r="U4365" s="217" t="str">
        <f t="shared" si="346"/>
        <v/>
      </c>
      <c r="V4365" s="215" t="s">
        <v>47</v>
      </c>
      <c r="W4365" s="102" t="s">
        <v>136</v>
      </c>
      <c r="X4365" s="102" t="s">
        <v>137</v>
      </c>
      <c r="Y4365" s="103" t="s">
        <v>138</v>
      </c>
      <c r="Z4365" s="103" t="s">
        <v>139</v>
      </c>
      <c r="AA4365" s="103" t="s">
        <v>47</v>
      </c>
      <c r="AB4365" s="103" t="s">
        <v>140</v>
      </c>
      <c r="AC4365" s="104" t="s">
        <v>141</v>
      </c>
    </row>
    <row r="4366" spans="1:29" ht="25.5" customHeight="1" x14ac:dyDescent="0.35">
      <c r="A4366" s="188"/>
      <c r="B4366" s="190"/>
      <c r="C4366" s="99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0"/>
      <c r="E4366" s="78" t="str">
        <f>IF(C4366="","",IFERROR(VLOOKUP(C4366,parametros!$A$11:$E$15,5,0),""))</f>
        <v/>
      </c>
      <c r="F4366" s="79" t="str">
        <f t="shared" si="342"/>
        <v/>
      </c>
      <c r="G4366" s="101"/>
      <c r="H4366" s="91">
        <f t="shared" si="343"/>
        <v>0</v>
      </c>
      <c r="I4366" s="91" t="str">
        <f t="shared" si="344"/>
        <v/>
      </c>
      <c r="J4366" s="91" t="str">
        <f t="shared" si="345"/>
        <v/>
      </c>
      <c r="K4366" s="92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2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58"/>
      <c r="U4366" s="217" t="str">
        <f t="shared" si="346"/>
        <v/>
      </c>
      <c r="V4366" s="215" t="s">
        <v>47</v>
      </c>
      <c r="W4366" s="102" t="s">
        <v>136</v>
      </c>
      <c r="X4366" s="102" t="s">
        <v>137</v>
      </c>
      <c r="Y4366" s="103" t="s">
        <v>138</v>
      </c>
      <c r="Z4366" s="103" t="s">
        <v>139</v>
      </c>
      <c r="AA4366" s="103" t="s">
        <v>47</v>
      </c>
      <c r="AB4366" s="103" t="s">
        <v>140</v>
      </c>
      <c r="AC4366" s="104" t="s">
        <v>141</v>
      </c>
    </row>
    <row r="4367" spans="1:29" ht="25.5" customHeight="1" x14ac:dyDescent="0.35">
      <c r="A4367" s="188"/>
      <c r="B4367" s="190"/>
      <c r="C4367" s="99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0"/>
      <c r="E4367" s="78" t="str">
        <f>IF(C4367="","",IFERROR(VLOOKUP(C4367,parametros!$A$11:$E$15,5,0),""))</f>
        <v/>
      </c>
      <c r="F4367" s="79" t="str">
        <f t="shared" si="342"/>
        <v/>
      </c>
      <c r="G4367" s="101"/>
      <c r="H4367" s="91">
        <f t="shared" si="343"/>
        <v>0</v>
      </c>
      <c r="I4367" s="91" t="str">
        <f t="shared" si="344"/>
        <v/>
      </c>
      <c r="J4367" s="91" t="str">
        <f t="shared" si="345"/>
        <v/>
      </c>
      <c r="K4367" s="92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2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58"/>
      <c r="U4367" s="217" t="str">
        <f t="shared" si="346"/>
        <v/>
      </c>
      <c r="V4367" s="215" t="s">
        <v>47</v>
      </c>
      <c r="W4367" s="102" t="s">
        <v>136</v>
      </c>
      <c r="X4367" s="102" t="s">
        <v>137</v>
      </c>
      <c r="Y4367" s="103" t="s">
        <v>138</v>
      </c>
      <c r="Z4367" s="103" t="s">
        <v>139</v>
      </c>
      <c r="AA4367" s="103" t="s">
        <v>47</v>
      </c>
      <c r="AB4367" s="103" t="s">
        <v>140</v>
      </c>
      <c r="AC4367" s="104" t="s">
        <v>141</v>
      </c>
    </row>
    <row r="4368" spans="1:29" ht="25.5" customHeight="1" x14ac:dyDescent="0.35">
      <c r="A4368" s="188"/>
      <c r="B4368" s="190"/>
      <c r="C4368" s="99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0"/>
      <c r="E4368" s="78" t="str">
        <f>IF(C4368="","",IFERROR(VLOOKUP(C4368,parametros!$A$11:$E$15,5,0),""))</f>
        <v/>
      </c>
      <c r="F4368" s="79" t="str">
        <f t="shared" si="342"/>
        <v/>
      </c>
      <c r="G4368" s="101"/>
      <c r="H4368" s="91">
        <f t="shared" si="343"/>
        <v>0</v>
      </c>
      <c r="I4368" s="91" t="str">
        <f t="shared" si="344"/>
        <v/>
      </c>
      <c r="J4368" s="91" t="str">
        <f t="shared" si="345"/>
        <v/>
      </c>
      <c r="K4368" s="92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2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58"/>
      <c r="U4368" s="217" t="str">
        <f t="shared" si="346"/>
        <v/>
      </c>
      <c r="V4368" s="215" t="s">
        <v>47</v>
      </c>
      <c r="W4368" s="102" t="s">
        <v>136</v>
      </c>
      <c r="X4368" s="102" t="s">
        <v>137</v>
      </c>
      <c r="Y4368" s="103" t="s">
        <v>138</v>
      </c>
      <c r="Z4368" s="103" t="s">
        <v>139</v>
      </c>
      <c r="AA4368" s="103" t="s">
        <v>47</v>
      </c>
      <c r="AB4368" s="103" t="s">
        <v>140</v>
      </c>
      <c r="AC4368" s="104" t="s">
        <v>141</v>
      </c>
    </row>
    <row r="4369" spans="1:29" ht="25.5" customHeight="1" x14ac:dyDescent="0.35">
      <c r="A4369" s="188"/>
      <c r="B4369" s="190"/>
      <c r="C4369" s="99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0"/>
      <c r="E4369" s="78" t="str">
        <f>IF(C4369="","",IFERROR(VLOOKUP(C4369,parametros!$A$11:$E$15,5,0),""))</f>
        <v/>
      </c>
      <c r="F4369" s="79" t="str">
        <f t="shared" si="342"/>
        <v/>
      </c>
      <c r="G4369" s="101"/>
      <c r="H4369" s="91">
        <f t="shared" si="343"/>
        <v>0</v>
      </c>
      <c r="I4369" s="91" t="str">
        <f t="shared" si="344"/>
        <v/>
      </c>
      <c r="J4369" s="91" t="str">
        <f t="shared" si="345"/>
        <v/>
      </c>
      <c r="K4369" s="92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2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58"/>
      <c r="U4369" s="217" t="str">
        <f t="shared" si="346"/>
        <v/>
      </c>
      <c r="V4369" s="215" t="s">
        <v>47</v>
      </c>
      <c r="W4369" s="102" t="s">
        <v>136</v>
      </c>
      <c r="X4369" s="102" t="s">
        <v>137</v>
      </c>
      <c r="Y4369" s="103" t="s">
        <v>138</v>
      </c>
      <c r="Z4369" s="103" t="s">
        <v>139</v>
      </c>
      <c r="AA4369" s="103" t="s">
        <v>47</v>
      </c>
      <c r="AB4369" s="103" t="s">
        <v>140</v>
      </c>
      <c r="AC4369" s="104" t="s">
        <v>141</v>
      </c>
    </row>
    <row r="4370" spans="1:29" ht="25.5" customHeight="1" x14ac:dyDescent="0.35">
      <c r="A4370" s="188"/>
      <c r="B4370" s="190"/>
      <c r="C4370" s="99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0"/>
      <c r="E4370" s="78" t="str">
        <f>IF(C4370="","",IFERROR(VLOOKUP(C4370,parametros!$A$11:$E$15,5,0),""))</f>
        <v/>
      </c>
      <c r="F4370" s="79" t="str">
        <f t="shared" si="342"/>
        <v/>
      </c>
      <c r="G4370" s="101"/>
      <c r="H4370" s="91">
        <f t="shared" si="343"/>
        <v>0</v>
      </c>
      <c r="I4370" s="91" t="str">
        <f t="shared" si="344"/>
        <v/>
      </c>
      <c r="J4370" s="91" t="str">
        <f t="shared" si="345"/>
        <v/>
      </c>
      <c r="K4370" s="92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2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58"/>
      <c r="U4370" s="217" t="str">
        <f t="shared" si="346"/>
        <v/>
      </c>
      <c r="V4370" s="215" t="s">
        <v>47</v>
      </c>
      <c r="W4370" s="102" t="s">
        <v>136</v>
      </c>
      <c r="X4370" s="102" t="s">
        <v>137</v>
      </c>
      <c r="Y4370" s="103" t="s">
        <v>138</v>
      </c>
      <c r="Z4370" s="103" t="s">
        <v>139</v>
      </c>
      <c r="AA4370" s="103" t="s">
        <v>47</v>
      </c>
      <c r="AB4370" s="103" t="s">
        <v>140</v>
      </c>
      <c r="AC4370" s="104" t="s">
        <v>141</v>
      </c>
    </row>
    <row r="4371" spans="1:29" ht="25.5" customHeight="1" x14ac:dyDescent="0.35">
      <c r="A4371" s="188"/>
      <c r="B4371" s="190"/>
      <c r="C4371" s="99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0"/>
      <c r="E4371" s="78" t="str">
        <f>IF(C4371="","",IFERROR(VLOOKUP(C4371,parametros!$A$11:$E$15,5,0),""))</f>
        <v/>
      </c>
      <c r="F4371" s="79" t="str">
        <f t="shared" si="342"/>
        <v/>
      </c>
      <c r="G4371" s="101"/>
      <c r="H4371" s="91">
        <f t="shared" si="343"/>
        <v>0</v>
      </c>
      <c r="I4371" s="91" t="str">
        <f t="shared" si="344"/>
        <v/>
      </c>
      <c r="J4371" s="91" t="str">
        <f t="shared" si="345"/>
        <v/>
      </c>
      <c r="K4371" s="92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2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58"/>
      <c r="U4371" s="217" t="str">
        <f t="shared" si="346"/>
        <v/>
      </c>
      <c r="V4371" s="215" t="s">
        <v>47</v>
      </c>
      <c r="W4371" s="102" t="s">
        <v>136</v>
      </c>
      <c r="X4371" s="102" t="s">
        <v>137</v>
      </c>
      <c r="Y4371" s="103" t="s">
        <v>138</v>
      </c>
      <c r="Z4371" s="103" t="s">
        <v>139</v>
      </c>
      <c r="AA4371" s="103" t="s">
        <v>47</v>
      </c>
      <c r="AB4371" s="103" t="s">
        <v>140</v>
      </c>
      <c r="AC4371" s="104" t="s">
        <v>141</v>
      </c>
    </row>
    <row r="4372" spans="1:29" ht="25.5" customHeight="1" x14ac:dyDescent="0.35">
      <c r="A4372" s="188"/>
      <c r="B4372" s="190"/>
      <c r="C4372" s="99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0"/>
      <c r="E4372" s="78" t="str">
        <f>IF(C4372="","",IFERROR(VLOOKUP(C4372,parametros!$A$11:$E$15,5,0),""))</f>
        <v/>
      </c>
      <c r="F4372" s="79" t="str">
        <f t="shared" si="342"/>
        <v/>
      </c>
      <c r="G4372" s="101"/>
      <c r="H4372" s="91">
        <f t="shared" si="343"/>
        <v>0</v>
      </c>
      <c r="I4372" s="91" t="str">
        <f t="shared" si="344"/>
        <v/>
      </c>
      <c r="J4372" s="91" t="str">
        <f t="shared" si="345"/>
        <v/>
      </c>
      <c r="K4372" s="92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2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58"/>
      <c r="U4372" s="217" t="str">
        <f t="shared" si="346"/>
        <v/>
      </c>
      <c r="V4372" s="215" t="s">
        <v>47</v>
      </c>
      <c r="W4372" s="102" t="s">
        <v>136</v>
      </c>
      <c r="X4372" s="102" t="s">
        <v>137</v>
      </c>
      <c r="Y4372" s="103" t="s">
        <v>138</v>
      </c>
      <c r="Z4372" s="103" t="s">
        <v>139</v>
      </c>
      <c r="AA4372" s="103" t="s">
        <v>47</v>
      </c>
      <c r="AB4372" s="103" t="s">
        <v>140</v>
      </c>
      <c r="AC4372" s="104" t="s">
        <v>141</v>
      </c>
    </row>
    <row r="4373" spans="1:29" ht="25.5" customHeight="1" x14ac:dyDescent="0.35">
      <c r="A4373" s="188"/>
      <c r="B4373" s="190"/>
      <c r="C4373" s="99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0"/>
      <c r="E4373" s="78" t="str">
        <f>IF(C4373="","",IFERROR(VLOOKUP(C4373,parametros!$A$11:$E$15,5,0),""))</f>
        <v/>
      </c>
      <c r="F4373" s="79" t="str">
        <f t="shared" si="342"/>
        <v/>
      </c>
      <c r="G4373" s="101"/>
      <c r="H4373" s="91">
        <f t="shared" si="343"/>
        <v>0</v>
      </c>
      <c r="I4373" s="91" t="str">
        <f t="shared" si="344"/>
        <v/>
      </c>
      <c r="J4373" s="91" t="str">
        <f t="shared" si="345"/>
        <v/>
      </c>
      <c r="K4373" s="92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2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58"/>
      <c r="U4373" s="217" t="str">
        <f t="shared" si="346"/>
        <v/>
      </c>
      <c r="V4373" s="215" t="s">
        <v>47</v>
      </c>
      <c r="W4373" s="102" t="s">
        <v>136</v>
      </c>
      <c r="X4373" s="102" t="s">
        <v>137</v>
      </c>
      <c r="Y4373" s="103" t="s">
        <v>138</v>
      </c>
      <c r="Z4373" s="103" t="s">
        <v>139</v>
      </c>
      <c r="AA4373" s="103" t="s">
        <v>47</v>
      </c>
      <c r="AB4373" s="103" t="s">
        <v>140</v>
      </c>
      <c r="AC4373" s="104" t="s">
        <v>141</v>
      </c>
    </row>
    <row r="4374" spans="1:29" ht="25.5" customHeight="1" x14ac:dyDescent="0.35">
      <c r="A4374" s="188"/>
      <c r="B4374" s="190"/>
      <c r="C4374" s="99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0"/>
      <c r="E4374" s="78" t="str">
        <f>IF(C4374="","",IFERROR(VLOOKUP(C4374,parametros!$A$11:$E$15,5,0),""))</f>
        <v/>
      </c>
      <c r="F4374" s="79" t="str">
        <f t="shared" si="342"/>
        <v/>
      </c>
      <c r="G4374" s="101"/>
      <c r="H4374" s="91">
        <f t="shared" si="343"/>
        <v>0</v>
      </c>
      <c r="I4374" s="91" t="str">
        <f t="shared" si="344"/>
        <v/>
      </c>
      <c r="J4374" s="91" t="str">
        <f t="shared" si="345"/>
        <v/>
      </c>
      <c r="K4374" s="92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2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58"/>
      <c r="U4374" s="217" t="str">
        <f t="shared" si="346"/>
        <v/>
      </c>
      <c r="V4374" s="215" t="s">
        <v>47</v>
      </c>
      <c r="W4374" s="102" t="s">
        <v>136</v>
      </c>
      <c r="X4374" s="102" t="s">
        <v>137</v>
      </c>
      <c r="Y4374" s="103" t="s">
        <v>138</v>
      </c>
      <c r="Z4374" s="103" t="s">
        <v>139</v>
      </c>
      <c r="AA4374" s="103" t="s">
        <v>47</v>
      </c>
      <c r="AB4374" s="103" t="s">
        <v>140</v>
      </c>
      <c r="AC4374" s="104" t="s">
        <v>141</v>
      </c>
    </row>
    <row r="4375" spans="1:29" ht="25.5" customHeight="1" x14ac:dyDescent="0.35">
      <c r="A4375" s="188"/>
      <c r="B4375" s="190"/>
      <c r="C4375" s="99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0"/>
      <c r="E4375" s="78" t="str">
        <f>IF(C4375="","",IFERROR(VLOOKUP(C4375,parametros!$A$11:$E$15,5,0),""))</f>
        <v/>
      </c>
      <c r="F4375" s="79" t="str">
        <f t="shared" si="342"/>
        <v/>
      </c>
      <c r="G4375" s="101"/>
      <c r="H4375" s="91">
        <f t="shared" si="343"/>
        <v>0</v>
      </c>
      <c r="I4375" s="91" t="str">
        <f t="shared" si="344"/>
        <v/>
      </c>
      <c r="J4375" s="91" t="str">
        <f t="shared" si="345"/>
        <v/>
      </c>
      <c r="K4375" s="92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2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58"/>
      <c r="U4375" s="217" t="str">
        <f t="shared" si="346"/>
        <v/>
      </c>
      <c r="V4375" s="215" t="s">
        <v>47</v>
      </c>
      <c r="W4375" s="102" t="s">
        <v>136</v>
      </c>
      <c r="X4375" s="102" t="s">
        <v>137</v>
      </c>
      <c r="Y4375" s="103" t="s">
        <v>138</v>
      </c>
      <c r="Z4375" s="103" t="s">
        <v>139</v>
      </c>
      <c r="AA4375" s="103" t="s">
        <v>47</v>
      </c>
      <c r="AB4375" s="103" t="s">
        <v>140</v>
      </c>
      <c r="AC4375" s="104" t="s">
        <v>141</v>
      </c>
    </row>
    <row r="4376" spans="1:29" ht="25.5" customHeight="1" x14ac:dyDescent="0.35">
      <c r="A4376" s="188"/>
      <c r="B4376" s="190"/>
      <c r="C4376" s="99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0"/>
      <c r="E4376" s="78" t="str">
        <f>IF(C4376="","",IFERROR(VLOOKUP(C4376,parametros!$A$11:$E$15,5,0),""))</f>
        <v/>
      </c>
      <c r="F4376" s="79" t="str">
        <f t="shared" si="342"/>
        <v/>
      </c>
      <c r="G4376" s="101"/>
      <c r="H4376" s="91">
        <f t="shared" si="343"/>
        <v>0</v>
      </c>
      <c r="I4376" s="91" t="str">
        <f t="shared" si="344"/>
        <v/>
      </c>
      <c r="J4376" s="91" t="str">
        <f t="shared" si="345"/>
        <v/>
      </c>
      <c r="K4376" s="92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2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58"/>
      <c r="U4376" s="217" t="str">
        <f t="shared" si="346"/>
        <v/>
      </c>
      <c r="V4376" s="215" t="s">
        <v>47</v>
      </c>
      <c r="W4376" s="102" t="s">
        <v>136</v>
      </c>
      <c r="X4376" s="102" t="s">
        <v>137</v>
      </c>
      <c r="Y4376" s="103" t="s">
        <v>138</v>
      </c>
      <c r="Z4376" s="103" t="s">
        <v>139</v>
      </c>
      <c r="AA4376" s="103" t="s">
        <v>47</v>
      </c>
      <c r="AB4376" s="103" t="s">
        <v>140</v>
      </c>
      <c r="AC4376" s="104" t="s">
        <v>141</v>
      </c>
    </row>
    <row r="4377" spans="1:29" ht="25.5" customHeight="1" x14ac:dyDescent="0.35">
      <c r="A4377" s="188"/>
      <c r="B4377" s="190"/>
      <c r="C4377" s="99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0"/>
      <c r="E4377" s="78" t="str">
        <f>IF(C4377="","",IFERROR(VLOOKUP(C4377,parametros!$A$11:$E$15,5,0),""))</f>
        <v/>
      </c>
      <c r="F4377" s="79" t="str">
        <f t="shared" si="342"/>
        <v/>
      </c>
      <c r="G4377" s="101"/>
      <c r="H4377" s="91">
        <f t="shared" si="343"/>
        <v>0</v>
      </c>
      <c r="I4377" s="91" t="str">
        <f t="shared" si="344"/>
        <v/>
      </c>
      <c r="J4377" s="91" t="str">
        <f t="shared" si="345"/>
        <v/>
      </c>
      <c r="K4377" s="92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2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58"/>
      <c r="U4377" s="217" t="str">
        <f t="shared" si="346"/>
        <v/>
      </c>
      <c r="V4377" s="215" t="s">
        <v>47</v>
      </c>
      <c r="W4377" s="102" t="s">
        <v>136</v>
      </c>
      <c r="X4377" s="102" t="s">
        <v>137</v>
      </c>
      <c r="Y4377" s="103" t="s">
        <v>138</v>
      </c>
      <c r="Z4377" s="103" t="s">
        <v>139</v>
      </c>
      <c r="AA4377" s="103" t="s">
        <v>47</v>
      </c>
      <c r="AB4377" s="103" t="s">
        <v>140</v>
      </c>
      <c r="AC4377" s="104" t="s">
        <v>141</v>
      </c>
    </row>
    <row r="4378" spans="1:29" ht="25.5" customHeight="1" x14ac:dyDescent="0.35">
      <c r="A4378" s="188"/>
      <c r="B4378" s="190"/>
      <c r="C4378" s="99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0"/>
      <c r="E4378" s="78" t="str">
        <f>IF(C4378="","",IFERROR(VLOOKUP(C4378,parametros!$A$11:$E$15,5,0),""))</f>
        <v/>
      </c>
      <c r="F4378" s="79" t="str">
        <f t="shared" si="342"/>
        <v/>
      </c>
      <c r="G4378" s="101"/>
      <c r="H4378" s="91">
        <f t="shared" si="343"/>
        <v>0</v>
      </c>
      <c r="I4378" s="91" t="str">
        <f t="shared" si="344"/>
        <v/>
      </c>
      <c r="J4378" s="91" t="str">
        <f t="shared" si="345"/>
        <v/>
      </c>
      <c r="K4378" s="92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2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58"/>
      <c r="U4378" s="217" t="str">
        <f t="shared" si="346"/>
        <v/>
      </c>
      <c r="V4378" s="215" t="s">
        <v>47</v>
      </c>
      <c r="W4378" s="102" t="s">
        <v>136</v>
      </c>
      <c r="X4378" s="102" t="s">
        <v>137</v>
      </c>
      <c r="Y4378" s="103" t="s">
        <v>138</v>
      </c>
      <c r="Z4378" s="103" t="s">
        <v>139</v>
      </c>
      <c r="AA4378" s="103" t="s">
        <v>47</v>
      </c>
      <c r="AB4378" s="103" t="s">
        <v>140</v>
      </c>
      <c r="AC4378" s="104" t="s">
        <v>141</v>
      </c>
    </row>
    <row r="4379" spans="1:29" ht="25.5" customHeight="1" x14ac:dyDescent="0.35">
      <c r="A4379" s="188"/>
      <c r="B4379" s="190"/>
      <c r="C4379" s="99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0"/>
      <c r="E4379" s="78" t="str">
        <f>IF(C4379="","",IFERROR(VLOOKUP(C4379,parametros!$A$11:$E$15,5,0),""))</f>
        <v/>
      </c>
      <c r="F4379" s="79" t="str">
        <f t="shared" si="342"/>
        <v/>
      </c>
      <c r="G4379" s="101"/>
      <c r="H4379" s="91">
        <f t="shared" si="343"/>
        <v>0</v>
      </c>
      <c r="I4379" s="91" t="str">
        <f t="shared" si="344"/>
        <v/>
      </c>
      <c r="J4379" s="91" t="str">
        <f t="shared" si="345"/>
        <v/>
      </c>
      <c r="K4379" s="92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2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58"/>
      <c r="U4379" s="217" t="str">
        <f t="shared" si="346"/>
        <v/>
      </c>
      <c r="V4379" s="215" t="s">
        <v>47</v>
      </c>
      <c r="W4379" s="102" t="s">
        <v>136</v>
      </c>
      <c r="X4379" s="102" t="s">
        <v>137</v>
      </c>
      <c r="Y4379" s="103" t="s">
        <v>138</v>
      </c>
      <c r="Z4379" s="103" t="s">
        <v>139</v>
      </c>
      <c r="AA4379" s="103" t="s">
        <v>47</v>
      </c>
      <c r="AB4379" s="103" t="s">
        <v>140</v>
      </c>
      <c r="AC4379" s="104" t="s">
        <v>141</v>
      </c>
    </row>
    <row r="4380" spans="1:29" ht="25.5" customHeight="1" x14ac:dyDescent="0.35">
      <c r="A4380" s="188"/>
      <c r="B4380" s="190"/>
      <c r="C4380" s="99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0"/>
      <c r="E4380" s="78" t="str">
        <f>IF(C4380="","",IFERROR(VLOOKUP(C4380,parametros!$A$11:$E$15,5,0),""))</f>
        <v/>
      </c>
      <c r="F4380" s="79" t="str">
        <f t="shared" si="342"/>
        <v/>
      </c>
      <c r="G4380" s="101"/>
      <c r="H4380" s="91">
        <f t="shared" si="343"/>
        <v>0</v>
      </c>
      <c r="I4380" s="91" t="str">
        <f t="shared" si="344"/>
        <v/>
      </c>
      <c r="J4380" s="91" t="str">
        <f t="shared" si="345"/>
        <v/>
      </c>
      <c r="K4380" s="92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2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58"/>
      <c r="U4380" s="217" t="str">
        <f t="shared" si="346"/>
        <v/>
      </c>
      <c r="V4380" s="215" t="s">
        <v>47</v>
      </c>
      <c r="W4380" s="102" t="s">
        <v>136</v>
      </c>
      <c r="X4380" s="102" t="s">
        <v>137</v>
      </c>
      <c r="Y4380" s="103" t="s">
        <v>138</v>
      </c>
      <c r="Z4380" s="103" t="s">
        <v>139</v>
      </c>
      <c r="AA4380" s="103" t="s">
        <v>47</v>
      </c>
      <c r="AB4380" s="103" t="s">
        <v>140</v>
      </c>
      <c r="AC4380" s="104" t="s">
        <v>141</v>
      </c>
    </row>
    <row r="4381" spans="1:29" ht="25.5" customHeight="1" x14ac:dyDescent="0.35">
      <c r="A4381" s="188"/>
      <c r="B4381" s="190"/>
      <c r="C4381" s="99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0"/>
      <c r="E4381" s="78" t="str">
        <f>IF(C4381="","",IFERROR(VLOOKUP(C4381,parametros!$A$11:$E$15,5,0),""))</f>
        <v/>
      </c>
      <c r="F4381" s="79" t="str">
        <f t="shared" si="342"/>
        <v/>
      </c>
      <c r="G4381" s="101"/>
      <c r="H4381" s="91">
        <f t="shared" si="343"/>
        <v>0</v>
      </c>
      <c r="I4381" s="91" t="str">
        <f t="shared" si="344"/>
        <v/>
      </c>
      <c r="J4381" s="91" t="str">
        <f t="shared" si="345"/>
        <v/>
      </c>
      <c r="K4381" s="92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2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58"/>
      <c r="U4381" s="217" t="str">
        <f t="shared" si="346"/>
        <v/>
      </c>
      <c r="V4381" s="215" t="s">
        <v>47</v>
      </c>
      <c r="W4381" s="102" t="s">
        <v>136</v>
      </c>
      <c r="X4381" s="102" t="s">
        <v>137</v>
      </c>
      <c r="Y4381" s="103" t="s">
        <v>138</v>
      </c>
      <c r="Z4381" s="103" t="s">
        <v>139</v>
      </c>
      <c r="AA4381" s="103" t="s">
        <v>47</v>
      </c>
      <c r="AB4381" s="103" t="s">
        <v>140</v>
      </c>
      <c r="AC4381" s="104" t="s">
        <v>141</v>
      </c>
    </row>
    <row r="4382" spans="1:29" ht="25.5" customHeight="1" x14ac:dyDescent="0.35">
      <c r="A4382" s="188"/>
      <c r="B4382" s="190"/>
      <c r="C4382" s="99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0"/>
      <c r="E4382" s="78" t="str">
        <f>IF(C4382="","",IFERROR(VLOOKUP(C4382,parametros!$A$11:$E$15,5,0),""))</f>
        <v/>
      </c>
      <c r="F4382" s="79" t="str">
        <f t="shared" si="342"/>
        <v/>
      </c>
      <c r="G4382" s="101"/>
      <c r="H4382" s="91">
        <f t="shared" si="343"/>
        <v>0</v>
      </c>
      <c r="I4382" s="91" t="str">
        <f t="shared" si="344"/>
        <v/>
      </c>
      <c r="J4382" s="91" t="str">
        <f t="shared" si="345"/>
        <v/>
      </c>
      <c r="K4382" s="92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2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58"/>
      <c r="U4382" s="217" t="str">
        <f t="shared" si="346"/>
        <v/>
      </c>
      <c r="V4382" s="215" t="s">
        <v>47</v>
      </c>
      <c r="W4382" s="102" t="s">
        <v>136</v>
      </c>
      <c r="X4382" s="102" t="s">
        <v>137</v>
      </c>
      <c r="Y4382" s="103" t="s">
        <v>138</v>
      </c>
      <c r="Z4382" s="103" t="s">
        <v>139</v>
      </c>
      <c r="AA4382" s="103" t="s">
        <v>47</v>
      </c>
      <c r="AB4382" s="103" t="s">
        <v>140</v>
      </c>
      <c r="AC4382" s="104" t="s">
        <v>141</v>
      </c>
    </row>
    <row r="4383" spans="1:29" ht="25.5" customHeight="1" x14ac:dyDescent="0.35">
      <c r="A4383" s="188"/>
      <c r="B4383" s="190"/>
      <c r="C4383" s="99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0"/>
      <c r="E4383" s="78" t="str">
        <f>IF(C4383="","",IFERROR(VLOOKUP(C4383,parametros!$A$11:$E$15,5,0),""))</f>
        <v/>
      </c>
      <c r="F4383" s="79" t="str">
        <f t="shared" si="342"/>
        <v/>
      </c>
      <c r="G4383" s="101"/>
      <c r="H4383" s="91">
        <f t="shared" si="343"/>
        <v>0</v>
      </c>
      <c r="I4383" s="91" t="str">
        <f t="shared" si="344"/>
        <v/>
      </c>
      <c r="J4383" s="91" t="str">
        <f t="shared" si="345"/>
        <v/>
      </c>
      <c r="K4383" s="92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2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58"/>
      <c r="U4383" s="217" t="str">
        <f t="shared" si="346"/>
        <v/>
      </c>
      <c r="V4383" s="215" t="s">
        <v>47</v>
      </c>
      <c r="W4383" s="102" t="s">
        <v>136</v>
      </c>
      <c r="X4383" s="102" t="s">
        <v>137</v>
      </c>
      <c r="Y4383" s="103" t="s">
        <v>138</v>
      </c>
      <c r="Z4383" s="103" t="s">
        <v>139</v>
      </c>
      <c r="AA4383" s="103" t="s">
        <v>47</v>
      </c>
      <c r="AB4383" s="103" t="s">
        <v>140</v>
      </c>
      <c r="AC4383" s="104" t="s">
        <v>141</v>
      </c>
    </row>
    <row r="4384" spans="1:29" ht="25.5" customHeight="1" x14ac:dyDescent="0.35">
      <c r="A4384" s="188"/>
      <c r="B4384" s="190"/>
      <c r="C4384" s="99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0"/>
      <c r="E4384" s="78" t="str">
        <f>IF(C4384="","",IFERROR(VLOOKUP(C4384,parametros!$A$11:$E$15,5,0),""))</f>
        <v/>
      </c>
      <c r="F4384" s="79" t="str">
        <f t="shared" si="342"/>
        <v/>
      </c>
      <c r="G4384" s="101"/>
      <c r="H4384" s="91">
        <f t="shared" si="343"/>
        <v>0</v>
      </c>
      <c r="I4384" s="91" t="str">
        <f t="shared" si="344"/>
        <v/>
      </c>
      <c r="J4384" s="91" t="str">
        <f t="shared" si="345"/>
        <v/>
      </c>
      <c r="K4384" s="92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2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58"/>
      <c r="U4384" s="217" t="str">
        <f t="shared" si="346"/>
        <v/>
      </c>
      <c r="V4384" s="215" t="s">
        <v>47</v>
      </c>
      <c r="W4384" s="102" t="s">
        <v>136</v>
      </c>
      <c r="X4384" s="102" t="s">
        <v>137</v>
      </c>
      <c r="Y4384" s="103" t="s">
        <v>138</v>
      </c>
      <c r="Z4384" s="103" t="s">
        <v>139</v>
      </c>
      <c r="AA4384" s="103" t="s">
        <v>47</v>
      </c>
      <c r="AB4384" s="103" t="s">
        <v>140</v>
      </c>
      <c r="AC4384" s="104" t="s">
        <v>141</v>
      </c>
    </row>
    <row r="4385" spans="1:29" ht="25.5" customHeight="1" x14ac:dyDescent="0.35">
      <c r="A4385" s="188"/>
      <c r="B4385" s="190"/>
      <c r="C4385" s="99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0"/>
      <c r="E4385" s="78" t="str">
        <f>IF(C4385="","",IFERROR(VLOOKUP(C4385,parametros!$A$11:$E$15,5,0),""))</f>
        <v/>
      </c>
      <c r="F4385" s="79" t="str">
        <f t="shared" si="342"/>
        <v/>
      </c>
      <c r="G4385" s="101"/>
      <c r="H4385" s="91">
        <f t="shared" si="343"/>
        <v>0</v>
      </c>
      <c r="I4385" s="91" t="str">
        <f t="shared" si="344"/>
        <v/>
      </c>
      <c r="J4385" s="91" t="str">
        <f t="shared" si="345"/>
        <v/>
      </c>
      <c r="K4385" s="92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2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58"/>
      <c r="U4385" s="217" t="str">
        <f t="shared" si="346"/>
        <v/>
      </c>
      <c r="V4385" s="215" t="s">
        <v>47</v>
      </c>
      <c r="W4385" s="102" t="s">
        <v>136</v>
      </c>
      <c r="X4385" s="102" t="s">
        <v>137</v>
      </c>
      <c r="Y4385" s="103" t="s">
        <v>138</v>
      </c>
      <c r="Z4385" s="103" t="s">
        <v>139</v>
      </c>
      <c r="AA4385" s="103" t="s">
        <v>47</v>
      </c>
      <c r="AB4385" s="103" t="s">
        <v>140</v>
      </c>
      <c r="AC4385" s="104" t="s">
        <v>141</v>
      </c>
    </row>
    <row r="4386" spans="1:29" ht="25.5" customHeight="1" x14ac:dyDescent="0.35">
      <c r="A4386" s="188"/>
      <c r="B4386" s="190"/>
      <c r="C4386" s="99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0"/>
      <c r="E4386" s="78" t="str">
        <f>IF(C4386="","",IFERROR(VLOOKUP(C4386,parametros!$A$11:$E$15,5,0),""))</f>
        <v/>
      </c>
      <c r="F4386" s="79" t="str">
        <f t="shared" si="342"/>
        <v/>
      </c>
      <c r="G4386" s="101"/>
      <c r="H4386" s="91">
        <f t="shared" si="343"/>
        <v>0</v>
      </c>
      <c r="I4386" s="91" t="str">
        <f t="shared" si="344"/>
        <v/>
      </c>
      <c r="J4386" s="91" t="str">
        <f t="shared" si="345"/>
        <v/>
      </c>
      <c r="K4386" s="92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2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58"/>
      <c r="U4386" s="217" t="str">
        <f t="shared" si="346"/>
        <v/>
      </c>
      <c r="V4386" s="215" t="s">
        <v>47</v>
      </c>
      <c r="W4386" s="102" t="s">
        <v>136</v>
      </c>
      <c r="X4386" s="102" t="s">
        <v>137</v>
      </c>
      <c r="Y4386" s="103" t="s">
        <v>138</v>
      </c>
      <c r="Z4386" s="103" t="s">
        <v>139</v>
      </c>
      <c r="AA4386" s="103" t="s">
        <v>47</v>
      </c>
      <c r="AB4386" s="103" t="s">
        <v>140</v>
      </c>
      <c r="AC4386" s="104" t="s">
        <v>141</v>
      </c>
    </row>
    <row r="4387" spans="1:29" ht="25.5" customHeight="1" x14ac:dyDescent="0.35">
      <c r="A4387" s="188"/>
      <c r="B4387" s="190"/>
      <c r="C4387" s="99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0"/>
      <c r="E4387" s="78" t="str">
        <f>IF(C4387="","",IFERROR(VLOOKUP(C4387,parametros!$A$11:$E$15,5,0),""))</f>
        <v/>
      </c>
      <c r="F4387" s="79" t="str">
        <f t="shared" si="342"/>
        <v/>
      </c>
      <c r="G4387" s="101"/>
      <c r="H4387" s="91">
        <f t="shared" si="343"/>
        <v>0</v>
      </c>
      <c r="I4387" s="91" t="str">
        <f t="shared" si="344"/>
        <v/>
      </c>
      <c r="J4387" s="91" t="str">
        <f t="shared" si="345"/>
        <v/>
      </c>
      <c r="K4387" s="92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2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58"/>
      <c r="U4387" s="217" t="str">
        <f t="shared" si="346"/>
        <v/>
      </c>
      <c r="V4387" s="215" t="s">
        <v>47</v>
      </c>
      <c r="W4387" s="102" t="s">
        <v>136</v>
      </c>
      <c r="X4387" s="102" t="s">
        <v>137</v>
      </c>
      <c r="Y4387" s="103" t="s">
        <v>138</v>
      </c>
      <c r="Z4387" s="103" t="s">
        <v>139</v>
      </c>
      <c r="AA4387" s="103" t="s">
        <v>47</v>
      </c>
      <c r="AB4387" s="103" t="s">
        <v>140</v>
      </c>
      <c r="AC4387" s="104" t="s">
        <v>141</v>
      </c>
    </row>
    <row r="4388" spans="1:29" ht="25.5" customHeight="1" x14ac:dyDescent="0.35">
      <c r="A4388" s="188"/>
      <c r="B4388" s="190"/>
      <c r="C4388" s="99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0"/>
      <c r="E4388" s="78" t="str">
        <f>IF(C4388="","",IFERROR(VLOOKUP(C4388,parametros!$A$11:$E$15,5,0),""))</f>
        <v/>
      </c>
      <c r="F4388" s="79" t="str">
        <f t="shared" si="342"/>
        <v/>
      </c>
      <c r="G4388" s="101"/>
      <c r="H4388" s="91">
        <f t="shared" si="343"/>
        <v>0</v>
      </c>
      <c r="I4388" s="91" t="str">
        <f t="shared" si="344"/>
        <v/>
      </c>
      <c r="J4388" s="91" t="str">
        <f t="shared" si="345"/>
        <v/>
      </c>
      <c r="K4388" s="92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2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58"/>
      <c r="U4388" s="217" t="str">
        <f t="shared" si="346"/>
        <v/>
      </c>
      <c r="V4388" s="215" t="s">
        <v>47</v>
      </c>
      <c r="W4388" s="102" t="s">
        <v>136</v>
      </c>
      <c r="X4388" s="102" t="s">
        <v>137</v>
      </c>
      <c r="Y4388" s="103" t="s">
        <v>138</v>
      </c>
      <c r="Z4388" s="103" t="s">
        <v>139</v>
      </c>
      <c r="AA4388" s="103" t="s">
        <v>47</v>
      </c>
      <c r="AB4388" s="103" t="s">
        <v>140</v>
      </c>
      <c r="AC4388" s="104" t="s">
        <v>141</v>
      </c>
    </row>
    <row r="4389" spans="1:29" ht="25.5" customHeight="1" x14ac:dyDescent="0.35">
      <c r="A4389" s="188"/>
      <c r="B4389" s="190"/>
      <c r="C4389" s="99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0"/>
      <c r="E4389" s="78" t="str">
        <f>IF(C4389="","",IFERROR(VLOOKUP(C4389,parametros!$A$11:$E$15,5,0),""))</f>
        <v/>
      </c>
      <c r="F4389" s="79" t="str">
        <f t="shared" si="342"/>
        <v/>
      </c>
      <c r="G4389" s="101"/>
      <c r="H4389" s="91">
        <f t="shared" si="343"/>
        <v>0</v>
      </c>
      <c r="I4389" s="91" t="str">
        <f t="shared" si="344"/>
        <v/>
      </c>
      <c r="J4389" s="91" t="str">
        <f t="shared" si="345"/>
        <v/>
      </c>
      <c r="K4389" s="92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2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58"/>
      <c r="U4389" s="217" t="str">
        <f t="shared" si="346"/>
        <v/>
      </c>
      <c r="V4389" s="215" t="s">
        <v>47</v>
      </c>
      <c r="W4389" s="102" t="s">
        <v>136</v>
      </c>
      <c r="X4389" s="102" t="s">
        <v>137</v>
      </c>
      <c r="Y4389" s="103" t="s">
        <v>138</v>
      </c>
      <c r="Z4389" s="103" t="s">
        <v>139</v>
      </c>
      <c r="AA4389" s="103" t="s">
        <v>47</v>
      </c>
      <c r="AB4389" s="103" t="s">
        <v>140</v>
      </c>
      <c r="AC4389" s="104" t="s">
        <v>141</v>
      </c>
    </row>
    <row r="4390" spans="1:29" ht="25.5" customHeight="1" x14ac:dyDescent="0.35">
      <c r="A4390" s="188"/>
      <c r="B4390" s="190"/>
      <c r="C4390" s="99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0"/>
      <c r="E4390" s="78" t="str">
        <f>IF(C4390="","",IFERROR(VLOOKUP(C4390,parametros!$A$11:$E$15,5,0),""))</f>
        <v/>
      </c>
      <c r="F4390" s="79" t="str">
        <f t="shared" si="342"/>
        <v/>
      </c>
      <c r="G4390" s="101"/>
      <c r="H4390" s="91">
        <f t="shared" si="343"/>
        <v>0</v>
      </c>
      <c r="I4390" s="91" t="str">
        <f t="shared" si="344"/>
        <v/>
      </c>
      <c r="J4390" s="91" t="str">
        <f t="shared" si="345"/>
        <v/>
      </c>
      <c r="K4390" s="92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2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58"/>
      <c r="U4390" s="217" t="str">
        <f t="shared" si="346"/>
        <v/>
      </c>
      <c r="V4390" s="215" t="s">
        <v>47</v>
      </c>
      <c r="W4390" s="102" t="s">
        <v>136</v>
      </c>
      <c r="X4390" s="102" t="s">
        <v>137</v>
      </c>
      <c r="Y4390" s="103" t="s">
        <v>138</v>
      </c>
      <c r="Z4390" s="103" t="s">
        <v>139</v>
      </c>
      <c r="AA4390" s="103" t="s">
        <v>47</v>
      </c>
      <c r="AB4390" s="103" t="s">
        <v>140</v>
      </c>
      <c r="AC4390" s="104" t="s">
        <v>141</v>
      </c>
    </row>
    <row r="4391" spans="1:29" ht="25.5" customHeight="1" x14ac:dyDescent="0.35">
      <c r="A4391" s="188"/>
      <c r="B4391" s="190"/>
      <c r="C4391" s="99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0"/>
      <c r="E4391" s="78" t="str">
        <f>IF(C4391="","",IFERROR(VLOOKUP(C4391,parametros!$A$11:$E$15,5,0),""))</f>
        <v/>
      </c>
      <c r="F4391" s="79" t="str">
        <f t="shared" si="342"/>
        <v/>
      </c>
      <c r="G4391" s="101"/>
      <c r="H4391" s="91">
        <f t="shared" si="343"/>
        <v>0</v>
      </c>
      <c r="I4391" s="91" t="str">
        <f t="shared" si="344"/>
        <v/>
      </c>
      <c r="J4391" s="91" t="str">
        <f t="shared" si="345"/>
        <v/>
      </c>
      <c r="K4391" s="92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2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58"/>
      <c r="U4391" s="217" t="str">
        <f t="shared" si="346"/>
        <v/>
      </c>
      <c r="V4391" s="215" t="s">
        <v>47</v>
      </c>
      <c r="W4391" s="102" t="s">
        <v>136</v>
      </c>
      <c r="X4391" s="102" t="s">
        <v>137</v>
      </c>
      <c r="Y4391" s="103" t="s">
        <v>138</v>
      </c>
      <c r="Z4391" s="103" t="s">
        <v>139</v>
      </c>
      <c r="AA4391" s="103" t="s">
        <v>47</v>
      </c>
      <c r="AB4391" s="103" t="s">
        <v>140</v>
      </c>
      <c r="AC4391" s="104" t="s">
        <v>141</v>
      </c>
    </row>
    <row r="4392" spans="1:29" ht="25.5" customHeight="1" x14ac:dyDescent="0.35">
      <c r="A4392" s="188"/>
      <c r="B4392" s="190"/>
      <c r="C4392" s="99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0"/>
      <c r="E4392" s="78" t="str">
        <f>IF(C4392="","",IFERROR(VLOOKUP(C4392,parametros!$A$11:$E$15,5,0),""))</f>
        <v/>
      </c>
      <c r="F4392" s="79" t="str">
        <f t="shared" si="342"/>
        <v/>
      </c>
      <c r="G4392" s="101"/>
      <c r="H4392" s="91">
        <f t="shared" si="343"/>
        <v>0</v>
      </c>
      <c r="I4392" s="91" t="str">
        <f t="shared" si="344"/>
        <v/>
      </c>
      <c r="J4392" s="91" t="str">
        <f t="shared" si="345"/>
        <v/>
      </c>
      <c r="K4392" s="92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2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58"/>
      <c r="U4392" s="217" t="str">
        <f t="shared" si="346"/>
        <v/>
      </c>
      <c r="V4392" s="215" t="s">
        <v>47</v>
      </c>
      <c r="W4392" s="102" t="s">
        <v>136</v>
      </c>
      <c r="X4392" s="102" t="s">
        <v>137</v>
      </c>
      <c r="Y4392" s="103" t="s">
        <v>138</v>
      </c>
      <c r="Z4392" s="103" t="s">
        <v>139</v>
      </c>
      <c r="AA4392" s="103" t="s">
        <v>47</v>
      </c>
      <c r="AB4392" s="103" t="s">
        <v>140</v>
      </c>
      <c r="AC4392" s="104" t="s">
        <v>141</v>
      </c>
    </row>
    <row r="4393" spans="1:29" ht="25.5" customHeight="1" x14ac:dyDescent="0.35">
      <c r="A4393" s="188"/>
      <c r="B4393" s="190"/>
      <c r="C4393" s="99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0"/>
      <c r="E4393" s="78" t="str">
        <f>IF(C4393="","",IFERROR(VLOOKUP(C4393,parametros!$A$11:$E$15,5,0),""))</f>
        <v/>
      </c>
      <c r="F4393" s="79" t="str">
        <f t="shared" si="342"/>
        <v/>
      </c>
      <c r="G4393" s="101"/>
      <c r="H4393" s="91">
        <f t="shared" si="343"/>
        <v>0</v>
      </c>
      <c r="I4393" s="91" t="str">
        <f t="shared" si="344"/>
        <v/>
      </c>
      <c r="J4393" s="91" t="str">
        <f t="shared" si="345"/>
        <v/>
      </c>
      <c r="K4393" s="92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2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58"/>
      <c r="U4393" s="217" t="str">
        <f t="shared" si="346"/>
        <v/>
      </c>
      <c r="V4393" s="215" t="s">
        <v>47</v>
      </c>
      <c r="W4393" s="102" t="s">
        <v>136</v>
      </c>
      <c r="X4393" s="102" t="s">
        <v>137</v>
      </c>
      <c r="Y4393" s="103" t="s">
        <v>138</v>
      </c>
      <c r="Z4393" s="103" t="s">
        <v>139</v>
      </c>
      <c r="AA4393" s="103" t="s">
        <v>47</v>
      </c>
      <c r="AB4393" s="103" t="s">
        <v>140</v>
      </c>
      <c r="AC4393" s="104" t="s">
        <v>141</v>
      </c>
    </row>
    <row r="4394" spans="1:29" ht="25.5" customHeight="1" x14ac:dyDescent="0.35">
      <c r="A4394" s="188"/>
      <c r="B4394" s="190"/>
      <c r="C4394" s="99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0"/>
      <c r="E4394" s="78" t="str">
        <f>IF(C4394="","",IFERROR(VLOOKUP(C4394,parametros!$A$11:$E$15,5,0),""))</f>
        <v/>
      </c>
      <c r="F4394" s="79" t="str">
        <f t="shared" si="342"/>
        <v/>
      </c>
      <c r="G4394" s="101"/>
      <c r="H4394" s="91">
        <f t="shared" si="343"/>
        <v>0</v>
      </c>
      <c r="I4394" s="91" t="str">
        <f t="shared" si="344"/>
        <v/>
      </c>
      <c r="J4394" s="91" t="str">
        <f t="shared" si="345"/>
        <v/>
      </c>
      <c r="K4394" s="92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2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58"/>
      <c r="U4394" s="217" t="str">
        <f t="shared" si="346"/>
        <v/>
      </c>
      <c r="V4394" s="215" t="s">
        <v>47</v>
      </c>
      <c r="W4394" s="102" t="s">
        <v>136</v>
      </c>
      <c r="X4394" s="102" t="s">
        <v>137</v>
      </c>
      <c r="Y4394" s="103" t="s">
        <v>138</v>
      </c>
      <c r="Z4394" s="103" t="s">
        <v>139</v>
      </c>
      <c r="AA4394" s="103" t="s">
        <v>47</v>
      </c>
      <c r="AB4394" s="103" t="s">
        <v>140</v>
      </c>
      <c r="AC4394" s="104" t="s">
        <v>141</v>
      </c>
    </row>
    <row r="4395" spans="1:29" ht="25.5" customHeight="1" x14ac:dyDescent="0.35">
      <c r="A4395" s="188"/>
      <c r="B4395" s="190"/>
      <c r="C4395" s="99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0"/>
      <c r="E4395" s="78" t="str">
        <f>IF(C4395="","",IFERROR(VLOOKUP(C4395,parametros!$A$11:$E$15,5,0),""))</f>
        <v/>
      </c>
      <c r="F4395" s="79" t="str">
        <f t="shared" si="342"/>
        <v/>
      </c>
      <c r="G4395" s="101"/>
      <c r="H4395" s="91">
        <f t="shared" si="343"/>
        <v>0</v>
      </c>
      <c r="I4395" s="91" t="str">
        <f t="shared" si="344"/>
        <v/>
      </c>
      <c r="J4395" s="91" t="str">
        <f t="shared" si="345"/>
        <v/>
      </c>
      <c r="K4395" s="92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2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58"/>
      <c r="U4395" s="217" t="str">
        <f t="shared" si="346"/>
        <v/>
      </c>
      <c r="V4395" s="215" t="s">
        <v>47</v>
      </c>
      <c r="W4395" s="102" t="s">
        <v>136</v>
      </c>
      <c r="X4395" s="102" t="s">
        <v>137</v>
      </c>
      <c r="Y4395" s="103" t="s">
        <v>138</v>
      </c>
      <c r="Z4395" s="103" t="s">
        <v>139</v>
      </c>
      <c r="AA4395" s="103" t="s">
        <v>47</v>
      </c>
      <c r="AB4395" s="103" t="s">
        <v>140</v>
      </c>
      <c r="AC4395" s="104" t="s">
        <v>141</v>
      </c>
    </row>
    <row r="4396" spans="1:29" ht="25.5" customHeight="1" x14ac:dyDescent="0.35">
      <c r="A4396" s="188"/>
      <c r="B4396" s="190"/>
      <c r="C4396" s="99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0"/>
      <c r="E4396" s="78" t="str">
        <f>IF(C4396="","",IFERROR(VLOOKUP(C4396,parametros!$A$11:$E$15,5,0),""))</f>
        <v/>
      </c>
      <c r="F4396" s="79" t="str">
        <f t="shared" si="342"/>
        <v/>
      </c>
      <c r="G4396" s="101"/>
      <c r="H4396" s="91">
        <f t="shared" si="343"/>
        <v>0</v>
      </c>
      <c r="I4396" s="91" t="str">
        <f t="shared" si="344"/>
        <v/>
      </c>
      <c r="J4396" s="91" t="str">
        <f t="shared" si="345"/>
        <v/>
      </c>
      <c r="K4396" s="92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2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58"/>
      <c r="U4396" s="217" t="str">
        <f t="shared" si="346"/>
        <v/>
      </c>
      <c r="V4396" s="215" t="s">
        <v>47</v>
      </c>
      <c r="W4396" s="102" t="s">
        <v>136</v>
      </c>
      <c r="X4396" s="102" t="s">
        <v>137</v>
      </c>
      <c r="Y4396" s="103" t="s">
        <v>138</v>
      </c>
      <c r="Z4396" s="103" t="s">
        <v>139</v>
      </c>
      <c r="AA4396" s="103" t="s">
        <v>47</v>
      </c>
      <c r="AB4396" s="103" t="s">
        <v>140</v>
      </c>
      <c r="AC4396" s="104" t="s">
        <v>141</v>
      </c>
    </row>
    <row r="4397" spans="1:29" ht="25.5" customHeight="1" x14ac:dyDescent="0.35">
      <c r="A4397" s="188"/>
      <c r="B4397" s="190"/>
      <c r="C4397" s="99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0"/>
      <c r="E4397" s="78" t="str">
        <f>IF(C4397="","",IFERROR(VLOOKUP(C4397,parametros!$A$11:$E$15,5,0),""))</f>
        <v/>
      </c>
      <c r="F4397" s="79" t="str">
        <f t="shared" si="342"/>
        <v/>
      </c>
      <c r="G4397" s="101"/>
      <c r="H4397" s="91">
        <f t="shared" si="343"/>
        <v>0</v>
      </c>
      <c r="I4397" s="91" t="str">
        <f t="shared" si="344"/>
        <v/>
      </c>
      <c r="J4397" s="91" t="str">
        <f t="shared" si="345"/>
        <v/>
      </c>
      <c r="K4397" s="92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2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58"/>
      <c r="U4397" s="217" t="str">
        <f t="shared" si="346"/>
        <v/>
      </c>
      <c r="V4397" s="215" t="s">
        <v>47</v>
      </c>
      <c r="W4397" s="102" t="s">
        <v>136</v>
      </c>
      <c r="X4397" s="102" t="s">
        <v>137</v>
      </c>
      <c r="Y4397" s="103" t="s">
        <v>138</v>
      </c>
      <c r="Z4397" s="103" t="s">
        <v>139</v>
      </c>
      <c r="AA4397" s="103" t="s">
        <v>47</v>
      </c>
      <c r="AB4397" s="103" t="s">
        <v>140</v>
      </c>
      <c r="AC4397" s="104" t="s">
        <v>141</v>
      </c>
    </row>
    <row r="4398" spans="1:29" ht="25.5" customHeight="1" x14ac:dyDescent="0.35">
      <c r="A4398" s="188"/>
      <c r="B4398" s="190"/>
      <c r="C4398" s="99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0"/>
      <c r="E4398" s="78" t="str">
        <f>IF(C4398="","",IFERROR(VLOOKUP(C4398,parametros!$A$11:$E$15,5,0),""))</f>
        <v/>
      </c>
      <c r="F4398" s="79" t="str">
        <f t="shared" si="342"/>
        <v/>
      </c>
      <c r="G4398" s="101"/>
      <c r="H4398" s="91">
        <f t="shared" si="343"/>
        <v>0</v>
      </c>
      <c r="I4398" s="91" t="str">
        <f t="shared" si="344"/>
        <v/>
      </c>
      <c r="J4398" s="91" t="str">
        <f t="shared" si="345"/>
        <v/>
      </c>
      <c r="K4398" s="92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2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58"/>
      <c r="U4398" s="217" t="str">
        <f t="shared" si="346"/>
        <v/>
      </c>
      <c r="V4398" s="215" t="s">
        <v>47</v>
      </c>
      <c r="W4398" s="102" t="s">
        <v>136</v>
      </c>
      <c r="X4398" s="102" t="s">
        <v>137</v>
      </c>
      <c r="Y4398" s="103" t="s">
        <v>138</v>
      </c>
      <c r="Z4398" s="103" t="s">
        <v>139</v>
      </c>
      <c r="AA4398" s="103" t="s">
        <v>47</v>
      </c>
      <c r="AB4398" s="103" t="s">
        <v>140</v>
      </c>
      <c r="AC4398" s="104" t="s">
        <v>141</v>
      </c>
    </row>
    <row r="4399" spans="1:29" ht="25.5" customHeight="1" x14ac:dyDescent="0.35">
      <c r="A4399" s="188"/>
      <c r="B4399" s="190"/>
      <c r="C4399" s="99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0"/>
      <c r="E4399" s="78" t="str">
        <f>IF(C4399="","",IFERROR(VLOOKUP(C4399,parametros!$A$11:$E$15,5,0),""))</f>
        <v/>
      </c>
      <c r="F4399" s="79" t="str">
        <f t="shared" si="342"/>
        <v/>
      </c>
      <c r="G4399" s="101"/>
      <c r="H4399" s="91">
        <f t="shared" si="343"/>
        <v>0</v>
      </c>
      <c r="I4399" s="91" t="str">
        <f t="shared" si="344"/>
        <v/>
      </c>
      <c r="J4399" s="91" t="str">
        <f t="shared" si="345"/>
        <v/>
      </c>
      <c r="K4399" s="92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2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58"/>
      <c r="U4399" s="217" t="str">
        <f t="shared" si="346"/>
        <v/>
      </c>
      <c r="V4399" s="215" t="s">
        <v>47</v>
      </c>
      <c r="W4399" s="102" t="s">
        <v>136</v>
      </c>
      <c r="X4399" s="102" t="s">
        <v>137</v>
      </c>
      <c r="Y4399" s="103" t="s">
        <v>138</v>
      </c>
      <c r="Z4399" s="103" t="s">
        <v>139</v>
      </c>
      <c r="AA4399" s="103" t="s">
        <v>47</v>
      </c>
      <c r="AB4399" s="103" t="s">
        <v>140</v>
      </c>
      <c r="AC4399" s="104" t="s">
        <v>141</v>
      </c>
    </row>
    <row r="4400" spans="1:29" ht="25.5" customHeight="1" x14ac:dyDescent="0.35">
      <c r="A4400" s="188"/>
      <c r="B4400" s="190"/>
      <c r="C4400" s="99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0"/>
      <c r="E4400" s="78" t="str">
        <f>IF(C4400="","",IFERROR(VLOOKUP(C4400,parametros!$A$11:$E$15,5,0),""))</f>
        <v/>
      </c>
      <c r="F4400" s="79" t="str">
        <f t="shared" si="342"/>
        <v/>
      </c>
      <c r="G4400" s="101"/>
      <c r="H4400" s="91">
        <f t="shared" si="343"/>
        <v>0</v>
      </c>
      <c r="I4400" s="91" t="str">
        <f t="shared" si="344"/>
        <v/>
      </c>
      <c r="J4400" s="91" t="str">
        <f t="shared" si="345"/>
        <v/>
      </c>
      <c r="K4400" s="92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2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58"/>
      <c r="U4400" s="217" t="str">
        <f t="shared" si="346"/>
        <v/>
      </c>
      <c r="V4400" s="215" t="s">
        <v>47</v>
      </c>
      <c r="W4400" s="102" t="s">
        <v>136</v>
      </c>
      <c r="X4400" s="102" t="s">
        <v>137</v>
      </c>
      <c r="Y4400" s="103" t="s">
        <v>138</v>
      </c>
      <c r="Z4400" s="103" t="s">
        <v>139</v>
      </c>
      <c r="AA4400" s="103" t="s">
        <v>47</v>
      </c>
      <c r="AB4400" s="103" t="s">
        <v>140</v>
      </c>
      <c r="AC4400" s="104" t="s">
        <v>141</v>
      </c>
    </row>
    <row r="4401" spans="1:29" ht="25.5" customHeight="1" x14ac:dyDescent="0.35">
      <c r="A4401" s="188"/>
      <c r="B4401" s="190"/>
      <c r="C4401" s="99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0"/>
      <c r="E4401" s="78" t="str">
        <f>IF(C4401="","",IFERROR(VLOOKUP(C4401,parametros!$A$11:$E$15,5,0),""))</f>
        <v/>
      </c>
      <c r="F4401" s="79" t="str">
        <f t="shared" si="342"/>
        <v/>
      </c>
      <c r="G4401" s="101"/>
      <c r="H4401" s="91">
        <f t="shared" si="343"/>
        <v>0</v>
      </c>
      <c r="I4401" s="91" t="str">
        <f t="shared" si="344"/>
        <v/>
      </c>
      <c r="J4401" s="91" t="str">
        <f t="shared" si="345"/>
        <v/>
      </c>
      <c r="K4401" s="92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2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58"/>
      <c r="U4401" s="217" t="str">
        <f t="shared" si="346"/>
        <v/>
      </c>
      <c r="V4401" s="215" t="s">
        <v>47</v>
      </c>
      <c r="W4401" s="102" t="s">
        <v>136</v>
      </c>
      <c r="X4401" s="102" t="s">
        <v>137</v>
      </c>
      <c r="Y4401" s="103" t="s">
        <v>138</v>
      </c>
      <c r="Z4401" s="103" t="s">
        <v>139</v>
      </c>
      <c r="AA4401" s="103" t="s">
        <v>47</v>
      </c>
      <c r="AB4401" s="103" t="s">
        <v>140</v>
      </c>
      <c r="AC4401" s="104" t="s">
        <v>141</v>
      </c>
    </row>
    <row r="4402" spans="1:29" ht="25.5" customHeight="1" x14ac:dyDescent="0.35">
      <c r="A4402" s="188"/>
      <c r="B4402" s="190"/>
      <c r="C4402" s="99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0"/>
      <c r="E4402" s="78" t="str">
        <f>IF(C4402="","",IFERROR(VLOOKUP(C4402,parametros!$A$11:$E$15,5,0),""))</f>
        <v/>
      </c>
      <c r="F4402" s="79" t="str">
        <f t="shared" si="342"/>
        <v/>
      </c>
      <c r="G4402" s="101"/>
      <c r="H4402" s="91">
        <f t="shared" si="343"/>
        <v>0</v>
      </c>
      <c r="I4402" s="91" t="str">
        <f t="shared" si="344"/>
        <v/>
      </c>
      <c r="J4402" s="91" t="str">
        <f t="shared" si="345"/>
        <v/>
      </c>
      <c r="K4402" s="92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2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58"/>
      <c r="U4402" s="217" t="str">
        <f t="shared" si="346"/>
        <v/>
      </c>
      <c r="V4402" s="215" t="s">
        <v>47</v>
      </c>
      <c r="W4402" s="102" t="s">
        <v>136</v>
      </c>
      <c r="X4402" s="102" t="s">
        <v>137</v>
      </c>
      <c r="Y4402" s="103" t="s">
        <v>138</v>
      </c>
      <c r="Z4402" s="103" t="s">
        <v>139</v>
      </c>
      <c r="AA4402" s="103" t="s">
        <v>47</v>
      </c>
      <c r="AB4402" s="103" t="s">
        <v>140</v>
      </c>
      <c r="AC4402" s="104" t="s">
        <v>141</v>
      </c>
    </row>
    <row r="4403" spans="1:29" ht="25.5" customHeight="1" x14ac:dyDescent="0.35">
      <c r="A4403" s="188"/>
      <c r="B4403" s="190"/>
      <c r="C4403" s="99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0"/>
      <c r="E4403" s="78" t="str">
        <f>IF(C4403="","",IFERROR(VLOOKUP(C4403,parametros!$A$11:$E$15,5,0),""))</f>
        <v/>
      </c>
      <c r="F4403" s="79" t="str">
        <f t="shared" si="342"/>
        <v/>
      </c>
      <c r="G4403" s="101"/>
      <c r="H4403" s="91">
        <f t="shared" si="343"/>
        <v>0</v>
      </c>
      <c r="I4403" s="91" t="str">
        <f t="shared" si="344"/>
        <v/>
      </c>
      <c r="J4403" s="91" t="str">
        <f t="shared" si="345"/>
        <v/>
      </c>
      <c r="K4403" s="92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2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58"/>
      <c r="U4403" s="217" t="str">
        <f t="shared" si="346"/>
        <v/>
      </c>
      <c r="V4403" s="215" t="s">
        <v>47</v>
      </c>
      <c r="W4403" s="102" t="s">
        <v>136</v>
      </c>
      <c r="X4403" s="102" t="s">
        <v>137</v>
      </c>
      <c r="Y4403" s="103" t="s">
        <v>138</v>
      </c>
      <c r="Z4403" s="103" t="s">
        <v>139</v>
      </c>
      <c r="AA4403" s="103" t="s">
        <v>47</v>
      </c>
      <c r="AB4403" s="103" t="s">
        <v>140</v>
      </c>
      <c r="AC4403" s="104" t="s">
        <v>141</v>
      </c>
    </row>
    <row r="4404" spans="1:29" ht="25.5" customHeight="1" x14ac:dyDescent="0.35">
      <c r="A4404" s="188"/>
      <c r="B4404" s="190"/>
      <c r="C4404" s="99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0"/>
      <c r="E4404" s="78" t="str">
        <f>IF(C4404="","",IFERROR(VLOOKUP(C4404,parametros!$A$11:$E$15,5,0),""))</f>
        <v/>
      </c>
      <c r="F4404" s="79" t="str">
        <f t="shared" si="342"/>
        <v/>
      </c>
      <c r="G4404" s="101"/>
      <c r="H4404" s="91">
        <f t="shared" si="343"/>
        <v>0</v>
      </c>
      <c r="I4404" s="91" t="str">
        <f t="shared" si="344"/>
        <v/>
      </c>
      <c r="J4404" s="91" t="str">
        <f t="shared" si="345"/>
        <v/>
      </c>
      <c r="K4404" s="92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2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58"/>
      <c r="U4404" s="217" t="str">
        <f t="shared" si="346"/>
        <v/>
      </c>
      <c r="V4404" s="215" t="s">
        <v>47</v>
      </c>
      <c r="W4404" s="102" t="s">
        <v>136</v>
      </c>
      <c r="X4404" s="102" t="s">
        <v>137</v>
      </c>
      <c r="Y4404" s="103" t="s">
        <v>138</v>
      </c>
      <c r="Z4404" s="103" t="s">
        <v>139</v>
      </c>
      <c r="AA4404" s="103" t="s">
        <v>47</v>
      </c>
      <c r="AB4404" s="103" t="s">
        <v>140</v>
      </c>
      <c r="AC4404" s="104" t="s">
        <v>141</v>
      </c>
    </row>
    <row r="4405" spans="1:29" ht="25.5" customHeight="1" x14ac:dyDescent="0.35">
      <c r="A4405" s="188"/>
      <c r="B4405" s="190"/>
      <c r="C4405" s="99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0"/>
      <c r="E4405" s="78" t="str">
        <f>IF(C4405="","",IFERROR(VLOOKUP(C4405,parametros!$A$11:$E$15,5,0),""))</f>
        <v/>
      </c>
      <c r="F4405" s="79" t="str">
        <f t="shared" si="342"/>
        <v/>
      </c>
      <c r="G4405" s="101"/>
      <c r="H4405" s="91">
        <f t="shared" si="343"/>
        <v>0</v>
      </c>
      <c r="I4405" s="91" t="str">
        <f t="shared" si="344"/>
        <v/>
      </c>
      <c r="J4405" s="91" t="str">
        <f t="shared" si="345"/>
        <v/>
      </c>
      <c r="K4405" s="92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2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58"/>
      <c r="U4405" s="217" t="str">
        <f t="shared" si="346"/>
        <v/>
      </c>
      <c r="V4405" s="215" t="s">
        <v>47</v>
      </c>
      <c r="W4405" s="102" t="s">
        <v>136</v>
      </c>
      <c r="X4405" s="102" t="s">
        <v>137</v>
      </c>
      <c r="Y4405" s="103" t="s">
        <v>138</v>
      </c>
      <c r="Z4405" s="103" t="s">
        <v>139</v>
      </c>
      <c r="AA4405" s="103" t="s">
        <v>47</v>
      </c>
      <c r="AB4405" s="103" t="s">
        <v>140</v>
      </c>
      <c r="AC4405" s="104" t="s">
        <v>141</v>
      </c>
    </row>
    <row r="4406" spans="1:29" ht="25.5" customHeight="1" x14ac:dyDescent="0.35">
      <c r="A4406" s="188"/>
      <c r="B4406" s="190"/>
      <c r="C4406" s="99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0"/>
      <c r="E4406" s="78" t="str">
        <f>IF(C4406="","",IFERROR(VLOOKUP(C4406,parametros!$A$11:$E$15,5,0),""))</f>
        <v/>
      </c>
      <c r="F4406" s="79" t="str">
        <f t="shared" si="342"/>
        <v/>
      </c>
      <c r="G4406" s="101"/>
      <c r="H4406" s="91">
        <f t="shared" si="343"/>
        <v>0</v>
      </c>
      <c r="I4406" s="91" t="str">
        <f t="shared" si="344"/>
        <v/>
      </c>
      <c r="J4406" s="91" t="str">
        <f t="shared" si="345"/>
        <v/>
      </c>
      <c r="K4406" s="92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2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58"/>
      <c r="U4406" s="217" t="str">
        <f t="shared" si="346"/>
        <v/>
      </c>
      <c r="V4406" s="215" t="s">
        <v>47</v>
      </c>
      <c r="W4406" s="102" t="s">
        <v>136</v>
      </c>
      <c r="X4406" s="102" t="s">
        <v>137</v>
      </c>
      <c r="Y4406" s="103" t="s">
        <v>138</v>
      </c>
      <c r="Z4406" s="103" t="s">
        <v>139</v>
      </c>
      <c r="AA4406" s="103" t="s">
        <v>47</v>
      </c>
      <c r="AB4406" s="103" t="s">
        <v>140</v>
      </c>
      <c r="AC4406" s="104" t="s">
        <v>141</v>
      </c>
    </row>
    <row r="4407" spans="1:29" ht="25.5" customHeight="1" x14ac:dyDescent="0.35">
      <c r="A4407" s="188"/>
      <c r="B4407" s="190"/>
      <c r="C4407" s="99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0"/>
      <c r="E4407" s="78" t="str">
        <f>IF(C4407="","",IFERROR(VLOOKUP(C4407,parametros!$A$11:$E$15,5,0),""))</f>
        <v/>
      </c>
      <c r="F4407" s="79" t="str">
        <f t="shared" si="342"/>
        <v/>
      </c>
      <c r="G4407" s="101"/>
      <c r="H4407" s="91">
        <f t="shared" si="343"/>
        <v>0</v>
      </c>
      <c r="I4407" s="91" t="str">
        <f t="shared" si="344"/>
        <v/>
      </c>
      <c r="J4407" s="91" t="str">
        <f t="shared" si="345"/>
        <v/>
      </c>
      <c r="K4407" s="92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2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58"/>
      <c r="U4407" s="217" t="str">
        <f t="shared" si="346"/>
        <v/>
      </c>
      <c r="V4407" s="215" t="s">
        <v>47</v>
      </c>
      <c r="W4407" s="102" t="s">
        <v>136</v>
      </c>
      <c r="X4407" s="102" t="s">
        <v>137</v>
      </c>
      <c r="Y4407" s="103" t="s">
        <v>138</v>
      </c>
      <c r="Z4407" s="103" t="s">
        <v>139</v>
      </c>
      <c r="AA4407" s="103" t="s">
        <v>47</v>
      </c>
      <c r="AB4407" s="103" t="s">
        <v>140</v>
      </c>
      <c r="AC4407" s="104" t="s">
        <v>141</v>
      </c>
    </row>
    <row r="4408" spans="1:29" ht="25.5" customHeight="1" x14ac:dyDescent="0.35">
      <c r="A4408" s="188"/>
      <c r="B4408" s="190"/>
      <c r="C4408" s="99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0"/>
      <c r="E4408" s="78" t="str">
        <f>IF(C4408="","",IFERROR(VLOOKUP(C4408,parametros!$A$11:$E$15,5,0),""))</f>
        <v/>
      </c>
      <c r="F4408" s="79" t="str">
        <f t="shared" si="342"/>
        <v/>
      </c>
      <c r="G4408" s="101"/>
      <c r="H4408" s="91">
        <f t="shared" si="343"/>
        <v>0</v>
      </c>
      <c r="I4408" s="91" t="str">
        <f t="shared" si="344"/>
        <v/>
      </c>
      <c r="J4408" s="91" t="str">
        <f t="shared" si="345"/>
        <v/>
      </c>
      <c r="K4408" s="92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2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58"/>
      <c r="U4408" s="217" t="str">
        <f t="shared" si="346"/>
        <v/>
      </c>
      <c r="V4408" s="215" t="s">
        <v>47</v>
      </c>
      <c r="W4408" s="102" t="s">
        <v>136</v>
      </c>
      <c r="X4408" s="102" t="s">
        <v>137</v>
      </c>
      <c r="Y4408" s="103" t="s">
        <v>138</v>
      </c>
      <c r="Z4408" s="103" t="s">
        <v>139</v>
      </c>
      <c r="AA4408" s="103" t="s">
        <v>47</v>
      </c>
      <c r="AB4408" s="103" t="s">
        <v>140</v>
      </c>
      <c r="AC4408" s="104" t="s">
        <v>141</v>
      </c>
    </row>
    <row r="4409" spans="1:29" ht="25.5" customHeight="1" x14ac:dyDescent="0.35">
      <c r="A4409" s="188"/>
      <c r="B4409" s="190"/>
      <c r="C4409" s="99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0"/>
      <c r="E4409" s="78" t="str">
        <f>IF(C4409="","",IFERROR(VLOOKUP(C4409,parametros!$A$11:$E$15,5,0),""))</f>
        <v/>
      </c>
      <c r="F4409" s="79" t="str">
        <f t="shared" si="342"/>
        <v/>
      </c>
      <c r="G4409" s="101"/>
      <c r="H4409" s="91">
        <f t="shared" si="343"/>
        <v>0</v>
      </c>
      <c r="I4409" s="91" t="str">
        <f t="shared" si="344"/>
        <v/>
      </c>
      <c r="J4409" s="91" t="str">
        <f t="shared" si="345"/>
        <v/>
      </c>
      <c r="K4409" s="92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2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58"/>
      <c r="U4409" s="217" t="str">
        <f t="shared" si="346"/>
        <v/>
      </c>
      <c r="V4409" s="215" t="s">
        <v>47</v>
      </c>
      <c r="W4409" s="102" t="s">
        <v>136</v>
      </c>
      <c r="X4409" s="102" t="s">
        <v>137</v>
      </c>
      <c r="Y4409" s="103" t="s">
        <v>138</v>
      </c>
      <c r="Z4409" s="103" t="s">
        <v>139</v>
      </c>
      <c r="AA4409" s="103" t="s">
        <v>47</v>
      </c>
      <c r="AB4409" s="103" t="s">
        <v>140</v>
      </c>
      <c r="AC4409" s="104" t="s">
        <v>141</v>
      </c>
    </row>
    <row r="4410" spans="1:29" ht="25.5" customHeight="1" x14ac:dyDescent="0.35">
      <c r="A4410" s="188"/>
      <c r="B4410" s="190"/>
      <c r="C4410" s="99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0"/>
      <c r="E4410" s="78" t="str">
        <f>IF(C4410="","",IFERROR(VLOOKUP(C4410,parametros!$A$11:$E$15,5,0),""))</f>
        <v/>
      </c>
      <c r="F4410" s="79" t="str">
        <f t="shared" si="342"/>
        <v/>
      </c>
      <c r="G4410" s="101"/>
      <c r="H4410" s="91">
        <f t="shared" si="343"/>
        <v>0</v>
      </c>
      <c r="I4410" s="91" t="str">
        <f t="shared" si="344"/>
        <v/>
      </c>
      <c r="J4410" s="91" t="str">
        <f t="shared" si="345"/>
        <v/>
      </c>
      <c r="K4410" s="92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2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58"/>
      <c r="U4410" s="217" t="str">
        <f t="shared" si="346"/>
        <v/>
      </c>
      <c r="V4410" s="215" t="s">
        <v>47</v>
      </c>
      <c r="W4410" s="102" t="s">
        <v>136</v>
      </c>
      <c r="X4410" s="102" t="s">
        <v>137</v>
      </c>
      <c r="Y4410" s="103" t="s">
        <v>138</v>
      </c>
      <c r="Z4410" s="103" t="s">
        <v>139</v>
      </c>
      <c r="AA4410" s="103" t="s">
        <v>47</v>
      </c>
      <c r="AB4410" s="103" t="s">
        <v>140</v>
      </c>
      <c r="AC4410" s="104" t="s">
        <v>141</v>
      </c>
    </row>
    <row r="4411" spans="1:29" ht="25.5" customHeight="1" x14ac:dyDescent="0.35">
      <c r="A4411" s="188"/>
      <c r="B4411" s="190"/>
      <c r="C4411" s="99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0"/>
      <c r="E4411" s="78" t="str">
        <f>IF(C4411="","",IFERROR(VLOOKUP(C4411,parametros!$A$11:$E$15,5,0),""))</f>
        <v/>
      </c>
      <c r="F4411" s="79" t="str">
        <f t="shared" si="342"/>
        <v/>
      </c>
      <c r="G4411" s="101"/>
      <c r="H4411" s="91">
        <f t="shared" si="343"/>
        <v>0</v>
      </c>
      <c r="I4411" s="91" t="str">
        <f t="shared" si="344"/>
        <v/>
      </c>
      <c r="J4411" s="91" t="str">
        <f t="shared" si="345"/>
        <v/>
      </c>
      <c r="K4411" s="92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2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58"/>
      <c r="U4411" s="217" t="str">
        <f t="shared" si="346"/>
        <v/>
      </c>
      <c r="V4411" s="215" t="s">
        <v>47</v>
      </c>
      <c r="W4411" s="102" t="s">
        <v>136</v>
      </c>
      <c r="X4411" s="102" t="s">
        <v>137</v>
      </c>
      <c r="Y4411" s="103" t="s">
        <v>138</v>
      </c>
      <c r="Z4411" s="103" t="s">
        <v>139</v>
      </c>
      <c r="AA4411" s="103" t="s">
        <v>47</v>
      </c>
      <c r="AB4411" s="103" t="s">
        <v>140</v>
      </c>
      <c r="AC4411" s="104" t="s">
        <v>141</v>
      </c>
    </row>
    <row r="4412" spans="1:29" ht="25.5" customHeight="1" x14ac:dyDescent="0.35">
      <c r="A4412" s="188"/>
      <c r="B4412" s="190"/>
      <c r="C4412" s="99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0"/>
      <c r="E4412" s="78" t="str">
        <f>IF(C4412="","",IFERROR(VLOOKUP(C4412,parametros!$A$11:$E$15,5,0),""))</f>
        <v/>
      </c>
      <c r="F4412" s="79" t="str">
        <f t="shared" si="342"/>
        <v/>
      </c>
      <c r="G4412" s="101"/>
      <c r="H4412" s="91">
        <f t="shared" si="343"/>
        <v>0</v>
      </c>
      <c r="I4412" s="91" t="str">
        <f t="shared" si="344"/>
        <v/>
      </c>
      <c r="J4412" s="91" t="str">
        <f t="shared" si="345"/>
        <v/>
      </c>
      <c r="K4412" s="92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2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58"/>
      <c r="U4412" s="217" t="str">
        <f t="shared" si="346"/>
        <v/>
      </c>
      <c r="V4412" s="215" t="s">
        <v>47</v>
      </c>
      <c r="W4412" s="102" t="s">
        <v>136</v>
      </c>
      <c r="X4412" s="102" t="s">
        <v>137</v>
      </c>
      <c r="Y4412" s="103" t="s">
        <v>138</v>
      </c>
      <c r="Z4412" s="103" t="s">
        <v>139</v>
      </c>
      <c r="AA4412" s="103" t="s">
        <v>47</v>
      </c>
      <c r="AB4412" s="103" t="s">
        <v>140</v>
      </c>
      <c r="AC4412" s="104" t="s">
        <v>141</v>
      </c>
    </row>
    <row r="4413" spans="1:29" ht="25.5" customHeight="1" x14ac:dyDescent="0.35">
      <c r="A4413" s="188"/>
      <c r="B4413" s="190"/>
      <c r="C4413" s="99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0"/>
      <c r="E4413" s="78" t="str">
        <f>IF(C4413="","",IFERROR(VLOOKUP(C4413,parametros!$A$11:$E$15,5,0),""))</f>
        <v/>
      </c>
      <c r="F4413" s="79" t="str">
        <f t="shared" si="342"/>
        <v/>
      </c>
      <c r="G4413" s="101"/>
      <c r="H4413" s="91">
        <f t="shared" si="343"/>
        <v>0</v>
      </c>
      <c r="I4413" s="91" t="str">
        <f t="shared" si="344"/>
        <v/>
      </c>
      <c r="J4413" s="91" t="str">
        <f t="shared" si="345"/>
        <v/>
      </c>
      <c r="K4413" s="92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2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58"/>
      <c r="U4413" s="217" t="str">
        <f t="shared" si="346"/>
        <v/>
      </c>
      <c r="V4413" s="215" t="s">
        <v>47</v>
      </c>
      <c r="W4413" s="102" t="s">
        <v>136</v>
      </c>
      <c r="X4413" s="102" t="s">
        <v>137</v>
      </c>
      <c r="Y4413" s="103" t="s">
        <v>138</v>
      </c>
      <c r="Z4413" s="103" t="s">
        <v>139</v>
      </c>
      <c r="AA4413" s="103" t="s">
        <v>47</v>
      </c>
      <c r="AB4413" s="103" t="s">
        <v>140</v>
      </c>
      <c r="AC4413" s="104" t="s">
        <v>141</v>
      </c>
    </row>
    <row r="4414" spans="1:29" ht="25.5" customHeight="1" x14ac:dyDescent="0.35">
      <c r="A4414" s="188"/>
      <c r="B4414" s="190"/>
      <c r="C4414" s="99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0"/>
      <c r="E4414" s="78" t="str">
        <f>IF(C4414="","",IFERROR(VLOOKUP(C4414,parametros!$A$11:$E$15,5,0),""))</f>
        <v/>
      </c>
      <c r="F4414" s="79" t="str">
        <f t="shared" si="342"/>
        <v/>
      </c>
      <c r="G4414" s="101"/>
      <c r="H4414" s="91">
        <f t="shared" si="343"/>
        <v>0</v>
      </c>
      <c r="I4414" s="91" t="str">
        <f t="shared" si="344"/>
        <v/>
      </c>
      <c r="J4414" s="91" t="str">
        <f t="shared" si="345"/>
        <v/>
      </c>
      <c r="K4414" s="92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2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58"/>
      <c r="U4414" s="217" t="str">
        <f t="shared" si="346"/>
        <v/>
      </c>
      <c r="V4414" s="215" t="s">
        <v>47</v>
      </c>
      <c r="W4414" s="102" t="s">
        <v>136</v>
      </c>
      <c r="X4414" s="102" t="s">
        <v>137</v>
      </c>
      <c r="Y4414" s="103" t="s">
        <v>138</v>
      </c>
      <c r="Z4414" s="103" t="s">
        <v>139</v>
      </c>
      <c r="AA4414" s="103" t="s">
        <v>47</v>
      </c>
      <c r="AB4414" s="103" t="s">
        <v>140</v>
      </c>
      <c r="AC4414" s="104" t="s">
        <v>141</v>
      </c>
    </row>
    <row r="4415" spans="1:29" ht="25.5" customHeight="1" x14ac:dyDescent="0.35">
      <c r="A4415" s="188"/>
      <c r="B4415" s="190"/>
      <c r="C4415" s="99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0"/>
      <c r="E4415" s="78" t="str">
        <f>IF(C4415="","",IFERROR(VLOOKUP(C4415,parametros!$A$11:$E$15,5,0),""))</f>
        <v/>
      </c>
      <c r="F4415" s="79" t="str">
        <f t="shared" si="342"/>
        <v/>
      </c>
      <c r="G4415" s="101"/>
      <c r="H4415" s="91">
        <f t="shared" si="343"/>
        <v>0</v>
      </c>
      <c r="I4415" s="91" t="str">
        <f t="shared" si="344"/>
        <v/>
      </c>
      <c r="J4415" s="91" t="str">
        <f t="shared" si="345"/>
        <v/>
      </c>
      <c r="K4415" s="92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2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58"/>
      <c r="U4415" s="217" t="str">
        <f t="shared" si="346"/>
        <v/>
      </c>
      <c r="V4415" s="215" t="s">
        <v>47</v>
      </c>
      <c r="W4415" s="102" t="s">
        <v>136</v>
      </c>
      <c r="X4415" s="102" t="s">
        <v>137</v>
      </c>
      <c r="Y4415" s="103" t="s">
        <v>138</v>
      </c>
      <c r="Z4415" s="103" t="s">
        <v>139</v>
      </c>
      <c r="AA4415" s="103" t="s">
        <v>47</v>
      </c>
      <c r="AB4415" s="103" t="s">
        <v>140</v>
      </c>
      <c r="AC4415" s="104" t="s">
        <v>141</v>
      </c>
    </row>
    <row r="4416" spans="1:29" ht="25.5" customHeight="1" x14ac:dyDescent="0.35">
      <c r="A4416" s="188"/>
      <c r="B4416" s="190"/>
      <c r="C4416" s="99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0"/>
      <c r="E4416" s="78" t="str">
        <f>IF(C4416="","",IFERROR(VLOOKUP(C4416,parametros!$A$11:$E$15,5,0),""))</f>
        <v/>
      </c>
      <c r="F4416" s="79" t="str">
        <f t="shared" si="342"/>
        <v/>
      </c>
      <c r="G4416" s="101"/>
      <c r="H4416" s="91">
        <f t="shared" si="343"/>
        <v>0</v>
      </c>
      <c r="I4416" s="91" t="str">
        <f t="shared" si="344"/>
        <v/>
      </c>
      <c r="J4416" s="91" t="str">
        <f t="shared" si="345"/>
        <v/>
      </c>
      <c r="K4416" s="92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2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58"/>
      <c r="U4416" s="217" t="str">
        <f t="shared" si="346"/>
        <v/>
      </c>
      <c r="V4416" s="215" t="s">
        <v>47</v>
      </c>
      <c r="W4416" s="102" t="s">
        <v>136</v>
      </c>
      <c r="X4416" s="102" t="s">
        <v>137</v>
      </c>
      <c r="Y4416" s="103" t="s">
        <v>138</v>
      </c>
      <c r="Z4416" s="103" t="s">
        <v>139</v>
      </c>
      <c r="AA4416" s="103" t="s">
        <v>47</v>
      </c>
      <c r="AB4416" s="103" t="s">
        <v>140</v>
      </c>
      <c r="AC4416" s="104" t="s">
        <v>141</v>
      </c>
    </row>
    <row r="4417" spans="1:29" ht="25.5" customHeight="1" x14ac:dyDescent="0.35">
      <c r="A4417" s="188"/>
      <c r="B4417" s="190"/>
      <c r="C4417" s="99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0"/>
      <c r="E4417" s="78" t="str">
        <f>IF(C4417="","",IFERROR(VLOOKUP(C4417,parametros!$A$11:$E$15,5,0),""))</f>
        <v/>
      </c>
      <c r="F4417" s="79" t="str">
        <f t="shared" si="342"/>
        <v/>
      </c>
      <c r="G4417" s="101"/>
      <c r="H4417" s="91">
        <f t="shared" si="343"/>
        <v>0</v>
      </c>
      <c r="I4417" s="91" t="str">
        <f t="shared" si="344"/>
        <v/>
      </c>
      <c r="J4417" s="91" t="str">
        <f t="shared" si="345"/>
        <v/>
      </c>
      <c r="K4417" s="92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2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58"/>
      <c r="U4417" s="217" t="str">
        <f t="shared" si="346"/>
        <v/>
      </c>
      <c r="V4417" s="215" t="s">
        <v>47</v>
      </c>
      <c r="W4417" s="102" t="s">
        <v>136</v>
      </c>
      <c r="X4417" s="102" t="s">
        <v>137</v>
      </c>
      <c r="Y4417" s="103" t="s">
        <v>138</v>
      </c>
      <c r="Z4417" s="103" t="s">
        <v>139</v>
      </c>
      <c r="AA4417" s="103" t="s">
        <v>47</v>
      </c>
      <c r="AB4417" s="103" t="s">
        <v>140</v>
      </c>
      <c r="AC4417" s="104" t="s">
        <v>141</v>
      </c>
    </row>
    <row r="4418" spans="1:29" ht="25.5" customHeight="1" x14ac:dyDescent="0.35">
      <c r="A4418" s="188"/>
      <c r="B4418" s="190"/>
      <c r="C4418" s="99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0"/>
      <c r="E4418" s="78" t="str">
        <f>IF(C4418="","",IFERROR(VLOOKUP(C4418,parametros!$A$11:$E$15,5,0),""))</f>
        <v/>
      </c>
      <c r="F4418" s="79" t="str">
        <f t="shared" ref="F4418:F4481" si="347">IF(OR(D4418="",E4418=""),"",ROUND(D4418*E4418,2))</f>
        <v/>
      </c>
      <c r="G4418" s="101"/>
      <c r="H4418" s="91">
        <f t="shared" ref="H4418:H4481" si="348">IF(G4418="Sim",IF(OR(F4418="",D4418="",L4418=""),"",IF(L4418="Sim",ROUND(F4418-D4418,2),0)),0)</f>
        <v>0</v>
      </c>
      <c r="I4418" s="91" t="str">
        <f t="shared" ref="I4418:I4481" si="349">IF(G4418="Sim",0,IF(OR(F4418="",L4418=""),"",F4418))</f>
        <v/>
      </c>
      <c r="J4418" s="91" t="str">
        <f t="shared" ref="J4418:J4481" si="350">IF(G4418="Sim",0,IF(OR(F4418="",D4418="",L4418=""),"",IF(L4418="Sim",ROUND(F4418-D4418,2),0)))</f>
        <v/>
      </c>
      <c r="K4418" s="92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2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58"/>
      <c r="U4418" s="217" t="str">
        <f t="shared" ref="U4418:U4481" si="351">IF(OR($D4418="",$H4418=""),"",ROUND($D4418+$H4418,2))</f>
        <v/>
      </c>
      <c r="V4418" s="215" t="s">
        <v>47</v>
      </c>
      <c r="W4418" s="102" t="s">
        <v>136</v>
      </c>
      <c r="X4418" s="102" t="s">
        <v>137</v>
      </c>
      <c r="Y4418" s="103" t="s">
        <v>138</v>
      </c>
      <c r="Z4418" s="103" t="s">
        <v>139</v>
      </c>
      <c r="AA4418" s="103" t="s">
        <v>47</v>
      </c>
      <c r="AB4418" s="103" t="s">
        <v>140</v>
      </c>
      <c r="AC4418" s="104" t="s">
        <v>141</v>
      </c>
    </row>
    <row r="4419" spans="1:29" ht="25.5" customHeight="1" x14ac:dyDescent="0.35">
      <c r="A4419" s="188"/>
      <c r="B4419" s="190"/>
      <c r="C4419" s="99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0"/>
      <c r="E4419" s="78" t="str">
        <f>IF(C4419="","",IFERROR(VLOOKUP(C4419,parametros!$A$11:$E$15,5,0),""))</f>
        <v/>
      </c>
      <c r="F4419" s="79" t="str">
        <f t="shared" si="347"/>
        <v/>
      </c>
      <c r="G4419" s="101"/>
      <c r="H4419" s="91">
        <f t="shared" si="348"/>
        <v>0</v>
      </c>
      <c r="I4419" s="91" t="str">
        <f t="shared" si="349"/>
        <v/>
      </c>
      <c r="J4419" s="91" t="str">
        <f t="shared" si="350"/>
        <v/>
      </c>
      <c r="K4419" s="92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2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58"/>
      <c r="U4419" s="217" t="str">
        <f t="shared" si="351"/>
        <v/>
      </c>
      <c r="V4419" s="215" t="s">
        <v>47</v>
      </c>
      <c r="W4419" s="102" t="s">
        <v>136</v>
      </c>
      <c r="X4419" s="102" t="s">
        <v>137</v>
      </c>
      <c r="Y4419" s="103" t="s">
        <v>138</v>
      </c>
      <c r="Z4419" s="103" t="s">
        <v>139</v>
      </c>
      <c r="AA4419" s="103" t="s">
        <v>47</v>
      </c>
      <c r="AB4419" s="103" t="s">
        <v>140</v>
      </c>
      <c r="AC4419" s="104" t="s">
        <v>141</v>
      </c>
    </row>
    <row r="4420" spans="1:29" ht="25.5" customHeight="1" x14ac:dyDescent="0.35">
      <c r="A4420" s="188"/>
      <c r="B4420" s="190"/>
      <c r="C4420" s="99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0"/>
      <c r="E4420" s="78" t="str">
        <f>IF(C4420="","",IFERROR(VLOOKUP(C4420,parametros!$A$11:$E$15,5,0),""))</f>
        <v/>
      </c>
      <c r="F4420" s="79" t="str">
        <f t="shared" si="347"/>
        <v/>
      </c>
      <c r="G4420" s="101"/>
      <c r="H4420" s="91">
        <f t="shared" si="348"/>
        <v>0</v>
      </c>
      <c r="I4420" s="91" t="str">
        <f t="shared" si="349"/>
        <v/>
      </c>
      <c r="J4420" s="91" t="str">
        <f t="shared" si="350"/>
        <v/>
      </c>
      <c r="K4420" s="92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2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58"/>
      <c r="U4420" s="217" t="str">
        <f t="shared" si="351"/>
        <v/>
      </c>
      <c r="V4420" s="215" t="s">
        <v>47</v>
      </c>
      <c r="W4420" s="102" t="s">
        <v>136</v>
      </c>
      <c r="X4420" s="102" t="s">
        <v>137</v>
      </c>
      <c r="Y4420" s="103" t="s">
        <v>138</v>
      </c>
      <c r="Z4420" s="103" t="s">
        <v>139</v>
      </c>
      <c r="AA4420" s="103" t="s">
        <v>47</v>
      </c>
      <c r="AB4420" s="103" t="s">
        <v>140</v>
      </c>
      <c r="AC4420" s="104" t="s">
        <v>141</v>
      </c>
    </row>
    <row r="4421" spans="1:29" ht="25.5" customHeight="1" x14ac:dyDescent="0.35">
      <c r="A4421" s="188"/>
      <c r="B4421" s="190"/>
      <c r="C4421" s="99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0"/>
      <c r="E4421" s="78" t="str">
        <f>IF(C4421="","",IFERROR(VLOOKUP(C4421,parametros!$A$11:$E$15,5,0),""))</f>
        <v/>
      </c>
      <c r="F4421" s="79" t="str">
        <f t="shared" si="347"/>
        <v/>
      </c>
      <c r="G4421" s="101"/>
      <c r="H4421" s="91">
        <f t="shared" si="348"/>
        <v>0</v>
      </c>
      <c r="I4421" s="91" t="str">
        <f t="shared" si="349"/>
        <v/>
      </c>
      <c r="J4421" s="91" t="str">
        <f t="shared" si="350"/>
        <v/>
      </c>
      <c r="K4421" s="92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2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58"/>
      <c r="U4421" s="217" t="str">
        <f t="shared" si="351"/>
        <v/>
      </c>
      <c r="V4421" s="215" t="s">
        <v>47</v>
      </c>
      <c r="W4421" s="102" t="s">
        <v>136</v>
      </c>
      <c r="X4421" s="102" t="s">
        <v>137</v>
      </c>
      <c r="Y4421" s="103" t="s">
        <v>138</v>
      </c>
      <c r="Z4421" s="103" t="s">
        <v>139</v>
      </c>
      <c r="AA4421" s="103" t="s">
        <v>47</v>
      </c>
      <c r="AB4421" s="103" t="s">
        <v>140</v>
      </c>
      <c r="AC4421" s="104" t="s">
        <v>141</v>
      </c>
    </row>
    <row r="4422" spans="1:29" ht="25.5" customHeight="1" x14ac:dyDescent="0.35">
      <c r="A4422" s="188"/>
      <c r="B4422" s="190"/>
      <c r="C4422" s="99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0"/>
      <c r="E4422" s="78" t="str">
        <f>IF(C4422="","",IFERROR(VLOOKUP(C4422,parametros!$A$11:$E$15,5,0),""))</f>
        <v/>
      </c>
      <c r="F4422" s="79" t="str">
        <f t="shared" si="347"/>
        <v/>
      </c>
      <c r="G4422" s="101"/>
      <c r="H4422" s="91">
        <f t="shared" si="348"/>
        <v>0</v>
      </c>
      <c r="I4422" s="91" t="str">
        <f t="shared" si="349"/>
        <v/>
      </c>
      <c r="J4422" s="91" t="str">
        <f t="shared" si="350"/>
        <v/>
      </c>
      <c r="K4422" s="92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2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58"/>
      <c r="U4422" s="217" t="str">
        <f t="shared" si="351"/>
        <v/>
      </c>
      <c r="V4422" s="215" t="s">
        <v>47</v>
      </c>
      <c r="W4422" s="102" t="s">
        <v>136</v>
      </c>
      <c r="X4422" s="102" t="s">
        <v>137</v>
      </c>
      <c r="Y4422" s="103" t="s">
        <v>138</v>
      </c>
      <c r="Z4422" s="103" t="s">
        <v>139</v>
      </c>
      <c r="AA4422" s="103" t="s">
        <v>47</v>
      </c>
      <c r="AB4422" s="103" t="s">
        <v>140</v>
      </c>
      <c r="AC4422" s="104" t="s">
        <v>141</v>
      </c>
    </row>
    <row r="4423" spans="1:29" ht="25.5" customHeight="1" x14ac:dyDescent="0.35">
      <c r="A4423" s="188"/>
      <c r="B4423" s="190"/>
      <c r="C4423" s="99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0"/>
      <c r="E4423" s="78" t="str">
        <f>IF(C4423="","",IFERROR(VLOOKUP(C4423,parametros!$A$11:$E$15,5,0),""))</f>
        <v/>
      </c>
      <c r="F4423" s="79" t="str">
        <f t="shared" si="347"/>
        <v/>
      </c>
      <c r="G4423" s="101"/>
      <c r="H4423" s="91">
        <f t="shared" si="348"/>
        <v>0</v>
      </c>
      <c r="I4423" s="91" t="str">
        <f t="shared" si="349"/>
        <v/>
      </c>
      <c r="J4423" s="91" t="str">
        <f t="shared" si="350"/>
        <v/>
      </c>
      <c r="K4423" s="92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2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58"/>
      <c r="U4423" s="217" t="str">
        <f t="shared" si="351"/>
        <v/>
      </c>
      <c r="V4423" s="215" t="s">
        <v>47</v>
      </c>
      <c r="W4423" s="102" t="s">
        <v>136</v>
      </c>
      <c r="X4423" s="102" t="s">
        <v>137</v>
      </c>
      <c r="Y4423" s="103" t="s">
        <v>138</v>
      </c>
      <c r="Z4423" s="103" t="s">
        <v>139</v>
      </c>
      <c r="AA4423" s="103" t="s">
        <v>47</v>
      </c>
      <c r="AB4423" s="103" t="s">
        <v>140</v>
      </c>
      <c r="AC4423" s="104" t="s">
        <v>141</v>
      </c>
    </row>
    <row r="4424" spans="1:29" ht="25.5" customHeight="1" x14ac:dyDescent="0.35">
      <c r="A4424" s="188"/>
      <c r="B4424" s="190"/>
      <c r="C4424" s="99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0"/>
      <c r="E4424" s="78" t="str">
        <f>IF(C4424="","",IFERROR(VLOOKUP(C4424,parametros!$A$11:$E$15,5,0),""))</f>
        <v/>
      </c>
      <c r="F4424" s="79" t="str">
        <f t="shared" si="347"/>
        <v/>
      </c>
      <c r="G4424" s="101"/>
      <c r="H4424" s="91">
        <f t="shared" si="348"/>
        <v>0</v>
      </c>
      <c r="I4424" s="91" t="str">
        <f t="shared" si="349"/>
        <v/>
      </c>
      <c r="J4424" s="91" t="str">
        <f t="shared" si="350"/>
        <v/>
      </c>
      <c r="K4424" s="92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2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58"/>
      <c r="U4424" s="217" t="str">
        <f t="shared" si="351"/>
        <v/>
      </c>
      <c r="V4424" s="215" t="s">
        <v>47</v>
      </c>
      <c r="W4424" s="102" t="s">
        <v>136</v>
      </c>
      <c r="X4424" s="102" t="s">
        <v>137</v>
      </c>
      <c r="Y4424" s="103" t="s">
        <v>138</v>
      </c>
      <c r="Z4424" s="103" t="s">
        <v>139</v>
      </c>
      <c r="AA4424" s="103" t="s">
        <v>47</v>
      </c>
      <c r="AB4424" s="103" t="s">
        <v>140</v>
      </c>
      <c r="AC4424" s="104" t="s">
        <v>141</v>
      </c>
    </row>
    <row r="4425" spans="1:29" ht="25.5" customHeight="1" x14ac:dyDescent="0.35">
      <c r="A4425" s="188"/>
      <c r="B4425" s="190"/>
      <c r="C4425" s="99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0"/>
      <c r="E4425" s="78" t="str">
        <f>IF(C4425="","",IFERROR(VLOOKUP(C4425,parametros!$A$11:$E$15,5,0),""))</f>
        <v/>
      </c>
      <c r="F4425" s="79" t="str">
        <f t="shared" si="347"/>
        <v/>
      </c>
      <c r="G4425" s="101"/>
      <c r="H4425" s="91">
        <f t="shared" si="348"/>
        <v>0</v>
      </c>
      <c r="I4425" s="91" t="str">
        <f t="shared" si="349"/>
        <v/>
      </c>
      <c r="J4425" s="91" t="str">
        <f t="shared" si="350"/>
        <v/>
      </c>
      <c r="K4425" s="92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2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58"/>
      <c r="U4425" s="217" t="str">
        <f t="shared" si="351"/>
        <v/>
      </c>
      <c r="V4425" s="215" t="s">
        <v>47</v>
      </c>
      <c r="W4425" s="102" t="s">
        <v>136</v>
      </c>
      <c r="X4425" s="102" t="s">
        <v>137</v>
      </c>
      <c r="Y4425" s="103" t="s">
        <v>138</v>
      </c>
      <c r="Z4425" s="103" t="s">
        <v>139</v>
      </c>
      <c r="AA4425" s="103" t="s">
        <v>47</v>
      </c>
      <c r="AB4425" s="103" t="s">
        <v>140</v>
      </c>
      <c r="AC4425" s="104" t="s">
        <v>141</v>
      </c>
    </row>
    <row r="4426" spans="1:29" ht="25.5" customHeight="1" x14ac:dyDescent="0.35">
      <c r="A4426" s="188"/>
      <c r="B4426" s="190"/>
      <c r="C4426" s="99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0"/>
      <c r="E4426" s="78" t="str">
        <f>IF(C4426="","",IFERROR(VLOOKUP(C4426,parametros!$A$11:$E$15,5,0),""))</f>
        <v/>
      </c>
      <c r="F4426" s="79" t="str">
        <f t="shared" si="347"/>
        <v/>
      </c>
      <c r="G4426" s="101"/>
      <c r="H4426" s="91">
        <f t="shared" si="348"/>
        <v>0</v>
      </c>
      <c r="I4426" s="91" t="str">
        <f t="shared" si="349"/>
        <v/>
      </c>
      <c r="J4426" s="91" t="str">
        <f t="shared" si="350"/>
        <v/>
      </c>
      <c r="K4426" s="92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2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58"/>
      <c r="U4426" s="217" t="str">
        <f t="shared" si="351"/>
        <v/>
      </c>
      <c r="V4426" s="215" t="s">
        <v>47</v>
      </c>
      <c r="W4426" s="102" t="s">
        <v>136</v>
      </c>
      <c r="X4426" s="102" t="s">
        <v>137</v>
      </c>
      <c r="Y4426" s="103" t="s">
        <v>138</v>
      </c>
      <c r="Z4426" s="103" t="s">
        <v>139</v>
      </c>
      <c r="AA4426" s="103" t="s">
        <v>47</v>
      </c>
      <c r="AB4426" s="103" t="s">
        <v>140</v>
      </c>
      <c r="AC4426" s="104" t="s">
        <v>141</v>
      </c>
    </row>
    <row r="4427" spans="1:29" ht="25.5" customHeight="1" x14ac:dyDescent="0.35">
      <c r="A4427" s="188"/>
      <c r="B4427" s="190"/>
      <c r="C4427" s="99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0"/>
      <c r="E4427" s="78" t="str">
        <f>IF(C4427="","",IFERROR(VLOOKUP(C4427,parametros!$A$11:$E$15,5,0),""))</f>
        <v/>
      </c>
      <c r="F4427" s="79" t="str">
        <f t="shared" si="347"/>
        <v/>
      </c>
      <c r="G4427" s="101"/>
      <c r="H4427" s="91">
        <f t="shared" si="348"/>
        <v>0</v>
      </c>
      <c r="I4427" s="91" t="str">
        <f t="shared" si="349"/>
        <v/>
      </c>
      <c r="J4427" s="91" t="str">
        <f t="shared" si="350"/>
        <v/>
      </c>
      <c r="K4427" s="92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2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58"/>
      <c r="U4427" s="217" t="str">
        <f t="shared" si="351"/>
        <v/>
      </c>
      <c r="V4427" s="215" t="s">
        <v>47</v>
      </c>
      <c r="W4427" s="102" t="s">
        <v>136</v>
      </c>
      <c r="X4427" s="102" t="s">
        <v>137</v>
      </c>
      <c r="Y4427" s="103" t="s">
        <v>138</v>
      </c>
      <c r="Z4427" s="103" t="s">
        <v>139</v>
      </c>
      <c r="AA4427" s="103" t="s">
        <v>47</v>
      </c>
      <c r="AB4427" s="103" t="s">
        <v>140</v>
      </c>
      <c r="AC4427" s="104" t="s">
        <v>141</v>
      </c>
    </row>
    <row r="4428" spans="1:29" ht="25.5" customHeight="1" x14ac:dyDescent="0.35">
      <c r="A4428" s="188"/>
      <c r="B4428" s="190"/>
      <c r="C4428" s="99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0"/>
      <c r="E4428" s="78" t="str">
        <f>IF(C4428="","",IFERROR(VLOOKUP(C4428,parametros!$A$11:$E$15,5,0),""))</f>
        <v/>
      </c>
      <c r="F4428" s="79" t="str">
        <f t="shared" si="347"/>
        <v/>
      </c>
      <c r="G4428" s="101"/>
      <c r="H4428" s="91">
        <f t="shared" si="348"/>
        <v>0</v>
      </c>
      <c r="I4428" s="91" t="str">
        <f t="shared" si="349"/>
        <v/>
      </c>
      <c r="J4428" s="91" t="str">
        <f t="shared" si="350"/>
        <v/>
      </c>
      <c r="K4428" s="92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2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58"/>
      <c r="U4428" s="217" t="str">
        <f t="shared" si="351"/>
        <v/>
      </c>
      <c r="V4428" s="215" t="s">
        <v>47</v>
      </c>
      <c r="W4428" s="102" t="s">
        <v>136</v>
      </c>
      <c r="X4428" s="102" t="s">
        <v>137</v>
      </c>
      <c r="Y4428" s="103" t="s">
        <v>138</v>
      </c>
      <c r="Z4428" s="103" t="s">
        <v>139</v>
      </c>
      <c r="AA4428" s="103" t="s">
        <v>47</v>
      </c>
      <c r="AB4428" s="103" t="s">
        <v>140</v>
      </c>
      <c r="AC4428" s="104" t="s">
        <v>141</v>
      </c>
    </row>
    <row r="4429" spans="1:29" ht="25.5" customHeight="1" x14ac:dyDescent="0.35">
      <c r="A4429" s="188"/>
      <c r="B4429" s="190"/>
      <c r="C4429" s="99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0"/>
      <c r="E4429" s="78" t="str">
        <f>IF(C4429="","",IFERROR(VLOOKUP(C4429,parametros!$A$11:$E$15,5,0),""))</f>
        <v/>
      </c>
      <c r="F4429" s="79" t="str">
        <f t="shared" si="347"/>
        <v/>
      </c>
      <c r="G4429" s="101"/>
      <c r="H4429" s="91">
        <f t="shared" si="348"/>
        <v>0</v>
      </c>
      <c r="I4429" s="91" t="str">
        <f t="shared" si="349"/>
        <v/>
      </c>
      <c r="J4429" s="91" t="str">
        <f t="shared" si="350"/>
        <v/>
      </c>
      <c r="K4429" s="92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2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58"/>
      <c r="U4429" s="217" t="str">
        <f t="shared" si="351"/>
        <v/>
      </c>
      <c r="V4429" s="215" t="s">
        <v>47</v>
      </c>
      <c r="W4429" s="102" t="s">
        <v>136</v>
      </c>
      <c r="X4429" s="102" t="s">
        <v>137</v>
      </c>
      <c r="Y4429" s="103" t="s">
        <v>138</v>
      </c>
      <c r="Z4429" s="103" t="s">
        <v>139</v>
      </c>
      <c r="AA4429" s="103" t="s">
        <v>47</v>
      </c>
      <c r="AB4429" s="103" t="s">
        <v>140</v>
      </c>
      <c r="AC4429" s="104" t="s">
        <v>141</v>
      </c>
    </row>
    <row r="4430" spans="1:29" ht="25.5" customHeight="1" x14ac:dyDescent="0.35">
      <c r="A4430" s="188"/>
      <c r="B4430" s="190"/>
      <c r="C4430" s="99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0"/>
      <c r="E4430" s="78" t="str">
        <f>IF(C4430="","",IFERROR(VLOOKUP(C4430,parametros!$A$11:$E$15,5,0),""))</f>
        <v/>
      </c>
      <c r="F4430" s="79" t="str">
        <f t="shared" si="347"/>
        <v/>
      </c>
      <c r="G4430" s="101"/>
      <c r="H4430" s="91">
        <f t="shared" si="348"/>
        <v>0</v>
      </c>
      <c r="I4430" s="91" t="str">
        <f t="shared" si="349"/>
        <v/>
      </c>
      <c r="J4430" s="91" t="str">
        <f t="shared" si="350"/>
        <v/>
      </c>
      <c r="K4430" s="92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2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58"/>
      <c r="U4430" s="217" t="str">
        <f t="shared" si="351"/>
        <v/>
      </c>
      <c r="V4430" s="215" t="s">
        <v>47</v>
      </c>
      <c r="W4430" s="102" t="s">
        <v>136</v>
      </c>
      <c r="X4430" s="102" t="s">
        <v>137</v>
      </c>
      <c r="Y4430" s="103" t="s">
        <v>138</v>
      </c>
      <c r="Z4430" s="103" t="s">
        <v>139</v>
      </c>
      <c r="AA4430" s="103" t="s">
        <v>47</v>
      </c>
      <c r="AB4430" s="103" t="s">
        <v>140</v>
      </c>
      <c r="AC4430" s="104" t="s">
        <v>141</v>
      </c>
    </row>
    <row r="4431" spans="1:29" ht="25.5" customHeight="1" x14ac:dyDescent="0.35">
      <c r="A4431" s="188"/>
      <c r="B4431" s="190"/>
      <c r="C4431" s="99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0"/>
      <c r="E4431" s="78" t="str">
        <f>IF(C4431="","",IFERROR(VLOOKUP(C4431,parametros!$A$11:$E$15,5,0),""))</f>
        <v/>
      </c>
      <c r="F4431" s="79" t="str">
        <f t="shared" si="347"/>
        <v/>
      </c>
      <c r="G4431" s="101"/>
      <c r="H4431" s="91">
        <f t="shared" si="348"/>
        <v>0</v>
      </c>
      <c r="I4431" s="91" t="str">
        <f t="shared" si="349"/>
        <v/>
      </c>
      <c r="J4431" s="91" t="str">
        <f t="shared" si="350"/>
        <v/>
      </c>
      <c r="K4431" s="92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2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58"/>
      <c r="U4431" s="217" t="str">
        <f t="shared" si="351"/>
        <v/>
      </c>
      <c r="V4431" s="215" t="s">
        <v>47</v>
      </c>
      <c r="W4431" s="102" t="s">
        <v>136</v>
      </c>
      <c r="X4431" s="102" t="s">
        <v>137</v>
      </c>
      <c r="Y4431" s="103" t="s">
        <v>138</v>
      </c>
      <c r="Z4431" s="103" t="s">
        <v>139</v>
      </c>
      <c r="AA4431" s="103" t="s">
        <v>47</v>
      </c>
      <c r="AB4431" s="103" t="s">
        <v>140</v>
      </c>
      <c r="AC4431" s="104" t="s">
        <v>141</v>
      </c>
    </row>
    <row r="4432" spans="1:29" ht="25.5" customHeight="1" x14ac:dyDescent="0.35">
      <c r="A4432" s="188"/>
      <c r="B4432" s="190"/>
      <c r="C4432" s="99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0"/>
      <c r="E4432" s="78" t="str">
        <f>IF(C4432="","",IFERROR(VLOOKUP(C4432,parametros!$A$11:$E$15,5,0),""))</f>
        <v/>
      </c>
      <c r="F4432" s="79" t="str">
        <f t="shared" si="347"/>
        <v/>
      </c>
      <c r="G4432" s="101"/>
      <c r="H4432" s="91">
        <f t="shared" si="348"/>
        <v>0</v>
      </c>
      <c r="I4432" s="91" t="str">
        <f t="shared" si="349"/>
        <v/>
      </c>
      <c r="J4432" s="91" t="str">
        <f t="shared" si="350"/>
        <v/>
      </c>
      <c r="K4432" s="92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2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58"/>
      <c r="U4432" s="217" t="str">
        <f t="shared" si="351"/>
        <v/>
      </c>
      <c r="V4432" s="215" t="s">
        <v>47</v>
      </c>
      <c r="W4432" s="102" t="s">
        <v>136</v>
      </c>
      <c r="X4432" s="102" t="s">
        <v>137</v>
      </c>
      <c r="Y4432" s="103" t="s">
        <v>138</v>
      </c>
      <c r="Z4432" s="103" t="s">
        <v>139</v>
      </c>
      <c r="AA4432" s="103" t="s">
        <v>47</v>
      </c>
      <c r="AB4432" s="103" t="s">
        <v>140</v>
      </c>
      <c r="AC4432" s="104" t="s">
        <v>141</v>
      </c>
    </row>
    <row r="4433" spans="1:29" ht="25.5" customHeight="1" x14ac:dyDescent="0.35">
      <c r="A4433" s="188"/>
      <c r="B4433" s="190"/>
      <c r="C4433" s="99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0"/>
      <c r="E4433" s="78" t="str">
        <f>IF(C4433="","",IFERROR(VLOOKUP(C4433,parametros!$A$11:$E$15,5,0),""))</f>
        <v/>
      </c>
      <c r="F4433" s="79" t="str">
        <f t="shared" si="347"/>
        <v/>
      </c>
      <c r="G4433" s="101"/>
      <c r="H4433" s="91">
        <f t="shared" si="348"/>
        <v>0</v>
      </c>
      <c r="I4433" s="91" t="str">
        <f t="shared" si="349"/>
        <v/>
      </c>
      <c r="J4433" s="91" t="str">
        <f t="shared" si="350"/>
        <v/>
      </c>
      <c r="K4433" s="92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2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58"/>
      <c r="U4433" s="217" t="str">
        <f t="shared" si="351"/>
        <v/>
      </c>
      <c r="V4433" s="215" t="s">
        <v>47</v>
      </c>
      <c r="W4433" s="102" t="s">
        <v>136</v>
      </c>
      <c r="X4433" s="102" t="s">
        <v>137</v>
      </c>
      <c r="Y4433" s="103" t="s">
        <v>138</v>
      </c>
      <c r="Z4433" s="103" t="s">
        <v>139</v>
      </c>
      <c r="AA4433" s="103" t="s">
        <v>47</v>
      </c>
      <c r="AB4433" s="103" t="s">
        <v>140</v>
      </c>
      <c r="AC4433" s="104" t="s">
        <v>141</v>
      </c>
    </row>
    <row r="4434" spans="1:29" ht="25.5" customHeight="1" x14ac:dyDescent="0.35">
      <c r="A4434" s="188"/>
      <c r="B4434" s="190"/>
      <c r="C4434" s="99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0"/>
      <c r="E4434" s="78" t="str">
        <f>IF(C4434="","",IFERROR(VLOOKUP(C4434,parametros!$A$11:$E$15,5,0),""))</f>
        <v/>
      </c>
      <c r="F4434" s="79" t="str">
        <f t="shared" si="347"/>
        <v/>
      </c>
      <c r="G4434" s="101"/>
      <c r="H4434" s="91">
        <f t="shared" si="348"/>
        <v>0</v>
      </c>
      <c r="I4434" s="91" t="str">
        <f t="shared" si="349"/>
        <v/>
      </c>
      <c r="J4434" s="91" t="str">
        <f t="shared" si="350"/>
        <v/>
      </c>
      <c r="K4434" s="92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2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58"/>
      <c r="U4434" s="217" t="str">
        <f t="shared" si="351"/>
        <v/>
      </c>
      <c r="V4434" s="215" t="s">
        <v>47</v>
      </c>
      <c r="W4434" s="102" t="s">
        <v>136</v>
      </c>
      <c r="X4434" s="102" t="s">
        <v>137</v>
      </c>
      <c r="Y4434" s="103" t="s">
        <v>138</v>
      </c>
      <c r="Z4434" s="103" t="s">
        <v>139</v>
      </c>
      <c r="AA4434" s="103" t="s">
        <v>47</v>
      </c>
      <c r="AB4434" s="103" t="s">
        <v>140</v>
      </c>
      <c r="AC4434" s="104" t="s">
        <v>141</v>
      </c>
    </row>
    <row r="4435" spans="1:29" ht="25.5" customHeight="1" x14ac:dyDescent="0.35">
      <c r="A4435" s="188"/>
      <c r="B4435" s="190"/>
      <c r="C4435" s="99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0"/>
      <c r="E4435" s="78" t="str">
        <f>IF(C4435="","",IFERROR(VLOOKUP(C4435,parametros!$A$11:$E$15,5,0),""))</f>
        <v/>
      </c>
      <c r="F4435" s="79" t="str">
        <f t="shared" si="347"/>
        <v/>
      </c>
      <c r="G4435" s="101"/>
      <c r="H4435" s="91">
        <f t="shared" si="348"/>
        <v>0</v>
      </c>
      <c r="I4435" s="91" t="str">
        <f t="shared" si="349"/>
        <v/>
      </c>
      <c r="J4435" s="91" t="str">
        <f t="shared" si="350"/>
        <v/>
      </c>
      <c r="K4435" s="92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2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58"/>
      <c r="U4435" s="217" t="str">
        <f t="shared" si="351"/>
        <v/>
      </c>
      <c r="V4435" s="215" t="s">
        <v>47</v>
      </c>
      <c r="W4435" s="102" t="s">
        <v>136</v>
      </c>
      <c r="X4435" s="102" t="s">
        <v>137</v>
      </c>
      <c r="Y4435" s="103" t="s">
        <v>138</v>
      </c>
      <c r="Z4435" s="103" t="s">
        <v>139</v>
      </c>
      <c r="AA4435" s="103" t="s">
        <v>47</v>
      </c>
      <c r="AB4435" s="103" t="s">
        <v>140</v>
      </c>
      <c r="AC4435" s="104" t="s">
        <v>141</v>
      </c>
    </row>
    <row r="4436" spans="1:29" ht="25.5" customHeight="1" x14ac:dyDescent="0.35">
      <c r="A4436" s="188"/>
      <c r="B4436" s="190"/>
      <c r="C4436" s="99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0"/>
      <c r="E4436" s="78" t="str">
        <f>IF(C4436="","",IFERROR(VLOOKUP(C4436,parametros!$A$11:$E$15,5,0),""))</f>
        <v/>
      </c>
      <c r="F4436" s="79" t="str">
        <f t="shared" si="347"/>
        <v/>
      </c>
      <c r="G4436" s="101"/>
      <c r="H4436" s="91">
        <f t="shared" si="348"/>
        <v>0</v>
      </c>
      <c r="I4436" s="91" t="str">
        <f t="shared" si="349"/>
        <v/>
      </c>
      <c r="J4436" s="91" t="str">
        <f t="shared" si="350"/>
        <v/>
      </c>
      <c r="K4436" s="92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2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58"/>
      <c r="U4436" s="217" t="str">
        <f t="shared" si="351"/>
        <v/>
      </c>
      <c r="V4436" s="215" t="s">
        <v>47</v>
      </c>
      <c r="W4436" s="102" t="s">
        <v>136</v>
      </c>
      <c r="X4436" s="102" t="s">
        <v>137</v>
      </c>
      <c r="Y4436" s="103" t="s">
        <v>138</v>
      </c>
      <c r="Z4436" s="103" t="s">
        <v>139</v>
      </c>
      <c r="AA4436" s="103" t="s">
        <v>47</v>
      </c>
      <c r="AB4436" s="103" t="s">
        <v>140</v>
      </c>
      <c r="AC4436" s="104" t="s">
        <v>141</v>
      </c>
    </row>
    <row r="4437" spans="1:29" ht="25.5" customHeight="1" x14ac:dyDescent="0.35">
      <c r="A4437" s="188"/>
      <c r="B4437" s="190"/>
      <c r="C4437" s="99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0"/>
      <c r="E4437" s="78" t="str">
        <f>IF(C4437="","",IFERROR(VLOOKUP(C4437,parametros!$A$11:$E$15,5,0),""))</f>
        <v/>
      </c>
      <c r="F4437" s="79" t="str">
        <f t="shared" si="347"/>
        <v/>
      </c>
      <c r="G4437" s="101"/>
      <c r="H4437" s="91">
        <f t="shared" si="348"/>
        <v>0</v>
      </c>
      <c r="I4437" s="91" t="str">
        <f t="shared" si="349"/>
        <v/>
      </c>
      <c r="J4437" s="91" t="str">
        <f t="shared" si="350"/>
        <v/>
      </c>
      <c r="K4437" s="92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2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58"/>
      <c r="U4437" s="217" t="str">
        <f t="shared" si="351"/>
        <v/>
      </c>
      <c r="V4437" s="215" t="s">
        <v>47</v>
      </c>
      <c r="W4437" s="102" t="s">
        <v>136</v>
      </c>
      <c r="X4437" s="102" t="s">
        <v>137</v>
      </c>
      <c r="Y4437" s="103" t="s">
        <v>138</v>
      </c>
      <c r="Z4437" s="103" t="s">
        <v>139</v>
      </c>
      <c r="AA4437" s="103" t="s">
        <v>47</v>
      </c>
      <c r="AB4437" s="103" t="s">
        <v>140</v>
      </c>
      <c r="AC4437" s="104" t="s">
        <v>141</v>
      </c>
    </row>
    <row r="4438" spans="1:29" ht="25.5" customHeight="1" x14ac:dyDescent="0.35">
      <c r="A4438" s="188"/>
      <c r="B4438" s="190"/>
      <c r="C4438" s="99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0"/>
      <c r="E4438" s="78" t="str">
        <f>IF(C4438="","",IFERROR(VLOOKUP(C4438,parametros!$A$11:$E$15,5,0),""))</f>
        <v/>
      </c>
      <c r="F4438" s="79" t="str">
        <f t="shared" si="347"/>
        <v/>
      </c>
      <c r="G4438" s="101"/>
      <c r="H4438" s="91">
        <f t="shared" si="348"/>
        <v>0</v>
      </c>
      <c r="I4438" s="91" t="str">
        <f t="shared" si="349"/>
        <v/>
      </c>
      <c r="J4438" s="91" t="str">
        <f t="shared" si="350"/>
        <v/>
      </c>
      <c r="K4438" s="92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2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58"/>
      <c r="U4438" s="217" t="str">
        <f t="shared" si="351"/>
        <v/>
      </c>
      <c r="V4438" s="215" t="s">
        <v>47</v>
      </c>
      <c r="W4438" s="102" t="s">
        <v>136</v>
      </c>
      <c r="X4438" s="102" t="s">
        <v>137</v>
      </c>
      <c r="Y4438" s="103" t="s">
        <v>138</v>
      </c>
      <c r="Z4438" s="103" t="s">
        <v>139</v>
      </c>
      <c r="AA4438" s="103" t="s">
        <v>47</v>
      </c>
      <c r="AB4438" s="103" t="s">
        <v>140</v>
      </c>
      <c r="AC4438" s="104" t="s">
        <v>141</v>
      </c>
    </row>
    <row r="4439" spans="1:29" ht="25.5" customHeight="1" x14ac:dyDescent="0.35">
      <c r="A4439" s="188"/>
      <c r="B4439" s="190"/>
      <c r="C4439" s="99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0"/>
      <c r="E4439" s="78" t="str">
        <f>IF(C4439="","",IFERROR(VLOOKUP(C4439,parametros!$A$11:$E$15,5,0),""))</f>
        <v/>
      </c>
      <c r="F4439" s="79" t="str">
        <f t="shared" si="347"/>
        <v/>
      </c>
      <c r="G4439" s="101"/>
      <c r="H4439" s="91">
        <f t="shared" si="348"/>
        <v>0</v>
      </c>
      <c r="I4439" s="91" t="str">
        <f t="shared" si="349"/>
        <v/>
      </c>
      <c r="J4439" s="91" t="str">
        <f t="shared" si="350"/>
        <v/>
      </c>
      <c r="K4439" s="92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2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58"/>
      <c r="U4439" s="217" t="str">
        <f t="shared" si="351"/>
        <v/>
      </c>
      <c r="V4439" s="215" t="s">
        <v>47</v>
      </c>
      <c r="W4439" s="102" t="s">
        <v>136</v>
      </c>
      <c r="X4439" s="102" t="s">
        <v>137</v>
      </c>
      <c r="Y4439" s="103" t="s">
        <v>138</v>
      </c>
      <c r="Z4439" s="103" t="s">
        <v>139</v>
      </c>
      <c r="AA4439" s="103" t="s">
        <v>47</v>
      </c>
      <c r="AB4439" s="103" t="s">
        <v>140</v>
      </c>
      <c r="AC4439" s="104" t="s">
        <v>141</v>
      </c>
    </row>
    <row r="4440" spans="1:29" ht="25.5" customHeight="1" x14ac:dyDescent="0.35">
      <c r="A4440" s="188"/>
      <c r="B4440" s="190"/>
      <c r="C4440" s="99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0"/>
      <c r="E4440" s="78" t="str">
        <f>IF(C4440="","",IFERROR(VLOOKUP(C4440,parametros!$A$11:$E$15,5,0),""))</f>
        <v/>
      </c>
      <c r="F4440" s="79" t="str">
        <f t="shared" si="347"/>
        <v/>
      </c>
      <c r="G4440" s="101"/>
      <c r="H4440" s="91">
        <f t="shared" si="348"/>
        <v>0</v>
      </c>
      <c r="I4440" s="91" t="str">
        <f t="shared" si="349"/>
        <v/>
      </c>
      <c r="J4440" s="91" t="str">
        <f t="shared" si="350"/>
        <v/>
      </c>
      <c r="K4440" s="92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2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58"/>
      <c r="U4440" s="217" t="str">
        <f t="shared" si="351"/>
        <v/>
      </c>
      <c r="V4440" s="215" t="s">
        <v>47</v>
      </c>
      <c r="W4440" s="102" t="s">
        <v>136</v>
      </c>
      <c r="X4440" s="102" t="s">
        <v>137</v>
      </c>
      <c r="Y4440" s="103" t="s">
        <v>138</v>
      </c>
      <c r="Z4440" s="103" t="s">
        <v>139</v>
      </c>
      <c r="AA4440" s="103" t="s">
        <v>47</v>
      </c>
      <c r="AB4440" s="103" t="s">
        <v>140</v>
      </c>
      <c r="AC4440" s="104" t="s">
        <v>141</v>
      </c>
    </row>
    <row r="4441" spans="1:29" ht="25.5" customHeight="1" x14ac:dyDescent="0.35">
      <c r="A4441" s="188"/>
      <c r="B4441" s="190"/>
      <c r="C4441" s="99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0"/>
      <c r="E4441" s="78" t="str">
        <f>IF(C4441="","",IFERROR(VLOOKUP(C4441,parametros!$A$11:$E$15,5,0),""))</f>
        <v/>
      </c>
      <c r="F4441" s="79" t="str">
        <f t="shared" si="347"/>
        <v/>
      </c>
      <c r="G4441" s="101"/>
      <c r="H4441" s="91">
        <f t="shared" si="348"/>
        <v>0</v>
      </c>
      <c r="I4441" s="91" t="str">
        <f t="shared" si="349"/>
        <v/>
      </c>
      <c r="J4441" s="91" t="str">
        <f t="shared" si="350"/>
        <v/>
      </c>
      <c r="K4441" s="92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2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58"/>
      <c r="U4441" s="217" t="str">
        <f t="shared" si="351"/>
        <v/>
      </c>
      <c r="V4441" s="215" t="s">
        <v>47</v>
      </c>
      <c r="W4441" s="102" t="s">
        <v>136</v>
      </c>
      <c r="X4441" s="102" t="s">
        <v>137</v>
      </c>
      <c r="Y4441" s="103" t="s">
        <v>138</v>
      </c>
      <c r="Z4441" s="103" t="s">
        <v>139</v>
      </c>
      <c r="AA4441" s="103" t="s">
        <v>47</v>
      </c>
      <c r="AB4441" s="103" t="s">
        <v>140</v>
      </c>
      <c r="AC4441" s="104" t="s">
        <v>141</v>
      </c>
    </row>
    <row r="4442" spans="1:29" ht="25.5" customHeight="1" x14ac:dyDescent="0.35">
      <c r="A4442" s="188"/>
      <c r="B4442" s="190"/>
      <c r="C4442" s="99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0"/>
      <c r="E4442" s="78" t="str">
        <f>IF(C4442="","",IFERROR(VLOOKUP(C4442,parametros!$A$11:$E$15,5,0),""))</f>
        <v/>
      </c>
      <c r="F4442" s="79" t="str">
        <f t="shared" si="347"/>
        <v/>
      </c>
      <c r="G4442" s="101"/>
      <c r="H4442" s="91">
        <f t="shared" si="348"/>
        <v>0</v>
      </c>
      <c r="I4442" s="91" t="str">
        <f t="shared" si="349"/>
        <v/>
      </c>
      <c r="J4442" s="91" t="str">
        <f t="shared" si="350"/>
        <v/>
      </c>
      <c r="K4442" s="92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2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58"/>
      <c r="U4442" s="217" t="str">
        <f t="shared" si="351"/>
        <v/>
      </c>
      <c r="V4442" s="215" t="s">
        <v>47</v>
      </c>
      <c r="W4442" s="102" t="s">
        <v>136</v>
      </c>
      <c r="X4442" s="102" t="s">
        <v>137</v>
      </c>
      <c r="Y4442" s="103" t="s">
        <v>138</v>
      </c>
      <c r="Z4442" s="103" t="s">
        <v>139</v>
      </c>
      <c r="AA4442" s="103" t="s">
        <v>47</v>
      </c>
      <c r="AB4442" s="103" t="s">
        <v>140</v>
      </c>
      <c r="AC4442" s="104" t="s">
        <v>141</v>
      </c>
    </row>
    <row r="4443" spans="1:29" ht="25.5" customHeight="1" x14ac:dyDescent="0.35">
      <c r="A4443" s="188"/>
      <c r="B4443" s="190"/>
      <c r="C4443" s="99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0"/>
      <c r="E4443" s="78" t="str">
        <f>IF(C4443="","",IFERROR(VLOOKUP(C4443,parametros!$A$11:$E$15,5,0),""))</f>
        <v/>
      </c>
      <c r="F4443" s="79" t="str">
        <f t="shared" si="347"/>
        <v/>
      </c>
      <c r="G4443" s="101"/>
      <c r="H4443" s="91">
        <f t="shared" si="348"/>
        <v>0</v>
      </c>
      <c r="I4443" s="91" t="str">
        <f t="shared" si="349"/>
        <v/>
      </c>
      <c r="J4443" s="91" t="str">
        <f t="shared" si="350"/>
        <v/>
      </c>
      <c r="K4443" s="92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2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58"/>
      <c r="U4443" s="217" t="str">
        <f t="shared" si="351"/>
        <v/>
      </c>
      <c r="V4443" s="215" t="s">
        <v>47</v>
      </c>
      <c r="W4443" s="102" t="s">
        <v>136</v>
      </c>
      <c r="X4443" s="102" t="s">
        <v>137</v>
      </c>
      <c r="Y4443" s="103" t="s">
        <v>138</v>
      </c>
      <c r="Z4443" s="103" t="s">
        <v>139</v>
      </c>
      <c r="AA4443" s="103" t="s">
        <v>47</v>
      </c>
      <c r="AB4443" s="103" t="s">
        <v>140</v>
      </c>
      <c r="AC4443" s="104" t="s">
        <v>141</v>
      </c>
    </row>
    <row r="4444" spans="1:29" ht="25.5" customHeight="1" x14ac:dyDescent="0.35">
      <c r="A4444" s="188"/>
      <c r="B4444" s="190"/>
      <c r="C4444" s="99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0"/>
      <c r="E4444" s="78" t="str">
        <f>IF(C4444="","",IFERROR(VLOOKUP(C4444,parametros!$A$11:$E$15,5,0),""))</f>
        <v/>
      </c>
      <c r="F4444" s="79" t="str">
        <f t="shared" si="347"/>
        <v/>
      </c>
      <c r="G4444" s="101"/>
      <c r="H4444" s="91">
        <f t="shared" si="348"/>
        <v>0</v>
      </c>
      <c r="I4444" s="91" t="str">
        <f t="shared" si="349"/>
        <v/>
      </c>
      <c r="J4444" s="91" t="str">
        <f t="shared" si="350"/>
        <v/>
      </c>
      <c r="K4444" s="92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2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58"/>
      <c r="U4444" s="217" t="str">
        <f t="shared" si="351"/>
        <v/>
      </c>
      <c r="V4444" s="215" t="s">
        <v>47</v>
      </c>
      <c r="W4444" s="102" t="s">
        <v>136</v>
      </c>
      <c r="X4444" s="102" t="s">
        <v>137</v>
      </c>
      <c r="Y4444" s="103" t="s">
        <v>138</v>
      </c>
      <c r="Z4444" s="103" t="s">
        <v>139</v>
      </c>
      <c r="AA4444" s="103" t="s">
        <v>47</v>
      </c>
      <c r="AB4444" s="103" t="s">
        <v>140</v>
      </c>
      <c r="AC4444" s="104" t="s">
        <v>141</v>
      </c>
    </row>
    <row r="4445" spans="1:29" ht="25.5" customHeight="1" x14ac:dyDescent="0.35">
      <c r="A4445" s="188"/>
      <c r="B4445" s="190"/>
      <c r="C4445" s="99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0"/>
      <c r="E4445" s="78" t="str">
        <f>IF(C4445="","",IFERROR(VLOOKUP(C4445,parametros!$A$11:$E$15,5,0),""))</f>
        <v/>
      </c>
      <c r="F4445" s="79" t="str">
        <f t="shared" si="347"/>
        <v/>
      </c>
      <c r="G4445" s="101"/>
      <c r="H4445" s="91">
        <f t="shared" si="348"/>
        <v>0</v>
      </c>
      <c r="I4445" s="91" t="str">
        <f t="shared" si="349"/>
        <v/>
      </c>
      <c r="J4445" s="91" t="str">
        <f t="shared" si="350"/>
        <v/>
      </c>
      <c r="K4445" s="92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2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58"/>
      <c r="U4445" s="217" t="str">
        <f t="shared" si="351"/>
        <v/>
      </c>
      <c r="V4445" s="215" t="s">
        <v>47</v>
      </c>
      <c r="W4445" s="102" t="s">
        <v>136</v>
      </c>
      <c r="X4445" s="102" t="s">
        <v>137</v>
      </c>
      <c r="Y4445" s="103" t="s">
        <v>138</v>
      </c>
      <c r="Z4445" s="103" t="s">
        <v>139</v>
      </c>
      <c r="AA4445" s="103" t="s">
        <v>47</v>
      </c>
      <c r="AB4445" s="103" t="s">
        <v>140</v>
      </c>
      <c r="AC4445" s="104" t="s">
        <v>141</v>
      </c>
    </row>
    <row r="4446" spans="1:29" ht="25.5" customHeight="1" x14ac:dyDescent="0.35">
      <c r="A4446" s="188"/>
      <c r="B4446" s="190"/>
      <c r="C4446" s="99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0"/>
      <c r="E4446" s="78" t="str">
        <f>IF(C4446="","",IFERROR(VLOOKUP(C4446,parametros!$A$11:$E$15,5,0),""))</f>
        <v/>
      </c>
      <c r="F4446" s="79" t="str">
        <f t="shared" si="347"/>
        <v/>
      </c>
      <c r="G4446" s="101"/>
      <c r="H4446" s="91">
        <f t="shared" si="348"/>
        <v>0</v>
      </c>
      <c r="I4446" s="91" t="str">
        <f t="shared" si="349"/>
        <v/>
      </c>
      <c r="J4446" s="91" t="str">
        <f t="shared" si="350"/>
        <v/>
      </c>
      <c r="K4446" s="92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2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58"/>
      <c r="U4446" s="217" t="str">
        <f t="shared" si="351"/>
        <v/>
      </c>
      <c r="V4446" s="215" t="s">
        <v>47</v>
      </c>
      <c r="W4446" s="102" t="s">
        <v>136</v>
      </c>
      <c r="X4446" s="102" t="s">
        <v>137</v>
      </c>
      <c r="Y4446" s="103" t="s">
        <v>138</v>
      </c>
      <c r="Z4446" s="103" t="s">
        <v>139</v>
      </c>
      <c r="AA4446" s="103" t="s">
        <v>47</v>
      </c>
      <c r="AB4446" s="103" t="s">
        <v>140</v>
      </c>
      <c r="AC4446" s="104" t="s">
        <v>141</v>
      </c>
    </row>
    <row r="4447" spans="1:29" ht="25.5" customHeight="1" x14ac:dyDescent="0.35">
      <c r="A4447" s="188"/>
      <c r="B4447" s="190"/>
      <c r="C4447" s="99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0"/>
      <c r="E4447" s="78" t="str">
        <f>IF(C4447="","",IFERROR(VLOOKUP(C4447,parametros!$A$11:$E$15,5,0),""))</f>
        <v/>
      </c>
      <c r="F4447" s="79" t="str">
        <f t="shared" si="347"/>
        <v/>
      </c>
      <c r="G4447" s="101"/>
      <c r="H4447" s="91">
        <f t="shared" si="348"/>
        <v>0</v>
      </c>
      <c r="I4447" s="91" t="str">
        <f t="shared" si="349"/>
        <v/>
      </c>
      <c r="J4447" s="91" t="str">
        <f t="shared" si="350"/>
        <v/>
      </c>
      <c r="K4447" s="92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2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58"/>
      <c r="U4447" s="217" t="str">
        <f t="shared" si="351"/>
        <v/>
      </c>
      <c r="V4447" s="215" t="s">
        <v>47</v>
      </c>
      <c r="W4447" s="102" t="s">
        <v>136</v>
      </c>
      <c r="X4447" s="102" t="s">
        <v>137</v>
      </c>
      <c r="Y4447" s="103" t="s">
        <v>138</v>
      </c>
      <c r="Z4447" s="103" t="s">
        <v>139</v>
      </c>
      <c r="AA4447" s="103" t="s">
        <v>47</v>
      </c>
      <c r="AB4447" s="103" t="s">
        <v>140</v>
      </c>
      <c r="AC4447" s="104" t="s">
        <v>141</v>
      </c>
    </row>
    <row r="4448" spans="1:29" ht="25.5" customHeight="1" x14ac:dyDescent="0.35">
      <c r="A4448" s="188"/>
      <c r="B4448" s="190"/>
      <c r="C4448" s="99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0"/>
      <c r="E4448" s="78" t="str">
        <f>IF(C4448="","",IFERROR(VLOOKUP(C4448,parametros!$A$11:$E$15,5,0),""))</f>
        <v/>
      </c>
      <c r="F4448" s="79" t="str">
        <f t="shared" si="347"/>
        <v/>
      </c>
      <c r="G4448" s="101"/>
      <c r="H4448" s="91">
        <f t="shared" si="348"/>
        <v>0</v>
      </c>
      <c r="I4448" s="91" t="str">
        <f t="shared" si="349"/>
        <v/>
      </c>
      <c r="J4448" s="91" t="str">
        <f t="shared" si="350"/>
        <v/>
      </c>
      <c r="K4448" s="92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2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58"/>
      <c r="U4448" s="217" t="str">
        <f t="shared" si="351"/>
        <v/>
      </c>
      <c r="V4448" s="215" t="s">
        <v>47</v>
      </c>
      <c r="W4448" s="102" t="s">
        <v>136</v>
      </c>
      <c r="X4448" s="102" t="s">
        <v>137</v>
      </c>
      <c r="Y4448" s="103" t="s">
        <v>138</v>
      </c>
      <c r="Z4448" s="103" t="s">
        <v>139</v>
      </c>
      <c r="AA4448" s="103" t="s">
        <v>47</v>
      </c>
      <c r="AB4448" s="103" t="s">
        <v>140</v>
      </c>
      <c r="AC4448" s="104" t="s">
        <v>141</v>
      </c>
    </row>
    <row r="4449" spans="1:29" ht="25.5" customHeight="1" x14ac:dyDescent="0.35">
      <c r="A4449" s="188"/>
      <c r="B4449" s="190"/>
      <c r="C4449" s="99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0"/>
      <c r="E4449" s="78" t="str">
        <f>IF(C4449="","",IFERROR(VLOOKUP(C4449,parametros!$A$11:$E$15,5,0),""))</f>
        <v/>
      </c>
      <c r="F4449" s="79" t="str">
        <f t="shared" si="347"/>
        <v/>
      </c>
      <c r="G4449" s="101"/>
      <c r="H4449" s="91">
        <f t="shared" si="348"/>
        <v>0</v>
      </c>
      <c r="I4449" s="91" t="str">
        <f t="shared" si="349"/>
        <v/>
      </c>
      <c r="J4449" s="91" t="str">
        <f t="shared" si="350"/>
        <v/>
      </c>
      <c r="K4449" s="92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2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58"/>
      <c r="U4449" s="217" t="str">
        <f t="shared" si="351"/>
        <v/>
      </c>
      <c r="V4449" s="215" t="s">
        <v>47</v>
      </c>
      <c r="W4449" s="102" t="s">
        <v>136</v>
      </c>
      <c r="X4449" s="102" t="s">
        <v>137</v>
      </c>
      <c r="Y4449" s="103" t="s">
        <v>138</v>
      </c>
      <c r="Z4449" s="103" t="s">
        <v>139</v>
      </c>
      <c r="AA4449" s="103" t="s">
        <v>47</v>
      </c>
      <c r="AB4449" s="103" t="s">
        <v>140</v>
      </c>
      <c r="AC4449" s="104" t="s">
        <v>141</v>
      </c>
    </row>
    <row r="4450" spans="1:29" ht="25.5" customHeight="1" x14ac:dyDescent="0.35">
      <c r="A4450" s="188"/>
      <c r="B4450" s="190"/>
      <c r="C4450" s="99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0"/>
      <c r="E4450" s="78" t="str">
        <f>IF(C4450="","",IFERROR(VLOOKUP(C4450,parametros!$A$11:$E$15,5,0),""))</f>
        <v/>
      </c>
      <c r="F4450" s="79" t="str">
        <f t="shared" si="347"/>
        <v/>
      </c>
      <c r="G4450" s="101"/>
      <c r="H4450" s="91">
        <f t="shared" si="348"/>
        <v>0</v>
      </c>
      <c r="I4450" s="91" t="str">
        <f t="shared" si="349"/>
        <v/>
      </c>
      <c r="J4450" s="91" t="str">
        <f t="shared" si="350"/>
        <v/>
      </c>
      <c r="K4450" s="92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2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58"/>
      <c r="U4450" s="217" t="str">
        <f t="shared" si="351"/>
        <v/>
      </c>
      <c r="V4450" s="215" t="s">
        <v>47</v>
      </c>
      <c r="W4450" s="102" t="s">
        <v>136</v>
      </c>
      <c r="X4450" s="102" t="s">
        <v>137</v>
      </c>
      <c r="Y4450" s="103" t="s">
        <v>138</v>
      </c>
      <c r="Z4450" s="103" t="s">
        <v>139</v>
      </c>
      <c r="AA4450" s="103" t="s">
        <v>47</v>
      </c>
      <c r="AB4450" s="103" t="s">
        <v>140</v>
      </c>
      <c r="AC4450" s="104" t="s">
        <v>141</v>
      </c>
    </row>
    <row r="4451" spans="1:29" ht="25.5" customHeight="1" x14ac:dyDescent="0.35">
      <c r="A4451" s="188"/>
      <c r="B4451" s="190"/>
      <c r="C4451" s="99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0"/>
      <c r="E4451" s="78" t="str">
        <f>IF(C4451="","",IFERROR(VLOOKUP(C4451,parametros!$A$11:$E$15,5,0),""))</f>
        <v/>
      </c>
      <c r="F4451" s="79" t="str">
        <f t="shared" si="347"/>
        <v/>
      </c>
      <c r="G4451" s="101"/>
      <c r="H4451" s="91">
        <f t="shared" si="348"/>
        <v>0</v>
      </c>
      <c r="I4451" s="91" t="str">
        <f t="shared" si="349"/>
        <v/>
      </c>
      <c r="J4451" s="91" t="str">
        <f t="shared" si="350"/>
        <v/>
      </c>
      <c r="K4451" s="92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2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58"/>
      <c r="U4451" s="217" t="str">
        <f t="shared" si="351"/>
        <v/>
      </c>
      <c r="V4451" s="215" t="s">
        <v>47</v>
      </c>
      <c r="W4451" s="102" t="s">
        <v>136</v>
      </c>
      <c r="X4451" s="102" t="s">
        <v>137</v>
      </c>
      <c r="Y4451" s="103" t="s">
        <v>138</v>
      </c>
      <c r="Z4451" s="103" t="s">
        <v>139</v>
      </c>
      <c r="AA4451" s="103" t="s">
        <v>47</v>
      </c>
      <c r="AB4451" s="103" t="s">
        <v>140</v>
      </c>
      <c r="AC4451" s="104" t="s">
        <v>141</v>
      </c>
    </row>
    <row r="4452" spans="1:29" ht="25.5" customHeight="1" x14ac:dyDescent="0.35">
      <c r="A4452" s="188"/>
      <c r="B4452" s="190"/>
      <c r="C4452" s="99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0"/>
      <c r="E4452" s="78" t="str">
        <f>IF(C4452="","",IFERROR(VLOOKUP(C4452,parametros!$A$11:$E$15,5,0),""))</f>
        <v/>
      </c>
      <c r="F4452" s="79" t="str">
        <f t="shared" si="347"/>
        <v/>
      </c>
      <c r="G4452" s="101"/>
      <c r="H4452" s="91">
        <f t="shared" si="348"/>
        <v>0</v>
      </c>
      <c r="I4452" s="91" t="str">
        <f t="shared" si="349"/>
        <v/>
      </c>
      <c r="J4452" s="91" t="str">
        <f t="shared" si="350"/>
        <v/>
      </c>
      <c r="K4452" s="92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2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58"/>
      <c r="U4452" s="217" t="str">
        <f t="shared" si="351"/>
        <v/>
      </c>
      <c r="V4452" s="215" t="s">
        <v>47</v>
      </c>
      <c r="W4452" s="102" t="s">
        <v>136</v>
      </c>
      <c r="X4452" s="102" t="s">
        <v>137</v>
      </c>
      <c r="Y4452" s="103" t="s">
        <v>138</v>
      </c>
      <c r="Z4452" s="103" t="s">
        <v>139</v>
      </c>
      <c r="AA4452" s="103" t="s">
        <v>47</v>
      </c>
      <c r="AB4452" s="103" t="s">
        <v>140</v>
      </c>
      <c r="AC4452" s="104" t="s">
        <v>141</v>
      </c>
    </row>
    <row r="4453" spans="1:29" ht="25.5" customHeight="1" x14ac:dyDescent="0.35">
      <c r="A4453" s="188"/>
      <c r="B4453" s="190"/>
      <c r="C4453" s="99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0"/>
      <c r="E4453" s="78" t="str">
        <f>IF(C4453="","",IFERROR(VLOOKUP(C4453,parametros!$A$11:$E$15,5,0),""))</f>
        <v/>
      </c>
      <c r="F4453" s="79" t="str">
        <f t="shared" si="347"/>
        <v/>
      </c>
      <c r="G4453" s="101"/>
      <c r="H4453" s="91">
        <f t="shared" si="348"/>
        <v>0</v>
      </c>
      <c r="I4453" s="91" t="str">
        <f t="shared" si="349"/>
        <v/>
      </c>
      <c r="J4453" s="91" t="str">
        <f t="shared" si="350"/>
        <v/>
      </c>
      <c r="K4453" s="92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2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58"/>
      <c r="U4453" s="217" t="str">
        <f t="shared" si="351"/>
        <v/>
      </c>
      <c r="V4453" s="215" t="s">
        <v>47</v>
      </c>
      <c r="W4453" s="102" t="s">
        <v>136</v>
      </c>
      <c r="X4453" s="102" t="s">
        <v>137</v>
      </c>
      <c r="Y4453" s="103" t="s">
        <v>138</v>
      </c>
      <c r="Z4453" s="103" t="s">
        <v>139</v>
      </c>
      <c r="AA4453" s="103" t="s">
        <v>47</v>
      </c>
      <c r="AB4453" s="103" t="s">
        <v>140</v>
      </c>
      <c r="AC4453" s="104" t="s">
        <v>141</v>
      </c>
    </row>
    <row r="4454" spans="1:29" ht="25.5" customHeight="1" x14ac:dyDescent="0.35">
      <c r="A4454" s="188"/>
      <c r="B4454" s="190"/>
      <c r="C4454" s="99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0"/>
      <c r="E4454" s="78" t="str">
        <f>IF(C4454="","",IFERROR(VLOOKUP(C4454,parametros!$A$11:$E$15,5,0),""))</f>
        <v/>
      </c>
      <c r="F4454" s="79" t="str">
        <f t="shared" si="347"/>
        <v/>
      </c>
      <c r="G4454" s="101"/>
      <c r="H4454" s="91">
        <f t="shared" si="348"/>
        <v>0</v>
      </c>
      <c r="I4454" s="91" t="str">
        <f t="shared" si="349"/>
        <v/>
      </c>
      <c r="J4454" s="91" t="str">
        <f t="shared" si="350"/>
        <v/>
      </c>
      <c r="K4454" s="92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2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58"/>
      <c r="U4454" s="217" t="str">
        <f t="shared" si="351"/>
        <v/>
      </c>
      <c r="V4454" s="215" t="s">
        <v>47</v>
      </c>
      <c r="W4454" s="102" t="s">
        <v>136</v>
      </c>
      <c r="X4454" s="102" t="s">
        <v>137</v>
      </c>
      <c r="Y4454" s="103" t="s">
        <v>138</v>
      </c>
      <c r="Z4454" s="103" t="s">
        <v>139</v>
      </c>
      <c r="AA4454" s="103" t="s">
        <v>47</v>
      </c>
      <c r="AB4454" s="103" t="s">
        <v>140</v>
      </c>
      <c r="AC4454" s="104" t="s">
        <v>141</v>
      </c>
    </row>
    <row r="4455" spans="1:29" ht="25.5" customHeight="1" x14ac:dyDescent="0.35">
      <c r="A4455" s="188"/>
      <c r="B4455" s="190"/>
      <c r="C4455" s="99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0"/>
      <c r="E4455" s="78" t="str">
        <f>IF(C4455="","",IFERROR(VLOOKUP(C4455,parametros!$A$11:$E$15,5,0),""))</f>
        <v/>
      </c>
      <c r="F4455" s="79" t="str">
        <f t="shared" si="347"/>
        <v/>
      </c>
      <c r="G4455" s="101"/>
      <c r="H4455" s="91">
        <f t="shared" si="348"/>
        <v>0</v>
      </c>
      <c r="I4455" s="91" t="str">
        <f t="shared" si="349"/>
        <v/>
      </c>
      <c r="J4455" s="91" t="str">
        <f t="shared" si="350"/>
        <v/>
      </c>
      <c r="K4455" s="92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2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58"/>
      <c r="U4455" s="217" t="str">
        <f t="shared" si="351"/>
        <v/>
      </c>
      <c r="V4455" s="215" t="s">
        <v>47</v>
      </c>
      <c r="W4455" s="102" t="s">
        <v>136</v>
      </c>
      <c r="X4455" s="102" t="s">
        <v>137</v>
      </c>
      <c r="Y4455" s="103" t="s">
        <v>138</v>
      </c>
      <c r="Z4455" s="103" t="s">
        <v>139</v>
      </c>
      <c r="AA4455" s="103" t="s">
        <v>47</v>
      </c>
      <c r="AB4455" s="103" t="s">
        <v>140</v>
      </c>
      <c r="AC4455" s="104" t="s">
        <v>141</v>
      </c>
    </row>
    <row r="4456" spans="1:29" ht="25.5" customHeight="1" x14ac:dyDescent="0.35">
      <c r="A4456" s="188"/>
      <c r="B4456" s="190"/>
      <c r="C4456" s="99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0"/>
      <c r="E4456" s="78" t="str">
        <f>IF(C4456="","",IFERROR(VLOOKUP(C4456,parametros!$A$11:$E$15,5,0),""))</f>
        <v/>
      </c>
      <c r="F4456" s="79" t="str">
        <f t="shared" si="347"/>
        <v/>
      </c>
      <c r="G4456" s="101"/>
      <c r="H4456" s="91">
        <f t="shared" si="348"/>
        <v>0</v>
      </c>
      <c r="I4456" s="91" t="str">
        <f t="shared" si="349"/>
        <v/>
      </c>
      <c r="J4456" s="91" t="str">
        <f t="shared" si="350"/>
        <v/>
      </c>
      <c r="K4456" s="92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2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58"/>
      <c r="U4456" s="217" t="str">
        <f t="shared" si="351"/>
        <v/>
      </c>
      <c r="V4456" s="215" t="s">
        <v>47</v>
      </c>
      <c r="W4456" s="102" t="s">
        <v>136</v>
      </c>
      <c r="X4456" s="102" t="s">
        <v>137</v>
      </c>
      <c r="Y4456" s="103" t="s">
        <v>138</v>
      </c>
      <c r="Z4456" s="103" t="s">
        <v>139</v>
      </c>
      <c r="AA4456" s="103" t="s">
        <v>47</v>
      </c>
      <c r="AB4456" s="103" t="s">
        <v>140</v>
      </c>
      <c r="AC4456" s="104" t="s">
        <v>141</v>
      </c>
    </row>
    <row r="4457" spans="1:29" ht="25.5" customHeight="1" x14ac:dyDescent="0.35">
      <c r="A4457" s="188"/>
      <c r="B4457" s="190"/>
      <c r="C4457" s="99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0"/>
      <c r="E4457" s="78" t="str">
        <f>IF(C4457="","",IFERROR(VLOOKUP(C4457,parametros!$A$11:$E$15,5,0),""))</f>
        <v/>
      </c>
      <c r="F4457" s="79" t="str">
        <f t="shared" si="347"/>
        <v/>
      </c>
      <c r="G4457" s="101"/>
      <c r="H4457" s="91">
        <f t="shared" si="348"/>
        <v>0</v>
      </c>
      <c r="I4457" s="91" t="str">
        <f t="shared" si="349"/>
        <v/>
      </c>
      <c r="J4457" s="91" t="str">
        <f t="shared" si="350"/>
        <v/>
      </c>
      <c r="K4457" s="92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2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58"/>
      <c r="U4457" s="217" t="str">
        <f t="shared" si="351"/>
        <v/>
      </c>
      <c r="V4457" s="215" t="s">
        <v>47</v>
      </c>
      <c r="W4457" s="102" t="s">
        <v>136</v>
      </c>
      <c r="X4457" s="102" t="s">
        <v>137</v>
      </c>
      <c r="Y4457" s="103" t="s">
        <v>138</v>
      </c>
      <c r="Z4457" s="103" t="s">
        <v>139</v>
      </c>
      <c r="AA4457" s="103" t="s">
        <v>47</v>
      </c>
      <c r="AB4457" s="103" t="s">
        <v>140</v>
      </c>
      <c r="AC4457" s="104" t="s">
        <v>141</v>
      </c>
    </row>
    <row r="4458" spans="1:29" ht="25.5" customHeight="1" x14ac:dyDescent="0.35">
      <c r="A4458" s="188"/>
      <c r="B4458" s="190"/>
      <c r="C4458" s="99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0"/>
      <c r="E4458" s="78" t="str">
        <f>IF(C4458="","",IFERROR(VLOOKUP(C4458,parametros!$A$11:$E$15,5,0),""))</f>
        <v/>
      </c>
      <c r="F4458" s="79" t="str">
        <f t="shared" si="347"/>
        <v/>
      </c>
      <c r="G4458" s="101"/>
      <c r="H4458" s="91">
        <f t="shared" si="348"/>
        <v>0</v>
      </c>
      <c r="I4458" s="91" t="str">
        <f t="shared" si="349"/>
        <v/>
      </c>
      <c r="J4458" s="91" t="str">
        <f t="shared" si="350"/>
        <v/>
      </c>
      <c r="K4458" s="92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2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58"/>
      <c r="U4458" s="217" t="str">
        <f t="shared" si="351"/>
        <v/>
      </c>
      <c r="V4458" s="215" t="s">
        <v>47</v>
      </c>
      <c r="W4458" s="102" t="s">
        <v>136</v>
      </c>
      <c r="X4458" s="102" t="s">
        <v>137</v>
      </c>
      <c r="Y4458" s="103" t="s">
        <v>138</v>
      </c>
      <c r="Z4458" s="103" t="s">
        <v>139</v>
      </c>
      <c r="AA4458" s="103" t="s">
        <v>47</v>
      </c>
      <c r="AB4458" s="103" t="s">
        <v>140</v>
      </c>
      <c r="AC4458" s="104" t="s">
        <v>141</v>
      </c>
    </row>
    <row r="4459" spans="1:29" ht="25.5" customHeight="1" x14ac:dyDescent="0.35">
      <c r="A4459" s="188"/>
      <c r="B4459" s="190"/>
      <c r="C4459" s="99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0"/>
      <c r="E4459" s="78" t="str">
        <f>IF(C4459="","",IFERROR(VLOOKUP(C4459,parametros!$A$11:$E$15,5,0),""))</f>
        <v/>
      </c>
      <c r="F4459" s="79" t="str">
        <f t="shared" si="347"/>
        <v/>
      </c>
      <c r="G4459" s="101"/>
      <c r="H4459" s="91">
        <f t="shared" si="348"/>
        <v>0</v>
      </c>
      <c r="I4459" s="91" t="str">
        <f t="shared" si="349"/>
        <v/>
      </c>
      <c r="J4459" s="91" t="str">
        <f t="shared" si="350"/>
        <v/>
      </c>
      <c r="K4459" s="92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2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58"/>
      <c r="U4459" s="217" t="str">
        <f t="shared" si="351"/>
        <v/>
      </c>
      <c r="V4459" s="215" t="s">
        <v>47</v>
      </c>
      <c r="W4459" s="102" t="s">
        <v>136</v>
      </c>
      <c r="X4459" s="102" t="s">
        <v>137</v>
      </c>
      <c r="Y4459" s="103" t="s">
        <v>138</v>
      </c>
      <c r="Z4459" s="103" t="s">
        <v>139</v>
      </c>
      <c r="AA4459" s="103" t="s">
        <v>47</v>
      </c>
      <c r="AB4459" s="103" t="s">
        <v>140</v>
      </c>
      <c r="AC4459" s="104" t="s">
        <v>141</v>
      </c>
    </row>
    <row r="4460" spans="1:29" ht="25.5" customHeight="1" x14ac:dyDescent="0.35">
      <c r="A4460" s="188"/>
      <c r="B4460" s="190"/>
      <c r="C4460" s="99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0"/>
      <c r="E4460" s="78" t="str">
        <f>IF(C4460="","",IFERROR(VLOOKUP(C4460,parametros!$A$11:$E$15,5,0),""))</f>
        <v/>
      </c>
      <c r="F4460" s="79" t="str">
        <f t="shared" si="347"/>
        <v/>
      </c>
      <c r="G4460" s="101"/>
      <c r="H4460" s="91">
        <f t="shared" si="348"/>
        <v>0</v>
      </c>
      <c r="I4460" s="91" t="str">
        <f t="shared" si="349"/>
        <v/>
      </c>
      <c r="J4460" s="91" t="str">
        <f t="shared" si="350"/>
        <v/>
      </c>
      <c r="K4460" s="92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2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58"/>
      <c r="U4460" s="217" t="str">
        <f t="shared" si="351"/>
        <v/>
      </c>
      <c r="V4460" s="215" t="s">
        <v>47</v>
      </c>
      <c r="W4460" s="102" t="s">
        <v>136</v>
      </c>
      <c r="X4460" s="102" t="s">
        <v>137</v>
      </c>
      <c r="Y4460" s="103" t="s">
        <v>138</v>
      </c>
      <c r="Z4460" s="103" t="s">
        <v>139</v>
      </c>
      <c r="AA4460" s="103" t="s">
        <v>47</v>
      </c>
      <c r="AB4460" s="103" t="s">
        <v>140</v>
      </c>
      <c r="AC4460" s="104" t="s">
        <v>141</v>
      </c>
    </row>
    <row r="4461" spans="1:29" ht="25.5" customHeight="1" x14ac:dyDescent="0.35">
      <c r="A4461" s="188"/>
      <c r="B4461" s="190"/>
      <c r="C4461" s="99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0"/>
      <c r="E4461" s="78" t="str">
        <f>IF(C4461="","",IFERROR(VLOOKUP(C4461,parametros!$A$11:$E$15,5,0),""))</f>
        <v/>
      </c>
      <c r="F4461" s="79" t="str">
        <f t="shared" si="347"/>
        <v/>
      </c>
      <c r="G4461" s="101"/>
      <c r="H4461" s="91">
        <f t="shared" si="348"/>
        <v>0</v>
      </c>
      <c r="I4461" s="91" t="str">
        <f t="shared" si="349"/>
        <v/>
      </c>
      <c r="J4461" s="91" t="str">
        <f t="shared" si="350"/>
        <v/>
      </c>
      <c r="K4461" s="92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2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58"/>
      <c r="U4461" s="217" t="str">
        <f t="shared" si="351"/>
        <v/>
      </c>
      <c r="V4461" s="215" t="s">
        <v>47</v>
      </c>
      <c r="W4461" s="102" t="s">
        <v>136</v>
      </c>
      <c r="X4461" s="102" t="s">
        <v>137</v>
      </c>
      <c r="Y4461" s="103" t="s">
        <v>138</v>
      </c>
      <c r="Z4461" s="103" t="s">
        <v>139</v>
      </c>
      <c r="AA4461" s="103" t="s">
        <v>47</v>
      </c>
      <c r="AB4461" s="103" t="s">
        <v>140</v>
      </c>
      <c r="AC4461" s="104" t="s">
        <v>141</v>
      </c>
    </row>
    <row r="4462" spans="1:29" ht="25.5" customHeight="1" x14ac:dyDescent="0.35">
      <c r="A4462" s="188"/>
      <c r="B4462" s="190"/>
      <c r="C4462" s="99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0"/>
      <c r="E4462" s="78" t="str">
        <f>IF(C4462="","",IFERROR(VLOOKUP(C4462,parametros!$A$11:$E$15,5,0),""))</f>
        <v/>
      </c>
      <c r="F4462" s="79" t="str">
        <f t="shared" si="347"/>
        <v/>
      </c>
      <c r="G4462" s="101"/>
      <c r="H4462" s="91">
        <f t="shared" si="348"/>
        <v>0</v>
      </c>
      <c r="I4462" s="91" t="str">
        <f t="shared" si="349"/>
        <v/>
      </c>
      <c r="J4462" s="91" t="str">
        <f t="shared" si="350"/>
        <v/>
      </c>
      <c r="K4462" s="92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2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58"/>
      <c r="U4462" s="217" t="str">
        <f t="shared" si="351"/>
        <v/>
      </c>
      <c r="V4462" s="215" t="s">
        <v>47</v>
      </c>
      <c r="W4462" s="102" t="s">
        <v>136</v>
      </c>
      <c r="X4462" s="102" t="s">
        <v>137</v>
      </c>
      <c r="Y4462" s="103" t="s">
        <v>138</v>
      </c>
      <c r="Z4462" s="103" t="s">
        <v>139</v>
      </c>
      <c r="AA4462" s="103" t="s">
        <v>47</v>
      </c>
      <c r="AB4462" s="103" t="s">
        <v>140</v>
      </c>
      <c r="AC4462" s="104" t="s">
        <v>141</v>
      </c>
    </row>
    <row r="4463" spans="1:29" ht="25.5" customHeight="1" x14ac:dyDescent="0.35">
      <c r="A4463" s="188"/>
      <c r="B4463" s="190"/>
      <c r="C4463" s="99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0"/>
      <c r="E4463" s="78" t="str">
        <f>IF(C4463="","",IFERROR(VLOOKUP(C4463,parametros!$A$11:$E$15,5,0),""))</f>
        <v/>
      </c>
      <c r="F4463" s="79" t="str">
        <f t="shared" si="347"/>
        <v/>
      </c>
      <c r="G4463" s="101"/>
      <c r="H4463" s="91">
        <f t="shared" si="348"/>
        <v>0</v>
      </c>
      <c r="I4463" s="91" t="str">
        <f t="shared" si="349"/>
        <v/>
      </c>
      <c r="J4463" s="91" t="str">
        <f t="shared" si="350"/>
        <v/>
      </c>
      <c r="K4463" s="92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2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58"/>
      <c r="U4463" s="217" t="str">
        <f t="shared" si="351"/>
        <v/>
      </c>
      <c r="V4463" s="215" t="s">
        <v>47</v>
      </c>
      <c r="W4463" s="102" t="s">
        <v>136</v>
      </c>
      <c r="X4463" s="102" t="s">
        <v>137</v>
      </c>
      <c r="Y4463" s="103" t="s">
        <v>138</v>
      </c>
      <c r="Z4463" s="103" t="s">
        <v>139</v>
      </c>
      <c r="AA4463" s="103" t="s">
        <v>47</v>
      </c>
      <c r="AB4463" s="103" t="s">
        <v>140</v>
      </c>
      <c r="AC4463" s="104" t="s">
        <v>141</v>
      </c>
    </row>
    <row r="4464" spans="1:29" ht="25.5" customHeight="1" x14ac:dyDescent="0.35">
      <c r="A4464" s="188"/>
      <c r="B4464" s="190"/>
      <c r="C4464" s="99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0"/>
      <c r="E4464" s="78" t="str">
        <f>IF(C4464="","",IFERROR(VLOOKUP(C4464,parametros!$A$11:$E$15,5,0),""))</f>
        <v/>
      </c>
      <c r="F4464" s="79" t="str">
        <f t="shared" si="347"/>
        <v/>
      </c>
      <c r="G4464" s="101"/>
      <c r="H4464" s="91">
        <f t="shared" si="348"/>
        <v>0</v>
      </c>
      <c r="I4464" s="91" t="str">
        <f t="shared" si="349"/>
        <v/>
      </c>
      <c r="J4464" s="91" t="str">
        <f t="shared" si="350"/>
        <v/>
      </c>
      <c r="K4464" s="92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2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58"/>
      <c r="U4464" s="217" t="str">
        <f t="shared" si="351"/>
        <v/>
      </c>
      <c r="V4464" s="215" t="s">
        <v>47</v>
      </c>
      <c r="W4464" s="102" t="s">
        <v>136</v>
      </c>
      <c r="X4464" s="102" t="s">
        <v>137</v>
      </c>
      <c r="Y4464" s="103" t="s">
        <v>138</v>
      </c>
      <c r="Z4464" s="103" t="s">
        <v>139</v>
      </c>
      <c r="AA4464" s="103" t="s">
        <v>47</v>
      </c>
      <c r="AB4464" s="103" t="s">
        <v>140</v>
      </c>
      <c r="AC4464" s="104" t="s">
        <v>141</v>
      </c>
    </row>
    <row r="4465" spans="1:29" ht="25.5" customHeight="1" x14ac:dyDescent="0.35">
      <c r="A4465" s="188"/>
      <c r="B4465" s="190"/>
      <c r="C4465" s="99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0"/>
      <c r="E4465" s="78" t="str">
        <f>IF(C4465="","",IFERROR(VLOOKUP(C4465,parametros!$A$11:$E$15,5,0),""))</f>
        <v/>
      </c>
      <c r="F4465" s="79" t="str">
        <f t="shared" si="347"/>
        <v/>
      </c>
      <c r="G4465" s="101"/>
      <c r="H4465" s="91">
        <f t="shared" si="348"/>
        <v>0</v>
      </c>
      <c r="I4465" s="91" t="str">
        <f t="shared" si="349"/>
        <v/>
      </c>
      <c r="J4465" s="91" t="str">
        <f t="shared" si="350"/>
        <v/>
      </c>
      <c r="K4465" s="92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2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58"/>
      <c r="U4465" s="217" t="str">
        <f t="shared" si="351"/>
        <v/>
      </c>
      <c r="V4465" s="215" t="s">
        <v>47</v>
      </c>
      <c r="W4465" s="102" t="s">
        <v>136</v>
      </c>
      <c r="X4465" s="102" t="s">
        <v>137</v>
      </c>
      <c r="Y4465" s="103" t="s">
        <v>138</v>
      </c>
      <c r="Z4465" s="103" t="s">
        <v>139</v>
      </c>
      <c r="AA4465" s="103" t="s">
        <v>47</v>
      </c>
      <c r="AB4465" s="103" t="s">
        <v>140</v>
      </c>
      <c r="AC4465" s="104" t="s">
        <v>141</v>
      </c>
    </row>
    <row r="4466" spans="1:29" ht="25.5" customHeight="1" x14ac:dyDescent="0.35">
      <c r="A4466" s="188"/>
      <c r="B4466" s="190"/>
      <c r="C4466" s="99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0"/>
      <c r="E4466" s="78" t="str">
        <f>IF(C4466="","",IFERROR(VLOOKUP(C4466,parametros!$A$11:$E$15,5,0),""))</f>
        <v/>
      </c>
      <c r="F4466" s="79" t="str">
        <f t="shared" si="347"/>
        <v/>
      </c>
      <c r="G4466" s="101"/>
      <c r="H4466" s="91">
        <f t="shared" si="348"/>
        <v>0</v>
      </c>
      <c r="I4466" s="91" t="str">
        <f t="shared" si="349"/>
        <v/>
      </c>
      <c r="J4466" s="91" t="str">
        <f t="shared" si="350"/>
        <v/>
      </c>
      <c r="K4466" s="92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2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58"/>
      <c r="U4466" s="217" t="str">
        <f t="shared" si="351"/>
        <v/>
      </c>
      <c r="V4466" s="215" t="s">
        <v>47</v>
      </c>
      <c r="W4466" s="102" t="s">
        <v>136</v>
      </c>
      <c r="X4466" s="102" t="s">
        <v>137</v>
      </c>
      <c r="Y4466" s="103" t="s">
        <v>138</v>
      </c>
      <c r="Z4466" s="103" t="s">
        <v>139</v>
      </c>
      <c r="AA4466" s="103" t="s">
        <v>47</v>
      </c>
      <c r="AB4466" s="103" t="s">
        <v>140</v>
      </c>
      <c r="AC4466" s="104" t="s">
        <v>141</v>
      </c>
    </row>
    <row r="4467" spans="1:29" ht="25.5" customHeight="1" x14ac:dyDescent="0.35">
      <c r="A4467" s="188"/>
      <c r="B4467" s="190"/>
      <c r="C4467" s="99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0"/>
      <c r="E4467" s="78" t="str">
        <f>IF(C4467="","",IFERROR(VLOOKUP(C4467,parametros!$A$11:$E$15,5,0),""))</f>
        <v/>
      </c>
      <c r="F4467" s="79" t="str">
        <f t="shared" si="347"/>
        <v/>
      </c>
      <c r="G4467" s="101"/>
      <c r="H4467" s="91">
        <f t="shared" si="348"/>
        <v>0</v>
      </c>
      <c r="I4467" s="91" t="str">
        <f t="shared" si="349"/>
        <v/>
      </c>
      <c r="J4467" s="91" t="str">
        <f t="shared" si="350"/>
        <v/>
      </c>
      <c r="K4467" s="92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2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58"/>
      <c r="U4467" s="217" t="str">
        <f t="shared" si="351"/>
        <v/>
      </c>
      <c r="V4467" s="215" t="s">
        <v>47</v>
      </c>
      <c r="W4467" s="102" t="s">
        <v>136</v>
      </c>
      <c r="X4467" s="102" t="s">
        <v>137</v>
      </c>
      <c r="Y4467" s="103" t="s">
        <v>138</v>
      </c>
      <c r="Z4467" s="103" t="s">
        <v>139</v>
      </c>
      <c r="AA4467" s="103" t="s">
        <v>47</v>
      </c>
      <c r="AB4467" s="103" t="s">
        <v>140</v>
      </c>
      <c r="AC4467" s="104" t="s">
        <v>141</v>
      </c>
    </row>
    <row r="4468" spans="1:29" ht="25.5" customHeight="1" x14ac:dyDescent="0.35">
      <c r="A4468" s="188"/>
      <c r="B4468" s="190"/>
      <c r="C4468" s="99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0"/>
      <c r="E4468" s="78" t="str">
        <f>IF(C4468="","",IFERROR(VLOOKUP(C4468,parametros!$A$11:$E$15,5,0),""))</f>
        <v/>
      </c>
      <c r="F4468" s="79" t="str">
        <f t="shared" si="347"/>
        <v/>
      </c>
      <c r="G4468" s="101"/>
      <c r="H4468" s="91">
        <f t="shared" si="348"/>
        <v>0</v>
      </c>
      <c r="I4468" s="91" t="str">
        <f t="shared" si="349"/>
        <v/>
      </c>
      <c r="J4468" s="91" t="str">
        <f t="shared" si="350"/>
        <v/>
      </c>
      <c r="K4468" s="92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2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58"/>
      <c r="U4468" s="217" t="str">
        <f t="shared" si="351"/>
        <v/>
      </c>
      <c r="V4468" s="215" t="s">
        <v>47</v>
      </c>
      <c r="W4468" s="102" t="s">
        <v>136</v>
      </c>
      <c r="X4468" s="102" t="s">
        <v>137</v>
      </c>
      <c r="Y4468" s="103" t="s">
        <v>138</v>
      </c>
      <c r="Z4468" s="103" t="s">
        <v>139</v>
      </c>
      <c r="AA4468" s="103" t="s">
        <v>47</v>
      </c>
      <c r="AB4468" s="103" t="s">
        <v>140</v>
      </c>
      <c r="AC4468" s="104" t="s">
        <v>141</v>
      </c>
    </row>
    <row r="4469" spans="1:29" ht="25.5" customHeight="1" x14ac:dyDescent="0.35">
      <c r="A4469" s="188"/>
      <c r="B4469" s="190"/>
      <c r="C4469" s="99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0"/>
      <c r="E4469" s="78" t="str">
        <f>IF(C4469="","",IFERROR(VLOOKUP(C4469,parametros!$A$11:$E$15,5,0),""))</f>
        <v/>
      </c>
      <c r="F4469" s="79" t="str">
        <f t="shared" si="347"/>
        <v/>
      </c>
      <c r="G4469" s="101"/>
      <c r="H4469" s="91">
        <f t="shared" si="348"/>
        <v>0</v>
      </c>
      <c r="I4469" s="91" t="str">
        <f t="shared" si="349"/>
        <v/>
      </c>
      <c r="J4469" s="91" t="str">
        <f t="shared" si="350"/>
        <v/>
      </c>
      <c r="K4469" s="92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2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58"/>
      <c r="U4469" s="217" t="str">
        <f t="shared" si="351"/>
        <v/>
      </c>
      <c r="V4469" s="215" t="s">
        <v>47</v>
      </c>
      <c r="W4469" s="102" t="s">
        <v>136</v>
      </c>
      <c r="X4469" s="102" t="s">
        <v>137</v>
      </c>
      <c r="Y4469" s="103" t="s">
        <v>138</v>
      </c>
      <c r="Z4469" s="103" t="s">
        <v>139</v>
      </c>
      <c r="AA4469" s="103" t="s">
        <v>47</v>
      </c>
      <c r="AB4469" s="103" t="s">
        <v>140</v>
      </c>
      <c r="AC4469" s="104" t="s">
        <v>141</v>
      </c>
    </row>
    <row r="4470" spans="1:29" ht="25.5" customHeight="1" x14ac:dyDescent="0.35">
      <c r="A4470" s="188"/>
      <c r="B4470" s="190"/>
      <c r="C4470" s="99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0"/>
      <c r="E4470" s="78" t="str">
        <f>IF(C4470="","",IFERROR(VLOOKUP(C4470,parametros!$A$11:$E$15,5,0),""))</f>
        <v/>
      </c>
      <c r="F4470" s="79" t="str">
        <f t="shared" si="347"/>
        <v/>
      </c>
      <c r="G4470" s="101"/>
      <c r="H4470" s="91">
        <f t="shared" si="348"/>
        <v>0</v>
      </c>
      <c r="I4470" s="91" t="str">
        <f t="shared" si="349"/>
        <v/>
      </c>
      <c r="J4470" s="91" t="str">
        <f t="shared" si="350"/>
        <v/>
      </c>
      <c r="K4470" s="92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2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58"/>
      <c r="U4470" s="217" t="str">
        <f t="shared" si="351"/>
        <v/>
      </c>
      <c r="V4470" s="215" t="s">
        <v>47</v>
      </c>
      <c r="W4470" s="102" t="s">
        <v>136</v>
      </c>
      <c r="X4470" s="102" t="s">
        <v>137</v>
      </c>
      <c r="Y4470" s="103" t="s">
        <v>138</v>
      </c>
      <c r="Z4470" s="103" t="s">
        <v>139</v>
      </c>
      <c r="AA4470" s="103" t="s">
        <v>47</v>
      </c>
      <c r="AB4470" s="103" t="s">
        <v>140</v>
      </c>
      <c r="AC4470" s="104" t="s">
        <v>141</v>
      </c>
    </row>
    <row r="4471" spans="1:29" ht="25.5" customHeight="1" x14ac:dyDescent="0.35">
      <c r="A4471" s="188"/>
      <c r="B4471" s="190"/>
      <c r="C4471" s="99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0"/>
      <c r="E4471" s="78" t="str">
        <f>IF(C4471="","",IFERROR(VLOOKUP(C4471,parametros!$A$11:$E$15,5,0),""))</f>
        <v/>
      </c>
      <c r="F4471" s="79" t="str">
        <f t="shared" si="347"/>
        <v/>
      </c>
      <c r="G4471" s="101"/>
      <c r="H4471" s="91">
        <f t="shared" si="348"/>
        <v>0</v>
      </c>
      <c r="I4471" s="91" t="str">
        <f t="shared" si="349"/>
        <v/>
      </c>
      <c r="J4471" s="91" t="str">
        <f t="shared" si="350"/>
        <v/>
      </c>
      <c r="K4471" s="92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2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58"/>
      <c r="U4471" s="217" t="str">
        <f t="shared" si="351"/>
        <v/>
      </c>
      <c r="V4471" s="215" t="s">
        <v>47</v>
      </c>
      <c r="W4471" s="102" t="s">
        <v>136</v>
      </c>
      <c r="X4471" s="102" t="s">
        <v>137</v>
      </c>
      <c r="Y4471" s="103" t="s">
        <v>138</v>
      </c>
      <c r="Z4471" s="103" t="s">
        <v>139</v>
      </c>
      <c r="AA4471" s="103" t="s">
        <v>47</v>
      </c>
      <c r="AB4471" s="103" t="s">
        <v>140</v>
      </c>
      <c r="AC4471" s="104" t="s">
        <v>141</v>
      </c>
    </row>
    <row r="4472" spans="1:29" ht="25.5" customHeight="1" x14ac:dyDescent="0.35">
      <c r="A4472" s="188"/>
      <c r="B4472" s="190"/>
      <c r="C4472" s="99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0"/>
      <c r="E4472" s="78" t="str">
        <f>IF(C4472="","",IFERROR(VLOOKUP(C4472,parametros!$A$11:$E$15,5,0),""))</f>
        <v/>
      </c>
      <c r="F4472" s="79" t="str">
        <f t="shared" si="347"/>
        <v/>
      </c>
      <c r="G4472" s="101"/>
      <c r="H4472" s="91">
        <f t="shared" si="348"/>
        <v>0</v>
      </c>
      <c r="I4472" s="91" t="str">
        <f t="shared" si="349"/>
        <v/>
      </c>
      <c r="J4472" s="91" t="str">
        <f t="shared" si="350"/>
        <v/>
      </c>
      <c r="K4472" s="92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2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58"/>
      <c r="U4472" s="217" t="str">
        <f t="shared" si="351"/>
        <v/>
      </c>
      <c r="V4472" s="215" t="s">
        <v>47</v>
      </c>
      <c r="W4472" s="102" t="s">
        <v>136</v>
      </c>
      <c r="X4472" s="102" t="s">
        <v>137</v>
      </c>
      <c r="Y4472" s="103" t="s">
        <v>138</v>
      </c>
      <c r="Z4472" s="103" t="s">
        <v>139</v>
      </c>
      <c r="AA4472" s="103" t="s">
        <v>47</v>
      </c>
      <c r="AB4472" s="103" t="s">
        <v>140</v>
      </c>
      <c r="AC4472" s="104" t="s">
        <v>141</v>
      </c>
    </row>
    <row r="4473" spans="1:29" ht="25.5" customHeight="1" x14ac:dyDescent="0.35">
      <c r="A4473" s="188"/>
      <c r="B4473" s="190"/>
      <c r="C4473" s="99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0"/>
      <c r="E4473" s="78" t="str">
        <f>IF(C4473="","",IFERROR(VLOOKUP(C4473,parametros!$A$11:$E$15,5,0),""))</f>
        <v/>
      </c>
      <c r="F4473" s="79" t="str">
        <f t="shared" si="347"/>
        <v/>
      </c>
      <c r="G4473" s="101"/>
      <c r="H4473" s="91">
        <f t="shared" si="348"/>
        <v>0</v>
      </c>
      <c r="I4473" s="91" t="str">
        <f t="shared" si="349"/>
        <v/>
      </c>
      <c r="J4473" s="91" t="str">
        <f t="shared" si="350"/>
        <v/>
      </c>
      <c r="K4473" s="92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2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58"/>
      <c r="U4473" s="217" t="str">
        <f t="shared" si="351"/>
        <v/>
      </c>
      <c r="V4473" s="215" t="s">
        <v>47</v>
      </c>
      <c r="W4473" s="102" t="s">
        <v>136</v>
      </c>
      <c r="X4473" s="102" t="s">
        <v>137</v>
      </c>
      <c r="Y4473" s="103" t="s">
        <v>138</v>
      </c>
      <c r="Z4473" s="103" t="s">
        <v>139</v>
      </c>
      <c r="AA4473" s="103" t="s">
        <v>47</v>
      </c>
      <c r="AB4473" s="103" t="s">
        <v>140</v>
      </c>
      <c r="AC4473" s="104" t="s">
        <v>141</v>
      </c>
    </row>
    <row r="4474" spans="1:29" ht="25.5" customHeight="1" x14ac:dyDescent="0.35">
      <c r="A4474" s="188"/>
      <c r="B4474" s="190"/>
      <c r="C4474" s="99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0"/>
      <c r="E4474" s="78" t="str">
        <f>IF(C4474="","",IFERROR(VLOOKUP(C4474,parametros!$A$11:$E$15,5,0),""))</f>
        <v/>
      </c>
      <c r="F4474" s="79" t="str">
        <f t="shared" si="347"/>
        <v/>
      </c>
      <c r="G4474" s="101"/>
      <c r="H4474" s="91">
        <f t="shared" si="348"/>
        <v>0</v>
      </c>
      <c r="I4474" s="91" t="str">
        <f t="shared" si="349"/>
        <v/>
      </c>
      <c r="J4474" s="91" t="str">
        <f t="shared" si="350"/>
        <v/>
      </c>
      <c r="K4474" s="92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2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58"/>
      <c r="U4474" s="217" t="str">
        <f t="shared" si="351"/>
        <v/>
      </c>
      <c r="V4474" s="215" t="s">
        <v>47</v>
      </c>
      <c r="W4474" s="102" t="s">
        <v>136</v>
      </c>
      <c r="X4474" s="102" t="s">
        <v>137</v>
      </c>
      <c r="Y4474" s="103" t="s">
        <v>138</v>
      </c>
      <c r="Z4474" s="103" t="s">
        <v>139</v>
      </c>
      <c r="AA4474" s="103" t="s">
        <v>47</v>
      </c>
      <c r="AB4474" s="103" t="s">
        <v>140</v>
      </c>
      <c r="AC4474" s="104" t="s">
        <v>141</v>
      </c>
    </row>
    <row r="4475" spans="1:29" ht="25.5" customHeight="1" x14ac:dyDescent="0.35">
      <c r="A4475" s="188"/>
      <c r="B4475" s="190"/>
      <c r="C4475" s="99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0"/>
      <c r="E4475" s="78" t="str">
        <f>IF(C4475="","",IFERROR(VLOOKUP(C4475,parametros!$A$11:$E$15,5,0),""))</f>
        <v/>
      </c>
      <c r="F4475" s="79" t="str">
        <f t="shared" si="347"/>
        <v/>
      </c>
      <c r="G4475" s="101"/>
      <c r="H4475" s="91">
        <f t="shared" si="348"/>
        <v>0</v>
      </c>
      <c r="I4475" s="91" t="str">
        <f t="shared" si="349"/>
        <v/>
      </c>
      <c r="J4475" s="91" t="str">
        <f t="shared" si="350"/>
        <v/>
      </c>
      <c r="K4475" s="92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2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58"/>
      <c r="U4475" s="217" t="str">
        <f t="shared" si="351"/>
        <v/>
      </c>
      <c r="V4475" s="215" t="s">
        <v>47</v>
      </c>
      <c r="W4475" s="102" t="s">
        <v>136</v>
      </c>
      <c r="X4475" s="102" t="s">
        <v>137</v>
      </c>
      <c r="Y4475" s="103" t="s">
        <v>138</v>
      </c>
      <c r="Z4475" s="103" t="s">
        <v>139</v>
      </c>
      <c r="AA4475" s="103" t="s">
        <v>47</v>
      </c>
      <c r="AB4475" s="103" t="s">
        <v>140</v>
      </c>
      <c r="AC4475" s="104" t="s">
        <v>141</v>
      </c>
    </row>
    <row r="4476" spans="1:29" ht="25.5" customHeight="1" x14ac:dyDescent="0.35">
      <c r="A4476" s="188"/>
      <c r="B4476" s="190"/>
      <c r="C4476" s="99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0"/>
      <c r="E4476" s="78" t="str">
        <f>IF(C4476="","",IFERROR(VLOOKUP(C4476,parametros!$A$11:$E$15,5,0),""))</f>
        <v/>
      </c>
      <c r="F4476" s="79" t="str">
        <f t="shared" si="347"/>
        <v/>
      </c>
      <c r="G4476" s="101"/>
      <c r="H4476" s="91">
        <f t="shared" si="348"/>
        <v>0</v>
      </c>
      <c r="I4476" s="91" t="str">
        <f t="shared" si="349"/>
        <v/>
      </c>
      <c r="J4476" s="91" t="str">
        <f t="shared" si="350"/>
        <v/>
      </c>
      <c r="K4476" s="92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2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58"/>
      <c r="U4476" s="217" t="str">
        <f t="shared" si="351"/>
        <v/>
      </c>
      <c r="V4476" s="215" t="s">
        <v>47</v>
      </c>
      <c r="W4476" s="102" t="s">
        <v>136</v>
      </c>
      <c r="X4476" s="102" t="s">
        <v>137</v>
      </c>
      <c r="Y4476" s="103" t="s">
        <v>138</v>
      </c>
      <c r="Z4476" s="103" t="s">
        <v>139</v>
      </c>
      <c r="AA4476" s="103" t="s">
        <v>47</v>
      </c>
      <c r="AB4476" s="103" t="s">
        <v>140</v>
      </c>
      <c r="AC4476" s="104" t="s">
        <v>141</v>
      </c>
    </row>
    <row r="4477" spans="1:29" ht="25.5" customHeight="1" x14ac:dyDescent="0.35">
      <c r="A4477" s="188"/>
      <c r="B4477" s="190"/>
      <c r="C4477" s="99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0"/>
      <c r="E4477" s="78" t="str">
        <f>IF(C4477="","",IFERROR(VLOOKUP(C4477,parametros!$A$11:$E$15,5,0),""))</f>
        <v/>
      </c>
      <c r="F4477" s="79" t="str">
        <f t="shared" si="347"/>
        <v/>
      </c>
      <c r="G4477" s="101"/>
      <c r="H4477" s="91">
        <f t="shared" si="348"/>
        <v>0</v>
      </c>
      <c r="I4477" s="91" t="str">
        <f t="shared" si="349"/>
        <v/>
      </c>
      <c r="J4477" s="91" t="str">
        <f t="shared" si="350"/>
        <v/>
      </c>
      <c r="K4477" s="92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2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58"/>
      <c r="U4477" s="217" t="str">
        <f t="shared" si="351"/>
        <v/>
      </c>
      <c r="V4477" s="215" t="s">
        <v>47</v>
      </c>
      <c r="W4477" s="102" t="s">
        <v>136</v>
      </c>
      <c r="X4477" s="102" t="s">
        <v>137</v>
      </c>
      <c r="Y4477" s="103" t="s">
        <v>138</v>
      </c>
      <c r="Z4477" s="103" t="s">
        <v>139</v>
      </c>
      <c r="AA4477" s="103" t="s">
        <v>47</v>
      </c>
      <c r="AB4477" s="103" t="s">
        <v>140</v>
      </c>
      <c r="AC4477" s="104" t="s">
        <v>141</v>
      </c>
    </row>
    <row r="4478" spans="1:29" ht="25.5" customHeight="1" x14ac:dyDescent="0.35">
      <c r="A4478" s="188"/>
      <c r="B4478" s="190"/>
      <c r="C4478" s="99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0"/>
      <c r="E4478" s="78" t="str">
        <f>IF(C4478="","",IFERROR(VLOOKUP(C4478,parametros!$A$11:$E$15,5,0),""))</f>
        <v/>
      </c>
      <c r="F4478" s="79" t="str">
        <f t="shared" si="347"/>
        <v/>
      </c>
      <c r="G4478" s="101"/>
      <c r="H4478" s="91">
        <f t="shared" si="348"/>
        <v>0</v>
      </c>
      <c r="I4478" s="91" t="str">
        <f t="shared" si="349"/>
        <v/>
      </c>
      <c r="J4478" s="91" t="str">
        <f t="shared" si="350"/>
        <v/>
      </c>
      <c r="K4478" s="92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2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58"/>
      <c r="U4478" s="217" t="str">
        <f t="shared" si="351"/>
        <v/>
      </c>
      <c r="V4478" s="215" t="s">
        <v>47</v>
      </c>
      <c r="W4478" s="102" t="s">
        <v>136</v>
      </c>
      <c r="X4478" s="102" t="s">
        <v>137</v>
      </c>
      <c r="Y4478" s="103" t="s">
        <v>138</v>
      </c>
      <c r="Z4478" s="103" t="s">
        <v>139</v>
      </c>
      <c r="AA4478" s="103" t="s">
        <v>47</v>
      </c>
      <c r="AB4478" s="103" t="s">
        <v>140</v>
      </c>
      <c r="AC4478" s="104" t="s">
        <v>141</v>
      </c>
    </row>
    <row r="4479" spans="1:29" ht="25.5" customHeight="1" x14ac:dyDescent="0.35">
      <c r="A4479" s="188"/>
      <c r="B4479" s="190"/>
      <c r="C4479" s="99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0"/>
      <c r="E4479" s="78" t="str">
        <f>IF(C4479="","",IFERROR(VLOOKUP(C4479,parametros!$A$11:$E$15,5,0),""))</f>
        <v/>
      </c>
      <c r="F4479" s="79" t="str">
        <f t="shared" si="347"/>
        <v/>
      </c>
      <c r="G4479" s="101"/>
      <c r="H4479" s="91">
        <f t="shared" si="348"/>
        <v>0</v>
      </c>
      <c r="I4479" s="91" t="str">
        <f t="shared" si="349"/>
        <v/>
      </c>
      <c r="J4479" s="91" t="str">
        <f t="shared" si="350"/>
        <v/>
      </c>
      <c r="K4479" s="92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2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58"/>
      <c r="U4479" s="217" t="str">
        <f t="shared" si="351"/>
        <v/>
      </c>
      <c r="V4479" s="215" t="s">
        <v>47</v>
      </c>
      <c r="W4479" s="102" t="s">
        <v>136</v>
      </c>
      <c r="X4479" s="102" t="s">
        <v>137</v>
      </c>
      <c r="Y4479" s="103" t="s">
        <v>138</v>
      </c>
      <c r="Z4479" s="103" t="s">
        <v>139</v>
      </c>
      <c r="AA4479" s="103" t="s">
        <v>47</v>
      </c>
      <c r="AB4479" s="103" t="s">
        <v>140</v>
      </c>
      <c r="AC4479" s="104" t="s">
        <v>141</v>
      </c>
    </row>
    <row r="4480" spans="1:29" ht="25.5" customHeight="1" x14ac:dyDescent="0.35">
      <c r="A4480" s="188"/>
      <c r="B4480" s="190"/>
      <c r="C4480" s="99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0"/>
      <c r="E4480" s="78" t="str">
        <f>IF(C4480="","",IFERROR(VLOOKUP(C4480,parametros!$A$11:$E$15,5,0),""))</f>
        <v/>
      </c>
      <c r="F4480" s="79" t="str">
        <f t="shared" si="347"/>
        <v/>
      </c>
      <c r="G4480" s="101"/>
      <c r="H4480" s="91">
        <f t="shared" si="348"/>
        <v>0</v>
      </c>
      <c r="I4480" s="91" t="str">
        <f t="shared" si="349"/>
        <v/>
      </c>
      <c r="J4480" s="91" t="str">
        <f t="shared" si="350"/>
        <v/>
      </c>
      <c r="K4480" s="92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2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58"/>
      <c r="U4480" s="217" t="str">
        <f t="shared" si="351"/>
        <v/>
      </c>
      <c r="V4480" s="215" t="s">
        <v>47</v>
      </c>
      <c r="W4480" s="102" t="s">
        <v>136</v>
      </c>
      <c r="X4480" s="102" t="s">
        <v>137</v>
      </c>
      <c r="Y4480" s="103" t="s">
        <v>138</v>
      </c>
      <c r="Z4480" s="103" t="s">
        <v>139</v>
      </c>
      <c r="AA4480" s="103" t="s">
        <v>47</v>
      </c>
      <c r="AB4480" s="103" t="s">
        <v>140</v>
      </c>
      <c r="AC4480" s="104" t="s">
        <v>141</v>
      </c>
    </row>
    <row r="4481" spans="1:29" ht="25.5" customHeight="1" x14ac:dyDescent="0.35">
      <c r="A4481" s="188"/>
      <c r="B4481" s="190"/>
      <c r="C4481" s="99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0"/>
      <c r="E4481" s="78" t="str">
        <f>IF(C4481="","",IFERROR(VLOOKUP(C4481,parametros!$A$11:$E$15,5,0),""))</f>
        <v/>
      </c>
      <c r="F4481" s="79" t="str">
        <f t="shared" si="347"/>
        <v/>
      </c>
      <c r="G4481" s="101"/>
      <c r="H4481" s="91">
        <f t="shared" si="348"/>
        <v>0</v>
      </c>
      <c r="I4481" s="91" t="str">
        <f t="shared" si="349"/>
        <v/>
      </c>
      <c r="J4481" s="91" t="str">
        <f t="shared" si="350"/>
        <v/>
      </c>
      <c r="K4481" s="92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2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58"/>
      <c r="U4481" s="217" t="str">
        <f t="shared" si="351"/>
        <v/>
      </c>
      <c r="V4481" s="215" t="s">
        <v>47</v>
      </c>
      <c r="W4481" s="102" t="s">
        <v>136</v>
      </c>
      <c r="X4481" s="102" t="s">
        <v>137</v>
      </c>
      <c r="Y4481" s="103" t="s">
        <v>138</v>
      </c>
      <c r="Z4481" s="103" t="s">
        <v>139</v>
      </c>
      <c r="AA4481" s="103" t="s">
        <v>47</v>
      </c>
      <c r="AB4481" s="103" t="s">
        <v>140</v>
      </c>
      <c r="AC4481" s="104" t="s">
        <v>141</v>
      </c>
    </row>
    <row r="4482" spans="1:29" ht="25.5" customHeight="1" x14ac:dyDescent="0.35">
      <c r="A4482" s="188"/>
      <c r="B4482" s="190"/>
      <c r="C4482" s="99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0"/>
      <c r="E4482" s="78" t="str">
        <f>IF(C4482="","",IFERROR(VLOOKUP(C4482,parametros!$A$11:$E$15,5,0),""))</f>
        <v/>
      </c>
      <c r="F4482" s="79" t="str">
        <f t="shared" ref="F4482:F4545" si="352">IF(OR(D4482="",E4482=""),"",ROUND(D4482*E4482,2))</f>
        <v/>
      </c>
      <c r="G4482" s="101"/>
      <c r="H4482" s="91">
        <f t="shared" ref="H4482:H4545" si="353">IF(G4482="Sim",IF(OR(F4482="",D4482="",L4482=""),"",IF(L4482="Sim",ROUND(F4482-D4482,2),0)),0)</f>
        <v>0</v>
      </c>
      <c r="I4482" s="91" t="str">
        <f t="shared" ref="I4482:I4545" si="354">IF(G4482="Sim",0,IF(OR(F4482="",L4482=""),"",F4482))</f>
        <v/>
      </c>
      <c r="J4482" s="91" t="str">
        <f t="shared" ref="J4482:J4545" si="355">IF(G4482="Sim",0,IF(OR(F4482="",D4482="",L4482=""),"",IF(L4482="Sim",ROUND(F4482-D4482,2),0)))</f>
        <v/>
      </c>
      <c r="K4482" s="92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2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58"/>
      <c r="U4482" s="217" t="str">
        <f t="shared" ref="U4482:U4545" si="356">IF(OR($D4482="",$H4482=""),"",ROUND($D4482+$H4482,2))</f>
        <v/>
      </c>
      <c r="V4482" s="215" t="s">
        <v>47</v>
      </c>
      <c r="W4482" s="102" t="s">
        <v>136</v>
      </c>
      <c r="X4482" s="102" t="s">
        <v>137</v>
      </c>
      <c r="Y4482" s="103" t="s">
        <v>138</v>
      </c>
      <c r="Z4482" s="103" t="s">
        <v>139</v>
      </c>
      <c r="AA4482" s="103" t="s">
        <v>47</v>
      </c>
      <c r="AB4482" s="103" t="s">
        <v>140</v>
      </c>
      <c r="AC4482" s="104" t="s">
        <v>141</v>
      </c>
    </row>
    <row r="4483" spans="1:29" ht="25.5" customHeight="1" x14ac:dyDescent="0.35">
      <c r="A4483" s="188"/>
      <c r="B4483" s="190"/>
      <c r="C4483" s="99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0"/>
      <c r="E4483" s="78" t="str">
        <f>IF(C4483="","",IFERROR(VLOOKUP(C4483,parametros!$A$11:$E$15,5,0),""))</f>
        <v/>
      </c>
      <c r="F4483" s="79" t="str">
        <f t="shared" si="352"/>
        <v/>
      </c>
      <c r="G4483" s="101"/>
      <c r="H4483" s="91">
        <f t="shared" si="353"/>
        <v>0</v>
      </c>
      <c r="I4483" s="91" t="str">
        <f t="shared" si="354"/>
        <v/>
      </c>
      <c r="J4483" s="91" t="str">
        <f t="shared" si="355"/>
        <v/>
      </c>
      <c r="K4483" s="92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2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58"/>
      <c r="U4483" s="217" t="str">
        <f t="shared" si="356"/>
        <v/>
      </c>
      <c r="V4483" s="215" t="s">
        <v>47</v>
      </c>
      <c r="W4483" s="102" t="s">
        <v>136</v>
      </c>
      <c r="X4483" s="102" t="s">
        <v>137</v>
      </c>
      <c r="Y4483" s="103" t="s">
        <v>138</v>
      </c>
      <c r="Z4483" s="103" t="s">
        <v>139</v>
      </c>
      <c r="AA4483" s="103" t="s">
        <v>47</v>
      </c>
      <c r="AB4483" s="103" t="s">
        <v>140</v>
      </c>
      <c r="AC4483" s="104" t="s">
        <v>141</v>
      </c>
    </row>
    <row r="4484" spans="1:29" ht="25.5" customHeight="1" x14ac:dyDescent="0.35">
      <c r="A4484" s="188"/>
      <c r="B4484" s="190"/>
      <c r="C4484" s="99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0"/>
      <c r="E4484" s="78" t="str">
        <f>IF(C4484="","",IFERROR(VLOOKUP(C4484,parametros!$A$11:$E$15,5,0),""))</f>
        <v/>
      </c>
      <c r="F4484" s="79" t="str">
        <f t="shared" si="352"/>
        <v/>
      </c>
      <c r="G4484" s="101"/>
      <c r="H4484" s="91">
        <f t="shared" si="353"/>
        <v>0</v>
      </c>
      <c r="I4484" s="91" t="str">
        <f t="shared" si="354"/>
        <v/>
      </c>
      <c r="J4484" s="91" t="str">
        <f t="shared" si="355"/>
        <v/>
      </c>
      <c r="K4484" s="92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2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58"/>
      <c r="U4484" s="217" t="str">
        <f t="shared" si="356"/>
        <v/>
      </c>
      <c r="V4484" s="215" t="s">
        <v>47</v>
      </c>
      <c r="W4484" s="102" t="s">
        <v>136</v>
      </c>
      <c r="X4484" s="102" t="s">
        <v>137</v>
      </c>
      <c r="Y4484" s="103" t="s">
        <v>138</v>
      </c>
      <c r="Z4484" s="103" t="s">
        <v>139</v>
      </c>
      <c r="AA4484" s="103" t="s">
        <v>47</v>
      </c>
      <c r="AB4484" s="103" t="s">
        <v>140</v>
      </c>
      <c r="AC4484" s="104" t="s">
        <v>141</v>
      </c>
    </row>
    <row r="4485" spans="1:29" ht="25.5" customHeight="1" x14ac:dyDescent="0.35">
      <c r="A4485" s="188"/>
      <c r="B4485" s="190"/>
      <c r="C4485" s="99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0"/>
      <c r="E4485" s="78" t="str">
        <f>IF(C4485="","",IFERROR(VLOOKUP(C4485,parametros!$A$11:$E$15,5,0),""))</f>
        <v/>
      </c>
      <c r="F4485" s="79" t="str">
        <f t="shared" si="352"/>
        <v/>
      </c>
      <c r="G4485" s="101"/>
      <c r="H4485" s="91">
        <f t="shared" si="353"/>
        <v>0</v>
      </c>
      <c r="I4485" s="91" t="str">
        <f t="shared" si="354"/>
        <v/>
      </c>
      <c r="J4485" s="91" t="str">
        <f t="shared" si="355"/>
        <v/>
      </c>
      <c r="K4485" s="92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2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58"/>
      <c r="U4485" s="217" t="str">
        <f t="shared" si="356"/>
        <v/>
      </c>
      <c r="V4485" s="215" t="s">
        <v>47</v>
      </c>
      <c r="W4485" s="102" t="s">
        <v>136</v>
      </c>
      <c r="X4485" s="102" t="s">
        <v>137</v>
      </c>
      <c r="Y4485" s="103" t="s">
        <v>138</v>
      </c>
      <c r="Z4485" s="103" t="s">
        <v>139</v>
      </c>
      <c r="AA4485" s="103" t="s">
        <v>47</v>
      </c>
      <c r="AB4485" s="103" t="s">
        <v>140</v>
      </c>
      <c r="AC4485" s="104" t="s">
        <v>141</v>
      </c>
    </row>
    <row r="4486" spans="1:29" ht="25.5" customHeight="1" x14ac:dyDescent="0.35">
      <c r="A4486" s="188"/>
      <c r="B4486" s="190"/>
      <c r="C4486" s="99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0"/>
      <c r="E4486" s="78" t="str">
        <f>IF(C4486="","",IFERROR(VLOOKUP(C4486,parametros!$A$11:$E$15,5,0),""))</f>
        <v/>
      </c>
      <c r="F4486" s="79" t="str">
        <f t="shared" si="352"/>
        <v/>
      </c>
      <c r="G4486" s="101"/>
      <c r="H4486" s="91">
        <f t="shared" si="353"/>
        <v>0</v>
      </c>
      <c r="I4486" s="91" t="str">
        <f t="shared" si="354"/>
        <v/>
      </c>
      <c r="J4486" s="91" t="str">
        <f t="shared" si="355"/>
        <v/>
      </c>
      <c r="K4486" s="92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2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58"/>
      <c r="U4486" s="217" t="str">
        <f t="shared" si="356"/>
        <v/>
      </c>
      <c r="V4486" s="215" t="s">
        <v>47</v>
      </c>
      <c r="W4486" s="102" t="s">
        <v>136</v>
      </c>
      <c r="X4486" s="102" t="s">
        <v>137</v>
      </c>
      <c r="Y4486" s="103" t="s">
        <v>138</v>
      </c>
      <c r="Z4486" s="103" t="s">
        <v>139</v>
      </c>
      <c r="AA4486" s="103" t="s">
        <v>47</v>
      </c>
      <c r="AB4486" s="103" t="s">
        <v>140</v>
      </c>
      <c r="AC4486" s="104" t="s">
        <v>141</v>
      </c>
    </row>
    <row r="4487" spans="1:29" ht="25.5" customHeight="1" x14ac:dyDescent="0.35">
      <c r="A4487" s="188"/>
      <c r="B4487" s="190"/>
      <c r="C4487" s="99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0"/>
      <c r="E4487" s="78" t="str">
        <f>IF(C4487="","",IFERROR(VLOOKUP(C4487,parametros!$A$11:$E$15,5,0),""))</f>
        <v/>
      </c>
      <c r="F4487" s="79" t="str">
        <f t="shared" si="352"/>
        <v/>
      </c>
      <c r="G4487" s="101"/>
      <c r="H4487" s="91">
        <f t="shared" si="353"/>
        <v>0</v>
      </c>
      <c r="I4487" s="91" t="str">
        <f t="shared" si="354"/>
        <v/>
      </c>
      <c r="J4487" s="91" t="str">
        <f t="shared" si="355"/>
        <v/>
      </c>
      <c r="K4487" s="92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2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58"/>
      <c r="U4487" s="217" t="str">
        <f t="shared" si="356"/>
        <v/>
      </c>
      <c r="V4487" s="215" t="s">
        <v>47</v>
      </c>
      <c r="W4487" s="102" t="s">
        <v>136</v>
      </c>
      <c r="X4487" s="102" t="s">
        <v>137</v>
      </c>
      <c r="Y4487" s="103" t="s">
        <v>138</v>
      </c>
      <c r="Z4487" s="103" t="s">
        <v>139</v>
      </c>
      <c r="AA4487" s="103" t="s">
        <v>47</v>
      </c>
      <c r="AB4487" s="103" t="s">
        <v>140</v>
      </c>
      <c r="AC4487" s="104" t="s">
        <v>141</v>
      </c>
    </row>
    <row r="4488" spans="1:29" ht="25.5" customHeight="1" x14ac:dyDescent="0.35">
      <c r="A4488" s="188"/>
      <c r="B4488" s="190"/>
      <c r="C4488" s="99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0"/>
      <c r="E4488" s="78" t="str">
        <f>IF(C4488="","",IFERROR(VLOOKUP(C4488,parametros!$A$11:$E$15,5,0),""))</f>
        <v/>
      </c>
      <c r="F4488" s="79" t="str">
        <f t="shared" si="352"/>
        <v/>
      </c>
      <c r="G4488" s="101"/>
      <c r="H4488" s="91">
        <f t="shared" si="353"/>
        <v>0</v>
      </c>
      <c r="I4488" s="91" t="str">
        <f t="shared" si="354"/>
        <v/>
      </c>
      <c r="J4488" s="91" t="str">
        <f t="shared" si="355"/>
        <v/>
      </c>
      <c r="K4488" s="92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2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58"/>
      <c r="U4488" s="217" t="str">
        <f t="shared" si="356"/>
        <v/>
      </c>
      <c r="V4488" s="215" t="s">
        <v>47</v>
      </c>
      <c r="W4488" s="102" t="s">
        <v>136</v>
      </c>
      <c r="X4488" s="102" t="s">
        <v>137</v>
      </c>
      <c r="Y4488" s="103" t="s">
        <v>138</v>
      </c>
      <c r="Z4488" s="103" t="s">
        <v>139</v>
      </c>
      <c r="AA4488" s="103" t="s">
        <v>47</v>
      </c>
      <c r="AB4488" s="103" t="s">
        <v>140</v>
      </c>
      <c r="AC4488" s="104" t="s">
        <v>141</v>
      </c>
    </row>
    <row r="4489" spans="1:29" ht="25.5" customHeight="1" x14ac:dyDescent="0.35">
      <c r="A4489" s="188"/>
      <c r="B4489" s="190"/>
      <c r="C4489" s="99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0"/>
      <c r="E4489" s="78" t="str">
        <f>IF(C4489="","",IFERROR(VLOOKUP(C4489,parametros!$A$11:$E$15,5,0),""))</f>
        <v/>
      </c>
      <c r="F4489" s="79" t="str">
        <f t="shared" si="352"/>
        <v/>
      </c>
      <c r="G4489" s="101"/>
      <c r="H4489" s="91">
        <f t="shared" si="353"/>
        <v>0</v>
      </c>
      <c r="I4489" s="91" t="str">
        <f t="shared" si="354"/>
        <v/>
      </c>
      <c r="J4489" s="91" t="str">
        <f t="shared" si="355"/>
        <v/>
      </c>
      <c r="K4489" s="92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2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58"/>
      <c r="U4489" s="217" t="str">
        <f t="shared" si="356"/>
        <v/>
      </c>
      <c r="V4489" s="215" t="s">
        <v>47</v>
      </c>
      <c r="W4489" s="102" t="s">
        <v>136</v>
      </c>
      <c r="X4489" s="102" t="s">
        <v>137</v>
      </c>
      <c r="Y4489" s="103" t="s">
        <v>138</v>
      </c>
      <c r="Z4489" s="103" t="s">
        <v>139</v>
      </c>
      <c r="AA4489" s="103" t="s">
        <v>47</v>
      </c>
      <c r="AB4489" s="103" t="s">
        <v>140</v>
      </c>
      <c r="AC4489" s="104" t="s">
        <v>141</v>
      </c>
    </row>
    <row r="4490" spans="1:29" ht="25.5" customHeight="1" x14ac:dyDescent="0.35">
      <c r="A4490" s="188"/>
      <c r="B4490" s="190"/>
      <c r="C4490" s="99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0"/>
      <c r="E4490" s="78" t="str">
        <f>IF(C4490="","",IFERROR(VLOOKUP(C4490,parametros!$A$11:$E$15,5,0),""))</f>
        <v/>
      </c>
      <c r="F4490" s="79" t="str">
        <f t="shared" si="352"/>
        <v/>
      </c>
      <c r="G4490" s="101"/>
      <c r="H4490" s="91">
        <f t="shared" si="353"/>
        <v>0</v>
      </c>
      <c r="I4490" s="91" t="str">
        <f t="shared" si="354"/>
        <v/>
      </c>
      <c r="J4490" s="91" t="str">
        <f t="shared" si="355"/>
        <v/>
      </c>
      <c r="K4490" s="92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2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58"/>
      <c r="U4490" s="217" t="str">
        <f t="shared" si="356"/>
        <v/>
      </c>
      <c r="V4490" s="215" t="s">
        <v>47</v>
      </c>
      <c r="W4490" s="102" t="s">
        <v>136</v>
      </c>
      <c r="X4490" s="102" t="s">
        <v>137</v>
      </c>
      <c r="Y4490" s="103" t="s">
        <v>138</v>
      </c>
      <c r="Z4490" s="103" t="s">
        <v>139</v>
      </c>
      <c r="AA4490" s="103" t="s">
        <v>47</v>
      </c>
      <c r="AB4490" s="103" t="s">
        <v>140</v>
      </c>
      <c r="AC4490" s="104" t="s">
        <v>141</v>
      </c>
    </row>
    <row r="4491" spans="1:29" ht="25.5" customHeight="1" x14ac:dyDescent="0.35">
      <c r="A4491" s="188"/>
      <c r="B4491" s="190"/>
      <c r="C4491" s="99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0"/>
      <c r="E4491" s="78" t="str">
        <f>IF(C4491="","",IFERROR(VLOOKUP(C4491,parametros!$A$11:$E$15,5,0),""))</f>
        <v/>
      </c>
      <c r="F4491" s="79" t="str">
        <f t="shared" si="352"/>
        <v/>
      </c>
      <c r="G4491" s="101"/>
      <c r="H4491" s="91">
        <f t="shared" si="353"/>
        <v>0</v>
      </c>
      <c r="I4491" s="91" t="str">
        <f t="shared" si="354"/>
        <v/>
      </c>
      <c r="J4491" s="91" t="str">
        <f t="shared" si="355"/>
        <v/>
      </c>
      <c r="K4491" s="92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2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58"/>
      <c r="U4491" s="217" t="str">
        <f t="shared" si="356"/>
        <v/>
      </c>
      <c r="V4491" s="215" t="s">
        <v>47</v>
      </c>
      <c r="W4491" s="102" t="s">
        <v>136</v>
      </c>
      <c r="X4491" s="102" t="s">
        <v>137</v>
      </c>
      <c r="Y4491" s="103" t="s">
        <v>138</v>
      </c>
      <c r="Z4491" s="103" t="s">
        <v>139</v>
      </c>
      <c r="AA4491" s="103" t="s">
        <v>47</v>
      </c>
      <c r="AB4491" s="103" t="s">
        <v>140</v>
      </c>
      <c r="AC4491" s="104" t="s">
        <v>141</v>
      </c>
    </row>
    <row r="4492" spans="1:29" ht="25.5" customHeight="1" x14ac:dyDescent="0.35">
      <c r="A4492" s="188"/>
      <c r="B4492" s="190"/>
      <c r="C4492" s="99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0"/>
      <c r="E4492" s="78" t="str">
        <f>IF(C4492="","",IFERROR(VLOOKUP(C4492,parametros!$A$11:$E$15,5,0),""))</f>
        <v/>
      </c>
      <c r="F4492" s="79" t="str">
        <f t="shared" si="352"/>
        <v/>
      </c>
      <c r="G4492" s="101"/>
      <c r="H4492" s="91">
        <f t="shared" si="353"/>
        <v>0</v>
      </c>
      <c r="I4492" s="91" t="str">
        <f t="shared" si="354"/>
        <v/>
      </c>
      <c r="J4492" s="91" t="str">
        <f t="shared" si="355"/>
        <v/>
      </c>
      <c r="K4492" s="92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2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58"/>
      <c r="U4492" s="217" t="str">
        <f t="shared" si="356"/>
        <v/>
      </c>
      <c r="V4492" s="215" t="s">
        <v>47</v>
      </c>
      <c r="W4492" s="102" t="s">
        <v>136</v>
      </c>
      <c r="X4492" s="102" t="s">
        <v>137</v>
      </c>
      <c r="Y4492" s="103" t="s">
        <v>138</v>
      </c>
      <c r="Z4492" s="103" t="s">
        <v>139</v>
      </c>
      <c r="AA4492" s="103" t="s">
        <v>47</v>
      </c>
      <c r="AB4492" s="103" t="s">
        <v>140</v>
      </c>
      <c r="AC4492" s="104" t="s">
        <v>141</v>
      </c>
    </row>
    <row r="4493" spans="1:29" ht="25.5" customHeight="1" x14ac:dyDescent="0.35">
      <c r="A4493" s="188"/>
      <c r="B4493" s="190"/>
      <c r="C4493" s="99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0"/>
      <c r="E4493" s="78" t="str">
        <f>IF(C4493="","",IFERROR(VLOOKUP(C4493,parametros!$A$11:$E$15,5,0),""))</f>
        <v/>
      </c>
      <c r="F4493" s="79" t="str">
        <f t="shared" si="352"/>
        <v/>
      </c>
      <c r="G4493" s="101"/>
      <c r="H4493" s="91">
        <f t="shared" si="353"/>
        <v>0</v>
      </c>
      <c r="I4493" s="91" t="str">
        <f t="shared" si="354"/>
        <v/>
      </c>
      <c r="J4493" s="91" t="str">
        <f t="shared" si="355"/>
        <v/>
      </c>
      <c r="K4493" s="92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2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58"/>
      <c r="U4493" s="217" t="str">
        <f t="shared" si="356"/>
        <v/>
      </c>
      <c r="V4493" s="215" t="s">
        <v>47</v>
      </c>
      <c r="W4493" s="102" t="s">
        <v>136</v>
      </c>
      <c r="X4493" s="102" t="s">
        <v>137</v>
      </c>
      <c r="Y4493" s="103" t="s">
        <v>138</v>
      </c>
      <c r="Z4493" s="103" t="s">
        <v>139</v>
      </c>
      <c r="AA4493" s="103" t="s">
        <v>47</v>
      </c>
      <c r="AB4493" s="103" t="s">
        <v>140</v>
      </c>
      <c r="AC4493" s="104" t="s">
        <v>141</v>
      </c>
    </row>
    <row r="4494" spans="1:29" ht="25.5" customHeight="1" x14ac:dyDescent="0.35">
      <c r="A4494" s="188"/>
      <c r="B4494" s="190"/>
      <c r="C4494" s="99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0"/>
      <c r="E4494" s="78" t="str">
        <f>IF(C4494="","",IFERROR(VLOOKUP(C4494,parametros!$A$11:$E$15,5,0),""))</f>
        <v/>
      </c>
      <c r="F4494" s="79" t="str">
        <f t="shared" si="352"/>
        <v/>
      </c>
      <c r="G4494" s="101"/>
      <c r="H4494" s="91">
        <f t="shared" si="353"/>
        <v>0</v>
      </c>
      <c r="I4494" s="91" t="str">
        <f t="shared" si="354"/>
        <v/>
      </c>
      <c r="J4494" s="91" t="str">
        <f t="shared" si="355"/>
        <v/>
      </c>
      <c r="K4494" s="92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2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58"/>
      <c r="U4494" s="217" t="str">
        <f t="shared" si="356"/>
        <v/>
      </c>
      <c r="V4494" s="215" t="s">
        <v>47</v>
      </c>
      <c r="W4494" s="102" t="s">
        <v>136</v>
      </c>
      <c r="X4494" s="102" t="s">
        <v>137</v>
      </c>
      <c r="Y4494" s="103" t="s">
        <v>138</v>
      </c>
      <c r="Z4494" s="103" t="s">
        <v>139</v>
      </c>
      <c r="AA4494" s="103" t="s">
        <v>47</v>
      </c>
      <c r="AB4494" s="103" t="s">
        <v>140</v>
      </c>
      <c r="AC4494" s="104" t="s">
        <v>141</v>
      </c>
    </row>
    <row r="4495" spans="1:29" ht="25.5" customHeight="1" x14ac:dyDescent="0.35">
      <c r="A4495" s="188"/>
      <c r="B4495" s="190"/>
      <c r="C4495" s="99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0"/>
      <c r="E4495" s="78" t="str">
        <f>IF(C4495="","",IFERROR(VLOOKUP(C4495,parametros!$A$11:$E$15,5,0),""))</f>
        <v/>
      </c>
      <c r="F4495" s="79" t="str">
        <f t="shared" si="352"/>
        <v/>
      </c>
      <c r="G4495" s="101"/>
      <c r="H4495" s="91">
        <f t="shared" si="353"/>
        <v>0</v>
      </c>
      <c r="I4495" s="91" t="str">
        <f t="shared" si="354"/>
        <v/>
      </c>
      <c r="J4495" s="91" t="str">
        <f t="shared" si="355"/>
        <v/>
      </c>
      <c r="K4495" s="92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2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58"/>
      <c r="U4495" s="217" t="str">
        <f t="shared" si="356"/>
        <v/>
      </c>
      <c r="V4495" s="215" t="s">
        <v>47</v>
      </c>
      <c r="W4495" s="102" t="s">
        <v>136</v>
      </c>
      <c r="X4495" s="102" t="s">
        <v>137</v>
      </c>
      <c r="Y4495" s="103" t="s">
        <v>138</v>
      </c>
      <c r="Z4495" s="103" t="s">
        <v>139</v>
      </c>
      <c r="AA4495" s="103" t="s">
        <v>47</v>
      </c>
      <c r="AB4495" s="103" t="s">
        <v>140</v>
      </c>
      <c r="AC4495" s="104" t="s">
        <v>141</v>
      </c>
    </row>
    <row r="4496" spans="1:29" ht="25.5" customHeight="1" x14ac:dyDescent="0.35">
      <c r="A4496" s="188"/>
      <c r="B4496" s="190"/>
      <c r="C4496" s="99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0"/>
      <c r="E4496" s="78" t="str">
        <f>IF(C4496="","",IFERROR(VLOOKUP(C4496,parametros!$A$11:$E$15,5,0),""))</f>
        <v/>
      </c>
      <c r="F4496" s="79" t="str">
        <f t="shared" si="352"/>
        <v/>
      </c>
      <c r="G4496" s="101"/>
      <c r="H4496" s="91">
        <f t="shared" si="353"/>
        <v>0</v>
      </c>
      <c r="I4496" s="91" t="str">
        <f t="shared" si="354"/>
        <v/>
      </c>
      <c r="J4496" s="91" t="str">
        <f t="shared" si="355"/>
        <v/>
      </c>
      <c r="K4496" s="92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2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58"/>
      <c r="U4496" s="217" t="str">
        <f t="shared" si="356"/>
        <v/>
      </c>
      <c r="V4496" s="215" t="s">
        <v>47</v>
      </c>
      <c r="W4496" s="102" t="s">
        <v>136</v>
      </c>
      <c r="X4496" s="102" t="s">
        <v>137</v>
      </c>
      <c r="Y4496" s="103" t="s">
        <v>138</v>
      </c>
      <c r="Z4496" s="103" t="s">
        <v>139</v>
      </c>
      <c r="AA4496" s="103" t="s">
        <v>47</v>
      </c>
      <c r="AB4496" s="103" t="s">
        <v>140</v>
      </c>
      <c r="AC4496" s="104" t="s">
        <v>141</v>
      </c>
    </row>
    <row r="4497" spans="1:29" ht="25.5" customHeight="1" x14ac:dyDescent="0.35">
      <c r="A4497" s="188"/>
      <c r="B4497" s="190"/>
      <c r="C4497" s="99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0"/>
      <c r="E4497" s="78" t="str">
        <f>IF(C4497="","",IFERROR(VLOOKUP(C4497,parametros!$A$11:$E$15,5,0),""))</f>
        <v/>
      </c>
      <c r="F4497" s="79" t="str">
        <f t="shared" si="352"/>
        <v/>
      </c>
      <c r="G4497" s="101"/>
      <c r="H4497" s="91">
        <f t="shared" si="353"/>
        <v>0</v>
      </c>
      <c r="I4497" s="91" t="str">
        <f t="shared" si="354"/>
        <v/>
      </c>
      <c r="J4497" s="91" t="str">
        <f t="shared" si="355"/>
        <v/>
      </c>
      <c r="K4497" s="92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2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58"/>
      <c r="U4497" s="217" t="str">
        <f t="shared" si="356"/>
        <v/>
      </c>
      <c r="V4497" s="215" t="s">
        <v>47</v>
      </c>
      <c r="W4497" s="102" t="s">
        <v>136</v>
      </c>
      <c r="X4497" s="102" t="s">
        <v>137</v>
      </c>
      <c r="Y4497" s="103" t="s">
        <v>138</v>
      </c>
      <c r="Z4497" s="103" t="s">
        <v>139</v>
      </c>
      <c r="AA4497" s="103" t="s">
        <v>47</v>
      </c>
      <c r="AB4497" s="103" t="s">
        <v>140</v>
      </c>
      <c r="AC4497" s="104" t="s">
        <v>141</v>
      </c>
    </row>
    <row r="4498" spans="1:29" ht="25.5" customHeight="1" x14ac:dyDescent="0.35">
      <c r="A4498" s="188"/>
      <c r="B4498" s="190"/>
      <c r="C4498" s="99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0"/>
      <c r="E4498" s="78" t="str">
        <f>IF(C4498="","",IFERROR(VLOOKUP(C4498,parametros!$A$11:$E$15,5,0),""))</f>
        <v/>
      </c>
      <c r="F4498" s="79" t="str">
        <f t="shared" si="352"/>
        <v/>
      </c>
      <c r="G4498" s="101"/>
      <c r="H4498" s="91">
        <f t="shared" si="353"/>
        <v>0</v>
      </c>
      <c r="I4498" s="91" t="str">
        <f t="shared" si="354"/>
        <v/>
      </c>
      <c r="J4498" s="91" t="str">
        <f t="shared" si="355"/>
        <v/>
      </c>
      <c r="K4498" s="92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2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58"/>
      <c r="U4498" s="217" t="str">
        <f t="shared" si="356"/>
        <v/>
      </c>
      <c r="V4498" s="215" t="s">
        <v>47</v>
      </c>
      <c r="W4498" s="102" t="s">
        <v>136</v>
      </c>
      <c r="X4498" s="102" t="s">
        <v>137</v>
      </c>
      <c r="Y4498" s="103" t="s">
        <v>138</v>
      </c>
      <c r="Z4498" s="103" t="s">
        <v>139</v>
      </c>
      <c r="AA4498" s="103" t="s">
        <v>47</v>
      </c>
      <c r="AB4498" s="103" t="s">
        <v>140</v>
      </c>
      <c r="AC4498" s="104" t="s">
        <v>141</v>
      </c>
    </row>
    <row r="4499" spans="1:29" ht="25.5" customHeight="1" x14ac:dyDescent="0.35">
      <c r="A4499" s="188"/>
      <c r="B4499" s="190"/>
      <c r="C4499" s="99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0"/>
      <c r="E4499" s="78" t="str">
        <f>IF(C4499="","",IFERROR(VLOOKUP(C4499,parametros!$A$11:$E$15,5,0),""))</f>
        <v/>
      </c>
      <c r="F4499" s="79" t="str">
        <f t="shared" si="352"/>
        <v/>
      </c>
      <c r="G4499" s="101"/>
      <c r="H4499" s="91">
        <f t="shared" si="353"/>
        <v>0</v>
      </c>
      <c r="I4499" s="91" t="str">
        <f t="shared" si="354"/>
        <v/>
      </c>
      <c r="J4499" s="91" t="str">
        <f t="shared" si="355"/>
        <v/>
      </c>
      <c r="K4499" s="92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2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58"/>
      <c r="U4499" s="217" t="str">
        <f t="shared" si="356"/>
        <v/>
      </c>
      <c r="V4499" s="215" t="s">
        <v>47</v>
      </c>
      <c r="W4499" s="102" t="s">
        <v>136</v>
      </c>
      <c r="X4499" s="102" t="s">
        <v>137</v>
      </c>
      <c r="Y4499" s="103" t="s">
        <v>138</v>
      </c>
      <c r="Z4499" s="103" t="s">
        <v>139</v>
      </c>
      <c r="AA4499" s="103" t="s">
        <v>47</v>
      </c>
      <c r="AB4499" s="103" t="s">
        <v>140</v>
      </c>
      <c r="AC4499" s="104" t="s">
        <v>141</v>
      </c>
    </row>
    <row r="4500" spans="1:29" ht="25.5" customHeight="1" x14ac:dyDescent="0.35">
      <c r="A4500" s="188"/>
      <c r="B4500" s="190"/>
      <c r="C4500" s="99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0"/>
      <c r="E4500" s="78" t="str">
        <f>IF(C4500="","",IFERROR(VLOOKUP(C4500,parametros!$A$11:$E$15,5,0),""))</f>
        <v/>
      </c>
      <c r="F4500" s="79" t="str">
        <f t="shared" si="352"/>
        <v/>
      </c>
      <c r="G4500" s="101"/>
      <c r="H4500" s="91">
        <f t="shared" si="353"/>
        <v>0</v>
      </c>
      <c r="I4500" s="91" t="str">
        <f t="shared" si="354"/>
        <v/>
      </c>
      <c r="J4500" s="91" t="str">
        <f t="shared" si="355"/>
        <v/>
      </c>
      <c r="K4500" s="92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2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58"/>
      <c r="U4500" s="217" t="str">
        <f t="shared" si="356"/>
        <v/>
      </c>
      <c r="V4500" s="215" t="s">
        <v>47</v>
      </c>
      <c r="W4500" s="102" t="s">
        <v>136</v>
      </c>
      <c r="X4500" s="102" t="s">
        <v>137</v>
      </c>
      <c r="Y4500" s="103" t="s">
        <v>138</v>
      </c>
      <c r="Z4500" s="103" t="s">
        <v>139</v>
      </c>
      <c r="AA4500" s="103" t="s">
        <v>47</v>
      </c>
      <c r="AB4500" s="103" t="s">
        <v>140</v>
      </c>
      <c r="AC4500" s="104" t="s">
        <v>141</v>
      </c>
    </row>
    <row r="4501" spans="1:29" ht="25.5" customHeight="1" x14ac:dyDescent="0.35">
      <c r="A4501" s="188"/>
      <c r="B4501" s="190"/>
      <c r="C4501" s="99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0"/>
      <c r="E4501" s="78" t="str">
        <f>IF(C4501="","",IFERROR(VLOOKUP(C4501,parametros!$A$11:$E$15,5,0),""))</f>
        <v/>
      </c>
      <c r="F4501" s="79" t="str">
        <f t="shared" si="352"/>
        <v/>
      </c>
      <c r="G4501" s="101"/>
      <c r="H4501" s="91">
        <f t="shared" si="353"/>
        <v>0</v>
      </c>
      <c r="I4501" s="91" t="str">
        <f t="shared" si="354"/>
        <v/>
      </c>
      <c r="J4501" s="91" t="str">
        <f t="shared" si="355"/>
        <v/>
      </c>
      <c r="K4501" s="92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2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58"/>
      <c r="U4501" s="217" t="str">
        <f t="shared" si="356"/>
        <v/>
      </c>
      <c r="V4501" s="215" t="s">
        <v>47</v>
      </c>
      <c r="W4501" s="102" t="s">
        <v>136</v>
      </c>
      <c r="X4501" s="102" t="s">
        <v>137</v>
      </c>
      <c r="Y4501" s="103" t="s">
        <v>138</v>
      </c>
      <c r="Z4501" s="103" t="s">
        <v>139</v>
      </c>
      <c r="AA4501" s="103" t="s">
        <v>47</v>
      </c>
      <c r="AB4501" s="103" t="s">
        <v>140</v>
      </c>
      <c r="AC4501" s="104" t="s">
        <v>141</v>
      </c>
    </row>
    <row r="4502" spans="1:29" ht="25.5" customHeight="1" x14ac:dyDescent="0.35">
      <c r="A4502" s="188"/>
      <c r="B4502" s="190"/>
      <c r="C4502" s="99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0"/>
      <c r="E4502" s="78" t="str">
        <f>IF(C4502="","",IFERROR(VLOOKUP(C4502,parametros!$A$11:$E$15,5,0),""))</f>
        <v/>
      </c>
      <c r="F4502" s="79" t="str">
        <f t="shared" si="352"/>
        <v/>
      </c>
      <c r="G4502" s="101"/>
      <c r="H4502" s="91">
        <f t="shared" si="353"/>
        <v>0</v>
      </c>
      <c r="I4502" s="91" t="str">
        <f t="shared" si="354"/>
        <v/>
      </c>
      <c r="J4502" s="91" t="str">
        <f t="shared" si="355"/>
        <v/>
      </c>
      <c r="K4502" s="92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2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58"/>
      <c r="U4502" s="217" t="str">
        <f t="shared" si="356"/>
        <v/>
      </c>
      <c r="V4502" s="215" t="s">
        <v>47</v>
      </c>
      <c r="W4502" s="102" t="s">
        <v>136</v>
      </c>
      <c r="X4502" s="102" t="s">
        <v>137</v>
      </c>
      <c r="Y4502" s="103" t="s">
        <v>138</v>
      </c>
      <c r="Z4502" s="103" t="s">
        <v>139</v>
      </c>
      <c r="AA4502" s="103" t="s">
        <v>47</v>
      </c>
      <c r="AB4502" s="103" t="s">
        <v>140</v>
      </c>
      <c r="AC4502" s="104" t="s">
        <v>141</v>
      </c>
    </row>
    <row r="4503" spans="1:29" ht="25.5" customHeight="1" x14ac:dyDescent="0.35">
      <c r="A4503" s="188"/>
      <c r="B4503" s="190"/>
      <c r="C4503" s="99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0"/>
      <c r="E4503" s="78" t="str">
        <f>IF(C4503="","",IFERROR(VLOOKUP(C4503,parametros!$A$11:$E$15,5,0),""))</f>
        <v/>
      </c>
      <c r="F4503" s="79" t="str">
        <f t="shared" si="352"/>
        <v/>
      </c>
      <c r="G4503" s="101"/>
      <c r="H4503" s="91">
        <f t="shared" si="353"/>
        <v>0</v>
      </c>
      <c r="I4503" s="91" t="str">
        <f t="shared" si="354"/>
        <v/>
      </c>
      <c r="J4503" s="91" t="str">
        <f t="shared" si="355"/>
        <v/>
      </c>
      <c r="K4503" s="92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2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58"/>
      <c r="U4503" s="217" t="str">
        <f t="shared" si="356"/>
        <v/>
      </c>
      <c r="V4503" s="215" t="s">
        <v>47</v>
      </c>
      <c r="W4503" s="102" t="s">
        <v>136</v>
      </c>
      <c r="X4503" s="102" t="s">
        <v>137</v>
      </c>
      <c r="Y4503" s="103" t="s">
        <v>138</v>
      </c>
      <c r="Z4503" s="103" t="s">
        <v>139</v>
      </c>
      <c r="AA4503" s="103" t="s">
        <v>47</v>
      </c>
      <c r="AB4503" s="103" t="s">
        <v>140</v>
      </c>
      <c r="AC4503" s="104" t="s">
        <v>141</v>
      </c>
    </row>
    <row r="4504" spans="1:29" ht="25.5" customHeight="1" x14ac:dyDescent="0.35">
      <c r="A4504" s="188"/>
      <c r="B4504" s="190"/>
      <c r="C4504" s="99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0"/>
      <c r="E4504" s="78" t="str">
        <f>IF(C4504="","",IFERROR(VLOOKUP(C4504,parametros!$A$11:$E$15,5,0),""))</f>
        <v/>
      </c>
      <c r="F4504" s="79" t="str">
        <f t="shared" si="352"/>
        <v/>
      </c>
      <c r="G4504" s="101"/>
      <c r="H4504" s="91">
        <f t="shared" si="353"/>
        <v>0</v>
      </c>
      <c r="I4504" s="91" t="str">
        <f t="shared" si="354"/>
        <v/>
      </c>
      <c r="J4504" s="91" t="str">
        <f t="shared" si="355"/>
        <v/>
      </c>
      <c r="K4504" s="92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2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58"/>
      <c r="U4504" s="217" t="str">
        <f t="shared" si="356"/>
        <v/>
      </c>
      <c r="V4504" s="215" t="s">
        <v>47</v>
      </c>
      <c r="W4504" s="102" t="s">
        <v>136</v>
      </c>
      <c r="X4504" s="102" t="s">
        <v>137</v>
      </c>
      <c r="Y4504" s="103" t="s">
        <v>138</v>
      </c>
      <c r="Z4504" s="103" t="s">
        <v>139</v>
      </c>
      <c r="AA4504" s="103" t="s">
        <v>47</v>
      </c>
      <c r="AB4504" s="103" t="s">
        <v>140</v>
      </c>
      <c r="AC4504" s="104" t="s">
        <v>141</v>
      </c>
    </row>
    <row r="4505" spans="1:29" ht="25.5" customHeight="1" x14ac:dyDescent="0.35">
      <c r="A4505" s="188"/>
      <c r="B4505" s="190"/>
      <c r="C4505" s="99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0"/>
      <c r="E4505" s="78" t="str">
        <f>IF(C4505="","",IFERROR(VLOOKUP(C4505,parametros!$A$11:$E$15,5,0),""))</f>
        <v/>
      </c>
      <c r="F4505" s="79" t="str">
        <f t="shared" si="352"/>
        <v/>
      </c>
      <c r="G4505" s="101"/>
      <c r="H4505" s="91">
        <f t="shared" si="353"/>
        <v>0</v>
      </c>
      <c r="I4505" s="91" t="str">
        <f t="shared" si="354"/>
        <v/>
      </c>
      <c r="J4505" s="91" t="str">
        <f t="shared" si="355"/>
        <v/>
      </c>
      <c r="K4505" s="92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2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58"/>
      <c r="U4505" s="217" t="str">
        <f t="shared" si="356"/>
        <v/>
      </c>
      <c r="V4505" s="215" t="s">
        <v>47</v>
      </c>
      <c r="W4505" s="102" t="s">
        <v>136</v>
      </c>
      <c r="X4505" s="102" t="s">
        <v>137</v>
      </c>
      <c r="Y4505" s="103" t="s">
        <v>138</v>
      </c>
      <c r="Z4505" s="103" t="s">
        <v>139</v>
      </c>
      <c r="AA4505" s="103" t="s">
        <v>47</v>
      </c>
      <c r="AB4505" s="103" t="s">
        <v>140</v>
      </c>
      <c r="AC4505" s="104" t="s">
        <v>141</v>
      </c>
    </row>
    <row r="4506" spans="1:29" ht="25.5" customHeight="1" x14ac:dyDescent="0.35">
      <c r="A4506" s="188"/>
      <c r="B4506" s="190"/>
      <c r="C4506" s="99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0"/>
      <c r="E4506" s="78" t="str">
        <f>IF(C4506="","",IFERROR(VLOOKUP(C4506,parametros!$A$11:$E$15,5,0),""))</f>
        <v/>
      </c>
      <c r="F4506" s="79" t="str">
        <f t="shared" si="352"/>
        <v/>
      </c>
      <c r="G4506" s="101"/>
      <c r="H4506" s="91">
        <f t="shared" si="353"/>
        <v>0</v>
      </c>
      <c r="I4506" s="91" t="str">
        <f t="shared" si="354"/>
        <v/>
      </c>
      <c r="J4506" s="91" t="str">
        <f t="shared" si="355"/>
        <v/>
      </c>
      <c r="K4506" s="92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2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58"/>
      <c r="U4506" s="217" t="str">
        <f t="shared" si="356"/>
        <v/>
      </c>
      <c r="V4506" s="215" t="s">
        <v>47</v>
      </c>
      <c r="W4506" s="102" t="s">
        <v>136</v>
      </c>
      <c r="X4506" s="102" t="s">
        <v>137</v>
      </c>
      <c r="Y4506" s="103" t="s">
        <v>138</v>
      </c>
      <c r="Z4506" s="103" t="s">
        <v>139</v>
      </c>
      <c r="AA4506" s="103" t="s">
        <v>47</v>
      </c>
      <c r="AB4506" s="103" t="s">
        <v>140</v>
      </c>
      <c r="AC4506" s="104" t="s">
        <v>141</v>
      </c>
    </row>
    <row r="4507" spans="1:29" ht="25.5" customHeight="1" x14ac:dyDescent="0.35">
      <c r="A4507" s="188"/>
      <c r="B4507" s="190"/>
      <c r="C4507" s="99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0"/>
      <c r="E4507" s="78" t="str">
        <f>IF(C4507="","",IFERROR(VLOOKUP(C4507,parametros!$A$11:$E$15,5,0),""))</f>
        <v/>
      </c>
      <c r="F4507" s="79" t="str">
        <f t="shared" si="352"/>
        <v/>
      </c>
      <c r="G4507" s="101"/>
      <c r="H4507" s="91">
        <f t="shared" si="353"/>
        <v>0</v>
      </c>
      <c r="I4507" s="91" t="str">
        <f t="shared" si="354"/>
        <v/>
      </c>
      <c r="J4507" s="91" t="str">
        <f t="shared" si="355"/>
        <v/>
      </c>
      <c r="K4507" s="92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2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58"/>
      <c r="U4507" s="217" t="str">
        <f t="shared" si="356"/>
        <v/>
      </c>
      <c r="V4507" s="215" t="s">
        <v>47</v>
      </c>
      <c r="W4507" s="102" t="s">
        <v>136</v>
      </c>
      <c r="X4507" s="102" t="s">
        <v>137</v>
      </c>
      <c r="Y4507" s="103" t="s">
        <v>138</v>
      </c>
      <c r="Z4507" s="103" t="s">
        <v>139</v>
      </c>
      <c r="AA4507" s="103" t="s">
        <v>47</v>
      </c>
      <c r="AB4507" s="103" t="s">
        <v>140</v>
      </c>
      <c r="AC4507" s="104" t="s">
        <v>141</v>
      </c>
    </row>
    <row r="4508" spans="1:29" ht="25.5" customHeight="1" x14ac:dyDescent="0.35">
      <c r="A4508" s="188"/>
      <c r="B4508" s="190"/>
      <c r="C4508" s="99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0"/>
      <c r="E4508" s="78" t="str">
        <f>IF(C4508="","",IFERROR(VLOOKUP(C4508,parametros!$A$11:$E$15,5,0),""))</f>
        <v/>
      </c>
      <c r="F4508" s="79" t="str">
        <f t="shared" si="352"/>
        <v/>
      </c>
      <c r="G4508" s="101"/>
      <c r="H4508" s="91">
        <f t="shared" si="353"/>
        <v>0</v>
      </c>
      <c r="I4508" s="91" t="str">
        <f t="shared" si="354"/>
        <v/>
      </c>
      <c r="J4508" s="91" t="str">
        <f t="shared" si="355"/>
        <v/>
      </c>
      <c r="K4508" s="92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2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58"/>
      <c r="U4508" s="217" t="str">
        <f t="shared" si="356"/>
        <v/>
      </c>
      <c r="V4508" s="215" t="s">
        <v>47</v>
      </c>
      <c r="W4508" s="102" t="s">
        <v>136</v>
      </c>
      <c r="X4508" s="102" t="s">
        <v>137</v>
      </c>
      <c r="Y4508" s="103" t="s">
        <v>138</v>
      </c>
      <c r="Z4508" s="103" t="s">
        <v>139</v>
      </c>
      <c r="AA4508" s="103" t="s">
        <v>47</v>
      </c>
      <c r="AB4508" s="103" t="s">
        <v>140</v>
      </c>
      <c r="AC4508" s="104" t="s">
        <v>141</v>
      </c>
    </row>
    <row r="4509" spans="1:29" ht="25.5" customHeight="1" x14ac:dyDescent="0.35">
      <c r="A4509" s="188"/>
      <c r="B4509" s="190"/>
      <c r="C4509" s="99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0"/>
      <c r="E4509" s="78" t="str">
        <f>IF(C4509="","",IFERROR(VLOOKUP(C4509,parametros!$A$11:$E$15,5,0),""))</f>
        <v/>
      </c>
      <c r="F4509" s="79" t="str">
        <f t="shared" si="352"/>
        <v/>
      </c>
      <c r="G4509" s="101"/>
      <c r="H4509" s="91">
        <f t="shared" si="353"/>
        <v>0</v>
      </c>
      <c r="I4509" s="91" t="str">
        <f t="shared" si="354"/>
        <v/>
      </c>
      <c r="J4509" s="91" t="str">
        <f t="shared" si="355"/>
        <v/>
      </c>
      <c r="K4509" s="92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2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58"/>
      <c r="U4509" s="217" t="str">
        <f t="shared" si="356"/>
        <v/>
      </c>
      <c r="V4509" s="215" t="s">
        <v>47</v>
      </c>
      <c r="W4509" s="102" t="s">
        <v>136</v>
      </c>
      <c r="X4509" s="102" t="s">
        <v>137</v>
      </c>
      <c r="Y4509" s="103" t="s">
        <v>138</v>
      </c>
      <c r="Z4509" s="103" t="s">
        <v>139</v>
      </c>
      <c r="AA4509" s="103" t="s">
        <v>47</v>
      </c>
      <c r="AB4509" s="103" t="s">
        <v>140</v>
      </c>
      <c r="AC4509" s="104" t="s">
        <v>141</v>
      </c>
    </row>
    <row r="4510" spans="1:29" ht="25.5" customHeight="1" x14ac:dyDescent="0.35">
      <c r="A4510" s="188"/>
      <c r="B4510" s="190"/>
      <c r="C4510" s="99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0"/>
      <c r="E4510" s="78" t="str">
        <f>IF(C4510="","",IFERROR(VLOOKUP(C4510,parametros!$A$11:$E$15,5,0),""))</f>
        <v/>
      </c>
      <c r="F4510" s="79" t="str">
        <f t="shared" si="352"/>
        <v/>
      </c>
      <c r="G4510" s="101"/>
      <c r="H4510" s="91">
        <f t="shared" si="353"/>
        <v>0</v>
      </c>
      <c r="I4510" s="91" t="str">
        <f t="shared" si="354"/>
        <v/>
      </c>
      <c r="J4510" s="91" t="str">
        <f t="shared" si="355"/>
        <v/>
      </c>
      <c r="K4510" s="92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2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58"/>
      <c r="U4510" s="217" t="str">
        <f t="shared" si="356"/>
        <v/>
      </c>
      <c r="V4510" s="215" t="s">
        <v>47</v>
      </c>
      <c r="W4510" s="102" t="s">
        <v>136</v>
      </c>
      <c r="X4510" s="102" t="s">
        <v>137</v>
      </c>
      <c r="Y4510" s="103" t="s">
        <v>138</v>
      </c>
      <c r="Z4510" s="103" t="s">
        <v>139</v>
      </c>
      <c r="AA4510" s="103" t="s">
        <v>47</v>
      </c>
      <c r="AB4510" s="103" t="s">
        <v>140</v>
      </c>
      <c r="AC4510" s="104" t="s">
        <v>141</v>
      </c>
    </row>
    <row r="4511" spans="1:29" ht="25.5" customHeight="1" x14ac:dyDescent="0.35">
      <c r="A4511" s="188"/>
      <c r="B4511" s="190"/>
      <c r="C4511" s="99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0"/>
      <c r="E4511" s="78" t="str">
        <f>IF(C4511="","",IFERROR(VLOOKUP(C4511,parametros!$A$11:$E$15,5,0),""))</f>
        <v/>
      </c>
      <c r="F4511" s="79" t="str">
        <f t="shared" si="352"/>
        <v/>
      </c>
      <c r="G4511" s="101"/>
      <c r="H4511" s="91">
        <f t="shared" si="353"/>
        <v>0</v>
      </c>
      <c r="I4511" s="91" t="str">
        <f t="shared" si="354"/>
        <v/>
      </c>
      <c r="J4511" s="91" t="str">
        <f t="shared" si="355"/>
        <v/>
      </c>
      <c r="K4511" s="92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2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58"/>
      <c r="U4511" s="217" t="str">
        <f t="shared" si="356"/>
        <v/>
      </c>
      <c r="V4511" s="215" t="s">
        <v>47</v>
      </c>
      <c r="W4511" s="102" t="s">
        <v>136</v>
      </c>
      <c r="X4511" s="102" t="s">
        <v>137</v>
      </c>
      <c r="Y4511" s="103" t="s">
        <v>138</v>
      </c>
      <c r="Z4511" s="103" t="s">
        <v>139</v>
      </c>
      <c r="AA4511" s="103" t="s">
        <v>47</v>
      </c>
      <c r="AB4511" s="103" t="s">
        <v>140</v>
      </c>
      <c r="AC4511" s="104" t="s">
        <v>141</v>
      </c>
    </row>
    <row r="4512" spans="1:29" ht="25.5" customHeight="1" x14ac:dyDescent="0.35">
      <c r="A4512" s="188"/>
      <c r="B4512" s="190"/>
      <c r="C4512" s="99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0"/>
      <c r="E4512" s="78" t="str">
        <f>IF(C4512="","",IFERROR(VLOOKUP(C4512,parametros!$A$11:$E$15,5,0),""))</f>
        <v/>
      </c>
      <c r="F4512" s="79" t="str">
        <f t="shared" si="352"/>
        <v/>
      </c>
      <c r="G4512" s="101"/>
      <c r="H4512" s="91">
        <f t="shared" si="353"/>
        <v>0</v>
      </c>
      <c r="I4512" s="91" t="str">
        <f t="shared" si="354"/>
        <v/>
      </c>
      <c r="J4512" s="91" t="str">
        <f t="shared" si="355"/>
        <v/>
      </c>
      <c r="K4512" s="92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2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58"/>
      <c r="U4512" s="217" t="str">
        <f t="shared" si="356"/>
        <v/>
      </c>
      <c r="V4512" s="215" t="s">
        <v>47</v>
      </c>
      <c r="W4512" s="102" t="s">
        <v>136</v>
      </c>
      <c r="X4512" s="102" t="s">
        <v>137</v>
      </c>
      <c r="Y4512" s="103" t="s">
        <v>138</v>
      </c>
      <c r="Z4512" s="103" t="s">
        <v>139</v>
      </c>
      <c r="AA4512" s="103" t="s">
        <v>47</v>
      </c>
      <c r="AB4512" s="103" t="s">
        <v>140</v>
      </c>
      <c r="AC4512" s="104" t="s">
        <v>141</v>
      </c>
    </row>
    <row r="4513" spans="1:29" ht="25.5" customHeight="1" x14ac:dyDescent="0.35">
      <c r="A4513" s="188"/>
      <c r="B4513" s="190"/>
      <c r="C4513" s="99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0"/>
      <c r="E4513" s="78" t="str">
        <f>IF(C4513="","",IFERROR(VLOOKUP(C4513,parametros!$A$11:$E$15,5,0),""))</f>
        <v/>
      </c>
      <c r="F4513" s="79" t="str">
        <f t="shared" si="352"/>
        <v/>
      </c>
      <c r="G4513" s="101"/>
      <c r="H4513" s="91">
        <f t="shared" si="353"/>
        <v>0</v>
      </c>
      <c r="I4513" s="91" t="str">
        <f t="shared" si="354"/>
        <v/>
      </c>
      <c r="J4513" s="91" t="str">
        <f t="shared" si="355"/>
        <v/>
      </c>
      <c r="K4513" s="92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2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58"/>
      <c r="U4513" s="217" t="str">
        <f t="shared" si="356"/>
        <v/>
      </c>
      <c r="V4513" s="215" t="s">
        <v>47</v>
      </c>
      <c r="W4513" s="102" t="s">
        <v>136</v>
      </c>
      <c r="X4513" s="102" t="s">
        <v>137</v>
      </c>
      <c r="Y4513" s="103" t="s">
        <v>138</v>
      </c>
      <c r="Z4513" s="103" t="s">
        <v>139</v>
      </c>
      <c r="AA4513" s="103" t="s">
        <v>47</v>
      </c>
      <c r="AB4513" s="103" t="s">
        <v>140</v>
      </c>
      <c r="AC4513" s="104" t="s">
        <v>141</v>
      </c>
    </row>
    <row r="4514" spans="1:29" ht="25.5" customHeight="1" x14ac:dyDescent="0.35">
      <c r="A4514" s="188"/>
      <c r="B4514" s="190"/>
      <c r="C4514" s="99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0"/>
      <c r="E4514" s="78" t="str">
        <f>IF(C4514="","",IFERROR(VLOOKUP(C4514,parametros!$A$11:$E$15,5,0),""))</f>
        <v/>
      </c>
      <c r="F4514" s="79" t="str">
        <f t="shared" si="352"/>
        <v/>
      </c>
      <c r="G4514" s="101"/>
      <c r="H4514" s="91">
        <f t="shared" si="353"/>
        <v>0</v>
      </c>
      <c r="I4514" s="91" t="str">
        <f t="shared" si="354"/>
        <v/>
      </c>
      <c r="J4514" s="91" t="str">
        <f t="shared" si="355"/>
        <v/>
      </c>
      <c r="K4514" s="92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2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58"/>
      <c r="U4514" s="217" t="str">
        <f t="shared" si="356"/>
        <v/>
      </c>
      <c r="V4514" s="215" t="s">
        <v>47</v>
      </c>
      <c r="W4514" s="102" t="s">
        <v>136</v>
      </c>
      <c r="X4514" s="102" t="s">
        <v>137</v>
      </c>
      <c r="Y4514" s="103" t="s">
        <v>138</v>
      </c>
      <c r="Z4514" s="103" t="s">
        <v>139</v>
      </c>
      <c r="AA4514" s="103" t="s">
        <v>47</v>
      </c>
      <c r="AB4514" s="103" t="s">
        <v>140</v>
      </c>
      <c r="AC4514" s="104" t="s">
        <v>141</v>
      </c>
    </row>
    <row r="4515" spans="1:29" ht="25.5" customHeight="1" x14ac:dyDescent="0.35">
      <c r="A4515" s="188"/>
      <c r="B4515" s="190"/>
      <c r="C4515" s="99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0"/>
      <c r="E4515" s="78" t="str">
        <f>IF(C4515="","",IFERROR(VLOOKUP(C4515,parametros!$A$11:$E$15,5,0),""))</f>
        <v/>
      </c>
      <c r="F4515" s="79" t="str">
        <f t="shared" si="352"/>
        <v/>
      </c>
      <c r="G4515" s="101"/>
      <c r="H4515" s="91">
        <f t="shared" si="353"/>
        <v>0</v>
      </c>
      <c r="I4515" s="91" t="str">
        <f t="shared" si="354"/>
        <v/>
      </c>
      <c r="J4515" s="91" t="str">
        <f t="shared" si="355"/>
        <v/>
      </c>
      <c r="K4515" s="92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2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58"/>
      <c r="U4515" s="217" t="str">
        <f t="shared" si="356"/>
        <v/>
      </c>
      <c r="V4515" s="215" t="s">
        <v>47</v>
      </c>
      <c r="W4515" s="102" t="s">
        <v>136</v>
      </c>
      <c r="X4515" s="102" t="s">
        <v>137</v>
      </c>
      <c r="Y4515" s="103" t="s">
        <v>138</v>
      </c>
      <c r="Z4515" s="103" t="s">
        <v>139</v>
      </c>
      <c r="AA4515" s="103" t="s">
        <v>47</v>
      </c>
      <c r="AB4515" s="103" t="s">
        <v>140</v>
      </c>
      <c r="AC4515" s="104" t="s">
        <v>141</v>
      </c>
    </row>
    <row r="4516" spans="1:29" ht="25.5" customHeight="1" x14ac:dyDescent="0.35">
      <c r="A4516" s="188"/>
      <c r="B4516" s="190"/>
      <c r="C4516" s="99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0"/>
      <c r="E4516" s="78" t="str">
        <f>IF(C4516="","",IFERROR(VLOOKUP(C4516,parametros!$A$11:$E$15,5,0),""))</f>
        <v/>
      </c>
      <c r="F4516" s="79" t="str">
        <f t="shared" si="352"/>
        <v/>
      </c>
      <c r="G4516" s="101"/>
      <c r="H4516" s="91">
        <f t="shared" si="353"/>
        <v>0</v>
      </c>
      <c r="I4516" s="91" t="str">
        <f t="shared" si="354"/>
        <v/>
      </c>
      <c r="J4516" s="91" t="str">
        <f t="shared" si="355"/>
        <v/>
      </c>
      <c r="K4516" s="92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2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58"/>
      <c r="U4516" s="217" t="str">
        <f t="shared" si="356"/>
        <v/>
      </c>
      <c r="V4516" s="215" t="s">
        <v>47</v>
      </c>
      <c r="W4516" s="102" t="s">
        <v>136</v>
      </c>
      <c r="X4516" s="102" t="s">
        <v>137</v>
      </c>
      <c r="Y4516" s="103" t="s">
        <v>138</v>
      </c>
      <c r="Z4516" s="103" t="s">
        <v>139</v>
      </c>
      <c r="AA4516" s="103" t="s">
        <v>47</v>
      </c>
      <c r="AB4516" s="103" t="s">
        <v>140</v>
      </c>
      <c r="AC4516" s="104" t="s">
        <v>141</v>
      </c>
    </row>
    <row r="4517" spans="1:29" ht="25.5" customHeight="1" x14ac:dyDescent="0.35">
      <c r="A4517" s="188"/>
      <c r="B4517" s="190"/>
      <c r="C4517" s="99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0"/>
      <c r="E4517" s="78" t="str">
        <f>IF(C4517="","",IFERROR(VLOOKUP(C4517,parametros!$A$11:$E$15,5,0),""))</f>
        <v/>
      </c>
      <c r="F4517" s="79" t="str">
        <f t="shared" si="352"/>
        <v/>
      </c>
      <c r="G4517" s="101"/>
      <c r="H4517" s="91">
        <f t="shared" si="353"/>
        <v>0</v>
      </c>
      <c r="I4517" s="91" t="str">
        <f t="shared" si="354"/>
        <v/>
      </c>
      <c r="J4517" s="91" t="str">
        <f t="shared" si="355"/>
        <v/>
      </c>
      <c r="K4517" s="92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2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58"/>
      <c r="U4517" s="217" t="str">
        <f t="shared" si="356"/>
        <v/>
      </c>
      <c r="V4517" s="215" t="s">
        <v>47</v>
      </c>
      <c r="W4517" s="102" t="s">
        <v>136</v>
      </c>
      <c r="X4517" s="102" t="s">
        <v>137</v>
      </c>
      <c r="Y4517" s="103" t="s">
        <v>138</v>
      </c>
      <c r="Z4517" s="103" t="s">
        <v>139</v>
      </c>
      <c r="AA4517" s="103" t="s">
        <v>47</v>
      </c>
      <c r="AB4517" s="103" t="s">
        <v>140</v>
      </c>
      <c r="AC4517" s="104" t="s">
        <v>141</v>
      </c>
    </row>
    <row r="4518" spans="1:29" ht="25.5" customHeight="1" x14ac:dyDescent="0.35">
      <c r="A4518" s="188"/>
      <c r="B4518" s="190"/>
      <c r="C4518" s="99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0"/>
      <c r="E4518" s="78" t="str">
        <f>IF(C4518="","",IFERROR(VLOOKUP(C4518,parametros!$A$11:$E$15,5,0),""))</f>
        <v/>
      </c>
      <c r="F4518" s="79" t="str">
        <f t="shared" si="352"/>
        <v/>
      </c>
      <c r="G4518" s="101"/>
      <c r="H4518" s="91">
        <f t="shared" si="353"/>
        <v>0</v>
      </c>
      <c r="I4518" s="91" t="str">
        <f t="shared" si="354"/>
        <v/>
      </c>
      <c r="J4518" s="91" t="str">
        <f t="shared" si="355"/>
        <v/>
      </c>
      <c r="K4518" s="92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2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58"/>
      <c r="U4518" s="217" t="str">
        <f t="shared" si="356"/>
        <v/>
      </c>
      <c r="V4518" s="215" t="s">
        <v>47</v>
      </c>
      <c r="W4518" s="102" t="s">
        <v>136</v>
      </c>
      <c r="X4518" s="102" t="s">
        <v>137</v>
      </c>
      <c r="Y4518" s="103" t="s">
        <v>138</v>
      </c>
      <c r="Z4518" s="103" t="s">
        <v>139</v>
      </c>
      <c r="AA4518" s="103" t="s">
        <v>47</v>
      </c>
      <c r="AB4518" s="103" t="s">
        <v>140</v>
      </c>
      <c r="AC4518" s="104" t="s">
        <v>141</v>
      </c>
    </row>
    <row r="4519" spans="1:29" ht="25.5" customHeight="1" x14ac:dyDescent="0.35">
      <c r="A4519" s="188"/>
      <c r="B4519" s="190"/>
      <c r="C4519" s="99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0"/>
      <c r="E4519" s="78" t="str">
        <f>IF(C4519="","",IFERROR(VLOOKUP(C4519,parametros!$A$11:$E$15,5,0),""))</f>
        <v/>
      </c>
      <c r="F4519" s="79" t="str">
        <f t="shared" si="352"/>
        <v/>
      </c>
      <c r="G4519" s="101"/>
      <c r="H4519" s="91">
        <f t="shared" si="353"/>
        <v>0</v>
      </c>
      <c r="I4519" s="91" t="str">
        <f t="shared" si="354"/>
        <v/>
      </c>
      <c r="J4519" s="91" t="str">
        <f t="shared" si="355"/>
        <v/>
      </c>
      <c r="K4519" s="92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2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58"/>
      <c r="U4519" s="217" t="str">
        <f t="shared" si="356"/>
        <v/>
      </c>
      <c r="V4519" s="215" t="s">
        <v>47</v>
      </c>
      <c r="W4519" s="102" t="s">
        <v>136</v>
      </c>
      <c r="X4519" s="102" t="s">
        <v>137</v>
      </c>
      <c r="Y4519" s="103" t="s">
        <v>138</v>
      </c>
      <c r="Z4519" s="103" t="s">
        <v>139</v>
      </c>
      <c r="AA4519" s="103" t="s">
        <v>47</v>
      </c>
      <c r="AB4519" s="103" t="s">
        <v>140</v>
      </c>
      <c r="AC4519" s="104" t="s">
        <v>141</v>
      </c>
    </row>
    <row r="4520" spans="1:29" ht="25.5" customHeight="1" x14ac:dyDescent="0.35">
      <c r="A4520" s="188"/>
      <c r="B4520" s="190"/>
      <c r="C4520" s="99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0"/>
      <c r="E4520" s="78" t="str">
        <f>IF(C4520="","",IFERROR(VLOOKUP(C4520,parametros!$A$11:$E$15,5,0),""))</f>
        <v/>
      </c>
      <c r="F4520" s="79" t="str">
        <f t="shared" si="352"/>
        <v/>
      </c>
      <c r="G4520" s="101"/>
      <c r="H4520" s="91">
        <f t="shared" si="353"/>
        <v>0</v>
      </c>
      <c r="I4520" s="91" t="str">
        <f t="shared" si="354"/>
        <v/>
      </c>
      <c r="J4520" s="91" t="str">
        <f t="shared" si="355"/>
        <v/>
      </c>
      <c r="K4520" s="92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2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58"/>
      <c r="U4520" s="217" t="str">
        <f t="shared" si="356"/>
        <v/>
      </c>
      <c r="V4520" s="215" t="s">
        <v>47</v>
      </c>
      <c r="W4520" s="102" t="s">
        <v>136</v>
      </c>
      <c r="X4520" s="102" t="s">
        <v>137</v>
      </c>
      <c r="Y4520" s="103" t="s">
        <v>138</v>
      </c>
      <c r="Z4520" s="103" t="s">
        <v>139</v>
      </c>
      <c r="AA4520" s="103" t="s">
        <v>47</v>
      </c>
      <c r="AB4520" s="103" t="s">
        <v>140</v>
      </c>
      <c r="AC4520" s="104" t="s">
        <v>141</v>
      </c>
    </row>
    <row r="4521" spans="1:29" ht="25.5" customHeight="1" x14ac:dyDescent="0.35">
      <c r="A4521" s="188"/>
      <c r="B4521" s="190"/>
      <c r="C4521" s="99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0"/>
      <c r="E4521" s="78" t="str">
        <f>IF(C4521="","",IFERROR(VLOOKUP(C4521,parametros!$A$11:$E$15,5,0),""))</f>
        <v/>
      </c>
      <c r="F4521" s="79" t="str">
        <f t="shared" si="352"/>
        <v/>
      </c>
      <c r="G4521" s="101"/>
      <c r="H4521" s="91">
        <f t="shared" si="353"/>
        <v>0</v>
      </c>
      <c r="I4521" s="91" t="str">
        <f t="shared" si="354"/>
        <v/>
      </c>
      <c r="J4521" s="91" t="str">
        <f t="shared" si="355"/>
        <v/>
      </c>
      <c r="K4521" s="92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2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58"/>
      <c r="U4521" s="217" t="str">
        <f t="shared" si="356"/>
        <v/>
      </c>
      <c r="V4521" s="215" t="s">
        <v>47</v>
      </c>
      <c r="W4521" s="102" t="s">
        <v>136</v>
      </c>
      <c r="X4521" s="102" t="s">
        <v>137</v>
      </c>
      <c r="Y4521" s="103" t="s">
        <v>138</v>
      </c>
      <c r="Z4521" s="103" t="s">
        <v>139</v>
      </c>
      <c r="AA4521" s="103" t="s">
        <v>47</v>
      </c>
      <c r="AB4521" s="103" t="s">
        <v>140</v>
      </c>
      <c r="AC4521" s="104" t="s">
        <v>141</v>
      </c>
    </row>
    <row r="4522" spans="1:29" ht="25.5" customHeight="1" x14ac:dyDescent="0.35">
      <c r="A4522" s="188"/>
      <c r="B4522" s="190"/>
      <c r="C4522" s="99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0"/>
      <c r="E4522" s="78" t="str">
        <f>IF(C4522="","",IFERROR(VLOOKUP(C4522,parametros!$A$11:$E$15,5,0),""))</f>
        <v/>
      </c>
      <c r="F4522" s="79" t="str">
        <f t="shared" si="352"/>
        <v/>
      </c>
      <c r="G4522" s="101"/>
      <c r="H4522" s="91">
        <f t="shared" si="353"/>
        <v>0</v>
      </c>
      <c r="I4522" s="91" t="str">
        <f t="shared" si="354"/>
        <v/>
      </c>
      <c r="J4522" s="91" t="str">
        <f t="shared" si="355"/>
        <v/>
      </c>
      <c r="K4522" s="92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2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58"/>
      <c r="U4522" s="217" t="str">
        <f t="shared" si="356"/>
        <v/>
      </c>
      <c r="V4522" s="215" t="s">
        <v>47</v>
      </c>
      <c r="W4522" s="102" t="s">
        <v>136</v>
      </c>
      <c r="X4522" s="102" t="s">
        <v>137</v>
      </c>
      <c r="Y4522" s="103" t="s">
        <v>138</v>
      </c>
      <c r="Z4522" s="103" t="s">
        <v>139</v>
      </c>
      <c r="AA4522" s="103" t="s">
        <v>47</v>
      </c>
      <c r="AB4522" s="103" t="s">
        <v>140</v>
      </c>
      <c r="AC4522" s="104" t="s">
        <v>141</v>
      </c>
    </row>
    <row r="4523" spans="1:29" ht="25.5" customHeight="1" x14ac:dyDescent="0.35">
      <c r="A4523" s="188"/>
      <c r="B4523" s="190"/>
      <c r="C4523" s="99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0"/>
      <c r="E4523" s="78" t="str">
        <f>IF(C4523="","",IFERROR(VLOOKUP(C4523,parametros!$A$11:$E$15,5,0),""))</f>
        <v/>
      </c>
      <c r="F4523" s="79" t="str">
        <f t="shared" si="352"/>
        <v/>
      </c>
      <c r="G4523" s="101"/>
      <c r="H4523" s="91">
        <f t="shared" si="353"/>
        <v>0</v>
      </c>
      <c r="I4523" s="91" t="str">
        <f t="shared" si="354"/>
        <v/>
      </c>
      <c r="J4523" s="91" t="str">
        <f t="shared" si="355"/>
        <v/>
      </c>
      <c r="K4523" s="92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2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58"/>
      <c r="U4523" s="217" t="str">
        <f t="shared" si="356"/>
        <v/>
      </c>
      <c r="V4523" s="215" t="s">
        <v>47</v>
      </c>
      <c r="W4523" s="102" t="s">
        <v>136</v>
      </c>
      <c r="X4523" s="102" t="s">
        <v>137</v>
      </c>
      <c r="Y4523" s="103" t="s">
        <v>138</v>
      </c>
      <c r="Z4523" s="103" t="s">
        <v>139</v>
      </c>
      <c r="AA4523" s="103" t="s">
        <v>47</v>
      </c>
      <c r="AB4523" s="103" t="s">
        <v>140</v>
      </c>
      <c r="AC4523" s="104" t="s">
        <v>141</v>
      </c>
    </row>
    <row r="4524" spans="1:29" ht="25.5" customHeight="1" x14ac:dyDescent="0.35">
      <c r="A4524" s="188"/>
      <c r="B4524" s="190"/>
      <c r="C4524" s="99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0"/>
      <c r="E4524" s="78" t="str">
        <f>IF(C4524="","",IFERROR(VLOOKUP(C4524,parametros!$A$11:$E$15,5,0),""))</f>
        <v/>
      </c>
      <c r="F4524" s="79" t="str">
        <f t="shared" si="352"/>
        <v/>
      </c>
      <c r="G4524" s="101"/>
      <c r="H4524" s="91">
        <f t="shared" si="353"/>
        <v>0</v>
      </c>
      <c r="I4524" s="91" t="str">
        <f t="shared" si="354"/>
        <v/>
      </c>
      <c r="J4524" s="91" t="str">
        <f t="shared" si="355"/>
        <v/>
      </c>
      <c r="K4524" s="92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2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58"/>
      <c r="U4524" s="217" t="str">
        <f t="shared" si="356"/>
        <v/>
      </c>
      <c r="V4524" s="215" t="s">
        <v>47</v>
      </c>
      <c r="W4524" s="102" t="s">
        <v>136</v>
      </c>
      <c r="X4524" s="102" t="s">
        <v>137</v>
      </c>
      <c r="Y4524" s="103" t="s">
        <v>138</v>
      </c>
      <c r="Z4524" s="103" t="s">
        <v>139</v>
      </c>
      <c r="AA4524" s="103" t="s">
        <v>47</v>
      </c>
      <c r="AB4524" s="103" t="s">
        <v>140</v>
      </c>
      <c r="AC4524" s="104" t="s">
        <v>141</v>
      </c>
    </row>
    <row r="4525" spans="1:29" ht="25.5" customHeight="1" x14ac:dyDescent="0.35">
      <c r="A4525" s="188"/>
      <c r="B4525" s="190"/>
      <c r="C4525" s="99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0"/>
      <c r="E4525" s="78" t="str">
        <f>IF(C4525="","",IFERROR(VLOOKUP(C4525,parametros!$A$11:$E$15,5,0),""))</f>
        <v/>
      </c>
      <c r="F4525" s="79" t="str">
        <f t="shared" si="352"/>
        <v/>
      </c>
      <c r="G4525" s="101"/>
      <c r="H4525" s="91">
        <f t="shared" si="353"/>
        <v>0</v>
      </c>
      <c r="I4525" s="91" t="str">
        <f t="shared" si="354"/>
        <v/>
      </c>
      <c r="J4525" s="91" t="str">
        <f t="shared" si="355"/>
        <v/>
      </c>
      <c r="K4525" s="92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2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58"/>
      <c r="U4525" s="217" t="str">
        <f t="shared" si="356"/>
        <v/>
      </c>
      <c r="V4525" s="215" t="s">
        <v>47</v>
      </c>
      <c r="W4525" s="102" t="s">
        <v>136</v>
      </c>
      <c r="X4525" s="102" t="s">
        <v>137</v>
      </c>
      <c r="Y4525" s="103" t="s">
        <v>138</v>
      </c>
      <c r="Z4525" s="103" t="s">
        <v>139</v>
      </c>
      <c r="AA4525" s="103" t="s">
        <v>47</v>
      </c>
      <c r="AB4525" s="103" t="s">
        <v>140</v>
      </c>
      <c r="AC4525" s="104" t="s">
        <v>141</v>
      </c>
    </row>
    <row r="4526" spans="1:29" ht="25.5" customHeight="1" x14ac:dyDescent="0.35">
      <c r="A4526" s="188"/>
      <c r="B4526" s="190"/>
      <c r="C4526" s="99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0"/>
      <c r="E4526" s="78" t="str">
        <f>IF(C4526="","",IFERROR(VLOOKUP(C4526,parametros!$A$11:$E$15,5,0),""))</f>
        <v/>
      </c>
      <c r="F4526" s="79" t="str">
        <f t="shared" si="352"/>
        <v/>
      </c>
      <c r="G4526" s="101"/>
      <c r="H4526" s="91">
        <f t="shared" si="353"/>
        <v>0</v>
      </c>
      <c r="I4526" s="91" t="str">
        <f t="shared" si="354"/>
        <v/>
      </c>
      <c r="J4526" s="91" t="str">
        <f t="shared" si="355"/>
        <v/>
      </c>
      <c r="K4526" s="92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2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58"/>
      <c r="U4526" s="217" t="str">
        <f t="shared" si="356"/>
        <v/>
      </c>
      <c r="V4526" s="215" t="s">
        <v>47</v>
      </c>
      <c r="W4526" s="102" t="s">
        <v>136</v>
      </c>
      <c r="X4526" s="102" t="s">
        <v>137</v>
      </c>
      <c r="Y4526" s="103" t="s">
        <v>138</v>
      </c>
      <c r="Z4526" s="103" t="s">
        <v>139</v>
      </c>
      <c r="AA4526" s="103" t="s">
        <v>47</v>
      </c>
      <c r="AB4526" s="103" t="s">
        <v>140</v>
      </c>
      <c r="AC4526" s="104" t="s">
        <v>141</v>
      </c>
    </row>
    <row r="4527" spans="1:29" ht="25.5" customHeight="1" x14ac:dyDescent="0.35">
      <c r="A4527" s="188"/>
      <c r="B4527" s="190"/>
      <c r="C4527" s="99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0"/>
      <c r="E4527" s="78" t="str">
        <f>IF(C4527="","",IFERROR(VLOOKUP(C4527,parametros!$A$11:$E$15,5,0),""))</f>
        <v/>
      </c>
      <c r="F4527" s="79" t="str">
        <f t="shared" si="352"/>
        <v/>
      </c>
      <c r="G4527" s="101"/>
      <c r="H4527" s="91">
        <f t="shared" si="353"/>
        <v>0</v>
      </c>
      <c r="I4527" s="91" t="str">
        <f t="shared" si="354"/>
        <v/>
      </c>
      <c r="J4527" s="91" t="str">
        <f t="shared" si="355"/>
        <v/>
      </c>
      <c r="K4527" s="92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2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58"/>
      <c r="U4527" s="217" t="str">
        <f t="shared" si="356"/>
        <v/>
      </c>
      <c r="V4527" s="215" t="s">
        <v>47</v>
      </c>
      <c r="W4527" s="102" t="s">
        <v>136</v>
      </c>
      <c r="X4527" s="102" t="s">
        <v>137</v>
      </c>
      <c r="Y4527" s="103" t="s">
        <v>138</v>
      </c>
      <c r="Z4527" s="103" t="s">
        <v>139</v>
      </c>
      <c r="AA4527" s="103" t="s">
        <v>47</v>
      </c>
      <c r="AB4527" s="103" t="s">
        <v>140</v>
      </c>
      <c r="AC4527" s="104" t="s">
        <v>141</v>
      </c>
    </row>
    <row r="4528" spans="1:29" ht="25.5" customHeight="1" x14ac:dyDescent="0.35">
      <c r="A4528" s="188"/>
      <c r="B4528" s="190"/>
      <c r="C4528" s="99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0"/>
      <c r="E4528" s="78" t="str">
        <f>IF(C4528="","",IFERROR(VLOOKUP(C4528,parametros!$A$11:$E$15,5,0),""))</f>
        <v/>
      </c>
      <c r="F4528" s="79" t="str">
        <f t="shared" si="352"/>
        <v/>
      </c>
      <c r="G4528" s="101"/>
      <c r="H4528" s="91">
        <f t="shared" si="353"/>
        <v>0</v>
      </c>
      <c r="I4528" s="91" t="str">
        <f t="shared" si="354"/>
        <v/>
      </c>
      <c r="J4528" s="91" t="str">
        <f t="shared" si="355"/>
        <v/>
      </c>
      <c r="K4528" s="92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2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58"/>
      <c r="U4528" s="217" t="str">
        <f t="shared" si="356"/>
        <v/>
      </c>
      <c r="V4528" s="215" t="s">
        <v>47</v>
      </c>
      <c r="W4528" s="102" t="s">
        <v>136</v>
      </c>
      <c r="X4528" s="102" t="s">
        <v>137</v>
      </c>
      <c r="Y4528" s="103" t="s">
        <v>138</v>
      </c>
      <c r="Z4528" s="103" t="s">
        <v>139</v>
      </c>
      <c r="AA4528" s="103" t="s">
        <v>47</v>
      </c>
      <c r="AB4528" s="103" t="s">
        <v>140</v>
      </c>
      <c r="AC4528" s="104" t="s">
        <v>141</v>
      </c>
    </row>
    <row r="4529" spans="1:29" ht="25.5" customHeight="1" x14ac:dyDescent="0.35">
      <c r="A4529" s="188"/>
      <c r="B4529" s="190"/>
      <c r="C4529" s="99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0"/>
      <c r="E4529" s="78" t="str">
        <f>IF(C4529="","",IFERROR(VLOOKUP(C4529,parametros!$A$11:$E$15,5,0),""))</f>
        <v/>
      </c>
      <c r="F4529" s="79" t="str">
        <f t="shared" si="352"/>
        <v/>
      </c>
      <c r="G4529" s="101"/>
      <c r="H4529" s="91">
        <f t="shared" si="353"/>
        <v>0</v>
      </c>
      <c r="I4529" s="91" t="str">
        <f t="shared" si="354"/>
        <v/>
      </c>
      <c r="J4529" s="91" t="str">
        <f t="shared" si="355"/>
        <v/>
      </c>
      <c r="K4529" s="92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2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58"/>
      <c r="U4529" s="217" t="str">
        <f t="shared" si="356"/>
        <v/>
      </c>
      <c r="V4529" s="215" t="s">
        <v>47</v>
      </c>
      <c r="W4529" s="102" t="s">
        <v>136</v>
      </c>
      <c r="X4529" s="102" t="s">
        <v>137</v>
      </c>
      <c r="Y4529" s="103" t="s">
        <v>138</v>
      </c>
      <c r="Z4529" s="103" t="s">
        <v>139</v>
      </c>
      <c r="AA4529" s="103" t="s">
        <v>47</v>
      </c>
      <c r="AB4529" s="103" t="s">
        <v>140</v>
      </c>
      <c r="AC4529" s="104" t="s">
        <v>141</v>
      </c>
    </row>
    <row r="4530" spans="1:29" ht="25.5" customHeight="1" x14ac:dyDescent="0.35">
      <c r="A4530" s="188"/>
      <c r="B4530" s="190"/>
      <c r="C4530" s="99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0"/>
      <c r="E4530" s="78" t="str">
        <f>IF(C4530="","",IFERROR(VLOOKUP(C4530,parametros!$A$11:$E$15,5,0),""))</f>
        <v/>
      </c>
      <c r="F4530" s="79" t="str">
        <f t="shared" si="352"/>
        <v/>
      </c>
      <c r="G4530" s="101"/>
      <c r="H4530" s="91">
        <f t="shared" si="353"/>
        <v>0</v>
      </c>
      <c r="I4530" s="91" t="str">
        <f t="shared" si="354"/>
        <v/>
      </c>
      <c r="J4530" s="91" t="str">
        <f t="shared" si="355"/>
        <v/>
      </c>
      <c r="K4530" s="92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2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58"/>
      <c r="U4530" s="217" t="str">
        <f t="shared" si="356"/>
        <v/>
      </c>
      <c r="V4530" s="215" t="s">
        <v>47</v>
      </c>
      <c r="W4530" s="102" t="s">
        <v>136</v>
      </c>
      <c r="X4530" s="102" t="s">
        <v>137</v>
      </c>
      <c r="Y4530" s="103" t="s">
        <v>138</v>
      </c>
      <c r="Z4530" s="103" t="s">
        <v>139</v>
      </c>
      <c r="AA4530" s="103" t="s">
        <v>47</v>
      </c>
      <c r="AB4530" s="103" t="s">
        <v>140</v>
      </c>
      <c r="AC4530" s="104" t="s">
        <v>141</v>
      </c>
    </row>
    <row r="4531" spans="1:29" ht="25.5" customHeight="1" x14ac:dyDescent="0.35">
      <c r="A4531" s="188"/>
      <c r="B4531" s="190"/>
      <c r="C4531" s="99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0"/>
      <c r="E4531" s="78" t="str">
        <f>IF(C4531="","",IFERROR(VLOOKUP(C4531,parametros!$A$11:$E$15,5,0),""))</f>
        <v/>
      </c>
      <c r="F4531" s="79" t="str">
        <f t="shared" si="352"/>
        <v/>
      </c>
      <c r="G4531" s="101"/>
      <c r="H4531" s="91">
        <f t="shared" si="353"/>
        <v>0</v>
      </c>
      <c r="I4531" s="91" t="str">
        <f t="shared" si="354"/>
        <v/>
      </c>
      <c r="J4531" s="91" t="str">
        <f t="shared" si="355"/>
        <v/>
      </c>
      <c r="K4531" s="92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2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58"/>
      <c r="U4531" s="217" t="str">
        <f t="shared" si="356"/>
        <v/>
      </c>
      <c r="V4531" s="215" t="s">
        <v>47</v>
      </c>
      <c r="W4531" s="102" t="s">
        <v>136</v>
      </c>
      <c r="X4531" s="102" t="s">
        <v>137</v>
      </c>
      <c r="Y4531" s="103" t="s">
        <v>138</v>
      </c>
      <c r="Z4531" s="103" t="s">
        <v>139</v>
      </c>
      <c r="AA4531" s="103" t="s">
        <v>47</v>
      </c>
      <c r="AB4531" s="103" t="s">
        <v>140</v>
      </c>
      <c r="AC4531" s="104" t="s">
        <v>141</v>
      </c>
    </row>
    <row r="4532" spans="1:29" ht="25.5" customHeight="1" x14ac:dyDescent="0.35">
      <c r="A4532" s="188"/>
      <c r="B4532" s="190"/>
      <c r="C4532" s="99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0"/>
      <c r="E4532" s="78" t="str">
        <f>IF(C4532="","",IFERROR(VLOOKUP(C4532,parametros!$A$11:$E$15,5,0),""))</f>
        <v/>
      </c>
      <c r="F4532" s="79" t="str">
        <f t="shared" si="352"/>
        <v/>
      </c>
      <c r="G4532" s="101"/>
      <c r="H4532" s="91">
        <f t="shared" si="353"/>
        <v>0</v>
      </c>
      <c r="I4532" s="91" t="str">
        <f t="shared" si="354"/>
        <v/>
      </c>
      <c r="J4532" s="91" t="str">
        <f t="shared" si="355"/>
        <v/>
      </c>
      <c r="K4532" s="92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2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58"/>
      <c r="U4532" s="217" t="str">
        <f t="shared" si="356"/>
        <v/>
      </c>
      <c r="V4532" s="215" t="s">
        <v>47</v>
      </c>
      <c r="W4532" s="102" t="s">
        <v>136</v>
      </c>
      <c r="X4532" s="102" t="s">
        <v>137</v>
      </c>
      <c r="Y4532" s="103" t="s">
        <v>138</v>
      </c>
      <c r="Z4532" s="103" t="s">
        <v>139</v>
      </c>
      <c r="AA4532" s="103" t="s">
        <v>47</v>
      </c>
      <c r="AB4532" s="103" t="s">
        <v>140</v>
      </c>
      <c r="AC4532" s="104" t="s">
        <v>141</v>
      </c>
    </row>
    <row r="4533" spans="1:29" ht="25.5" customHeight="1" x14ac:dyDescent="0.35">
      <c r="A4533" s="188"/>
      <c r="B4533" s="190"/>
      <c r="C4533" s="99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0"/>
      <c r="E4533" s="78" t="str">
        <f>IF(C4533="","",IFERROR(VLOOKUP(C4533,parametros!$A$11:$E$15,5,0),""))</f>
        <v/>
      </c>
      <c r="F4533" s="79" t="str">
        <f t="shared" si="352"/>
        <v/>
      </c>
      <c r="G4533" s="101"/>
      <c r="H4533" s="91">
        <f t="shared" si="353"/>
        <v>0</v>
      </c>
      <c r="I4533" s="91" t="str">
        <f t="shared" si="354"/>
        <v/>
      </c>
      <c r="J4533" s="91" t="str">
        <f t="shared" si="355"/>
        <v/>
      </c>
      <c r="K4533" s="92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2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58"/>
      <c r="U4533" s="217" t="str">
        <f t="shared" si="356"/>
        <v/>
      </c>
      <c r="V4533" s="215" t="s">
        <v>47</v>
      </c>
      <c r="W4533" s="102" t="s">
        <v>136</v>
      </c>
      <c r="X4533" s="102" t="s">
        <v>137</v>
      </c>
      <c r="Y4533" s="103" t="s">
        <v>138</v>
      </c>
      <c r="Z4533" s="103" t="s">
        <v>139</v>
      </c>
      <c r="AA4533" s="103" t="s">
        <v>47</v>
      </c>
      <c r="AB4533" s="103" t="s">
        <v>140</v>
      </c>
      <c r="AC4533" s="104" t="s">
        <v>141</v>
      </c>
    </row>
    <row r="4534" spans="1:29" ht="25.5" customHeight="1" x14ac:dyDescent="0.35">
      <c r="A4534" s="188"/>
      <c r="B4534" s="190"/>
      <c r="C4534" s="99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0"/>
      <c r="E4534" s="78" t="str">
        <f>IF(C4534="","",IFERROR(VLOOKUP(C4534,parametros!$A$11:$E$15,5,0),""))</f>
        <v/>
      </c>
      <c r="F4534" s="79" t="str">
        <f t="shared" si="352"/>
        <v/>
      </c>
      <c r="G4534" s="101"/>
      <c r="H4534" s="91">
        <f t="shared" si="353"/>
        <v>0</v>
      </c>
      <c r="I4534" s="91" t="str">
        <f t="shared" si="354"/>
        <v/>
      </c>
      <c r="J4534" s="91" t="str">
        <f t="shared" si="355"/>
        <v/>
      </c>
      <c r="K4534" s="92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2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58"/>
      <c r="U4534" s="217" t="str">
        <f t="shared" si="356"/>
        <v/>
      </c>
      <c r="V4534" s="215" t="s">
        <v>47</v>
      </c>
      <c r="W4534" s="102" t="s">
        <v>136</v>
      </c>
      <c r="X4534" s="102" t="s">
        <v>137</v>
      </c>
      <c r="Y4534" s="103" t="s">
        <v>138</v>
      </c>
      <c r="Z4534" s="103" t="s">
        <v>139</v>
      </c>
      <c r="AA4534" s="103" t="s">
        <v>47</v>
      </c>
      <c r="AB4534" s="103" t="s">
        <v>140</v>
      </c>
      <c r="AC4534" s="104" t="s">
        <v>141</v>
      </c>
    </row>
    <row r="4535" spans="1:29" ht="25.5" customHeight="1" x14ac:dyDescent="0.35">
      <c r="A4535" s="188"/>
      <c r="B4535" s="190"/>
      <c r="C4535" s="99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0"/>
      <c r="E4535" s="78" t="str">
        <f>IF(C4535="","",IFERROR(VLOOKUP(C4535,parametros!$A$11:$E$15,5,0),""))</f>
        <v/>
      </c>
      <c r="F4535" s="79" t="str">
        <f t="shared" si="352"/>
        <v/>
      </c>
      <c r="G4535" s="101"/>
      <c r="H4535" s="91">
        <f t="shared" si="353"/>
        <v>0</v>
      </c>
      <c r="I4535" s="91" t="str">
        <f t="shared" si="354"/>
        <v/>
      </c>
      <c r="J4535" s="91" t="str">
        <f t="shared" si="355"/>
        <v/>
      </c>
      <c r="K4535" s="92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2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58"/>
      <c r="U4535" s="217" t="str">
        <f t="shared" si="356"/>
        <v/>
      </c>
      <c r="V4535" s="215" t="s">
        <v>47</v>
      </c>
      <c r="W4535" s="102" t="s">
        <v>136</v>
      </c>
      <c r="X4535" s="102" t="s">
        <v>137</v>
      </c>
      <c r="Y4535" s="103" t="s">
        <v>138</v>
      </c>
      <c r="Z4535" s="103" t="s">
        <v>139</v>
      </c>
      <c r="AA4535" s="103" t="s">
        <v>47</v>
      </c>
      <c r="AB4535" s="103" t="s">
        <v>140</v>
      </c>
      <c r="AC4535" s="104" t="s">
        <v>141</v>
      </c>
    </row>
    <row r="4536" spans="1:29" ht="25.5" customHeight="1" x14ac:dyDescent="0.35">
      <c r="A4536" s="188"/>
      <c r="B4536" s="190"/>
      <c r="C4536" s="99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0"/>
      <c r="E4536" s="78" t="str">
        <f>IF(C4536="","",IFERROR(VLOOKUP(C4536,parametros!$A$11:$E$15,5,0),""))</f>
        <v/>
      </c>
      <c r="F4536" s="79" t="str">
        <f t="shared" si="352"/>
        <v/>
      </c>
      <c r="G4536" s="101"/>
      <c r="H4536" s="91">
        <f t="shared" si="353"/>
        <v>0</v>
      </c>
      <c r="I4536" s="91" t="str">
        <f t="shared" si="354"/>
        <v/>
      </c>
      <c r="J4536" s="91" t="str">
        <f t="shared" si="355"/>
        <v/>
      </c>
      <c r="K4536" s="92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2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58"/>
      <c r="U4536" s="217" t="str">
        <f t="shared" si="356"/>
        <v/>
      </c>
      <c r="V4536" s="215" t="s">
        <v>47</v>
      </c>
      <c r="W4536" s="102" t="s">
        <v>136</v>
      </c>
      <c r="X4536" s="102" t="s">
        <v>137</v>
      </c>
      <c r="Y4536" s="103" t="s">
        <v>138</v>
      </c>
      <c r="Z4536" s="103" t="s">
        <v>139</v>
      </c>
      <c r="AA4536" s="103" t="s">
        <v>47</v>
      </c>
      <c r="AB4536" s="103" t="s">
        <v>140</v>
      </c>
      <c r="AC4536" s="104" t="s">
        <v>141</v>
      </c>
    </row>
    <row r="4537" spans="1:29" ht="25.5" customHeight="1" x14ac:dyDescent="0.35">
      <c r="A4537" s="188"/>
      <c r="B4537" s="190"/>
      <c r="C4537" s="99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0"/>
      <c r="E4537" s="78" t="str">
        <f>IF(C4537="","",IFERROR(VLOOKUP(C4537,parametros!$A$11:$E$15,5,0),""))</f>
        <v/>
      </c>
      <c r="F4537" s="79" t="str">
        <f t="shared" si="352"/>
        <v/>
      </c>
      <c r="G4537" s="101"/>
      <c r="H4537" s="91">
        <f t="shared" si="353"/>
        <v>0</v>
      </c>
      <c r="I4537" s="91" t="str">
        <f t="shared" si="354"/>
        <v/>
      </c>
      <c r="J4537" s="91" t="str">
        <f t="shared" si="355"/>
        <v/>
      </c>
      <c r="K4537" s="92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2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58"/>
      <c r="U4537" s="217" t="str">
        <f t="shared" si="356"/>
        <v/>
      </c>
      <c r="V4537" s="215" t="s">
        <v>47</v>
      </c>
      <c r="W4537" s="102" t="s">
        <v>136</v>
      </c>
      <c r="X4537" s="102" t="s">
        <v>137</v>
      </c>
      <c r="Y4537" s="103" t="s">
        <v>138</v>
      </c>
      <c r="Z4537" s="103" t="s">
        <v>139</v>
      </c>
      <c r="AA4537" s="103" t="s">
        <v>47</v>
      </c>
      <c r="AB4537" s="103" t="s">
        <v>140</v>
      </c>
      <c r="AC4537" s="104" t="s">
        <v>141</v>
      </c>
    </row>
    <row r="4538" spans="1:29" ht="25.5" customHeight="1" x14ac:dyDescent="0.35">
      <c r="A4538" s="188"/>
      <c r="B4538" s="190"/>
      <c r="C4538" s="99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0"/>
      <c r="E4538" s="78" t="str">
        <f>IF(C4538="","",IFERROR(VLOOKUP(C4538,parametros!$A$11:$E$15,5,0),""))</f>
        <v/>
      </c>
      <c r="F4538" s="79" t="str">
        <f t="shared" si="352"/>
        <v/>
      </c>
      <c r="G4538" s="101"/>
      <c r="H4538" s="91">
        <f t="shared" si="353"/>
        <v>0</v>
      </c>
      <c r="I4538" s="91" t="str">
        <f t="shared" si="354"/>
        <v/>
      </c>
      <c r="J4538" s="91" t="str">
        <f t="shared" si="355"/>
        <v/>
      </c>
      <c r="K4538" s="92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2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58"/>
      <c r="U4538" s="217" t="str">
        <f t="shared" si="356"/>
        <v/>
      </c>
      <c r="V4538" s="215" t="s">
        <v>47</v>
      </c>
      <c r="W4538" s="102" t="s">
        <v>136</v>
      </c>
      <c r="X4538" s="102" t="s">
        <v>137</v>
      </c>
      <c r="Y4538" s="103" t="s">
        <v>138</v>
      </c>
      <c r="Z4538" s="103" t="s">
        <v>139</v>
      </c>
      <c r="AA4538" s="103" t="s">
        <v>47</v>
      </c>
      <c r="AB4538" s="103" t="s">
        <v>140</v>
      </c>
      <c r="AC4538" s="104" t="s">
        <v>141</v>
      </c>
    </row>
    <row r="4539" spans="1:29" ht="25.5" customHeight="1" x14ac:dyDescent="0.35">
      <c r="A4539" s="188"/>
      <c r="B4539" s="190"/>
      <c r="C4539" s="99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0"/>
      <c r="E4539" s="78" t="str">
        <f>IF(C4539="","",IFERROR(VLOOKUP(C4539,parametros!$A$11:$E$15,5,0),""))</f>
        <v/>
      </c>
      <c r="F4539" s="79" t="str">
        <f t="shared" si="352"/>
        <v/>
      </c>
      <c r="G4539" s="101"/>
      <c r="H4539" s="91">
        <f t="shared" si="353"/>
        <v>0</v>
      </c>
      <c r="I4539" s="91" t="str">
        <f t="shared" si="354"/>
        <v/>
      </c>
      <c r="J4539" s="91" t="str">
        <f t="shared" si="355"/>
        <v/>
      </c>
      <c r="K4539" s="92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2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58"/>
      <c r="U4539" s="217" t="str">
        <f t="shared" si="356"/>
        <v/>
      </c>
      <c r="V4539" s="215" t="s">
        <v>47</v>
      </c>
      <c r="W4539" s="102" t="s">
        <v>136</v>
      </c>
      <c r="X4539" s="102" t="s">
        <v>137</v>
      </c>
      <c r="Y4539" s="103" t="s">
        <v>138</v>
      </c>
      <c r="Z4539" s="103" t="s">
        <v>139</v>
      </c>
      <c r="AA4539" s="103" t="s">
        <v>47</v>
      </c>
      <c r="AB4539" s="103" t="s">
        <v>140</v>
      </c>
      <c r="AC4539" s="104" t="s">
        <v>141</v>
      </c>
    </row>
    <row r="4540" spans="1:29" ht="25.5" customHeight="1" x14ac:dyDescent="0.35">
      <c r="A4540" s="188"/>
      <c r="B4540" s="190"/>
      <c r="C4540" s="99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0"/>
      <c r="E4540" s="78" t="str">
        <f>IF(C4540="","",IFERROR(VLOOKUP(C4540,parametros!$A$11:$E$15,5,0),""))</f>
        <v/>
      </c>
      <c r="F4540" s="79" t="str">
        <f t="shared" si="352"/>
        <v/>
      </c>
      <c r="G4540" s="101"/>
      <c r="H4540" s="91">
        <f t="shared" si="353"/>
        <v>0</v>
      </c>
      <c r="I4540" s="91" t="str">
        <f t="shared" si="354"/>
        <v/>
      </c>
      <c r="J4540" s="91" t="str">
        <f t="shared" si="355"/>
        <v/>
      </c>
      <c r="K4540" s="92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2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58"/>
      <c r="U4540" s="217" t="str">
        <f t="shared" si="356"/>
        <v/>
      </c>
      <c r="V4540" s="215" t="s">
        <v>47</v>
      </c>
      <c r="W4540" s="102" t="s">
        <v>136</v>
      </c>
      <c r="X4540" s="102" t="s">
        <v>137</v>
      </c>
      <c r="Y4540" s="103" t="s">
        <v>138</v>
      </c>
      <c r="Z4540" s="103" t="s">
        <v>139</v>
      </c>
      <c r="AA4540" s="103" t="s">
        <v>47</v>
      </c>
      <c r="AB4540" s="103" t="s">
        <v>140</v>
      </c>
      <c r="AC4540" s="104" t="s">
        <v>141</v>
      </c>
    </row>
    <row r="4541" spans="1:29" ht="25.5" customHeight="1" x14ac:dyDescent="0.35">
      <c r="A4541" s="188"/>
      <c r="B4541" s="190"/>
      <c r="C4541" s="99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0"/>
      <c r="E4541" s="78" t="str">
        <f>IF(C4541="","",IFERROR(VLOOKUP(C4541,parametros!$A$11:$E$15,5,0),""))</f>
        <v/>
      </c>
      <c r="F4541" s="79" t="str">
        <f t="shared" si="352"/>
        <v/>
      </c>
      <c r="G4541" s="101"/>
      <c r="H4541" s="91">
        <f t="shared" si="353"/>
        <v>0</v>
      </c>
      <c r="I4541" s="91" t="str">
        <f t="shared" si="354"/>
        <v/>
      </c>
      <c r="J4541" s="91" t="str">
        <f t="shared" si="355"/>
        <v/>
      </c>
      <c r="K4541" s="92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2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58"/>
      <c r="U4541" s="217" t="str">
        <f t="shared" si="356"/>
        <v/>
      </c>
      <c r="V4541" s="215" t="s">
        <v>47</v>
      </c>
      <c r="W4541" s="102" t="s">
        <v>136</v>
      </c>
      <c r="X4541" s="102" t="s">
        <v>137</v>
      </c>
      <c r="Y4541" s="103" t="s">
        <v>138</v>
      </c>
      <c r="Z4541" s="103" t="s">
        <v>139</v>
      </c>
      <c r="AA4541" s="103" t="s">
        <v>47</v>
      </c>
      <c r="AB4541" s="103" t="s">
        <v>140</v>
      </c>
      <c r="AC4541" s="104" t="s">
        <v>141</v>
      </c>
    </row>
    <row r="4542" spans="1:29" ht="25.5" customHeight="1" x14ac:dyDescent="0.35">
      <c r="A4542" s="188"/>
      <c r="B4542" s="190"/>
      <c r="C4542" s="99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0"/>
      <c r="E4542" s="78" t="str">
        <f>IF(C4542="","",IFERROR(VLOOKUP(C4542,parametros!$A$11:$E$15,5,0),""))</f>
        <v/>
      </c>
      <c r="F4542" s="79" t="str">
        <f t="shared" si="352"/>
        <v/>
      </c>
      <c r="G4542" s="101"/>
      <c r="H4542" s="91">
        <f t="shared" si="353"/>
        <v>0</v>
      </c>
      <c r="I4542" s="91" t="str">
        <f t="shared" si="354"/>
        <v/>
      </c>
      <c r="J4542" s="91" t="str">
        <f t="shared" si="355"/>
        <v/>
      </c>
      <c r="K4542" s="92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2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58"/>
      <c r="U4542" s="217" t="str">
        <f t="shared" si="356"/>
        <v/>
      </c>
      <c r="V4542" s="215" t="s">
        <v>47</v>
      </c>
      <c r="W4542" s="102" t="s">
        <v>136</v>
      </c>
      <c r="X4542" s="102" t="s">
        <v>137</v>
      </c>
      <c r="Y4542" s="103" t="s">
        <v>138</v>
      </c>
      <c r="Z4542" s="103" t="s">
        <v>139</v>
      </c>
      <c r="AA4542" s="103" t="s">
        <v>47</v>
      </c>
      <c r="AB4542" s="103" t="s">
        <v>140</v>
      </c>
      <c r="AC4542" s="104" t="s">
        <v>141</v>
      </c>
    </row>
    <row r="4543" spans="1:29" ht="25.5" customHeight="1" x14ac:dyDescent="0.35">
      <c r="A4543" s="188"/>
      <c r="B4543" s="190"/>
      <c r="C4543" s="99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0"/>
      <c r="E4543" s="78" t="str">
        <f>IF(C4543="","",IFERROR(VLOOKUP(C4543,parametros!$A$11:$E$15,5,0),""))</f>
        <v/>
      </c>
      <c r="F4543" s="79" t="str">
        <f t="shared" si="352"/>
        <v/>
      </c>
      <c r="G4543" s="101"/>
      <c r="H4543" s="91">
        <f t="shared" si="353"/>
        <v>0</v>
      </c>
      <c r="I4543" s="91" t="str">
        <f t="shared" si="354"/>
        <v/>
      </c>
      <c r="J4543" s="91" t="str">
        <f t="shared" si="355"/>
        <v/>
      </c>
      <c r="K4543" s="92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2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58"/>
      <c r="U4543" s="217" t="str">
        <f t="shared" si="356"/>
        <v/>
      </c>
      <c r="V4543" s="215" t="s">
        <v>47</v>
      </c>
      <c r="W4543" s="102" t="s">
        <v>136</v>
      </c>
      <c r="X4543" s="102" t="s">
        <v>137</v>
      </c>
      <c r="Y4543" s="103" t="s">
        <v>138</v>
      </c>
      <c r="Z4543" s="103" t="s">
        <v>139</v>
      </c>
      <c r="AA4543" s="103" t="s">
        <v>47</v>
      </c>
      <c r="AB4543" s="103" t="s">
        <v>140</v>
      </c>
      <c r="AC4543" s="104" t="s">
        <v>141</v>
      </c>
    </row>
    <row r="4544" spans="1:29" ht="25.5" customHeight="1" x14ac:dyDescent="0.35">
      <c r="A4544" s="188"/>
      <c r="B4544" s="190"/>
      <c r="C4544" s="99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0"/>
      <c r="E4544" s="78" t="str">
        <f>IF(C4544="","",IFERROR(VLOOKUP(C4544,parametros!$A$11:$E$15,5,0),""))</f>
        <v/>
      </c>
      <c r="F4544" s="79" t="str">
        <f t="shared" si="352"/>
        <v/>
      </c>
      <c r="G4544" s="101"/>
      <c r="H4544" s="91">
        <f t="shared" si="353"/>
        <v>0</v>
      </c>
      <c r="I4544" s="91" t="str">
        <f t="shared" si="354"/>
        <v/>
      </c>
      <c r="J4544" s="91" t="str">
        <f t="shared" si="355"/>
        <v/>
      </c>
      <c r="K4544" s="92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2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58"/>
      <c r="U4544" s="217" t="str">
        <f t="shared" si="356"/>
        <v/>
      </c>
      <c r="V4544" s="215" t="s">
        <v>47</v>
      </c>
      <c r="W4544" s="102" t="s">
        <v>136</v>
      </c>
      <c r="X4544" s="102" t="s">
        <v>137</v>
      </c>
      <c r="Y4544" s="103" t="s">
        <v>138</v>
      </c>
      <c r="Z4544" s="103" t="s">
        <v>139</v>
      </c>
      <c r="AA4544" s="103" t="s">
        <v>47</v>
      </c>
      <c r="AB4544" s="103" t="s">
        <v>140</v>
      </c>
      <c r="AC4544" s="104" t="s">
        <v>141</v>
      </c>
    </row>
    <row r="4545" spans="1:29" ht="25.5" customHeight="1" x14ac:dyDescent="0.35">
      <c r="A4545" s="188"/>
      <c r="B4545" s="190"/>
      <c r="C4545" s="99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0"/>
      <c r="E4545" s="78" t="str">
        <f>IF(C4545="","",IFERROR(VLOOKUP(C4545,parametros!$A$11:$E$15,5,0),""))</f>
        <v/>
      </c>
      <c r="F4545" s="79" t="str">
        <f t="shared" si="352"/>
        <v/>
      </c>
      <c r="G4545" s="101"/>
      <c r="H4545" s="91">
        <f t="shared" si="353"/>
        <v>0</v>
      </c>
      <c r="I4545" s="91" t="str">
        <f t="shared" si="354"/>
        <v/>
      </c>
      <c r="J4545" s="91" t="str">
        <f t="shared" si="355"/>
        <v/>
      </c>
      <c r="K4545" s="92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2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58"/>
      <c r="U4545" s="217" t="str">
        <f t="shared" si="356"/>
        <v/>
      </c>
      <c r="V4545" s="215" t="s">
        <v>47</v>
      </c>
      <c r="W4545" s="102" t="s">
        <v>136</v>
      </c>
      <c r="X4545" s="102" t="s">
        <v>137</v>
      </c>
      <c r="Y4545" s="103" t="s">
        <v>138</v>
      </c>
      <c r="Z4545" s="103" t="s">
        <v>139</v>
      </c>
      <c r="AA4545" s="103" t="s">
        <v>47</v>
      </c>
      <c r="AB4545" s="103" t="s">
        <v>140</v>
      </c>
      <c r="AC4545" s="104" t="s">
        <v>141</v>
      </c>
    </row>
    <row r="4546" spans="1:29" ht="25.5" customHeight="1" x14ac:dyDescent="0.35">
      <c r="A4546" s="188"/>
      <c r="B4546" s="190"/>
      <c r="C4546" s="99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0"/>
      <c r="E4546" s="78" t="str">
        <f>IF(C4546="","",IFERROR(VLOOKUP(C4546,parametros!$A$11:$E$15,5,0),""))</f>
        <v/>
      </c>
      <c r="F4546" s="79" t="str">
        <f t="shared" ref="F4546:F4609" si="357">IF(OR(D4546="",E4546=""),"",ROUND(D4546*E4546,2))</f>
        <v/>
      </c>
      <c r="G4546" s="101"/>
      <c r="H4546" s="91">
        <f t="shared" ref="H4546:H4609" si="358">IF(G4546="Sim",IF(OR(F4546="",D4546="",L4546=""),"",IF(L4546="Sim",ROUND(F4546-D4546,2),0)),0)</f>
        <v>0</v>
      </c>
      <c r="I4546" s="91" t="str">
        <f t="shared" ref="I4546:I4609" si="359">IF(G4546="Sim",0,IF(OR(F4546="",L4546=""),"",F4546))</f>
        <v/>
      </c>
      <c r="J4546" s="91" t="str">
        <f t="shared" ref="J4546:J4609" si="360">IF(G4546="Sim",0,IF(OR(F4546="",D4546="",L4546=""),"",IF(L4546="Sim",ROUND(F4546-D4546,2),0)))</f>
        <v/>
      </c>
      <c r="K4546" s="92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2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58"/>
      <c r="U4546" s="217" t="str">
        <f t="shared" ref="U4546:U4609" si="361">IF(OR($D4546="",$H4546=""),"",ROUND($D4546+$H4546,2))</f>
        <v/>
      </c>
      <c r="V4546" s="215" t="s">
        <v>47</v>
      </c>
      <c r="W4546" s="102" t="s">
        <v>136</v>
      </c>
      <c r="X4546" s="102" t="s">
        <v>137</v>
      </c>
      <c r="Y4546" s="103" t="s">
        <v>138</v>
      </c>
      <c r="Z4546" s="103" t="s">
        <v>139</v>
      </c>
      <c r="AA4546" s="103" t="s">
        <v>47</v>
      </c>
      <c r="AB4546" s="103" t="s">
        <v>140</v>
      </c>
      <c r="AC4546" s="104" t="s">
        <v>141</v>
      </c>
    </row>
    <row r="4547" spans="1:29" ht="25.5" customHeight="1" x14ac:dyDescent="0.35">
      <c r="A4547" s="188"/>
      <c r="B4547" s="190"/>
      <c r="C4547" s="99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0"/>
      <c r="E4547" s="78" t="str">
        <f>IF(C4547="","",IFERROR(VLOOKUP(C4547,parametros!$A$11:$E$15,5,0),""))</f>
        <v/>
      </c>
      <c r="F4547" s="79" t="str">
        <f t="shared" si="357"/>
        <v/>
      </c>
      <c r="G4547" s="101"/>
      <c r="H4547" s="91">
        <f t="shared" si="358"/>
        <v>0</v>
      </c>
      <c r="I4547" s="91" t="str">
        <f t="shared" si="359"/>
        <v/>
      </c>
      <c r="J4547" s="91" t="str">
        <f t="shared" si="360"/>
        <v/>
      </c>
      <c r="K4547" s="92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2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58"/>
      <c r="U4547" s="217" t="str">
        <f t="shared" si="361"/>
        <v/>
      </c>
      <c r="V4547" s="215" t="s">
        <v>47</v>
      </c>
      <c r="W4547" s="102" t="s">
        <v>136</v>
      </c>
      <c r="X4547" s="102" t="s">
        <v>137</v>
      </c>
      <c r="Y4547" s="103" t="s">
        <v>138</v>
      </c>
      <c r="Z4547" s="103" t="s">
        <v>139</v>
      </c>
      <c r="AA4547" s="103" t="s">
        <v>47</v>
      </c>
      <c r="AB4547" s="103" t="s">
        <v>140</v>
      </c>
      <c r="AC4547" s="104" t="s">
        <v>141</v>
      </c>
    </row>
    <row r="4548" spans="1:29" ht="25.5" customHeight="1" x14ac:dyDescent="0.35">
      <c r="A4548" s="188"/>
      <c r="B4548" s="190"/>
      <c r="C4548" s="99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0"/>
      <c r="E4548" s="78" t="str">
        <f>IF(C4548="","",IFERROR(VLOOKUP(C4548,parametros!$A$11:$E$15,5,0),""))</f>
        <v/>
      </c>
      <c r="F4548" s="79" t="str">
        <f t="shared" si="357"/>
        <v/>
      </c>
      <c r="G4548" s="101"/>
      <c r="H4548" s="91">
        <f t="shared" si="358"/>
        <v>0</v>
      </c>
      <c r="I4548" s="91" t="str">
        <f t="shared" si="359"/>
        <v/>
      </c>
      <c r="J4548" s="91" t="str">
        <f t="shared" si="360"/>
        <v/>
      </c>
      <c r="K4548" s="92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2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58"/>
      <c r="U4548" s="217" t="str">
        <f t="shared" si="361"/>
        <v/>
      </c>
      <c r="V4548" s="215" t="s">
        <v>47</v>
      </c>
      <c r="W4548" s="102" t="s">
        <v>136</v>
      </c>
      <c r="X4548" s="102" t="s">
        <v>137</v>
      </c>
      <c r="Y4548" s="103" t="s">
        <v>138</v>
      </c>
      <c r="Z4548" s="103" t="s">
        <v>139</v>
      </c>
      <c r="AA4548" s="103" t="s">
        <v>47</v>
      </c>
      <c r="AB4548" s="103" t="s">
        <v>140</v>
      </c>
      <c r="AC4548" s="104" t="s">
        <v>141</v>
      </c>
    </row>
    <row r="4549" spans="1:29" ht="25.5" customHeight="1" x14ac:dyDescent="0.35">
      <c r="A4549" s="188"/>
      <c r="B4549" s="190"/>
      <c r="C4549" s="99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0"/>
      <c r="E4549" s="78" t="str">
        <f>IF(C4549="","",IFERROR(VLOOKUP(C4549,parametros!$A$11:$E$15,5,0),""))</f>
        <v/>
      </c>
      <c r="F4549" s="79" t="str">
        <f t="shared" si="357"/>
        <v/>
      </c>
      <c r="G4549" s="101"/>
      <c r="H4549" s="91">
        <f t="shared" si="358"/>
        <v>0</v>
      </c>
      <c r="I4549" s="91" t="str">
        <f t="shared" si="359"/>
        <v/>
      </c>
      <c r="J4549" s="91" t="str">
        <f t="shared" si="360"/>
        <v/>
      </c>
      <c r="K4549" s="92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2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58"/>
      <c r="U4549" s="217" t="str">
        <f t="shared" si="361"/>
        <v/>
      </c>
      <c r="V4549" s="215" t="s">
        <v>47</v>
      </c>
      <c r="W4549" s="102" t="s">
        <v>136</v>
      </c>
      <c r="X4549" s="102" t="s">
        <v>137</v>
      </c>
      <c r="Y4549" s="103" t="s">
        <v>138</v>
      </c>
      <c r="Z4549" s="103" t="s">
        <v>139</v>
      </c>
      <c r="AA4549" s="103" t="s">
        <v>47</v>
      </c>
      <c r="AB4549" s="103" t="s">
        <v>140</v>
      </c>
      <c r="AC4549" s="104" t="s">
        <v>141</v>
      </c>
    </row>
    <row r="4550" spans="1:29" ht="25.5" customHeight="1" x14ac:dyDescent="0.35">
      <c r="A4550" s="188"/>
      <c r="B4550" s="190"/>
      <c r="C4550" s="99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0"/>
      <c r="E4550" s="78" t="str">
        <f>IF(C4550="","",IFERROR(VLOOKUP(C4550,parametros!$A$11:$E$15,5,0),""))</f>
        <v/>
      </c>
      <c r="F4550" s="79" t="str">
        <f t="shared" si="357"/>
        <v/>
      </c>
      <c r="G4550" s="101"/>
      <c r="H4550" s="91">
        <f t="shared" si="358"/>
        <v>0</v>
      </c>
      <c r="I4550" s="91" t="str">
        <f t="shared" si="359"/>
        <v/>
      </c>
      <c r="J4550" s="91" t="str">
        <f t="shared" si="360"/>
        <v/>
      </c>
      <c r="K4550" s="92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2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58"/>
      <c r="U4550" s="217" t="str">
        <f t="shared" si="361"/>
        <v/>
      </c>
      <c r="V4550" s="215" t="s">
        <v>47</v>
      </c>
      <c r="W4550" s="102" t="s">
        <v>136</v>
      </c>
      <c r="X4550" s="102" t="s">
        <v>137</v>
      </c>
      <c r="Y4550" s="103" t="s">
        <v>138</v>
      </c>
      <c r="Z4550" s="103" t="s">
        <v>139</v>
      </c>
      <c r="AA4550" s="103" t="s">
        <v>47</v>
      </c>
      <c r="AB4550" s="103" t="s">
        <v>140</v>
      </c>
      <c r="AC4550" s="104" t="s">
        <v>141</v>
      </c>
    </row>
    <row r="4551" spans="1:29" ht="25.5" customHeight="1" x14ac:dyDescent="0.35">
      <c r="A4551" s="188"/>
      <c r="B4551" s="190"/>
      <c r="C4551" s="99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0"/>
      <c r="E4551" s="78" t="str">
        <f>IF(C4551="","",IFERROR(VLOOKUP(C4551,parametros!$A$11:$E$15,5,0),""))</f>
        <v/>
      </c>
      <c r="F4551" s="79" t="str">
        <f t="shared" si="357"/>
        <v/>
      </c>
      <c r="G4551" s="101"/>
      <c r="H4551" s="91">
        <f t="shared" si="358"/>
        <v>0</v>
      </c>
      <c r="I4551" s="91" t="str">
        <f t="shared" si="359"/>
        <v/>
      </c>
      <c r="J4551" s="91" t="str">
        <f t="shared" si="360"/>
        <v/>
      </c>
      <c r="K4551" s="92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2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58"/>
      <c r="U4551" s="217" t="str">
        <f t="shared" si="361"/>
        <v/>
      </c>
      <c r="V4551" s="215" t="s">
        <v>47</v>
      </c>
      <c r="W4551" s="102" t="s">
        <v>136</v>
      </c>
      <c r="X4551" s="102" t="s">
        <v>137</v>
      </c>
      <c r="Y4551" s="103" t="s">
        <v>138</v>
      </c>
      <c r="Z4551" s="103" t="s">
        <v>139</v>
      </c>
      <c r="AA4551" s="103" t="s">
        <v>47</v>
      </c>
      <c r="AB4551" s="103" t="s">
        <v>140</v>
      </c>
      <c r="AC4551" s="104" t="s">
        <v>141</v>
      </c>
    </row>
    <row r="4552" spans="1:29" ht="25.5" customHeight="1" x14ac:dyDescent="0.35">
      <c r="A4552" s="188"/>
      <c r="B4552" s="190"/>
      <c r="C4552" s="99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0"/>
      <c r="E4552" s="78" t="str">
        <f>IF(C4552="","",IFERROR(VLOOKUP(C4552,parametros!$A$11:$E$15,5,0),""))</f>
        <v/>
      </c>
      <c r="F4552" s="79" t="str">
        <f t="shared" si="357"/>
        <v/>
      </c>
      <c r="G4552" s="101"/>
      <c r="H4552" s="91">
        <f t="shared" si="358"/>
        <v>0</v>
      </c>
      <c r="I4552" s="91" t="str">
        <f t="shared" si="359"/>
        <v/>
      </c>
      <c r="J4552" s="91" t="str">
        <f t="shared" si="360"/>
        <v/>
      </c>
      <c r="K4552" s="92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2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58"/>
      <c r="U4552" s="217" t="str">
        <f t="shared" si="361"/>
        <v/>
      </c>
      <c r="V4552" s="215" t="s">
        <v>47</v>
      </c>
      <c r="W4552" s="102" t="s">
        <v>136</v>
      </c>
      <c r="X4552" s="102" t="s">
        <v>137</v>
      </c>
      <c r="Y4552" s="103" t="s">
        <v>138</v>
      </c>
      <c r="Z4552" s="103" t="s">
        <v>139</v>
      </c>
      <c r="AA4552" s="103" t="s">
        <v>47</v>
      </c>
      <c r="AB4552" s="103" t="s">
        <v>140</v>
      </c>
      <c r="AC4552" s="104" t="s">
        <v>141</v>
      </c>
    </row>
    <row r="4553" spans="1:29" ht="25.5" customHeight="1" x14ac:dyDescent="0.35">
      <c r="A4553" s="188"/>
      <c r="B4553" s="190"/>
      <c r="C4553" s="99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0"/>
      <c r="E4553" s="78" t="str">
        <f>IF(C4553="","",IFERROR(VLOOKUP(C4553,parametros!$A$11:$E$15,5,0),""))</f>
        <v/>
      </c>
      <c r="F4553" s="79" t="str">
        <f t="shared" si="357"/>
        <v/>
      </c>
      <c r="G4553" s="101"/>
      <c r="H4553" s="91">
        <f t="shared" si="358"/>
        <v>0</v>
      </c>
      <c r="I4553" s="91" t="str">
        <f t="shared" si="359"/>
        <v/>
      </c>
      <c r="J4553" s="91" t="str">
        <f t="shared" si="360"/>
        <v/>
      </c>
      <c r="K4553" s="92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2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58"/>
      <c r="U4553" s="217" t="str">
        <f t="shared" si="361"/>
        <v/>
      </c>
      <c r="V4553" s="215" t="s">
        <v>47</v>
      </c>
      <c r="W4553" s="102" t="s">
        <v>136</v>
      </c>
      <c r="X4553" s="102" t="s">
        <v>137</v>
      </c>
      <c r="Y4553" s="103" t="s">
        <v>138</v>
      </c>
      <c r="Z4553" s="103" t="s">
        <v>139</v>
      </c>
      <c r="AA4553" s="103" t="s">
        <v>47</v>
      </c>
      <c r="AB4553" s="103" t="s">
        <v>140</v>
      </c>
      <c r="AC4553" s="104" t="s">
        <v>141</v>
      </c>
    </row>
    <row r="4554" spans="1:29" ht="25.5" customHeight="1" x14ac:dyDescent="0.35">
      <c r="A4554" s="188"/>
      <c r="B4554" s="190"/>
      <c r="C4554" s="99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0"/>
      <c r="E4554" s="78" t="str">
        <f>IF(C4554="","",IFERROR(VLOOKUP(C4554,parametros!$A$11:$E$15,5,0),""))</f>
        <v/>
      </c>
      <c r="F4554" s="79" t="str">
        <f t="shared" si="357"/>
        <v/>
      </c>
      <c r="G4554" s="101"/>
      <c r="H4554" s="91">
        <f t="shared" si="358"/>
        <v>0</v>
      </c>
      <c r="I4554" s="91" t="str">
        <f t="shared" si="359"/>
        <v/>
      </c>
      <c r="J4554" s="91" t="str">
        <f t="shared" si="360"/>
        <v/>
      </c>
      <c r="K4554" s="92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2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58"/>
      <c r="U4554" s="217" t="str">
        <f t="shared" si="361"/>
        <v/>
      </c>
      <c r="V4554" s="215" t="s">
        <v>47</v>
      </c>
      <c r="W4554" s="102" t="s">
        <v>136</v>
      </c>
      <c r="X4554" s="102" t="s">
        <v>137</v>
      </c>
      <c r="Y4554" s="103" t="s">
        <v>138</v>
      </c>
      <c r="Z4554" s="103" t="s">
        <v>139</v>
      </c>
      <c r="AA4554" s="103" t="s">
        <v>47</v>
      </c>
      <c r="AB4554" s="103" t="s">
        <v>140</v>
      </c>
      <c r="AC4554" s="104" t="s">
        <v>141</v>
      </c>
    </row>
    <row r="4555" spans="1:29" ht="25.5" customHeight="1" x14ac:dyDescent="0.35">
      <c r="A4555" s="188"/>
      <c r="B4555" s="190"/>
      <c r="C4555" s="99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0"/>
      <c r="E4555" s="78" t="str">
        <f>IF(C4555="","",IFERROR(VLOOKUP(C4555,parametros!$A$11:$E$15,5,0),""))</f>
        <v/>
      </c>
      <c r="F4555" s="79" t="str">
        <f t="shared" si="357"/>
        <v/>
      </c>
      <c r="G4555" s="101"/>
      <c r="H4555" s="91">
        <f t="shared" si="358"/>
        <v>0</v>
      </c>
      <c r="I4555" s="91" t="str">
        <f t="shared" si="359"/>
        <v/>
      </c>
      <c r="J4555" s="91" t="str">
        <f t="shared" si="360"/>
        <v/>
      </c>
      <c r="K4555" s="92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2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58"/>
      <c r="U4555" s="217" t="str">
        <f t="shared" si="361"/>
        <v/>
      </c>
      <c r="V4555" s="215" t="s">
        <v>47</v>
      </c>
      <c r="W4555" s="102" t="s">
        <v>136</v>
      </c>
      <c r="X4555" s="102" t="s">
        <v>137</v>
      </c>
      <c r="Y4555" s="103" t="s">
        <v>138</v>
      </c>
      <c r="Z4555" s="103" t="s">
        <v>139</v>
      </c>
      <c r="AA4555" s="103" t="s">
        <v>47</v>
      </c>
      <c r="AB4555" s="103" t="s">
        <v>140</v>
      </c>
      <c r="AC4555" s="104" t="s">
        <v>141</v>
      </c>
    </row>
    <row r="4556" spans="1:29" ht="25.5" customHeight="1" x14ac:dyDescent="0.35">
      <c r="A4556" s="188"/>
      <c r="B4556" s="190"/>
      <c r="C4556" s="99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0"/>
      <c r="E4556" s="78" t="str">
        <f>IF(C4556="","",IFERROR(VLOOKUP(C4556,parametros!$A$11:$E$15,5,0),""))</f>
        <v/>
      </c>
      <c r="F4556" s="79" t="str">
        <f t="shared" si="357"/>
        <v/>
      </c>
      <c r="G4556" s="101"/>
      <c r="H4556" s="91">
        <f t="shared" si="358"/>
        <v>0</v>
      </c>
      <c r="I4556" s="91" t="str">
        <f t="shared" si="359"/>
        <v/>
      </c>
      <c r="J4556" s="91" t="str">
        <f t="shared" si="360"/>
        <v/>
      </c>
      <c r="K4556" s="92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2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58"/>
      <c r="U4556" s="217" t="str">
        <f t="shared" si="361"/>
        <v/>
      </c>
      <c r="V4556" s="215" t="s">
        <v>47</v>
      </c>
      <c r="W4556" s="102" t="s">
        <v>136</v>
      </c>
      <c r="X4556" s="102" t="s">
        <v>137</v>
      </c>
      <c r="Y4556" s="103" t="s">
        <v>138</v>
      </c>
      <c r="Z4556" s="103" t="s">
        <v>139</v>
      </c>
      <c r="AA4556" s="103" t="s">
        <v>47</v>
      </c>
      <c r="AB4556" s="103" t="s">
        <v>140</v>
      </c>
      <c r="AC4556" s="104" t="s">
        <v>141</v>
      </c>
    </row>
    <row r="4557" spans="1:29" ht="25.5" customHeight="1" x14ac:dyDescent="0.35">
      <c r="A4557" s="188"/>
      <c r="B4557" s="190"/>
      <c r="C4557" s="99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0"/>
      <c r="E4557" s="78" t="str">
        <f>IF(C4557="","",IFERROR(VLOOKUP(C4557,parametros!$A$11:$E$15,5,0),""))</f>
        <v/>
      </c>
      <c r="F4557" s="79" t="str">
        <f t="shared" si="357"/>
        <v/>
      </c>
      <c r="G4557" s="101"/>
      <c r="H4557" s="91">
        <f t="shared" si="358"/>
        <v>0</v>
      </c>
      <c r="I4557" s="91" t="str">
        <f t="shared" si="359"/>
        <v/>
      </c>
      <c r="J4557" s="91" t="str">
        <f t="shared" si="360"/>
        <v/>
      </c>
      <c r="K4557" s="92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2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58"/>
      <c r="U4557" s="217" t="str">
        <f t="shared" si="361"/>
        <v/>
      </c>
      <c r="V4557" s="215" t="s">
        <v>47</v>
      </c>
      <c r="W4557" s="102" t="s">
        <v>136</v>
      </c>
      <c r="X4557" s="102" t="s">
        <v>137</v>
      </c>
      <c r="Y4557" s="103" t="s">
        <v>138</v>
      </c>
      <c r="Z4557" s="103" t="s">
        <v>139</v>
      </c>
      <c r="AA4557" s="103" t="s">
        <v>47</v>
      </c>
      <c r="AB4557" s="103" t="s">
        <v>140</v>
      </c>
      <c r="AC4557" s="104" t="s">
        <v>141</v>
      </c>
    </row>
    <row r="4558" spans="1:29" ht="25.5" customHeight="1" x14ac:dyDescent="0.35">
      <c r="A4558" s="188"/>
      <c r="B4558" s="190"/>
      <c r="C4558" s="99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0"/>
      <c r="E4558" s="78" t="str">
        <f>IF(C4558="","",IFERROR(VLOOKUP(C4558,parametros!$A$11:$E$15,5,0),""))</f>
        <v/>
      </c>
      <c r="F4558" s="79" t="str">
        <f t="shared" si="357"/>
        <v/>
      </c>
      <c r="G4558" s="101"/>
      <c r="H4558" s="91">
        <f t="shared" si="358"/>
        <v>0</v>
      </c>
      <c r="I4558" s="91" t="str">
        <f t="shared" si="359"/>
        <v/>
      </c>
      <c r="J4558" s="91" t="str">
        <f t="shared" si="360"/>
        <v/>
      </c>
      <c r="K4558" s="92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2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58"/>
      <c r="U4558" s="217" t="str">
        <f t="shared" si="361"/>
        <v/>
      </c>
      <c r="V4558" s="215" t="s">
        <v>47</v>
      </c>
      <c r="W4558" s="102" t="s">
        <v>136</v>
      </c>
      <c r="X4558" s="102" t="s">
        <v>137</v>
      </c>
      <c r="Y4558" s="103" t="s">
        <v>138</v>
      </c>
      <c r="Z4558" s="103" t="s">
        <v>139</v>
      </c>
      <c r="AA4558" s="103" t="s">
        <v>47</v>
      </c>
      <c r="AB4558" s="103" t="s">
        <v>140</v>
      </c>
      <c r="AC4558" s="104" t="s">
        <v>141</v>
      </c>
    </row>
    <row r="4559" spans="1:29" ht="25.5" customHeight="1" x14ac:dyDescent="0.35">
      <c r="A4559" s="188"/>
      <c r="B4559" s="190"/>
      <c r="C4559" s="99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0"/>
      <c r="E4559" s="78" t="str">
        <f>IF(C4559="","",IFERROR(VLOOKUP(C4559,parametros!$A$11:$E$15,5,0),""))</f>
        <v/>
      </c>
      <c r="F4559" s="79" t="str">
        <f t="shared" si="357"/>
        <v/>
      </c>
      <c r="G4559" s="101"/>
      <c r="H4559" s="91">
        <f t="shared" si="358"/>
        <v>0</v>
      </c>
      <c r="I4559" s="91" t="str">
        <f t="shared" si="359"/>
        <v/>
      </c>
      <c r="J4559" s="91" t="str">
        <f t="shared" si="360"/>
        <v/>
      </c>
      <c r="K4559" s="92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2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58"/>
      <c r="U4559" s="217" t="str">
        <f t="shared" si="361"/>
        <v/>
      </c>
      <c r="V4559" s="215" t="s">
        <v>47</v>
      </c>
      <c r="W4559" s="102" t="s">
        <v>136</v>
      </c>
      <c r="X4559" s="102" t="s">
        <v>137</v>
      </c>
      <c r="Y4559" s="103" t="s">
        <v>138</v>
      </c>
      <c r="Z4559" s="103" t="s">
        <v>139</v>
      </c>
      <c r="AA4559" s="103" t="s">
        <v>47</v>
      </c>
      <c r="AB4559" s="103" t="s">
        <v>140</v>
      </c>
      <c r="AC4559" s="104" t="s">
        <v>141</v>
      </c>
    </row>
    <row r="4560" spans="1:29" ht="25.5" customHeight="1" x14ac:dyDescent="0.35">
      <c r="A4560" s="188"/>
      <c r="B4560" s="190"/>
      <c r="C4560" s="99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0"/>
      <c r="E4560" s="78" t="str">
        <f>IF(C4560="","",IFERROR(VLOOKUP(C4560,parametros!$A$11:$E$15,5,0),""))</f>
        <v/>
      </c>
      <c r="F4560" s="79" t="str">
        <f t="shared" si="357"/>
        <v/>
      </c>
      <c r="G4560" s="101"/>
      <c r="H4560" s="91">
        <f t="shared" si="358"/>
        <v>0</v>
      </c>
      <c r="I4560" s="91" t="str">
        <f t="shared" si="359"/>
        <v/>
      </c>
      <c r="J4560" s="91" t="str">
        <f t="shared" si="360"/>
        <v/>
      </c>
      <c r="K4560" s="92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2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58"/>
      <c r="U4560" s="217" t="str">
        <f t="shared" si="361"/>
        <v/>
      </c>
      <c r="V4560" s="215" t="s">
        <v>47</v>
      </c>
      <c r="W4560" s="102" t="s">
        <v>136</v>
      </c>
      <c r="X4560" s="102" t="s">
        <v>137</v>
      </c>
      <c r="Y4560" s="103" t="s">
        <v>138</v>
      </c>
      <c r="Z4560" s="103" t="s">
        <v>139</v>
      </c>
      <c r="AA4560" s="103" t="s">
        <v>47</v>
      </c>
      <c r="AB4560" s="103" t="s">
        <v>140</v>
      </c>
      <c r="AC4560" s="104" t="s">
        <v>141</v>
      </c>
    </row>
    <row r="4561" spans="1:29" ht="25.5" customHeight="1" x14ac:dyDescent="0.35">
      <c r="A4561" s="188"/>
      <c r="B4561" s="190"/>
      <c r="C4561" s="99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0"/>
      <c r="E4561" s="78" t="str">
        <f>IF(C4561="","",IFERROR(VLOOKUP(C4561,parametros!$A$11:$E$15,5,0),""))</f>
        <v/>
      </c>
      <c r="F4561" s="79" t="str">
        <f t="shared" si="357"/>
        <v/>
      </c>
      <c r="G4561" s="101"/>
      <c r="H4561" s="91">
        <f t="shared" si="358"/>
        <v>0</v>
      </c>
      <c r="I4561" s="91" t="str">
        <f t="shared" si="359"/>
        <v/>
      </c>
      <c r="J4561" s="91" t="str">
        <f t="shared" si="360"/>
        <v/>
      </c>
      <c r="K4561" s="92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2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58"/>
      <c r="U4561" s="217" t="str">
        <f t="shared" si="361"/>
        <v/>
      </c>
      <c r="V4561" s="215" t="s">
        <v>47</v>
      </c>
      <c r="W4561" s="102" t="s">
        <v>136</v>
      </c>
      <c r="X4561" s="102" t="s">
        <v>137</v>
      </c>
      <c r="Y4561" s="103" t="s">
        <v>138</v>
      </c>
      <c r="Z4561" s="103" t="s">
        <v>139</v>
      </c>
      <c r="AA4561" s="103" t="s">
        <v>47</v>
      </c>
      <c r="AB4561" s="103" t="s">
        <v>140</v>
      </c>
      <c r="AC4561" s="104" t="s">
        <v>141</v>
      </c>
    </row>
    <row r="4562" spans="1:29" ht="25.5" customHeight="1" x14ac:dyDescent="0.35">
      <c r="A4562" s="188"/>
      <c r="B4562" s="190"/>
      <c r="C4562" s="99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0"/>
      <c r="E4562" s="78" t="str">
        <f>IF(C4562="","",IFERROR(VLOOKUP(C4562,parametros!$A$11:$E$15,5,0),""))</f>
        <v/>
      </c>
      <c r="F4562" s="79" t="str">
        <f t="shared" si="357"/>
        <v/>
      </c>
      <c r="G4562" s="101"/>
      <c r="H4562" s="91">
        <f t="shared" si="358"/>
        <v>0</v>
      </c>
      <c r="I4562" s="91" t="str">
        <f t="shared" si="359"/>
        <v/>
      </c>
      <c r="J4562" s="91" t="str">
        <f t="shared" si="360"/>
        <v/>
      </c>
      <c r="K4562" s="92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2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58"/>
      <c r="U4562" s="217" t="str">
        <f t="shared" si="361"/>
        <v/>
      </c>
      <c r="V4562" s="215" t="s">
        <v>47</v>
      </c>
      <c r="W4562" s="102" t="s">
        <v>136</v>
      </c>
      <c r="X4562" s="102" t="s">
        <v>137</v>
      </c>
      <c r="Y4562" s="103" t="s">
        <v>138</v>
      </c>
      <c r="Z4562" s="103" t="s">
        <v>139</v>
      </c>
      <c r="AA4562" s="103" t="s">
        <v>47</v>
      </c>
      <c r="AB4562" s="103" t="s">
        <v>140</v>
      </c>
      <c r="AC4562" s="104" t="s">
        <v>141</v>
      </c>
    </row>
    <row r="4563" spans="1:29" ht="25.5" customHeight="1" x14ac:dyDescent="0.35">
      <c r="A4563" s="188"/>
      <c r="B4563" s="190"/>
      <c r="C4563" s="99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0"/>
      <c r="E4563" s="78" t="str">
        <f>IF(C4563="","",IFERROR(VLOOKUP(C4563,parametros!$A$11:$E$15,5,0),""))</f>
        <v/>
      </c>
      <c r="F4563" s="79" t="str">
        <f t="shared" si="357"/>
        <v/>
      </c>
      <c r="G4563" s="101"/>
      <c r="H4563" s="91">
        <f t="shared" si="358"/>
        <v>0</v>
      </c>
      <c r="I4563" s="91" t="str">
        <f t="shared" si="359"/>
        <v/>
      </c>
      <c r="J4563" s="91" t="str">
        <f t="shared" si="360"/>
        <v/>
      </c>
      <c r="K4563" s="92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2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58"/>
      <c r="U4563" s="217" t="str">
        <f t="shared" si="361"/>
        <v/>
      </c>
      <c r="V4563" s="215" t="s">
        <v>47</v>
      </c>
      <c r="W4563" s="102" t="s">
        <v>136</v>
      </c>
      <c r="X4563" s="102" t="s">
        <v>137</v>
      </c>
      <c r="Y4563" s="103" t="s">
        <v>138</v>
      </c>
      <c r="Z4563" s="103" t="s">
        <v>139</v>
      </c>
      <c r="AA4563" s="103" t="s">
        <v>47</v>
      </c>
      <c r="AB4563" s="103" t="s">
        <v>140</v>
      </c>
      <c r="AC4563" s="104" t="s">
        <v>141</v>
      </c>
    </row>
    <row r="4564" spans="1:29" ht="25.5" customHeight="1" x14ac:dyDescent="0.35">
      <c r="A4564" s="188"/>
      <c r="B4564" s="190"/>
      <c r="C4564" s="99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0"/>
      <c r="E4564" s="78" t="str">
        <f>IF(C4564="","",IFERROR(VLOOKUP(C4564,parametros!$A$11:$E$15,5,0),""))</f>
        <v/>
      </c>
      <c r="F4564" s="79" t="str">
        <f t="shared" si="357"/>
        <v/>
      </c>
      <c r="G4564" s="101"/>
      <c r="H4564" s="91">
        <f t="shared" si="358"/>
        <v>0</v>
      </c>
      <c r="I4564" s="91" t="str">
        <f t="shared" si="359"/>
        <v/>
      </c>
      <c r="J4564" s="91" t="str">
        <f t="shared" si="360"/>
        <v/>
      </c>
      <c r="K4564" s="92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2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58"/>
      <c r="U4564" s="217" t="str">
        <f t="shared" si="361"/>
        <v/>
      </c>
      <c r="V4564" s="215" t="s">
        <v>47</v>
      </c>
      <c r="W4564" s="102" t="s">
        <v>136</v>
      </c>
      <c r="X4564" s="102" t="s">
        <v>137</v>
      </c>
      <c r="Y4564" s="103" t="s">
        <v>138</v>
      </c>
      <c r="Z4564" s="103" t="s">
        <v>139</v>
      </c>
      <c r="AA4564" s="103" t="s">
        <v>47</v>
      </c>
      <c r="AB4564" s="103" t="s">
        <v>140</v>
      </c>
      <c r="AC4564" s="104" t="s">
        <v>141</v>
      </c>
    </row>
    <row r="4565" spans="1:29" ht="25.5" customHeight="1" x14ac:dyDescent="0.35">
      <c r="A4565" s="188"/>
      <c r="B4565" s="190"/>
      <c r="C4565" s="99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0"/>
      <c r="E4565" s="78" t="str">
        <f>IF(C4565="","",IFERROR(VLOOKUP(C4565,parametros!$A$11:$E$15,5,0),""))</f>
        <v/>
      </c>
      <c r="F4565" s="79" t="str">
        <f t="shared" si="357"/>
        <v/>
      </c>
      <c r="G4565" s="101"/>
      <c r="H4565" s="91">
        <f t="shared" si="358"/>
        <v>0</v>
      </c>
      <c r="I4565" s="91" t="str">
        <f t="shared" si="359"/>
        <v/>
      </c>
      <c r="J4565" s="91" t="str">
        <f t="shared" si="360"/>
        <v/>
      </c>
      <c r="K4565" s="92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2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58"/>
      <c r="U4565" s="217" t="str">
        <f t="shared" si="361"/>
        <v/>
      </c>
      <c r="V4565" s="215" t="s">
        <v>47</v>
      </c>
      <c r="W4565" s="102" t="s">
        <v>136</v>
      </c>
      <c r="X4565" s="102" t="s">
        <v>137</v>
      </c>
      <c r="Y4565" s="103" t="s">
        <v>138</v>
      </c>
      <c r="Z4565" s="103" t="s">
        <v>139</v>
      </c>
      <c r="AA4565" s="103" t="s">
        <v>47</v>
      </c>
      <c r="AB4565" s="103" t="s">
        <v>140</v>
      </c>
      <c r="AC4565" s="104" t="s">
        <v>141</v>
      </c>
    </row>
    <row r="4566" spans="1:29" ht="25.5" customHeight="1" x14ac:dyDescent="0.35">
      <c r="A4566" s="188"/>
      <c r="B4566" s="190"/>
      <c r="C4566" s="99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0"/>
      <c r="E4566" s="78" t="str">
        <f>IF(C4566="","",IFERROR(VLOOKUP(C4566,parametros!$A$11:$E$15,5,0),""))</f>
        <v/>
      </c>
      <c r="F4566" s="79" t="str">
        <f t="shared" si="357"/>
        <v/>
      </c>
      <c r="G4566" s="101"/>
      <c r="H4566" s="91">
        <f t="shared" si="358"/>
        <v>0</v>
      </c>
      <c r="I4566" s="91" t="str">
        <f t="shared" si="359"/>
        <v/>
      </c>
      <c r="J4566" s="91" t="str">
        <f t="shared" si="360"/>
        <v/>
      </c>
      <c r="K4566" s="92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2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58"/>
      <c r="U4566" s="217" t="str">
        <f t="shared" si="361"/>
        <v/>
      </c>
      <c r="V4566" s="215" t="s">
        <v>47</v>
      </c>
      <c r="W4566" s="102" t="s">
        <v>136</v>
      </c>
      <c r="X4566" s="102" t="s">
        <v>137</v>
      </c>
      <c r="Y4566" s="103" t="s">
        <v>138</v>
      </c>
      <c r="Z4566" s="103" t="s">
        <v>139</v>
      </c>
      <c r="AA4566" s="103" t="s">
        <v>47</v>
      </c>
      <c r="AB4566" s="103" t="s">
        <v>140</v>
      </c>
      <c r="AC4566" s="104" t="s">
        <v>141</v>
      </c>
    </row>
    <row r="4567" spans="1:29" ht="25.5" customHeight="1" x14ac:dyDescent="0.35">
      <c r="A4567" s="188"/>
      <c r="B4567" s="190"/>
      <c r="C4567" s="99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0"/>
      <c r="E4567" s="78" t="str">
        <f>IF(C4567="","",IFERROR(VLOOKUP(C4567,parametros!$A$11:$E$15,5,0),""))</f>
        <v/>
      </c>
      <c r="F4567" s="79" t="str">
        <f t="shared" si="357"/>
        <v/>
      </c>
      <c r="G4567" s="101"/>
      <c r="H4567" s="91">
        <f t="shared" si="358"/>
        <v>0</v>
      </c>
      <c r="I4567" s="91" t="str">
        <f t="shared" si="359"/>
        <v/>
      </c>
      <c r="J4567" s="91" t="str">
        <f t="shared" si="360"/>
        <v/>
      </c>
      <c r="K4567" s="92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2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58"/>
      <c r="U4567" s="217" t="str">
        <f t="shared" si="361"/>
        <v/>
      </c>
      <c r="V4567" s="215" t="s">
        <v>47</v>
      </c>
      <c r="W4567" s="102" t="s">
        <v>136</v>
      </c>
      <c r="X4567" s="102" t="s">
        <v>137</v>
      </c>
      <c r="Y4567" s="103" t="s">
        <v>138</v>
      </c>
      <c r="Z4567" s="103" t="s">
        <v>139</v>
      </c>
      <c r="AA4567" s="103" t="s">
        <v>47</v>
      </c>
      <c r="AB4567" s="103" t="s">
        <v>140</v>
      </c>
      <c r="AC4567" s="104" t="s">
        <v>141</v>
      </c>
    </row>
    <row r="4568" spans="1:29" ht="25.5" customHeight="1" x14ac:dyDescent="0.35">
      <c r="A4568" s="188"/>
      <c r="B4568" s="190"/>
      <c r="C4568" s="99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0"/>
      <c r="E4568" s="78" t="str">
        <f>IF(C4568="","",IFERROR(VLOOKUP(C4568,parametros!$A$11:$E$15,5,0),""))</f>
        <v/>
      </c>
      <c r="F4568" s="79" t="str">
        <f t="shared" si="357"/>
        <v/>
      </c>
      <c r="G4568" s="101"/>
      <c r="H4568" s="91">
        <f t="shared" si="358"/>
        <v>0</v>
      </c>
      <c r="I4568" s="91" t="str">
        <f t="shared" si="359"/>
        <v/>
      </c>
      <c r="J4568" s="91" t="str">
        <f t="shared" si="360"/>
        <v/>
      </c>
      <c r="K4568" s="92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2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58"/>
      <c r="U4568" s="217" t="str">
        <f t="shared" si="361"/>
        <v/>
      </c>
      <c r="V4568" s="215" t="s">
        <v>47</v>
      </c>
      <c r="W4568" s="102" t="s">
        <v>136</v>
      </c>
      <c r="X4568" s="102" t="s">
        <v>137</v>
      </c>
      <c r="Y4568" s="103" t="s">
        <v>138</v>
      </c>
      <c r="Z4568" s="103" t="s">
        <v>139</v>
      </c>
      <c r="AA4568" s="103" t="s">
        <v>47</v>
      </c>
      <c r="AB4568" s="103" t="s">
        <v>140</v>
      </c>
      <c r="AC4568" s="104" t="s">
        <v>141</v>
      </c>
    </row>
    <row r="4569" spans="1:29" ht="25.5" customHeight="1" x14ac:dyDescent="0.35">
      <c r="A4569" s="188"/>
      <c r="B4569" s="190"/>
      <c r="C4569" s="99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0"/>
      <c r="E4569" s="78" t="str">
        <f>IF(C4569="","",IFERROR(VLOOKUP(C4569,parametros!$A$11:$E$15,5,0),""))</f>
        <v/>
      </c>
      <c r="F4569" s="79" t="str">
        <f t="shared" si="357"/>
        <v/>
      </c>
      <c r="G4569" s="101"/>
      <c r="H4569" s="91">
        <f t="shared" si="358"/>
        <v>0</v>
      </c>
      <c r="I4569" s="91" t="str">
        <f t="shared" si="359"/>
        <v/>
      </c>
      <c r="J4569" s="91" t="str">
        <f t="shared" si="360"/>
        <v/>
      </c>
      <c r="K4569" s="92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2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58"/>
      <c r="U4569" s="217" t="str">
        <f t="shared" si="361"/>
        <v/>
      </c>
      <c r="V4569" s="215" t="s">
        <v>47</v>
      </c>
      <c r="W4569" s="102" t="s">
        <v>136</v>
      </c>
      <c r="X4569" s="102" t="s">
        <v>137</v>
      </c>
      <c r="Y4569" s="103" t="s">
        <v>138</v>
      </c>
      <c r="Z4569" s="103" t="s">
        <v>139</v>
      </c>
      <c r="AA4569" s="103" t="s">
        <v>47</v>
      </c>
      <c r="AB4569" s="103" t="s">
        <v>140</v>
      </c>
      <c r="AC4569" s="104" t="s">
        <v>141</v>
      </c>
    </row>
    <row r="4570" spans="1:29" ht="25.5" customHeight="1" x14ac:dyDescent="0.35">
      <c r="A4570" s="188"/>
      <c r="B4570" s="190"/>
      <c r="C4570" s="99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0"/>
      <c r="E4570" s="78" t="str">
        <f>IF(C4570="","",IFERROR(VLOOKUP(C4570,parametros!$A$11:$E$15,5,0),""))</f>
        <v/>
      </c>
      <c r="F4570" s="79" t="str">
        <f t="shared" si="357"/>
        <v/>
      </c>
      <c r="G4570" s="101"/>
      <c r="H4570" s="91">
        <f t="shared" si="358"/>
        <v>0</v>
      </c>
      <c r="I4570" s="91" t="str">
        <f t="shared" si="359"/>
        <v/>
      </c>
      <c r="J4570" s="91" t="str">
        <f t="shared" si="360"/>
        <v/>
      </c>
      <c r="K4570" s="92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2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58"/>
      <c r="U4570" s="217" t="str">
        <f t="shared" si="361"/>
        <v/>
      </c>
      <c r="V4570" s="215" t="s">
        <v>47</v>
      </c>
      <c r="W4570" s="102" t="s">
        <v>136</v>
      </c>
      <c r="X4570" s="102" t="s">
        <v>137</v>
      </c>
      <c r="Y4570" s="103" t="s">
        <v>138</v>
      </c>
      <c r="Z4570" s="103" t="s">
        <v>139</v>
      </c>
      <c r="AA4570" s="103" t="s">
        <v>47</v>
      </c>
      <c r="AB4570" s="103" t="s">
        <v>140</v>
      </c>
      <c r="AC4570" s="104" t="s">
        <v>141</v>
      </c>
    </row>
    <row r="4571" spans="1:29" ht="25.5" customHeight="1" x14ac:dyDescent="0.35">
      <c r="A4571" s="188"/>
      <c r="B4571" s="190"/>
      <c r="C4571" s="99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0"/>
      <c r="E4571" s="78" t="str">
        <f>IF(C4571="","",IFERROR(VLOOKUP(C4571,parametros!$A$11:$E$15,5,0),""))</f>
        <v/>
      </c>
      <c r="F4571" s="79" t="str">
        <f t="shared" si="357"/>
        <v/>
      </c>
      <c r="G4571" s="101"/>
      <c r="H4571" s="91">
        <f t="shared" si="358"/>
        <v>0</v>
      </c>
      <c r="I4571" s="91" t="str">
        <f t="shared" si="359"/>
        <v/>
      </c>
      <c r="J4571" s="91" t="str">
        <f t="shared" si="360"/>
        <v/>
      </c>
      <c r="K4571" s="92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2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58"/>
      <c r="U4571" s="217" t="str">
        <f t="shared" si="361"/>
        <v/>
      </c>
      <c r="V4571" s="215" t="s">
        <v>47</v>
      </c>
      <c r="W4571" s="102" t="s">
        <v>136</v>
      </c>
      <c r="X4571" s="102" t="s">
        <v>137</v>
      </c>
      <c r="Y4571" s="103" t="s">
        <v>138</v>
      </c>
      <c r="Z4571" s="103" t="s">
        <v>139</v>
      </c>
      <c r="AA4571" s="103" t="s">
        <v>47</v>
      </c>
      <c r="AB4571" s="103" t="s">
        <v>140</v>
      </c>
      <c r="AC4571" s="104" t="s">
        <v>141</v>
      </c>
    </row>
    <row r="4572" spans="1:29" ht="25.5" customHeight="1" x14ac:dyDescent="0.35">
      <c r="A4572" s="188"/>
      <c r="B4572" s="190"/>
      <c r="C4572" s="99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0"/>
      <c r="E4572" s="78" t="str">
        <f>IF(C4572="","",IFERROR(VLOOKUP(C4572,parametros!$A$11:$E$15,5,0),""))</f>
        <v/>
      </c>
      <c r="F4572" s="79" t="str">
        <f t="shared" si="357"/>
        <v/>
      </c>
      <c r="G4572" s="101"/>
      <c r="H4572" s="91">
        <f t="shared" si="358"/>
        <v>0</v>
      </c>
      <c r="I4572" s="91" t="str">
        <f t="shared" si="359"/>
        <v/>
      </c>
      <c r="J4572" s="91" t="str">
        <f t="shared" si="360"/>
        <v/>
      </c>
      <c r="K4572" s="92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2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58"/>
      <c r="U4572" s="217" t="str">
        <f t="shared" si="361"/>
        <v/>
      </c>
      <c r="V4572" s="215" t="s">
        <v>47</v>
      </c>
      <c r="W4572" s="102" t="s">
        <v>136</v>
      </c>
      <c r="X4572" s="102" t="s">
        <v>137</v>
      </c>
      <c r="Y4572" s="103" t="s">
        <v>138</v>
      </c>
      <c r="Z4572" s="103" t="s">
        <v>139</v>
      </c>
      <c r="AA4572" s="103" t="s">
        <v>47</v>
      </c>
      <c r="AB4572" s="103" t="s">
        <v>140</v>
      </c>
      <c r="AC4572" s="104" t="s">
        <v>141</v>
      </c>
    </row>
    <row r="4573" spans="1:29" ht="25.5" customHeight="1" x14ac:dyDescent="0.35">
      <c r="A4573" s="188"/>
      <c r="B4573" s="190"/>
      <c r="C4573" s="99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0"/>
      <c r="E4573" s="78" t="str">
        <f>IF(C4573="","",IFERROR(VLOOKUP(C4573,parametros!$A$11:$E$15,5,0),""))</f>
        <v/>
      </c>
      <c r="F4573" s="79" t="str">
        <f t="shared" si="357"/>
        <v/>
      </c>
      <c r="G4573" s="101"/>
      <c r="H4573" s="91">
        <f t="shared" si="358"/>
        <v>0</v>
      </c>
      <c r="I4573" s="91" t="str">
        <f t="shared" si="359"/>
        <v/>
      </c>
      <c r="J4573" s="91" t="str">
        <f t="shared" si="360"/>
        <v/>
      </c>
      <c r="K4573" s="92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2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58"/>
      <c r="U4573" s="217" t="str">
        <f t="shared" si="361"/>
        <v/>
      </c>
      <c r="V4573" s="215" t="s">
        <v>47</v>
      </c>
      <c r="W4573" s="102" t="s">
        <v>136</v>
      </c>
      <c r="X4573" s="102" t="s">
        <v>137</v>
      </c>
      <c r="Y4573" s="103" t="s">
        <v>138</v>
      </c>
      <c r="Z4573" s="103" t="s">
        <v>139</v>
      </c>
      <c r="AA4573" s="103" t="s">
        <v>47</v>
      </c>
      <c r="AB4573" s="103" t="s">
        <v>140</v>
      </c>
      <c r="AC4573" s="104" t="s">
        <v>141</v>
      </c>
    </row>
    <row r="4574" spans="1:29" ht="25.5" customHeight="1" x14ac:dyDescent="0.35">
      <c r="A4574" s="188"/>
      <c r="B4574" s="190"/>
      <c r="C4574" s="99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0"/>
      <c r="E4574" s="78" t="str">
        <f>IF(C4574="","",IFERROR(VLOOKUP(C4574,parametros!$A$11:$E$15,5,0),""))</f>
        <v/>
      </c>
      <c r="F4574" s="79" t="str">
        <f t="shared" si="357"/>
        <v/>
      </c>
      <c r="G4574" s="101"/>
      <c r="H4574" s="91">
        <f t="shared" si="358"/>
        <v>0</v>
      </c>
      <c r="I4574" s="91" t="str">
        <f t="shared" si="359"/>
        <v/>
      </c>
      <c r="J4574" s="91" t="str">
        <f t="shared" si="360"/>
        <v/>
      </c>
      <c r="K4574" s="92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2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58"/>
      <c r="U4574" s="217" t="str">
        <f t="shared" si="361"/>
        <v/>
      </c>
      <c r="V4574" s="215" t="s">
        <v>47</v>
      </c>
      <c r="W4574" s="102" t="s">
        <v>136</v>
      </c>
      <c r="X4574" s="102" t="s">
        <v>137</v>
      </c>
      <c r="Y4574" s="103" t="s">
        <v>138</v>
      </c>
      <c r="Z4574" s="103" t="s">
        <v>139</v>
      </c>
      <c r="AA4574" s="103" t="s">
        <v>47</v>
      </c>
      <c r="AB4574" s="103" t="s">
        <v>140</v>
      </c>
      <c r="AC4574" s="104" t="s">
        <v>141</v>
      </c>
    </row>
    <row r="4575" spans="1:29" ht="25.5" customHeight="1" x14ac:dyDescent="0.35">
      <c r="A4575" s="188"/>
      <c r="B4575" s="190"/>
      <c r="C4575" s="99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0"/>
      <c r="E4575" s="78" t="str">
        <f>IF(C4575="","",IFERROR(VLOOKUP(C4575,parametros!$A$11:$E$15,5,0),""))</f>
        <v/>
      </c>
      <c r="F4575" s="79" t="str">
        <f t="shared" si="357"/>
        <v/>
      </c>
      <c r="G4575" s="101"/>
      <c r="H4575" s="91">
        <f t="shared" si="358"/>
        <v>0</v>
      </c>
      <c r="I4575" s="91" t="str">
        <f t="shared" si="359"/>
        <v/>
      </c>
      <c r="J4575" s="91" t="str">
        <f t="shared" si="360"/>
        <v/>
      </c>
      <c r="K4575" s="92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2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58"/>
      <c r="U4575" s="217" t="str">
        <f t="shared" si="361"/>
        <v/>
      </c>
      <c r="V4575" s="215" t="s">
        <v>47</v>
      </c>
      <c r="W4575" s="102" t="s">
        <v>136</v>
      </c>
      <c r="X4575" s="102" t="s">
        <v>137</v>
      </c>
      <c r="Y4575" s="103" t="s">
        <v>138</v>
      </c>
      <c r="Z4575" s="103" t="s">
        <v>139</v>
      </c>
      <c r="AA4575" s="103" t="s">
        <v>47</v>
      </c>
      <c r="AB4575" s="103" t="s">
        <v>140</v>
      </c>
      <c r="AC4575" s="104" t="s">
        <v>141</v>
      </c>
    </row>
    <row r="4576" spans="1:29" ht="25.5" customHeight="1" x14ac:dyDescent="0.35">
      <c r="A4576" s="188"/>
      <c r="B4576" s="190"/>
      <c r="C4576" s="99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0"/>
      <c r="E4576" s="78" t="str">
        <f>IF(C4576="","",IFERROR(VLOOKUP(C4576,parametros!$A$11:$E$15,5,0),""))</f>
        <v/>
      </c>
      <c r="F4576" s="79" t="str">
        <f t="shared" si="357"/>
        <v/>
      </c>
      <c r="G4576" s="101"/>
      <c r="H4576" s="91">
        <f t="shared" si="358"/>
        <v>0</v>
      </c>
      <c r="I4576" s="91" t="str">
        <f t="shared" si="359"/>
        <v/>
      </c>
      <c r="J4576" s="91" t="str">
        <f t="shared" si="360"/>
        <v/>
      </c>
      <c r="K4576" s="92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2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58"/>
      <c r="U4576" s="217" t="str">
        <f t="shared" si="361"/>
        <v/>
      </c>
      <c r="V4576" s="215" t="s">
        <v>47</v>
      </c>
      <c r="W4576" s="102" t="s">
        <v>136</v>
      </c>
      <c r="X4576" s="102" t="s">
        <v>137</v>
      </c>
      <c r="Y4576" s="103" t="s">
        <v>138</v>
      </c>
      <c r="Z4576" s="103" t="s">
        <v>139</v>
      </c>
      <c r="AA4576" s="103" t="s">
        <v>47</v>
      </c>
      <c r="AB4576" s="103" t="s">
        <v>140</v>
      </c>
      <c r="AC4576" s="104" t="s">
        <v>141</v>
      </c>
    </row>
    <row r="4577" spans="1:29" ht="25.5" customHeight="1" x14ac:dyDescent="0.35">
      <c r="A4577" s="188"/>
      <c r="B4577" s="190"/>
      <c r="C4577" s="99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0"/>
      <c r="E4577" s="78" t="str">
        <f>IF(C4577="","",IFERROR(VLOOKUP(C4577,parametros!$A$11:$E$15,5,0),""))</f>
        <v/>
      </c>
      <c r="F4577" s="79" t="str">
        <f t="shared" si="357"/>
        <v/>
      </c>
      <c r="G4577" s="101"/>
      <c r="H4577" s="91">
        <f t="shared" si="358"/>
        <v>0</v>
      </c>
      <c r="I4577" s="91" t="str">
        <f t="shared" si="359"/>
        <v/>
      </c>
      <c r="J4577" s="91" t="str">
        <f t="shared" si="360"/>
        <v/>
      </c>
      <c r="K4577" s="92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2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58"/>
      <c r="U4577" s="217" t="str">
        <f t="shared" si="361"/>
        <v/>
      </c>
      <c r="V4577" s="215" t="s">
        <v>47</v>
      </c>
      <c r="W4577" s="102" t="s">
        <v>136</v>
      </c>
      <c r="X4577" s="102" t="s">
        <v>137</v>
      </c>
      <c r="Y4577" s="103" t="s">
        <v>138</v>
      </c>
      <c r="Z4577" s="103" t="s">
        <v>139</v>
      </c>
      <c r="AA4577" s="103" t="s">
        <v>47</v>
      </c>
      <c r="AB4577" s="103" t="s">
        <v>140</v>
      </c>
      <c r="AC4577" s="104" t="s">
        <v>141</v>
      </c>
    </row>
    <row r="4578" spans="1:29" ht="25.5" customHeight="1" x14ac:dyDescent="0.35">
      <c r="A4578" s="188"/>
      <c r="B4578" s="190"/>
      <c r="C4578" s="99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0"/>
      <c r="E4578" s="78" t="str">
        <f>IF(C4578="","",IFERROR(VLOOKUP(C4578,parametros!$A$11:$E$15,5,0),""))</f>
        <v/>
      </c>
      <c r="F4578" s="79" t="str">
        <f t="shared" si="357"/>
        <v/>
      </c>
      <c r="G4578" s="101"/>
      <c r="H4578" s="91">
        <f t="shared" si="358"/>
        <v>0</v>
      </c>
      <c r="I4578" s="91" t="str">
        <f t="shared" si="359"/>
        <v/>
      </c>
      <c r="J4578" s="91" t="str">
        <f t="shared" si="360"/>
        <v/>
      </c>
      <c r="K4578" s="92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2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58"/>
      <c r="U4578" s="217" t="str">
        <f t="shared" si="361"/>
        <v/>
      </c>
      <c r="V4578" s="215" t="s">
        <v>47</v>
      </c>
      <c r="W4578" s="102" t="s">
        <v>136</v>
      </c>
      <c r="X4578" s="102" t="s">
        <v>137</v>
      </c>
      <c r="Y4578" s="103" t="s">
        <v>138</v>
      </c>
      <c r="Z4578" s="103" t="s">
        <v>139</v>
      </c>
      <c r="AA4578" s="103" t="s">
        <v>47</v>
      </c>
      <c r="AB4578" s="103" t="s">
        <v>140</v>
      </c>
      <c r="AC4578" s="104" t="s">
        <v>141</v>
      </c>
    </row>
    <row r="4579" spans="1:29" ht="25.5" customHeight="1" x14ac:dyDescent="0.35">
      <c r="A4579" s="188"/>
      <c r="B4579" s="190"/>
      <c r="C4579" s="99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0"/>
      <c r="E4579" s="78" t="str">
        <f>IF(C4579="","",IFERROR(VLOOKUP(C4579,parametros!$A$11:$E$15,5,0),""))</f>
        <v/>
      </c>
      <c r="F4579" s="79" t="str">
        <f t="shared" si="357"/>
        <v/>
      </c>
      <c r="G4579" s="101"/>
      <c r="H4579" s="91">
        <f t="shared" si="358"/>
        <v>0</v>
      </c>
      <c r="I4579" s="91" t="str">
        <f t="shared" si="359"/>
        <v/>
      </c>
      <c r="J4579" s="91" t="str">
        <f t="shared" si="360"/>
        <v/>
      </c>
      <c r="K4579" s="92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2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58"/>
      <c r="U4579" s="217" t="str">
        <f t="shared" si="361"/>
        <v/>
      </c>
      <c r="V4579" s="215" t="s">
        <v>47</v>
      </c>
      <c r="W4579" s="102" t="s">
        <v>136</v>
      </c>
      <c r="X4579" s="102" t="s">
        <v>137</v>
      </c>
      <c r="Y4579" s="103" t="s">
        <v>138</v>
      </c>
      <c r="Z4579" s="103" t="s">
        <v>139</v>
      </c>
      <c r="AA4579" s="103" t="s">
        <v>47</v>
      </c>
      <c r="AB4579" s="103" t="s">
        <v>140</v>
      </c>
      <c r="AC4579" s="104" t="s">
        <v>141</v>
      </c>
    </row>
    <row r="4580" spans="1:29" ht="25.5" customHeight="1" x14ac:dyDescent="0.35">
      <c r="A4580" s="188"/>
      <c r="B4580" s="190"/>
      <c r="C4580" s="99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0"/>
      <c r="E4580" s="78" t="str">
        <f>IF(C4580="","",IFERROR(VLOOKUP(C4580,parametros!$A$11:$E$15,5,0),""))</f>
        <v/>
      </c>
      <c r="F4580" s="79" t="str">
        <f t="shared" si="357"/>
        <v/>
      </c>
      <c r="G4580" s="101"/>
      <c r="H4580" s="91">
        <f t="shared" si="358"/>
        <v>0</v>
      </c>
      <c r="I4580" s="91" t="str">
        <f t="shared" si="359"/>
        <v/>
      </c>
      <c r="J4580" s="91" t="str">
        <f t="shared" si="360"/>
        <v/>
      </c>
      <c r="K4580" s="92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2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58"/>
      <c r="U4580" s="217" t="str">
        <f t="shared" si="361"/>
        <v/>
      </c>
      <c r="V4580" s="215" t="s">
        <v>47</v>
      </c>
      <c r="W4580" s="102" t="s">
        <v>136</v>
      </c>
      <c r="X4580" s="102" t="s">
        <v>137</v>
      </c>
      <c r="Y4580" s="103" t="s">
        <v>138</v>
      </c>
      <c r="Z4580" s="103" t="s">
        <v>139</v>
      </c>
      <c r="AA4580" s="103" t="s">
        <v>47</v>
      </c>
      <c r="AB4580" s="103" t="s">
        <v>140</v>
      </c>
      <c r="AC4580" s="104" t="s">
        <v>141</v>
      </c>
    </row>
    <row r="4581" spans="1:29" ht="25.5" customHeight="1" x14ac:dyDescent="0.35">
      <c r="A4581" s="188"/>
      <c r="B4581" s="190"/>
      <c r="C4581" s="99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0"/>
      <c r="E4581" s="78" t="str">
        <f>IF(C4581="","",IFERROR(VLOOKUP(C4581,parametros!$A$11:$E$15,5,0),""))</f>
        <v/>
      </c>
      <c r="F4581" s="79" t="str">
        <f t="shared" si="357"/>
        <v/>
      </c>
      <c r="G4581" s="101"/>
      <c r="H4581" s="91">
        <f t="shared" si="358"/>
        <v>0</v>
      </c>
      <c r="I4581" s="91" t="str">
        <f t="shared" si="359"/>
        <v/>
      </c>
      <c r="J4581" s="91" t="str">
        <f t="shared" si="360"/>
        <v/>
      </c>
      <c r="K4581" s="92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2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58"/>
      <c r="U4581" s="217" t="str">
        <f t="shared" si="361"/>
        <v/>
      </c>
      <c r="V4581" s="215" t="s">
        <v>47</v>
      </c>
      <c r="W4581" s="102" t="s">
        <v>136</v>
      </c>
      <c r="X4581" s="102" t="s">
        <v>137</v>
      </c>
      <c r="Y4581" s="103" t="s">
        <v>138</v>
      </c>
      <c r="Z4581" s="103" t="s">
        <v>139</v>
      </c>
      <c r="AA4581" s="103" t="s">
        <v>47</v>
      </c>
      <c r="AB4581" s="103" t="s">
        <v>140</v>
      </c>
      <c r="AC4581" s="104" t="s">
        <v>141</v>
      </c>
    </row>
    <row r="4582" spans="1:29" ht="25.5" customHeight="1" x14ac:dyDescent="0.35">
      <c r="A4582" s="188"/>
      <c r="B4582" s="190"/>
      <c r="C4582" s="99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0"/>
      <c r="E4582" s="78" t="str">
        <f>IF(C4582="","",IFERROR(VLOOKUP(C4582,parametros!$A$11:$E$15,5,0),""))</f>
        <v/>
      </c>
      <c r="F4582" s="79" t="str">
        <f t="shared" si="357"/>
        <v/>
      </c>
      <c r="G4582" s="101"/>
      <c r="H4582" s="91">
        <f t="shared" si="358"/>
        <v>0</v>
      </c>
      <c r="I4582" s="91" t="str">
        <f t="shared" si="359"/>
        <v/>
      </c>
      <c r="J4582" s="91" t="str">
        <f t="shared" si="360"/>
        <v/>
      </c>
      <c r="K4582" s="92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2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58"/>
      <c r="U4582" s="217" t="str">
        <f t="shared" si="361"/>
        <v/>
      </c>
      <c r="V4582" s="215" t="s">
        <v>47</v>
      </c>
      <c r="W4582" s="102" t="s">
        <v>136</v>
      </c>
      <c r="X4582" s="102" t="s">
        <v>137</v>
      </c>
      <c r="Y4582" s="103" t="s">
        <v>138</v>
      </c>
      <c r="Z4582" s="103" t="s">
        <v>139</v>
      </c>
      <c r="AA4582" s="103" t="s">
        <v>47</v>
      </c>
      <c r="AB4582" s="103" t="s">
        <v>140</v>
      </c>
      <c r="AC4582" s="104" t="s">
        <v>141</v>
      </c>
    </row>
    <row r="4583" spans="1:29" ht="25.5" customHeight="1" x14ac:dyDescent="0.35">
      <c r="A4583" s="188"/>
      <c r="B4583" s="190"/>
      <c r="C4583" s="99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0"/>
      <c r="E4583" s="78" t="str">
        <f>IF(C4583="","",IFERROR(VLOOKUP(C4583,parametros!$A$11:$E$15,5,0),""))</f>
        <v/>
      </c>
      <c r="F4583" s="79" t="str">
        <f t="shared" si="357"/>
        <v/>
      </c>
      <c r="G4583" s="101"/>
      <c r="H4583" s="91">
        <f t="shared" si="358"/>
        <v>0</v>
      </c>
      <c r="I4583" s="91" t="str">
        <f t="shared" si="359"/>
        <v/>
      </c>
      <c r="J4583" s="91" t="str">
        <f t="shared" si="360"/>
        <v/>
      </c>
      <c r="K4583" s="92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2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58"/>
      <c r="U4583" s="217" t="str">
        <f t="shared" si="361"/>
        <v/>
      </c>
      <c r="V4583" s="215" t="s">
        <v>47</v>
      </c>
      <c r="W4583" s="102" t="s">
        <v>136</v>
      </c>
      <c r="X4583" s="102" t="s">
        <v>137</v>
      </c>
      <c r="Y4583" s="103" t="s">
        <v>138</v>
      </c>
      <c r="Z4583" s="103" t="s">
        <v>139</v>
      </c>
      <c r="AA4583" s="103" t="s">
        <v>47</v>
      </c>
      <c r="AB4583" s="103" t="s">
        <v>140</v>
      </c>
      <c r="AC4583" s="104" t="s">
        <v>141</v>
      </c>
    </row>
    <row r="4584" spans="1:29" ht="25.5" customHeight="1" x14ac:dyDescent="0.35">
      <c r="A4584" s="188"/>
      <c r="B4584" s="190"/>
      <c r="C4584" s="99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0"/>
      <c r="E4584" s="78" t="str">
        <f>IF(C4584="","",IFERROR(VLOOKUP(C4584,parametros!$A$11:$E$15,5,0),""))</f>
        <v/>
      </c>
      <c r="F4584" s="79" t="str">
        <f t="shared" si="357"/>
        <v/>
      </c>
      <c r="G4584" s="101"/>
      <c r="H4584" s="91">
        <f t="shared" si="358"/>
        <v>0</v>
      </c>
      <c r="I4584" s="91" t="str">
        <f t="shared" si="359"/>
        <v/>
      </c>
      <c r="J4584" s="91" t="str">
        <f t="shared" si="360"/>
        <v/>
      </c>
      <c r="K4584" s="92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2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58"/>
      <c r="U4584" s="217" t="str">
        <f t="shared" si="361"/>
        <v/>
      </c>
      <c r="V4584" s="215" t="s">
        <v>47</v>
      </c>
      <c r="W4584" s="102" t="s">
        <v>136</v>
      </c>
      <c r="X4584" s="102" t="s">
        <v>137</v>
      </c>
      <c r="Y4584" s="103" t="s">
        <v>138</v>
      </c>
      <c r="Z4584" s="103" t="s">
        <v>139</v>
      </c>
      <c r="AA4584" s="103" t="s">
        <v>47</v>
      </c>
      <c r="AB4584" s="103" t="s">
        <v>140</v>
      </c>
      <c r="AC4584" s="104" t="s">
        <v>141</v>
      </c>
    </row>
    <row r="4585" spans="1:29" ht="25.5" customHeight="1" x14ac:dyDescent="0.35">
      <c r="A4585" s="188"/>
      <c r="B4585" s="190"/>
      <c r="C4585" s="99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0"/>
      <c r="E4585" s="78" t="str">
        <f>IF(C4585="","",IFERROR(VLOOKUP(C4585,parametros!$A$11:$E$15,5,0),""))</f>
        <v/>
      </c>
      <c r="F4585" s="79" t="str">
        <f t="shared" si="357"/>
        <v/>
      </c>
      <c r="G4585" s="101"/>
      <c r="H4585" s="91">
        <f t="shared" si="358"/>
        <v>0</v>
      </c>
      <c r="I4585" s="91" t="str">
        <f t="shared" si="359"/>
        <v/>
      </c>
      <c r="J4585" s="91" t="str">
        <f t="shared" si="360"/>
        <v/>
      </c>
      <c r="K4585" s="92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2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58"/>
      <c r="U4585" s="217" t="str">
        <f t="shared" si="361"/>
        <v/>
      </c>
      <c r="V4585" s="215" t="s">
        <v>47</v>
      </c>
      <c r="W4585" s="102" t="s">
        <v>136</v>
      </c>
      <c r="X4585" s="102" t="s">
        <v>137</v>
      </c>
      <c r="Y4585" s="103" t="s">
        <v>138</v>
      </c>
      <c r="Z4585" s="103" t="s">
        <v>139</v>
      </c>
      <c r="AA4585" s="103" t="s">
        <v>47</v>
      </c>
      <c r="AB4585" s="103" t="s">
        <v>140</v>
      </c>
      <c r="AC4585" s="104" t="s">
        <v>141</v>
      </c>
    </row>
    <row r="4586" spans="1:29" ht="25.5" customHeight="1" x14ac:dyDescent="0.35">
      <c r="A4586" s="188"/>
      <c r="B4586" s="190"/>
      <c r="C4586" s="99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0"/>
      <c r="E4586" s="78" t="str">
        <f>IF(C4586="","",IFERROR(VLOOKUP(C4586,parametros!$A$11:$E$15,5,0),""))</f>
        <v/>
      </c>
      <c r="F4586" s="79" t="str">
        <f t="shared" si="357"/>
        <v/>
      </c>
      <c r="G4586" s="101"/>
      <c r="H4586" s="91">
        <f t="shared" si="358"/>
        <v>0</v>
      </c>
      <c r="I4586" s="91" t="str">
        <f t="shared" si="359"/>
        <v/>
      </c>
      <c r="J4586" s="91" t="str">
        <f t="shared" si="360"/>
        <v/>
      </c>
      <c r="K4586" s="92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2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58"/>
      <c r="U4586" s="217" t="str">
        <f t="shared" si="361"/>
        <v/>
      </c>
      <c r="V4586" s="215" t="s">
        <v>47</v>
      </c>
      <c r="W4586" s="102" t="s">
        <v>136</v>
      </c>
      <c r="X4586" s="102" t="s">
        <v>137</v>
      </c>
      <c r="Y4586" s="103" t="s">
        <v>138</v>
      </c>
      <c r="Z4586" s="103" t="s">
        <v>139</v>
      </c>
      <c r="AA4586" s="103" t="s">
        <v>47</v>
      </c>
      <c r="AB4586" s="103" t="s">
        <v>140</v>
      </c>
      <c r="AC4586" s="104" t="s">
        <v>141</v>
      </c>
    </row>
    <row r="4587" spans="1:29" ht="25.5" customHeight="1" x14ac:dyDescent="0.35">
      <c r="A4587" s="188"/>
      <c r="B4587" s="190"/>
      <c r="C4587" s="99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0"/>
      <c r="E4587" s="78" t="str">
        <f>IF(C4587="","",IFERROR(VLOOKUP(C4587,parametros!$A$11:$E$15,5,0),""))</f>
        <v/>
      </c>
      <c r="F4587" s="79" t="str">
        <f t="shared" si="357"/>
        <v/>
      </c>
      <c r="G4587" s="101"/>
      <c r="H4587" s="91">
        <f t="shared" si="358"/>
        <v>0</v>
      </c>
      <c r="I4587" s="91" t="str">
        <f t="shared" si="359"/>
        <v/>
      </c>
      <c r="J4587" s="91" t="str">
        <f t="shared" si="360"/>
        <v/>
      </c>
      <c r="K4587" s="92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2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58"/>
      <c r="U4587" s="217" t="str">
        <f t="shared" si="361"/>
        <v/>
      </c>
      <c r="V4587" s="215" t="s">
        <v>47</v>
      </c>
      <c r="W4587" s="102" t="s">
        <v>136</v>
      </c>
      <c r="X4587" s="102" t="s">
        <v>137</v>
      </c>
      <c r="Y4587" s="103" t="s">
        <v>138</v>
      </c>
      <c r="Z4587" s="103" t="s">
        <v>139</v>
      </c>
      <c r="AA4587" s="103" t="s">
        <v>47</v>
      </c>
      <c r="AB4587" s="103" t="s">
        <v>140</v>
      </c>
      <c r="AC4587" s="104" t="s">
        <v>141</v>
      </c>
    </row>
    <row r="4588" spans="1:29" ht="25.5" customHeight="1" x14ac:dyDescent="0.35">
      <c r="A4588" s="188"/>
      <c r="B4588" s="190"/>
      <c r="C4588" s="99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0"/>
      <c r="E4588" s="78" t="str">
        <f>IF(C4588="","",IFERROR(VLOOKUP(C4588,parametros!$A$11:$E$15,5,0),""))</f>
        <v/>
      </c>
      <c r="F4588" s="79" t="str">
        <f t="shared" si="357"/>
        <v/>
      </c>
      <c r="G4588" s="101"/>
      <c r="H4588" s="91">
        <f t="shared" si="358"/>
        <v>0</v>
      </c>
      <c r="I4588" s="91" t="str">
        <f t="shared" si="359"/>
        <v/>
      </c>
      <c r="J4588" s="91" t="str">
        <f t="shared" si="360"/>
        <v/>
      </c>
      <c r="K4588" s="92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2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58"/>
      <c r="U4588" s="217" t="str">
        <f t="shared" si="361"/>
        <v/>
      </c>
      <c r="V4588" s="215" t="s">
        <v>47</v>
      </c>
      <c r="W4588" s="102" t="s">
        <v>136</v>
      </c>
      <c r="X4588" s="102" t="s">
        <v>137</v>
      </c>
      <c r="Y4588" s="103" t="s">
        <v>138</v>
      </c>
      <c r="Z4588" s="103" t="s">
        <v>139</v>
      </c>
      <c r="AA4588" s="103" t="s">
        <v>47</v>
      </c>
      <c r="AB4588" s="103" t="s">
        <v>140</v>
      </c>
      <c r="AC4588" s="104" t="s">
        <v>141</v>
      </c>
    </row>
    <row r="4589" spans="1:29" ht="25.5" customHeight="1" x14ac:dyDescent="0.35">
      <c r="A4589" s="188"/>
      <c r="B4589" s="190"/>
      <c r="C4589" s="99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0"/>
      <c r="E4589" s="78" t="str">
        <f>IF(C4589="","",IFERROR(VLOOKUP(C4589,parametros!$A$11:$E$15,5,0),""))</f>
        <v/>
      </c>
      <c r="F4589" s="79" t="str">
        <f t="shared" si="357"/>
        <v/>
      </c>
      <c r="G4589" s="101"/>
      <c r="H4589" s="91">
        <f t="shared" si="358"/>
        <v>0</v>
      </c>
      <c r="I4589" s="91" t="str">
        <f t="shared" si="359"/>
        <v/>
      </c>
      <c r="J4589" s="91" t="str">
        <f t="shared" si="360"/>
        <v/>
      </c>
      <c r="K4589" s="92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2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58"/>
      <c r="U4589" s="217" t="str">
        <f t="shared" si="361"/>
        <v/>
      </c>
      <c r="V4589" s="215" t="s">
        <v>47</v>
      </c>
      <c r="W4589" s="102" t="s">
        <v>136</v>
      </c>
      <c r="X4589" s="102" t="s">
        <v>137</v>
      </c>
      <c r="Y4589" s="103" t="s">
        <v>138</v>
      </c>
      <c r="Z4589" s="103" t="s">
        <v>139</v>
      </c>
      <c r="AA4589" s="103" t="s">
        <v>47</v>
      </c>
      <c r="AB4589" s="103" t="s">
        <v>140</v>
      </c>
      <c r="AC4589" s="104" t="s">
        <v>141</v>
      </c>
    </row>
    <row r="4590" spans="1:29" ht="25.5" customHeight="1" x14ac:dyDescent="0.35">
      <c r="A4590" s="188"/>
      <c r="B4590" s="190"/>
      <c r="C4590" s="99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0"/>
      <c r="E4590" s="78" t="str">
        <f>IF(C4590="","",IFERROR(VLOOKUP(C4590,parametros!$A$11:$E$15,5,0),""))</f>
        <v/>
      </c>
      <c r="F4590" s="79" t="str">
        <f t="shared" si="357"/>
        <v/>
      </c>
      <c r="G4590" s="101"/>
      <c r="H4590" s="91">
        <f t="shared" si="358"/>
        <v>0</v>
      </c>
      <c r="I4590" s="91" t="str">
        <f t="shared" si="359"/>
        <v/>
      </c>
      <c r="J4590" s="91" t="str">
        <f t="shared" si="360"/>
        <v/>
      </c>
      <c r="K4590" s="92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2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58"/>
      <c r="U4590" s="217" t="str">
        <f t="shared" si="361"/>
        <v/>
      </c>
      <c r="V4590" s="215" t="s">
        <v>47</v>
      </c>
      <c r="W4590" s="102" t="s">
        <v>136</v>
      </c>
      <c r="X4590" s="102" t="s">
        <v>137</v>
      </c>
      <c r="Y4590" s="103" t="s">
        <v>138</v>
      </c>
      <c r="Z4590" s="103" t="s">
        <v>139</v>
      </c>
      <c r="AA4590" s="103" t="s">
        <v>47</v>
      </c>
      <c r="AB4590" s="103" t="s">
        <v>140</v>
      </c>
      <c r="AC4590" s="104" t="s">
        <v>141</v>
      </c>
    </row>
    <row r="4591" spans="1:29" ht="25.5" customHeight="1" x14ac:dyDescent="0.35">
      <c r="A4591" s="188"/>
      <c r="B4591" s="190"/>
      <c r="C4591" s="99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0"/>
      <c r="E4591" s="78" t="str">
        <f>IF(C4591="","",IFERROR(VLOOKUP(C4591,parametros!$A$11:$E$15,5,0),""))</f>
        <v/>
      </c>
      <c r="F4591" s="79" t="str">
        <f t="shared" si="357"/>
        <v/>
      </c>
      <c r="G4591" s="101"/>
      <c r="H4591" s="91">
        <f t="shared" si="358"/>
        <v>0</v>
      </c>
      <c r="I4591" s="91" t="str">
        <f t="shared" si="359"/>
        <v/>
      </c>
      <c r="J4591" s="91" t="str">
        <f t="shared" si="360"/>
        <v/>
      </c>
      <c r="K4591" s="92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2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58"/>
      <c r="U4591" s="217" t="str">
        <f t="shared" si="361"/>
        <v/>
      </c>
      <c r="V4591" s="215" t="s">
        <v>47</v>
      </c>
      <c r="W4591" s="102" t="s">
        <v>136</v>
      </c>
      <c r="X4591" s="102" t="s">
        <v>137</v>
      </c>
      <c r="Y4591" s="103" t="s">
        <v>138</v>
      </c>
      <c r="Z4591" s="103" t="s">
        <v>139</v>
      </c>
      <c r="AA4591" s="103" t="s">
        <v>47</v>
      </c>
      <c r="AB4591" s="103" t="s">
        <v>140</v>
      </c>
      <c r="AC4591" s="104" t="s">
        <v>141</v>
      </c>
    </row>
    <row r="4592" spans="1:29" ht="25.5" customHeight="1" x14ac:dyDescent="0.35">
      <c r="A4592" s="188"/>
      <c r="B4592" s="190"/>
      <c r="C4592" s="99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0"/>
      <c r="E4592" s="78" t="str">
        <f>IF(C4592="","",IFERROR(VLOOKUP(C4592,parametros!$A$11:$E$15,5,0),""))</f>
        <v/>
      </c>
      <c r="F4592" s="79" t="str">
        <f t="shared" si="357"/>
        <v/>
      </c>
      <c r="G4592" s="101"/>
      <c r="H4592" s="91">
        <f t="shared" si="358"/>
        <v>0</v>
      </c>
      <c r="I4592" s="91" t="str">
        <f t="shared" si="359"/>
        <v/>
      </c>
      <c r="J4592" s="91" t="str">
        <f t="shared" si="360"/>
        <v/>
      </c>
      <c r="K4592" s="92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2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58"/>
      <c r="U4592" s="217" t="str">
        <f t="shared" si="361"/>
        <v/>
      </c>
      <c r="V4592" s="215" t="s">
        <v>47</v>
      </c>
      <c r="W4592" s="102" t="s">
        <v>136</v>
      </c>
      <c r="X4592" s="102" t="s">
        <v>137</v>
      </c>
      <c r="Y4592" s="103" t="s">
        <v>138</v>
      </c>
      <c r="Z4592" s="103" t="s">
        <v>139</v>
      </c>
      <c r="AA4592" s="103" t="s">
        <v>47</v>
      </c>
      <c r="AB4592" s="103" t="s">
        <v>140</v>
      </c>
      <c r="AC4592" s="104" t="s">
        <v>141</v>
      </c>
    </row>
    <row r="4593" spans="1:29" ht="25.5" customHeight="1" x14ac:dyDescent="0.35">
      <c r="A4593" s="188"/>
      <c r="B4593" s="190"/>
      <c r="C4593" s="99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0"/>
      <c r="E4593" s="78" t="str">
        <f>IF(C4593="","",IFERROR(VLOOKUP(C4593,parametros!$A$11:$E$15,5,0),""))</f>
        <v/>
      </c>
      <c r="F4593" s="79" t="str">
        <f t="shared" si="357"/>
        <v/>
      </c>
      <c r="G4593" s="101"/>
      <c r="H4593" s="91">
        <f t="shared" si="358"/>
        <v>0</v>
      </c>
      <c r="I4593" s="91" t="str">
        <f t="shared" si="359"/>
        <v/>
      </c>
      <c r="J4593" s="91" t="str">
        <f t="shared" si="360"/>
        <v/>
      </c>
      <c r="K4593" s="92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2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58"/>
      <c r="U4593" s="217" t="str">
        <f t="shared" si="361"/>
        <v/>
      </c>
      <c r="V4593" s="215" t="s">
        <v>47</v>
      </c>
      <c r="W4593" s="102" t="s">
        <v>136</v>
      </c>
      <c r="X4593" s="102" t="s">
        <v>137</v>
      </c>
      <c r="Y4593" s="103" t="s">
        <v>138</v>
      </c>
      <c r="Z4593" s="103" t="s">
        <v>139</v>
      </c>
      <c r="AA4593" s="103" t="s">
        <v>47</v>
      </c>
      <c r="AB4593" s="103" t="s">
        <v>140</v>
      </c>
      <c r="AC4593" s="104" t="s">
        <v>141</v>
      </c>
    </row>
    <row r="4594" spans="1:29" ht="25.5" customHeight="1" x14ac:dyDescent="0.35">
      <c r="A4594" s="188"/>
      <c r="B4594" s="190"/>
      <c r="C4594" s="99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0"/>
      <c r="E4594" s="78" t="str">
        <f>IF(C4594="","",IFERROR(VLOOKUP(C4594,parametros!$A$11:$E$15,5,0),""))</f>
        <v/>
      </c>
      <c r="F4594" s="79" t="str">
        <f t="shared" si="357"/>
        <v/>
      </c>
      <c r="G4594" s="101"/>
      <c r="H4594" s="91">
        <f t="shared" si="358"/>
        <v>0</v>
      </c>
      <c r="I4594" s="91" t="str">
        <f t="shared" si="359"/>
        <v/>
      </c>
      <c r="J4594" s="91" t="str">
        <f t="shared" si="360"/>
        <v/>
      </c>
      <c r="K4594" s="92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2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58"/>
      <c r="U4594" s="217" t="str">
        <f t="shared" si="361"/>
        <v/>
      </c>
      <c r="V4594" s="215" t="s">
        <v>47</v>
      </c>
      <c r="W4594" s="102" t="s">
        <v>136</v>
      </c>
      <c r="X4594" s="102" t="s">
        <v>137</v>
      </c>
      <c r="Y4594" s="103" t="s">
        <v>138</v>
      </c>
      <c r="Z4594" s="103" t="s">
        <v>139</v>
      </c>
      <c r="AA4594" s="103" t="s">
        <v>47</v>
      </c>
      <c r="AB4594" s="103" t="s">
        <v>140</v>
      </c>
      <c r="AC4594" s="104" t="s">
        <v>141</v>
      </c>
    </row>
    <row r="4595" spans="1:29" ht="25.5" customHeight="1" x14ac:dyDescent="0.35">
      <c r="A4595" s="188"/>
      <c r="B4595" s="190"/>
      <c r="C4595" s="99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0"/>
      <c r="E4595" s="78" t="str">
        <f>IF(C4595="","",IFERROR(VLOOKUP(C4595,parametros!$A$11:$E$15,5,0),""))</f>
        <v/>
      </c>
      <c r="F4595" s="79" t="str">
        <f t="shared" si="357"/>
        <v/>
      </c>
      <c r="G4595" s="101"/>
      <c r="H4595" s="91">
        <f t="shared" si="358"/>
        <v>0</v>
      </c>
      <c r="I4595" s="91" t="str">
        <f t="shared" si="359"/>
        <v/>
      </c>
      <c r="J4595" s="91" t="str">
        <f t="shared" si="360"/>
        <v/>
      </c>
      <c r="K4595" s="92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2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58"/>
      <c r="U4595" s="217" t="str">
        <f t="shared" si="361"/>
        <v/>
      </c>
      <c r="V4595" s="215" t="s">
        <v>47</v>
      </c>
      <c r="W4595" s="102" t="s">
        <v>136</v>
      </c>
      <c r="X4595" s="102" t="s">
        <v>137</v>
      </c>
      <c r="Y4595" s="103" t="s">
        <v>138</v>
      </c>
      <c r="Z4595" s="103" t="s">
        <v>139</v>
      </c>
      <c r="AA4595" s="103" t="s">
        <v>47</v>
      </c>
      <c r="AB4595" s="103" t="s">
        <v>140</v>
      </c>
      <c r="AC4595" s="104" t="s">
        <v>141</v>
      </c>
    </row>
    <row r="4596" spans="1:29" ht="25.5" customHeight="1" x14ac:dyDescent="0.35">
      <c r="A4596" s="188"/>
      <c r="B4596" s="190"/>
      <c r="C4596" s="99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0"/>
      <c r="E4596" s="78" t="str">
        <f>IF(C4596="","",IFERROR(VLOOKUP(C4596,parametros!$A$11:$E$15,5,0),""))</f>
        <v/>
      </c>
      <c r="F4596" s="79" t="str">
        <f t="shared" si="357"/>
        <v/>
      </c>
      <c r="G4596" s="101"/>
      <c r="H4596" s="91">
        <f t="shared" si="358"/>
        <v>0</v>
      </c>
      <c r="I4596" s="91" t="str">
        <f t="shared" si="359"/>
        <v/>
      </c>
      <c r="J4596" s="91" t="str">
        <f t="shared" si="360"/>
        <v/>
      </c>
      <c r="K4596" s="92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2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58"/>
      <c r="U4596" s="217" t="str">
        <f t="shared" si="361"/>
        <v/>
      </c>
      <c r="V4596" s="215" t="s">
        <v>47</v>
      </c>
      <c r="W4596" s="102" t="s">
        <v>136</v>
      </c>
      <c r="X4596" s="102" t="s">
        <v>137</v>
      </c>
      <c r="Y4596" s="103" t="s">
        <v>138</v>
      </c>
      <c r="Z4596" s="103" t="s">
        <v>139</v>
      </c>
      <c r="AA4596" s="103" t="s">
        <v>47</v>
      </c>
      <c r="AB4596" s="103" t="s">
        <v>140</v>
      </c>
      <c r="AC4596" s="104" t="s">
        <v>141</v>
      </c>
    </row>
    <row r="4597" spans="1:29" ht="25.5" customHeight="1" x14ac:dyDescent="0.35">
      <c r="A4597" s="188"/>
      <c r="B4597" s="190"/>
      <c r="C4597" s="99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0"/>
      <c r="E4597" s="78" t="str">
        <f>IF(C4597="","",IFERROR(VLOOKUP(C4597,parametros!$A$11:$E$15,5,0),""))</f>
        <v/>
      </c>
      <c r="F4597" s="79" t="str">
        <f t="shared" si="357"/>
        <v/>
      </c>
      <c r="G4597" s="101"/>
      <c r="H4597" s="91">
        <f t="shared" si="358"/>
        <v>0</v>
      </c>
      <c r="I4597" s="91" t="str">
        <f t="shared" si="359"/>
        <v/>
      </c>
      <c r="J4597" s="91" t="str">
        <f t="shared" si="360"/>
        <v/>
      </c>
      <c r="K4597" s="92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2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58"/>
      <c r="U4597" s="217" t="str">
        <f t="shared" si="361"/>
        <v/>
      </c>
      <c r="V4597" s="215" t="s">
        <v>47</v>
      </c>
      <c r="W4597" s="102" t="s">
        <v>136</v>
      </c>
      <c r="X4597" s="102" t="s">
        <v>137</v>
      </c>
      <c r="Y4597" s="103" t="s">
        <v>138</v>
      </c>
      <c r="Z4597" s="103" t="s">
        <v>139</v>
      </c>
      <c r="AA4597" s="103" t="s">
        <v>47</v>
      </c>
      <c r="AB4597" s="103" t="s">
        <v>140</v>
      </c>
      <c r="AC4597" s="104" t="s">
        <v>141</v>
      </c>
    </row>
    <row r="4598" spans="1:29" ht="25.5" customHeight="1" x14ac:dyDescent="0.35">
      <c r="A4598" s="188"/>
      <c r="B4598" s="190"/>
      <c r="C4598" s="99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0"/>
      <c r="E4598" s="78" t="str">
        <f>IF(C4598="","",IFERROR(VLOOKUP(C4598,parametros!$A$11:$E$15,5,0),""))</f>
        <v/>
      </c>
      <c r="F4598" s="79" t="str">
        <f t="shared" si="357"/>
        <v/>
      </c>
      <c r="G4598" s="101"/>
      <c r="H4598" s="91">
        <f t="shared" si="358"/>
        <v>0</v>
      </c>
      <c r="I4598" s="91" t="str">
        <f t="shared" si="359"/>
        <v/>
      </c>
      <c r="J4598" s="91" t="str">
        <f t="shared" si="360"/>
        <v/>
      </c>
      <c r="K4598" s="92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2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58"/>
      <c r="U4598" s="217" t="str">
        <f t="shared" si="361"/>
        <v/>
      </c>
      <c r="V4598" s="215" t="s">
        <v>47</v>
      </c>
      <c r="W4598" s="102" t="s">
        <v>136</v>
      </c>
      <c r="X4598" s="102" t="s">
        <v>137</v>
      </c>
      <c r="Y4598" s="103" t="s">
        <v>138</v>
      </c>
      <c r="Z4598" s="103" t="s">
        <v>139</v>
      </c>
      <c r="AA4598" s="103" t="s">
        <v>47</v>
      </c>
      <c r="AB4598" s="103" t="s">
        <v>140</v>
      </c>
      <c r="AC4598" s="104" t="s">
        <v>141</v>
      </c>
    </row>
    <row r="4599" spans="1:29" ht="25.5" customHeight="1" x14ac:dyDescent="0.35">
      <c r="A4599" s="188"/>
      <c r="B4599" s="190"/>
      <c r="C4599" s="99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0"/>
      <c r="E4599" s="78" t="str">
        <f>IF(C4599="","",IFERROR(VLOOKUP(C4599,parametros!$A$11:$E$15,5,0),""))</f>
        <v/>
      </c>
      <c r="F4599" s="79" t="str">
        <f t="shared" si="357"/>
        <v/>
      </c>
      <c r="G4599" s="101"/>
      <c r="H4599" s="91">
        <f t="shared" si="358"/>
        <v>0</v>
      </c>
      <c r="I4599" s="91" t="str">
        <f t="shared" si="359"/>
        <v/>
      </c>
      <c r="J4599" s="91" t="str">
        <f t="shared" si="360"/>
        <v/>
      </c>
      <c r="K4599" s="92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2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58"/>
      <c r="U4599" s="217" t="str">
        <f t="shared" si="361"/>
        <v/>
      </c>
      <c r="V4599" s="215" t="s">
        <v>47</v>
      </c>
      <c r="W4599" s="102" t="s">
        <v>136</v>
      </c>
      <c r="X4599" s="102" t="s">
        <v>137</v>
      </c>
      <c r="Y4599" s="103" t="s">
        <v>138</v>
      </c>
      <c r="Z4599" s="103" t="s">
        <v>139</v>
      </c>
      <c r="AA4599" s="103" t="s">
        <v>47</v>
      </c>
      <c r="AB4599" s="103" t="s">
        <v>140</v>
      </c>
      <c r="AC4599" s="104" t="s">
        <v>141</v>
      </c>
    </row>
    <row r="4600" spans="1:29" ht="25.5" customHeight="1" x14ac:dyDescent="0.35">
      <c r="A4600" s="188"/>
      <c r="B4600" s="190"/>
      <c r="C4600" s="99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0"/>
      <c r="E4600" s="78" t="str">
        <f>IF(C4600="","",IFERROR(VLOOKUP(C4600,parametros!$A$11:$E$15,5,0),""))</f>
        <v/>
      </c>
      <c r="F4600" s="79" t="str">
        <f t="shared" si="357"/>
        <v/>
      </c>
      <c r="G4600" s="101"/>
      <c r="H4600" s="91">
        <f t="shared" si="358"/>
        <v>0</v>
      </c>
      <c r="I4600" s="91" t="str">
        <f t="shared" si="359"/>
        <v/>
      </c>
      <c r="J4600" s="91" t="str">
        <f t="shared" si="360"/>
        <v/>
      </c>
      <c r="K4600" s="92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2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58"/>
      <c r="U4600" s="217" t="str">
        <f t="shared" si="361"/>
        <v/>
      </c>
      <c r="V4600" s="215" t="s">
        <v>47</v>
      </c>
      <c r="W4600" s="102" t="s">
        <v>136</v>
      </c>
      <c r="X4600" s="102" t="s">
        <v>137</v>
      </c>
      <c r="Y4600" s="103" t="s">
        <v>138</v>
      </c>
      <c r="Z4600" s="103" t="s">
        <v>139</v>
      </c>
      <c r="AA4600" s="103" t="s">
        <v>47</v>
      </c>
      <c r="AB4600" s="103" t="s">
        <v>140</v>
      </c>
      <c r="AC4600" s="104" t="s">
        <v>141</v>
      </c>
    </row>
    <row r="4601" spans="1:29" ht="25.5" customHeight="1" x14ac:dyDescent="0.35">
      <c r="A4601" s="188"/>
      <c r="B4601" s="190"/>
      <c r="C4601" s="99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0"/>
      <c r="E4601" s="78" t="str">
        <f>IF(C4601="","",IFERROR(VLOOKUP(C4601,parametros!$A$11:$E$15,5,0),""))</f>
        <v/>
      </c>
      <c r="F4601" s="79" t="str">
        <f t="shared" si="357"/>
        <v/>
      </c>
      <c r="G4601" s="101"/>
      <c r="H4601" s="91">
        <f t="shared" si="358"/>
        <v>0</v>
      </c>
      <c r="I4601" s="91" t="str">
        <f t="shared" si="359"/>
        <v/>
      </c>
      <c r="J4601" s="91" t="str">
        <f t="shared" si="360"/>
        <v/>
      </c>
      <c r="K4601" s="92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2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58"/>
      <c r="U4601" s="217" t="str">
        <f t="shared" si="361"/>
        <v/>
      </c>
      <c r="V4601" s="215" t="s">
        <v>47</v>
      </c>
      <c r="W4601" s="102" t="s">
        <v>136</v>
      </c>
      <c r="X4601" s="102" t="s">
        <v>137</v>
      </c>
      <c r="Y4601" s="103" t="s">
        <v>138</v>
      </c>
      <c r="Z4601" s="103" t="s">
        <v>139</v>
      </c>
      <c r="AA4601" s="103" t="s">
        <v>47</v>
      </c>
      <c r="AB4601" s="103" t="s">
        <v>140</v>
      </c>
      <c r="AC4601" s="104" t="s">
        <v>141</v>
      </c>
    </row>
    <row r="4602" spans="1:29" ht="25.5" customHeight="1" x14ac:dyDescent="0.35">
      <c r="A4602" s="188"/>
      <c r="B4602" s="190"/>
      <c r="C4602" s="99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0"/>
      <c r="E4602" s="78" t="str">
        <f>IF(C4602="","",IFERROR(VLOOKUP(C4602,parametros!$A$11:$E$15,5,0),""))</f>
        <v/>
      </c>
      <c r="F4602" s="79" t="str">
        <f t="shared" si="357"/>
        <v/>
      </c>
      <c r="G4602" s="101"/>
      <c r="H4602" s="91">
        <f t="shared" si="358"/>
        <v>0</v>
      </c>
      <c r="I4602" s="91" t="str">
        <f t="shared" si="359"/>
        <v/>
      </c>
      <c r="J4602" s="91" t="str">
        <f t="shared" si="360"/>
        <v/>
      </c>
      <c r="K4602" s="92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2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58"/>
      <c r="U4602" s="217" t="str">
        <f t="shared" si="361"/>
        <v/>
      </c>
      <c r="V4602" s="215" t="s">
        <v>47</v>
      </c>
      <c r="W4602" s="102" t="s">
        <v>136</v>
      </c>
      <c r="X4602" s="102" t="s">
        <v>137</v>
      </c>
      <c r="Y4602" s="103" t="s">
        <v>138</v>
      </c>
      <c r="Z4602" s="103" t="s">
        <v>139</v>
      </c>
      <c r="AA4602" s="103" t="s">
        <v>47</v>
      </c>
      <c r="AB4602" s="103" t="s">
        <v>140</v>
      </c>
      <c r="AC4602" s="104" t="s">
        <v>141</v>
      </c>
    </row>
    <row r="4603" spans="1:29" ht="25.5" customHeight="1" x14ac:dyDescent="0.35">
      <c r="A4603" s="188"/>
      <c r="B4603" s="190"/>
      <c r="C4603" s="99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0"/>
      <c r="E4603" s="78" t="str">
        <f>IF(C4603="","",IFERROR(VLOOKUP(C4603,parametros!$A$11:$E$15,5,0),""))</f>
        <v/>
      </c>
      <c r="F4603" s="79" t="str">
        <f t="shared" si="357"/>
        <v/>
      </c>
      <c r="G4603" s="101"/>
      <c r="H4603" s="91">
        <f t="shared" si="358"/>
        <v>0</v>
      </c>
      <c r="I4603" s="91" t="str">
        <f t="shared" si="359"/>
        <v/>
      </c>
      <c r="J4603" s="91" t="str">
        <f t="shared" si="360"/>
        <v/>
      </c>
      <c r="K4603" s="92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2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58"/>
      <c r="U4603" s="217" t="str">
        <f t="shared" si="361"/>
        <v/>
      </c>
      <c r="V4603" s="215" t="s">
        <v>47</v>
      </c>
      <c r="W4603" s="102" t="s">
        <v>136</v>
      </c>
      <c r="X4603" s="102" t="s">
        <v>137</v>
      </c>
      <c r="Y4603" s="103" t="s">
        <v>138</v>
      </c>
      <c r="Z4603" s="103" t="s">
        <v>139</v>
      </c>
      <c r="AA4603" s="103" t="s">
        <v>47</v>
      </c>
      <c r="AB4603" s="103" t="s">
        <v>140</v>
      </c>
      <c r="AC4603" s="104" t="s">
        <v>141</v>
      </c>
    </row>
    <row r="4604" spans="1:29" ht="25.5" customHeight="1" x14ac:dyDescent="0.35">
      <c r="A4604" s="188"/>
      <c r="B4604" s="190"/>
      <c r="C4604" s="99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0"/>
      <c r="E4604" s="78" t="str">
        <f>IF(C4604="","",IFERROR(VLOOKUP(C4604,parametros!$A$11:$E$15,5,0),""))</f>
        <v/>
      </c>
      <c r="F4604" s="79" t="str">
        <f t="shared" si="357"/>
        <v/>
      </c>
      <c r="G4604" s="101"/>
      <c r="H4604" s="91">
        <f t="shared" si="358"/>
        <v>0</v>
      </c>
      <c r="I4604" s="91" t="str">
        <f t="shared" si="359"/>
        <v/>
      </c>
      <c r="J4604" s="91" t="str">
        <f t="shared" si="360"/>
        <v/>
      </c>
      <c r="K4604" s="92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2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58"/>
      <c r="U4604" s="217" t="str">
        <f t="shared" si="361"/>
        <v/>
      </c>
      <c r="V4604" s="215" t="s">
        <v>47</v>
      </c>
      <c r="W4604" s="102" t="s">
        <v>136</v>
      </c>
      <c r="X4604" s="102" t="s">
        <v>137</v>
      </c>
      <c r="Y4604" s="103" t="s">
        <v>138</v>
      </c>
      <c r="Z4604" s="103" t="s">
        <v>139</v>
      </c>
      <c r="AA4604" s="103" t="s">
        <v>47</v>
      </c>
      <c r="AB4604" s="103" t="s">
        <v>140</v>
      </c>
      <c r="AC4604" s="104" t="s">
        <v>141</v>
      </c>
    </row>
    <row r="4605" spans="1:29" ht="25.5" customHeight="1" x14ac:dyDescent="0.35">
      <c r="A4605" s="188"/>
      <c r="B4605" s="190"/>
      <c r="C4605" s="99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0"/>
      <c r="E4605" s="78" t="str">
        <f>IF(C4605="","",IFERROR(VLOOKUP(C4605,parametros!$A$11:$E$15,5,0),""))</f>
        <v/>
      </c>
      <c r="F4605" s="79" t="str">
        <f t="shared" si="357"/>
        <v/>
      </c>
      <c r="G4605" s="101"/>
      <c r="H4605" s="91">
        <f t="shared" si="358"/>
        <v>0</v>
      </c>
      <c r="I4605" s="91" t="str">
        <f t="shared" si="359"/>
        <v/>
      </c>
      <c r="J4605" s="91" t="str">
        <f t="shared" si="360"/>
        <v/>
      </c>
      <c r="K4605" s="92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2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58"/>
      <c r="U4605" s="217" t="str">
        <f t="shared" si="361"/>
        <v/>
      </c>
      <c r="V4605" s="215" t="s">
        <v>47</v>
      </c>
      <c r="W4605" s="102" t="s">
        <v>136</v>
      </c>
      <c r="X4605" s="102" t="s">
        <v>137</v>
      </c>
      <c r="Y4605" s="103" t="s">
        <v>138</v>
      </c>
      <c r="Z4605" s="103" t="s">
        <v>139</v>
      </c>
      <c r="AA4605" s="103" t="s">
        <v>47</v>
      </c>
      <c r="AB4605" s="103" t="s">
        <v>140</v>
      </c>
      <c r="AC4605" s="104" t="s">
        <v>141</v>
      </c>
    </row>
    <row r="4606" spans="1:29" ht="25.5" customHeight="1" x14ac:dyDescent="0.35">
      <c r="A4606" s="188"/>
      <c r="B4606" s="190"/>
      <c r="C4606" s="99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0"/>
      <c r="E4606" s="78" t="str">
        <f>IF(C4606="","",IFERROR(VLOOKUP(C4606,parametros!$A$11:$E$15,5,0),""))</f>
        <v/>
      </c>
      <c r="F4606" s="79" t="str">
        <f t="shared" si="357"/>
        <v/>
      </c>
      <c r="G4606" s="101"/>
      <c r="H4606" s="91">
        <f t="shared" si="358"/>
        <v>0</v>
      </c>
      <c r="I4606" s="91" t="str">
        <f t="shared" si="359"/>
        <v/>
      </c>
      <c r="J4606" s="91" t="str">
        <f t="shared" si="360"/>
        <v/>
      </c>
      <c r="K4606" s="92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2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58"/>
      <c r="U4606" s="217" t="str">
        <f t="shared" si="361"/>
        <v/>
      </c>
      <c r="V4606" s="215" t="s">
        <v>47</v>
      </c>
      <c r="W4606" s="102" t="s">
        <v>136</v>
      </c>
      <c r="X4606" s="102" t="s">
        <v>137</v>
      </c>
      <c r="Y4606" s="103" t="s">
        <v>138</v>
      </c>
      <c r="Z4606" s="103" t="s">
        <v>139</v>
      </c>
      <c r="AA4606" s="103" t="s">
        <v>47</v>
      </c>
      <c r="AB4606" s="103" t="s">
        <v>140</v>
      </c>
      <c r="AC4606" s="104" t="s">
        <v>141</v>
      </c>
    </row>
    <row r="4607" spans="1:29" ht="25.5" customHeight="1" x14ac:dyDescent="0.35">
      <c r="A4607" s="188"/>
      <c r="B4607" s="190"/>
      <c r="C4607" s="99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0"/>
      <c r="E4607" s="78" t="str">
        <f>IF(C4607="","",IFERROR(VLOOKUP(C4607,parametros!$A$11:$E$15,5,0),""))</f>
        <v/>
      </c>
      <c r="F4607" s="79" t="str">
        <f t="shared" si="357"/>
        <v/>
      </c>
      <c r="G4607" s="101"/>
      <c r="H4607" s="91">
        <f t="shared" si="358"/>
        <v>0</v>
      </c>
      <c r="I4607" s="91" t="str">
        <f t="shared" si="359"/>
        <v/>
      </c>
      <c r="J4607" s="91" t="str">
        <f t="shared" si="360"/>
        <v/>
      </c>
      <c r="K4607" s="92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2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58"/>
      <c r="U4607" s="217" t="str">
        <f t="shared" si="361"/>
        <v/>
      </c>
      <c r="V4607" s="215" t="s">
        <v>47</v>
      </c>
      <c r="W4607" s="102" t="s">
        <v>136</v>
      </c>
      <c r="X4607" s="102" t="s">
        <v>137</v>
      </c>
      <c r="Y4607" s="103" t="s">
        <v>138</v>
      </c>
      <c r="Z4607" s="103" t="s">
        <v>139</v>
      </c>
      <c r="AA4607" s="103" t="s">
        <v>47</v>
      </c>
      <c r="AB4607" s="103" t="s">
        <v>140</v>
      </c>
      <c r="AC4607" s="104" t="s">
        <v>141</v>
      </c>
    </row>
    <row r="4608" spans="1:29" ht="25.5" customHeight="1" x14ac:dyDescent="0.35">
      <c r="A4608" s="188"/>
      <c r="B4608" s="190"/>
      <c r="C4608" s="99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0"/>
      <c r="E4608" s="78" t="str">
        <f>IF(C4608="","",IFERROR(VLOOKUP(C4608,parametros!$A$11:$E$15,5,0),""))</f>
        <v/>
      </c>
      <c r="F4608" s="79" t="str">
        <f t="shared" si="357"/>
        <v/>
      </c>
      <c r="G4608" s="101"/>
      <c r="H4608" s="91">
        <f t="shared" si="358"/>
        <v>0</v>
      </c>
      <c r="I4608" s="91" t="str">
        <f t="shared" si="359"/>
        <v/>
      </c>
      <c r="J4608" s="91" t="str">
        <f t="shared" si="360"/>
        <v/>
      </c>
      <c r="K4608" s="92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2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58"/>
      <c r="U4608" s="217" t="str">
        <f t="shared" si="361"/>
        <v/>
      </c>
      <c r="V4608" s="215" t="s">
        <v>47</v>
      </c>
      <c r="W4608" s="102" t="s">
        <v>136</v>
      </c>
      <c r="X4608" s="102" t="s">
        <v>137</v>
      </c>
      <c r="Y4608" s="103" t="s">
        <v>138</v>
      </c>
      <c r="Z4608" s="103" t="s">
        <v>139</v>
      </c>
      <c r="AA4608" s="103" t="s">
        <v>47</v>
      </c>
      <c r="AB4608" s="103" t="s">
        <v>140</v>
      </c>
      <c r="AC4608" s="104" t="s">
        <v>141</v>
      </c>
    </row>
    <row r="4609" spans="1:29" ht="25.5" customHeight="1" x14ac:dyDescent="0.35">
      <c r="A4609" s="188"/>
      <c r="B4609" s="190"/>
      <c r="C4609" s="99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0"/>
      <c r="E4609" s="78" t="str">
        <f>IF(C4609="","",IFERROR(VLOOKUP(C4609,parametros!$A$11:$E$15,5,0),""))</f>
        <v/>
      </c>
      <c r="F4609" s="79" t="str">
        <f t="shared" si="357"/>
        <v/>
      </c>
      <c r="G4609" s="101"/>
      <c r="H4609" s="91">
        <f t="shared" si="358"/>
        <v>0</v>
      </c>
      <c r="I4609" s="91" t="str">
        <f t="shared" si="359"/>
        <v/>
      </c>
      <c r="J4609" s="91" t="str">
        <f t="shared" si="360"/>
        <v/>
      </c>
      <c r="K4609" s="92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2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58"/>
      <c r="U4609" s="217" t="str">
        <f t="shared" si="361"/>
        <v/>
      </c>
      <c r="V4609" s="215" t="s">
        <v>47</v>
      </c>
      <c r="W4609" s="102" t="s">
        <v>136</v>
      </c>
      <c r="X4609" s="102" t="s">
        <v>137</v>
      </c>
      <c r="Y4609" s="103" t="s">
        <v>138</v>
      </c>
      <c r="Z4609" s="103" t="s">
        <v>139</v>
      </c>
      <c r="AA4609" s="103" t="s">
        <v>47</v>
      </c>
      <c r="AB4609" s="103" t="s">
        <v>140</v>
      </c>
      <c r="AC4609" s="104" t="s">
        <v>141</v>
      </c>
    </row>
    <row r="4610" spans="1:29" ht="25.5" customHeight="1" x14ac:dyDescent="0.35">
      <c r="A4610" s="188"/>
      <c r="B4610" s="190"/>
      <c r="C4610" s="99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0"/>
      <c r="E4610" s="78" t="str">
        <f>IF(C4610="","",IFERROR(VLOOKUP(C4610,parametros!$A$11:$E$15,5,0),""))</f>
        <v/>
      </c>
      <c r="F4610" s="79" t="str">
        <f t="shared" ref="F4610:F4673" si="362">IF(OR(D4610="",E4610=""),"",ROUND(D4610*E4610,2))</f>
        <v/>
      </c>
      <c r="G4610" s="101"/>
      <c r="H4610" s="91">
        <f t="shared" ref="H4610:H4673" si="363">IF(G4610="Sim",IF(OR(F4610="",D4610="",L4610=""),"",IF(L4610="Sim",ROUND(F4610-D4610,2),0)),0)</f>
        <v>0</v>
      </c>
      <c r="I4610" s="91" t="str">
        <f t="shared" ref="I4610:I4673" si="364">IF(G4610="Sim",0,IF(OR(F4610="",L4610=""),"",F4610))</f>
        <v/>
      </c>
      <c r="J4610" s="91" t="str">
        <f t="shared" ref="J4610:J4673" si="365">IF(G4610="Sim",0,IF(OR(F4610="",D4610="",L4610=""),"",IF(L4610="Sim",ROUND(F4610-D4610,2),0)))</f>
        <v/>
      </c>
      <c r="K4610" s="92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2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58"/>
      <c r="U4610" s="217" t="str">
        <f t="shared" ref="U4610:U4673" si="366">IF(OR($D4610="",$H4610=""),"",ROUND($D4610+$H4610,2))</f>
        <v/>
      </c>
      <c r="V4610" s="215" t="s">
        <v>47</v>
      </c>
      <c r="W4610" s="102" t="s">
        <v>136</v>
      </c>
      <c r="X4610" s="102" t="s">
        <v>137</v>
      </c>
      <c r="Y4610" s="103" t="s">
        <v>138</v>
      </c>
      <c r="Z4610" s="103" t="s">
        <v>139</v>
      </c>
      <c r="AA4610" s="103" t="s">
        <v>47</v>
      </c>
      <c r="AB4610" s="103" t="s">
        <v>140</v>
      </c>
      <c r="AC4610" s="104" t="s">
        <v>141</v>
      </c>
    </row>
    <row r="4611" spans="1:29" ht="25.5" customHeight="1" x14ac:dyDescent="0.35">
      <c r="A4611" s="188"/>
      <c r="B4611" s="190"/>
      <c r="C4611" s="99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0"/>
      <c r="E4611" s="78" t="str">
        <f>IF(C4611="","",IFERROR(VLOOKUP(C4611,parametros!$A$11:$E$15,5,0),""))</f>
        <v/>
      </c>
      <c r="F4611" s="79" t="str">
        <f t="shared" si="362"/>
        <v/>
      </c>
      <c r="G4611" s="101"/>
      <c r="H4611" s="91">
        <f t="shared" si="363"/>
        <v>0</v>
      </c>
      <c r="I4611" s="91" t="str">
        <f t="shared" si="364"/>
        <v/>
      </c>
      <c r="J4611" s="91" t="str">
        <f t="shared" si="365"/>
        <v/>
      </c>
      <c r="K4611" s="92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2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58"/>
      <c r="U4611" s="217" t="str">
        <f t="shared" si="366"/>
        <v/>
      </c>
      <c r="V4611" s="215" t="s">
        <v>47</v>
      </c>
      <c r="W4611" s="102" t="s">
        <v>136</v>
      </c>
      <c r="X4611" s="102" t="s">
        <v>137</v>
      </c>
      <c r="Y4611" s="103" t="s">
        <v>138</v>
      </c>
      <c r="Z4611" s="103" t="s">
        <v>139</v>
      </c>
      <c r="AA4611" s="103" t="s">
        <v>47</v>
      </c>
      <c r="AB4611" s="103" t="s">
        <v>140</v>
      </c>
      <c r="AC4611" s="104" t="s">
        <v>141</v>
      </c>
    </row>
    <row r="4612" spans="1:29" ht="25.5" customHeight="1" x14ac:dyDescent="0.35">
      <c r="A4612" s="188"/>
      <c r="B4612" s="190"/>
      <c r="C4612" s="99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0"/>
      <c r="E4612" s="78" t="str">
        <f>IF(C4612="","",IFERROR(VLOOKUP(C4612,parametros!$A$11:$E$15,5,0),""))</f>
        <v/>
      </c>
      <c r="F4612" s="79" t="str">
        <f t="shared" si="362"/>
        <v/>
      </c>
      <c r="G4612" s="101"/>
      <c r="H4612" s="91">
        <f t="shared" si="363"/>
        <v>0</v>
      </c>
      <c r="I4612" s="91" t="str">
        <f t="shared" si="364"/>
        <v/>
      </c>
      <c r="J4612" s="91" t="str">
        <f t="shared" si="365"/>
        <v/>
      </c>
      <c r="K4612" s="92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2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58"/>
      <c r="U4612" s="217" t="str">
        <f t="shared" si="366"/>
        <v/>
      </c>
      <c r="V4612" s="215" t="s">
        <v>47</v>
      </c>
      <c r="W4612" s="102" t="s">
        <v>136</v>
      </c>
      <c r="X4612" s="102" t="s">
        <v>137</v>
      </c>
      <c r="Y4612" s="103" t="s">
        <v>138</v>
      </c>
      <c r="Z4612" s="103" t="s">
        <v>139</v>
      </c>
      <c r="AA4612" s="103" t="s">
        <v>47</v>
      </c>
      <c r="AB4612" s="103" t="s">
        <v>140</v>
      </c>
      <c r="AC4612" s="104" t="s">
        <v>141</v>
      </c>
    </row>
    <row r="4613" spans="1:29" ht="25.5" customHeight="1" x14ac:dyDescent="0.35">
      <c r="A4613" s="188"/>
      <c r="B4613" s="190"/>
      <c r="C4613" s="99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0"/>
      <c r="E4613" s="78" t="str">
        <f>IF(C4613="","",IFERROR(VLOOKUP(C4613,parametros!$A$11:$E$15,5,0),""))</f>
        <v/>
      </c>
      <c r="F4613" s="79" t="str">
        <f t="shared" si="362"/>
        <v/>
      </c>
      <c r="G4613" s="101"/>
      <c r="H4613" s="91">
        <f t="shared" si="363"/>
        <v>0</v>
      </c>
      <c r="I4613" s="91" t="str">
        <f t="shared" si="364"/>
        <v/>
      </c>
      <c r="J4613" s="91" t="str">
        <f t="shared" si="365"/>
        <v/>
      </c>
      <c r="K4613" s="92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2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58"/>
      <c r="U4613" s="217" t="str">
        <f t="shared" si="366"/>
        <v/>
      </c>
      <c r="V4613" s="215" t="s">
        <v>47</v>
      </c>
      <c r="W4613" s="102" t="s">
        <v>136</v>
      </c>
      <c r="X4613" s="102" t="s">
        <v>137</v>
      </c>
      <c r="Y4613" s="103" t="s">
        <v>138</v>
      </c>
      <c r="Z4613" s="103" t="s">
        <v>139</v>
      </c>
      <c r="AA4613" s="103" t="s">
        <v>47</v>
      </c>
      <c r="AB4613" s="103" t="s">
        <v>140</v>
      </c>
      <c r="AC4613" s="104" t="s">
        <v>141</v>
      </c>
    </row>
    <row r="4614" spans="1:29" ht="25.5" customHeight="1" x14ac:dyDescent="0.35">
      <c r="A4614" s="188"/>
      <c r="B4614" s="190"/>
      <c r="C4614" s="99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0"/>
      <c r="E4614" s="78" t="str">
        <f>IF(C4614="","",IFERROR(VLOOKUP(C4614,parametros!$A$11:$E$15,5,0),""))</f>
        <v/>
      </c>
      <c r="F4614" s="79" t="str">
        <f t="shared" si="362"/>
        <v/>
      </c>
      <c r="G4614" s="101"/>
      <c r="H4614" s="91">
        <f t="shared" si="363"/>
        <v>0</v>
      </c>
      <c r="I4614" s="91" t="str">
        <f t="shared" si="364"/>
        <v/>
      </c>
      <c r="J4614" s="91" t="str">
        <f t="shared" si="365"/>
        <v/>
      </c>
      <c r="K4614" s="92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2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58"/>
      <c r="U4614" s="217" t="str">
        <f t="shared" si="366"/>
        <v/>
      </c>
      <c r="V4614" s="215" t="s">
        <v>47</v>
      </c>
      <c r="W4614" s="102" t="s">
        <v>136</v>
      </c>
      <c r="X4614" s="102" t="s">
        <v>137</v>
      </c>
      <c r="Y4614" s="103" t="s">
        <v>138</v>
      </c>
      <c r="Z4614" s="103" t="s">
        <v>139</v>
      </c>
      <c r="AA4614" s="103" t="s">
        <v>47</v>
      </c>
      <c r="AB4614" s="103" t="s">
        <v>140</v>
      </c>
      <c r="AC4614" s="104" t="s">
        <v>141</v>
      </c>
    </row>
    <row r="4615" spans="1:29" ht="25.5" customHeight="1" x14ac:dyDescent="0.35">
      <c r="A4615" s="188"/>
      <c r="B4615" s="190"/>
      <c r="C4615" s="99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0"/>
      <c r="E4615" s="78" t="str">
        <f>IF(C4615="","",IFERROR(VLOOKUP(C4615,parametros!$A$11:$E$15,5,0),""))</f>
        <v/>
      </c>
      <c r="F4615" s="79" t="str">
        <f t="shared" si="362"/>
        <v/>
      </c>
      <c r="G4615" s="101"/>
      <c r="H4615" s="91">
        <f t="shared" si="363"/>
        <v>0</v>
      </c>
      <c r="I4615" s="91" t="str">
        <f t="shared" si="364"/>
        <v/>
      </c>
      <c r="J4615" s="91" t="str">
        <f t="shared" si="365"/>
        <v/>
      </c>
      <c r="K4615" s="92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2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58"/>
      <c r="U4615" s="217" t="str">
        <f t="shared" si="366"/>
        <v/>
      </c>
      <c r="V4615" s="215" t="s">
        <v>47</v>
      </c>
      <c r="W4615" s="102" t="s">
        <v>136</v>
      </c>
      <c r="X4615" s="102" t="s">
        <v>137</v>
      </c>
      <c r="Y4615" s="103" t="s">
        <v>138</v>
      </c>
      <c r="Z4615" s="103" t="s">
        <v>139</v>
      </c>
      <c r="AA4615" s="103" t="s">
        <v>47</v>
      </c>
      <c r="AB4615" s="103" t="s">
        <v>140</v>
      </c>
      <c r="AC4615" s="104" t="s">
        <v>141</v>
      </c>
    </row>
    <row r="4616" spans="1:29" ht="25.5" customHeight="1" x14ac:dyDescent="0.35">
      <c r="A4616" s="188"/>
      <c r="B4616" s="190"/>
      <c r="C4616" s="99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0"/>
      <c r="E4616" s="78" t="str">
        <f>IF(C4616="","",IFERROR(VLOOKUP(C4616,parametros!$A$11:$E$15,5,0),""))</f>
        <v/>
      </c>
      <c r="F4616" s="79" t="str">
        <f t="shared" si="362"/>
        <v/>
      </c>
      <c r="G4616" s="101"/>
      <c r="H4616" s="91">
        <f t="shared" si="363"/>
        <v>0</v>
      </c>
      <c r="I4616" s="91" t="str">
        <f t="shared" si="364"/>
        <v/>
      </c>
      <c r="J4616" s="91" t="str">
        <f t="shared" si="365"/>
        <v/>
      </c>
      <c r="K4616" s="92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2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58"/>
      <c r="U4616" s="217" t="str">
        <f t="shared" si="366"/>
        <v/>
      </c>
      <c r="V4616" s="215" t="s">
        <v>47</v>
      </c>
      <c r="W4616" s="102" t="s">
        <v>136</v>
      </c>
      <c r="X4616" s="102" t="s">
        <v>137</v>
      </c>
      <c r="Y4616" s="103" t="s">
        <v>138</v>
      </c>
      <c r="Z4616" s="103" t="s">
        <v>139</v>
      </c>
      <c r="AA4616" s="103" t="s">
        <v>47</v>
      </c>
      <c r="AB4616" s="103" t="s">
        <v>140</v>
      </c>
      <c r="AC4616" s="104" t="s">
        <v>141</v>
      </c>
    </row>
    <row r="4617" spans="1:29" ht="25.5" customHeight="1" x14ac:dyDescent="0.35">
      <c r="A4617" s="188"/>
      <c r="B4617" s="190"/>
      <c r="C4617" s="99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0"/>
      <c r="E4617" s="78" t="str">
        <f>IF(C4617="","",IFERROR(VLOOKUP(C4617,parametros!$A$11:$E$15,5,0),""))</f>
        <v/>
      </c>
      <c r="F4617" s="79" t="str">
        <f t="shared" si="362"/>
        <v/>
      </c>
      <c r="G4617" s="101"/>
      <c r="H4617" s="91">
        <f t="shared" si="363"/>
        <v>0</v>
      </c>
      <c r="I4617" s="91" t="str">
        <f t="shared" si="364"/>
        <v/>
      </c>
      <c r="J4617" s="91" t="str">
        <f t="shared" si="365"/>
        <v/>
      </c>
      <c r="K4617" s="92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2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58"/>
      <c r="U4617" s="217" t="str">
        <f t="shared" si="366"/>
        <v/>
      </c>
      <c r="V4617" s="215" t="s">
        <v>47</v>
      </c>
      <c r="W4617" s="102" t="s">
        <v>136</v>
      </c>
      <c r="X4617" s="102" t="s">
        <v>137</v>
      </c>
      <c r="Y4617" s="103" t="s">
        <v>138</v>
      </c>
      <c r="Z4617" s="103" t="s">
        <v>139</v>
      </c>
      <c r="AA4617" s="103" t="s">
        <v>47</v>
      </c>
      <c r="AB4617" s="103" t="s">
        <v>140</v>
      </c>
      <c r="AC4617" s="104" t="s">
        <v>141</v>
      </c>
    </row>
    <row r="4618" spans="1:29" ht="25.5" customHeight="1" x14ac:dyDescent="0.35">
      <c r="A4618" s="188"/>
      <c r="B4618" s="190"/>
      <c r="C4618" s="99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0"/>
      <c r="E4618" s="78" t="str">
        <f>IF(C4618="","",IFERROR(VLOOKUP(C4618,parametros!$A$11:$E$15,5,0),""))</f>
        <v/>
      </c>
      <c r="F4618" s="79" t="str">
        <f t="shared" si="362"/>
        <v/>
      </c>
      <c r="G4618" s="101"/>
      <c r="H4618" s="91">
        <f t="shared" si="363"/>
        <v>0</v>
      </c>
      <c r="I4618" s="91" t="str">
        <f t="shared" si="364"/>
        <v/>
      </c>
      <c r="J4618" s="91" t="str">
        <f t="shared" si="365"/>
        <v/>
      </c>
      <c r="K4618" s="92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2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58"/>
      <c r="U4618" s="217" t="str">
        <f t="shared" si="366"/>
        <v/>
      </c>
      <c r="V4618" s="215" t="s">
        <v>47</v>
      </c>
      <c r="W4618" s="102" t="s">
        <v>136</v>
      </c>
      <c r="X4618" s="102" t="s">
        <v>137</v>
      </c>
      <c r="Y4618" s="103" t="s">
        <v>138</v>
      </c>
      <c r="Z4618" s="103" t="s">
        <v>139</v>
      </c>
      <c r="AA4618" s="103" t="s">
        <v>47</v>
      </c>
      <c r="AB4618" s="103" t="s">
        <v>140</v>
      </c>
      <c r="AC4618" s="104" t="s">
        <v>141</v>
      </c>
    </row>
    <row r="4619" spans="1:29" ht="25.5" customHeight="1" x14ac:dyDescent="0.35">
      <c r="A4619" s="188"/>
      <c r="B4619" s="190"/>
      <c r="C4619" s="99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0"/>
      <c r="E4619" s="78" t="str">
        <f>IF(C4619="","",IFERROR(VLOOKUP(C4619,parametros!$A$11:$E$15,5,0),""))</f>
        <v/>
      </c>
      <c r="F4619" s="79" t="str">
        <f t="shared" si="362"/>
        <v/>
      </c>
      <c r="G4619" s="101"/>
      <c r="H4619" s="91">
        <f t="shared" si="363"/>
        <v>0</v>
      </c>
      <c r="I4619" s="91" t="str">
        <f t="shared" si="364"/>
        <v/>
      </c>
      <c r="J4619" s="91" t="str">
        <f t="shared" si="365"/>
        <v/>
      </c>
      <c r="K4619" s="92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2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58"/>
      <c r="U4619" s="217" t="str">
        <f t="shared" si="366"/>
        <v/>
      </c>
      <c r="V4619" s="215" t="s">
        <v>47</v>
      </c>
      <c r="W4619" s="102" t="s">
        <v>136</v>
      </c>
      <c r="X4619" s="102" t="s">
        <v>137</v>
      </c>
      <c r="Y4619" s="103" t="s">
        <v>138</v>
      </c>
      <c r="Z4619" s="103" t="s">
        <v>139</v>
      </c>
      <c r="AA4619" s="103" t="s">
        <v>47</v>
      </c>
      <c r="AB4619" s="103" t="s">
        <v>140</v>
      </c>
      <c r="AC4619" s="104" t="s">
        <v>141</v>
      </c>
    </row>
    <row r="4620" spans="1:29" ht="25.5" customHeight="1" x14ac:dyDescent="0.35">
      <c r="A4620" s="188"/>
      <c r="B4620" s="190"/>
      <c r="C4620" s="99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0"/>
      <c r="E4620" s="78" t="str">
        <f>IF(C4620="","",IFERROR(VLOOKUP(C4620,parametros!$A$11:$E$15,5,0),""))</f>
        <v/>
      </c>
      <c r="F4620" s="79" t="str">
        <f t="shared" si="362"/>
        <v/>
      </c>
      <c r="G4620" s="101"/>
      <c r="H4620" s="91">
        <f t="shared" si="363"/>
        <v>0</v>
      </c>
      <c r="I4620" s="91" t="str">
        <f t="shared" si="364"/>
        <v/>
      </c>
      <c r="J4620" s="91" t="str">
        <f t="shared" si="365"/>
        <v/>
      </c>
      <c r="K4620" s="92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2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58"/>
      <c r="U4620" s="217" t="str">
        <f t="shared" si="366"/>
        <v/>
      </c>
      <c r="V4620" s="215" t="s">
        <v>47</v>
      </c>
      <c r="W4620" s="102" t="s">
        <v>136</v>
      </c>
      <c r="X4620" s="102" t="s">
        <v>137</v>
      </c>
      <c r="Y4620" s="103" t="s">
        <v>138</v>
      </c>
      <c r="Z4620" s="103" t="s">
        <v>139</v>
      </c>
      <c r="AA4620" s="103" t="s">
        <v>47</v>
      </c>
      <c r="AB4620" s="103" t="s">
        <v>140</v>
      </c>
      <c r="AC4620" s="104" t="s">
        <v>141</v>
      </c>
    </row>
    <row r="4621" spans="1:29" ht="25.5" customHeight="1" x14ac:dyDescent="0.35">
      <c r="A4621" s="188"/>
      <c r="B4621" s="190"/>
      <c r="C4621" s="99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0"/>
      <c r="E4621" s="78" t="str">
        <f>IF(C4621="","",IFERROR(VLOOKUP(C4621,parametros!$A$11:$E$15,5,0),""))</f>
        <v/>
      </c>
      <c r="F4621" s="79" t="str">
        <f t="shared" si="362"/>
        <v/>
      </c>
      <c r="G4621" s="101"/>
      <c r="H4621" s="91">
        <f t="shared" si="363"/>
        <v>0</v>
      </c>
      <c r="I4621" s="91" t="str">
        <f t="shared" si="364"/>
        <v/>
      </c>
      <c r="J4621" s="91" t="str">
        <f t="shared" si="365"/>
        <v/>
      </c>
      <c r="K4621" s="92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2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58"/>
      <c r="U4621" s="217" t="str">
        <f t="shared" si="366"/>
        <v/>
      </c>
      <c r="V4621" s="215" t="s">
        <v>47</v>
      </c>
      <c r="W4621" s="102" t="s">
        <v>136</v>
      </c>
      <c r="X4621" s="102" t="s">
        <v>137</v>
      </c>
      <c r="Y4621" s="103" t="s">
        <v>138</v>
      </c>
      <c r="Z4621" s="103" t="s">
        <v>139</v>
      </c>
      <c r="AA4621" s="103" t="s">
        <v>47</v>
      </c>
      <c r="AB4621" s="103" t="s">
        <v>140</v>
      </c>
      <c r="AC4621" s="104" t="s">
        <v>141</v>
      </c>
    </row>
    <row r="4622" spans="1:29" ht="25.5" customHeight="1" x14ac:dyDescent="0.35">
      <c r="A4622" s="188"/>
      <c r="B4622" s="190"/>
      <c r="C4622" s="99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0"/>
      <c r="E4622" s="78" t="str">
        <f>IF(C4622="","",IFERROR(VLOOKUP(C4622,parametros!$A$11:$E$15,5,0),""))</f>
        <v/>
      </c>
      <c r="F4622" s="79" t="str">
        <f t="shared" si="362"/>
        <v/>
      </c>
      <c r="G4622" s="101"/>
      <c r="H4622" s="91">
        <f t="shared" si="363"/>
        <v>0</v>
      </c>
      <c r="I4622" s="91" t="str">
        <f t="shared" si="364"/>
        <v/>
      </c>
      <c r="J4622" s="91" t="str">
        <f t="shared" si="365"/>
        <v/>
      </c>
      <c r="K4622" s="92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2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58"/>
      <c r="U4622" s="217" t="str">
        <f t="shared" si="366"/>
        <v/>
      </c>
      <c r="V4622" s="215" t="s">
        <v>47</v>
      </c>
      <c r="W4622" s="102" t="s">
        <v>136</v>
      </c>
      <c r="X4622" s="102" t="s">
        <v>137</v>
      </c>
      <c r="Y4622" s="103" t="s">
        <v>138</v>
      </c>
      <c r="Z4622" s="103" t="s">
        <v>139</v>
      </c>
      <c r="AA4622" s="103" t="s">
        <v>47</v>
      </c>
      <c r="AB4622" s="103" t="s">
        <v>140</v>
      </c>
      <c r="AC4622" s="104" t="s">
        <v>141</v>
      </c>
    </row>
    <row r="4623" spans="1:29" ht="25.5" customHeight="1" x14ac:dyDescent="0.35">
      <c r="A4623" s="188"/>
      <c r="B4623" s="190"/>
      <c r="C4623" s="99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0"/>
      <c r="E4623" s="78" t="str">
        <f>IF(C4623="","",IFERROR(VLOOKUP(C4623,parametros!$A$11:$E$15,5,0),""))</f>
        <v/>
      </c>
      <c r="F4623" s="79" t="str">
        <f t="shared" si="362"/>
        <v/>
      </c>
      <c r="G4623" s="101"/>
      <c r="H4623" s="91">
        <f t="shared" si="363"/>
        <v>0</v>
      </c>
      <c r="I4623" s="91" t="str">
        <f t="shared" si="364"/>
        <v/>
      </c>
      <c r="J4623" s="91" t="str">
        <f t="shared" si="365"/>
        <v/>
      </c>
      <c r="K4623" s="92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2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58"/>
      <c r="U4623" s="217" t="str">
        <f t="shared" si="366"/>
        <v/>
      </c>
      <c r="V4623" s="215" t="s">
        <v>47</v>
      </c>
      <c r="W4623" s="102" t="s">
        <v>136</v>
      </c>
      <c r="X4623" s="102" t="s">
        <v>137</v>
      </c>
      <c r="Y4623" s="103" t="s">
        <v>138</v>
      </c>
      <c r="Z4623" s="103" t="s">
        <v>139</v>
      </c>
      <c r="AA4623" s="103" t="s">
        <v>47</v>
      </c>
      <c r="AB4623" s="103" t="s">
        <v>140</v>
      </c>
      <c r="AC4623" s="104" t="s">
        <v>141</v>
      </c>
    </row>
    <row r="4624" spans="1:29" ht="25.5" customHeight="1" x14ac:dyDescent="0.35">
      <c r="A4624" s="188"/>
      <c r="B4624" s="190"/>
      <c r="C4624" s="99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0"/>
      <c r="E4624" s="78" t="str">
        <f>IF(C4624="","",IFERROR(VLOOKUP(C4624,parametros!$A$11:$E$15,5,0),""))</f>
        <v/>
      </c>
      <c r="F4624" s="79" t="str">
        <f t="shared" si="362"/>
        <v/>
      </c>
      <c r="G4624" s="101"/>
      <c r="H4624" s="91">
        <f t="shared" si="363"/>
        <v>0</v>
      </c>
      <c r="I4624" s="91" t="str">
        <f t="shared" si="364"/>
        <v/>
      </c>
      <c r="J4624" s="91" t="str">
        <f t="shared" si="365"/>
        <v/>
      </c>
      <c r="K4624" s="92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2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58"/>
      <c r="U4624" s="217" t="str">
        <f t="shared" si="366"/>
        <v/>
      </c>
      <c r="V4624" s="215" t="s">
        <v>47</v>
      </c>
      <c r="W4624" s="102" t="s">
        <v>136</v>
      </c>
      <c r="X4624" s="102" t="s">
        <v>137</v>
      </c>
      <c r="Y4624" s="103" t="s">
        <v>138</v>
      </c>
      <c r="Z4624" s="103" t="s">
        <v>139</v>
      </c>
      <c r="AA4624" s="103" t="s">
        <v>47</v>
      </c>
      <c r="AB4624" s="103" t="s">
        <v>140</v>
      </c>
      <c r="AC4624" s="104" t="s">
        <v>141</v>
      </c>
    </row>
    <row r="4625" spans="1:29" ht="25.5" customHeight="1" x14ac:dyDescent="0.35">
      <c r="A4625" s="188"/>
      <c r="B4625" s="190"/>
      <c r="C4625" s="99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0"/>
      <c r="E4625" s="78" t="str">
        <f>IF(C4625="","",IFERROR(VLOOKUP(C4625,parametros!$A$11:$E$15,5,0),""))</f>
        <v/>
      </c>
      <c r="F4625" s="79" t="str">
        <f t="shared" si="362"/>
        <v/>
      </c>
      <c r="G4625" s="101"/>
      <c r="H4625" s="91">
        <f t="shared" si="363"/>
        <v>0</v>
      </c>
      <c r="I4625" s="91" t="str">
        <f t="shared" si="364"/>
        <v/>
      </c>
      <c r="J4625" s="91" t="str">
        <f t="shared" si="365"/>
        <v/>
      </c>
      <c r="K4625" s="92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2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58"/>
      <c r="U4625" s="217" t="str">
        <f t="shared" si="366"/>
        <v/>
      </c>
      <c r="V4625" s="215" t="s">
        <v>47</v>
      </c>
      <c r="W4625" s="102" t="s">
        <v>136</v>
      </c>
      <c r="X4625" s="102" t="s">
        <v>137</v>
      </c>
      <c r="Y4625" s="103" t="s">
        <v>138</v>
      </c>
      <c r="Z4625" s="103" t="s">
        <v>139</v>
      </c>
      <c r="AA4625" s="103" t="s">
        <v>47</v>
      </c>
      <c r="AB4625" s="103" t="s">
        <v>140</v>
      </c>
      <c r="AC4625" s="104" t="s">
        <v>141</v>
      </c>
    </row>
    <row r="4626" spans="1:29" ht="25.5" customHeight="1" x14ac:dyDescent="0.35">
      <c r="A4626" s="188"/>
      <c r="B4626" s="190"/>
      <c r="C4626" s="99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0"/>
      <c r="E4626" s="78" t="str">
        <f>IF(C4626="","",IFERROR(VLOOKUP(C4626,parametros!$A$11:$E$15,5,0),""))</f>
        <v/>
      </c>
      <c r="F4626" s="79" t="str">
        <f t="shared" si="362"/>
        <v/>
      </c>
      <c r="G4626" s="101"/>
      <c r="H4626" s="91">
        <f t="shared" si="363"/>
        <v>0</v>
      </c>
      <c r="I4626" s="91" t="str">
        <f t="shared" si="364"/>
        <v/>
      </c>
      <c r="J4626" s="91" t="str">
        <f t="shared" si="365"/>
        <v/>
      </c>
      <c r="K4626" s="92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2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58"/>
      <c r="U4626" s="217" t="str">
        <f t="shared" si="366"/>
        <v/>
      </c>
      <c r="V4626" s="215" t="s">
        <v>47</v>
      </c>
      <c r="W4626" s="102" t="s">
        <v>136</v>
      </c>
      <c r="X4626" s="102" t="s">
        <v>137</v>
      </c>
      <c r="Y4626" s="103" t="s">
        <v>138</v>
      </c>
      <c r="Z4626" s="103" t="s">
        <v>139</v>
      </c>
      <c r="AA4626" s="103" t="s">
        <v>47</v>
      </c>
      <c r="AB4626" s="103" t="s">
        <v>140</v>
      </c>
      <c r="AC4626" s="104" t="s">
        <v>141</v>
      </c>
    </row>
    <row r="4627" spans="1:29" ht="25.5" customHeight="1" x14ac:dyDescent="0.35">
      <c r="A4627" s="188"/>
      <c r="B4627" s="190"/>
      <c r="C4627" s="99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0"/>
      <c r="E4627" s="78" t="str">
        <f>IF(C4627="","",IFERROR(VLOOKUP(C4627,parametros!$A$11:$E$15,5,0),""))</f>
        <v/>
      </c>
      <c r="F4627" s="79" t="str">
        <f t="shared" si="362"/>
        <v/>
      </c>
      <c r="G4627" s="101"/>
      <c r="H4627" s="91">
        <f t="shared" si="363"/>
        <v>0</v>
      </c>
      <c r="I4627" s="91" t="str">
        <f t="shared" si="364"/>
        <v/>
      </c>
      <c r="J4627" s="91" t="str">
        <f t="shared" si="365"/>
        <v/>
      </c>
      <c r="K4627" s="92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2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58"/>
      <c r="U4627" s="217" t="str">
        <f t="shared" si="366"/>
        <v/>
      </c>
      <c r="V4627" s="215" t="s">
        <v>47</v>
      </c>
      <c r="W4627" s="102" t="s">
        <v>136</v>
      </c>
      <c r="X4627" s="102" t="s">
        <v>137</v>
      </c>
      <c r="Y4627" s="103" t="s">
        <v>138</v>
      </c>
      <c r="Z4627" s="103" t="s">
        <v>139</v>
      </c>
      <c r="AA4627" s="103" t="s">
        <v>47</v>
      </c>
      <c r="AB4627" s="103" t="s">
        <v>140</v>
      </c>
      <c r="AC4627" s="104" t="s">
        <v>141</v>
      </c>
    </row>
    <row r="4628" spans="1:29" ht="25.5" customHeight="1" x14ac:dyDescent="0.35">
      <c r="A4628" s="188"/>
      <c r="B4628" s="190"/>
      <c r="C4628" s="99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0"/>
      <c r="E4628" s="78" t="str">
        <f>IF(C4628="","",IFERROR(VLOOKUP(C4628,parametros!$A$11:$E$15,5,0),""))</f>
        <v/>
      </c>
      <c r="F4628" s="79" t="str">
        <f t="shared" si="362"/>
        <v/>
      </c>
      <c r="G4628" s="101"/>
      <c r="H4628" s="91">
        <f t="shared" si="363"/>
        <v>0</v>
      </c>
      <c r="I4628" s="91" t="str">
        <f t="shared" si="364"/>
        <v/>
      </c>
      <c r="J4628" s="91" t="str">
        <f t="shared" si="365"/>
        <v/>
      </c>
      <c r="K4628" s="92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2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58"/>
      <c r="U4628" s="217" t="str">
        <f t="shared" si="366"/>
        <v/>
      </c>
      <c r="V4628" s="215" t="s">
        <v>47</v>
      </c>
      <c r="W4628" s="102" t="s">
        <v>136</v>
      </c>
      <c r="X4628" s="102" t="s">
        <v>137</v>
      </c>
      <c r="Y4628" s="103" t="s">
        <v>138</v>
      </c>
      <c r="Z4628" s="103" t="s">
        <v>139</v>
      </c>
      <c r="AA4628" s="103" t="s">
        <v>47</v>
      </c>
      <c r="AB4628" s="103" t="s">
        <v>140</v>
      </c>
      <c r="AC4628" s="104" t="s">
        <v>141</v>
      </c>
    </row>
    <row r="4629" spans="1:29" ht="25.5" customHeight="1" x14ac:dyDescent="0.35">
      <c r="A4629" s="188"/>
      <c r="B4629" s="190"/>
      <c r="C4629" s="99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0"/>
      <c r="E4629" s="78" t="str">
        <f>IF(C4629="","",IFERROR(VLOOKUP(C4629,parametros!$A$11:$E$15,5,0),""))</f>
        <v/>
      </c>
      <c r="F4629" s="79" t="str">
        <f t="shared" si="362"/>
        <v/>
      </c>
      <c r="G4629" s="101"/>
      <c r="H4629" s="91">
        <f t="shared" si="363"/>
        <v>0</v>
      </c>
      <c r="I4629" s="91" t="str">
        <f t="shared" si="364"/>
        <v/>
      </c>
      <c r="J4629" s="91" t="str">
        <f t="shared" si="365"/>
        <v/>
      </c>
      <c r="K4629" s="92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2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58"/>
      <c r="U4629" s="217" t="str">
        <f t="shared" si="366"/>
        <v/>
      </c>
      <c r="V4629" s="215" t="s">
        <v>47</v>
      </c>
      <c r="W4629" s="102" t="s">
        <v>136</v>
      </c>
      <c r="X4629" s="102" t="s">
        <v>137</v>
      </c>
      <c r="Y4629" s="103" t="s">
        <v>138</v>
      </c>
      <c r="Z4629" s="103" t="s">
        <v>139</v>
      </c>
      <c r="AA4629" s="103" t="s">
        <v>47</v>
      </c>
      <c r="AB4629" s="103" t="s">
        <v>140</v>
      </c>
      <c r="AC4629" s="104" t="s">
        <v>141</v>
      </c>
    </row>
    <row r="4630" spans="1:29" ht="25.5" customHeight="1" x14ac:dyDescent="0.35">
      <c r="A4630" s="188"/>
      <c r="B4630" s="190"/>
      <c r="C4630" s="99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0"/>
      <c r="E4630" s="78" t="str">
        <f>IF(C4630="","",IFERROR(VLOOKUP(C4630,parametros!$A$11:$E$15,5,0),""))</f>
        <v/>
      </c>
      <c r="F4630" s="79" t="str">
        <f t="shared" si="362"/>
        <v/>
      </c>
      <c r="G4630" s="101"/>
      <c r="H4630" s="91">
        <f t="shared" si="363"/>
        <v>0</v>
      </c>
      <c r="I4630" s="91" t="str">
        <f t="shared" si="364"/>
        <v/>
      </c>
      <c r="J4630" s="91" t="str">
        <f t="shared" si="365"/>
        <v/>
      </c>
      <c r="K4630" s="92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2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58"/>
      <c r="U4630" s="217" t="str">
        <f t="shared" si="366"/>
        <v/>
      </c>
      <c r="V4630" s="215" t="s">
        <v>47</v>
      </c>
      <c r="W4630" s="102" t="s">
        <v>136</v>
      </c>
      <c r="X4630" s="102" t="s">
        <v>137</v>
      </c>
      <c r="Y4630" s="103" t="s">
        <v>138</v>
      </c>
      <c r="Z4630" s="103" t="s">
        <v>139</v>
      </c>
      <c r="AA4630" s="103" t="s">
        <v>47</v>
      </c>
      <c r="AB4630" s="103" t="s">
        <v>140</v>
      </c>
      <c r="AC4630" s="104" t="s">
        <v>141</v>
      </c>
    </row>
    <row r="4631" spans="1:29" ht="25.5" customHeight="1" x14ac:dyDescent="0.35">
      <c r="A4631" s="188"/>
      <c r="B4631" s="190"/>
      <c r="C4631" s="99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0"/>
      <c r="E4631" s="78" t="str">
        <f>IF(C4631="","",IFERROR(VLOOKUP(C4631,parametros!$A$11:$E$15,5,0),""))</f>
        <v/>
      </c>
      <c r="F4631" s="79" t="str">
        <f t="shared" si="362"/>
        <v/>
      </c>
      <c r="G4631" s="101"/>
      <c r="H4631" s="91">
        <f t="shared" si="363"/>
        <v>0</v>
      </c>
      <c r="I4631" s="91" t="str">
        <f t="shared" si="364"/>
        <v/>
      </c>
      <c r="J4631" s="91" t="str">
        <f t="shared" si="365"/>
        <v/>
      </c>
      <c r="K4631" s="92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2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58"/>
      <c r="U4631" s="217" t="str">
        <f t="shared" si="366"/>
        <v/>
      </c>
      <c r="V4631" s="215" t="s">
        <v>47</v>
      </c>
      <c r="W4631" s="102" t="s">
        <v>136</v>
      </c>
      <c r="X4631" s="102" t="s">
        <v>137</v>
      </c>
      <c r="Y4631" s="103" t="s">
        <v>138</v>
      </c>
      <c r="Z4631" s="103" t="s">
        <v>139</v>
      </c>
      <c r="AA4631" s="103" t="s">
        <v>47</v>
      </c>
      <c r="AB4631" s="103" t="s">
        <v>140</v>
      </c>
      <c r="AC4631" s="104" t="s">
        <v>141</v>
      </c>
    </row>
    <row r="4632" spans="1:29" ht="25.5" customHeight="1" x14ac:dyDescent="0.35">
      <c r="A4632" s="188"/>
      <c r="B4632" s="190"/>
      <c r="C4632" s="99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0"/>
      <c r="E4632" s="78" t="str">
        <f>IF(C4632="","",IFERROR(VLOOKUP(C4632,parametros!$A$11:$E$15,5,0),""))</f>
        <v/>
      </c>
      <c r="F4632" s="79" t="str">
        <f t="shared" si="362"/>
        <v/>
      </c>
      <c r="G4632" s="101"/>
      <c r="H4632" s="91">
        <f t="shared" si="363"/>
        <v>0</v>
      </c>
      <c r="I4632" s="91" t="str">
        <f t="shared" si="364"/>
        <v/>
      </c>
      <c r="J4632" s="91" t="str">
        <f t="shared" si="365"/>
        <v/>
      </c>
      <c r="K4632" s="92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2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58"/>
      <c r="U4632" s="217" t="str">
        <f t="shared" si="366"/>
        <v/>
      </c>
      <c r="V4632" s="215" t="s">
        <v>47</v>
      </c>
      <c r="W4632" s="102" t="s">
        <v>136</v>
      </c>
      <c r="X4632" s="102" t="s">
        <v>137</v>
      </c>
      <c r="Y4632" s="103" t="s">
        <v>138</v>
      </c>
      <c r="Z4632" s="103" t="s">
        <v>139</v>
      </c>
      <c r="AA4632" s="103" t="s">
        <v>47</v>
      </c>
      <c r="AB4632" s="103" t="s">
        <v>140</v>
      </c>
      <c r="AC4632" s="104" t="s">
        <v>141</v>
      </c>
    </row>
    <row r="4633" spans="1:29" ht="25.5" customHeight="1" x14ac:dyDescent="0.35">
      <c r="A4633" s="188"/>
      <c r="B4633" s="190"/>
      <c r="C4633" s="99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0"/>
      <c r="E4633" s="78" t="str">
        <f>IF(C4633="","",IFERROR(VLOOKUP(C4633,parametros!$A$11:$E$15,5,0),""))</f>
        <v/>
      </c>
      <c r="F4633" s="79" t="str">
        <f t="shared" si="362"/>
        <v/>
      </c>
      <c r="G4633" s="101"/>
      <c r="H4633" s="91">
        <f t="shared" si="363"/>
        <v>0</v>
      </c>
      <c r="I4633" s="91" t="str">
        <f t="shared" si="364"/>
        <v/>
      </c>
      <c r="J4633" s="91" t="str">
        <f t="shared" si="365"/>
        <v/>
      </c>
      <c r="K4633" s="92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2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58"/>
      <c r="U4633" s="217" t="str">
        <f t="shared" si="366"/>
        <v/>
      </c>
      <c r="V4633" s="215" t="s">
        <v>47</v>
      </c>
      <c r="W4633" s="102" t="s">
        <v>136</v>
      </c>
      <c r="X4633" s="102" t="s">
        <v>137</v>
      </c>
      <c r="Y4633" s="103" t="s">
        <v>138</v>
      </c>
      <c r="Z4633" s="103" t="s">
        <v>139</v>
      </c>
      <c r="AA4633" s="103" t="s">
        <v>47</v>
      </c>
      <c r="AB4633" s="103" t="s">
        <v>140</v>
      </c>
      <c r="AC4633" s="104" t="s">
        <v>141</v>
      </c>
    </row>
    <row r="4634" spans="1:29" ht="25.5" customHeight="1" x14ac:dyDescent="0.35">
      <c r="A4634" s="188"/>
      <c r="B4634" s="190"/>
      <c r="C4634" s="99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0"/>
      <c r="E4634" s="78" t="str">
        <f>IF(C4634="","",IFERROR(VLOOKUP(C4634,parametros!$A$11:$E$15,5,0),""))</f>
        <v/>
      </c>
      <c r="F4634" s="79" t="str">
        <f t="shared" si="362"/>
        <v/>
      </c>
      <c r="G4634" s="101"/>
      <c r="H4634" s="91">
        <f t="shared" si="363"/>
        <v>0</v>
      </c>
      <c r="I4634" s="91" t="str">
        <f t="shared" si="364"/>
        <v/>
      </c>
      <c r="J4634" s="91" t="str">
        <f t="shared" si="365"/>
        <v/>
      </c>
      <c r="K4634" s="92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2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58"/>
      <c r="U4634" s="217" t="str">
        <f t="shared" si="366"/>
        <v/>
      </c>
      <c r="V4634" s="215" t="s">
        <v>47</v>
      </c>
      <c r="W4634" s="102" t="s">
        <v>136</v>
      </c>
      <c r="X4634" s="102" t="s">
        <v>137</v>
      </c>
      <c r="Y4634" s="103" t="s">
        <v>138</v>
      </c>
      <c r="Z4634" s="103" t="s">
        <v>139</v>
      </c>
      <c r="AA4634" s="103" t="s">
        <v>47</v>
      </c>
      <c r="AB4634" s="103" t="s">
        <v>140</v>
      </c>
      <c r="AC4634" s="104" t="s">
        <v>141</v>
      </c>
    </row>
    <row r="4635" spans="1:29" ht="25.5" customHeight="1" x14ac:dyDescent="0.35">
      <c r="A4635" s="188"/>
      <c r="B4635" s="190"/>
      <c r="C4635" s="99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0"/>
      <c r="E4635" s="78" t="str">
        <f>IF(C4635="","",IFERROR(VLOOKUP(C4635,parametros!$A$11:$E$15,5,0),""))</f>
        <v/>
      </c>
      <c r="F4635" s="79" t="str">
        <f t="shared" si="362"/>
        <v/>
      </c>
      <c r="G4635" s="101"/>
      <c r="H4635" s="91">
        <f t="shared" si="363"/>
        <v>0</v>
      </c>
      <c r="I4635" s="91" t="str">
        <f t="shared" si="364"/>
        <v/>
      </c>
      <c r="J4635" s="91" t="str">
        <f t="shared" si="365"/>
        <v/>
      </c>
      <c r="K4635" s="92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2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58"/>
      <c r="U4635" s="217" t="str">
        <f t="shared" si="366"/>
        <v/>
      </c>
      <c r="V4635" s="215" t="s">
        <v>47</v>
      </c>
      <c r="W4635" s="102" t="s">
        <v>136</v>
      </c>
      <c r="X4635" s="102" t="s">
        <v>137</v>
      </c>
      <c r="Y4635" s="103" t="s">
        <v>138</v>
      </c>
      <c r="Z4635" s="103" t="s">
        <v>139</v>
      </c>
      <c r="AA4635" s="103" t="s">
        <v>47</v>
      </c>
      <c r="AB4635" s="103" t="s">
        <v>140</v>
      </c>
      <c r="AC4635" s="104" t="s">
        <v>141</v>
      </c>
    </row>
    <row r="4636" spans="1:29" ht="25.5" customHeight="1" x14ac:dyDescent="0.35">
      <c r="A4636" s="188"/>
      <c r="B4636" s="190"/>
      <c r="C4636" s="99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0"/>
      <c r="E4636" s="78" t="str">
        <f>IF(C4636="","",IFERROR(VLOOKUP(C4636,parametros!$A$11:$E$15,5,0),""))</f>
        <v/>
      </c>
      <c r="F4636" s="79" t="str">
        <f t="shared" si="362"/>
        <v/>
      </c>
      <c r="G4636" s="101"/>
      <c r="H4636" s="91">
        <f t="shared" si="363"/>
        <v>0</v>
      </c>
      <c r="I4636" s="91" t="str">
        <f t="shared" si="364"/>
        <v/>
      </c>
      <c r="J4636" s="91" t="str">
        <f t="shared" si="365"/>
        <v/>
      </c>
      <c r="K4636" s="92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2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58"/>
      <c r="U4636" s="217" t="str">
        <f t="shared" si="366"/>
        <v/>
      </c>
      <c r="V4636" s="215" t="s">
        <v>47</v>
      </c>
      <c r="W4636" s="102" t="s">
        <v>136</v>
      </c>
      <c r="X4636" s="102" t="s">
        <v>137</v>
      </c>
      <c r="Y4636" s="103" t="s">
        <v>138</v>
      </c>
      <c r="Z4636" s="103" t="s">
        <v>139</v>
      </c>
      <c r="AA4636" s="103" t="s">
        <v>47</v>
      </c>
      <c r="AB4636" s="103" t="s">
        <v>140</v>
      </c>
      <c r="AC4636" s="104" t="s">
        <v>141</v>
      </c>
    </row>
    <row r="4637" spans="1:29" ht="25.5" customHeight="1" x14ac:dyDescent="0.35">
      <c r="A4637" s="188"/>
      <c r="B4637" s="190"/>
      <c r="C4637" s="99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0"/>
      <c r="E4637" s="78" t="str">
        <f>IF(C4637="","",IFERROR(VLOOKUP(C4637,parametros!$A$11:$E$15,5,0),""))</f>
        <v/>
      </c>
      <c r="F4637" s="79" t="str">
        <f t="shared" si="362"/>
        <v/>
      </c>
      <c r="G4637" s="101"/>
      <c r="H4637" s="91">
        <f t="shared" si="363"/>
        <v>0</v>
      </c>
      <c r="I4637" s="91" t="str">
        <f t="shared" si="364"/>
        <v/>
      </c>
      <c r="J4637" s="91" t="str">
        <f t="shared" si="365"/>
        <v/>
      </c>
      <c r="K4637" s="92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2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58"/>
      <c r="U4637" s="217" t="str">
        <f t="shared" si="366"/>
        <v/>
      </c>
      <c r="V4637" s="215" t="s">
        <v>47</v>
      </c>
      <c r="W4637" s="102" t="s">
        <v>136</v>
      </c>
      <c r="X4637" s="102" t="s">
        <v>137</v>
      </c>
      <c r="Y4637" s="103" t="s">
        <v>138</v>
      </c>
      <c r="Z4637" s="103" t="s">
        <v>139</v>
      </c>
      <c r="AA4637" s="103" t="s">
        <v>47</v>
      </c>
      <c r="AB4637" s="103" t="s">
        <v>140</v>
      </c>
      <c r="AC4637" s="104" t="s">
        <v>141</v>
      </c>
    </row>
    <row r="4638" spans="1:29" ht="25.5" customHeight="1" x14ac:dyDescent="0.35">
      <c r="A4638" s="188"/>
      <c r="B4638" s="190"/>
      <c r="C4638" s="99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0"/>
      <c r="E4638" s="78" t="str">
        <f>IF(C4638="","",IFERROR(VLOOKUP(C4638,parametros!$A$11:$E$15,5,0),""))</f>
        <v/>
      </c>
      <c r="F4638" s="79" t="str">
        <f t="shared" si="362"/>
        <v/>
      </c>
      <c r="G4638" s="101"/>
      <c r="H4638" s="91">
        <f t="shared" si="363"/>
        <v>0</v>
      </c>
      <c r="I4638" s="91" t="str">
        <f t="shared" si="364"/>
        <v/>
      </c>
      <c r="J4638" s="91" t="str">
        <f t="shared" si="365"/>
        <v/>
      </c>
      <c r="K4638" s="92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2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58"/>
      <c r="U4638" s="217" t="str">
        <f t="shared" si="366"/>
        <v/>
      </c>
      <c r="V4638" s="215" t="s">
        <v>47</v>
      </c>
      <c r="W4638" s="102" t="s">
        <v>136</v>
      </c>
      <c r="X4638" s="102" t="s">
        <v>137</v>
      </c>
      <c r="Y4638" s="103" t="s">
        <v>138</v>
      </c>
      <c r="Z4638" s="103" t="s">
        <v>139</v>
      </c>
      <c r="AA4638" s="103" t="s">
        <v>47</v>
      </c>
      <c r="AB4638" s="103" t="s">
        <v>140</v>
      </c>
      <c r="AC4638" s="104" t="s">
        <v>141</v>
      </c>
    </row>
    <row r="4639" spans="1:29" ht="25.5" customHeight="1" x14ac:dyDescent="0.35">
      <c r="A4639" s="188"/>
      <c r="B4639" s="190"/>
      <c r="C4639" s="99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0"/>
      <c r="E4639" s="78" t="str">
        <f>IF(C4639="","",IFERROR(VLOOKUP(C4639,parametros!$A$11:$E$15,5,0),""))</f>
        <v/>
      </c>
      <c r="F4639" s="79" t="str">
        <f t="shared" si="362"/>
        <v/>
      </c>
      <c r="G4639" s="101"/>
      <c r="H4639" s="91">
        <f t="shared" si="363"/>
        <v>0</v>
      </c>
      <c r="I4639" s="91" t="str">
        <f t="shared" si="364"/>
        <v/>
      </c>
      <c r="J4639" s="91" t="str">
        <f t="shared" si="365"/>
        <v/>
      </c>
      <c r="K4639" s="92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2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58"/>
      <c r="U4639" s="217" t="str">
        <f t="shared" si="366"/>
        <v/>
      </c>
      <c r="V4639" s="215" t="s">
        <v>47</v>
      </c>
      <c r="W4639" s="102" t="s">
        <v>136</v>
      </c>
      <c r="X4639" s="102" t="s">
        <v>137</v>
      </c>
      <c r="Y4639" s="103" t="s">
        <v>138</v>
      </c>
      <c r="Z4639" s="103" t="s">
        <v>139</v>
      </c>
      <c r="AA4639" s="103" t="s">
        <v>47</v>
      </c>
      <c r="AB4639" s="103" t="s">
        <v>140</v>
      </c>
      <c r="AC4639" s="104" t="s">
        <v>141</v>
      </c>
    </row>
    <row r="4640" spans="1:29" ht="25.5" customHeight="1" x14ac:dyDescent="0.35">
      <c r="A4640" s="188"/>
      <c r="B4640" s="190"/>
      <c r="C4640" s="99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0"/>
      <c r="E4640" s="78" t="str">
        <f>IF(C4640="","",IFERROR(VLOOKUP(C4640,parametros!$A$11:$E$15,5,0),""))</f>
        <v/>
      </c>
      <c r="F4640" s="79" t="str">
        <f t="shared" si="362"/>
        <v/>
      </c>
      <c r="G4640" s="101"/>
      <c r="H4640" s="91">
        <f t="shared" si="363"/>
        <v>0</v>
      </c>
      <c r="I4640" s="91" t="str">
        <f t="shared" si="364"/>
        <v/>
      </c>
      <c r="J4640" s="91" t="str">
        <f t="shared" si="365"/>
        <v/>
      </c>
      <c r="K4640" s="92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2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58"/>
      <c r="U4640" s="217" t="str">
        <f t="shared" si="366"/>
        <v/>
      </c>
      <c r="V4640" s="215" t="s">
        <v>47</v>
      </c>
      <c r="W4640" s="102" t="s">
        <v>136</v>
      </c>
      <c r="X4640" s="102" t="s">
        <v>137</v>
      </c>
      <c r="Y4640" s="103" t="s">
        <v>138</v>
      </c>
      <c r="Z4640" s="103" t="s">
        <v>139</v>
      </c>
      <c r="AA4640" s="103" t="s">
        <v>47</v>
      </c>
      <c r="AB4640" s="103" t="s">
        <v>140</v>
      </c>
      <c r="AC4640" s="104" t="s">
        <v>141</v>
      </c>
    </row>
    <row r="4641" spans="1:29" ht="25.5" customHeight="1" x14ac:dyDescent="0.35">
      <c r="A4641" s="188"/>
      <c r="B4641" s="190"/>
      <c r="C4641" s="99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0"/>
      <c r="E4641" s="78" t="str">
        <f>IF(C4641="","",IFERROR(VLOOKUP(C4641,parametros!$A$11:$E$15,5,0),""))</f>
        <v/>
      </c>
      <c r="F4641" s="79" t="str">
        <f t="shared" si="362"/>
        <v/>
      </c>
      <c r="G4641" s="101"/>
      <c r="H4641" s="91">
        <f t="shared" si="363"/>
        <v>0</v>
      </c>
      <c r="I4641" s="91" t="str">
        <f t="shared" si="364"/>
        <v/>
      </c>
      <c r="J4641" s="91" t="str">
        <f t="shared" si="365"/>
        <v/>
      </c>
      <c r="K4641" s="92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2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58"/>
      <c r="U4641" s="217" t="str">
        <f t="shared" si="366"/>
        <v/>
      </c>
      <c r="V4641" s="215" t="s">
        <v>47</v>
      </c>
      <c r="W4641" s="102" t="s">
        <v>136</v>
      </c>
      <c r="X4641" s="102" t="s">
        <v>137</v>
      </c>
      <c r="Y4641" s="103" t="s">
        <v>138</v>
      </c>
      <c r="Z4641" s="103" t="s">
        <v>139</v>
      </c>
      <c r="AA4641" s="103" t="s">
        <v>47</v>
      </c>
      <c r="AB4641" s="103" t="s">
        <v>140</v>
      </c>
      <c r="AC4641" s="104" t="s">
        <v>141</v>
      </c>
    </row>
    <row r="4642" spans="1:29" ht="25.5" customHeight="1" x14ac:dyDescent="0.35">
      <c r="A4642" s="188"/>
      <c r="B4642" s="190"/>
      <c r="C4642" s="99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0"/>
      <c r="E4642" s="78" t="str">
        <f>IF(C4642="","",IFERROR(VLOOKUP(C4642,parametros!$A$11:$E$15,5,0),""))</f>
        <v/>
      </c>
      <c r="F4642" s="79" t="str">
        <f t="shared" si="362"/>
        <v/>
      </c>
      <c r="G4642" s="101"/>
      <c r="H4642" s="91">
        <f t="shared" si="363"/>
        <v>0</v>
      </c>
      <c r="I4642" s="91" t="str">
        <f t="shared" si="364"/>
        <v/>
      </c>
      <c r="J4642" s="91" t="str">
        <f t="shared" si="365"/>
        <v/>
      </c>
      <c r="K4642" s="92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2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58"/>
      <c r="U4642" s="217" t="str">
        <f t="shared" si="366"/>
        <v/>
      </c>
      <c r="V4642" s="215" t="s">
        <v>47</v>
      </c>
      <c r="W4642" s="102" t="s">
        <v>136</v>
      </c>
      <c r="X4642" s="102" t="s">
        <v>137</v>
      </c>
      <c r="Y4642" s="103" t="s">
        <v>138</v>
      </c>
      <c r="Z4642" s="103" t="s">
        <v>139</v>
      </c>
      <c r="AA4642" s="103" t="s">
        <v>47</v>
      </c>
      <c r="AB4642" s="103" t="s">
        <v>140</v>
      </c>
      <c r="AC4642" s="104" t="s">
        <v>141</v>
      </c>
    </row>
    <row r="4643" spans="1:29" ht="25.5" customHeight="1" x14ac:dyDescent="0.35">
      <c r="A4643" s="188"/>
      <c r="B4643" s="190"/>
      <c r="C4643" s="99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0"/>
      <c r="E4643" s="78" t="str">
        <f>IF(C4643="","",IFERROR(VLOOKUP(C4643,parametros!$A$11:$E$15,5,0),""))</f>
        <v/>
      </c>
      <c r="F4643" s="79" t="str">
        <f t="shared" si="362"/>
        <v/>
      </c>
      <c r="G4643" s="101"/>
      <c r="H4643" s="91">
        <f t="shared" si="363"/>
        <v>0</v>
      </c>
      <c r="I4643" s="91" t="str">
        <f t="shared" si="364"/>
        <v/>
      </c>
      <c r="J4643" s="91" t="str">
        <f t="shared" si="365"/>
        <v/>
      </c>
      <c r="K4643" s="92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2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58"/>
      <c r="U4643" s="217" t="str">
        <f t="shared" si="366"/>
        <v/>
      </c>
      <c r="V4643" s="215" t="s">
        <v>47</v>
      </c>
      <c r="W4643" s="102" t="s">
        <v>136</v>
      </c>
      <c r="X4643" s="102" t="s">
        <v>137</v>
      </c>
      <c r="Y4643" s="103" t="s">
        <v>138</v>
      </c>
      <c r="Z4643" s="103" t="s">
        <v>139</v>
      </c>
      <c r="AA4643" s="103" t="s">
        <v>47</v>
      </c>
      <c r="AB4643" s="103" t="s">
        <v>140</v>
      </c>
      <c r="AC4643" s="104" t="s">
        <v>141</v>
      </c>
    </row>
    <row r="4644" spans="1:29" ht="25.5" customHeight="1" x14ac:dyDescent="0.35">
      <c r="A4644" s="188"/>
      <c r="B4644" s="190"/>
      <c r="C4644" s="99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0"/>
      <c r="E4644" s="78" t="str">
        <f>IF(C4644="","",IFERROR(VLOOKUP(C4644,parametros!$A$11:$E$15,5,0),""))</f>
        <v/>
      </c>
      <c r="F4644" s="79" t="str">
        <f t="shared" si="362"/>
        <v/>
      </c>
      <c r="G4644" s="101"/>
      <c r="H4644" s="91">
        <f t="shared" si="363"/>
        <v>0</v>
      </c>
      <c r="I4644" s="91" t="str">
        <f t="shared" si="364"/>
        <v/>
      </c>
      <c r="J4644" s="91" t="str">
        <f t="shared" si="365"/>
        <v/>
      </c>
      <c r="K4644" s="92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2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58"/>
      <c r="U4644" s="217" t="str">
        <f t="shared" si="366"/>
        <v/>
      </c>
      <c r="V4644" s="215" t="s">
        <v>47</v>
      </c>
      <c r="W4644" s="102" t="s">
        <v>136</v>
      </c>
      <c r="X4644" s="102" t="s">
        <v>137</v>
      </c>
      <c r="Y4644" s="103" t="s">
        <v>138</v>
      </c>
      <c r="Z4644" s="103" t="s">
        <v>139</v>
      </c>
      <c r="AA4644" s="103" t="s">
        <v>47</v>
      </c>
      <c r="AB4644" s="103" t="s">
        <v>140</v>
      </c>
      <c r="AC4644" s="104" t="s">
        <v>141</v>
      </c>
    </row>
    <row r="4645" spans="1:29" ht="25.5" customHeight="1" x14ac:dyDescent="0.35">
      <c r="A4645" s="188"/>
      <c r="B4645" s="190"/>
      <c r="C4645" s="99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0"/>
      <c r="E4645" s="78" t="str">
        <f>IF(C4645="","",IFERROR(VLOOKUP(C4645,parametros!$A$11:$E$15,5,0),""))</f>
        <v/>
      </c>
      <c r="F4645" s="79" t="str">
        <f t="shared" si="362"/>
        <v/>
      </c>
      <c r="G4645" s="101"/>
      <c r="H4645" s="91">
        <f t="shared" si="363"/>
        <v>0</v>
      </c>
      <c r="I4645" s="91" t="str">
        <f t="shared" si="364"/>
        <v/>
      </c>
      <c r="J4645" s="91" t="str">
        <f t="shared" si="365"/>
        <v/>
      </c>
      <c r="K4645" s="92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2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58"/>
      <c r="U4645" s="217" t="str">
        <f t="shared" si="366"/>
        <v/>
      </c>
      <c r="V4645" s="215" t="s">
        <v>47</v>
      </c>
      <c r="W4645" s="102" t="s">
        <v>136</v>
      </c>
      <c r="X4645" s="102" t="s">
        <v>137</v>
      </c>
      <c r="Y4645" s="103" t="s">
        <v>138</v>
      </c>
      <c r="Z4645" s="103" t="s">
        <v>139</v>
      </c>
      <c r="AA4645" s="103" t="s">
        <v>47</v>
      </c>
      <c r="AB4645" s="103" t="s">
        <v>140</v>
      </c>
      <c r="AC4645" s="104" t="s">
        <v>141</v>
      </c>
    </row>
    <row r="4646" spans="1:29" ht="25.5" customHeight="1" x14ac:dyDescent="0.35">
      <c r="A4646" s="188"/>
      <c r="B4646" s="190"/>
      <c r="C4646" s="99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0"/>
      <c r="E4646" s="78" t="str">
        <f>IF(C4646="","",IFERROR(VLOOKUP(C4646,parametros!$A$11:$E$15,5,0),""))</f>
        <v/>
      </c>
      <c r="F4646" s="79" t="str">
        <f t="shared" si="362"/>
        <v/>
      </c>
      <c r="G4646" s="101"/>
      <c r="H4646" s="91">
        <f t="shared" si="363"/>
        <v>0</v>
      </c>
      <c r="I4646" s="91" t="str">
        <f t="shared" si="364"/>
        <v/>
      </c>
      <c r="J4646" s="91" t="str">
        <f t="shared" si="365"/>
        <v/>
      </c>
      <c r="K4646" s="92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2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58"/>
      <c r="U4646" s="217" t="str">
        <f t="shared" si="366"/>
        <v/>
      </c>
      <c r="V4646" s="215" t="s">
        <v>47</v>
      </c>
      <c r="W4646" s="102" t="s">
        <v>136</v>
      </c>
      <c r="X4646" s="102" t="s">
        <v>137</v>
      </c>
      <c r="Y4646" s="103" t="s">
        <v>138</v>
      </c>
      <c r="Z4646" s="103" t="s">
        <v>139</v>
      </c>
      <c r="AA4646" s="103" t="s">
        <v>47</v>
      </c>
      <c r="AB4646" s="103" t="s">
        <v>140</v>
      </c>
      <c r="AC4646" s="104" t="s">
        <v>141</v>
      </c>
    </row>
    <row r="4647" spans="1:29" ht="25.5" customHeight="1" x14ac:dyDescent="0.35">
      <c r="A4647" s="188"/>
      <c r="B4647" s="190"/>
      <c r="C4647" s="99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0"/>
      <c r="E4647" s="78" t="str">
        <f>IF(C4647="","",IFERROR(VLOOKUP(C4647,parametros!$A$11:$E$15,5,0),""))</f>
        <v/>
      </c>
      <c r="F4647" s="79" t="str">
        <f t="shared" si="362"/>
        <v/>
      </c>
      <c r="G4647" s="101"/>
      <c r="H4647" s="91">
        <f t="shared" si="363"/>
        <v>0</v>
      </c>
      <c r="I4647" s="91" t="str">
        <f t="shared" si="364"/>
        <v/>
      </c>
      <c r="J4647" s="91" t="str">
        <f t="shared" si="365"/>
        <v/>
      </c>
      <c r="K4647" s="92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2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58"/>
      <c r="U4647" s="217" t="str">
        <f t="shared" si="366"/>
        <v/>
      </c>
      <c r="V4647" s="215" t="s">
        <v>47</v>
      </c>
      <c r="W4647" s="102" t="s">
        <v>136</v>
      </c>
      <c r="X4647" s="102" t="s">
        <v>137</v>
      </c>
      <c r="Y4647" s="103" t="s">
        <v>138</v>
      </c>
      <c r="Z4647" s="103" t="s">
        <v>139</v>
      </c>
      <c r="AA4647" s="103" t="s">
        <v>47</v>
      </c>
      <c r="AB4647" s="103" t="s">
        <v>140</v>
      </c>
      <c r="AC4647" s="104" t="s">
        <v>141</v>
      </c>
    </row>
    <row r="4648" spans="1:29" ht="25.5" customHeight="1" x14ac:dyDescent="0.35">
      <c r="A4648" s="188"/>
      <c r="B4648" s="190"/>
      <c r="C4648" s="99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0"/>
      <c r="E4648" s="78" t="str">
        <f>IF(C4648="","",IFERROR(VLOOKUP(C4648,parametros!$A$11:$E$15,5,0),""))</f>
        <v/>
      </c>
      <c r="F4648" s="79" t="str">
        <f t="shared" si="362"/>
        <v/>
      </c>
      <c r="G4648" s="101"/>
      <c r="H4648" s="91">
        <f t="shared" si="363"/>
        <v>0</v>
      </c>
      <c r="I4648" s="91" t="str">
        <f t="shared" si="364"/>
        <v/>
      </c>
      <c r="J4648" s="91" t="str">
        <f t="shared" si="365"/>
        <v/>
      </c>
      <c r="K4648" s="92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2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58"/>
      <c r="U4648" s="217" t="str">
        <f t="shared" si="366"/>
        <v/>
      </c>
      <c r="V4648" s="215" t="s">
        <v>47</v>
      </c>
      <c r="W4648" s="102" t="s">
        <v>136</v>
      </c>
      <c r="X4648" s="102" t="s">
        <v>137</v>
      </c>
      <c r="Y4648" s="103" t="s">
        <v>138</v>
      </c>
      <c r="Z4648" s="103" t="s">
        <v>139</v>
      </c>
      <c r="AA4648" s="103" t="s">
        <v>47</v>
      </c>
      <c r="AB4648" s="103" t="s">
        <v>140</v>
      </c>
      <c r="AC4648" s="104" t="s">
        <v>141</v>
      </c>
    </row>
    <row r="4649" spans="1:29" ht="25.5" customHeight="1" x14ac:dyDescent="0.35">
      <c r="A4649" s="188"/>
      <c r="B4649" s="190"/>
      <c r="C4649" s="99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0"/>
      <c r="E4649" s="78" t="str">
        <f>IF(C4649="","",IFERROR(VLOOKUP(C4649,parametros!$A$11:$E$15,5,0),""))</f>
        <v/>
      </c>
      <c r="F4649" s="79" t="str">
        <f t="shared" si="362"/>
        <v/>
      </c>
      <c r="G4649" s="101"/>
      <c r="H4649" s="91">
        <f t="shared" si="363"/>
        <v>0</v>
      </c>
      <c r="I4649" s="91" t="str">
        <f t="shared" si="364"/>
        <v/>
      </c>
      <c r="J4649" s="91" t="str">
        <f t="shared" si="365"/>
        <v/>
      </c>
      <c r="K4649" s="92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2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58"/>
      <c r="U4649" s="217" t="str">
        <f t="shared" si="366"/>
        <v/>
      </c>
      <c r="V4649" s="215" t="s">
        <v>47</v>
      </c>
      <c r="W4649" s="102" t="s">
        <v>136</v>
      </c>
      <c r="X4649" s="102" t="s">
        <v>137</v>
      </c>
      <c r="Y4649" s="103" t="s">
        <v>138</v>
      </c>
      <c r="Z4649" s="103" t="s">
        <v>139</v>
      </c>
      <c r="AA4649" s="103" t="s">
        <v>47</v>
      </c>
      <c r="AB4649" s="103" t="s">
        <v>140</v>
      </c>
      <c r="AC4649" s="104" t="s">
        <v>141</v>
      </c>
    </row>
    <row r="4650" spans="1:29" ht="25.5" customHeight="1" x14ac:dyDescent="0.35">
      <c r="A4650" s="188"/>
      <c r="B4650" s="190"/>
      <c r="C4650" s="99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0"/>
      <c r="E4650" s="78" t="str">
        <f>IF(C4650="","",IFERROR(VLOOKUP(C4650,parametros!$A$11:$E$15,5,0),""))</f>
        <v/>
      </c>
      <c r="F4650" s="79" t="str">
        <f t="shared" si="362"/>
        <v/>
      </c>
      <c r="G4650" s="101"/>
      <c r="H4650" s="91">
        <f t="shared" si="363"/>
        <v>0</v>
      </c>
      <c r="I4650" s="91" t="str">
        <f t="shared" si="364"/>
        <v/>
      </c>
      <c r="J4650" s="91" t="str">
        <f t="shared" si="365"/>
        <v/>
      </c>
      <c r="K4650" s="92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2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58"/>
      <c r="U4650" s="217" t="str">
        <f t="shared" si="366"/>
        <v/>
      </c>
      <c r="V4650" s="215" t="s">
        <v>47</v>
      </c>
      <c r="W4650" s="102" t="s">
        <v>136</v>
      </c>
      <c r="X4650" s="102" t="s">
        <v>137</v>
      </c>
      <c r="Y4650" s="103" t="s">
        <v>138</v>
      </c>
      <c r="Z4650" s="103" t="s">
        <v>139</v>
      </c>
      <c r="AA4650" s="103" t="s">
        <v>47</v>
      </c>
      <c r="AB4650" s="103" t="s">
        <v>140</v>
      </c>
      <c r="AC4650" s="104" t="s">
        <v>141</v>
      </c>
    </row>
    <row r="4651" spans="1:29" ht="25.5" customHeight="1" x14ac:dyDescent="0.35">
      <c r="A4651" s="188"/>
      <c r="B4651" s="190"/>
      <c r="C4651" s="99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0"/>
      <c r="E4651" s="78" t="str">
        <f>IF(C4651="","",IFERROR(VLOOKUP(C4651,parametros!$A$11:$E$15,5,0),""))</f>
        <v/>
      </c>
      <c r="F4651" s="79" t="str">
        <f t="shared" si="362"/>
        <v/>
      </c>
      <c r="G4651" s="101"/>
      <c r="H4651" s="91">
        <f t="shared" si="363"/>
        <v>0</v>
      </c>
      <c r="I4651" s="91" t="str">
        <f t="shared" si="364"/>
        <v/>
      </c>
      <c r="J4651" s="91" t="str">
        <f t="shared" si="365"/>
        <v/>
      </c>
      <c r="K4651" s="92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2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58"/>
      <c r="U4651" s="217" t="str">
        <f t="shared" si="366"/>
        <v/>
      </c>
      <c r="V4651" s="215" t="s">
        <v>47</v>
      </c>
      <c r="W4651" s="102" t="s">
        <v>136</v>
      </c>
      <c r="X4651" s="102" t="s">
        <v>137</v>
      </c>
      <c r="Y4651" s="103" t="s">
        <v>138</v>
      </c>
      <c r="Z4651" s="103" t="s">
        <v>139</v>
      </c>
      <c r="AA4651" s="103" t="s">
        <v>47</v>
      </c>
      <c r="AB4651" s="103" t="s">
        <v>140</v>
      </c>
      <c r="AC4651" s="104" t="s">
        <v>141</v>
      </c>
    </row>
    <row r="4652" spans="1:29" ht="25.5" customHeight="1" x14ac:dyDescent="0.35">
      <c r="A4652" s="188"/>
      <c r="B4652" s="190"/>
      <c r="C4652" s="99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0"/>
      <c r="E4652" s="78" t="str">
        <f>IF(C4652="","",IFERROR(VLOOKUP(C4652,parametros!$A$11:$E$15,5,0),""))</f>
        <v/>
      </c>
      <c r="F4652" s="79" t="str">
        <f t="shared" si="362"/>
        <v/>
      </c>
      <c r="G4652" s="101"/>
      <c r="H4652" s="91">
        <f t="shared" si="363"/>
        <v>0</v>
      </c>
      <c r="I4652" s="91" t="str">
        <f t="shared" si="364"/>
        <v/>
      </c>
      <c r="J4652" s="91" t="str">
        <f t="shared" si="365"/>
        <v/>
      </c>
      <c r="K4652" s="92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2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58"/>
      <c r="U4652" s="217" t="str">
        <f t="shared" si="366"/>
        <v/>
      </c>
      <c r="V4652" s="215" t="s">
        <v>47</v>
      </c>
      <c r="W4652" s="102" t="s">
        <v>136</v>
      </c>
      <c r="X4652" s="102" t="s">
        <v>137</v>
      </c>
      <c r="Y4652" s="103" t="s">
        <v>138</v>
      </c>
      <c r="Z4652" s="103" t="s">
        <v>139</v>
      </c>
      <c r="AA4652" s="103" t="s">
        <v>47</v>
      </c>
      <c r="AB4652" s="103" t="s">
        <v>140</v>
      </c>
      <c r="AC4652" s="104" t="s">
        <v>141</v>
      </c>
    </row>
    <row r="4653" spans="1:29" ht="25.5" customHeight="1" x14ac:dyDescent="0.35">
      <c r="A4653" s="188"/>
      <c r="B4653" s="190"/>
      <c r="C4653" s="99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0"/>
      <c r="E4653" s="78" t="str">
        <f>IF(C4653="","",IFERROR(VLOOKUP(C4653,parametros!$A$11:$E$15,5,0),""))</f>
        <v/>
      </c>
      <c r="F4653" s="79" t="str">
        <f t="shared" si="362"/>
        <v/>
      </c>
      <c r="G4653" s="101"/>
      <c r="H4653" s="91">
        <f t="shared" si="363"/>
        <v>0</v>
      </c>
      <c r="I4653" s="91" t="str">
        <f t="shared" si="364"/>
        <v/>
      </c>
      <c r="J4653" s="91" t="str">
        <f t="shared" si="365"/>
        <v/>
      </c>
      <c r="K4653" s="92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2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58"/>
      <c r="U4653" s="217" t="str">
        <f t="shared" si="366"/>
        <v/>
      </c>
      <c r="V4653" s="215" t="s">
        <v>47</v>
      </c>
      <c r="W4653" s="102" t="s">
        <v>136</v>
      </c>
      <c r="X4653" s="102" t="s">
        <v>137</v>
      </c>
      <c r="Y4653" s="103" t="s">
        <v>138</v>
      </c>
      <c r="Z4653" s="103" t="s">
        <v>139</v>
      </c>
      <c r="AA4653" s="103" t="s">
        <v>47</v>
      </c>
      <c r="AB4653" s="103" t="s">
        <v>140</v>
      </c>
      <c r="AC4653" s="104" t="s">
        <v>141</v>
      </c>
    </row>
    <row r="4654" spans="1:29" ht="25.5" customHeight="1" x14ac:dyDescent="0.35">
      <c r="A4654" s="188"/>
      <c r="B4654" s="190"/>
      <c r="C4654" s="99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0"/>
      <c r="E4654" s="78" t="str">
        <f>IF(C4654="","",IFERROR(VLOOKUP(C4654,parametros!$A$11:$E$15,5,0),""))</f>
        <v/>
      </c>
      <c r="F4654" s="79" t="str">
        <f t="shared" si="362"/>
        <v/>
      </c>
      <c r="G4654" s="101"/>
      <c r="H4654" s="91">
        <f t="shared" si="363"/>
        <v>0</v>
      </c>
      <c r="I4654" s="91" t="str">
        <f t="shared" si="364"/>
        <v/>
      </c>
      <c r="J4654" s="91" t="str">
        <f t="shared" si="365"/>
        <v/>
      </c>
      <c r="K4654" s="92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2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58"/>
      <c r="U4654" s="217" t="str">
        <f t="shared" si="366"/>
        <v/>
      </c>
      <c r="V4654" s="215" t="s">
        <v>47</v>
      </c>
      <c r="W4654" s="102" t="s">
        <v>136</v>
      </c>
      <c r="X4654" s="102" t="s">
        <v>137</v>
      </c>
      <c r="Y4654" s="103" t="s">
        <v>138</v>
      </c>
      <c r="Z4654" s="103" t="s">
        <v>139</v>
      </c>
      <c r="AA4654" s="103" t="s">
        <v>47</v>
      </c>
      <c r="AB4654" s="103" t="s">
        <v>140</v>
      </c>
      <c r="AC4654" s="104" t="s">
        <v>141</v>
      </c>
    </row>
    <row r="4655" spans="1:29" ht="25.5" customHeight="1" x14ac:dyDescent="0.35">
      <c r="A4655" s="188"/>
      <c r="B4655" s="190"/>
      <c r="C4655" s="99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0"/>
      <c r="E4655" s="78" t="str">
        <f>IF(C4655="","",IFERROR(VLOOKUP(C4655,parametros!$A$11:$E$15,5,0),""))</f>
        <v/>
      </c>
      <c r="F4655" s="79" t="str">
        <f t="shared" si="362"/>
        <v/>
      </c>
      <c r="G4655" s="101"/>
      <c r="H4655" s="91">
        <f t="shared" si="363"/>
        <v>0</v>
      </c>
      <c r="I4655" s="91" t="str">
        <f t="shared" si="364"/>
        <v/>
      </c>
      <c r="J4655" s="91" t="str">
        <f t="shared" si="365"/>
        <v/>
      </c>
      <c r="K4655" s="92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2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58"/>
      <c r="U4655" s="217" t="str">
        <f t="shared" si="366"/>
        <v/>
      </c>
      <c r="V4655" s="215" t="s">
        <v>47</v>
      </c>
      <c r="W4655" s="102" t="s">
        <v>136</v>
      </c>
      <c r="X4655" s="102" t="s">
        <v>137</v>
      </c>
      <c r="Y4655" s="103" t="s">
        <v>138</v>
      </c>
      <c r="Z4655" s="103" t="s">
        <v>139</v>
      </c>
      <c r="AA4655" s="103" t="s">
        <v>47</v>
      </c>
      <c r="AB4655" s="103" t="s">
        <v>140</v>
      </c>
      <c r="AC4655" s="104" t="s">
        <v>141</v>
      </c>
    </row>
    <row r="4656" spans="1:29" ht="25.5" customHeight="1" x14ac:dyDescent="0.35">
      <c r="A4656" s="188"/>
      <c r="B4656" s="190"/>
      <c r="C4656" s="99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0"/>
      <c r="E4656" s="78" t="str">
        <f>IF(C4656="","",IFERROR(VLOOKUP(C4656,parametros!$A$11:$E$15,5,0),""))</f>
        <v/>
      </c>
      <c r="F4656" s="79" t="str">
        <f t="shared" si="362"/>
        <v/>
      </c>
      <c r="G4656" s="101"/>
      <c r="H4656" s="91">
        <f t="shared" si="363"/>
        <v>0</v>
      </c>
      <c r="I4656" s="91" t="str">
        <f t="shared" si="364"/>
        <v/>
      </c>
      <c r="J4656" s="91" t="str">
        <f t="shared" si="365"/>
        <v/>
      </c>
      <c r="K4656" s="92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2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58"/>
      <c r="U4656" s="217" t="str">
        <f t="shared" si="366"/>
        <v/>
      </c>
      <c r="V4656" s="215" t="s">
        <v>47</v>
      </c>
      <c r="W4656" s="102" t="s">
        <v>136</v>
      </c>
      <c r="X4656" s="102" t="s">
        <v>137</v>
      </c>
      <c r="Y4656" s="103" t="s">
        <v>138</v>
      </c>
      <c r="Z4656" s="103" t="s">
        <v>139</v>
      </c>
      <c r="AA4656" s="103" t="s">
        <v>47</v>
      </c>
      <c r="AB4656" s="103" t="s">
        <v>140</v>
      </c>
      <c r="AC4656" s="104" t="s">
        <v>141</v>
      </c>
    </row>
    <row r="4657" spans="1:29" ht="25.5" customHeight="1" x14ac:dyDescent="0.35">
      <c r="A4657" s="188"/>
      <c r="B4657" s="190"/>
      <c r="C4657" s="99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0"/>
      <c r="E4657" s="78" t="str">
        <f>IF(C4657="","",IFERROR(VLOOKUP(C4657,parametros!$A$11:$E$15,5,0),""))</f>
        <v/>
      </c>
      <c r="F4657" s="79" t="str">
        <f t="shared" si="362"/>
        <v/>
      </c>
      <c r="G4657" s="101"/>
      <c r="H4657" s="91">
        <f t="shared" si="363"/>
        <v>0</v>
      </c>
      <c r="I4657" s="91" t="str">
        <f t="shared" si="364"/>
        <v/>
      </c>
      <c r="J4657" s="91" t="str">
        <f t="shared" si="365"/>
        <v/>
      </c>
      <c r="K4657" s="92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2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58"/>
      <c r="U4657" s="217" t="str">
        <f t="shared" si="366"/>
        <v/>
      </c>
      <c r="V4657" s="215" t="s">
        <v>47</v>
      </c>
      <c r="W4657" s="102" t="s">
        <v>136</v>
      </c>
      <c r="X4657" s="102" t="s">
        <v>137</v>
      </c>
      <c r="Y4657" s="103" t="s">
        <v>138</v>
      </c>
      <c r="Z4657" s="103" t="s">
        <v>139</v>
      </c>
      <c r="AA4657" s="103" t="s">
        <v>47</v>
      </c>
      <c r="AB4657" s="103" t="s">
        <v>140</v>
      </c>
      <c r="AC4657" s="104" t="s">
        <v>141</v>
      </c>
    </row>
    <row r="4658" spans="1:29" ht="25.5" customHeight="1" x14ac:dyDescent="0.35">
      <c r="A4658" s="188"/>
      <c r="B4658" s="190"/>
      <c r="C4658" s="99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0"/>
      <c r="E4658" s="78" t="str">
        <f>IF(C4658="","",IFERROR(VLOOKUP(C4658,parametros!$A$11:$E$15,5,0),""))</f>
        <v/>
      </c>
      <c r="F4658" s="79" t="str">
        <f t="shared" si="362"/>
        <v/>
      </c>
      <c r="G4658" s="101"/>
      <c r="H4658" s="91">
        <f t="shared" si="363"/>
        <v>0</v>
      </c>
      <c r="I4658" s="91" t="str">
        <f t="shared" si="364"/>
        <v/>
      </c>
      <c r="J4658" s="91" t="str">
        <f t="shared" si="365"/>
        <v/>
      </c>
      <c r="K4658" s="92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2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58"/>
      <c r="U4658" s="217" t="str">
        <f t="shared" si="366"/>
        <v/>
      </c>
      <c r="V4658" s="215" t="s">
        <v>47</v>
      </c>
      <c r="W4658" s="102" t="s">
        <v>136</v>
      </c>
      <c r="X4658" s="102" t="s">
        <v>137</v>
      </c>
      <c r="Y4658" s="103" t="s">
        <v>138</v>
      </c>
      <c r="Z4658" s="103" t="s">
        <v>139</v>
      </c>
      <c r="AA4658" s="103" t="s">
        <v>47</v>
      </c>
      <c r="AB4658" s="103" t="s">
        <v>140</v>
      </c>
      <c r="AC4658" s="104" t="s">
        <v>141</v>
      </c>
    </row>
    <row r="4659" spans="1:29" ht="25.5" customHeight="1" x14ac:dyDescent="0.35">
      <c r="A4659" s="188"/>
      <c r="B4659" s="190"/>
      <c r="C4659" s="99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0"/>
      <c r="E4659" s="78" t="str">
        <f>IF(C4659="","",IFERROR(VLOOKUP(C4659,parametros!$A$11:$E$15,5,0),""))</f>
        <v/>
      </c>
      <c r="F4659" s="79" t="str">
        <f t="shared" si="362"/>
        <v/>
      </c>
      <c r="G4659" s="101"/>
      <c r="H4659" s="91">
        <f t="shared" si="363"/>
        <v>0</v>
      </c>
      <c r="I4659" s="91" t="str">
        <f t="shared" si="364"/>
        <v/>
      </c>
      <c r="J4659" s="91" t="str">
        <f t="shared" si="365"/>
        <v/>
      </c>
      <c r="K4659" s="92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2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58"/>
      <c r="U4659" s="217" t="str">
        <f t="shared" si="366"/>
        <v/>
      </c>
      <c r="V4659" s="215" t="s">
        <v>47</v>
      </c>
      <c r="W4659" s="102" t="s">
        <v>136</v>
      </c>
      <c r="X4659" s="102" t="s">
        <v>137</v>
      </c>
      <c r="Y4659" s="103" t="s">
        <v>138</v>
      </c>
      <c r="Z4659" s="103" t="s">
        <v>139</v>
      </c>
      <c r="AA4659" s="103" t="s">
        <v>47</v>
      </c>
      <c r="AB4659" s="103" t="s">
        <v>140</v>
      </c>
      <c r="AC4659" s="104" t="s">
        <v>141</v>
      </c>
    </row>
    <row r="4660" spans="1:29" ht="25.5" customHeight="1" x14ac:dyDescent="0.35">
      <c r="A4660" s="188"/>
      <c r="B4660" s="190"/>
      <c r="C4660" s="99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0"/>
      <c r="E4660" s="78" t="str">
        <f>IF(C4660="","",IFERROR(VLOOKUP(C4660,parametros!$A$11:$E$15,5,0),""))</f>
        <v/>
      </c>
      <c r="F4660" s="79" t="str">
        <f t="shared" si="362"/>
        <v/>
      </c>
      <c r="G4660" s="101"/>
      <c r="H4660" s="91">
        <f t="shared" si="363"/>
        <v>0</v>
      </c>
      <c r="I4660" s="91" t="str">
        <f t="shared" si="364"/>
        <v/>
      </c>
      <c r="J4660" s="91" t="str">
        <f t="shared" si="365"/>
        <v/>
      </c>
      <c r="K4660" s="92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2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58"/>
      <c r="U4660" s="217" t="str">
        <f t="shared" si="366"/>
        <v/>
      </c>
      <c r="V4660" s="215" t="s">
        <v>47</v>
      </c>
      <c r="W4660" s="102" t="s">
        <v>136</v>
      </c>
      <c r="X4660" s="102" t="s">
        <v>137</v>
      </c>
      <c r="Y4660" s="103" t="s">
        <v>138</v>
      </c>
      <c r="Z4660" s="103" t="s">
        <v>139</v>
      </c>
      <c r="AA4660" s="103" t="s">
        <v>47</v>
      </c>
      <c r="AB4660" s="103" t="s">
        <v>140</v>
      </c>
      <c r="AC4660" s="104" t="s">
        <v>141</v>
      </c>
    </row>
    <row r="4661" spans="1:29" ht="25.5" customHeight="1" x14ac:dyDescent="0.35">
      <c r="A4661" s="188"/>
      <c r="B4661" s="190"/>
      <c r="C4661" s="99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0"/>
      <c r="E4661" s="78" t="str">
        <f>IF(C4661="","",IFERROR(VLOOKUP(C4661,parametros!$A$11:$E$15,5,0),""))</f>
        <v/>
      </c>
      <c r="F4661" s="79" t="str">
        <f t="shared" si="362"/>
        <v/>
      </c>
      <c r="G4661" s="101"/>
      <c r="H4661" s="91">
        <f t="shared" si="363"/>
        <v>0</v>
      </c>
      <c r="I4661" s="91" t="str">
        <f t="shared" si="364"/>
        <v/>
      </c>
      <c r="J4661" s="91" t="str">
        <f t="shared" si="365"/>
        <v/>
      </c>
      <c r="K4661" s="92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2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58"/>
      <c r="U4661" s="217" t="str">
        <f t="shared" si="366"/>
        <v/>
      </c>
      <c r="V4661" s="215" t="s">
        <v>47</v>
      </c>
      <c r="W4661" s="102" t="s">
        <v>136</v>
      </c>
      <c r="X4661" s="102" t="s">
        <v>137</v>
      </c>
      <c r="Y4661" s="103" t="s">
        <v>138</v>
      </c>
      <c r="Z4661" s="103" t="s">
        <v>139</v>
      </c>
      <c r="AA4661" s="103" t="s">
        <v>47</v>
      </c>
      <c r="AB4661" s="103" t="s">
        <v>140</v>
      </c>
      <c r="AC4661" s="104" t="s">
        <v>141</v>
      </c>
    </row>
    <row r="4662" spans="1:29" ht="25.5" customHeight="1" x14ac:dyDescent="0.35">
      <c r="A4662" s="188"/>
      <c r="B4662" s="190"/>
      <c r="C4662" s="99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0"/>
      <c r="E4662" s="78" t="str">
        <f>IF(C4662="","",IFERROR(VLOOKUP(C4662,parametros!$A$11:$E$15,5,0),""))</f>
        <v/>
      </c>
      <c r="F4662" s="79" t="str">
        <f t="shared" si="362"/>
        <v/>
      </c>
      <c r="G4662" s="101"/>
      <c r="H4662" s="91">
        <f t="shared" si="363"/>
        <v>0</v>
      </c>
      <c r="I4662" s="91" t="str">
        <f t="shared" si="364"/>
        <v/>
      </c>
      <c r="J4662" s="91" t="str">
        <f t="shared" si="365"/>
        <v/>
      </c>
      <c r="K4662" s="92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2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58"/>
      <c r="U4662" s="217" t="str">
        <f t="shared" si="366"/>
        <v/>
      </c>
      <c r="V4662" s="215" t="s">
        <v>47</v>
      </c>
      <c r="W4662" s="102" t="s">
        <v>136</v>
      </c>
      <c r="X4662" s="102" t="s">
        <v>137</v>
      </c>
      <c r="Y4662" s="103" t="s">
        <v>138</v>
      </c>
      <c r="Z4662" s="103" t="s">
        <v>139</v>
      </c>
      <c r="AA4662" s="103" t="s">
        <v>47</v>
      </c>
      <c r="AB4662" s="103" t="s">
        <v>140</v>
      </c>
      <c r="AC4662" s="104" t="s">
        <v>141</v>
      </c>
    </row>
    <row r="4663" spans="1:29" ht="25.5" customHeight="1" x14ac:dyDescent="0.35">
      <c r="A4663" s="188"/>
      <c r="B4663" s="190"/>
      <c r="C4663" s="99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0"/>
      <c r="E4663" s="78" t="str">
        <f>IF(C4663="","",IFERROR(VLOOKUP(C4663,parametros!$A$11:$E$15,5,0),""))</f>
        <v/>
      </c>
      <c r="F4663" s="79" t="str">
        <f t="shared" si="362"/>
        <v/>
      </c>
      <c r="G4663" s="101"/>
      <c r="H4663" s="91">
        <f t="shared" si="363"/>
        <v>0</v>
      </c>
      <c r="I4663" s="91" t="str">
        <f t="shared" si="364"/>
        <v/>
      </c>
      <c r="J4663" s="91" t="str">
        <f t="shared" si="365"/>
        <v/>
      </c>
      <c r="K4663" s="92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2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58"/>
      <c r="U4663" s="217" t="str">
        <f t="shared" si="366"/>
        <v/>
      </c>
      <c r="V4663" s="215" t="s">
        <v>47</v>
      </c>
      <c r="W4663" s="102" t="s">
        <v>136</v>
      </c>
      <c r="X4663" s="102" t="s">
        <v>137</v>
      </c>
      <c r="Y4663" s="103" t="s">
        <v>138</v>
      </c>
      <c r="Z4663" s="103" t="s">
        <v>139</v>
      </c>
      <c r="AA4663" s="103" t="s">
        <v>47</v>
      </c>
      <c r="AB4663" s="103" t="s">
        <v>140</v>
      </c>
      <c r="AC4663" s="104" t="s">
        <v>141</v>
      </c>
    </row>
    <row r="4664" spans="1:29" ht="25.5" customHeight="1" x14ac:dyDescent="0.35">
      <c r="A4664" s="188"/>
      <c r="B4664" s="190"/>
      <c r="C4664" s="99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0"/>
      <c r="E4664" s="78" t="str">
        <f>IF(C4664="","",IFERROR(VLOOKUP(C4664,parametros!$A$11:$E$15,5,0),""))</f>
        <v/>
      </c>
      <c r="F4664" s="79" t="str">
        <f t="shared" si="362"/>
        <v/>
      </c>
      <c r="G4664" s="101"/>
      <c r="H4664" s="91">
        <f t="shared" si="363"/>
        <v>0</v>
      </c>
      <c r="I4664" s="91" t="str">
        <f t="shared" si="364"/>
        <v/>
      </c>
      <c r="J4664" s="91" t="str">
        <f t="shared" si="365"/>
        <v/>
      </c>
      <c r="K4664" s="92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2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58"/>
      <c r="U4664" s="217" t="str">
        <f t="shared" si="366"/>
        <v/>
      </c>
      <c r="V4664" s="215" t="s">
        <v>47</v>
      </c>
      <c r="W4664" s="102" t="s">
        <v>136</v>
      </c>
      <c r="X4664" s="102" t="s">
        <v>137</v>
      </c>
      <c r="Y4664" s="103" t="s">
        <v>138</v>
      </c>
      <c r="Z4664" s="103" t="s">
        <v>139</v>
      </c>
      <c r="AA4664" s="103" t="s">
        <v>47</v>
      </c>
      <c r="AB4664" s="103" t="s">
        <v>140</v>
      </c>
      <c r="AC4664" s="104" t="s">
        <v>141</v>
      </c>
    </row>
    <row r="4665" spans="1:29" ht="25.5" customHeight="1" x14ac:dyDescent="0.35">
      <c r="A4665" s="188"/>
      <c r="B4665" s="190"/>
      <c r="C4665" s="99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0"/>
      <c r="E4665" s="78" t="str">
        <f>IF(C4665="","",IFERROR(VLOOKUP(C4665,parametros!$A$11:$E$15,5,0),""))</f>
        <v/>
      </c>
      <c r="F4665" s="79" t="str">
        <f t="shared" si="362"/>
        <v/>
      </c>
      <c r="G4665" s="101"/>
      <c r="H4665" s="91">
        <f t="shared" si="363"/>
        <v>0</v>
      </c>
      <c r="I4665" s="91" t="str">
        <f t="shared" si="364"/>
        <v/>
      </c>
      <c r="J4665" s="91" t="str">
        <f t="shared" si="365"/>
        <v/>
      </c>
      <c r="K4665" s="92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2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58"/>
      <c r="U4665" s="217" t="str">
        <f t="shared" si="366"/>
        <v/>
      </c>
      <c r="V4665" s="215" t="s">
        <v>47</v>
      </c>
      <c r="W4665" s="102" t="s">
        <v>136</v>
      </c>
      <c r="X4665" s="102" t="s">
        <v>137</v>
      </c>
      <c r="Y4665" s="103" t="s">
        <v>138</v>
      </c>
      <c r="Z4665" s="103" t="s">
        <v>139</v>
      </c>
      <c r="AA4665" s="103" t="s">
        <v>47</v>
      </c>
      <c r="AB4665" s="103" t="s">
        <v>140</v>
      </c>
      <c r="AC4665" s="104" t="s">
        <v>141</v>
      </c>
    </row>
    <row r="4666" spans="1:29" ht="25.5" customHeight="1" x14ac:dyDescent="0.35">
      <c r="A4666" s="188"/>
      <c r="B4666" s="190"/>
      <c r="C4666" s="99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0"/>
      <c r="E4666" s="78" t="str">
        <f>IF(C4666="","",IFERROR(VLOOKUP(C4666,parametros!$A$11:$E$15,5,0),""))</f>
        <v/>
      </c>
      <c r="F4666" s="79" t="str">
        <f t="shared" si="362"/>
        <v/>
      </c>
      <c r="G4666" s="101"/>
      <c r="H4666" s="91">
        <f t="shared" si="363"/>
        <v>0</v>
      </c>
      <c r="I4666" s="91" t="str">
        <f t="shared" si="364"/>
        <v/>
      </c>
      <c r="J4666" s="91" t="str">
        <f t="shared" si="365"/>
        <v/>
      </c>
      <c r="K4666" s="92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2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58"/>
      <c r="U4666" s="217" t="str">
        <f t="shared" si="366"/>
        <v/>
      </c>
      <c r="V4666" s="215" t="s">
        <v>47</v>
      </c>
      <c r="W4666" s="102" t="s">
        <v>136</v>
      </c>
      <c r="X4666" s="102" t="s">
        <v>137</v>
      </c>
      <c r="Y4666" s="103" t="s">
        <v>138</v>
      </c>
      <c r="Z4666" s="103" t="s">
        <v>139</v>
      </c>
      <c r="AA4666" s="103" t="s">
        <v>47</v>
      </c>
      <c r="AB4666" s="103" t="s">
        <v>140</v>
      </c>
      <c r="AC4666" s="104" t="s">
        <v>141</v>
      </c>
    </row>
    <row r="4667" spans="1:29" ht="25.5" customHeight="1" x14ac:dyDescent="0.35">
      <c r="A4667" s="188"/>
      <c r="B4667" s="190"/>
      <c r="C4667" s="99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0"/>
      <c r="E4667" s="78" t="str">
        <f>IF(C4667="","",IFERROR(VLOOKUP(C4667,parametros!$A$11:$E$15,5,0),""))</f>
        <v/>
      </c>
      <c r="F4667" s="79" t="str">
        <f t="shared" si="362"/>
        <v/>
      </c>
      <c r="G4667" s="101"/>
      <c r="H4667" s="91">
        <f t="shared" si="363"/>
        <v>0</v>
      </c>
      <c r="I4667" s="91" t="str">
        <f t="shared" si="364"/>
        <v/>
      </c>
      <c r="J4667" s="91" t="str">
        <f t="shared" si="365"/>
        <v/>
      </c>
      <c r="K4667" s="92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2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58"/>
      <c r="U4667" s="217" t="str">
        <f t="shared" si="366"/>
        <v/>
      </c>
      <c r="V4667" s="215" t="s">
        <v>47</v>
      </c>
      <c r="W4667" s="102" t="s">
        <v>136</v>
      </c>
      <c r="X4667" s="102" t="s">
        <v>137</v>
      </c>
      <c r="Y4667" s="103" t="s">
        <v>138</v>
      </c>
      <c r="Z4667" s="103" t="s">
        <v>139</v>
      </c>
      <c r="AA4667" s="103" t="s">
        <v>47</v>
      </c>
      <c r="AB4667" s="103" t="s">
        <v>140</v>
      </c>
      <c r="AC4667" s="104" t="s">
        <v>141</v>
      </c>
    </row>
    <row r="4668" spans="1:29" ht="25.5" customHeight="1" x14ac:dyDescent="0.35">
      <c r="A4668" s="188"/>
      <c r="B4668" s="190"/>
      <c r="C4668" s="99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0"/>
      <c r="E4668" s="78" t="str">
        <f>IF(C4668="","",IFERROR(VLOOKUP(C4668,parametros!$A$11:$E$15,5,0),""))</f>
        <v/>
      </c>
      <c r="F4668" s="79" t="str">
        <f t="shared" si="362"/>
        <v/>
      </c>
      <c r="G4668" s="101"/>
      <c r="H4668" s="91">
        <f t="shared" si="363"/>
        <v>0</v>
      </c>
      <c r="I4668" s="91" t="str">
        <f t="shared" si="364"/>
        <v/>
      </c>
      <c r="J4668" s="91" t="str">
        <f t="shared" si="365"/>
        <v/>
      </c>
      <c r="K4668" s="92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2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58"/>
      <c r="U4668" s="217" t="str">
        <f t="shared" si="366"/>
        <v/>
      </c>
      <c r="V4668" s="215" t="s">
        <v>47</v>
      </c>
      <c r="W4668" s="102" t="s">
        <v>136</v>
      </c>
      <c r="X4668" s="102" t="s">
        <v>137</v>
      </c>
      <c r="Y4668" s="103" t="s">
        <v>138</v>
      </c>
      <c r="Z4668" s="103" t="s">
        <v>139</v>
      </c>
      <c r="AA4668" s="103" t="s">
        <v>47</v>
      </c>
      <c r="AB4668" s="103" t="s">
        <v>140</v>
      </c>
      <c r="AC4668" s="104" t="s">
        <v>141</v>
      </c>
    </row>
    <row r="4669" spans="1:29" ht="25.5" customHeight="1" x14ac:dyDescent="0.35">
      <c r="A4669" s="188"/>
      <c r="B4669" s="190"/>
      <c r="C4669" s="99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0"/>
      <c r="E4669" s="78" t="str">
        <f>IF(C4669="","",IFERROR(VLOOKUP(C4669,parametros!$A$11:$E$15,5,0),""))</f>
        <v/>
      </c>
      <c r="F4669" s="79" t="str">
        <f t="shared" si="362"/>
        <v/>
      </c>
      <c r="G4669" s="101"/>
      <c r="H4669" s="91">
        <f t="shared" si="363"/>
        <v>0</v>
      </c>
      <c r="I4669" s="91" t="str">
        <f t="shared" si="364"/>
        <v/>
      </c>
      <c r="J4669" s="91" t="str">
        <f t="shared" si="365"/>
        <v/>
      </c>
      <c r="K4669" s="92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2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58"/>
      <c r="U4669" s="217" t="str">
        <f t="shared" si="366"/>
        <v/>
      </c>
      <c r="V4669" s="215" t="s">
        <v>47</v>
      </c>
      <c r="W4669" s="102" t="s">
        <v>136</v>
      </c>
      <c r="X4669" s="102" t="s">
        <v>137</v>
      </c>
      <c r="Y4669" s="103" t="s">
        <v>138</v>
      </c>
      <c r="Z4669" s="103" t="s">
        <v>139</v>
      </c>
      <c r="AA4669" s="103" t="s">
        <v>47</v>
      </c>
      <c r="AB4669" s="103" t="s">
        <v>140</v>
      </c>
      <c r="AC4669" s="104" t="s">
        <v>141</v>
      </c>
    </row>
    <row r="4670" spans="1:29" ht="25.5" customHeight="1" x14ac:dyDescent="0.35">
      <c r="A4670" s="188"/>
      <c r="B4670" s="190"/>
      <c r="C4670" s="99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0"/>
      <c r="E4670" s="78" t="str">
        <f>IF(C4670="","",IFERROR(VLOOKUP(C4670,parametros!$A$11:$E$15,5,0),""))</f>
        <v/>
      </c>
      <c r="F4670" s="79" t="str">
        <f t="shared" si="362"/>
        <v/>
      </c>
      <c r="G4670" s="101"/>
      <c r="H4670" s="91">
        <f t="shared" si="363"/>
        <v>0</v>
      </c>
      <c r="I4670" s="91" t="str">
        <f t="shared" si="364"/>
        <v/>
      </c>
      <c r="J4670" s="91" t="str">
        <f t="shared" si="365"/>
        <v/>
      </c>
      <c r="K4670" s="92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2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58"/>
      <c r="U4670" s="217" t="str">
        <f t="shared" si="366"/>
        <v/>
      </c>
      <c r="V4670" s="215" t="s">
        <v>47</v>
      </c>
      <c r="W4670" s="102" t="s">
        <v>136</v>
      </c>
      <c r="X4670" s="102" t="s">
        <v>137</v>
      </c>
      <c r="Y4670" s="103" t="s">
        <v>138</v>
      </c>
      <c r="Z4670" s="103" t="s">
        <v>139</v>
      </c>
      <c r="AA4670" s="103" t="s">
        <v>47</v>
      </c>
      <c r="AB4670" s="103" t="s">
        <v>140</v>
      </c>
      <c r="AC4670" s="104" t="s">
        <v>141</v>
      </c>
    </row>
    <row r="4671" spans="1:29" ht="25.5" customHeight="1" x14ac:dyDescent="0.35">
      <c r="A4671" s="188"/>
      <c r="B4671" s="190"/>
      <c r="C4671" s="99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0"/>
      <c r="E4671" s="78" t="str">
        <f>IF(C4671="","",IFERROR(VLOOKUP(C4671,parametros!$A$11:$E$15,5,0),""))</f>
        <v/>
      </c>
      <c r="F4671" s="79" t="str">
        <f t="shared" si="362"/>
        <v/>
      </c>
      <c r="G4671" s="101"/>
      <c r="H4671" s="91">
        <f t="shared" si="363"/>
        <v>0</v>
      </c>
      <c r="I4671" s="91" t="str">
        <f t="shared" si="364"/>
        <v/>
      </c>
      <c r="J4671" s="91" t="str">
        <f t="shared" si="365"/>
        <v/>
      </c>
      <c r="K4671" s="92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2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58"/>
      <c r="U4671" s="217" t="str">
        <f t="shared" si="366"/>
        <v/>
      </c>
      <c r="V4671" s="215" t="s">
        <v>47</v>
      </c>
      <c r="W4671" s="102" t="s">
        <v>136</v>
      </c>
      <c r="X4671" s="102" t="s">
        <v>137</v>
      </c>
      <c r="Y4671" s="103" t="s">
        <v>138</v>
      </c>
      <c r="Z4671" s="103" t="s">
        <v>139</v>
      </c>
      <c r="AA4671" s="103" t="s">
        <v>47</v>
      </c>
      <c r="AB4671" s="103" t="s">
        <v>140</v>
      </c>
      <c r="AC4671" s="104" t="s">
        <v>141</v>
      </c>
    </row>
    <row r="4672" spans="1:29" ht="25.5" customHeight="1" x14ac:dyDescent="0.35">
      <c r="A4672" s="188"/>
      <c r="B4672" s="190"/>
      <c r="C4672" s="99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0"/>
      <c r="E4672" s="78" t="str">
        <f>IF(C4672="","",IFERROR(VLOOKUP(C4672,parametros!$A$11:$E$15,5,0),""))</f>
        <v/>
      </c>
      <c r="F4672" s="79" t="str">
        <f t="shared" si="362"/>
        <v/>
      </c>
      <c r="G4672" s="101"/>
      <c r="H4672" s="91">
        <f t="shared" si="363"/>
        <v>0</v>
      </c>
      <c r="I4672" s="91" t="str">
        <f t="shared" si="364"/>
        <v/>
      </c>
      <c r="J4672" s="91" t="str">
        <f t="shared" si="365"/>
        <v/>
      </c>
      <c r="K4672" s="92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2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58"/>
      <c r="U4672" s="217" t="str">
        <f t="shared" si="366"/>
        <v/>
      </c>
      <c r="V4672" s="215" t="s">
        <v>47</v>
      </c>
      <c r="W4672" s="102" t="s">
        <v>136</v>
      </c>
      <c r="X4672" s="102" t="s">
        <v>137</v>
      </c>
      <c r="Y4672" s="103" t="s">
        <v>138</v>
      </c>
      <c r="Z4672" s="103" t="s">
        <v>139</v>
      </c>
      <c r="AA4672" s="103" t="s">
        <v>47</v>
      </c>
      <c r="AB4672" s="103" t="s">
        <v>140</v>
      </c>
      <c r="AC4672" s="104" t="s">
        <v>141</v>
      </c>
    </row>
    <row r="4673" spans="1:29" ht="25.5" customHeight="1" x14ac:dyDescent="0.35">
      <c r="A4673" s="188"/>
      <c r="B4673" s="190"/>
      <c r="C4673" s="99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0"/>
      <c r="E4673" s="78" t="str">
        <f>IF(C4673="","",IFERROR(VLOOKUP(C4673,parametros!$A$11:$E$15,5,0),""))</f>
        <v/>
      </c>
      <c r="F4673" s="79" t="str">
        <f t="shared" si="362"/>
        <v/>
      </c>
      <c r="G4673" s="101"/>
      <c r="H4673" s="91">
        <f t="shared" si="363"/>
        <v>0</v>
      </c>
      <c r="I4673" s="91" t="str">
        <f t="shared" si="364"/>
        <v/>
      </c>
      <c r="J4673" s="91" t="str">
        <f t="shared" si="365"/>
        <v/>
      </c>
      <c r="K4673" s="92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2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58"/>
      <c r="U4673" s="217" t="str">
        <f t="shared" si="366"/>
        <v/>
      </c>
      <c r="V4673" s="215" t="s">
        <v>47</v>
      </c>
      <c r="W4673" s="102" t="s">
        <v>136</v>
      </c>
      <c r="X4673" s="102" t="s">
        <v>137</v>
      </c>
      <c r="Y4673" s="103" t="s">
        <v>138</v>
      </c>
      <c r="Z4673" s="103" t="s">
        <v>139</v>
      </c>
      <c r="AA4673" s="103" t="s">
        <v>47</v>
      </c>
      <c r="AB4673" s="103" t="s">
        <v>140</v>
      </c>
      <c r="AC4673" s="104" t="s">
        <v>141</v>
      </c>
    </row>
    <row r="4674" spans="1:29" ht="25.5" customHeight="1" x14ac:dyDescent="0.35">
      <c r="A4674" s="188"/>
      <c r="B4674" s="190"/>
      <c r="C4674" s="99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0"/>
      <c r="E4674" s="78" t="str">
        <f>IF(C4674="","",IFERROR(VLOOKUP(C4674,parametros!$A$11:$E$15,5,0),""))</f>
        <v/>
      </c>
      <c r="F4674" s="79" t="str">
        <f t="shared" ref="F4674:F4737" si="367">IF(OR(D4674="",E4674=""),"",ROUND(D4674*E4674,2))</f>
        <v/>
      </c>
      <c r="G4674" s="101"/>
      <c r="H4674" s="91">
        <f t="shared" ref="H4674:H4737" si="368">IF(G4674="Sim",IF(OR(F4674="",D4674="",L4674=""),"",IF(L4674="Sim",ROUND(F4674-D4674,2),0)),0)</f>
        <v>0</v>
      </c>
      <c r="I4674" s="91" t="str">
        <f t="shared" ref="I4674:I4737" si="369">IF(G4674="Sim",0,IF(OR(F4674="",L4674=""),"",F4674))</f>
        <v/>
      </c>
      <c r="J4674" s="91" t="str">
        <f t="shared" ref="J4674:J4737" si="370">IF(G4674="Sim",0,IF(OR(F4674="",D4674="",L4674=""),"",IF(L4674="Sim",ROUND(F4674-D4674,2),0)))</f>
        <v/>
      </c>
      <c r="K4674" s="92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2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58"/>
      <c r="U4674" s="217" t="str">
        <f t="shared" ref="U4674:U4737" si="371">IF(OR($D4674="",$H4674=""),"",ROUND($D4674+$H4674,2))</f>
        <v/>
      </c>
      <c r="V4674" s="215" t="s">
        <v>47</v>
      </c>
      <c r="W4674" s="102" t="s">
        <v>136</v>
      </c>
      <c r="X4674" s="102" t="s">
        <v>137</v>
      </c>
      <c r="Y4674" s="103" t="s">
        <v>138</v>
      </c>
      <c r="Z4674" s="103" t="s">
        <v>139</v>
      </c>
      <c r="AA4674" s="103" t="s">
        <v>47</v>
      </c>
      <c r="AB4674" s="103" t="s">
        <v>140</v>
      </c>
      <c r="AC4674" s="104" t="s">
        <v>141</v>
      </c>
    </row>
    <row r="4675" spans="1:29" ht="25.5" customHeight="1" x14ac:dyDescent="0.35">
      <c r="A4675" s="188"/>
      <c r="B4675" s="190"/>
      <c r="C4675" s="99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0"/>
      <c r="E4675" s="78" t="str">
        <f>IF(C4675="","",IFERROR(VLOOKUP(C4675,parametros!$A$11:$E$15,5,0),""))</f>
        <v/>
      </c>
      <c r="F4675" s="79" t="str">
        <f t="shared" si="367"/>
        <v/>
      </c>
      <c r="G4675" s="101"/>
      <c r="H4675" s="91">
        <f t="shared" si="368"/>
        <v>0</v>
      </c>
      <c r="I4675" s="91" t="str">
        <f t="shared" si="369"/>
        <v/>
      </c>
      <c r="J4675" s="91" t="str">
        <f t="shared" si="370"/>
        <v/>
      </c>
      <c r="K4675" s="92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2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58"/>
      <c r="U4675" s="217" t="str">
        <f t="shared" si="371"/>
        <v/>
      </c>
      <c r="V4675" s="215" t="s">
        <v>47</v>
      </c>
      <c r="W4675" s="102" t="s">
        <v>136</v>
      </c>
      <c r="X4675" s="102" t="s">
        <v>137</v>
      </c>
      <c r="Y4675" s="103" t="s">
        <v>138</v>
      </c>
      <c r="Z4675" s="103" t="s">
        <v>139</v>
      </c>
      <c r="AA4675" s="103" t="s">
        <v>47</v>
      </c>
      <c r="AB4675" s="103" t="s">
        <v>140</v>
      </c>
      <c r="AC4675" s="104" t="s">
        <v>141</v>
      </c>
    </row>
    <row r="4676" spans="1:29" ht="25.5" customHeight="1" x14ac:dyDescent="0.35">
      <c r="A4676" s="188"/>
      <c r="B4676" s="190"/>
      <c r="C4676" s="99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0"/>
      <c r="E4676" s="78" t="str">
        <f>IF(C4676="","",IFERROR(VLOOKUP(C4676,parametros!$A$11:$E$15,5,0),""))</f>
        <v/>
      </c>
      <c r="F4676" s="79" t="str">
        <f t="shared" si="367"/>
        <v/>
      </c>
      <c r="G4676" s="101"/>
      <c r="H4676" s="91">
        <f t="shared" si="368"/>
        <v>0</v>
      </c>
      <c r="I4676" s="91" t="str">
        <f t="shared" si="369"/>
        <v/>
      </c>
      <c r="J4676" s="91" t="str">
        <f t="shared" si="370"/>
        <v/>
      </c>
      <c r="K4676" s="92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2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58"/>
      <c r="U4676" s="217" t="str">
        <f t="shared" si="371"/>
        <v/>
      </c>
      <c r="V4676" s="215" t="s">
        <v>47</v>
      </c>
      <c r="W4676" s="102" t="s">
        <v>136</v>
      </c>
      <c r="X4676" s="102" t="s">
        <v>137</v>
      </c>
      <c r="Y4676" s="103" t="s">
        <v>138</v>
      </c>
      <c r="Z4676" s="103" t="s">
        <v>139</v>
      </c>
      <c r="AA4676" s="103" t="s">
        <v>47</v>
      </c>
      <c r="AB4676" s="103" t="s">
        <v>140</v>
      </c>
      <c r="AC4676" s="104" t="s">
        <v>141</v>
      </c>
    </row>
    <row r="4677" spans="1:29" ht="25.5" customHeight="1" x14ac:dyDescent="0.35">
      <c r="A4677" s="188"/>
      <c r="B4677" s="190"/>
      <c r="C4677" s="99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0"/>
      <c r="E4677" s="78" t="str">
        <f>IF(C4677="","",IFERROR(VLOOKUP(C4677,parametros!$A$11:$E$15,5,0),""))</f>
        <v/>
      </c>
      <c r="F4677" s="79" t="str">
        <f t="shared" si="367"/>
        <v/>
      </c>
      <c r="G4677" s="101"/>
      <c r="H4677" s="91">
        <f t="shared" si="368"/>
        <v>0</v>
      </c>
      <c r="I4677" s="91" t="str">
        <f t="shared" si="369"/>
        <v/>
      </c>
      <c r="J4677" s="91" t="str">
        <f t="shared" si="370"/>
        <v/>
      </c>
      <c r="K4677" s="92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2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58"/>
      <c r="U4677" s="217" t="str">
        <f t="shared" si="371"/>
        <v/>
      </c>
      <c r="V4677" s="215" t="s">
        <v>47</v>
      </c>
      <c r="W4677" s="102" t="s">
        <v>136</v>
      </c>
      <c r="X4677" s="102" t="s">
        <v>137</v>
      </c>
      <c r="Y4677" s="103" t="s">
        <v>138</v>
      </c>
      <c r="Z4677" s="103" t="s">
        <v>139</v>
      </c>
      <c r="AA4677" s="103" t="s">
        <v>47</v>
      </c>
      <c r="AB4677" s="103" t="s">
        <v>140</v>
      </c>
      <c r="AC4677" s="104" t="s">
        <v>141</v>
      </c>
    </row>
    <row r="4678" spans="1:29" ht="25.5" customHeight="1" x14ac:dyDescent="0.35">
      <c r="A4678" s="188"/>
      <c r="B4678" s="190"/>
      <c r="C4678" s="99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0"/>
      <c r="E4678" s="78" t="str">
        <f>IF(C4678="","",IFERROR(VLOOKUP(C4678,parametros!$A$11:$E$15,5,0),""))</f>
        <v/>
      </c>
      <c r="F4678" s="79" t="str">
        <f t="shared" si="367"/>
        <v/>
      </c>
      <c r="G4678" s="101"/>
      <c r="H4678" s="91">
        <f t="shared" si="368"/>
        <v>0</v>
      </c>
      <c r="I4678" s="91" t="str">
        <f t="shared" si="369"/>
        <v/>
      </c>
      <c r="J4678" s="91" t="str">
        <f t="shared" si="370"/>
        <v/>
      </c>
      <c r="K4678" s="92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2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58"/>
      <c r="U4678" s="217" t="str">
        <f t="shared" si="371"/>
        <v/>
      </c>
      <c r="V4678" s="215" t="s">
        <v>47</v>
      </c>
      <c r="W4678" s="102" t="s">
        <v>136</v>
      </c>
      <c r="X4678" s="102" t="s">
        <v>137</v>
      </c>
      <c r="Y4678" s="103" t="s">
        <v>138</v>
      </c>
      <c r="Z4678" s="103" t="s">
        <v>139</v>
      </c>
      <c r="AA4678" s="103" t="s">
        <v>47</v>
      </c>
      <c r="AB4678" s="103" t="s">
        <v>140</v>
      </c>
      <c r="AC4678" s="104" t="s">
        <v>141</v>
      </c>
    </row>
    <row r="4679" spans="1:29" ht="25.5" customHeight="1" x14ac:dyDescent="0.35">
      <c r="A4679" s="188"/>
      <c r="B4679" s="190"/>
      <c r="C4679" s="99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0"/>
      <c r="E4679" s="78" t="str">
        <f>IF(C4679="","",IFERROR(VLOOKUP(C4679,parametros!$A$11:$E$15,5,0),""))</f>
        <v/>
      </c>
      <c r="F4679" s="79" t="str">
        <f t="shared" si="367"/>
        <v/>
      </c>
      <c r="G4679" s="101"/>
      <c r="H4679" s="91">
        <f t="shared" si="368"/>
        <v>0</v>
      </c>
      <c r="I4679" s="91" t="str">
        <f t="shared" si="369"/>
        <v/>
      </c>
      <c r="J4679" s="91" t="str">
        <f t="shared" si="370"/>
        <v/>
      </c>
      <c r="K4679" s="92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2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58"/>
      <c r="U4679" s="217" t="str">
        <f t="shared" si="371"/>
        <v/>
      </c>
      <c r="V4679" s="215" t="s">
        <v>47</v>
      </c>
      <c r="W4679" s="102" t="s">
        <v>136</v>
      </c>
      <c r="X4679" s="102" t="s">
        <v>137</v>
      </c>
      <c r="Y4679" s="103" t="s">
        <v>138</v>
      </c>
      <c r="Z4679" s="103" t="s">
        <v>139</v>
      </c>
      <c r="AA4679" s="103" t="s">
        <v>47</v>
      </c>
      <c r="AB4679" s="103" t="s">
        <v>140</v>
      </c>
      <c r="AC4679" s="104" t="s">
        <v>141</v>
      </c>
    </row>
    <row r="4680" spans="1:29" ht="25.5" customHeight="1" x14ac:dyDescent="0.35">
      <c r="A4680" s="188"/>
      <c r="B4680" s="190"/>
      <c r="C4680" s="99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0"/>
      <c r="E4680" s="78" t="str">
        <f>IF(C4680="","",IFERROR(VLOOKUP(C4680,parametros!$A$11:$E$15,5,0),""))</f>
        <v/>
      </c>
      <c r="F4680" s="79" t="str">
        <f t="shared" si="367"/>
        <v/>
      </c>
      <c r="G4680" s="101"/>
      <c r="H4680" s="91">
        <f t="shared" si="368"/>
        <v>0</v>
      </c>
      <c r="I4680" s="91" t="str">
        <f t="shared" si="369"/>
        <v/>
      </c>
      <c r="J4680" s="91" t="str">
        <f t="shared" si="370"/>
        <v/>
      </c>
      <c r="K4680" s="92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2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58"/>
      <c r="U4680" s="217" t="str">
        <f t="shared" si="371"/>
        <v/>
      </c>
      <c r="V4680" s="215" t="s">
        <v>47</v>
      </c>
      <c r="W4680" s="102" t="s">
        <v>136</v>
      </c>
      <c r="X4680" s="102" t="s">
        <v>137</v>
      </c>
      <c r="Y4680" s="103" t="s">
        <v>138</v>
      </c>
      <c r="Z4680" s="103" t="s">
        <v>139</v>
      </c>
      <c r="AA4680" s="103" t="s">
        <v>47</v>
      </c>
      <c r="AB4680" s="103" t="s">
        <v>140</v>
      </c>
      <c r="AC4680" s="104" t="s">
        <v>141</v>
      </c>
    </row>
    <row r="4681" spans="1:29" ht="25.5" customHeight="1" x14ac:dyDescent="0.35">
      <c r="A4681" s="188"/>
      <c r="B4681" s="190"/>
      <c r="C4681" s="99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0"/>
      <c r="E4681" s="78" t="str">
        <f>IF(C4681="","",IFERROR(VLOOKUP(C4681,parametros!$A$11:$E$15,5,0),""))</f>
        <v/>
      </c>
      <c r="F4681" s="79" t="str">
        <f t="shared" si="367"/>
        <v/>
      </c>
      <c r="G4681" s="101"/>
      <c r="H4681" s="91">
        <f t="shared" si="368"/>
        <v>0</v>
      </c>
      <c r="I4681" s="91" t="str">
        <f t="shared" si="369"/>
        <v/>
      </c>
      <c r="J4681" s="91" t="str">
        <f t="shared" si="370"/>
        <v/>
      </c>
      <c r="K4681" s="92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2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58"/>
      <c r="U4681" s="217" t="str">
        <f t="shared" si="371"/>
        <v/>
      </c>
      <c r="V4681" s="215" t="s">
        <v>47</v>
      </c>
      <c r="W4681" s="102" t="s">
        <v>136</v>
      </c>
      <c r="X4681" s="102" t="s">
        <v>137</v>
      </c>
      <c r="Y4681" s="103" t="s">
        <v>138</v>
      </c>
      <c r="Z4681" s="103" t="s">
        <v>139</v>
      </c>
      <c r="AA4681" s="103" t="s">
        <v>47</v>
      </c>
      <c r="AB4681" s="103" t="s">
        <v>140</v>
      </c>
      <c r="AC4681" s="104" t="s">
        <v>141</v>
      </c>
    </row>
    <row r="4682" spans="1:29" ht="25.5" customHeight="1" x14ac:dyDescent="0.35">
      <c r="A4682" s="188"/>
      <c r="B4682" s="190"/>
      <c r="C4682" s="99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0"/>
      <c r="E4682" s="78" t="str">
        <f>IF(C4682="","",IFERROR(VLOOKUP(C4682,parametros!$A$11:$E$15,5,0),""))</f>
        <v/>
      </c>
      <c r="F4682" s="79" t="str">
        <f t="shared" si="367"/>
        <v/>
      </c>
      <c r="G4682" s="101"/>
      <c r="H4682" s="91">
        <f t="shared" si="368"/>
        <v>0</v>
      </c>
      <c r="I4682" s="91" t="str">
        <f t="shared" si="369"/>
        <v/>
      </c>
      <c r="J4682" s="91" t="str">
        <f t="shared" si="370"/>
        <v/>
      </c>
      <c r="K4682" s="92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2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58"/>
      <c r="U4682" s="217" t="str">
        <f t="shared" si="371"/>
        <v/>
      </c>
      <c r="V4682" s="215" t="s">
        <v>47</v>
      </c>
      <c r="W4682" s="102" t="s">
        <v>136</v>
      </c>
      <c r="X4682" s="102" t="s">
        <v>137</v>
      </c>
      <c r="Y4682" s="103" t="s">
        <v>138</v>
      </c>
      <c r="Z4682" s="103" t="s">
        <v>139</v>
      </c>
      <c r="AA4682" s="103" t="s">
        <v>47</v>
      </c>
      <c r="AB4682" s="103" t="s">
        <v>140</v>
      </c>
      <c r="AC4682" s="104" t="s">
        <v>141</v>
      </c>
    </row>
    <row r="4683" spans="1:29" ht="25.5" customHeight="1" x14ac:dyDescent="0.35">
      <c r="A4683" s="188"/>
      <c r="B4683" s="190"/>
      <c r="C4683" s="99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0"/>
      <c r="E4683" s="78" t="str">
        <f>IF(C4683="","",IFERROR(VLOOKUP(C4683,parametros!$A$11:$E$15,5,0),""))</f>
        <v/>
      </c>
      <c r="F4683" s="79" t="str">
        <f t="shared" si="367"/>
        <v/>
      </c>
      <c r="G4683" s="101"/>
      <c r="H4683" s="91">
        <f t="shared" si="368"/>
        <v>0</v>
      </c>
      <c r="I4683" s="91" t="str">
        <f t="shared" si="369"/>
        <v/>
      </c>
      <c r="J4683" s="91" t="str">
        <f t="shared" si="370"/>
        <v/>
      </c>
      <c r="K4683" s="92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2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58"/>
      <c r="U4683" s="217" t="str">
        <f t="shared" si="371"/>
        <v/>
      </c>
      <c r="V4683" s="215" t="s">
        <v>47</v>
      </c>
      <c r="W4683" s="102" t="s">
        <v>136</v>
      </c>
      <c r="X4683" s="102" t="s">
        <v>137</v>
      </c>
      <c r="Y4683" s="103" t="s">
        <v>138</v>
      </c>
      <c r="Z4683" s="103" t="s">
        <v>139</v>
      </c>
      <c r="AA4683" s="103" t="s">
        <v>47</v>
      </c>
      <c r="AB4683" s="103" t="s">
        <v>140</v>
      </c>
      <c r="AC4683" s="104" t="s">
        <v>141</v>
      </c>
    </row>
    <row r="4684" spans="1:29" ht="25.5" customHeight="1" x14ac:dyDescent="0.35">
      <c r="A4684" s="188"/>
      <c r="B4684" s="190"/>
      <c r="C4684" s="99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0"/>
      <c r="E4684" s="78" t="str">
        <f>IF(C4684="","",IFERROR(VLOOKUP(C4684,parametros!$A$11:$E$15,5,0),""))</f>
        <v/>
      </c>
      <c r="F4684" s="79" t="str">
        <f t="shared" si="367"/>
        <v/>
      </c>
      <c r="G4684" s="101"/>
      <c r="H4684" s="91">
        <f t="shared" si="368"/>
        <v>0</v>
      </c>
      <c r="I4684" s="91" t="str">
        <f t="shared" si="369"/>
        <v/>
      </c>
      <c r="J4684" s="91" t="str">
        <f t="shared" si="370"/>
        <v/>
      </c>
      <c r="K4684" s="92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2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58"/>
      <c r="U4684" s="217" t="str">
        <f t="shared" si="371"/>
        <v/>
      </c>
      <c r="V4684" s="215" t="s">
        <v>47</v>
      </c>
      <c r="W4684" s="102" t="s">
        <v>136</v>
      </c>
      <c r="X4684" s="102" t="s">
        <v>137</v>
      </c>
      <c r="Y4684" s="103" t="s">
        <v>138</v>
      </c>
      <c r="Z4684" s="103" t="s">
        <v>139</v>
      </c>
      <c r="AA4684" s="103" t="s">
        <v>47</v>
      </c>
      <c r="AB4684" s="103" t="s">
        <v>140</v>
      </c>
      <c r="AC4684" s="104" t="s">
        <v>141</v>
      </c>
    </row>
    <row r="4685" spans="1:29" ht="25.5" customHeight="1" x14ac:dyDescent="0.35">
      <c r="A4685" s="188"/>
      <c r="B4685" s="190"/>
      <c r="C4685" s="99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0"/>
      <c r="E4685" s="78" t="str">
        <f>IF(C4685="","",IFERROR(VLOOKUP(C4685,parametros!$A$11:$E$15,5,0),""))</f>
        <v/>
      </c>
      <c r="F4685" s="79" t="str">
        <f t="shared" si="367"/>
        <v/>
      </c>
      <c r="G4685" s="101"/>
      <c r="H4685" s="91">
        <f t="shared" si="368"/>
        <v>0</v>
      </c>
      <c r="I4685" s="91" t="str">
        <f t="shared" si="369"/>
        <v/>
      </c>
      <c r="J4685" s="91" t="str">
        <f t="shared" si="370"/>
        <v/>
      </c>
      <c r="K4685" s="92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2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58"/>
      <c r="U4685" s="217" t="str">
        <f t="shared" si="371"/>
        <v/>
      </c>
      <c r="V4685" s="215" t="s">
        <v>47</v>
      </c>
      <c r="W4685" s="102" t="s">
        <v>136</v>
      </c>
      <c r="X4685" s="102" t="s">
        <v>137</v>
      </c>
      <c r="Y4685" s="103" t="s">
        <v>138</v>
      </c>
      <c r="Z4685" s="103" t="s">
        <v>139</v>
      </c>
      <c r="AA4685" s="103" t="s">
        <v>47</v>
      </c>
      <c r="AB4685" s="103" t="s">
        <v>140</v>
      </c>
      <c r="AC4685" s="104" t="s">
        <v>141</v>
      </c>
    </row>
    <row r="4686" spans="1:29" ht="25.5" customHeight="1" x14ac:dyDescent="0.35">
      <c r="A4686" s="188"/>
      <c r="B4686" s="190"/>
      <c r="C4686" s="99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0"/>
      <c r="E4686" s="78" t="str">
        <f>IF(C4686="","",IFERROR(VLOOKUP(C4686,parametros!$A$11:$E$15,5,0),""))</f>
        <v/>
      </c>
      <c r="F4686" s="79" t="str">
        <f t="shared" si="367"/>
        <v/>
      </c>
      <c r="G4686" s="101"/>
      <c r="H4686" s="91">
        <f t="shared" si="368"/>
        <v>0</v>
      </c>
      <c r="I4686" s="91" t="str">
        <f t="shared" si="369"/>
        <v/>
      </c>
      <c r="J4686" s="91" t="str">
        <f t="shared" si="370"/>
        <v/>
      </c>
      <c r="K4686" s="92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2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58"/>
      <c r="U4686" s="217" t="str">
        <f t="shared" si="371"/>
        <v/>
      </c>
      <c r="V4686" s="215" t="s">
        <v>47</v>
      </c>
      <c r="W4686" s="102" t="s">
        <v>136</v>
      </c>
      <c r="X4686" s="102" t="s">
        <v>137</v>
      </c>
      <c r="Y4686" s="103" t="s">
        <v>138</v>
      </c>
      <c r="Z4686" s="103" t="s">
        <v>139</v>
      </c>
      <c r="AA4686" s="103" t="s">
        <v>47</v>
      </c>
      <c r="AB4686" s="103" t="s">
        <v>140</v>
      </c>
      <c r="AC4686" s="104" t="s">
        <v>141</v>
      </c>
    </row>
    <row r="4687" spans="1:29" ht="25.5" customHeight="1" x14ac:dyDescent="0.35">
      <c r="A4687" s="188"/>
      <c r="B4687" s="190"/>
      <c r="C4687" s="99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0"/>
      <c r="E4687" s="78" t="str">
        <f>IF(C4687="","",IFERROR(VLOOKUP(C4687,parametros!$A$11:$E$15,5,0),""))</f>
        <v/>
      </c>
      <c r="F4687" s="79" t="str">
        <f t="shared" si="367"/>
        <v/>
      </c>
      <c r="G4687" s="101"/>
      <c r="H4687" s="91">
        <f t="shared" si="368"/>
        <v>0</v>
      </c>
      <c r="I4687" s="91" t="str">
        <f t="shared" si="369"/>
        <v/>
      </c>
      <c r="J4687" s="91" t="str">
        <f t="shared" si="370"/>
        <v/>
      </c>
      <c r="K4687" s="92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2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58"/>
      <c r="U4687" s="217" t="str">
        <f t="shared" si="371"/>
        <v/>
      </c>
      <c r="V4687" s="215" t="s">
        <v>47</v>
      </c>
      <c r="W4687" s="102" t="s">
        <v>136</v>
      </c>
      <c r="X4687" s="102" t="s">
        <v>137</v>
      </c>
      <c r="Y4687" s="103" t="s">
        <v>138</v>
      </c>
      <c r="Z4687" s="103" t="s">
        <v>139</v>
      </c>
      <c r="AA4687" s="103" t="s">
        <v>47</v>
      </c>
      <c r="AB4687" s="103" t="s">
        <v>140</v>
      </c>
      <c r="AC4687" s="104" t="s">
        <v>141</v>
      </c>
    </row>
    <row r="4688" spans="1:29" ht="25.5" customHeight="1" x14ac:dyDescent="0.35">
      <c r="A4688" s="188"/>
      <c r="B4688" s="190"/>
      <c r="C4688" s="99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0"/>
      <c r="E4688" s="78" t="str">
        <f>IF(C4688="","",IFERROR(VLOOKUP(C4688,parametros!$A$11:$E$15,5,0),""))</f>
        <v/>
      </c>
      <c r="F4688" s="79" t="str">
        <f t="shared" si="367"/>
        <v/>
      </c>
      <c r="G4688" s="101"/>
      <c r="H4688" s="91">
        <f t="shared" si="368"/>
        <v>0</v>
      </c>
      <c r="I4688" s="91" t="str">
        <f t="shared" si="369"/>
        <v/>
      </c>
      <c r="J4688" s="91" t="str">
        <f t="shared" si="370"/>
        <v/>
      </c>
      <c r="K4688" s="92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2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58"/>
      <c r="U4688" s="217" t="str">
        <f t="shared" si="371"/>
        <v/>
      </c>
      <c r="V4688" s="215" t="s">
        <v>47</v>
      </c>
      <c r="W4688" s="102" t="s">
        <v>136</v>
      </c>
      <c r="X4688" s="102" t="s">
        <v>137</v>
      </c>
      <c r="Y4688" s="103" t="s">
        <v>138</v>
      </c>
      <c r="Z4688" s="103" t="s">
        <v>139</v>
      </c>
      <c r="AA4688" s="103" t="s">
        <v>47</v>
      </c>
      <c r="AB4688" s="103" t="s">
        <v>140</v>
      </c>
      <c r="AC4688" s="104" t="s">
        <v>141</v>
      </c>
    </row>
    <row r="4689" spans="1:29" ht="25.5" customHeight="1" x14ac:dyDescent="0.35">
      <c r="A4689" s="188"/>
      <c r="B4689" s="190"/>
      <c r="C4689" s="99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0"/>
      <c r="E4689" s="78" t="str">
        <f>IF(C4689="","",IFERROR(VLOOKUP(C4689,parametros!$A$11:$E$15,5,0),""))</f>
        <v/>
      </c>
      <c r="F4689" s="79" t="str">
        <f t="shared" si="367"/>
        <v/>
      </c>
      <c r="G4689" s="101"/>
      <c r="H4689" s="91">
        <f t="shared" si="368"/>
        <v>0</v>
      </c>
      <c r="I4689" s="91" t="str">
        <f t="shared" si="369"/>
        <v/>
      </c>
      <c r="J4689" s="91" t="str">
        <f t="shared" si="370"/>
        <v/>
      </c>
      <c r="K4689" s="92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2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58"/>
      <c r="U4689" s="217" t="str">
        <f t="shared" si="371"/>
        <v/>
      </c>
      <c r="V4689" s="215" t="s">
        <v>47</v>
      </c>
      <c r="W4689" s="102" t="s">
        <v>136</v>
      </c>
      <c r="X4689" s="102" t="s">
        <v>137</v>
      </c>
      <c r="Y4689" s="103" t="s">
        <v>138</v>
      </c>
      <c r="Z4689" s="103" t="s">
        <v>139</v>
      </c>
      <c r="AA4689" s="103" t="s">
        <v>47</v>
      </c>
      <c r="AB4689" s="103" t="s">
        <v>140</v>
      </c>
      <c r="AC4689" s="104" t="s">
        <v>141</v>
      </c>
    </row>
    <row r="4690" spans="1:29" ht="25.5" customHeight="1" x14ac:dyDescent="0.35">
      <c r="A4690" s="188"/>
      <c r="B4690" s="190"/>
      <c r="C4690" s="99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0"/>
      <c r="E4690" s="78" t="str">
        <f>IF(C4690="","",IFERROR(VLOOKUP(C4690,parametros!$A$11:$E$15,5,0),""))</f>
        <v/>
      </c>
      <c r="F4690" s="79" t="str">
        <f t="shared" si="367"/>
        <v/>
      </c>
      <c r="G4690" s="101"/>
      <c r="H4690" s="91">
        <f t="shared" si="368"/>
        <v>0</v>
      </c>
      <c r="I4690" s="91" t="str">
        <f t="shared" si="369"/>
        <v/>
      </c>
      <c r="J4690" s="91" t="str">
        <f t="shared" si="370"/>
        <v/>
      </c>
      <c r="K4690" s="92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2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58"/>
      <c r="U4690" s="217" t="str">
        <f t="shared" si="371"/>
        <v/>
      </c>
      <c r="V4690" s="215" t="s">
        <v>47</v>
      </c>
      <c r="W4690" s="102" t="s">
        <v>136</v>
      </c>
      <c r="X4690" s="102" t="s">
        <v>137</v>
      </c>
      <c r="Y4690" s="103" t="s">
        <v>138</v>
      </c>
      <c r="Z4690" s="103" t="s">
        <v>139</v>
      </c>
      <c r="AA4690" s="103" t="s">
        <v>47</v>
      </c>
      <c r="AB4690" s="103" t="s">
        <v>140</v>
      </c>
      <c r="AC4690" s="104" t="s">
        <v>141</v>
      </c>
    </row>
    <row r="4691" spans="1:29" ht="25.5" customHeight="1" x14ac:dyDescent="0.35">
      <c r="A4691" s="188"/>
      <c r="B4691" s="190"/>
      <c r="C4691" s="99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0"/>
      <c r="E4691" s="78" t="str">
        <f>IF(C4691="","",IFERROR(VLOOKUP(C4691,parametros!$A$11:$E$15,5,0),""))</f>
        <v/>
      </c>
      <c r="F4691" s="79" t="str">
        <f t="shared" si="367"/>
        <v/>
      </c>
      <c r="G4691" s="101"/>
      <c r="H4691" s="91">
        <f t="shared" si="368"/>
        <v>0</v>
      </c>
      <c r="I4691" s="91" t="str">
        <f t="shared" si="369"/>
        <v/>
      </c>
      <c r="J4691" s="91" t="str">
        <f t="shared" si="370"/>
        <v/>
      </c>
      <c r="K4691" s="92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2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58"/>
      <c r="U4691" s="217" t="str">
        <f t="shared" si="371"/>
        <v/>
      </c>
      <c r="V4691" s="215" t="s">
        <v>47</v>
      </c>
      <c r="W4691" s="102" t="s">
        <v>136</v>
      </c>
      <c r="X4691" s="102" t="s">
        <v>137</v>
      </c>
      <c r="Y4691" s="103" t="s">
        <v>138</v>
      </c>
      <c r="Z4691" s="103" t="s">
        <v>139</v>
      </c>
      <c r="AA4691" s="103" t="s">
        <v>47</v>
      </c>
      <c r="AB4691" s="103" t="s">
        <v>140</v>
      </c>
      <c r="AC4691" s="104" t="s">
        <v>141</v>
      </c>
    </row>
    <row r="4692" spans="1:29" ht="25.5" customHeight="1" x14ac:dyDescent="0.35">
      <c r="A4692" s="188"/>
      <c r="B4692" s="190"/>
      <c r="C4692" s="99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0"/>
      <c r="E4692" s="78" t="str">
        <f>IF(C4692="","",IFERROR(VLOOKUP(C4692,parametros!$A$11:$E$15,5,0),""))</f>
        <v/>
      </c>
      <c r="F4692" s="79" t="str">
        <f t="shared" si="367"/>
        <v/>
      </c>
      <c r="G4692" s="101"/>
      <c r="H4692" s="91">
        <f t="shared" si="368"/>
        <v>0</v>
      </c>
      <c r="I4692" s="91" t="str">
        <f t="shared" si="369"/>
        <v/>
      </c>
      <c r="J4692" s="91" t="str">
        <f t="shared" si="370"/>
        <v/>
      </c>
      <c r="K4692" s="92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2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58"/>
      <c r="U4692" s="217" t="str">
        <f t="shared" si="371"/>
        <v/>
      </c>
      <c r="V4692" s="215" t="s">
        <v>47</v>
      </c>
      <c r="W4692" s="102" t="s">
        <v>136</v>
      </c>
      <c r="X4692" s="102" t="s">
        <v>137</v>
      </c>
      <c r="Y4692" s="103" t="s">
        <v>138</v>
      </c>
      <c r="Z4692" s="103" t="s">
        <v>139</v>
      </c>
      <c r="AA4692" s="103" t="s">
        <v>47</v>
      </c>
      <c r="AB4692" s="103" t="s">
        <v>140</v>
      </c>
      <c r="AC4692" s="104" t="s">
        <v>141</v>
      </c>
    </row>
    <row r="4693" spans="1:29" ht="25.5" customHeight="1" x14ac:dyDescent="0.35">
      <c r="A4693" s="188"/>
      <c r="B4693" s="190"/>
      <c r="C4693" s="99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0"/>
      <c r="E4693" s="78" t="str">
        <f>IF(C4693="","",IFERROR(VLOOKUP(C4693,parametros!$A$11:$E$15,5,0),""))</f>
        <v/>
      </c>
      <c r="F4693" s="79" t="str">
        <f t="shared" si="367"/>
        <v/>
      </c>
      <c r="G4693" s="101"/>
      <c r="H4693" s="91">
        <f t="shared" si="368"/>
        <v>0</v>
      </c>
      <c r="I4693" s="91" t="str">
        <f t="shared" si="369"/>
        <v/>
      </c>
      <c r="J4693" s="91" t="str">
        <f t="shared" si="370"/>
        <v/>
      </c>
      <c r="K4693" s="92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2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58"/>
      <c r="U4693" s="217" t="str">
        <f t="shared" si="371"/>
        <v/>
      </c>
      <c r="V4693" s="215" t="s">
        <v>47</v>
      </c>
      <c r="W4693" s="102" t="s">
        <v>136</v>
      </c>
      <c r="X4693" s="102" t="s">
        <v>137</v>
      </c>
      <c r="Y4693" s="103" t="s">
        <v>138</v>
      </c>
      <c r="Z4693" s="103" t="s">
        <v>139</v>
      </c>
      <c r="AA4693" s="103" t="s">
        <v>47</v>
      </c>
      <c r="AB4693" s="103" t="s">
        <v>140</v>
      </c>
      <c r="AC4693" s="104" t="s">
        <v>141</v>
      </c>
    </row>
    <row r="4694" spans="1:29" ht="25.5" customHeight="1" x14ac:dyDescent="0.35">
      <c r="A4694" s="188"/>
      <c r="B4694" s="190"/>
      <c r="C4694" s="99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0"/>
      <c r="E4694" s="78" t="str">
        <f>IF(C4694="","",IFERROR(VLOOKUP(C4694,parametros!$A$11:$E$15,5,0),""))</f>
        <v/>
      </c>
      <c r="F4694" s="79" t="str">
        <f t="shared" si="367"/>
        <v/>
      </c>
      <c r="G4694" s="101"/>
      <c r="H4694" s="91">
        <f t="shared" si="368"/>
        <v>0</v>
      </c>
      <c r="I4694" s="91" t="str">
        <f t="shared" si="369"/>
        <v/>
      </c>
      <c r="J4694" s="91" t="str">
        <f t="shared" si="370"/>
        <v/>
      </c>
      <c r="K4694" s="92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2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58"/>
      <c r="U4694" s="217" t="str">
        <f t="shared" si="371"/>
        <v/>
      </c>
      <c r="V4694" s="215" t="s">
        <v>47</v>
      </c>
      <c r="W4694" s="102" t="s">
        <v>136</v>
      </c>
      <c r="X4694" s="102" t="s">
        <v>137</v>
      </c>
      <c r="Y4694" s="103" t="s">
        <v>138</v>
      </c>
      <c r="Z4694" s="103" t="s">
        <v>139</v>
      </c>
      <c r="AA4694" s="103" t="s">
        <v>47</v>
      </c>
      <c r="AB4694" s="103" t="s">
        <v>140</v>
      </c>
      <c r="AC4694" s="104" t="s">
        <v>141</v>
      </c>
    </row>
    <row r="4695" spans="1:29" ht="25.5" customHeight="1" x14ac:dyDescent="0.35">
      <c r="A4695" s="188"/>
      <c r="B4695" s="190"/>
      <c r="C4695" s="99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0"/>
      <c r="E4695" s="78" t="str">
        <f>IF(C4695="","",IFERROR(VLOOKUP(C4695,parametros!$A$11:$E$15,5,0),""))</f>
        <v/>
      </c>
      <c r="F4695" s="79" t="str">
        <f t="shared" si="367"/>
        <v/>
      </c>
      <c r="G4695" s="101"/>
      <c r="H4695" s="91">
        <f t="shared" si="368"/>
        <v>0</v>
      </c>
      <c r="I4695" s="91" t="str">
        <f t="shared" si="369"/>
        <v/>
      </c>
      <c r="J4695" s="91" t="str">
        <f t="shared" si="370"/>
        <v/>
      </c>
      <c r="K4695" s="92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2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58"/>
      <c r="U4695" s="217" t="str">
        <f t="shared" si="371"/>
        <v/>
      </c>
      <c r="V4695" s="215" t="s">
        <v>47</v>
      </c>
      <c r="W4695" s="102" t="s">
        <v>136</v>
      </c>
      <c r="X4695" s="102" t="s">
        <v>137</v>
      </c>
      <c r="Y4695" s="103" t="s">
        <v>138</v>
      </c>
      <c r="Z4695" s="103" t="s">
        <v>139</v>
      </c>
      <c r="AA4695" s="103" t="s">
        <v>47</v>
      </c>
      <c r="AB4695" s="103" t="s">
        <v>140</v>
      </c>
      <c r="AC4695" s="104" t="s">
        <v>141</v>
      </c>
    </row>
    <row r="4696" spans="1:29" ht="25.5" customHeight="1" x14ac:dyDescent="0.35">
      <c r="A4696" s="188"/>
      <c r="B4696" s="190"/>
      <c r="C4696" s="99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0"/>
      <c r="E4696" s="78" t="str">
        <f>IF(C4696="","",IFERROR(VLOOKUP(C4696,parametros!$A$11:$E$15,5,0),""))</f>
        <v/>
      </c>
      <c r="F4696" s="79" t="str">
        <f t="shared" si="367"/>
        <v/>
      </c>
      <c r="G4696" s="101"/>
      <c r="H4696" s="91">
        <f t="shared" si="368"/>
        <v>0</v>
      </c>
      <c r="I4696" s="91" t="str">
        <f t="shared" si="369"/>
        <v/>
      </c>
      <c r="J4696" s="91" t="str">
        <f t="shared" si="370"/>
        <v/>
      </c>
      <c r="K4696" s="92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2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58"/>
      <c r="U4696" s="217" t="str">
        <f t="shared" si="371"/>
        <v/>
      </c>
      <c r="V4696" s="215" t="s">
        <v>47</v>
      </c>
      <c r="W4696" s="102" t="s">
        <v>136</v>
      </c>
      <c r="X4696" s="102" t="s">
        <v>137</v>
      </c>
      <c r="Y4696" s="103" t="s">
        <v>138</v>
      </c>
      <c r="Z4696" s="103" t="s">
        <v>139</v>
      </c>
      <c r="AA4696" s="103" t="s">
        <v>47</v>
      </c>
      <c r="AB4696" s="103" t="s">
        <v>140</v>
      </c>
      <c r="AC4696" s="104" t="s">
        <v>141</v>
      </c>
    </row>
    <row r="4697" spans="1:29" ht="25.5" customHeight="1" x14ac:dyDescent="0.35">
      <c r="A4697" s="188"/>
      <c r="B4697" s="190"/>
      <c r="C4697" s="99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0"/>
      <c r="E4697" s="78" t="str">
        <f>IF(C4697="","",IFERROR(VLOOKUP(C4697,parametros!$A$11:$E$15,5,0),""))</f>
        <v/>
      </c>
      <c r="F4697" s="79" t="str">
        <f t="shared" si="367"/>
        <v/>
      </c>
      <c r="G4697" s="101"/>
      <c r="H4697" s="91">
        <f t="shared" si="368"/>
        <v>0</v>
      </c>
      <c r="I4697" s="91" t="str">
        <f t="shared" si="369"/>
        <v/>
      </c>
      <c r="J4697" s="91" t="str">
        <f t="shared" si="370"/>
        <v/>
      </c>
      <c r="K4697" s="92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2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58"/>
      <c r="U4697" s="217" t="str">
        <f t="shared" si="371"/>
        <v/>
      </c>
      <c r="V4697" s="215" t="s">
        <v>47</v>
      </c>
      <c r="W4697" s="102" t="s">
        <v>136</v>
      </c>
      <c r="X4697" s="102" t="s">
        <v>137</v>
      </c>
      <c r="Y4697" s="103" t="s">
        <v>138</v>
      </c>
      <c r="Z4697" s="103" t="s">
        <v>139</v>
      </c>
      <c r="AA4697" s="103" t="s">
        <v>47</v>
      </c>
      <c r="AB4697" s="103" t="s">
        <v>140</v>
      </c>
      <c r="AC4697" s="104" t="s">
        <v>141</v>
      </c>
    </row>
    <row r="4698" spans="1:29" ht="25.5" customHeight="1" x14ac:dyDescent="0.35">
      <c r="A4698" s="188"/>
      <c r="B4698" s="190"/>
      <c r="C4698" s="99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0"/>
      <c r="E4698" s="78" t="str">
        <f>IF(C4698="","",IFERROR(VLOOKUP(C4698,parametros!$A$11:$E$15,5,0),""))</f>
        <v/>
      </c>
      <c r="F4698" s="79" t="str">
        <f t="shared" si="367"/>
        <v/>
      </c>
      <c r="G4698" s="101"/>
      <c r="H4698" s="91">
        <f t="shared" si="368"/>
        <v>0</v>
      </c>
      <c r="I4698" s="91" t="str">
        <f t="shared" si="369"/>
        <v/>
      </c>
      <c r="J4698" s="91" t="str">
        <f t="shared" si="370"/>
        <v/>
      </c>
      <c r="K4698" s="92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2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58"/>
      <c r="U4698" s="217" t="str">
        <f t="shared" si="371"/>
        <v/>
      </c>
      <c r="V4698" s="215" t="s">
        <v>47</v>
      </c>
      <c r="W4698" s="102" t="s">
        <v>136</v>
      </c>
      <c r="X4698" s="102" t="s">
        <v>137</v>
      </c>
      <c r="Y4698" s="103" t="s">
        <v>138</v>
      </c>
      <c r="Z4698" s="103" t="s">
        <v>139</v>
      </c>
      <c r="AA4698" s="103" t="s">
        <v>47</v>
      </c>
      <c r="AB4698" s="103" t="s">
        <v>140</v>
      </c>
      <c r="AC4698" s="104" t="s">
        <v>141</v>
      </c>
    </row>
    <row r="4699" spans="1:29" ht="25.5" customHeight="1" x14ac:dyDescent="0.35">
      <c r="A4699" s="188"/>
      <c r="B4699" s="190"/>
      <c r="C4699" s="99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0"/>
      <c r="E4699" s="78" t="str">
        <f>IF(C4699="","",IFERROR(VLOOKUP(C4699,parametros!$A$11:$E$15,5,0),""))</f>
        <v/>
      </c>
      <c r="F4699" s="79" t="str">
        <f t="shared" si="367"/>
        <v/>
      </c>
      <c r="G4699" s="101"/>
      <c r="H4699" s="91">
        <f t="shared" si="368"/>
        <v>0</v>
      </c>
      <c r="I4699" s="91" t="str">
        <f t="shared" si="369"/>
        <v/>
      </c>
      <c r="J4699" s="91" t="str">
        <f t="shared" si="370"/>
        <v/>
      </c>
      <c r="K4699" s="92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2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58"/>
      <c r="U4699" s="217" t="str">
        <f t="shared" si="371"/>
        <v/>
      </c>
      <c r="V4699" s="215" t="s">
        <v>47</v>
      </c>
      <c r="W4699" s="102" t="s">
        <v>136</v>
      </c>
      <c r="X4699" s="102" t="s">
        <v>137</v>
      </c>
      <c r="Y4699" s="103" t="s">
        <v>138</v>
      </c>
      <c r="Z4699" s="103" t="s">
        <v>139</v>
      </c>
      <c r="AA4699" s="103" t="s">
        <v>47</v>
      </c>
      <c r="AB4699" s="103" t="s">
        <v>140</v>
      </c>
      <c r="AC4699" s="104" t="s">
        <v>141</v>
      </c>
    </row>
    <row r="4700" spans="1:29" ht="25.5" customHeight="1" x14ac:dyDescent="0.35">
      <c r="A4700" s="188"/>
      <c r="B4700" s="190"/>
      <c r="C4700" s="99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0"/>
      <c r="E4700" s="78" t="str">
        <f>IF(C4700="","",IFERROR(VLOOKUP(C4700,parametros!$A$11:$E$15,5,0),""))</f>
        <v/>
      </c>
      <c r="F4700" s="79" t="str">
        <f t="shared" si="367"/>
        <v/>
      </c>
      <c r="G4700" s="101"/>
      <c r="H4700" s="91">
        <f t="shared" si="368"/>
        <v>0</v>
      </c>
      <c r="I4700" s="91" t="str">
        <f t="shared" si="369"/>
        <v/>
      </c>
      <c r="J4700" s="91" t="str">
        <f t="shared" si="370"/>
        <v/>
      </c>
      <c r="K4700" s="92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2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58"/>
      <c r="U4700" s="217" t="str">
        <f t="shared" si="371"/>
        <v/>
      </c>
      <c r="V4700" s="215" t="s">
        <v>47</v>
      </c>
      <c r="W4700" s="102" t="s">
        <v>136</v>
      </c>
      <c r="X4700" s="102" t="s">
        <v>137</v>
      </c>
      <c r="Y4700" s="103" t="s">
        <v>138</v>
      </c>
      <c r="Z4700" s="103" t="s">
        <v>139</v>
      </c>
      <c r="AA4700" s="103" t="s">
        <v>47</v>
      </c>
      <c r="AB4700" s="103" t="s">
        <v>140</v>
      </c>
      <c r="AC4700" s="104" t="s">
        <v>141</v>
      </c>
    </row>
    <row r="4701" spans="1:29" ht="25.5" customHeight="1" x14ac:dyDescent="0.35">
      <c r="A4701" s="188"/>
      <c r="B4701" s="190"/>
      <c r="C4701" s="99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0"/>
      <c r="E4701" s="78" t="str">
        <f>IF(C4701="","",IFERROR(VLOOKUP(C4701,parametros!$A$11:$E$15,5,0),""))</f>
        <v/>
      </c>
      <c r="F4701" s="79" t="str">
        <f t="shared" si="367"/>
        <v/>
      </c>
      <c r="G4701" s="101"/>
      <c r="H4701" s="91">
        <f t="shared" si="368"/>
        <v>0</v>
      </c>
      <c r="I4701" s="91" t="str">
        <f t="shared" si="369"/>
        <v/>
      </c>
      <c r="J4701" s="91" t="str">
        <f t="shared" si="370"/>
        <v/>
      </c>
      <c r="K4701" s="92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2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58"/>
      <c r="U4701" s="217" t="str">
        <f t="shared" si="371"/>
        <v/>
      </c>
      <c r="V4701" s="215" t="s">
        <v>47</v>
      </c>
      <c r="W4701" s="102" t="s">
        <v>136</v>
      </c>
      <c r="X4701" s="102" t="s">
        <v>137</v>
      </c>
      <c r="Y4701" s="103" t="s">
        <v>138</v>
      </c>
      <c r="Z4701" s="103" t="s">
        <v>139</v>
      </c>
      <c r="AA4701" s="103" t="s">
        <v>47</v>
      </c>
      <c r="AB4701" s="103" t="s">
        <v>140</v>
      </c>
      <c r="AC4701" s="104" t="s">
        <v>141</v>
      </c>
    </row>
    <row r="4702" spans="1:29" ht="25.5" customHeight="1" x14ac:dyDescent="0.35">
      <c r="A4702" s="188"/>
      <c r="B4702" s="190"/>
      <c r="C4702" s="99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0"/>
      <c r="E4702" s="78" t="str">
        <f>IF(C4702="","",IFERROR(VLOOKUP(C4702,parametros!$A$11:$E$15,5,0),""))</f>
        <v/>
      </c>
      <c r="F4702" s="79" t="str">
        <f t="shared" si="367"/>
        <v/>
      </c>
      <c r="G4702" s="101"/>
      <c r="H4702" s="91">
        <f t="shared" si="368"/>
        <v>0</v>
      </c>
      <c r="I4702" s="91" t="str">
        <f t="shared" si="369"/>
        <v/>
      </c>
      <c r="J4702" s="91" t="str">
        <f t="shared" si="370"/>
        <v/>
      </c>
      <c r="K4702" s="92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2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58"/>
      <c r="U4702" s="217" t="str">
        <f t="shared" si="371"/>
        <v/>
      </c>
      <c r="V4702" s="215" t="s">
        <v>47</v>
      </c>
      <c r="W4702" s="102" t="s">
        <v>136</v>
      </c>
      <c r="X4702" s="102" t="s">
        <v>137</v>
      </c>
      <c r="Y4702" s="103" t="s">
        <v>138</v>
      </c>
      <c r="Z4702" s="103" t="s">
        <v>139</v>
      </c>
      <c r="AA4702" s="103" t="s">
        <v>47</v>
      </c>
      <c r="AB4702" s="103" t="s">
        <v>140</v>
      </c>
      <c r="AC4702" s="104" t="s">
        <v>141</v>
      </c>
    </row>
    <row r="4703" spans="1:29" ht="25.5" customHeight="1" x14ac:dyDescent="0.35">
      <c r="A4703" s="188"/>
      <c r="B4703" s="190"/>
      <c r="C4703" s="99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0"/>
      <c r="E4703" s="78" t="str">
        <f>IF(C4703="","",IFERROR(VLOOKUP(C4703,parametros!$A$11:$E$15,5,0),""))</f>
        <v/>
      </c>
      <c r="F4703" s="79" t="str">
        <f t="shared" si="367"/>
        <v/>
      </c>
      <c r="G4703" s="101"/>
      <c r="H4703" s="91">
        <f t="shared" si="368"/>
        <v>0</v>
      </c>
      <c r="I4703" s="91" t="str">
        <f t="shared" si="369"/>
        <v/>
      </c>
      <c r="J4703" s="91" t="str">
        <f t="shared" si="370"/>
        <v/>
      </c>
      <c r="K4703" s="92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2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58"/>
      <c r="U4703" s="217" t="str">
        <f t="shared" si="371"/>
        <v/>
      </c>
      <c r="V4703" s="215" t="s">
        <v>47</v>
      </c>
      <c r="W4703" s="102" t="s">
        <v>136</v>
      </c>
      <c r="X4703" s="102" t="s">
        <v>137</v>
      </c>
      <c r="Y4703" s="103" t="s">
        <v>138</v>
      </c>
      <c r="Z4703" s="103" t="s">
        <v>139</v>
      </c>
      <c r="AA4703" s="103" t="s">
        <v>47</v>
      </c>
      <c r="AB4703" s="103" t="s">
        <v>140</v>
      </c>
      <c r="AC4703" s="104" t="s">
        <v>141</v>
      </c>
    </row>
    <row r="4704" spans="1:29" ht="25.5" customHeight="1" x14ac:dyDescent="0.35">
      <c r="A4704" s="188"/>
      <c r="B4704" s="190"/>
      <c r="C4704" s="99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0"/>
      <c r="E4704" s="78" t="str">
        <f>IF(C4704="","",IFERROR(VLOOKUP(C4704,parametros!$A$11:$E$15,5,0),""))</f>
        <v/>
      </c>
      <c r="F4704" s="79" t="str">
        <f t="shared" si="367"/>
        <v/>
      </c>
      <c r="G4704" s="101"/>
      <c r="H4704" s="91">
        <f t="shared" si="368"/>
        <v>0</v>
      </c>
      <c r="I4704" s="91" t="str">
        <f t="shared" si="369"/>
        <v/>
      </c>
      <c r="J4704" s="91" t="str">
        <f t="shared" si="370"/>
        <v/>
      </c>
      <c r="K4704" s="92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2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58"/>
      <c r="U4704" s="217" t="str">
        <f t="shared" si="371"/>
        <v/>
      </c>
      <c r="V4704" s="215" t="s">
        <v>47</v>
      </c>
      <c r="W4704" s="102" t="s">
        <v>136</v>
      </c>
      <c r="X4704" s="102" t="s">
        <v>137</v>
      </c>
      <c r="Y4704" s="103" t="s">
        <v>138</v>
      </c>
      <c r="Z4704" s="103" t="s">
        <v>139</v>
      </c>
      <c r="AA4704" s="103" t="s">
        <v>47</v>
      </c>
      <c r="AB4704" s="103" t="s">
        <v>140</v>
      </c>
      <c r="AC4704" s="104" t="s">
        <v>141</v>
      </c>
    </row>
    <row r="4705" spans="1:29" ht="25.5" customHeight="1" x14ac:dyDescent="0.35">
      <c r="A4705" s="188"/>
      <c r="B4705" s="190"/>
      <c r="C4705" s="99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0"/>
      <c r="E4705" s="78" t="str">
        <f>IF(C4705="","",IFERROR(VLOOKUP(C4705,parametros!$A$11:$E$15,5,0),""))</f>
        <v/>
      </c>
      <c r="F4705" s="79" t="str">
        <f t="shared" si="367"/>
        <v/>
      </c>
      <c r="G4705" s="101"/>
      <c r="H4705" s="91">
        <f t="shared" si="368"/>
        <v>0</v>
      </c>
      <c r="I4705" s="91" t="str">
        <f t="shared" si="369"/>
        <v/>
      </c>
      <c r="J4705" s="91" t="str">
        <f t="shared" si="370"/>
        <v/>
      </c>
      <c r="K4705" s="92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2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58"/>
      <c r="U4705" s="217" t="str">
        <f t="shared" si="371"/>
        <v/>
      </c>
      <c r="V4705" s="215" t="s">
        <v>47</v>
      </c>
      <c r="W4705" s="102" t="s">
        <v>136</v>
      </c>
      <c r="X4705" s="102" t="s">
        <v>137</v>
      </c>
      <c r="Y4705" s="103" t="s">
        <v>138</v>
      </c>
      <c r="Z4705" s="103" t="s">
        <v>139</v>
      </c>
      <c r="AA4705" s="103" t="s">
        <v>47</v>
      </c>
      <c r="AB4705" s="103" t="s">
        <v>140</v>
      </c>
      <c r="AC4705" s="104" t="s">
        <v>141</v>
      </c>
    </row>
    <row r="4706" spans="1:29" ht="25.5" customHeight="1" x14ac:dyDescent="0.35">
      <c r="A4706" s="188"/>
      <c r="B4706" s="190"/>
      <c r="C4706" s="99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0"/>
      <c r="E4706" s="78" t="str">
        <f>IF(C4706="","",IFERROR(VLOOKUP(C4706,parametros!$A$11:$E$15,5,0),""))</f>
        <v/>
      </c>
      <c r="F4706" s="79" t="str">
        <f t="shared" si="367"/>
        <v/>
      </c>
      <c r="G4706" s="101"/>
      <c r="H4706" s="91">
        <f t="shared" si="368"/>
        <v>0</v>
      </c>
      <c r="I4706" s="91" t="str">
        <f t="shared" si="369"/>
        <v/>
      </c>
      <c r="J4706" s="91" t="str">
        <f t="shared" si="370"/>
        <v/>
      </c>
      <c r="K4706" s="92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2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58"/>
      <c r="U4706" s="217" t="str">
        <f t="shared" si="371"/>
        <v/>
      </c>
      <c r="V4706" s="215" t="s">
        <v>47</v>
      </c>
      <c r="W4706" s="102" t="s">
        <v>136</v>
      </c>
      <c r="X4706" s="102" t="s">
        <v>137</v>
      </c>
      <c r="Y4706" s="103" t="s">
        <v>138</v>
      </c>
      <c r="Z4706" s="103" t="s">
        <v>139</v>
      </c>
      <c r="AA4706" s="103" t="s">
        <v>47</v>
      </c>
      <c r="AB4706" s="103" t="s">
        <v>140</v>
      </c>
      <c r="AC4706" s="104" t="s">
        <v>141</v>
      </c>
    </row>
    <row r="4707" spans="1:29" ht="25.5" customHeight="1" x14ac:dyDescent="0.35">
      <c r="A4707" s="188"/>
      <c r="B4707" s="190"/>
      <c r="C4707" s="99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0"/>
      <c r="E4707" s="78" t="str">
        <f>IF(C4707="","",IFERROR(VLOOKUP(C4707,parametros!$A$11:$E$15,5,0),""))</f>
        <v/>
      </c>
      <c r="F4707" s="79" t="str">
        <f t="shared" si="367"/>
        <v/>
      </c>
      <c r="G4707" s="101"/>
      <c r="H4707" s="91">
        <f t="shared" si="368"/>
        <v>0</v>
      </c>
      <c r="I4707" s="91" t="str">
        <f t="shared" si="369"/>
        <v/>
      </c>
      <c r="J4707" s="91" t="str">
        <f t="shared" si="370"/>
        <v/>
      </c>
      <c r="K4707" s="92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2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58"/>
      <c r="U4707" s="217" t="str">
        <f t="shared" si="371"/>
        <v/>
      </c>
      <c r="V4707" s="215" t="s">
        <v>47</v>
      </c>
      <c r="W4707" s="102" t="s">
        <v>136</v>
      </c>
      <c r="X4707" s="102" t="s">
        <v>137</v>
      </c>
      <c r="Y4707" s="103" t="s">
        <v>138</v>
      </c>
      <c r="Z4707" s="103" t="s">
        <v>139</v>
      </c>
      <c r="AA4707" s="103" t="s">
        <v>47</v>
      </c>
      <c r="AB4707" s="103" t="s">
        <v>140</v>
      </c>
      <c r="AC4707" s="104" t="s">
        <v>141</v>
      </c>
    </row>
    <row r="4708" spans="1:29" ht="25.5" customHeight="1" x14ac:dyDescent="0.35">
      <c r="A4708" s="188"/>
      <c r="B4708" s="190"/>
      <c r="C4708" s="99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0"/>
      <c r="E4708" s="78" t="str">
        <f>IF(C4708="","",IFERROR(VLOOKUP(C4708,parametros!$A$11:$E$15,5,0),""))</f>
        <v/>
      </c>
      <c r="F4708" s="79" t="str">
        <f t="shared" si="367"/>
        <v/>
      </c>
      <c r="G4708" s="101"/>
      <c r="H4708" s="91">
        <f t="shared" si="368"/>
        <v>0</v>
      </c>
      <c r="I4708" s="91" t="str">
        <f t="shared" si="369"/>
        <v/>
      </c>
      <c r="J4708" s="91" t="str">
        <f t="shared" si="370"/>
        <v/>
      </c>
      <c r="K4708" s="92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2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58"/>
      <c r="U4708" s="217" t="str">
        <f t="shared" si="371"/>
        <v/>
      </c>
      <c r="V4708" s="215" t="s">
        <v>47</v>
      </c>
      <c r="W4708" s="102" t="s">
        <v>136</v>
      </c>
      <c r="X4708" s="102" t="s">
        <v>137</v>
      </c>
      <c r="Y4708" s="103" t="s">
        <v>138</v>
      </c>
      <c r="Z4708" s="103" t="s">
        <v>139</v>
      </c>
      <c r="AA4708" s="103" t="s">
        <v>47</v>
      </c>
      <c r="AB4708" s="103" t="s">
        <v>140</v>
      </c>
      <c r="AC4708" s="104" t="s">
        <v>141</v>
      </c>
    </row>
    <row r="4709" spans="1:29" ht="25.5" customHeight="1" x14ac:dyDescent="0.35">
      <c r="A4709" s="188"/>
      <c r="B4709" s="190"/>
      <c r="C4709" s="99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0"/>
      <c r="E4709" s="78" t="str">
        <f>IF(C4709="","",IFERROR(VLOOKUP(C4709,parametros!$A$11:$E$15,5,0),""))</f>
        <v/>
      </c>
      <c r="F4709" s="79" t="str">
        <f t="shared" si="367"/>
        <v/>
      </c>
      <c r="G4709" s="101"/>
      <c r="H4709" s="91">
        <f t="shared" si="368"/>
        <v>0</v>
      </c>
      <c r="I4709" s="91" t="str">
        <f t="shared" si="369"/>
        <v/>
      </c>
      <c r="J4709" s="91" t="str">
        <f t="shared" si="370"/>
        <v/>
      </c>
      <c r="K4709" s="92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2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58"/>
      <c r="U4709" s="217" t="str">
        <f t="shared" si="371"/>
        <v/>
      </c>
      <c r="V4709" s="215" t="s">
        <v>47</v>
      </c>
      <c r="W4709" s="102" t="s">
        <v>136</v>
      </c>
      <c r="X4709" s="102" t="s">
        <v>137</v>
      </c>
      <c r="Y4709" s="103" t="s">
        <v>138</v>
      </c>
      <c r="Z4709" s="103" t="s">
        <v>139</v>
      </c>
      <c r="AA4709" s="103" t="s">
        <v>47</v>
      </c>
      <c r="AB4709" s="103" t="s">
        <v>140</v>
      </c>
      <c r="AC4709" s="104" t="s">
        <v>141</v>
      </c>
    </row>
    <row r="4710" spans="1:29" ht="25.5" customHeight="1" x14ac:dyDescent="0.35">
      <c r="A4710" s="188"/>
      <c r="B4710" s="190"/>
      <c r="C4710" s="99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0"/>
      <c r="E4710" s="78" t="str">
        <f>IF(C4710="","",IFERROR(VLOOKUP(C4710,parametros!$A$11:$E$15,5,0),""))</f>
        <v/>
      </c>
      <c r="F4710" s="79" t="str">
        <f t="shared" si="367"/>
        <v/>
      </c>
      <c r="G4710" s="101"/>
      <c r="H4710" s="91">
        <f t="shared" si="368"/>
        <v>0</v>
      </c>
      <c r="I4710" s="91" t="str">
        <f t="shared" si="369"/>
        <v/>
      </c>
      <c r="J4710" s="91" t="str">
        <f t="shared" si="370"/>
        <v/>
      </c>
      <c r="K4710" s="92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2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58"/>
      <c r="U4710" s="217" t="str">
        <f t="shared" si="371"/>
        <v/>
      </c>
      <c r="V4710" s="215" t="s">
        <v>47</v>
      </c>
      <c r="W4710" s="102" t="s">
        <v>136</v>
      </c>
      <c r="X4710" s="102" t="s">
        <v>137</v>
      </c>
      <c r="Y4710" s="103" t="s">
        <v>138</v>
      </c>
      <c r="Z4710" s="103" t="s">
        <v>139</v>
      </c>
      <c r="AA4710" s="103" t="s">
        <v>47</v>
      </c>
      <c r="AB4710" s="103" t="s">
        <v>140</v>
      </c>
      <c r="AC4710" s="104" t="s">
        <v>141</v>
      </c>
    </row>
    <row r="4711" spans="1:29" ht="25.5" customHeight="1" x14ac:dyDescent="0.35">
      <c r="A4711" s="188"/>
      <c r="B4711" s="190"/>
      <c r="C4711" s="99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0"/>
      <c r="E4711" s="78" t="str">
        <f>IF(C4711="","",IFERROR(VLOOKUP(C4711,parametros!$A$11:$E$15,5,0),""))</f>
        <v/>
      </c>
      <c r="F4711" s="79" t="str">
        <f t="shared" si="367"/>
        <v/>
      </c>
      <c r="G4711" s="101"/>
      <c r="H4711" s="91">
        <f t="shared" si="368"/>
        <v>0</v>
      </c>
      <c r="I4711" s="91" t="str">
        <f t="shared" si="369"/>
        <v/>
      </c>
      <c r="J4711" s="91" t="str">
        <f t="shared" si="370"/>
        <v/>
      </c>
      <c r="K4711" s="92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2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58"/>
      <c r="U4711" s="217" t="str">
        <f t="shared" si="371"/>
        <v/>
      </c>
      <c r="V4711" s="215" t="s">
        <v>47</v>
      </c>
      <c r="W4711" s="102" t="s">
        <v>136</v>
      </c>
      <c r="X4711" s="102" t="s">
        <v>137</v>
      </c>
      <c r="Y4711" s="103" t="s">
        <v>138</v>
      </c>
      <c r="Z4711" s="103" t="s">
        <v>139</v>
      </c>
      <c r="AA4711" s="103" t="s">
        <v>47</v>
      </c>
      <c r="AB4711" s="103" t="s">
        <v>140</v>
      </c>
      <c r="AC4711" s="104" t="s">
        <v>141</v>
      </c>
    </row>
    <row r="4712" spans="1:29" ht="25.5" customHeight="1" x14ac:dyDescent="0.35">
      <c r="A4712" s="188"/>
      <c r="B4712" s="190"/>
      <c r="C4712" s="99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0"/>
      <c r="E4712" s="78" t="str">
        <f>IF(C4712="","",IFERROR(VLOOKUP(C4712,parametros!$A$11:$E$15,5,0),""))</f>
        <v/>
      </c>
      <c r="F4712" s="79" t="str">
        <f t="shared" si="367"/>
        <v/>
      </c>
      <c r="G4712" s="101"/>
      <c r="H4712" s="91">
        <f t="shared" si="368"/>
        <v>0</v>
      </c>
      <c r="I4712" s="91" t="str">
        <f t="shared" si="369"/>
        <v/>
      </c>
      <c r="J4712" s="91" t="str">
        <f t="shared" si="370"/>
        <v/>
      </c>
      <c r="K4712" s="92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2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58"/>
      <c r="U4712" s="217" t="str">
        <f t="shared" si="371"/>
        <v/>
      </c>
      <c r="V4712" s="215" t="s">
        <v>47</v>
      </c>
      <c r="W4712" s="102" t="s">
        <v>136</v>
      </c>
      <c r="X4712" s="102" t="s">
        <v>137</v>
      </c>
      <c r="Y4712" s="103" t="s">
        <v>138</v>
      </c>
      <c r="Z4712" s="103" t="s">
        <v>139</v>
      </c>
      <c r="AA4712" s="103" t="s">
        <v>47</v>
      </c>
      <c r="AB4712" s="103" t="s">
        <v>140</v>
      </c>
      <c r="AC4712" s="104" t="s">
        <v>141</v>
      </c>
    </row>
    <row r="4713" spans="1:29" ht="25.5" customHeight="1" x14ac:dyDescent="0.35">
      <c r="A4713" s="188"/>
      <c r="B4713" s="190"/>
      <c r="C4713" s="99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0"/>
      <c r="E4713" s="78" t="str">
        <f>IF(C4713="","",IFERROR(VLOOKUP(C4713,parametros!$A$11:$E$15,5,0),""))</f>
        <v/>
      </c>
      <c r="F4713" s="79" t="str">
        <f t="shared" si="367"/>
        <v/>
      </c>
      <c r="G4713" s="101"/>
      <c r="H4713" s="91">
        <f t="shared" si="368"/>
        <v>0</v>
      </c>
      <c r="I4713" s="91" t="str">
        <f t="shared" si="369"/>
        <v/>
      </c>
      <c r="J4713" s="91" t="str">
        <f t="shared" si="370"/>
        <v/>
      </c>
      <c r="K4713" s="92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2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58"/>
      <c r="U4713" s="217" t="str">
        <f t="shared" si="371"/>
        <v/>
      </c>
      <c r="V4713" s="215" t="s">
        <v>47</v>
      </c>
      <c r="W4713" s="102" t="s">
        <v>136</v>
      </c>
      <c r="X4713" s="102" t="s">
        <v>137</v>
      </c>
      <c r="Y4713" s="103" t="s">
        <v>138</v>
      </c>
      <c r="Z4713" s="103" t="s">
        <v>139</v>
      </c>
      <c r="AA4713" s="103" t="s">
        <v>47</v>
      </c>
      <c r="AB4713" s="103" t="s">
        <v>140</v>
      </c>
      <c r="AC4713" s="104" t="s">
        <v>141</v>
      </c>
    </row>
    <row r="4714" spans="1:29" ht="25.5" customHeight="1" x14ac:dyDescent="0.35">
      <c r="A4714" s="188"/>
      <c r="B4714" s="190"/>
      <c r="C4714" s="99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0"/>
      <c r="E4714" s="78" t="str">
        <f>IF(C4714="","",IFERROR(VLOOKUP(C4714,parametros!$A$11:$E$15,5,0),""))</f>
        <v/>
      </c>
      <c r="F4714" s="79" t="str">
        <f t="shared" si="367"/>
        <v/>
      </c>
      <c r="G4714" s="101"/>
      <c r="H4714" s="91">
        <f t="shared" si="368"/>
        <v>0</v>
      </c>
      <c r="I4714" s="91" t="str">
        <f t="shared" si="369"/>
        <v/>
      </c>
      <c r="J4714" s="91" t="str">
        <f t="shared" si="370"/>
        <v/>
      </c>
      <c r="K4714" s="92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2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58"/>
      <c r="U4714" s="217" t="str">
        <f t="shared" si="371"/>
        <v/>
      </c>
      <c r="V4714" s="215" t="s">
        <v>47</v>
      </c>
      <c r="W4714" s="102" t="s">
        <v>136</v>
      </c>
      <c r="X4714" s="102" t="s">
        <v>137</v>
      </c>
      <c r="Y4714" s="103" t="s">
        <v>138</v>
      </c>
      <c r="Z4714" s="103" t="s">
        <v>139</v>
      </c>
      <c r="AA4714" s="103" t="s">
        <v>47</v>
      </c>
      <c r="AB4714" s="103" t="s">
        <v>140</v>
      </c>
      <c r="AC4714" s="104" t="s">
        <v>141</v>
      </c>
    </row>
    <row r="4715" spans="1:29" ht="25.5" customHeight="1" x14ac:dyDescent="0.35">
      <c r="A4715" s="188"/>
      <c r="B4715" s="190"/>
      <c r="C4715" s="99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0"/>
      <c r="E4715" s="78" t="str">
        <f>IF(C4715="","",IFERROR(VLOOKUP(C4715,parametros!$A$11:$E$15,5,0),""))</f>
        <v/>
      </c>
      <c r="F4715" s="79" t="str">
        <f t="shared" si="367"/>
        <v/>
      </c>
      <c r="G4715" s="101"/>
      <c r="H4715" s="91">
        <f t="shared" si="368"/>
        <v>0</v>
      </c>
      <c r="I4715" s="91" t="str">
        <f t="shared" si="369"/>
        <v/>
      </c>
      <c r="J4715" s="91" t="str">
        <f t="shared" si="370"/>
        <v/>
      </c>
      <c r="K4715" s="92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2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58"/>
      <c r="U4715" s="217" t="str">
        <f t="shared" si="371"/>
        <v/>
      </c>
      <c r="V4715" s="215" t="s">
        <v>47</v>
      </c>
      <c r="W4715" s="102" t="s">
        <v>136</v>
      </c>
      <c r="X4715" s="102" t="s">
        <v>137</v>
      </c>
      <c r="Y4715" s="103" t="s">
        <v>138</v>
      </c>
      <c r="Z4715" s="103" t="s">
        <v>139</v>
      </c>
      <c r="AA4715" s="103" t="s">
        <v>47</v>
      </c>
      <c r="AB4715" s="103" t="s">
        <v>140</v>
      </c>
      <c r="AC4715" s="104" t="s">
        <v>141</v>
      </c>
    </row>
    <row r="4716" spans="1:29" ht="25.5" customHeight="1" x14ac:dyDescent="0.35">
      <c r="A4716" s="188"/>
      <c r="B4716" s="190"/>
      <c r="C4716" s="99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0"/>
      <c r="E4716" s="78" t="str">
        <f>IF(C4716="","",IFERROR(VLOOKUP(C4716,parametros!$A$11:$E$15,5,0),""))</f>
        <v/>
      </c>
      <c r="F4716" s="79" t="str">
        <f t="shared" si="367"/>
        <v/>
      </c>
      <c r="G4716" s="101"/>
      <c r="H4716" s="91">
        <f t="shared" si="368"/>
        <v>0</v>
      </c>
      <c r="I4716" s="91" t="str">
        <f t="shared" si="369"/>
        <v/>
      </c>
      <c r="J4716" s="91" t="str">
        <f t="shared" si="370"/>
        <v/>
      </c>
      <c r="K4716" s="92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2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58"/>
      <c r="U4716" s="217" t="str">
        <f t="shared" si="371"/>
        <v/>
      </c>
      <c r="V4716" s="215" t="s">
        <v>47</v>
      </c>
      <c r="W4716" s="102" t="s">
        <v>136</v>
      </c>
      <c r="X4716" s="102" t="s">
        <v>137</v>
      </c>
      <c r="Y4716" s="103" t="s">
        <v>138</v>
      </c>
      <c r="Z4716" s="103" t="s">
        <v>139</v>
      </c>
      <c r="AA4716" s="103" t="s">
        <v>47</v>
      </c>
      <c r="AB4716" s="103" t="s">
        <v>140</v>
      </c>
      <c r="AC4716" s="104" t="s">
        <v>141</v>
      </c>
    </row>
    <row r="4717" spans="1:29" ht="25.5" customHeight="1" x14ac:dyDescent="0.35">
      <c r="A4717" s="188"/>
      <c r="B4717" s="190"/>
      <c r="C4717" s="99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0"/>
      <c r="E4717" s="78" t="str">
        <f>IF(C4717="","",IFERROR(VLOOKUP(C4717,parametros!$A$11:$E$15,5,0),""))</f>
        <v/>
      </c>
      <c r="F4717" s="79" t="str">
        <f t="shared" si="367"/>
        <v/>
      </c>
      <c r="G4717" s="101"/>
      <c r="H4717" s="91">
        <f t="shared" si="368"/>
        <v>0</v>
      </c>
      <c r="I4717" s="91" t="str">
        <f t="shared" si="369"/>
        <v/>
      </c>
      <c r="J4717" s="91" t="str">
        <f t="shared" si="370"/>
        <v/>
      </c>
      <c r="K4717" s="92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2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58"/>
      <c r="U4717" s="217" t="str">
        <f t="shared" si="371"/>
        <v/>
      </c>
      <c r="V4717" s="215" t="s">
        <v>47</v>
      </c>
      <c r="W4717" s="102" t="s">
        <v>136</v>
      </c>
      <c r="X4717" s="102" t="s">
        <v>137</v>
      </c>
      <c r="Y4717" s="103" t="s">
        <v>138</v>
      </c>
      <c r="Z4717" s="103" t="s">
        <v>139</v>
      </c>
      <c r="AA4717" s="103" t="s">
        <v>47</v>
      </c>
      <c r="AB4717" s="103" t="s">
        <v>140</v>
      </c>
      <c r="AC4717" s="104" t="s">
        <v>141</v>
      </c>
    </row>
    <row r="4718" spans="1:29" ht="25.5" customHeight="1" x14ac:dyDescent="0.35">
      <c r="A4718" s="188"/>
      <c r="B4718" s="190"/>
      <c r="C4718" s="99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0"/>
      <c r="E4718" s="78" t="str">
        <f>IF(C4718="","",IFERROR(VLOOKUP(C4718,parametros!$A$11:$E$15,5,0),""))</f>
        <v/>
      </c>
      <c r="F4718" s="79" t="str">
        <f t="shared" si="367"/>
        <v/>
      </c>
      <c r="G4718" s="101"/>
      <c r="H4718" s="91">
        <f t="shared" si="368"/>
        <v>0</v>
      </c>
      <c r="I4718" s="91" t="str">
        <f t="shared" si="369"/>
        <v/>
      </c>
      <c r="J4718" s="91" t="str">
        <f t="shared" si="370"/>
        <v/>
      </c>
      <c r="K4718" s="92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2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58"/>
      <c r="U4718" s="217" t="str">
        <f t="shared" si="371"/>
        <v/>
      </c>
      <c r="V4718" s="215" t="s">
        <v>47</v>
      </c>
      <c r="W4718" s="102" t="s">
        <v>136</v>
      </c>
      <c r="X4718" s="102" t="s">
        <v>137</v>
      </c>
      <c r="Y4718" s="103" t="s">
        <v>138</v>
      </c>
      <c r="Z4718" s="103" t="s">
        <v>139</v>
      </c>
      <c r="AA4718" s="103" t="s">
        <v>47</v>
      </c>
      <c r="AB4718" s="103" t="s">
        <v>140</v>
      </c>
      <c r="AC4718" s="104" t="s">
        <v>141</v>
      </c>
    </row>
    <row r="4719" spans="1:29" ht="25.5" customHeight="1" x14ac:dyDescent="0.35">
      <c r="A4719" s="188"/>
      <c r="B4719" s="190"/>
      <c r="C4719" s="99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0"/>
      <c r="E4719" s="78" t="str">
        <f>IF(C4719="","",IFERROR(VLOOKUP(C4719,parametros!$A$11:$E$15,5,0),""))</f>
        <v/>
      </c>
      <c r="F4719" s="79" t="str">
        <f t="shared" si="367"/>
        <v/>
      </c>
      <c r="G4719" s="101"/>
      <c r="H4719" s="91">
        <f t="shared" si="368"/>
        <v>0</v>
      </c>
      <c r="I4719" s="91" t="str">
        <f t="shared" si="369"/>
        <v/>
      </c>
      <c r="J4719" s="91" t="str">
        <f t="shared" si="370"/>
        <v/>
      </c>
      <c r="K4719" s="92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2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58"/>
      <c r="U4719" s="217" t="str">
        <f t="shared" si="371"/>
        <v/>
      </c>
      <c r="V4719" s="215" t="s">
        <v>47</v>
      </c>
      <c r="W4719" s="102" t="s">
        <v>136</v>
      </c>
      <c r="X4719" s="102" t="s">
        <v>137</v>
      </c>
      <c r="Y4719" s="103" t="s">
        <v>138</v>
      </c>
      <c r="Z4719" s="103" t="s">
        <v>139</v>
      </c>
      <c r="AA4719" s="103" t="s">
        <v>47</v>
      </c>
      <c r="AB4719" s="103" t="s">
        <v>140</v>
      </c>
      <c r="AC4719" s="104" t="s">
        <v>141</v>
      </c>
    </row>
    <row r="4720" spans="1:29" ht="25.5" customHeight="1" x14ac:dyDescent="0.35">
      <c r="A4720" s="188"/>
      <c r="B4720" s="190"/>
      <c r="C4720" s="99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0"/>
      <c r="E4720" s="78" t="str">
        <f>IF(C4720="","",IFERROR(VLOOKUP(C4720,parametros!$A$11:$E$15,5,0),""))</f>
        <v/>
      </c>
      <c r="F4720" s="79" t="str">
        <f t="shared" si="367"/>
        <v/>
      </c>
      <c r="G4720" s="101"/>
      <c r="H4720" s="91">
        <f t="shared" si="368"/>
        <v>0</v>
      </c>
      <c r="I4720" s="91" t="str">
        <f t="shared" si="369"/>
        <v/>
      </c>
      <c r="J4720" s="91" t="str">
        <f t="shared" si="370"/>
        <v/>
      </c>
      <c r="K4720" s="92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2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58"/>
      <c r="U4720" s="217" t="str">
        <f t="shared" si="371"/>
        <v/>
      </c>
      <c r="V4720" s="215" t="s">
        <v>47</v>
      </c>
      <c r="W4720" s="102" t="s">
        <v>136</v>
      </c>
      <c r="X4720" s="102" t="s">
        <v>137</v>
      </c>
      <c r="Y4720" s="103" t="s">
        <v>138</v>
      </c>
      <c r="Z4720" s="103" t="s">
        <v>139</v>
      </c>
      <c r="AA4720" s="103" t="s">
        <v>47</v>
      </c>
      <c r="AB4720" s="103" t="s">
        <v>140</v>
      </c>
      <c r="AC4720" s="104" t="s">
        <v>141</v>
      </c>
    </row>
    <row r="4721" spans="1:29" ht="25.5" customHeight="1" x14ac:dyDescent="0.35">
      <c r="A4721" s="188"/>
      <c r="B4721" s="190"/>
      <c r="C4721" s="99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0"/>
      <c r="E4721" s="78" t="str">
        <f>IF(C4721="","",IFERROR(VLOOKUP(C4721,parametros!$A$11:$E$15,5,0),""))</f>
        <v/>
      </c>
      <c r="F4721" s="79" t="str">
        <f t="shared" si="367"/>
        <v/>
      </c>
      <c r="G4721" s="101"/>
      <c r="H4721" s="91">
        <f t="shared" si="368"/>
        <v>0</v>
      </c>
      <c r="I4721" s="91" t="str">
        <f t="shared" si="369"/>
        <v/>
      </c>
      <c r="J4721" s="91" t="str">
        <f t="shared" si="370"/>
        <v/>
      </c>
      <c r="K4721" s="92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2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58"/>
      <c r="U4721" s="217" t="str">
        <f t="shared" si="371"/>
        <v/>
      </c>
      <c r="V4721" s="215" t="s">
        <v>47</v>
      </c>
      <c r="W4721" s="102" t="s">
        <v>136</v>
      </c>
      <c r="X4721" s="102" t="s">
        <v>137</v>
      </c>
      <c r="Y4721" s="103" t="s">
        <v>138</v>
      </c>
      <c r="Z4721" s="103" t="s">
        <v>139</v>
      </c>
      <c r="AA4721" s="103" t="s">
        <v>47</v>
      </c>
      <c r="AB4721" s="103" t="s">
        <v>140</v>
      </c>
      <c r="AC4721" s="104" t="s">
        <v>141</v>
      </c>
    </row>
    <row r="4722" spans="1:29" ht="25.5" customHeight="1" x14ac:dyDescent="0.35">
      <c r="A4722" s="188"/>
      <c r="B4722" s="190"/>
      <c r="C4722" s="99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0"/>
      <c r="E4722" s="78" t="str">
        <f>IF(C4722="","",IFERROR(VLOOKUP(C4722,parametros!$A$11:$E$15,5,0),""))</f>
        <v/>
      </c>
      <c r="F4722" s="79" t="str">
        <f t="shared" si="367"/>
        <v/>
      </c>
      <c r="G4722" s="101"/>
      <c r="H4722" s="91">
        <f t="shared" si="368"/>
        <v>0</v>
      </c>
      <c r="I4722" s="91" t="str">
        <f t="shared" si="369"/>
        <v/>
      </c>
      <c r="J4722" s="91" t="str">
        <f t="shared" si="370"/>
        <v/>
      </c>
      <c r="K4722" s="92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2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58"/>
      <c r="U4722" s="217" t="str">
        <f t="shared" si="371"/>
        <v/>
      </c>
      <c r="V4722" s="215" t="s">
        <v>47</v>
      </c>
      <c r="W4722" s="102" t="s">
        <v>136</v>
      </c>
      <c r="X4722" s="102" t="s">
        <v>137</v>
      </c>
      <c r="Y4722" s="103" t="s">
        <v>138</v>
      </c>
      <c r="Z4722" s="103" t="s">
        <v>139</v>
      </c>
      <c r="AA4722" s="103" t="s">
        <v>47</v>
      </c>
      <c r="AB4722" s="103" t="s">
        <v>140</v>
      </c>
      <c r="AC4722" s="104" t="s">
        <v>141</v>
      </c>
    </row>
    <row r="4723" spans="1:29" ht="25.5" customHeight="1" x14ac:dyDescent="0.35">
      <c r="A4723" s="188"/>
      <c r="B4723" s="190"/>
      <c r="C4723" s="99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0"/>
      <c r="E4723" s="78" t="str">
        <f>IF(C4723="","",IFERROR(VLOOKUP(C4723,parametros!$A$11:$E$15,5,0),""))</f>
        <v/>
      </c>
      <c r="F4723" s="79" t="str">
        <f t="shared" si="367"/>
        <v/>
      </c>
      <c r="G4723" s="101"/>
      <c r="H4723" s="91">
        <f t="shared" si="368"/>
        <v>0</v>
      </c>
      <c r="I4723" s="91" t="str">
        <f t="shared" si="369"/>
        <v/>
      </c>
      <c r="J4723" s="91" t="str">
        <f t="shared" si="370"/>
        <v/>
      </c>
      <c r="K4723" s="92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2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58"/>
      <c r="U4723" s="217" t="str">
        <f t="shared" si="371"/>
        <v/>
      </c>
      <c r="V4723" s="215" t="s">
        <v>47</v>
      </c>
      <c r="W4723" s="102" t="s">
        <v>136</v>
      </c>
      <c r="X4723" s="102" t="s">
        <v>137</v>
      </c>
      <c r="Y4723" s="103" t="s">
        <v>138</v>
      </c>
      <c r="Z4723" s="103" t="s">
        <v>139</v>
      </c>
      <c r="AA4723" s="103" t="s">
        <v>47</v>
      </c>
      <c r="AB4723" s="103" t="s">
        <v>140</v>
      </c>
      <c r="AC4723" s="104" t="s">
        <v>141</v>
      </c>
    </row>
    <row r="4724" spans="1:29" ht="25.5" customHeight="1" x14ac:dyDescent="0.35">
      <c r="A4724" s="188"/>
      <c r="B4724" s="190"/>
      <c r="C4724" s="99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0"/>
      <c r="E4724" s="78" t="str">
        <f>IF(C4724="","",IFERROR(VLOOKUP(C4724,parametros!$A$11:$E$15,5,0),""))</f>
        <v/>
      </c>
      <c r="F4724" s="79" t="str">
        <f t="shared" si="367"/>
        <v/>
      </c>
      <c r="G4724" s="101"/>
      <c r="H4724" s="91">
        <f t="shared" si="368"/>
        <v>0</v>
      </c>
      <c r="I4724" s="91" t="str">
        <f t="shared" si="369"/>
        <v/>
      </c>
      <c r="J4724" s="91" t="str">
        <f t="shared" si="370"/>
        <v/>
      </c>
      <c r="K4724" s="92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2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58"/>
      <c r="U4724" s="217" t="str">
        <f t="shared" si="371"/>
        <v/>
      </c>
      <c r="V4724" s="215" t="s">
        <v>47</v>
      </c>
      <c r="W4724" s="102" t="s">
        <v>136</v>
      </c>
      <c r="X4724" s="102" t="s">
        <v>137</v>
      </c>
      <c r="Y4724" s="103" t="s">
        <v>138</v>
      </c>
      <c r="Z4724" s="103" t="s">
        <v>139</v>
      </c>
      <c r="AA4724" s="103" t="s">
        <v>47</v>
      </c>
      <c r="AB4724" s="103" t="s">
        <v>140</v>
      </c>
      <c r="AC4724" s="104" t="s">
        <v>141</v>
      </c>
    </row>
    <row r="4725" spans="1:29" ht="25.5" customHeight="1" x14ac:dyDescent="0.35">
      <c r="A4725" s="188"/>
      <c r="B4725" s="190"/>
      <c r="C4725" s="99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0"/>
      <c r="E4725" s="78" t="str">
        <f>IF(C4725="","",IFERROR(VLOOKUP(C4725,parametros!$A$11:$E$15,5,0),""))</f>
        <v/>
      </c>
      <c r="F4725" s="79" t="str">
        <f t="shared" si="367"/>
        <v/>
      </c>
      <c r="G4725" s="101"/>
      <c r="H4725" s="91">
        <f t="shared" si="368"/>
        <v>0</v>
      </c>
      <c r="I4725" s="91" t="str">
        <f t="shared" si="369"/>
        <v/>
      </c>
      <c r="J4725" s="91" t="str">
        <f t="shared" si="370"/>
        <v/>
      </c>
      <c r="K4725" s="92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2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58"/>
      <c r="U4725" s="217" t="str">
        <f t="shared" si="371"/>
        <v/>
      </c>
      <c r="V4725" s="215" t="s">
        <v>47</v>
      </c>
      <c r="W4725" s="102" t="s">
        <v>136</v>
      </c>
      <c r="X4725" s="102" t="s">
        <v>137</v>
      </c>
      <c r="Y4725" s="103" t="s">
        <v>138</v>
      </c>
      <c r="Z4725" s="103" t="s">
        <v>139</v>
      </c>
      <c r="AA4725" s="103" t="s">
        <v>47</v>
      </c>
      <c r="AB4725" s="103" t="s">
        <v>140</v>
      </c>
      <c r="AC4725" s="104" t="s">
        <v>141</v>
      </c>
    </row>
    <row r="4726" spans="1:29" ht="25.5" customHeight="1" x14ac:dyDescent="0.35">
      <c r="A4726" s="188"/>
      <c r="B4726" s="190"/>
      <c r="C4726" s="99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0"/>
      <c r="E4726" s="78" t="str">
        <f>IF(C4726="","",IFERROR(VLOOKUP(C4726,parametros!$A$11:$E$15,5,0),""))</f>
        <v/>
      </c>
      <c r="F4726" s="79" t="str">
        <f t="shared" si="367"/>
        <v/>
      </c>
      <c r="G4726" s="101"/>
      <c r="H4726" s="91">
        <f t="shared" si="368"/>
        <v>0</v>
      </c>
      <c r="I4726" s="91" t="str">
        <f t="shared" si="369"/>
        <v/>
      </c>
      <c r="J4726" s="91" t="str">
        <f t="shared" si="370"/>
        <v/>
      </c>
      <c r="K4726" s="92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2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58"/>
      <c r="U4726" s="217" t="str">
        <f t="shared" si="371"/>
        <v/>
      </c>
      <c r="V4726" s="215" t="s">
        <v>47</v>
      </c>
      <c r="W4726" s="102" t="s">
        <v>136</v>
      </c>
      <c r="X4726" s="102" t="s">
        <v>137</v>
      </c>
      <c r="Y4726" s="103" t="s">
        <v>138</v>
      </c>
      <c r="Z4726" s="103" t="s">
        <v>139</v>
      </c>
      <c r="AA4726" s="103" t="s">
        <v>47</v>
      </c>
      <c r="AB4726" s="103" t="s">
        <v>140</v>
      </c>
      <c r="AC4726" s="104" t="s">
        <v>141</v>
      </c>
    </row>
    <row r="4727" spans="1:29" ht="25.5" customHeight="1" x14ac:dyDescent="0.35">
      <c r="A4727" s="188"/>
      <c r="B4727" s="190"/>
      <c r="C4727" s="99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0"/>
      <c r="E4727" s="78" t="str">
        <f>IF(C4727="","",IFERROR(VLOOKUP(C4727,parametros!$A$11:$E$15,5,0),""))</f>
        <v/>
      </c>
      <c r="F4727" s="79" t="str">
        <f t="shared" si="367"/>
        <v/>
      </c>
      <c r="G4727" s="101"/>
      <c r="H4727" s="91">
        <f t="shared" si="368"/>
        <v>0</v>
      </c>
      <c r="I4727" s="91" t="str">
        <f t="shared" si="369"/>
        <v/>
      </c>
      <c r="J4727" s="91" t="str">
        <f t="shared" si="370"/>
        <v/>
      </c>
      <c r="K4727" s="92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2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58"/>
      <c r="U4727" s="217" t="str">
        <f t="shared" si="371"/>
        <v/>
      </c>
      <c r="V4727" s="215" t="s">
        <v>47</v>
      </c>
      <c r="W4727" s="102" t="s">
        <v>136</v>
      </c>
      <c r="X4727" s="102" t="s">
        <v>137</v>
      </c>
      <c r="Y4727" s="103" t="s">
        <v>138</v>
      </c>
      <c r="Z4727" s="103" t="s">
        <v>139</v>
      </c>
      <c r="AA4727" s="103" t="s">
        <v>47</v>
      </c>
      <c r="AB4727" s="103" t="s">
        <v>140</v>
      </c>
      <c r="AC4727" s="104" t="s">
        <v>141</v>
      </c>
    </row>
    <row r="4728" spans="1:29" ht="25.5" customHeight="1" x14ac:dyDescent="0.35">
      <c r="A4728" s="188"/>
      <c r="B4728" s="190"/>
      <c r="C4728" s="99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0"/>
      <c r="E4728" s="78" t="str">
        <f>IF(C4728="","",IFERROR(VLOOKUP(C4728,parametros!$A$11:$E$15,5,0),""))</f>
        <v/>
      </c>
      <c r="F4728" s="79" t="str">
        <f t="shared" si="367"/>
        <v/>
      </c>
      <c r="G4728" s="101"/>
      <c r="H4728" s="91">
        <f t="shared" si="368"/>
        <v>0</v>
      </c>
      <c r="I4728" s="91" t="str">
        <f t="shared" si="369"/>
        <v/>
      </c>
      <c r="J4728" s="91" t="str">
        <f t="shared" si="370"/>
        <v/>
      </c>
      <c r="K4728" s="92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2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58"/>
      <c r="U4728" s="217" t="str">
        <f t="shared" si="371"/>
        <v/>
      </c>
      <c r="V4728" s="215" t="s">
        <v>47</v>
      </c>
      <c r="W4728" s="102" t="s">
        <v>136</v>
      </c>
      <c r="X4728" s="102" t="s">
        <v>137</v>
      </c>
      <c r="Y4728" s="103" t="s">
        <v>138</v>
      </c>
      <c r="Z4728" s="103" t="s">
        <v>139</v>
      </c>
      <c r="AA4728" s="103" t="s">
        <v>47</v>
      </c>
      <c r="AB4728" s="103" t="s">
        <v>140</v>
      </c>
      <c r="AC4728" s="104" t="s">
        <v>141</v>
      </c>
    </row>
    <row r="4729" spans="1:29" ht="25.5" customHeight="1" x14ac:dyDescent="0.35">
      <c r="A4729" s="188"/>
      <c r="B4729" s="190"/>
      <c r="C4729" s="99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0"/>
      <c r="E4729" s="78" t="str">
        <f>IF(C4729="","",IFERROR(VLOOKUP(C4729,parametros!$A$11:$E$15,5,0),""))</f>
        <v/>
      </c>
      <c r="F4729" s="79" t="str">
        <f t="shared" si="367"/>
        <v/>
      </c>
      <c r="G4729" s="101"/>
      <c r="H4729" s="91">
        <f t="shared" si="368"/>
        <v>0</v>
      </c>
      <c r="I4729" s="91" t="str">
        <f t="shared" si="369"/>
        <v/>
      </c>
      <c r="J4729" s="91" t="str">
        <f t="shared" si="370"/>
        <v/>
      </c>
      <c r="K4729" s="92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2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58"/>
      <c r="U4729" s="217" t="str">
        <f t="shared" si="371"/>
        <v/>
      </c>
      <c r="V4729" s="215" t="s">
        <v>47</v>
      </c>
      <c r="W4729" s="102" t="s">
        <v>136</v>
      </c>
      <c r="X4729" s="102" t="s">
        <v>137</v>
      </c>
      <c r="Y4729" s="103" t="s">
        <v>138</v>
      </c>
      <c r="Z4729" s="103" t="s">
        <v>139</v>
      </c>
      <c r="AA4729" s="103" t="s">
        <v>47</v>
      </c>
      <c r="AB4729" s="103" t="s">
        <v>140</v>
      </c>
      <c r="AC4729" s="104" t="s">
        <v>141</v>
      </c>
    </row>
    <row r="4730" spans="1:29" ht="25.5" customHeight="1" x14ac:dyDescent="0.35">
      <c r="A4730" s="188"/>
      <c r="B4730" s="190"/>
      <c r="C4730" s="99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0"/>
      <c r="E4730" s="78" t="str">
        <f>IF(C4730="","",IFERROR(VLOOKUP(C4730,parametros!$A$11:$E$15,5,0),""))</f>
        <v/>
      </c>
      <c r="F4730" s="79" t="str">
        <f t="shared" si="367"/>
        <v/>
      </c>
      <c r="G4730" s="101"/>
      <c r="H4730" s="91">
        <f t="shared" si="368"/>
        <v>0</v>
      </c>
      <c r="I4730" s="91" t="str">
        <f t="shared" si="369"/>
        <v/>
      </c>
      <c r="J4730" s="91" t="str">
        <f t="shared" si="370"/>
        <v/>
      </c>
      <c r="K4730" s="92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2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58"/>
      <c r="U4730" s="217" t="str">
        <f t="shared" si="371"/>
        <v/>
      </c>
      <c r="V4730" s="215" t="s">
        <v>47</v>
      </c>
      <c r="W4730" s="102" t="s">
        <v>136</v>
      </c>
      <c r="X4730" s="102" t="s">
        <v>137</v>
      </c>
      <c r="Y4730" s="103" t="s">
        <v>138</v>
      </c>
      <c r="Z4730" s="103" t="s">
        <v>139</v>
      </c>
      <c r="AA4730" s="103" t="s">
        <v>47</v>
      </c>
      <c r="AB4730" s="103" t="s">
        <v>140</v>
      </c>
      <c r="AC4730" s="104" t="s">
        <v>141</v>
      </c>
    </row>
    <row r="4731" spans="1:29" ht="25.5" customHeight="1" x14ac:dyDescent="0.35">
      <c r="A4731" s="188"/>
      <c r="B4731" s="190"/>
      <c r="C4731" s="99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0"/>
      <c r="E4731" s="78" t="str">
        <f>IF(C4731="","",IFERROR(VLOOKUP(C4731,parametros!$A$11:$E$15,5,0),""))</f>
        <v/>
      </c>
      <c r="F4731" s="79" t="str">
        <f t="shared" si="367"/>
        <v/>
      </c>
      <c r="G4731" s="101"/>
      <c r="H4731" s="91">
        <f t="shared" si="368"/>
        <v>0</v>
      </c>
      <c r="I4731" s="91" t="str">
        <f t="shared" si="369"/>
        <v/>
      </c>
      <c r="J4731" s="91" t="str">
        <f t="shared" si="370"/>
        <v/>
      </c>
      <c r="K4731" s="92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2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58"/>
      <c r="U4731" s="217" t="str">
        <f t="shared" si="371"/>
        <v/>
      </c>
      <c r="V4731" s="215" t="s">
        <v>47</v>
      </c>
      <c r="W4731" s="102" t="s">
        <v>136</v>
      </c>
      <c r="X4731" s="102" t="s">
        <v>137</v>
      </c>
      <c r="Y4731" s="103" t="s">
        <v>138</v>
      </c>
      <c r="Z4731" s="103" t="s">
        <v>139</v>
      </c>
      <c r="AA4731" s="103" t="s">
        <v>47</v>
      </c>
      <c r="AB4731" s="103" t="s">
        <v>140</v>
      </c>
      <c r="AC4731" s="104" t="s">
        <v>141</v>
      </c>
    </row>
    <row r="4732" spans="1:29" ht="25.5" customHeight="1" x14ac:dyDescent="0.35">
      <c r="A4732" s="188"/>
      <c r="B4732" s="190"/>
      <c r="C4732" s="99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0"/>
      <c r="E4732" s="78" t="str">
        <f>IF(C4732="","",IFERROR(VLOOKUP(C4732,parametros!$A$11:$E$15,5,0),""))</f>
        <v/>
      </c>
      <c r="F4732" s="79" t="str">
        <f t="shared" si="367"/>
        <v/>
      </c>
      <c r="G4732" s="101"/>
      <c r="H4732" s="91">
        <f t="shared" si="368"/>
        <v>0</v>
      </c>
      <c r="I4732" s="91" t="str">
        <f t="shared" si="369"/>
        <v/>
      </c>
      <c r="J4732" s="91" t="str">
        <f t="shared" si="370"/>
        <v/>
      </c>
      <c r="K4732" s="92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2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58"/>
      <c r="U4732" s="217" t="str">
        <f t="shared" si="371"/>
        <v/>
      </c>
      <c r="V4732" s="215" t="s">
        <v>47</v>
      </c>
      <c r="W4732" s="102" t="s">
        <v>136</v>
      </c>
      <c r="X4732" s="102" t="s">
        <v>137</v>
      </c>
      <c r="Y4732" s="103" t="s">
        <v>138</v>
      </c>
      <c r="Z4732" s="103" t="s">
        <v>139</v>
      </c>
      <c r="AA4732" s="103" t="s">
        <v>47</v>
      </c>
      <c r="AB4732" s="103" t="s">
        <v>140</v>
      </c>
      <c r="AC4732" s="104" t="s">
        <v>141</v>
      </c>
    </row>
    <row r="4733" spans="1:29" ht="25.5" customHeight="1" x14ac:dyDescent="0.35">
      <c r="A4733" s="188"/>
      <c r="B4733" s="190"/>
      <c r="C4733" s="99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0"/>
      <c r="E4733" s="78" t="str">
        <f>IF(C4733="","",IFERROR(VLOOKUP(C4733,parametros!$A$11:$E$15,5,0),""))</f>
        <v/>
      </c>
      <c r="F4733" s="79" t="str">
        <f t="shared" si="367"/>
        <v/>
      </c>
      <c r="G4733" s="101"/>
      <c r="H4733" s="91">
        <f t="shared" si="368"/>
        <v>0</v>
      </c>
      <c r="I4733" s="91" t="str">
        <f t="shared" si="369"/>
        <v/>
      </c>
      <c r="J4733" s="91" t="str">
        <f t="shared" si="370"/>
        <v/>
      </c>
      <c r="K4733" s="92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2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58"/>
      <c r="U4733" s="217" t="str">
        <f t="shared" si="371"/>
        <v/>
      </c>
      <c r="V4733" s="215" t="s">
        <v>47</v>
      </c>
      <c r="W4733" s="102" t="s">
        <v>136</v>
      </c>
      <c r="X4733" s="102" t="s">
        <v>137</v>
      </c>
      <c r="Y4733" s="103" t="s">
        <v>138</v>
      </c>
      <c r="Z4733" s="103" t="s">
        <v>139</v>
      </c>
      <c r="AA4733" s="103" t="s">
        <v>47</v>
      </c>
      <c r="AB4733" s="103" t="s">
        <v>140</v>
      </c>
      <c r="AC4733" s="104" t="s">
        <v>141</v>
      </c>
    </row>
    <row r="4734" spans="1:29" ht="25.5" customHeight="1" x14ac:dyDescent="0.35">
      <c r="A4734" s="188"/>
      <c r="B4734" s="190"/>
      <c r="C4734" s="99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0"/>
      <c r="E4734" s="78" t="str">
        <f>IF(C4734="","",IFERROR(VLOOKUP(C4734,parametros!$A$11:$E$15,5,0),""))</f>
        <v/>
      </c>
      <c r="F4734" s="79" t="str">
        <f t="shared" si="367"/>
        <v/>
      </c>
      <c r="G4734" s="101"/>
      <c r="H4734" s="91">
        <f t="shared" si="368"/>
        <v>0</v>
      </c>
      <c r="I4734" s="91" t="str">
        <f t="shared" si="369"/>
        <v/>
      </c>
      <c r="J4734" s="91" t="str">
        <f t="shared" si="370"/>
        <v/>
      </c>
      <c r="K4734" s="92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2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58"/>
      <c r="U4734" s="217" t="str">
        <f t="shared" si="371"/>
        <v/>
      </c>
      <c r="V4734" s="215" t="s">
        <v>47</v>
      </c>
      <c r="W4734" s="102" t="s">
        <v>136</v>
      </c>
      <c r="X4734" s="102" t="s">
        <v>137</v>
      </c>
      <c r="Y4734" s="103" t="s">
        <v>138</v>
      </c>
      <c r="Z4734" s="103" t="s">
        <v>139</v>
      </c>
      <c r="AA4734" s="103" t="s">
        <v>47</v>
      </c>
      <c r="AB4734" s="103" t="s">
        <v>140</v>
      </c>
      <c r="AC4734" s="104" t="s">
        <v>141</v>
      </c>
    </row>
    <row r="4735" spans="1:29" ht="25.5" customHeight="1" x14ac:dyDescent="0.35">
      <c r="A4735" s="188"/>
      <c r="B4735" s="190"/>
      <c r="C4735" s="99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0"/>
      <c r="E4735" s="78" t="str">
        <f>IF(C4735="","",IFERROR(VLOOKUP(C4735,parametros!$A$11:$E$15,5,0),""))</f>
        <v/>
      </c>
      <c r="F4735" s="79" t="str">
        <f t="shared" si="367"/>
        <v/>
      </c>
      <c r="G4735" s="101"/>
      <c r="H4735" s="91">
        <f t="shared" si="368"/>
        <v>0</v>
      </c>
      <c r="I4735" s="91" t="str">
        <f t="shared" si="369"/>
        <v/>
      </c>
      <c r="J4735" s="91" t="str">
        <f t="shared" si="370"/>
        <v/>
      </c>
      <c r="K4735" s="92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2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58"/>
      <c r="U4735" s="217" t="str">
        <f t="shared" si="371"/>
        <v/>
      </c>
      <c r="V4735" s="215" t="s">
        <v>47</v>
      </c>
      <c r="W4735" s="102" t="s">
        <v>136</v>
      </c>
      <c r="X4735" s="102" t="s">
        <v>137</v>
      </c>
      <c r="Y4735" s="103" t="s">
        <v>138</v>
      </c>
      <c r="Z4735" s="103" t="s">
        <v>139</v>
      </c>
      <c r="AA4735" s="103" t="s">
        <v>47</v>
      </c>
      <c r="AB4735" s="103" t="s">
        <v>140</v>
      </c>
      <c r="AC4735" s="104" t="s">
        <v>141</v>
      </c>
    </row>
    <row r="4736" spans="1:29" ht="25.5" customHeight="1" x14ac:dyDescent="0.35">
      <c r="A4736" s="188"/>
      <c r="B4736" s="190"/>
      <c r="C4736" s="99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0"/>
      <c r="E4736" s="78" t="str">
        <f>IF(C4736="","",IFERROR(VLOOKUP(C4736,parametros!$A$11:$E$15,5,0),""))</f>
        <v/>
      </c>
      <c r="F4736" s="79" t="str">
        <f t="shared" si="367"/>
        <v/>
      </c>
      <c r="G4736" s="101"/>
      <c r="H4736" s="91">
        <f t="shared" si="368"/>
        <v>0</v>
      </c>
      <c r="I4736" s="91" t="str">
        <f t="shared" si="369"/>
        <v/>
      </c>
      <c r="J4736" s="91" t="str">
        <f t="shared" si="370"/>
        <v/>
      </c>
      <c r="K4736" s="92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2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58"/>
      <c r="U4736" s="217" t="str">
        <f t="shared" si="371"/>
        <v/>
      </c>
      <c r="V4736" s="215" t="s">
        <v>47</v>
      </c>
      <c r="W4736" s="102" t="s">
        <v>136</v>
      </c>
      <c r="X4736" s="102" t="s">
        <v>137</v>
      </c>
      <c r="Y4736" s="103" t="s">
        <v>138</v>
      </c>
      <c r="Z4736" s="103" t="s">
        <v>139</v>
      </c>
      <c r="AA4736" s="103" t="s">
        <v>47</v>
      </c>
      <c r="AB4736" s="103" t="s">
        <v>140</v>
      </c>
      <c r="AC4736" s="104" t="s">
        <v>141</v>
      </c>
    </row>
    <row r="4737" spans="1:29" ht="25.5" customHeight="1" x14ac:dyDescent="0.35">
      <c r="A4737" s="188"/>
      <c r="B4737" s="190"/>
      <c r="C4737" s="99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0"/>
      <c r="E4737" s="78" t="str">
        <f>IF(C4737="","",IFERROR(VLOOKUP(C4737,parametros!$A$11:$E$15,5,0),""))</f>
        <v/>
      </c>
      <c r="F4737" s="79" t="str">
        <f t="shared" si="367"/>
        <v/>
      </c>
      <c r="G4737" s="101"/>
      <c r="H4737" s="91">
        <f t="shared" si="368"/>
        <v>0</v>
      </c>
      <c r="I4737" s="91" t="str">
        <f t="shared" si="369"/>
        <v/>
      </c>
      <c r="J4737" s="91" t="str">
        <f t="shared" si="370"/>
        <v/>
      </c>
      <c r="K4737" s="92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2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58"/>
      <c r="U4737" s="217" t="str">
        <f t="shared" si="371"/>
        <v/>
      </c>
      <c r="V4737" s="215" t="s">
        <v>47</v>
      </c>
      <c r="W4737" s="102" t="s">
        <v>136</v>
      </c>
      <c r="X4737" s="102" t="s">
        <v>137</v>
      </c>
      <c r="Y4737" s="103" t="s">
        <v>138</v>
      </c>
      <c r="Z4737" s="103" t="s">
        <v>139</v>
      </c>
      <c r="AA4737" s="103" t="s">
        <v>47</v>
      </c>
      <c r="AB4737" s="103" t="s">
        <v>140</v>
      </c>
      <c r="AC4737" s="104" t="s">
        <v>141</v>
      </c>
    </row>
    <row r="4738" spans="1:29" ht="25.5" customHeight="1" x14ac:dyDescent="0.35">
      <c r="A4738" s="188"/>
      <c r="B4738" s="190"/>
      <c r="C4738" s="99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0"/>
      <c r="E4738" s="78" t="str">
        <f>IF(C4738="","",IFERROR(VLOOKUP(C4738,parametros!$A$11:$E$15,5,0),""))</f>
        <v/>
      </c>
      <c r="F4738" s="79" t="str">
        <f t="shared" ref="F4738:F4801" si="372">IF(OR(D4738="",E4738=""),"",ROUND(D4738*E4738,2))</f>
        <v/>
      </c>
      <c r="G4738" s="101"/>
      <c r="H4738" s="91">
        <f t="shared" ref="H4738:H4801" si="373">IF(G4738="Sim",IF(OR(F4738="",D4738="",L4738=""),"",IF(L4738="Sim",ROUND(F4738-D4738,2),0)),0)</f>
        <v>0</v>
      </c>
      <c r="I4738" s="91" t="str">
        <f t="shared" ref="I4738:I4801" si="374">IF(G4738="Sim",0,IF(OR(F4738="",L4738=""),"",F4738))</f>
        <v/>
      </c>
      <c r="J4738" s="91" t="str">
        <f t="shared" ref="J4738:J4801" si="375">IF(G4738="Sim",0,IF(OR(F4738="",D4738="",L4738=""),"",IF(L4738="Sim",ROUND(F4738-D4738,2),0)))</f>
        <v/>
      </c>
      <c r="K4738" s="92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2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58"/>
      <c r="U4738" s="217" t="str">
        <f t="shared" ref="U4738:U4801" si="376">IF(OR($D4738="",$H4738=""),"",ROUND($D4738+$H4738,2))</f>
        <v/>
      </c>
      <c r="V4738" s="215" t="s">
        <v>47</v>
      </c>
      <c r="W4738" s="102" t="s">
        <v>136</v>
      </c>
      <c r="X4738" s="102" t="s">
        <v>137</v>
      </c>
      <c r="Y4738" s="103" t="s">
        <v>138</v>
      </c>
      <c r="Z4738" s="103" t="s">
        <v>139</v>
      </c>
      <c r="AA4738" s="103" t="s">
        <v>47</v>
      </c>
      <c r="AB4738" s="103" t="s">
        <v>140</v>
      </c>
      <c r="AC4738" s="104" t="s">
        <v>141</v>
      </c>
    </row>
    <row r="4739" spans="1:29" ht="25.5" customHeight="1" x14ac:dyDescent="0.35">
      <c r="A4739" s="188"/>
      <c r="B4739" s="190"/>
      <c r="C4739" s="99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0"/>
      <c r="E4739" s="78" t="str">
        <f>IF(C4739="","",IFERROR(VLOOKUP(C4739,parametros!$A$11:$E$15,5,0),""))</f>
        <v/>
      </c>
      <c r="F4739" s="79" t="str">
        <f t="shared" si="372"/>
        <v/>
      </c>
      <c r="G4739" s="101"/>
      <c r="H4739" s="91">
        <f t="shared" si="373"/>
        <v>0</v>
      </c>
      <c r="I4739" s="91" t="str">
        <f t="shared" si="374"/>
        <v/>
      </c>
      <c r="J4739" s="91" t="str">
        <f t="shared" si="375"/>
        <v/>
      </c>
      <c r="K4739" s="92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2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58"/>
      <c r="U4739" s="217" t="str">
        <f t="shared" si="376"/>
        <v/>
      </c>
      <c r="V4739" s="215" t="s">
        <v>47</v>
      </c>
      <c r="W4739" s="102" t="s">
        <v>136</v>
      </c>
      <c r="X4739" s="102" t="s">
        <v>137</v>
      </c>
      <c r="Y4739" s="103" t="s">
        <v>138</v>
      </c>
      <c r="Z4739" s="103" t="s">
        <v>139</v>
      </c>
      <c r="AA4739" s="103" t="s">
        <v>47</v>
      </c>
      <c r="AB4739" s="103" t="s">
        <v>140</v>
      </c>
      <c r="AC4739" s="104" t="s">
        <v>141</v>
      </c>
    </row>
    <row r="4740" spans="1:29" ht="25.5" customHeight="1" x14ac:dyDescent="0.35">
      <c r="A4740" s="188"/>
      <c r="B4740" s="190"/>
      <c r="C4740" s="99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0"/>
      <c r="E4740" s="78" t="str">
        <f>IF(C4740="","",IFERROR(VLOOKUP(C4740,parametros!$A$11:$E$15,5,0),""))</f>
        <v/>
      </c>
      <c r="F4740" s="79" t="str">
        <f t="shared" si="372"/>
        <v/>
      </c>
      <c r="G4740" s="101"/>
      <c r="H4740" s="91">
        <f t="shared" si="373"/>
        <v>0</v>
      </c>
      <c r="I4740" s="91" t="str">
        <f t="shared" si="374"/>
        <v/>
      </c>
      <c r="J4740" s="91" t="str">
        <f t="shared" si="375"/>
        <v/>
      </c>
      <c r="K4740" s="92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2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58"/>
      <c r="U4740" s="217" t="str">
        <f t="shared" si="376"/>
        <v/>
      </c>
      <c r="V4740" s="215" t="s">
        <v>47</v>
      </c>
      <c r="W4740" s="102" t="s">
        <v>136</v>
      </c>
      <c r="X4740" s="102" t="s">
        <v>137</v>
      </c>
      <c r="Y4740" s="103" t="s">
        <v>138</v>
      </c>
      <c r="Z4740" s="103" t="s">
        <v>139</v>
      </c>
      <c r="AA4740" s="103" t="s">
        <v>47</v>
      </c>
      <c r="AB4740" s="103" t="s">
        <v>140</v>
      </c>
      <c r="AC4740" s="104" t="s">
        <v>141</v>
      </c>
    </row>
    <row r="4741" spans="1:29" ht="25.5" customHeight="1" x14ac:dyDescent="0.35">
      <c r="A4741" s="188"/>
      <c r="B4741" s="190"/>
      <c r="C4741" s="99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0"/>
      <c r="E4741" s="78" t="str">
        <f>IF(C4741="","",IFERROR(VLOOKUP(C4741,parametros!$A$11:$E$15,5,0),""))</f>
        <v/>
      </c>
      <c r="F4741" s="79" t="str">
        <f t="shared" si="372"/>
        <v/>
      </c>
      <c r="G4741" s="101"/>
      <c r="H4741" s="91">
        <f t="shared" si="373"/>
        <v>0</v>
      </c>
      <c r="I4741" s="91" t="str">
        <f t="shared" si="374"/>
        <v/>
      </c>
      <c r="J4741" s="91" t="str">
        <f t="shared" si="375"/>
        <v/>
      </c>
      <c r="K4741" s="92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2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58"/>
      <c r="U4741" s="217" t="str">
        <f t="shared" si="376"/>
        <v/>
      </c>
      <c r="V4741" s="215" t="s">
        <v>47</v>
      </c>
      <c r="W4741" s="102" t="s">
        <v>136</v>
      </c>
      <c r="X4741" s="102" t="s">
        <v>137</v>
      </c>
      <c r="Y4741" s="103" t="s">
        <v>138</v>
      </c>
      <c r="Z4741" s="103" t="s">
        <v>139</v>
      </c>
      <c r="AA4741" s="103" t="s">
        <v>47</v>
      </c>
      <c r="AB4741" s="103" t="s">
        <v>140</v>
      </c>
      <c r="AC4741" s="104" t="s">
        <v>141</v>
      </c>
    </row>
    <row r="4742" spans="1:29" ht="25.5" customHeight="1" x14ac:dyDescent="0.35">
      <c r="A4742" s="188"/>
      <c r="B4742" s="190"/>
      <c r="C4742" s="99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0"/>
      <c r="E4742" s="78" t="str">
        <f>IF(C4742="","",IFERROR(VLOOKUP(C4742,parametros!$A$11:$E$15,5,0),""))</f>
        <v/>
      </c>
      <c r="F4742" s="79" t="str">
        <f t="shared" si="372"/>
        <v/>
      </c>
      <c r="G4742" s="101"/>
      <c r="H4742" s="91">
        <f t="shared" si="373"/>
        <v>0</v>
      </c>
      <c r="I4742" s="91" t="str">
        <f t="shared" si="374"/>
        <v/>
      </c>
      <c r="J4742" s="91" t="str">
        <f t="shared" si="375"/>
        <v/>
      </c>
      <c r="K4742" s="92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2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58"/>
      <c r="U4742" s="217" t="str">
        <f t="shared" si="376"/>
        <v/>
      </c>
      <c r="V4742" s="215" t="s">
        <v>47</v>
      </c>
      <c r="W4742" s="102" t="s">
        <v>136</v>
      </c>
      <c r="X4742" s="102" t="s">
        <v>137</v>
      </c>
      <c r="Y4742" s="103" t="s">
        <v>138</v>
      </c>
      <c r="Z4742" s="103" t="s">
        <v>139</v>
      </c>
      <c r="AA4742" s="103" t="s">
        <v>47</v>
      </c>
      <c r="AB4742" s="103" t="s">
        <v>140</v>
      </c>
      <c r="AC4742" s="104" t="s">
        <v>141</v>
      </c>
    </row>
    <row r="4743" spans="1:29" ht="25.5" customHeight="1" x14ac:dyDescent="0.35">
      <c r="A4743" s="188"/>
      <c r="B4743" s="190"/>
      <c r="C4743" s="99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0"/>
      <c r="E4743" s="78" t="str">
        <f>IF(C4743="","",IFERROR(VLOOKUP(C4743,parametros!$A$11:$E$15,5,0),""))</f>
        <v/>
      </c>
      <c r="F4743" s="79" t="str">
        <f t="shared" si="372"/>
        <v/>
      </c>
      <c r="G4743" s="101"/>
      <c r="H4743" s="91">
        <f t="shared" si="373"/>
        <v>0</v>
      </c>
      <c r="I4743" s="91" t="str">
        <f t="shared" si="374"/>
        <v/>
      </c>
      <c r="J4743" s="91" t="str">
        <f t="shared" si="375"/>
        <v/>
      </c>
      <c r="K4743" s="92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2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58"/>
      <c r="U4743" s="217" t="str">
        <f t="shared" si="376"/>
        <v/>
      </c>
      <c r="V4743" s="215" t="s">
        <v>47</v>
      </c>
      <c r="W4743" s="102" t="s">
        <v>136</v>
      </c>
      <c r="X4743" s="102" t="s">
        <v>137</v>
      </c>
      <c r="Y4743" s="103" t="s">
        <v>138</v>
      </c>
      <c r="Z4743" s="103" t="s">
        <v>139</v>
      </c>
      <c r="AA4743" s="103" t="s">
        <v>47</v>
      </c>
      <c r="AB4743" s="103" t="s">
        <v>140</v>
      </c>
      <c r="AC4743" s="104" t="s">
        <v>141</v>
      </c>
    </row>
    <row r="4744" spans="1:29" ht="25.5" customHeight="1" x14ac:dyDescent="0.35">
      <c r="A4744" s="188"/>
      <c r="B4744" s="190"/>
      <c r="C4744" s="99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0"/>
      <c r="E4744" s="78" t="str">
        <f>IF(C4744="","",IFERROR(VLOOKUP(C4744,parametros!$A$11:$E$15,5,0),""))</f>
        <v/>
      </c>
      <c r="F4744" s="79" t="str">
        <f t="shared" si="372"/>
        <v/>
      </c>
      <c r="G4744" s="101"/>
      <c r="H4744" s="91">
        <f t="shared" si="373"/>
        <v>0</v>
      </c>
      <c r="I4744" s="91" t="str">
        <f t="shared" si="374"/>
        <v/>
      </c>
      <c r="J4744" s="91" t="str">
        <f t="shared" si="375"/>
        <v/>
      </c>
      <c r="K4744" s="92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2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58"/>
      <c r="U4744" s="217" t="str">
        <f t="shared" si="376"/>
        <v/>
      </c>
      <c r="V4744" s="215" t="s">
        <v>47</v>
      </c>
      <c r="W4744" s="102" t="s">
        <v>136</v>
      </c>
      <c r="X4744" s="102" t="s">
        <v>137</v>
      </c>
      <c r="Y4744" s="103" t="s">
        <v>138</v>
      </c>
      <c r="Z4744" s="103" t="s">
        <v>139</v>
      </c>
      <c r="AA4744" s="103" t="s">
        <v>47</v>
      </c>
      <c r="AB4744" s="103" t="s">
        <v>140</v>
      </c>
      <c r="AC4744" s="104" t="s">
        <v>141</v>
      </c>
    </row>
    <row r="4745" spans="1:29" ht="25.5" customHeight="1" x14ac:dyDescent="0.35">
      <c r="A4745" s="188"/>
      <c r="B4745" s="190"/>
      <c r="C4745" s="99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0"/>
      <c r="E4745" s="78" t="str">
        <f>IF(C4745="","",IFERROR(VLOOKUP(C4745,parametros!$A$11:$E$15,5,0),""))</f>
        <v/>
      </c>
      <c r="F4745" s="79" t="str">
        <f t="shared" si="372"/>
        <v/>
      </c>
      <c r="G4745" s="101"/>
      <c r="H4745" s="91">
        <f t="shared" si="373"/>
        <v>0</v>
      </c>
      <c r="I4745" s="91" t="str">
        <f t="shared" si="374"/>
        <v/>
      </c>
      <c r="J4745" s="91" t="str">
        <f t="shared" si="375"/>
        <v/>
      </c>
      <c r="K4745" s="92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2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58"/>
      <c r="U4745" s="217" t="str">
        <f t="shared" si="376"/>
        <v/>
      </c>
      <c r="V4745" s="215" t="s">
        <v>47</v>
      </c>
      <c r="W4745" s="102" t="s">
        <v>136</v>
      </c>
      <c r="X4745" s="102" t="s">
        <v>137</v>
      </c>
      <c r="Y4745" s="103" t="s">
        <v>138</v>
      </c>
      <c r="Z4745" s="103" t="s">
        <v>139</v>
      </c>
      <c r="AA4745" s="103" t="s">
        <v>47</v>
      </c>
      <c r="AB4745" s="103" t="s">
        <v>140</v>
      </c>
      <c r="AC4745" s="104" t="s">
        <v>141</v>
      </c>
    </row>
    <row r="4746" spans="1:29" ht="25.5" customHeight="1" x14ac:dyDescent="0.35">
      <c r="A4746" s="188"/>
      <c r="B4746" s="190"/>
      <c r="C4746" s="99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0"/>
      <c r="E4746" s="78" t="str">
        <f>IF(C4746="","",IFERROR(VLOOKUP(C4746,parametros!$A$11:$E$15,5,0),""))</f>
        <v/>
      </c>
      <c r="F4746" s="79" t="str">
        <f t="shared" si="372"/>
        <v/>
      </c>
      <c r="G4746" s="101"/>
      <c r="H4746" s="91">
        <f t="shared" si="373"/>
        <v>0</v>
      </c>
      <c r="I4746" s="91" t="str">
        <f t="shared" si="374"/>
        <v/>
      </c>
      <c r="J4746" s="91" t="str">
        <f t="shared" si="375"/>
        <v/>
      </c>
      <c r="K4746" s="92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2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58"/>
      <c r="U4746" s="217" t="str">
        <f t="shared" si="376"/>
        <v/>
      </c>
      <c r="V4746" s="215" t="s">
        <v>47</v>
      </c>
      <c r="W4746" s="102" t="s">
        <v>136</v>
      </c>
      <c r="X4746" s="102" t="s">
        <v>137</v>
      </c>
      <c r="Y4746" s="103" t="s">
        <v>138</v>
      </c>
      <c r="Z4746" s="103" t="s">
        <v>139</v>
      </c>
      <c r="AA4746" s="103" t="s">
        <v>47</v>
      </c>
      <c r="AB4746" s="103" t="s">
        <v>140</v>
      </c>
      <c r="AC4746" s="104" t="s">
        <v>141</v>
      </c>
    </row>
    <row r="4747" spans="1:29" ht="25.5" customHeight="1" x14ac:dyDescent="0.35">
      <c r="A4747" s="188"/>
      <c r="B4747" s="190"/>
      <c r="C4747" s="99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0"/>
      <c r="E4747" s="78" t="str">
        <f>IF(C4747="","",IFERROR(VLOOKUP(C4747,parametros!$A$11:$E$15,5,0),""))</f>
        <v/>
      </c>
      <c r="F4747" s="79" t="str">
        <f t="shared" si="372"/>
        <v/>
      </c>
      <c r="G4747" s="101"/>
      <c r="H4747" s="91">
        <f t="shared" si="373"/>
        <v>0</v>
      </c>
      <c r="I4747" s="91" t="str">
        <f t="shared" si="374"/>
        <v/>
      </c>
      <c r="J4747" s="91" t="str">
        <f t="shared" si="375"/>
        <v/>
      </c>
      <c r="K4747" s="92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2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58"/>
      <c r="U4747" s="217" t="str">
        <f t="shared" si="376"/>
        <v/>
      </c>
      <c r="V4747" s="215" t="s">
        <v>47</v>
      </c>
      <c r="W4747" s="102" t="s">
        <v>136</v>
      </c>
      <c r="X4747" s="102" t="s">
        <v>137</v>
      </c>
      <c r="Y4747" s="103" t="s">
        <v>138</v>
      </c>
      <c r="Z4747" s="103" t="s">
        <v>139</v>
      </c>
      <c r="AA4747" s="103" t="s">
        <v>47</v>
      </c>
      <c r="AB4747" s="103" t="s">
        <v>140</v>
      </c>
      <c r="AC4747" s="104" t="s">
        <v>141</v>
      </c>
    </row>
    <row r="4748" spans="1:29" ht="25.5" customHeight="1" x14ac:dyDescent="0.35">
      <c r="A4748" s="188"/>
      <c r="B4748" s="190"/>
      <c r="C4748" s="99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0"/>
      <c r="E4748" s="78" t="str">
        <f>IF(C4748="","",IFERROR(VLOOKUP(C4748,parametros!$A$11:$E$15,5,0),""))</f>
        <v/>
      </c>
      <c r="F4748" s="79" t="str">
        <f t="shared" si="372"/>
        <v/>
      </c>
      <c r="G4748" s="101"/>
      <c r="H4748" s="91">
        <f t="shared" si="373"/>
        <v>0</v>
      </c>
      <c r="I4748" s="91" t="str">
        <f t="shared" si="374"/>
        <v/>
      </c>
      <c r="J4748" s="91" t="str">
        <f t="shared" si="375"/>
        <v/>
      </c>
      <c r="K4748" s="92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2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58"/>
      <c r="U4748" s="217" t="str">
        <f t="shared" si="376"/>
        <v/>
      </c>
      <c r="V4748" s="215" t="s">
        <v>47</v>
      </c>
      <c r="W4748" s="102" t="s">
        <v>136</v>
      </c>
      <c r="X4748" s="102" t="s">
        <v>137</v>
      </c>
      <c r="Y4748" s="103" t="s">
        <v>138</v>
      </c>
      <c r="Z4748" s="103" t="s">
        <v>139</v>
      </c>
      <c r="AA4748" s="103" t="s">
        <v>47</v>
      </c>
      <c r="AB4748" s="103" t="s">
        <v>140</v>
      </c>
      <c r="AC4748" s="104" t="s">
        <v>141</v>
      </c>
    </row>
    <row r="4749" spans="1:29" ht="25.5" customHeight="1" x14ac:dyDescent="0.35">
      <c r="A4749" s="188"/>
      <c r="B4749" s="190"/>
      <c r="C4749" s="99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0"/>
      <c r="E4749" s="78" t="str">
        <f>IF(C4749="","",IFERROR(VLOOKUP(C4749,parametros!$A$11:$E$15,5,0),""))</f>
        <v/>
      </c>
      <c r="F4749" s="79" t="str">
        <f t="shared" si="372"/>
        <v/>
      </c>
      <c r="G4749" s="101"/>
      <c r="H4749" s="91">
        <f t="shared" si="373"/>
        <v>0</v>
      </c>
      <c r="I4749" s="91" t="str">
        <f t="shared" si="374"/>
        <v/>
      </c>
      <c r="J4749" s="91" t="str">
        <f t="shared" si="375"/>
        <v/>
      </c>
      <c r="K4749" s="92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2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58"/>
      <c r="U4749" s="217" t="str">
        <f t="shared" si="376"/>
        <v/>
      </c>
      <c r="V4749" s="215" t="s">
        <v>47</v>
      </c>
      <c r="W4749" s="102" t="s">
        <v>136</v>
      </c>
      <c r="X4749" s="102" t="s">
        <v>137</v>
      </c>
      <c r="Y4749" s="103" t="s">
        <v>138</v>
      </c>
      <c r="Z4749" s="103" t="s">
        <v>139</v>
      </c>
      <c r="AA4749" s="103" t="s">
        <v>47</v>
      </c>
      <c r="AB4749" s="103" t="s">
        <v>140</v>
      </c>
      <c r="AC4749" s="104" t="s">
        <v>141</v>
      </c>
    </row>
    <row r="4750" spans="1:29" ht="25.5" customHeight="1" x14ac:dyDescent="0.35">
      <c r="A4750" s="188"/>
      <c r="B4750" s="190"/>
      <c r="C4750" s="99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0"/>
      <c r="E4750" s="78" t="str">
        <f>IF(C4750="","",IFERROR(VLOOKUP(C4750,parametros!$A$11:$E$15,5,0),""))</f>
        <v/>
      </c>
      <c r="F4750" s="79" t="str">
        <f t="shared" si="372"/>
        <v/>
      </c>
      <c r="G4750" s="101"/>
      <c r="H4750" s="91">
        <f t="shared" si="373"/>
        <v>0</v>
      </c>
      <c r="I4750" s="91" t="str">
        <f t="shared" si="374"/>
        <v/>
      </c>
      <c r="J4750" s="91" t="str">
        <f t="shared" si="375"/>
        <v/>
      </c>
      <c r="K4750" s="92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2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58"/>
      <c r="U4750" s="217" t="str">
        <f t="shared" si="376"/>
        <v/>
      </c>
      <c r="V4750" s="215" t="s">
        <v>47</v>
      </c>
      <c r="W4750" s="102" t="s">
        <v>136</v>
      </c>
      <c r="X4750" s="102" t="s">
        <v>137</v>
      </c>
      <c r="Y4750" s="103" t="s">
        <v>138</v>
      </c>
      <c r="Z4750" s="103" t="s">
        <v>139</v>
      </c>
      <c r="AA4750" s="103" t="s">
        <v>47</v>
      </c>
      <c r="AB4750" s="103" t="s">
        <v>140</v>
      </c>
      <c r="AC4750" s="104" t="s">
        <v>141</v>
      </c>
    </row>
    <row r="4751" spans="1:29" ht="25.5" customHeight="1" x14ac:dyDescent="0.35">
      <c r="A4751" s="188"/>
      <c r="B4751" s="190"/>
      <c r="C4751" s="99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0"/>
      <c r="E4751" s="78" t="str">
        <f>IF(C4751="","",IFERROR(VLOOKUP(C4751,parametros!$A$11:$E$15,5,0),""))</f>
        <v/>
      </c>
      <c r="F4751" s="79" t="str">
        <f t="shared" si="372"/>
        <v/>
      </c>
      <c r="G4751" s="101"/>
      <c r="H4751" s="91">
        <f t="shared" si="373"/>
        <v>0</v>
      </c>
      <c r="I4751" s="91" t="str">
        <f t="shared" si="374"/>
        <v/>
      </c>
      <c r="J4751" s="91" t="str">
        <f t="shared" si="375"/>
        <v/>
      </c>
      <c r="K4751" s="92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2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58"/>
      <c r="U4751" s="217" t="str">
        <f t="shared" si="376"/>
        <v/>
      </c>
      <c r="V4751" s="215" t="s">
        <v>47</v>
      </c>
      <c r="W4751" s="102" t="s">
        <v>136</v>
      </c>
      <c r="X4751" s="102" t="s">
        <v>137</v>
      </c>
      <c r="Y4751" s="103" t="s">
        <v>138</v>
      </c>
      <c r="Z4751" s="103" t="s">
        <v>139</v>
      </c>
      <c r="AA4751" s="103" t="s">
        <v>47</v>
      </c>
      <c r="AB4751" s="103" t="s">
        <v>140</v>
      </c>
      <c r="AC4751" s="104" t="s">
        <v>141</v>
      </c>
    </row>
    <row r="4752" spans="1:29" ht="25.5" customHeight="1" x14ac:dyDescent="0.35">
      <c r="A4752" s="188"/>
      <c r="B4752" s="190"/>
      <c r="C4752" s="99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0"/>
      <c r="E4752" s="78" t="str">
        <f>IF(C4752="","",IFERROR(VLOOKUP(C4752,parametros!$A$11:$E$15,5,0),""))</f>
        <v/>
      </c>
      <c r="F4752" s="79" t="str">
        <f t="shared" si="372"/>
        <v/>
      </c>
      <c r="G4752" s="101"/>
      <c r="H4752" s="91">
        <f t="shared" si="373"/>
        <v>0</v>
      </c>
      <c r="I4752" s="91" t="str">
        <f t="shared" si="374"/>
        <v/>
      </c>
      <c r="J4752" s="91" t="str">
        <f t="shared" si="375"/>
        <v/>
      </c>
      <c r="K4752" s="92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2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58"/>
      <c r="U4752" s="217" t="str">
        <f t="shared" si="376"/>
        <v/>
      </c>
      <c r="V4752" s="215" t="s">
        <v>47</v>
      </c>
      <c r="W4752" s="102" t="s">
        <v>136</v>
      </c>
      <c r="X4752" s="102" t="s">
        <v>137</v>
      </c>
      <c r="Y4752" s="103" t="s">
        <v>138</v>
      </c>
      <c r="Z4752" s="103" t="s">
        <v>139</v>
      </c>
      <c r="AA4752" s="103" t="s">
        <v>47</v>
      </c>
      <c r="AB4752" s="103" t="s">
        <v>140</v>
      </c>
      <c r="AC4752" s="104" t="s">
        <v>141</v>
      </c>
    </row>
    <row r="4753" spans="1:29" ht="25.5" customHeight="1" x14ac:dyDescent="0.35">
      <c r="A4753" s="188"/>
      <c r="B4753" s="190"/>
      <c r="C4753" s="99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0"/>
      <c r="E4753" s="78" t="str">
        <f>IF(C4753="","",IFERROR(VLOOKUP(C4753,parametros!$A$11:$E$15,5,0),""))</f>
        <v/>
      </c>
      <c r="F4753" s="79" t="str">
        <f t="shared" si="372"/>
        <v/>
      </c>
      <c r="G4753" s="101"/>
      <c r="H4753" s="91">
        <f t="shared" si="373"/>
        <v>0</v>
      </c>
      <c r="I4753" s="91" t="str">
        <f t="shared" si="374"/>
        <v/>
      </c>
      <c r="J4753" s="91" t="str">
        <f t="shared" si="375"/>
        <v/>
      </c>
      <c r="K4753" s="92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2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58"/>
      <c r="U4753" s="217" t="str">
        <f t="shared" si="376"/>
        <v/>
      </c>
      <c r="V4753" s="215" t="s">
        <v>47</v>
      </c>
      <c r="W4753" s="102" t="s">
        <v>136</v>
      </c>
      <c r="X4753" s="102" t="s">
        <v>137</v>
      </c>
      <c r="Y4753" s="103" t="s">
        <v>138</v>
      </c>
      <c r="Z4753" s="103" t="s">
        <v>139</v>
      </c>
      <c r="AA4753" s="103" t="s">
        <v>47</v>
      </c>
      <c r="AB4753" s="103" t="s">
        <v>140</v>
      </c>
      <c r="AC4753" s="104" t="s">
        <v>141</v>
      </c>
    </row>
    <row r="4754" spans="1:29" ht="25.5" customHeight="1" x14ac:dyDescent="0.35">
      <c r="A4754" s="188"/>
      <c r="B4754" s="190"/>
      <c r="C4754" s="99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0"/>
      <c r="E4754" s="78" t="str">
        <f>IF(C4754="","",IFERROR(VLOOKUP(C4754,parametros!$A$11:$E$15,5,0),""))</f>
        <v/>
      </c>
      <c r="F4754" s="79" t="str">
        <f t="shared" si="372"/>
        <v/>
      </c>
      <c r="G4754" s="101"/>
      <c r="H4754" s="91">
        <f t="shared" si="373"/>
        <v>0</v>
      </c>
      <c r="I4754" s="91" t="str">
        <f t="shared" si="374"/>
        <v/>
      </c>
      <c r="J4754" s="91" t="str">
        <f t="shared" si="375"/>
        <v/>
      </c>
      <c r="K4754" s="92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2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58"/>
      <c r="U4754" s="217" t="str">
        <f t="shared" si="376"/>
        <v/>
      </c>
      <c r="V4754" s="215" t="s">
        <v>47</v>
      </c>
      <c r="W4754" s="102" t="s">
        <v>136</v>
      </c>
      <c r="X4754" s="102" t="s">
        <v>137</v>
      </c>
      <c r="Y4754" s="103" t="s">
        <v>138</v>
      </c>
      <c r="Z4754" s="103" t="s">
        <v>139</v>
      </c>
      <c r="AA4754" s="103" t="s">
        <v>47</v>
      </c>
      <c r="AB4754" s="103" t="s">
        <v>140</v>
      </c>
      <c r="AC4754" s="104" t="s">
        <v>141</v>
      </c>
    </row>
    <row r="4755" spans="1:29" ht="25.5" customHeight="1" x14ac:dyDescent="0.35">
      <c r="A4755" s="188"/>
      <c r="B4755" s="190"/>
      <c r="C4755" s="99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0"/>
      <c r="E4755" s="78" t="str">
        <f>IF(C4755="","",IFERROR(VLOOKUP(C4755,parametros!$A$11:$E$15,5,0),""))</f>
        <v/>
      </c>
      <c r="F4755" s="79" t="str">
        <f t="shared" si="372"/>
        <v/>
      </c>
      <c r="G4755" s="101"/>
      <c r="H4755" s="91">
        <f t="shared" si="373"/>
        <v>0</v>
      </c>
      <c r="I4755" s="91" t="str">
        <f t="shared" si="374"/>
        <v/>
      </c>
      <c r="J4755" s="91" t="str">
        <f t="shared" si="375"/>
        <v/>
      </c>
      <c r="K4755" s="92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2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58"/>
      <c r="U4755" s="217" t="str">
        <f t="shared" si="376"/>
        <v/>
      </c>
      <c r="V4755" s="215" t="s">
        <v>47</v>
      </c>
      <c r="W4755" s="102" t="s">
        <v>136</v>
      </c>
      <c r="X4755" s="102" t="s">
        <v>137</v>
      </c>
      <c r="Y4755" s="103" t="s">
        <v>138</v>
      </c>
      <c r="Z4755" s="103" t="s">
        <v>139</v>
      </c>
      <c r="AA4755" s="103" t="s">
        <v>47</v>
      </c>
      <c r="AB4755" s="103" t="s">
        <v>140</v>
      </c>
      <c r="AC4755" s="104" t="s">
        <v>141</v>
      </c>
    </row>
    <row r="4756" spans="1:29" ht="25.5" customHeight="1" x14ac:dyDescent="0.35">
      <c r="A4756" s="188"/>
      <c r="B4756" s="190"/>
      <c r="C4756" s="99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0"/>
      <c r="E4756" s="78" t="str">
        <f>IF(C4756="","",IFERROR(VLOOKUP(C4756,parametros!$A$11:$E$15,5,0),""))</f>
        <v/>
      </c>
      <c r="F4756" s="79" t="str">
        <f t="shared" si="372"/>
        <v/>
      </c>
      <c r="G4756" s="101"/>
      <c r="H4756" s="91">
        <f t="shared" si="373"/>
        <v>0</v>
      </c>
      <c r="I4756" s="91" t="str">
        <f t="shared" si="374"/>
        <v/>
      </c>
      <c r="J4756" s="91" t="str">
        <f t="shared" si="375"/>
        <v/>
      </c>
      <c r="K4756" s="92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2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58"/>
      <c r="U4756" s="217" t="str">
        <f t="shared" si="376"/>
        <v/>
      </c>
      <c r="V4756" s="215" t="s">
        <v>47</v>
      </c>
      <c r="W4756" s="102" t="s">
        <v>136</v>
      </c>
      <c r="X4756" s="102" t="s">
        <v>137</v>
      </c>
      <c r="Y4756" s="103" t="s">
        <v>138</v>
      </c>
      <c r="Z4756" s="103" t="s">
        <v>139</v>
      </c>
      <c r="AA4756" s="103" t="s">
        <v>47</v>
      </c>
      <c r="AB4756" s="103" t="s">
        <v>140</v>
      </c>
      <c r="AC4756" s="104" t="s">
        <v>141</v>
      </c>
    </row>
    <row r="4757" spans="1:29" ht="25.5" customHeight="1" x14ac:dyDescent="0.35">
      <c r="A4757" s="188"/>
      <c r="B4757" s="190"/>
      <c r="C4757" s="99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0"/>
      <c r="E4757" s="78" t="str">
        <f>IF(C4757="","",IFERROR(VLOOKUP(C4757,parametros!$A$11:$E$15,5,0),""))</f>
        <v/>
      </c>
      <c r="F4757" s="79" t="str">
        <f t="shared" si="372"/>
        <v/>
      </c>
      <c r="G4757" s="101"/>
      <c r="H4757" s="91">
        <f t="shared" si="373"/>
        <v>0</v>
      </c>
      <c r="I4757" s="91" t="str">
        <f t="shared" si="374"/>
        <v/>
      </c>
      <c r="J4757" s="91" t="str">
        <f t="shared" si="375"/>
        <v/>
      </c>
      <c r="K4757" s="92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2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58"/>
      <c r="U4757" s="217" t="str">
        <f t="shared" si="376"/>
        <v/>
      </c>
      <c r="V4757" s="215" t="s">
        <v>47</v>
      </c>
      <c r="W4757" s="102" t="s">
        <v>136</v>
      </c>
      <c r="X4757" s="102" t="s">
        <v>137</v>
      </c>
      <c r="Y4757" s="103" t="s">
        <v>138</v>
      </c>
      <c r="Z4757" s="103" t="s">
        <v>139</v>
      </c>
      <c r="AA4757" s="103" t="s">
        <v>47</v>
      </c>
      <c r="AB4757" s="103" t="s">
        <v>140</v>
      </c>
      <c r="AC4757" s="104" t="s">
        <v>141</v>
      </c>
    </row>
    <row r="4758" spans="1:29" ht="25.5" customHeight="1" x14ac:dyDescent="0.35">
      <c r="A4758" s="188"/>
      <c r="B4758" s="190"/>
      <c r="C4758" s="99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0"/>
      <c r="E4758" s="78" t="str">
        <f>IF(C4758="","",IFERROR(VLOOKUP(C4758,parametros!$A$11:$E$15,5,0),""))</f>
        <v/>
      </c>
      <c r="F4758" s="79" t="str">
        <f t="shared" si="372"/>
        <v/>
      </c>
      <c r="G4758" s="101"/>
      <c r="H4758" s="91">
        <f t="shared" si="373"/>
        <v>0</v>
      </c>
      <c r="I4758" s="91" t="str">
        <f t="shared" si="374"/>
        <v/>
      </c>
      <c r="J4758" s="91" t="str">
        <f t="shared" si="375"/>
        <v/>
      </c>
      <c r="K4758" s="92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2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58"/>
      <c r="U4758" s="217" t="str">
        <f t="shared" si="376"/>
        <v/>
      </c>
      <c r="V4758" s="215" t="s">
        <v>47</v>
      </c>
      <c r="W4758" s="102" t="s">
        <v>136</v>
      </c>
      <c r="X4758" s="102" t="s">
        <v>137</v>
      </c>
      <c r="Y4758" s="103" t="s">
        <v>138</v>
      </c>
      <c r="Z4758" s="103" t="s">
        <v>139</v>
      </c>
      <c r="AA4758" s="103" t="s">
        <v>47</v>
      </c>
      <c r="AB4758" s="103" t="s">
        <v>140</v>
      </c>
      <c r="AC4758" s="104" t="s">
        <v>141</v>
      </c>
    </row>
    <row r="4759" spans="1:29" ht="25.5" customHeight="1" x14ac:dyDescent="0.35">
      <c r="A4759" s="188"/>
      <c r="B4759" s="190"/>
      <c r="C4759" s="99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0"/>
      <c r="E4759" s="78" t="str">
        <f>IF(C4759="","",IFERROR(VLOOKUP(C4759,parametros!$A$11:$E$15,5,0),""))</f>
        <v/>
      </c>
      <c r="F4759" s="79" t="str">
        <f t="shared" si="372"/>
        <v/>
      </c>
      <c r="G4759" s="101"/>
      <c r="H4759" s="91">
        <f t="shared" si="373"/>
        <v>0</v>
      </c>
      <c r="I4759" s="91" t="str">
        <f t="shared" si="374"/>
        <v/>
      </c>
      <c r="J4759" s="91" t="str">
        <f t="shared" si="375"/>
        <v/>
      </c>
      <c r="K4759" s="92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2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58"/>
      <c r="U4759" s="217" t="str">
        <f t="shared" si="376"/>
        <v/>
      </c>
      <c r="V4759" s="215" t="s">
        <v>47</v>
      </c>
      <c r="W4759" s="102" t="s">
        <v>136</v>
      </c>
      <c r="X4759" s="102" t="s">
        <v>137</v>
      </c>
      <c r="Y4759" s="103" t="s">
        <v>138</v>
      </c>
      <c r="Z4759" s="103" t="s">
        <v>139</v>
      </c>
      <c r="AA4759" s="103" t="s">
        <v>47</v>
      </c>
      <c r="AB4759" s="103" t="s">
        <v>140</v>
      </c>
      <c r="AC4759" s="104" t="s">
        <v>141</v>
      </c>
    </row>
    <row r="4760" spans="1:29" ht="25.5" customHeight="1" x14ac:dyDescent="0.35">
      <c r="A4760" s="188"/>
      <c r="B4760" s="190"/>
      <c r="C4760" s="99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0"/>
      <c r="E4760" s="78" t="str">
        <f>IF(C4760="","",IFERROR(VLOOKUP(C4760,parametros!$A$11:$E$15,5,0),""))</f>
        <v/>
      </c>
      <c r="F4760" s="79" t="str">
        <f t="shared" si="372"/>
        <v/>
      </c>
      <c r="G4760" s="101"/>
      <c r="H4760" s="91">
        <f t="shared" si="373"/>
        <v>0</v>
      </c>
      <c r="I4760" s="91" t="str">
        <f t="shared" si="374"/>
        <v/>
      </c>
      <c r="J4760" s="91" t="str">
        <f t="shared" si="375"/>
        <v/>
      </c>
      <c r="K4760" s="92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2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58"/>
      <c r="U4760" s="217" t="str">
        <f t="shared" si="376"/>
        <v/>
      </c>
      <c r="V4760" s="215" t="s">
        <v>47</v>
      </c>
      <c r="W4760" s="102" t="s">
        <v>136</v>
      </c>
      <c r="X4760" s="102" t="s">
        <v>137</v>
      </c>
      <c r="Y4760" s="103" t="s">
        <v>138</v>
      </c>
      <c r="Z4760" s="103" t="s">
        <v>139</v>
      </c>
      <c r="AA4760" s="103" t="s">
        <v>47</v>
      </c>
      <c r="AB4760" s="103" t="s">
        <v>140</v>
      </c>
      <c r="AC4760" s="104" t="s">
        <v>141</v>
      </c>
    </row>
    <row r="4761" spans="1:29" ht="25.5" customHeight="1" x14ac:dyDescent="0.35">
      <c r="A4761" s="188"/>
      <c r="B4761" s="190"/>
      <c r="C4761" s="99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0"/>
      <c r="E4761" s="78" t="str">
        <f>IF(C4761="","",IFERROR(VLOOKUP(C4761,parametros!$A$11:$E$15,5,0),""))</f>
        <v/>
      </c>
      <c r="F4761" s="79" t="str">
        <f t="shared" si="372"/>
        <v/>
      </c>
      <c r="G4761" s="101"/>
      <c r="H4761" s="91">
        <f t="shared" si="373"/>
        <v>0</v>
      </c>
      <c r="I4761" s="91" t="str">
        <f t="shared" si="374"/>
        <v/>
      </c>
      <c r="J4761" s="91" t="str">
        <f t="shared" si="375"/>
        <v/>
      </c>
      <c r="K4761" s="92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2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58"/>
      <c r="U4761" s="217" t="str">
        <f t="shared" si="376"/>
        <v/>
      </c>
      <c r="V4761" s="215" t="s">
        <v>47</v>
      </c>
      <c r="W4761" s="102" t="s">
        <v>136</v>
      </c>
      <c r="X4761" s="102" t="s">
        <v>137</v>
      </c>
      <c r="Y4761" s="103" t="s">
        <v>138</v>
      </c>
      <c r="Z4761" s="103" t="s">
        <v>139</v>
      </c>
      <c r="AA4761" s="103" t="s">
        <v>47</v>
      </c>
      <c r="AB4761" s="103" t="s">
        <v>140</v>
      </c>
      <c r="AC4761" s="104" t="s">
        <v>141</v>
      </c>
    </row>
    <row r="4762" spans="1:29" ht="25.5" customHeight="1" x14ac:dyDescent="0.35">
      <c r="A4762" s="188"/>
      <c r="B4762" s="190"/>
      <c r="C4762" s="99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0"/>
      <c r="E4762" s="78" t="str">
        <f>IF(C4762="","",IFERROR(VLOOKUP(C4762,parametros!$A$11:$E$15,5,0),""))</f>
        <v/>
      </c>
      <c r="F4762" s="79" t="str">
        <f t="shared" si="372"/>
        <v/>
      </c>
      <c r="G4762" s="101"/>
      <c r="H4762" s="91">
        <f t="shared" si="373"/>
        <v>0</v>
      </c>
      <c r="I4762" s="91" t="str">
        <f t="shared" si="374"/>
        <v/>
      </c>
      <c r="J4762" s="91" t="str">
        <f t="shared" si="375"/>
        <v/>
      </c>
      <c r="K4762" s="92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2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58"/>
      <c r="U4762" s="217" t="str">
        <f t="shared" si="376"/>
        <v/>
      </c>
      <c r="V4762" s="215" t="s">
        <v>47</v>
      </c>
      <c r="W4762" s="102" t="s">
        <v>136</v>
      </c>
      <c r="X4762" s="102" t="s">
        <v>137</v>
      </c>
      <c r="Y4762" s="103" t="s">
        <v>138</v>
      </c>
      <c r="Z4762" s="103" t="s">
        <v>139</v>
      </c>
      <c r="AA4762" s="103" t="s">
        <v>47</v>
      </c>
      <c r="AB4762" s="103" t="s">
        <v>140</v>
      </c>
      <c r="AC4762" s="104" t="s">
        <v>141</v>
      </c>
    </row>
    <row r="4763" spans="1:29" ht="25.5" customHeight="1" x14ac:dyDescent="0.35">
      <c r="A4763" s="188"/>
      <c r="B4763" s="190"/>
      <c r="C4763" s="99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0"/>
      <c r="E4763" s="78" t="str">
        <f>IF(C4763="","",IFERROR(VLOOKUP(C4763,parametros!$A$11:$E$15,5,0),""))</f>
        <v/>
      </c>
      <c r="F4763" s="79" t="str">
        <f t="shared" si="372"/>
        <v/>
      </c>
      <c r="G4763" s="101"/>
      <c r="H4763" s="91">
        <f t="shared" si="373"/>
        <v>0</v>
      </c>
      <c r="I4763" s="91" t="str">
        <f t="shared" si="374"/>
        <v/>
      </c>
      <c r="J4763" s="91" t="str">
        <f t="shared" si="375"/>
        <v/>
      </c>
      <c r="K4763" s="92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2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58"/>
      <c r="U4763" s="217" t="str">
        <f t="shared" si="376"/>
        <v/>
      </c>
      <c r="V4763" s="215" t="s">
        <v>47</v>
      </c>
      <c r="W4763" s="102" t="s">
        <v>136</v>
      </c>
      <c r="X4763" s="102" t="s">
        <v>137</v>
      </c>
      <c r="Y4763" s="103" t="s">
        <v>138</v>
      </c>
      <c r="Z4763" s="103" t="s">
        <v>139</v>
      </c>
      <c r="AA4763" s="103" t="s">
        <v>47</v>
      </c>
      <c r="AB4763" s="103" t="s">
        <v>140</v>
      </c>
      <c r="AC4763" s="104" t="s">
        <v>141</v>
      </c>
    </row>
    <row r="4764" spans="1:29" ht="25.5" customHeight="1" x14ac:dyDescent="0.35">
      <c r="A4764" s="188"/>
      <c r="B4764" s="190"/>
      <c r="C4764" s="99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0"/>
      <c r="E4764" s="78" t="str">
        <f>IF(C4764="","",IFERROR(VLOOKUP(C4764,parametros!$A$11:$E$15,5,0),""))</f>
        <v/>
      </c>
      <c r="F4764" s="79" t="str">
        <f t="shared" si="372"/>
        <v/>
      </c>
      <c r="G4764" s="101"/>
      <c r="H4764" s="91">
        <f t="shared" si="373"/>
        <v>0</v>
      </c>
      <c r="I4764" s="91" t="str">
        <f t="shared" si="374"/>
        <v/>
      </c>
      <c r="J4764" s="91" t="str">
        <f t="shared" si="375"/>
        <v/>
      </c>
      <c r="K4764" s="92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2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58"/>
      <c r="U4764" s="217" t="str">
        <f t="shared" si="376"/>
        <v/>
      </c>
      <c r="V4764" s="215" t="s">
        <v>47</v>
      </c>
      <c r="W4764" s="102" t="s">
        <v>136</v>
      </c>
      <c r="X4764" s="102" t="s">
        <v>137</v>
      </c>
      <c r="Y4764" s="103" t="s">
        <v>138</v>
      </c>
      <c r="Z4764" s="103" t="s">
        <v>139</v>
      </c>
      <c r="AA4764" s="103" t="s">
        <v>47</v>
      </c>
      <c r="AB4764" s="103" t="s">
        <v>140</v>
      </c>
      <c r="AC4764" s="104" t="s">
        <v>141</v>
      </c>
    </row>
    <row r="4765" spans="1:29" ht="25.5" customHeight="1" x14ac:dyDescent="0.35">
      <c r="A4765" s="188"/>
      <c r="B4765" s="190"/>
      <c r="C4765" s="99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0"/>
      <c r="E4765" s="78" t="str">
        <f>IF(C4765="","",IFERROR(VLOOKUP(C4765,parametros!$A$11:$E$15,5,0),""))</f>
        <v/>
      </c>
      <c r="F4765" s="79" t="str">
        <f t="shared" si="372"/>
        <v/>
      </c>
      <c r="G4765" s="101"/>
      <c r="H4765" s="91">
        <f t="shared" si="373"/>
        <v>0</v>
      </c>
      <c r="I4765" s="91" t="str">
        <f t="shared" si="374"/>
        <v/>
      </c>
      <c r="J4765" s="91" t="str">
        <f t="shared" si="375"/>
        <v/>
      </c>
      <c r="K4765" s="92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2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58"/>
      <c r="U4765" s="217" t="str">
        <f t="shared" si="376"/>
        <v/>
      </c>
      <c r="V4765" s="215" t="s">
        <v>47</v>
      </c>
      <c r="W4765" s="102" t="s">
        <v>136</v>
      </c>
      <c r="X4765" s="102" t="s">
        <v>137</v>
      </c>
      <c r="Y4765" s="103" t="s">
        <v>138</v>
      </c>
      <c r="Z4765" s="103" t="s">
        <v>139</v>
      </c>
      <c r="AA4765" s="103" t="s">
        <v>47</v>
      </c>
      <c r="AB4765" s="103" t="s">
        <v>140</v>
      </c>
      <c r="AC4765" s="104" t="s">
        <v>141</v>
      </c>
    </row>
    <row r="4766" spans="1:29" ht="25.5" customHeight="1" x14ac:dyDescent="0.35">
      <c r="A4766" s="188"/>
      <c r="B4766" s="190"/>
      <c r="C4766" s="99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0"/>
      <c r="E4766" s="78" t="str">
        <f>IF(C4766="","",IFERROR(VLOOKUP(C4766,parametros!$A$11:$E$15,5,0),""))</f>
        <v/>
      </c>
      <c r="F4766" s="79" t="str">
        <f t="shared" si="372"/>
        <v/>
      </c>
      <c r="G4766" s="101"/>
      <c r="H4766" s="91">
        <f t="shared" si="373"/>
        <v>0</v>
      </c>
      <c r="I4766" s="91" t="str">
        <f t="shared" si="374"/>
        <v/>
      </c>
      <c r="J4766" s="91" t="str">
        <f t="shared" si="375"/>
        <v/>
      </c>
      <c r="K4766" s="92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2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58"/>
      <c r="U4766" s="217" t="str">
        <f t="shared" si="376"/>
        <v/>
      </c>
      <c r="V4766" s="215" t="s">
        <v>47</v>
      </c>
      <c r="W4766" s="102" t="s">
        <v>136</v>
      </c>
      <c r="X4766" s="102" t="s">
        <v>137</v>
      </c>
      <c r="Y4766" s="103" t="s">
        <v>138</v>
      </c>
      <c r="Z4766" s="103" t="s">
        <v>139</v>
      </c>
      <c r="AA4766" s="103" t="s">
        <v>47</v>
      </c>
      <c r="AB4766" s="103" t="s">
        <v>140</v>
      </c>
      <c r="AC4766" s="104" t="s">
        <v>141</v>
      </c>
    </row>
    <row r="4767" spans="1:29" ht="25.5" customHeight="1" x14ac:dyDescent="0.35">
      <c r="A4767" s="188"/>
      <c r="B4767" s="190"/>
      <c r="C4767" s="99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0"/>
      <c r="E4767" s="78" t="str">
        <f>IF(C4767="","",IFERROR(VLOOKUP(C4767,parametros!$A$11:$E$15,5,0),""))</f>
        <v/>
      </c>
      <c r="F4767" s="79" t="str">
        <f t="shared" si="372"/>
        <v/>
      </c>
      <c r="G4767" s="101"/>
      <c r="H4767" s="91">
        <f t="shared" si="373"/>
        <v>0</v>
      </c>
      <c r="I4767" s="91" t="str">
        <f t="shared" si="374"/>
        <v/>
      </c>
      <c r="J4767" s="91" t="str">
        <f t="shared" si="375"/>
        <v/>
      </c>
      <c r="K4767" s="92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2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58"/>
      <c r="U4767" s="217" t="str">
        <f t="shared" si="376"/>
        <v/>
      </c>
      <c r="V4767" s="215" t="s">
        <v>47</v>
      </c>
      <c r="W4767" s="102" t="s">
        <v>136</v>
      </c>
      <c r="X4767" s="102" t="s">
        <v>137</v>
      </c>
      <c r="Y4767" s="103" t="s">
        <v>138</v>
      </c>
      <c r="Z4767" s="103" t="s">
        <v>139</v>
      </c>
      <c r="AA4767" s="103" t="s">
        <v>47</v>
      </c>
      <c r="AB4767" s="103" t="s">
        <v>140</v>
      </c>
      <c r="AC4767" s="104" t="s">
        <v>141</v>
      </c>
    </row>
    <row r="4768" spans="1:29" ht="25.5" customHeight="1" x14ac:dyDescent="0.35">
      <c r="A4768" s="188"/>
      <c r="B4768" s="190"/>
      <c r="C4768" s="99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0"/>
      <c r="E4768" s="78" t="str">
        <f>IF(C4768="","",IFERROR(VLOOKUP(C4768,parametros!$A$11:$E$15,5,0),""))</f>
        <v/>
      </c>
      <c r="F4768" s="79" t="str">
        <f t="shared" si="372"/>
        <v/>
      </c>
      <c r="G4768" s="101"/>
      <c r="H4768" s="91">
        <f t="shared" si="373"/>
        <v>0</v>
      </c>
      <c r="I4768" s="91" t="str">
        <f t="shared" si="374"/>
        <v/>
      </c>
      <c r="J4768" s="91" t="str">
        <f t="shared" si="375"/>
        <v/>
      </c>
      <c r="K4768" s="92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2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58"/>
      <c r="U4768" s="217" t="str">
        <f t="shared" si="376"/>
        <v/>
      </c>
      <c r="V4768" s="215" t="s">
        <v>47</v>
      </c>
      <c r="W4768" s="102" t="s">
        <v>136</v>
      </c>
      <c r="X4768" s="102" t="s">
        <v>137</v>
      </c>
      <c r="Y4768" s="103" t="s">
        <v>138</v>
      </c>
      <c r="Z4768" s="103" t="s">
        <v>139</v>
      </c>
      <c r="AA4768" s="103" t="s">
        <v>47</v>
      </c>
      <c r="AB4768" s="103" t="s">
        <v>140</v>
      </c>
      <c r="AC4768" s="104" t="s">
        <v>141</v>
      </c>
    </row>
    <row r="4769" spans="1:29" ht="25.5" customHeight="1" x14ac:dyDescent="0.35">
      <c r="A4769" s="188"/>
      <c r="B4769" s="190"/>
      <c r="C4769" s="99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0"/>
      <c r="E4769" s="78" t="str">
        <f>IF(C4769="","",IFERROR(VLOOKUP(C4769,parametros!$A$11:$E$15,5,0),""))</f>
        <v/>
      </c>
      <c r="F4769" s="79" t="str">
        <f t="shared" si="372"/>
        <v/>
      </c>
      <c r="G4769" s="101"/>
      <c r="H4769" s="91">
        <f t="shared" si="373"/>
        <v>0</v>
      </c>
      <c r="I4769" s="91" t="str">
        <f t="shared" si="374"/>
        <v/>
      </c>
      <c r="J4769" s="91" t="str">
        <f t="shared" si="375"/>
        <v/>
      </c>
      <c r="K4769" s="92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2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58"/>
      <c r="U4769" s="217" t="str">
        <f t="shared" si="376"/>
        <v/>
      </c>
      <c r="V4769" s="215" t="s">
        <v>47</v>
      </c>
      <c r="W4769" s="102" t="s">
        <v>136</v>
      </c>
      <c r="X4769" s="102" t="s">
        <v>137</v>
      </c>
      <c r="Y4769" s="103" t="s">
        <v>138</v>
      </c>
      <c r="Z4769" s="103" t="s">
        <v>139</v>
      </c>
      <c r="AA4769" s="103" t="s">
        <v>47</v>
      </c>
      <c r="AB4769" s="103" t="s">
        <v>140</v>
      </c>
      <c r="AC4769" s="104" t="s">
        <v>141</v>
      </c>
    </row>
    <row r="4770" spans="1:29" ht="25.5" customHeight="1" x14ac:dyDescent="0.35">
      <c r="A4770" s="188"/>
      <c r="B4770" s="190"/>
      <c r="C4770" s="99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0"/>
      <c r="E4770" s="78" t="str">
        <f>IF(C4770="","",IFERROR(VLOOKUP(C4770,parametros!$A$11:$E$15,5,0),""))</f>
        <v/>
      </c>
      <c r="F4770" s="79" t="str">
        <f t="shared" si="372"/>
        <v/>
      </c>
      <c r="G4770" s="101"/>
      <c r="H4770" s="91">
        <f t="shared" si="373"/>
        <v>0</v>
      </c>
      <c r="I4770" s="91" t="str">
        <f t="shared" si="374"/>
        <v/>
      </c>
      <c r="J4770" s="91" t="str">
        <f t="shared" si="375"/>
        <v/>
      </c>
      <c r="K4770" s="92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2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58"/>
      <c r="U4770" s="217" t="str">
        <f t="shared" si="376"/>
        <v/>
      </c>
      <c r="V4770" s="215" t="s">
        <v>47</v>
      </c>
      <c r="W4770" s="102" t="s">
        <v>136</v>
      </c>
      <c r="X4770" s="102" t="s">
        <v>137</v>
      </c>
      <c r="Y4770" s="103" t="s">
        <v>138</v>
      </c>
      <c r="Z4770" s="103" t="s">
        <v>139</v>
      </c>
      <c r="AA4770" s="103" t="s">
        <v>47</v>
      </c>
      <c r="AB4770" s="103" t="s">
        <v>140</v>
      </c>
      <c r="AC4770" s="104" t="s">
        <v>141</v>
      </c>
    </row>
    <row r="4771" spans="1:29" ht="25.5" customHeight="1" x14ac:dyDescent="0.35">
      <c r="A4771" s="188"/>
      <c r="B4771" s="190"/>
      <c r="C4771" s="99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0"/>
      <c r="E4771" s="78" t="str">
        <f>IF(C4771="","",IFERROR(VLOOKUP(C4771,parametros!$A$11:$E$15,5,0),""))</f>
        <v/>
      </c>
      <c r="F4771" s="79" t="str">
        <f t="shared" si="372"/>
        <v/>
      </c>
      <c r="G4771" s="101"/>
      <c r="H4771" s="91">
        <f t="shared" si="373"/>
        <v>0</v>
      </c>
      <c r="I4771" s="91" t="str">
        <f t="shared" si="374"/>
        <v/>
      </c>
      <c r="J4771" s="91" t="str">
        <f t="shared" si="375"/>
        <v/>
      </c>
      <c r="K4771" s="92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2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58"/>
      <c r="U4771" s="217" t="str">
        <f t="shared" si="376"/>
        <v/>
      </c>
      <c r="V4771" s="215" t="s">
        <v>47</v>
      </c>
      <c r="W4771" s="102" t="s">
        <v>136</v>
      </c>
      <c r="X4771" s="102" t="s">
        <v>137</v>
      </c>
      <c r="Y4771" s="103" t="s">
        <v>138</v>
      </c>
      <c r="Z4771" s="103" t="s">
        <v>139</v>
      </c>
      <c r="AA4771" s="103" t="s">
        <v>47</v>
      </c>
      <c r="AB4771" s="103" t="s">
        <v>140</v>
      </c>
      <c r="AC4771" s="104" t="s">
        <v>141</v>
      </c>
    </row>
    <row r="4772" spans="1:29" ht="25.5" customHeight="1" x14ac:dyDescent="0.35">
      <c r="A4772" s="188"/>
      <c r="B4772" s="190"/>
      <c r="C4772" s="99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0"/>
      <c r="E4772" s="78" t="str">
        <f>IF(C4772="","",IFERROR(VLOOKUP(C4772,parametros!$A$11:$E$15,5,0),""))</f>
        <v/>
      </c>
      <c r="F4772" s="79" t="str">
        <f t="shared" si="372"/>
        <v/>
      </c>
      <c r="G4772" s="101"/>
      <c r="H4772" s="91">
        <f t="shared" si="373"/>
        <v>0</v>
      </c>
      <c r="I4772" s="91" t="str">
        <f t="shared" si="374"/>
        <v/>
      </c>
      <c r="J4772" s="91" t="str">
        <f t="shared" si="375"/>
        <v/>
      </c>
      <c r="K4772" s="92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2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58"/>
      <c r="U4772" s="217" t="str">
        <f t="shared" si="376"/>
        <v/>
      </c>
      <c r="V4772" s="215" t="s">
        <v>47</v>
      </c>
      <c r="W4772" s="102" t="s">
        <v>136</v>
      </c>
      <c r="X4772" s="102" t="s">
        <v>137</v>
      </c>
      <c r="Y4772" s="103" t="s">
        <v>138</v>
      </c>
      <c r="Z4772" s="103" t="s">
        <v>139</v>
      </c>
      <c r="AA4772" s="103" t="s">
        <v>47</v>
      </c>
      <c r="AB4772" s="103" t="s">
        <v>140</v>
      </c>
      <c r="AC4772" s="104" t="s">
        <v>141</v>
      </c>
    </row>
    <row r="4773" spans="1:29" ht="25.5" customHeight="1" x14ac:dyDescent="0.35">
      <c r="A4773" s="188"/>
      <c r="B4773" s="190"/>
      <c r="C4773" s="99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0"/>
      <c r="E4773" s="78" t="str">
        <f>IF(C4773="","",IFERROR(VLOOKUP(C4773,parametros!$A$11:$E$15,5,0),""))</f>
        <v/>
      </c>
      <c r="F4773" s="79" t="str">
        <f t="shared" si="372"/>
        <v/>
      </c>
      <c r="G4773" s="101"/>
      <c r="H4773" s="91">
        <f t="shared" si="373"/>
        <v>0</v>
      </c>
      <c r="I4773" s="91" t="str">
        <f t="shared" si="374"/>
        <v/>
      </c>
      <c r="J4773" s="91" t="str">
        <f t="shared" si="375"/>
        <v/>
      </c>
      <c r="K4773" s="92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2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58"/>
      <c r="U4773" s="217" t="str">
        <f t="shared" si="376"/>
        <v/>
      </c>
      <c r="V4773" s="215" t="s">
        <v>47</v>
      </c>
      <c r="W4773" s="102" t="s">
        <v>136</v>
      </c>
      <c r="X4773" s="102" t="s">
        <v>137</v>
      </c>
      <c r="Y4773" s="103" t="s">
        <v>138</v>
      </c>
      <c r="Z4773" s="103" t="s">
        <v>139</v>
      </c>
      <c r="AA4773" s="103" t="s">
        <v>47</v>
      </c>
      <c r="AB4773" s="103" t="s">
        <v>140</v>
      </c>
      <c r="AC4773" s="104" t="s">
        <v>141</v>
      </c>
    </row>
    <row r="4774" spans="1:29" ht="25.5" customHeight="1" x14ac:dyDescent="0.35">
      <c r="A4774" s="188"/>
      <c r="B4774" s="190"/>
      <c r="C4774" s="99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0"/>
      <c r="E4774" s="78" t="str">
        <f>IF(C4774="","",IFERROR(VLOOKUP(C4774,parametros!$A$11:$E$15,5,0),""))</f>
        <v/>
      </c>
      <c r="F4774" s="79" t="str">
        <f t="shared" si="372"/>
        <v/>
      </c>
      <c r="G4774" s="101"/>
      <c r="H4774" s="91">
        <f t="shared" si="373"/>
        <v>0</v>
      </c>
      <c r="I4774" s="91" t="str">
        <f t="shared" si="374"/>
        <v/>
      </c>
      <c r="J4774" s="91" t="str">
        <f t="shared" si="375"/>
        <v/>
      </c>
      <c r="K4774" s="92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2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58"/>
      <c r="U4774" s="217" t="str">
        <f t="shared" si="376"/>
        <v/>
      </c>
      <c r="V4774" s="215" t="s">
        <v>47</v>
      </c>
      <c r="W4774" s="102" t="s">
        <v>136</v>
      </c>
      <c r="X4774" s="102" t="s">
        <v>137</v>
      </c>
      <c r="Y4774" s="103" t="s">
        <v>138</v>
      </c>
      <c r="Z4774" s="103" t="s">
        <v>139</v>
      </c>
      <c r="AA4774" s="103" t="s">
        <v>47</v>
      </c>
      <c r="AB4774" s="103" t="s">
        <v>140</v>
      </c>
      <c r="AC4774" s="104" t="s">
        <v>141</v>
      </c>
    </row>
    <row r="4775" spans="1:29" ht="25.5" customHeight="1" x14ac:dyDescent="0.35">
      <c r="A4775" s="188"/>
      <c r="B4775" s="190"/>
      <c r="C4775" s="99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0"/>
      <c r="E4775" s="78" t="str">
        <f>IF(C4775="","",IFERROR(VLOOKUP(C4775,parametros!$A$11:$E$15,5,0),""))</f>
        <v/>
      </c>
      <c r="F4775" s="79" t="str">
        <f t="shared" si="372"/>
        <v/>
      </c>
      <c r="G4775" s="101"/>
      <c r="H4775" s="91">
        <f t="shared" si="373"/>
        <v>0</v>
      </c>
      <c r="I4775" s="91" t="str">
        <f t="shared" si="374"/>
        <v/>
      </c>
      <c r="J4775" s="91" t="str">
        <f t="shared" si="375"/>
        <v/>
      </c>
      <c r="K4775" s="92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2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58"/>
      <c r="U4775" s="217" t="str">
        <f t="shared" si="376"/>
        <v/>
      </c>
      <c r="V4775" s="215" t="s">
        <v>47</v>
      </c>
      <c r="W4775" s="102" t="s">
        <v>136</v>
      </c>
      <c r="X4775" s="102" t="s">
        <v>137</v>
      </c>
      <c r="Y4775" s="103" t="s">
        <v>138</v>
      </c>
      <c r="Z4775" s="103" t="s">
        <v>139</v>
      </c>
      <c r="AA4775" s="103" t="s">
        <v>47</v>
      </c>
      <c r="AB4775" s="103" t="s">
        <v>140</v>
      </c>
      <c r="AC4775" s="104" t="s">
        <v>141</v>
      </c>
    </row>
    <row r="4776" spans="1:29" ht="25.5" customHeight="1" x14ac:dyDescent="0.35">
      <c r="A4776" s="188"/>
      <c r="B4776" s="190"/>
      <c r="C4776" s="99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0"/>
      <c r="E4776" s="78" t="str">
        <f>IF(C4776="","",IFERROR(VLOOKUP(C4776,parametros!$A$11:$E$15,5,0),""))</f>
        <v/>
      </c>
      <c r="F4776" s="79" t="str">
        <f t="shared" si="372"/>
        <v/>
      </c>
      <c r="G4776" s="101"/>
      <c r="H4776" s="91">
        <f t="shared" si="373"/>
        <v>0</v>
      </c>
      <c r="I4776" s="91" t="str">
        <f t="shared" si="374"/>
        <v/>
      </c>
      <c r="J4776" s="91" t="str">
        <f t="shared" si="375"/>
        <v/>
      </c>
      <c r="K4776" s="92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2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58"/>
      <c r="U4776" s="217" t="str">
        <f t="shared" si="376"/>
        <v/>
      </c>
      <c r="V4776" s="215" t="s">
        <v>47</v>
      </c>
      <c r="W4776" s="102" t="s">
        <v>136</v>
      </c>
      <c r="X4776" s="102" t="s">
        <v>137</v>
      </c>
      <c r="Y4776" s="103" t="s">
        <v>138</v>
      </c>
      <c r="Z4776" s="103" t="s">
        <v>139</v>
      </c>
      <c r="AA4776" s="103" t="s">
        <v>47</v>
      </c>
      <c r="AB4776" s="103" t="s">
        <v>140</v>
      </c>
      <c r="AC4776" s="104" t="s">
        <v>141</v>
      </c>
    </row>
    <row r="4777" spans="1:29" ht="25.5" customHeight="1" x14ac:dyDescent="0.35">
      <c r="A4777" s="188"/>
      <c r="B4777" s="190"/>
      <c r="C4777" s="99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0"/>
      <c r="E4777" s="78" t="str">
        <f>IF(C4777="","",IFERROR(VLOOKUP(C4777,parametros!$A$11:$E$15,5,0),""))</f>
        <v/>
      </c>
      <c r="F4777" s="79" t="str">
        <f t="shared" si="372"/>
        <v/>
      </c>
      <c r="G4777" s="101"/>
      <c r="H4777" s="91">
        <f t="shared" si="373"/>
        <v>0</v>
      </c>
      <c r="I4777" s="91" t="str">
        <f t="shared" si="374"/>
        <v/>
      </c>
      <c r="J4777" s="91" t="str">
        <f t="shared" si="375"/>
        <v/>
      </c>
      <c r="K4777" s="92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2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58"/>
      <c r="U4777" s="217" t="str">
        <f t="shared" si="376"/>
        <v/>
      </c>
      <c r="V4777" s="215" t="s">
        <v>47</v>
      </c>
      <c r="W4777" s="102" t="s">
        <v>136</v>
      </c>
      <c r="X4777" s="102" t="s">
        <v>137</v>
      </c>
      <c r="Y4777" s="103" t="s">
        <v>138</v>
      </c>
      <c r="Z4777" s="103" t="s">
        <v>139</v>
      </c>
      <c r="AA4777" s="103" t="s">
        <v>47</v>
      </c>
      <c r="AB4777" s="103" t="s">
        <v>140</v>
      </c>
      <c r="AC4777" s="104" t="s">
        <v>141</v>
      </c>
    </row>
    <row r="4778" spans="1:29" ht="25.5" customHeight="1" x14ac:dyDescent="0.35">
      <c r="A4778" s="188"/>
      <c r="B4778" s="190"/>
      <c r="C4778" s="99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0"/>
      <c r="E4778" s="78" t="str">
        <f>IF(C4778="","",IFERROR(VLOOKUP(C4778,parametros!$A$11:$E$15,5,0),""))</f>
        <v/>
      </c>
      <c r="F4778" s="79" t="str">
        <f t="shared" si="372"/>
        <v/>
      </c>
      <c r="G4778" s="101"/>
      <c r="H4778" s="91">
        <f t="shared" si="373"/>
        <v>0</v>
      </c>
      <c r="I4778" s="91" t="str">
        <f t="shared" si="374"/>
        <v/>
      </c>
      <c r="J4778" s="91" t="str">
        <f t="shared" si="375"/>
        <v/>
      </c>
      <c r="K4778" s="92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2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58"/>
      <c r="U4778" s="217" t="str">
        <f t="shared" si="376"/>
        <v/>
      </c>
      <c r="V4778" s="215" t="s">
        <v>47</v>
      </c>
      <c r="W4778" s="102" t="s">
        <v>136</v>
      </c>
      <c r="X4778" s="102" t="s">
        <v>137</v>
      </c>
      <c r="Y4778" s="103" t="s">
        <v>138</v>
      </c>
      <c r="Z4778" s="103" t="s">
        <v>139</v>
      </c>
      <c r="AA4778" s="103" t="s">
        <v>47</v>
      </c>
      <c r="AB4778" s="103" t="s">
        <v>140</v>
      </c>
      <c r="AC4778" s="104" t="s">
        <v>141</v>
      </c>
    </row>
    <row r="4779" spans="1:29" ht="25.5" customHeight="1" x14ac:dyDescent="0.35">
      <c r="A4779" s="188"/>
      <c r="B4779" s="190"/>
      <c r="C4779" s="99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0"/>
      <c r="E4779" s="78" t="str">
        <f>IF(C4779="","",IFERROR(VLOOKUP(C4779,parametros!$A$11:$E$15,5,0),""))</f>
        <v/>
      </c>
      <c r="F4779" s="79" t="str">
        <f t="shared" si="372"/>
        <v/>
      </c>
      <c r="G4779" s="101"/>
      <c r="H4779" s="91">
        <f t="shared" si="373"/>
        <v>0</v>
      </c>
      <c r="I4779" s="91" t="str">
        <f t="shared" si="374"/>
        <v/>
      </c>
      <c r="J4779" s="91" t="str">
        <f t="shared" si="375"/>
        <v/>
      </c>
      <c r="K4779" s="92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2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58"/>
      <c r="U4779" s="217" t="str">
        <f t="shared" si="376"/>
        <v/>
      </c>
      <c r="V4779" s="215" t="s">
        <v>47</v>
      </c>
      <c r="W4779" s="102" t="s">
        <v>136</v>
      </c>
      <c r="X4779" s="102" t="s">
        <v>137</v>
      </c>
      <c r="Y4779" s="103" t="s">
        <v>138</v>
      </c>
      <c r="Z4779" s="103" t="s">
        <v>139</v>
      </c>
      <c r="AA4779" s="103" t="s">
        <v>47</v>
      </c>
      <c r="AB4779" s="103" t="s">
        <v>140</v>
      </c>
      <c r="AC4779" s="104" t="s">
        <v>141</v>
      </c>
    </row>
    <row r="4780" spans="1:29" ht="25.5" customHeight="1" x14ac:dyDescent="0.35">
      <c r="A4780" s="188"/>
      <c r="B4780" s="190"/>
      <c r="C4780" s="99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0"/>
      <c r="E4780" s="78" t="str">
        <f>IF(C4780="","",IFERROR(VLOOKUP(C4780,parametros!$A$11:$E$15,5,0),""))</f>
        <v/>
      </c>
      <c r="F4780" s="79" t="str">
        <f t="shared" si="372"/>
        <v/>
      </c>
      <c r="G4780" s="101"/>
      <c r="H4780" s="91">
        <f t="shared" si="373"/>
        <v>0</v>
      </c>
      <c r="I4780" s="91" t="str">
        <f t="shared" si="374"/>
        <v/>
      </c>
      <c r="J4780" s="91" t="str">
        <f t="shared" si="375"/>
        <v/>
      </c>
      <c r="K4780" s="92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2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58"/>
      <c r="U4780" s="217" t="str">
        <f t="shared" si="376"/>
        <v/>
      </c>
      <c r="V4780" s="215" t="s">
        <v>47</v>
      </c>
      <c r="W4780" s="102" t="s">
        <v>136</v>
      </c>
      <c r="X4780" s="102" t="s">
        <v>137</v>
      </c>
      <c r="Y4780" s="103" t="s">
        <v>138</v>
      </c>
      <c r="Z4780" s="103" t="s">
        <v>139</v>
      </c>
      <c r="AA4780" s="103" t="s">
        <v>47</v>
      </c>
      <c r="AB4780" s="103" t="s">
        <v>140</v>
      </c>
      <c r="AC4780" s="104" t="s">
        <v>141</v>
      </c>
    </row>
    <row r="4781" spans="1:29" ht="25.5" customHeight="1" x14ac:dyDescent="0.35">
      <c r="A4781" s="188"/>
      <c r="B4781" s="190"/>
      <c r="C4781" s="99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0"/>
      <c r="E4781" s="78" t="str">
        <f>IF(C4781="","",IFERROR(VLOOKUP(C4781,parametros!$A$11:$E$15,5,0),""))</f>
        <v/>
      </c>
      <c r="F4781" s="79" t="str">
        <f t="shared" si="372"/>
        <v/>
      </c>
      <c r="G4781" s="101"/>
      <c r="H4781" s="91">
        <f t="shared" si="373"/>
        <v>0</v>
      </c>
      <c r="I4781" s="91" t="str">
        <f t="shared" si="374"/>
        <v/>
      </c>
      <c r="J4781" s="91" t="str">
        <f t="shared" si="375"/>
        <v/>
      </c>
      <c r="K4781" s="92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2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58"/>
      <c r="U4781" s="217" t="str">
        <f t="shared" si="376"/>
        <v/>
      </c>
      <c r="V4781" s="215" t="s">
        <v>47</v>
      </c>
      <c r="W4781" s="102" t="s">
        <v>136</v>
      </c>
      <c r="X4781" s="102" t="s">
        <v>137</v>
      </c>
      <c r="Y4781" s="103" t="s">
        <v>138</v>
      </c>
      <c r="Z4781" s="103" t="s">
        <v>139</v>
      </c>
      <c r="AA4781" s="103" t="s">
        <v>47</v>
      </c>
      <c r="AB4781" s="103" t="s">
        <v>140</v>
      </c>
      <c r="AC4781" s="104" t="s">
        <v>141</v>
      </c>
    </row>
    <row r="4782" spans="1:29" ht="25.5" customHeight="1" x14ac:dyDescent="0.35">
      <c r="A4782" s="188"/>
      <c r="B4782" s="190"/>
      <c r="C4782" s="99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0"/>
      <c r="E4782" s="78" t="str">
        <f>IF(C4782="","",IFERROR(VLOOKUP(C4782,parametros!$A$11:$E$15,5,0),""))</f>
        <v/>
      </c>
      <c r="F4782" s="79" t="str">
        <f t="shared" si="372"/>
        <v/>
      </c>
      <c r="G4782" s="101"/>
      <c r="H4782" s="91">
        <f t="shared" si="373"/>
        <v>0</v>
      </c>
      <c r="I4782" s="91" t="str">
        <f t="shared" si="374"/>
        <v/>
      </c>
      <c r="J4782" s="91" t="str">
        <f t="shared" si="375"/>
        <v/>
      </c>
      <c r="K4782" s="92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2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58"/>
      <c r="U4782" s="217" t="str">
        <f t="shared" si="376"/>
        <v/>
      </c>
      <c r="V4782" s="215" t="s">
        <v>47</v>
      </c>
      <c r="W4782" s="102" t="s">
        <v>136</v>
      </c>
      <c r="X4782" s="102" t="s">
        <v>137</v>
      </c>
      <c r="Y4782" s="103" t="s">
        <v>138</v>
      </c>
      <c r="Z4782" s="103" t="s">
        <v>139</v>
      </c>
      <c r="AA4782" s="103" t="s">
        <v>47</v>
      </c>
      <c r="AB4782" s="103" t="s">
        <v>140</v>
      </c>
      <c r="AC4782" s="104" t="s">
        <v>141</v>
      </c>
    </row>
    <row r="4783" spans="1:29" ht="25.5" customHeight="1" x14ac:dyDescent="0.35">
      <c r="A4783" s="188"/>
      <c r="B4783" s="190"/>
      <c r="C4783" s="99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0"/>
      <c r="E4783" s="78" t="str">
        <f>IF(C4783="","",IFERROR(VLOOKUP(C4783,parametros!$A$11:$E$15,5,0),""))</f>
        <v/>
      </c>
      <c r="F4783" s="79" t="str">
        <f t="shared" si="372"/>
        <v/>
      </c>
      <c r="G4783" s="101"/>
      <c r="H4783" s="91">
        <f t="shared" si="373"/>
        <v>0</v>
      </c>
      <c r="I4783" s="91" t="str">
        <f t="shared" si="374"/>
        <v/>
      </c>
      <c r="J4783" s="91" t="str">
        <f t="shared" si="375"/>
        <v/>
      </c>
      <c r="K4783" s="92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2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58"/>
      <c r="U4783" s="217" t="str">
        <f t="shared" si="376"/>
        <v/>
      </c>
      <c r="V4783" s="215" t="s">
        <v>47</v>
      </c>
      <c r="W4783" s="102" t="s">
        <v>136</v>
      </c>
      <c r="X4783" s="102" t="s">
        <v>137</v>
      </c>
      <c r="Y4783" s="103" t="s">
        <v>138</v>
      </c>
      <c r="Z4783" s="103" t="s">
        <v>139</v>
      </c>
      <c r="AA4783" s="103" t="s">
        <v>47</v>
      </c>
      <c r="AB4783" s="103" t="s">
        <v>140</v>
      </c>
      <c r="AC4783" s="104" t="s">
        <v>141</v>
      </c>
    </row>
    <row r="4784" spans="1:29" ht="25.5" customHeight="1" x14ac:dyDescent="0.35">
      <c r="A4784" s="188"/>
      <c r="B4784" s="190"/>
      <c r="C4784" s="99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0"/>
      <c r="E4784" s="78" t="str">
        <f>IF(C4784="","",IFERROR(VLOOKUP(C4784,parametros!$A$11:$E$15,5,0),""))</f>
        <v/>
      </c>
      <c r="F4784" s="79" t="str">
        <f t="shared" si="372"/>
        <v/>
      </c>
      <c r="G4784" s="101"/>
      <c r="H4784" s="91">
        <f t="shared" si="373"/>
        <v>0</v>
      </c>
      <c r="I4784" s="91" t="str">
        <f t="shared" si="374"/>
        <v/>
      </c>
      <c r="J4784" s="91" t="str">
        <f t="shared" si="375"/>
        <v/>
      </c>
      <c r="K4784" s="92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2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58"/>
      <c r="U4784" s="217" t="str">
        <f t="shared" si="376"/>
        <v/>
      </c>
      <c r="V4784" s="215" t="s">
        <v>47</v>
      </c>
      <c r="W4784" s="102" t="s">
        <v>136</v>
      </c>
      <c r="X4784" s="102" t="s">
        <v>137</v>
      </c>
      <c r="Y4784" s="103" t="s">
        <v>138</v>
      </c>
      <c r="Z4784" s="103" t="s">
        <v>139</v>
      </c>
      <c r="AA4784" s="103" t="s">
        <v>47</v>
      </c>
      <c r="AB4784" s="103" t="s">
        <v>140</v>
      </c>
      <c r="AC4784" s="104" t="s">
        <v>141</v>
      </c>
    </row>
    <row r="4785" spans="1:29" ht="25.5" customHeight="1" x14ac:dyDescent="0.35">
      <c r="A4785" s="188"/>
      <c r="B4785" s="190"/>
      <c r="C4785" s="99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0"/>
      <c r="E4785" s="78" t="str">
        <f>IF(C4785="","",IFERROR(VLOOKUP(C4785,parametros!$A$11:$E$15,5,0),""))</f>
        <v/>
      </c>
      <c r="F4785" s="79" t="str">
        <f t="shared" si="372"/>
        <v/>
      </c>
      <c r="G4785" s="101"/>
      <c r="H4785" s="91">
        <f t="shared" si="373"/>
        <v>0</v>
      </c>
      <c r="I4785" s="91" t="str">
        <f t="shared" si="374"/>
        <v/>
      </c>
      <c r="J4785" s="91" t="str">
        <f t="shared" si="375"/>
        <v/>
      </c>
      <c r="K4785" s="92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2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58"/>
      <c r="U4785" s="217" t="str">
        <f t="shared" si="376"/>
        <v/>
      </c>
      <c r="V4785" s="215" t="s">
        <v>47</v>
      </c>
      <c r="W4785" s="102" t="s">
        <v>136</v>
      </c>
      <c r="X4785" s="102" t="s">
        <v>137</v>
      </c>
      <c r="Y4785" s="103" t="s">
        <v>138</v>
      </c>
      <c r="Z4785" s="103" t="s">
        <v>139</v>
      </c>
      <c r="AA4785" s="103" t="s">
        <v>47</v>
      </c>
      <c r="AB4785" s="103" t="s">
        <v>140</v>
      </c>
      <c r="AC4785" s="104" t="s">
        <v>141</v>
      </c>
    </row>
    <row r="4786" spans="1:29" ht="25.5" customHeight="1" x14ac:dyDescent="0.35">
      <c r="A4786" s="188"/>
      <c r="B4786" s="190"/>
      <c r="C4786" s="99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0"/>
      <c r="E4786" s="78" t="str">
        <f>IF(C4786="","",IFERROR(VLOOKUP(C4786,parametros!$A$11:$E$15,5,0),""))</f>
        <v/>
      </c>
      <c r="F4786" s="79" t="str">
        <f t="shared" si="372"/>
        <v/>
      </c>
      <c r="G4786" s="101"/>
      <c r="H4786" s="91">
        <f t="shared" si="373"/>
        <v>0</v>
      </c>
      <c r="I4786" s="91" t="str">
        <f t="shared" si="374"/>
        <v/>
      </c>
      <c r="J4786" s="91" t="str">
        <f t="shared" si="375"/>
        <v/>
      </c>
      <c r="K4786" s="92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2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58"/>
      <c r="U4786" s="217" t="str">
        <f t="shared" si="376"/>
        <v/>
      </c>
      <c r="V4786" s="215" t="s">
        <v>47</v>
      </c>
      <c r="W4786" s="102" t="s">
        <v>136</v>
      </c>
      <c r="X4786" s="102" t="s">
        <v>137</v>
      </c>
      <c r="Y4786" s="103" t="s">
        <v>138</v>
      </c>
      <c r="Z4786" s="103" t="s">
        <v>139</v>
      </c>
      <c r="AA4786" s="103" t="s">
        <v>47</v>
      </c>
      <c r="AB4786" s="103" t="s">
        <v>140</v>
      </c>
      <c r="AC4786" s="104" t="s">
        <v>141</v>
      </c>
    </row>
    <row r="4787" spans="1:29" ht="25.5" customHeight="1" x14ac:dyDescent="0.35">
      <c r="A4787" s="188"/>
      <c r="B4787" s="190"/>
      <c r="C4787" s="99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0"/>
      <c r="E4787" s="78" t="str">
        <f>IF(C4787="","",IFERROR(VLOOKUP(C4787,parametros!$A$11:$E$15,5,0),""))</f>
        <v/>
      </c>
      <c r="F4787" s="79" t="str">
        <f t="shared" si="372"/>
        <v/>
      </c>
      <c r="G4787" s="101"/>
      <c r="H4787" s="91">
        <f t="shared" si="373"/>
        <v>0</v>
      </c>
      <c r="I4787" s="91" t="str">
        <f t="shared" si="374"/>
        <v/>
      </c>
      <c r="J4787" s="91" t="str">
        <f t="shared" si="375"/>
        <v/>
      </c>
      <c r="K4787" s="92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2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58"/>
      <c r="U4787" s="217" t="str">
        <f t="shared" si="376"/>
        <v/>
      </c>
      <c r="V4787" s="215" t="s">
        <v>47</v>
      </c>
      <c r="W4787" s="102" t="s">
        <v>136</v>
      </c>
      <c r="X4787" s="102" t="s">
        <v>137</v>
      </c>
      <c r="Y4787" s="103" t="s">
        <v>138</v>
      </c>
      <c r="Z4787" s="103" t="s">
        <v>139</v>
      </c>
      <c r="AA4787" s="103" t="s">
        <v>47</v>
      </c>
      <c r="AB4787" s="103" t="s">
        <v>140</v>
      </c>
      <c r="AC4787" s="104" t="s">
        <v>141</v>
      </c>
    </row>
    <row r="4788" spans="1:29" ht="25.5" customHeight="1" x14ac:dyDescent="0.35">
      <c r="A4788" s="188"/>
      <c r="B4788" s="190"/>
      <c r="C4788" s="99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0"/>
      <c r="E4788" s="78" t="str">
        <f>IF(C4788="","",IFERROR(VLOOKUP(C4788,parametros!$A$11:$E$15,5,0),""))</f>
        <v/>
      </c>
      <c r="F4788" s="79" t="str">
        <f t="shared" si="372"/>
        <v/>
      </c>
      <c r="G4788" s="101"/>
      <c r="H4788" s="91">
        <f t="shared" si="373"/>
        <v>0</v>
      </c>
      <c r="I4788" s="91" t="str">
        <f t="shared" si="374"/>
        <v/>
      </c>
      <c r="J4788" s="91" t="str">
        <f t="shared" si="375"/>
        <v/>
      </c>
      <c r="K4788" s="92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2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58"/>
      <c r="U4788" s="217" t="str">
        <f t="shared" si="376"/>
        <v/>
      </c>
      <c r="V4788" s="215" t="s">
        <v>47</v>
      </c>
      <c r="W4788" s="102" t="s">
        <v>136</v>
      </c>
      <c r="X4788" s="102" t="s">
        <v>137</v>
      </c>
      <c r="Y4788" s="103" t="s">
        <v>138</v>
      </c>
      <c r="Z4788" s="103" t="s">
        <v>139</v>
      </c>
      <c r="AA4788" s="103" t="s">
        <v>47</v>
      </c>
      <c r="AB4788" s="103" t="s">
        <v>140</v>
      </c>
      <c r="AC4788" s="104" t="s">
        <v>141</v>
      </c>
    </row>
    <row r="4789" spans="1:29" ht="25.5" customHeight="1" x14ac:dyDescent="0.35">
      <c r="A4789" s="188"/>
      <c r="B4789" s="190"/>
      <c r="C4789" s="99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0"/>
      <c r="E4789" s="78" t="str">
        <f>IF(C4789="","",IFERROR(VLOOKUP(C4789,parametros!$A$11:$E$15,5,0),""))</f>
        <v/>
      </c>
      <c r="F4789" s="79" t="str">
        <f t="shared" si="372"/>
        <v/>
      </c>
      <c r="G4789" s="101"/>
      <c r="H4789" s="91">
        <f t="shared" si="373"/>
        <v>0</v>
      </c>
      <c r="I4789" s="91" t="str">
        <f t="shared" si="374"/>
        <v/>
      </c>
      <c r="J4789" s="91" t="str">
        <f t="shared" si="375"/>
        <v/>
      </c>
      <c r="K4789" s="92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2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58"/>
      <c r="U4789" s="217" t="str">
        <f t="shared" si="376"/>
        <v/>
      </c>
      <c r="V4789" s="215" t="s">
        <v>47</v>
      </c>
      <c r="W4789" s="102" t="s">
        <v>136</v>
      </c>
      <c r="X4789" s="102" t="s">
        <v>137</v>
      </c>
      <c r="Y4789" s="103" t="s">
        <v>138</v>
      </c>
      <c r="Z4789" s="103" t="s">
        <v>139</v>
      </c>
      <c r="AA4789" s="103" t="s">
        <v>47</v>
      </c>
      <c r="AB4789" s="103" t="s">
        <v>140</v>
      </c>
      <c r="AC4789" s="104" t="s">
        <v>141</v>
      </c>
    </row>
    <row r="4790" spans="1:29" ht="25.5" customHeight="1" x14ac:dyDescent="0.35">
      <c r="A4790" s="188"/>
      <c r="B4790" s="190"/>
      <c r="C4790" s="99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0"/>
      <c r="E4790" s="78" t="str">
        <f>IF(C4790="","",IFERROR(VLOOKUP(C4790,parametros!$A$11:$E$15,5,0),""))</f>
        <v/>
      </c>
      <c r="F4790" s="79" t="str">
        <f t="shared" si="372"/>
        <v/>
      </c>
      <c r="G4790" s="101"/>
      <c r="H4790" s="91">
        <f t="shared" si="373"/>
        <v>0</v>
      </c>
      <c r="I4790" s="91" t="str">
        <f t="shared" si="374"/>
        <v/>
      </c>
      <c r="J4790" s="91" t="str">
        <f t="shared" si="375"/>
        <v/>
      </c>
      <c r="K4790" s="92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2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58"/>
      <c r="U4790" s="217" t="str">
        <f t="shared" si="376"/>
        <v/>
      </c>
      <c r="V4790" s="215" t="s">
        <v>47</v>
      </c>
      <c r="W4790" s="102" t="s">
        <v>136</v>
      </c>
      <c r="X4790" s="102" t="s">
        <v>137</v>
      </c>
      <c r="Y4790" s="103" t="s">
        <v>138</v>
      </c>
      <c r="Z4790" s="103" t="s">
        <v>139</v>
      </c>
      <c r="AA4790" s="103" t="s">
        <v>47</v>
      </c>
      <c r="AB4790" s="103" t="s">
        <v>140</v>
      </c>
      <c r="AC4790" s="104" t="s">
        <v>141</v>
      </c>
    </row>
    <row r="4791" spans="1:29" ht="25.5" customHeight="1" x14ac:dyDescent="0.35">
      <c r="A4791" s="188"/>
      <c r="B4791" s="190"/>
      <c r="C4791" s="99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0"/>
      <c r="E4791" s="78" t="str">
        <f>IF(C4791="","",IFERROR(VLOOKUP(C4791,parametros!$A$11:$E$15,5,0),""))</f>
        <v/>
      </c>
      <c r="F4791" s="79" t="str">
        <f t="shared" si="372"/>
        <v/>
      </c>
      <c r="G4791" s="101"/>
      <c r="H4791" s="91">
        <f t="shared" si="373"/>
        <v>0</v>
      </c>
      <c r="I4791" s="91" t="str">
        <f t="shared" si="374"/>
        <v/>
      </c>
      <c r="J4791" s="91" t="str">
        <f t="shared" si="375"/>
        <v/>
      </c>
      <c r="K4791" s="92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2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58"/>
      <c r="U4791" s="217" t="str">
        <f t="shared" si="376"/>
        <v/>
      </c>
      <c r="V4791" s="215" t="s">
        <v>47</v>
      </c>
      <c r="W4791" s="102" t="s">
        <v>136</v>
      </c>
      <c r="X4791" s="102" t="s">
        <v>137</v>
      </c>
      <c r="Y4791" s="103" t="s">
        <v>138</v>
      </c>
      <c r="Z4791" s="103" t="s">
        <v>139</v>
      </c>
      <c r="AA4791" s="103" t="s">
        <v>47</v>
      </c>
      <c r="AB4791" s="103" t="s">
        <v>140</v>
      </c>
      <c r="AC4791" s="104" t="s">
        <v>141</v>
      </c>
    </row>
    <row r="4792" spans="1:29" ht="25.5" customHeight="1" x14ac:dyDescent="0.35">
      <c r="A4792" s="188"/>
      <c r="B4792" s="190"/>
      <c r="C4792" s="99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0"/>
      <c r="E4792" s="78" t="str">
        <f>IF(C4792="","",IFERROR(VLOOKUP(C4792,parametros!$A$11:$E$15,5,0),""))</f>
        <v/>
      </c>
      <c r="F4792" s="79" t="str">
        <f t="shared" si="372"/>
        <v/>
      </c>
      <c r="G4792" s="101"/>
      <c r="H4792" s="91">
        <f t="shared" si="373"/>
        <v>0</v>
      </c>
      <c r="I4792" s="91" t="str">
        <f t="shared" si="374"/>
        <v/>
      </c>
      <c r="J4792" s="91" t="str">
        <f t="shared" si="375"/>
        <v/>
      </c>
      <c r="K4792" s="92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2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58"/>
      <c r="U4792" s="217" t="str">
        <f t="shared" si="376"/>
        <v/>
      </c>
      <c r="V4792" s="215" t="s">
        <v>47</v>
      </c>
      <c r="W4792" s="102" t="s">
        <v>136</v>
      </c>
      <c r="X4792" s="102" t="s">
        <v>137</v>
      </c>
      <c r="Y4792" s="103" t="s">
        <v>138</v>
      </c>
      <c r="Z4792" s="103" t="s">
        <v>139</v>
      </c>
      <c r="AA4792" s="103" t="s">
        <v>47</v>
      </c>
      <c r="AB4792" s="103" t="s">
        <v>140</v>
      </c>
      <c r="AC4792" s="104" t="s">
        <v>141</v>
      </c>
    </row>
    <row r="4793" spans="1:29" ht="25.5" customHeight="1" x14ac:dyDescent="0.35">
      <c r="A4793" s="188"/>
      <c r="B4793" s="190"/>
      <c r="C4793" s="99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0"/>
      <c r="E4793" s="78" t="str">
        <f>IF(C4793="","",IFERROR(VLOOKUP(C4793,parametros!$A$11:$E$15,5,0),""))</f>
        <v/>
      </c>
      <c r="F4793" s="79" t="str">
        <f t="shared" si="372"/>
        <v/>
      </c>
      <c r="G4793" s="101"/>
      <c r="H4793" s="91">
        <f t="shared" si="373"/>
        <v>0</v>
      </c>
      <c r="I4793" s="91" t="str">
        <f t="shared" si="374"/>
        <v/>
      </c>
      <c r="J4793" s="91" t="str">
        <f t="shared" si="375"/>
        <v/>
      </c>
      <c r="K4793" s="92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2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58"/>
      <c r="U4793" s="217" t="str">
        <f t="shared" si="376"/>
        <v/>
      </c>
      <c r="V4793" s="215" t="s">
        <v>47</v>
      </c>
      <c r="W4793" s="102" t="s">
        <v>136</v>
      </c>
      <c r="X4793" s="102" t="s">
        <v>137</v>
      </c>
      <c r="Y4793" s="103" t="s">
        <v>138</v>
      </c>
      <c r="Z4793" s="103" t="s">
        <v>139</v>
      </c>
      <c r="AA4793" s="103" t="s">
        <v>47</v>
      </c>
      <c r="AB4793" s="103" t="s">
        <v>140</v>
      </c>
      <c r="AC4793" s="104" t="s">
        <v>141</v>
      </c>
    </row>
    <row r="4794" spans="1:29" ht="25.5" customHeight="1" x14ac:dyDescent="0.35">
      <c r="A4794" s="188"/>
      <c r="B4794" s="190"/>
      <c r="C4794" s="99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0"/>
      <c r="E4794" s="78" t="str">
        <f>IF(C4794="","",IFERROR(VLOOKUP(C4794,parametros!$A$11:$E$15,5,0),""))</f>
        <v/>
      </c>
      <c r="F4794" s="79" t="str">
        <f t="shared" si="372"/>
        <v/>
      </c>
      <c r="G4794" s="101"/>
      <c r="H4794" s="91">
        <f t="shared" si="373"/>
        <v>0</v>
      </c>
      <c r="I4794" s="91" t="str">
        <f t="shared" si="374"/>
        <v/>
      </c>
      <c r="J4794" s="91" t="str">
        <f t="shared" si="375"/>
        <v/>
      </c>
      <c r="K4794" s="92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2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58"/>
      <c r="U4794" s="217" t="str">
        <f t="shared" si="376"/>
        <v/>
      </c>
      <c r="V4794" s="215" t="s">
        <v>47</v>
      </c>
      <c r="W4794" s="102" t="s">
        <v>136</v>
      </c>
      <c r="X4794" s="102" t="s">
        <v>137</v>
      </c>
      <c r="Y4794" s="103" t="s">
        <v>138</v>
      </c>
      <c r="Z4794" s="103" t="s">
        <v>139</v>
      </c>
      <c r="AA4794" s="103" t="s">
        <v>47</v>
      </c>
      <c r="AB4794" s="103" t="s">
        <v>140</v>
      </c>
      <c r="AC4794" s="104" t="s">
        <v>141</v>
      </c>
    </row>
    <row r="4795" spans="1:29" ht="25.5" customHeight="1" x14ac:dyDescent="0.35">
      <c r="A4795" s="188"/>
      <c r="B4795" s="190"/>
      <c r="C4795" s="99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0"/>
      <c r="E4795" s="78" t="str">
        <f>IF(C4795="","",IFERROR(VLOOKUP(C4795,parametros!$A$11:$E$15,5,0),""))</f>
        <v/>
      </c>
      <c r="F4795" s="79" t="str">
        <f t="shared" si="372"/>
        <v/>
      </c>
      <c r="G4795" s="101"/>
      <c r="H4795" s="91">
        <f t="shared" si="373"/>
        <v>0</v>
      </c>
      <c r="I4795" s="91" t="str">
        <f t="shared" si="374"/>
        <v/>
      </c>
      <c r="J4795" s="91" t="str">
        <f t="shared" si="375"/>
        <v/>
      </c>
      <c r="K4795" s="92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2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58"/>
      <c r="U4795" s="217" t="str">
        <f t="shared" si="376"/>
        <v/>
      </c>
      <c r="V4795" s="215" t="s">
        <v>47</v>
      </c>
      <c r="W4795" s="102" t="s">
        <v>136</v>
      </c>
      <c r="X4795" s="102" t="s">
        <v>137</v>
      </c>
      <c r="Y4795" s="103" t="s">
        <v>138</v>
      </c>
      <c r="Z4795" s="103" t="s">
        <v>139</v>
      </c>
      <c r="AA4795" s="103" t="s">
        <v>47</v>
      </c>
      <c r="AB4795" s="103" t="s">
        <v>140</v>
      </c>
      <c r="AC4795" s="104" t="s">
        <v>141</v>
      </c>
    </row>
    <row r="4796" spans="1:29" ht="25.5" customHeight="1" x14ac:dyDescent="0.35">
      <c r="A4796" s="188"/>
      <c r="B4796" s="190"/>
      <c r="C4796" s="99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0"/>
      <c r="E4796" s="78" t="str">
        <f>IF(C4796="","",IFERROR(VLOOKUP(C4796,parametros!$A$11:$E$15,5,0),""))</f>
        <v/>
      </c>
      <c r="F4796" s="79" t="str">
        <f t="shared" si="372"/>
        <v/>
      </c>
      <c r="G4796" s="101"/>
      <c r="H4796" s="91">
        <f t="shared" si="373"/>
        <v>0</v>
      </c>
      <c r="I4796" s="91" t="str">
        <f t="shared" si="374"/>
        <v/>
      </c>
      <c r="J4796" s="91" t="str">
        <f t="shared" si="375"/>
        <v/>
      </c>
      <c r="K4796" s="92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2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58"/>
      <c r="U4796" s="217" t="str">
        <f t="shared" si="376"/>
        <v/>
      </c>
      <c r="V4796" s="215" t="s">
        <v>47</v>
      </c>
      <c r="W4796" s="102" t="s">
        <v>136</v>
      </c>
      <c r="X4796" s="102" t="s">
        <v>137</v>
      </c>
      <c r="Y4796" s="103" t="s">
        <v>138</v>
      </c>
      <c r="Z4796" s="103" t="s">
        <v>139</v>
      </c>
      <c r="AA4796" s="103" t="s">
        <v>47</v>
      </c>
      <c r="AB4796" s="103" t="s">
        <v>140</v>
      </c>
      <c r="AC4796" s="104" t="s">
        <v>141</v>
      </c>
    </row>
    <row r="4797" spans="1:29" ht="25.5" customHeight="1" x14ac:dyDescent="0.35">
      <c r="A4797" s="188"/>
      <c r="B4797" s="190"/>
      <c r="C4797" s="99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0"/>
      <c r="E4797" s="78" t="str">
        <f>IF(C4797="","",IFERROR(VLOOKUP(C4797,parametros!$A$11:$E$15,5,0),""))</f>
        <v/>
      </c>
      <c r="F4797" s="79" t="str">
        <f t="shared" si="372"/>
        <v/>
      </c>
      <c r="G4797" s="101"/>
      <c r="H4797" s="91">
        <f t="shared" si="373"/>
        <v>0</v>
      </c>
      <c r="I4797" s="91" t="str">
        <f t="shared" si="374"/>
        <v/>
      </c>
      <c r="J4797" s="91" t="str">
        <f t="shared" si="375"/>
        <v/>
      </c>
      <c r="K4797" s="92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2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58"/>
      <c r="U4797" s="217" t="str">
        <f t="shared" si="376"/>
        <v/>
      </c>
      <c r="V4797" s="215" t="s">
        <v>47</v>
      </c>
      <c r="W4797" s="102" t="s">
        <v>136</v>
      </c>
      <c r="X4797" s="102" t="s">
        <v>137</v>
      </c>
      <c r="Y4797" s="103" t="s">
        <v>138</v>
      </c>
      <c r="Z4797" s="103" t="s">
        <v>139</v>
      </c>
      <c r="AA4797" s="103" t="s">
        <v>47</v>
      </c>
      <c r="AB4797" s="103" t="s">
        <v>140</v>
      </c>
      <c r="AC4797" s="104" t="s">
        <v>141</v>
      </c>
    </row>
    <row r="4798" spans="1:29" ht="25.5" customHeight="1" x14ac:dyDescent="0.35">
      <c r="A4798" s="188"/>
      <c r="B4798" s="190"/>
      <c r="C4798" s="99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0"/>
      <c r="E4798" s="78" t="str">
        <f>IF(C4798="","",IFERROR(VLOOKUP(C4798,parametros!$A$11:$E$15,5,0),""))</f>
        <v/>
      </c>
      <c r="F4798" s="79" t="str">
        <f t="shared" si="372"/>
        <v/>
      </c>
      <c r="G4798" s="101"/>
      <c r="H4798" s="91">
        <f t="shared" si="373"/>
        <v>0</v>
      </c>
      <c r="I4798" s="91" t="str">
        <f t="shared" si="374"/>
        <v/>
      </c>
      <c r="J4798" s="91" t="str">
        <f t="shared" si="375"/>
        <v/>
      </c>
      <c r="K4798" s="92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2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58"/>
      <c r="U4798" s="217" t="str">
        <f t="shared" si="376"/>
        <v/>
      </c>
      <c r="V4798" s="215" t="s">
        <v>47</v>
      </c>
      <c r="W4798" s="102" t="s">
        <v>136</v>
      </c>
      <c r="X4798" s="102" t="s">
        <v>137</v>
      </c>
      <c r="Y4798" s="103" t="s">
        <v>138</v>
      </c>
      <c r="Z4798" s="103" t="s">
        <v>139</v>
      </c>
      <c r="AA4798" s="103" t="s">
        <v>47</v>
      </c>
      <c r="AB4798" s="103" t="s">
        <v>140</v>
      </c>
      <c r="AC4798" s="104" t="s">
        <v>141</v>
      </c>
    </row>
    <row r="4799" spans="1:29" ht="25.5" customHeight="1" x14ac:dyDescent="0.35">
      <c r="A4799" s="188"/>
      <c r="B4799" s="190"/>
      <c r="C4799" s="99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0"/>
      <c r="E4799" s="78" t="str">
        <f>IF(C4799="","",IFERROR(VLOOKUP(C4799,parametros!$A$11:$E$15,5,0),""))</f>
        <v/>
      </c>
      <c r="F4799" s="79" t="str">
        <f t="shared" si="372"/>
        <v/>
      </c>
      <c r="G4799" s="101"/>
      <c r="H4799" s="91">
        <f t="shared" si="373"/>
        <v>0</v>
      </c>
      <c r="I4799" s="91" t="str">
        <f t="shared" si="374"/>
        <v/>
      </c>
      <c r="J4799" s="91" t="str">
        <f t="shared" si="375"/>
        <v/>
      </c>
      <c r="K4799" s="92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2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58"/>
      <c r="U4799" s="217" t="str">
        <f t="shared" si="376"/>
        <v/>
      </c>
      <c r="V4799" s="215" t="s">
        <v>47</v>
      </c>
      <c r="W4799" s="102" t="s">
        <v>136</v>
      </c>
      <c r="X4799" s="102" t="s">
        <v>137</v>
      </c>
      <c r="Y4799" s="103" t="s">
        <v>138</v>
      </c>
      <c r="Z4799" s="103" t="s">
        <v>139</v>
      </c>
      <c r="AA4799" s="103" t="s">
        <v>47</v>
      </c>
      <c r="AB4799" s="103" t="s">
        <v>140</v>
      </c>
      <c r="AC4799" s="104" t="s">
        <v>141</v>
      </c>
    </row>
    <row r="4800" spans="1:29" ht="25.5" customHeight="1" x14ac:dyDescent="0.35">
      <c r="A4800" s="188"/>
      <c r="B4800" s="190"/>
      <c r="C4800" s="99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0"/>
      <c r="E4800" s="78" t="str">
        <f>IF(C4800="","",IFERROR(VLOOKUP(C4800,parametros!$A$11:$E$15,5,0),""))</f>
        <v/>
      </c>
      <c r="F4800" s="79" t="str">
        <f t="shared" si="372"/>
        <v/>
      </c>
      <c r="G4800" s="101"/>
      <c r="H4800" s="91">
        <f t="shared" si="373"/>
        <v>0</v>
      </c>
      <c r="I4800" s="91" t="str">
        <f t="shared" si="374"/>
        <v/>
      </c>
      <c r="J4800" s="91" t="str">
        <f t="shared" si="375"/>
        <v/>
      </c>
      <c r="K4800" s="92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2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58"/>
      <c r="U4800" s="217" t="str">
        <f t="shared" si="376"/>
        <v/>
      </c>
      <c r="V4800" s="215" t="s">
        <v>47</v>
      </c>
      <c r="W4800" s="102" t="s">
        <v>136</v>
      </c>
      <c r="X4800" s="102" t="s">
        <v>137</v>
      </c>
      <c r="Y4800" s="103" t="s">
        <v>138</v>
      </c>
      <c r="Z4800" s="103" t="s">
        <v>139</v>
      </c>
      <c r="AA4800" s="103" t="s">
        <v>47</v>
      </c>
      <c r="AB4800" s="103" t="s">
        <v>140</v>
      </c>
      <c r="AC4800" s="104" t="s">
        <v>141</v>
      </c>
    </row>
    <row r="4801" spans="1:29" ht="25.5" customHeight="1" x14ac:dyDescent="0.35">
      <c r="A4801" s="188"/>
      <c r="B4801" s="190"/>
      <c r="C4801" s="99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0"/>
      <c r="E4801" s="78" t="str">
        <f>IF(C4801="","",IFERROR(VLOOKUP(C4801,parametros!$A$11:$E$15,5,0),""))</f>
        <v/>
      </c>
      <c r="F4801" s="79" t="str">
        <f t="shared" si="372"/>
        <v/>
      </c>
      <c r="G4801" s="101"/>
      <c r="H4801" s="91">
        <f t="shared" si="373"/>
        <v>0</v>
      </c>
      <c r="I4801" s="91" t="str">
        <f t="shared" si="374"/>
        <v/>
      </c>
      <c r="J4801" s="91" t="str">
        <f t="shared" si="375"/>
        <v/>
      </c>
      <c r="K4801" s="92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2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58"/>
      <c r="U4801" s="217" t="str">
        <f t="shared" si="376"/>
        <v/>
      </c>
      <c r="V4801" s="215" t="s">
        <v>47</v>
      </c>
      <c r="W4801" s="102" t="s">
        <v>136</v>
      </c>
      <c r="X4801" s="102" t="s">
        <v>137</v>
      </c>
      <c r="Y4801" s="103" t="s">
        <v>138</v>
      </c>
      <c r="Z4801" s="103" t="s">
        <v>139</v>
      </c>
      <c r="AA4801" s="103" t="s">
        <v>47</v>
      </c>
      <c r="AB4801" s="103" t="s">
        <v>140</v>
      </c>
      <c r="AC4801" s="104" t="s">
        <v>141</v>
      </c>
    </row>
    <row r="4802" spans="1:29" ht="25.5" customHeight="1" x14ac:dyDescent="0.35">
      <c r="A4802" s="188"/>
      <c r="B4802" s="190"/>
      <c r="C4802" s="99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0"/>
      <c r="E4802" s="78" t="str">
        <f>IF(C4802="","",IFERROR(VLOOKUP(C4802,parametros!$A$11:$E$15,5,0),""))</f>
        <v/>
      </c>
      <c r="F4802" s="79" t="str">
        <f t="shared" ref="F4802:F4865" si="377">IF(OR(D4802="",E4802=""),"",ROUND(D4802*E4802,2))</f>
        <v/>
      </c>
      <c r="G4802" s="101"/>
      <c r="H4802" s="91">
        <f t="shared" ref="H4802:H4865" si="378">IF(G4802="Sim",IF(OR(F4802="",D4802="",L4802=""),"",IF(L4802="Sim",ROUND(F4802-D4802,2),0)),0)</f>
        <v>0</v>
      </c>
      <c r="I4802" s="91" t="str">
        <f t="shared" ref="I4802:I4865" si="379">IF(G4802="Sim",0,IF(OR(F4802="",L4802=""),"",F4802))</f>
        <v/>
      </c>
      <c r="J4802" s="91" t="str">
        <f t="shared" ref="J4802:J4865" si="380">IF(G4802="Sim",0,IF(OR(F4802="",D4802="",L4802=""),"",IF(L4802="Sim",ROUND(F4802-D4802,2),0)))</f>
        <v/>
      </c>
      <c r="K4802" s="92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2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58"/>
      <c r="U4802" s="217" t="str">
        <f t="shared" ref="U4802:U4865" si="381">IF(OR($D4802="",$H4802=""),"",ROUND($D4802+$H4802,2))</f>
        <v/>
      </c>
      <c r="V4802" s="215" t="s">
        <v>47</v>
      </c>
      <c r="W4802" s="102" t="s">
        <v>136</v>
      </c>
      <c r="X4802" s="102" t="s">
        <v>137</v>
      </c>
      <c r="Y4802" s="103" t="s">
        <v>138</v>
      </c>
      <c r="Z4802" s="103" t="s">
        <v>139</v>
      </c>
      <c r="AA4802" s="103" t="s">
        <v>47</v>
      </c>
      <c r="AB4802" s="103" t="s">
        <v>140</v>
      </c>
      <c r="AC4802" s="104" t="s">
        <v>141</v>
      </c>
    </row>
    <row r="4803" spans="1:29" ht="25.5" customHeight="1" x14ac:dyDescent="0.35">
      <c r="A4803" s="188"/>
      <c r="B4803" s="190"/>
      <c r="C4803" s="99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0"/>
      <c r="E4803" s="78" t="str">
        <f>IF(C4803="","",IFERROR(VLOOKUP(C4803,parametros!$A$11:$E$15,5,0),""))</f>
        <v/>
      </c>
      <c r="F4803" s="79" t="str">
        <f t="shared" si="377"/>
        <v/>
      </c>
      <c r="G4803" s="101"/>
      <c r="H4803" s="91">
        <f t="shared" si="378"/>
        <v>0</v>
      </c>
      <c r="I4803" s="91" t="str">
        <f t="shared" si="379"/>
        <v/>
      </c>
      <c r="J4803" s="91" t="str">
        <f t="shared" si="380"/>
        <v/>
      </c>
      <c r="K4803" s="92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2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58"/>
      <c r="U4803" s="217" t="str">
        <f t="shared" si="381"/>
        <v/>
      </c>
      <c r="V4803" s="215" t="s">
        <v>47</v>
      </c>
      <c r="W4803" s="102" t="s">
        <v>136</v>
      </c>
      <c r="X4803" s="102" t="s">
        <v>137</v>
      </c>
      <c r="Y4803" s="103" t="s">
        <v>138</v>
      </c>
      <c r="Z4803" s="103" t="s">
        <v>139</v>
      </c>
      <c r="AA4803" s="103" t="s">
        <v>47</v>
      </c>
      <c r="AB4803" s="103" t="s">
        <v>140</v>
      </c>
      <c r="AC4803" s="104" t="s">
        <v>141</v>
      </c>
    </row>
    <row r="4804" spans="1:29" ht="25.5" customHeight="1" x14ac:dyDescent="0.35">
      <c r="A4804" s="188"/>
      <c r="B4804" s="190"/>
      <c r="C4804" s="99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0"/>
      <c r="E4804" s="78" t="str">
        <f>IF(C4804="","",IFERROR(VLOOKUP(C4804,parametros!$A$11:$E$15,5,0),""))</f>
        <v/>
      </c>
      <c r="F4804" s="79" t="str">
        <f t="shared" si="377"/>
        <v/>
      </c>
      <c r="G4804" s="101"/>
      <c r="H4804" s="91">
        <f t="shared" si="378"/>
        <v>0</v>
      </c>
      <c r="I4804" s="91" t="str">
        <f t="shared" si="379"/>
        <v/>
      </c>
      <c r="J4804" s="91" t="str">
        <f t="shared" si="380"/>
        <v/>
      </c>
      <c r="K4804" s="92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2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58"/>
      <c r="U4804" s="217" t="str">
        <f t="shared" si="381"/>
        <v/>
      </c>
      <c r="V4804" s="215" t="s">
        <v>47</v>
      </c>
      <c r="W4804" s="102" t="s">
        <v>136</v>
      </c>
      <c r="X4804" s="102" t="s">
        <v>137</v>
      </c>
      <c r="Y4804" s="103" t="s">
        <v>138</v>
      </c>
      <c r="Z4804" s="103" t="s">
        <v>139</v>
      </c>
      <c r="AA4804" s="103" t="s">
        <v>47</v>
      </c>
      <c r="AB4804" s="103" t="s">
        <v>140</v>
      </c>
      <c r="AC4804" s="104" t="s">
        <v>141</v>
      </c>
    </row>
    <row r="4805" spans="1:29" ht="25.5" customHeight="1" x14ac:dyDescent="0.35">
      <c r="A4805" s="188"/>
      <c r="B4805" s="190"/>
      <c r="C4805" s="99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0"/>
      <c r="E4805" s="78" t="str">
        <f>IF(C4805="","",IFERROR(VLOOKUP(C4805,parametros!$A$11:$E$15,5,0),""))</f>
        <v/>
      </c>
      <c r="F4805" s="79" t="str">
        <f t="shared" si="377"/>
        <v/>
      </c>
      <c r="G4805" s="101"/>
      <c r="H4805" s="91">
        <f t="shared" si="378"/>
        <v>0</v>
      </c>
      <c r="I4805" s="91" t="str">
        <f t="shared" si="379"/>
        <v/>
      </c>
      <c r="J4805" s="91" t="str">
        <f t="shared" si="380"/>
        <v/>
      </c>
      <c r="K4805" s="92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2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58"/>
      <c r="U4805" s="217" t="str">
        <f t="shared" si="381"/>
        <v/>
      </c>
      <c r="V4805" s="215" t="s">
        <v>47</v>
      </c>
      <c r="W4805" s="102" t="s">
        <v>136</v>
      </c>
      <c r="X4805" s="102" t="s">
        <v>137</v>
      </c>
      <c r="Y4805" s="103" t="s">
        <v>138</v>
      </c>
      <c r="Z4805" s="103" t="s">
        <v>139</v>
      </c>
      <c r="AA4805" s="103" t="s">
        <v>47</v>
      </c>
      <c r="AB4805" s="103" t="s">
        <v>140</v>
      </c>
      <c r="AC4805" s="104" t="s">
        <v>141</v>
      </c>
    </row>
    <row r="4806" spans="1:29" ht="25.5" customHeight="1" x14ac:dyDescent="0.35">
      <c r="A4806" s="188"/>
      <c r="B4806" s="190"/>
      <c r="C4806" s="99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0"/>
      <c r="E4806" s="78" t="str">
        <f>IF(C4806="","",IFERROR(VLOOKUP(C4806,parametros!$A$11:$E$15,5,0),""))</f>
        <v/>
      </c>
      <c r="F4806" s="79" t="str">
        <f t="shared" si="377"/>
        <v/>
      </c>
      <c r="G4806" s="101"/>
      <c r="H4806" s="91">
        <f t="shared" si="378"/>
        <v>0</v>
      </c>
      <c r="I4806" s="91" t="str">
        <f t="shared" si="379"/>
        <v/>
      </c>
      <c r="J4806" s="91" t="str">
        <f t="shared" si="380"/>
        <v/>
      </c>
      <c r="K4806" s="92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2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58"/>
      <c r="U4806" s="217" t="str">
        <f t="shared" si="381"/>
        <v/>
      </c>
      <c r="V4806" s="215" t="s">
        <v>47</v>
      </c>
      <c r="W4806" s="102" t="s">
        <v>136</v>
      </c>
      <c r="X4806" s="102" t="s">
        <v>137</v>
      </c>
      <c r="Y4806" s="103" t="s">
        <v>138</v>
      </c>
      <c r="Z4806" s="103" t="s">
        <v>139</v>
      </c>
      <c r="AA4806" s="103" t="s">
        <v>47</v>
      </c>
      <c r="AB4806" s="103" t="s">
        <v>140</v>
      </c>
      <c r="AC4806" s="104" t="s">
        <v>141</v>
      </c>
    </row>
    <row r="4807" spans="1:29" ht="25.5" customHeight="1" x14ac:dyDescent="0.35">
      <c r="A4807" s="188"/>
      <c r="B4807" s="190"/>
      <c r="C4807" s="99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0"/>
      <c r="E4807" s="78" t="str">
        <f>IF(C4807="","",IFERROR(VLOOKUP(C4807,parametros!$A$11:$E$15,5,0),""))</f>
        <v/>
      </c>
      <c r="F4807" s="79" t="str">
        <f t="shared" si="377"/>
        <v/>
      </c>
      <c r="G4807" s="101"/>
      <c r="H4807" s="91">
        <f t="shared" si="378"/>
        <v>0</v>
      </c>
      <c r="I4807" s="91" t="str">
        <f t="shared" si="379"/>
        <v/>
      </c>
      <c r="J4807" s="91" t="str">
        <f t="shared" si="380"/>
        <v/>
      </c>
      <c r="K4807" s="92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2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58"/>
      <c r="U4807" s="217" t="str">
        <f t="shared" si="381"/>
        <v/>
      </c>
      <c r="V4807" s="215" t="s">
        <v>47</v>
      </c>
      <c r="W4807" s="102" t="s">
        <v>136</v>
      </c>
      <c r="X4807" s="102" t="s">
        <v>137</v>
      </c>
      <c r="Y4807" s="103" t="s">
        <v>138</v>
      </c>
      <c r="Z4807" s="103" t="s">
        <v>139</v>
      </c>
      <c r="AA4807" s="103" t="s">
        <v>47</v>
      </c>
      <c r="AB4807" s="103" t="s">
        <v>140</v>
      </c>
      <c r="AC4807" s="104" t="s">
        <v>141</v>
      </c>
    </row>
    <row r="4808" spans="1:29" ht="25.5" customHeight="1" x14ac:dyDescent="0.35">
      <c r="A4808" s="188"/>
      <c r="B4808" s="190"/>
      <c r="C4808" s="99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0"/>
      <c r="E4808" s="78" t="str">
        <f>IF(C4808="","",IFERROR(VLOOKUP(C4808,parametros!$A$11:$E$15,5,0),""))</f>
        <v/>
      </c>
      <c r="F4808" s="79" t="str">
        <f t="shared" si="377"/>
        <v/>
      </c>
      <c r="G4808" s="101"/>
      <c r="H4808" s="91">
        <f t="shared" si="378"/>
        <v>0</v>
      </c>
      <c r="I4808" s="91" t="str">
        <f t="shared" si="379"/>
        <v/>
      </c>
      <c r="J4808" s="91" t="str">
        <f t="shared" si="380"/>
        <v/>
      </c>
      <c r="K4808" s="92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2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58"/>
      <c r="U4808" s="217" t="str">
        <f t="shared" si="381"/>
        <v/>
      </c>
      <c r="V4808" s="215" t="s">
        <v>47</v>
      </c>
      <c r="W4808" s="102" t="s">
        <v>136</v>
      </c>
      <c r="X4808" s="102" t="s">
        <v>137</v>
      </c>
      <c r="Y4808" s="103" t="s">
        <v>138</v>
      </c>
      <c r="Z4808" s="103" t="s">
        <v>139</v>
      </c>
      <c r="AA4808" s="103" t="s">
        <v>47</v>
      </c>
      <c r="AB4808" s="103" t="s">
        <v>140</v>
      </c>
      <c r="AC4808" s="104" t="s">
        <v>141</v>
      </c>
    </row>
    <row r="4809" spans="1:29" ht="25.5" customHeight="1" x14ac:dyDescent="0.35">
      <c r="A4809" s="188"/>
      <c r="B4809" s="190"/>
      <c r="C4809" s="99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0"/>
      <c r="E4809" s="78" t="str">
        <f>IF(C4809="","",IFERROR(VLOOKUP(C4809,parametros!$A$11:$E$15,5,0),""))</f>
        <v/>
      </c>
      <c r="F4809" s="79" t="str">
        <f t="shared" si="377"/>
        <v/>
      </c>
      <c r="G4809" s="101"/>
      <c r="H4809" s="91">
        <f t="shared" si="378"/>
        <v>0</v>
      </c>
      <c r="I4809" s="91" t="str">
        <f t="shared" si="379"/>
        <v/>
      </c>
      <c r="J4809" s="91" t="str">
        <f t="shared" si="380"/>
        <v/>
      </c>
      <c r="K4809" s="92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2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58"/>
      <c r="U4809" s="217" t="str">
        <f t="shared" si="381"/>
        <v/>
      </c>
      <c r="V4809" s="215" t="s">
        <v>47</v>
      </c>
      <c r="W4809" s="102" t="s">
        <v>136</v>
      </c>
      <c r="X4809" s="102" t="s">
        <v>137</v>
      </c>
      <c r="Y4809" s="103" t="s">
        <v>138</v>
      </c>
      <c r="Z4809" s="103" t="s">
        <v>139</v>
      </c>
      <c r="AA4809" s="103" t="s">
        <v>47</v>
      </c>
      <c r="AB4809" s="103" t="s">
        <v>140</v>
      </c>
      <c r="AC4809" s="104" t="s">
        <v>141</v>
      </c>
    </row>
    <row r="4810" spans="1:29" ht="25.5" customHeight="1" x14ac:dyDescent="0.35">
      <c r="A4810" s="188"/>
      <c r="B4810" s="190"/>
      <c r="C4810" s="99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0"/>
      <c r="E4810" s="78" t="str">
        <f>IF(C4810="","",IFERROR(VLOOKUP(C4810,parametros!$A$11:$E$15,5,0),""))</f>
        <v/>
      </c>
      <c r="F4810" s="79" t="str">
        <f t="shared" si="377"/>
        <v/>
      </c>
      <c r="G4810" s="101"/>
      <c r="H4810" s="91">
        <f t="shared" si="378"/>
        <v>0</v>
      </c>
      <c r="I4810" s="91" t="str">
        <f t="shared" si="379"/>
        <v/>
      </c>
      <c r="J4810" s="91" t="str">
        <f t="shared" si="380"/>
        <v/>
      </c>
      <c r="K4810" s="92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2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58"/>
      <c r="U4810" s="217" t="str">
        <f t="shared" si="381"/>
        <v/>
      </c>
      <c r="V4810" s="215" t="s">
        <v>47</v>
      </c>
      <c r="W4810" s="102" t="s">
        <v>136</v>
      </c>
      <c r="X4810" s="102" t="s">
        <v>137</v>
      </c>
      <c r="Y4810" s="103" t="s">
        <v>138</v>
      </c>
      <c r="Z4810" s="103" t="s">
        <v>139</v>
      </c>
      <c r="AA4810" s="103" t="s">
        <v>47</v>
      </c>
      <c r="AB4810" s="103" t="s">
        <v>140</v>
      </c>
      <c r="AC4810" s="104" t="s">
        <v>141</v>
      </c>
    </row>
    <row r="4811" spans="1:29" ht="25.5" customHeight="1" x14ac:dyDescent="0.35">
      <c r="A4811" s="188"/>
      <c r="B4811" s="190"/>
      <c r="C4811" s="99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0"/>
      <c r="E4811" s="78" t="str">
        <f>IF(C4811="","",IFERROR(VLOOKUP(C4811,parametros!$A$11:$E$15,5,0),""))</f>
        <v/>
      </c>
      <c r="F4811" s="79" t="str">
        <f t="shared" si="377"/>
        <v/>
      </c>
      <c r="G4811" s="101"/>
      <c r="H4811" s="91">
        <f t="shared" si="378"/>
        <v>0</v>
      </c>
      <c r="I4811" s="91" t="str">
        <f t="shared" si="379"/>
        <v/>
      </c>
      <c r="J4811" s="91" t="str">
        <f t="shared" si="380"/>
        <v/>
      </c>
      <c r="K4811" s="92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2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58"/>
      <c r="U4811" s="217" t="str">
        <f t="shared" si="381"/>
        <v/>
      </c>
      <c r="V4811" s="215" t="s">
        <v>47</v>
      </c>
      <c r="W4811" s="102" t="s">
        <v>136</v>
      </c>
      <c r="X4811" s="102" t="s">
        <v>137</v>
      </c>
      <c r="Y4811" s="103" t="s">
        <v>138</v>
      </c>
      <c r="Z4811" s="103" t="s">
        <v>139</v>
      </c>
      <c r="AA4811" s="103" t="s">
        <v>47</v>
      </c>
      <c r="AB4811" s="103" t="s">
        <v>140</v>
      </c>
      <c r="AC4811" s="104" t="s">
        <v>141</v>
      </c>
    </row>
    <row r="4812" spans="1:29" ht="25.5" customHeight="1" x14ac:dyDescent="0.35">
      <c r="A4812" s="188"/>
      <c r="B4812" s="190"/>
      <c r="C4812" s="99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0"/>
      <c r="E4812" s="78" t="str">
        <f>IF(C4812="","",IFERROR(VLOOKUP(C4812,parametros!$A$11:$E$15,5,0),""))</f>
        <v/>
      </c>
      <c r="F4812" s="79" t="str">
        <f t="shared" si="377"/>
        <v/>
      </c>
      <c r="G4812" s="101"/>
      <c r="H4812" s="91">
        <f t="shared" si="378"/>
        <v>0</v>
      </c>
      <c r="I4812" s="91" t="str">
        <f t="shared" si="379"/>
        <v/>
      </c>
      <c r="J4812" s="91" t="str">
        <f t="shared" si="380"/>
        <v/>
      </c>
      <c r="K4812" s="92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2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58"/>
      <c r="U4812" s="217" t="str">
        <f t="shared" si="381"/>
        <v/>
      </c>
      <c r="V4812" s="215" t="s">
        <v>47</v>
      </c>
      <c r="W4812" s="102" t="s">
        <v>136</v>
      </c>
      <c r="X4812" s="102" t="s">
        <v>137</v>
      </c>
      <c r="Y4812" s="103" t="s">
        <v>138</v>
      </c>
      <c r="Z4812" s="103" t="s">
        <v>139</v>
      </c>
      <c r="AA4812" s="103" t="s">
        <v>47</v>
      </c>
      <c r="AB4812" s="103" t="s">
        <v>140</v>
      </c>
      <c r="AC4812" s="104" t="s">
        <v>141</v>
      </c>
    </row>
    <row r="4813" spans="1:29" ht="25.5" customHeight="1" x14ac:dyDescent="0.35">
      <c r="A4813" s="188"/>
      <c r="B4813" s="190"/>
      <c r="C4813" s="99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0"/>
      <c r="E4813" s="78" t="str">
        <f>IF(C4813="","",IFERROR(VLOOKUP(C4813,parametros!$A$11:$E$15,5,0),""))</f>
        <v/>
      </c>
      <c r="F4813" s="79" t="str">
        <f t="shared" si="377"/>
        <v/>
      </c>
      <c r="G4813" s="101"/>
      <c r="H4813" s="91">
        <f t="shared" si="378"/>
        <v>0</v>
      </c>
      <c r="I4813" s="91" t="str">
        <f t="shared" si="379"/>
        <v/>
      </c>
      <c r="J4813" s="91" t="str">
        <f t="shared" si="380"/>
        <v/>
      </c>
      <c r="K4813" s="92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2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58"/>
      <c r="U4813" s="217" t="str">
        <f t="shared" si="381"/>
        <v/>
      </c>
      <c r="V4813" s="215" t="s">
        <v>47</v>
      </c>
      <c r="W4813" s="102" t="s">
        <v>136</v>
      </c>
      <c r="X4813" s="102" t="s">
        <v>137</v>
      </c>
      <c r="Y4813" s="103" t="s">
        <v>138</v>
      </c>
      <c r="Z4813" s="103" t="s">
        <v>139</v>
      </c>
      <c r="AA4813" s="103" t="s">
        <v>47</v>
      </c>
      <c r="AB4813" s="103" t="s">
        <v>140</v>
      </c>
      <c r="AC4813" s="104" t="s">
        <v>141</v>
      </c>
    </row>
    <row r="4814" spans="1:29" ht="25.5" customHeight="1" x14ac:dyDescent="0.35">
      <c r="A4814" s="188"/>
      <c r="B4814" s="190"/>
      <c r="C4814" s="99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0"/>
      <c r="E4814" s="78" t="str">
        <f>IF(C4814="","",IFERROR(VLOOKUP(C4814,parametros!$A$11:$E$15,5,0),""))</f>
        <v/>
      </c>
      <c r="F4814" s="79" t="str">
        <f t="shared" si="377"/>
        <v/>
      </c>
      <c r="G4814" s="101"/>
      <c r="H4814" s="91">
        <f t="shared" si="378"/>
        <v>0</v>
      </c>
      <c r="I4814" s="91" t="str">
        <f t="shared" si="379"/>
        <v/>
      </c>
      <c r="J4814" s="91" t="str">
        <f t="shared" si="380"/>
        <v/>
      </c>
      <c r="K4814" s="92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2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58"/>
      <c r="U4814" s="217" t="str">
        <f t="shared" si="381"/>
        <v/>
      </c>
      <c r="V4814" s="215" t="s">
        <v>47</v>
      </c>
      <c r="W4814" s="102" t="s">
        <v>136</v>
      </c>
      <c r="X4814" s="102" t="s">
        <v>137</v>
      </c>
      <c r="Y4814" s="103" t="s">
        <v>138</v>
      </c>
      <c r="Z4814" s="103" t="s">
        <v>139</v>
      </c>
      <c r="AA4814" s="103" t="s">
        <v>47</v>
      </c>
      <c r="AB4814" s="103" t="s">
        <v>140</v>
      </c>
      <c r="AC4814" s="104" t="s">
        <v>141</v>
      </c>
    </row>
    <row r="4815" spans="1:29" ht="25.5" customHeight="1" x14ac:dyDescent="0.35">
      <c r="A4815" s="188"/>
      <c r="B4815" s="190"/>
      <c r="C4815" s="99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0"/>
      <c r="E4815" s="78" t="str">
        <f>IF(C4815="","",IFERROR(VLOOKUP(C4815,parametros!$A$11:$E$15,5,0),""))</f>
        <v/>
      </c>
      <c r="F4815" s="79" t="str">
        <f t="shared" si="377"/>
        <v/>
      </c>
      <c r="G4815" s="101"/>
      <c r="H4815" s="91">
        <f t="shared" si="378"/>
        <v>0</v>
      </c>
      <c r="I4815" s="91" t="str">
        <f t="shared" si="379"/>
        <v/>
      </c>
      <c r="J4815" s="91" t="str">
        <f t="shared" si="380"/>
        <v/>
      </c>
      <c r="K4815" s="92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2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58"/>
      <c r="U4815" s="217" t="str">
        <f t="shared" si="381"/>
        <v/>
      </c>
      <c r="V4815" s="215" t="s">
        <v>47</v>
      </c>
      <c r="W4815" s="102" t="s">
        <v>136</v>
      </c>
      <c r="X4815" s="102" t="s">
        <v>137</v>
      </c>
      <c r="Y4815" s="103" t="s">
        <v>138</v>
      </c>
      <c r="Z4815" s="103" t="s">
        <v>139</v>
      </c>
      <c r="AA4815" s="103" t="s">
        <v>47</v>
      </c>
      <c r="AB4815" s="103" t="s">
        <v>140</v>
      </c>
      <c r="AC4815" s="104" t="s">
        <v>141</v>
      </c>
    </row>
    <row r="4816" spans="1:29" ht="25.5" customHeight="1" x14ac:dyDescent="0.35">
      <c r="A4816" s="188"/>
      <c r="B4816" s="190"/>
      <c r="C4816" s="99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0"/>
      <c r="E4816" s="78" t="str">
        <f>IF(C4816="","",IFERROR(VLOOKUP(C4816,parametros!$A$11:$E$15,5,0),""))</f>
        <v/>
      </c>
      <c r="F4816" s="79" t="str">
        <f t="shared" si="377"/>
        <v/>
      </c>
      <c r="G4816" s="101"/>
      <c r="H4816" s="91">
        <f t="shared" si="378"/>
        <v>0</v>
      </c>
      <c r="I4816" s="91" t="str">
        <f t="shared" si="379"/>
        <v/>
      </c>
      <c r="J4816" s="91" t="str">
        <f t="shared" si="380"/>
        <v/>
      </c>
      <c r="K4816" s="92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2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58"/>
      <c r="U4816" s="217" t="str">
        <f t="shared" si="381"/>
        <v/>
      </c>
      <c r="V4816" s="215" t="s">
        <v>47</v>
      </c>
      <c r="W4816" s="102" t="s">
        <v>136</v>
      </c>
      <c r="X4816" s="102" t="s">
        <v>137</v>
      </c>
      <c r="Y4816" s="103" t="s">
        <v>138</v>
      </c>
      <c r="Z4816" s="103" t="s">
        <v>139</v>
      </c>
      <c r="AA4816" s="103" t="s">
        <v>47</v>
      </c>
      <c r="AB4816" s="103" t="s">
        <v>140</v>
      </c>
      <c r="AC4816" s="104" t="s">
        <v>141</v>
      </c>
    </row>
    <row r="4817" spans="1:29" ht="25.5" customHeight="1" x14ac:dyDescent="0.35">
      <c r="A4817" s="188"/>
      <c r="B4817" s="190"/>
      <c r="C4817" s="99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0"/>
      <c r="E4817" s="78" t="str">
        <f>IF(C4817="","",IFERROR(VLOOKUP(C4817,parametros!$A$11:$E$15,5,0),""))</f>
        <v/>
      </c>
      <c r="F4817" s="79" t="str">
        <f t="shared" si="377"/>
        <v/>
      </c>
      <c r="G4817" s="101"/>
      <c r="H4817" s="91">
        <f t="shared" si="378"/>
        <v>0</v>
      </c>
      <c r="I4817" s="91" t="str">
        <f t="shared" si="379"/>
        <v/>
      </c>
      <c r="J4817" s="91" t="str">
        <f t="shared" si="380"/>
        <v/>
      </c>
      <c r="K4817" s="92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2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58"/>
      <c r="U4817" s="217" t="str">
        <f t="shared" si="381"/>
        <v/>
      </c>
      <c r="V4817" s="215" t="s">
        <v>47</v>
      </c>
      <c r="W4817" s="102" t="s">
        <v>136</v>
      </c>
      <c r="X4817" s="102" t="s">
        <v>137</v>
      </c>
      <c r="Y4817" s="103" t="s">
        <v>138</v>
      </c>
      <c r="Z4817" s="103" t="s">
        <v>139</v>
      </c>
      <c r="AA4817" s="103" t="s">
        <v>47</v>
      </c>
      <c r="AB4817" s="103" t="s">
        <v>140</v>
      </c>
      <c r="AC4817" s="104" t="s">
        <v>141</v>
      </c>
    </row>
    <row r="4818" spans="1:29" ht="25.5" customHeight="1" x14ac:dyDescent="0.35">
      <c r="A4818" s="188"/>
      <c r="B4818" s="190"/>
      <c r="C4818" s="99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0"/>
      <c r="E4818" s="78" t="str">
        <f>IF(C4818="","",IFERROR(VLOOKUP(C4818,parametros!$A$11:$E$15,5,0),""))</f>
        <v/>
      </c>
      <c r="F4818" s="79" t="str">
        <f t="shared" si="377"/>
        <v/>
      </c>
      <c r="G4818" s="101"/>
      <c r="H4818" s="91">
        <f t="shared" si="378"/>
        <v>0</v>
      </c>
      <c r="I4818" s="91" t="str">
        <f t="shared" si="379"/>
        <v/>
      </c>
      <c r="J4818" s="91" t="str">
        <f t="shared" si="380"/>
        <v/>
      </c>
      <c r="K4818" s="92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2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58"/>
      <c r="U4818" s="217" t="str">
        <f t="shared" si="381"/>
        <v/>
      </c>
      <c r="V4818" s="215" t="s">
        <v>47</v>
      </c>
      <c r="W4818" s="102" t="s">
        <v>136</v>
      </c>
      <c r="X4818" s="102" t="s">
        <v>137</v>
      </c>
      <c r="Y4818" s="103" t="s">
        <v>138</v>
      </c>
      <c r="Z4818" s="103" t="s">
        <v>139</v>
      </c>
      <c r="AA4818" s="103" t="s">
        <v>47</v>
      </c>
      <c r="AB4818" s="103" t="s">
        <v>140</v>
      </c>
      <c r="AC4818" s="104" t="s">
        <v>141</v>
      </c>
    </row>
    <row r="4819" spans="1:29" ht="25.5" customHeight="1" x14ac:dyDescent="0.35">
      <c r="A4819" s="188"/>
      <c r="B4819" s="190"/>
      <c r="C4819" s="99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0"/>
      <c r="E4819" s="78" t="str">
        <f>IF(C4819="","",IFERROR(VLOOKUP(C4819,parametros!$A$11:$E$15,5,0),""))</f>
        <v/>
      </c>
      <c r="F4819" s="79" t="str">
        <f t="shared" si="377"/>
        <v/>
      </c>
      <c r="G4819" s="101"/>
      <c r="H4819" s="91">
        <f t="shared" si="378"/>
        <v>0</v>
      </c>
      <c r="I4819" s="91" t="str">
        <f t="shared" si="379"/>
        <v/>
      </c>
      <c r="J4819" s="91" t="str">
        <f t="shared" si="380"/>
        <v/>
      </c>
      <c r="K4819" s="92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2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58"/>
      <c r="U4819" s="217" t="str">
        <f t="shared" si="381"/>
        <v/>
      </c>
      <c r="V4819" s="215" t="s">
        <v>47</v>
      </c>
      <c r="W4819" s="102" t="s">
        <v>136</v>
      </c>
      <c r="X4819" s="102" t="s">
        <v>137</v>
      </c>
      <c r="Y4819" s="103" t="s">
        <v>138</v>
      </c>
      <c r="Z4819" s="103" t="s">
        <v>139</v>
      </c>
      <c r="AA4819" s="103" t="s">
        <v>47</v>
      </c>
      <c r="AB4819" s="103" t="s">
        <v>140</v>
      </c>
      <c r="AC4819" s="104" t="s">
        <v>141</v>
      </c>
    </row>
    <row r="4820" spans="1:29" ht="25.5" customHeight="1" x14ac:dyDescent="0.35">
      <c r="A4820" s="188"/>
      <c r="B4820" s="190"/>
      <c r="C4820" s="99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0"/>
      <c r="E4820" s="78" t="str">
        <f>IF(C4820="","",IFERROR(VLOOKUP(C4820,parametros!$A$11:$E$15,5,0),""))</f>
        <v/>
      </c>
      <c r="F4820" s="79" t="str">
        <f t="shared" si="377"/>
        <v/>
      </c>
      <c r="G4820" s="101"/>
      <c r="H4820" s="91">
        <f t="shared" si="378"/>
        <v>0</v>
      </c>
      <c r="I4820" s="91" t="str">
        <f t="shared" si="379"/>
        <v/>
      </c>
      <c r="J4820" s="91" t="str">
        <f t="shared" si="380"/>
        <v/>
      </c>
      <c r="K4820" s="92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2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58"/>
      <c r="U4820" s="217" t="str">
        <f t="shared" si="381"/>
        <v/>
      </c>
      <c r="V4820" s="215" t="s">
        <v>47</v>
      </c>
      <c r="W4820" s="102" t="s">
        <v>136</v>
      </c>
      <c r="X4820" s="102" t="s">
        <v>137</v>
      </c>
      <c r="Y4820" s="103" t="s">
        <v>138</v>
      </c>
      <c r="Z4820" s="103" t="s">
        <v>139</v>
      </c>
      <c r="AA4820" s="103" t="s">
        <v>47</v>
      </c>
      <c r="AB4820" s="103" t="s">
        <v>140</v>
      </c>
      <c r="AC4820" s="104" t="s">
        <v>141</v>
      </c>
    </row>
    <row r="4821" spans="1:29" ht="25.5" customHeight="1" x14ac:dyDescent="0.35">
      <c r="A4821" s="188"/>
      <c r="B4821" s="190"/>
      <c r="C4821" s="99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0"/>
      <c r="E4821" s="78" t="str">
        <f>IF(C4821="","",IFERROR(VLOOKUP(C4821,parametros!$A$11:$E$15,5,0),""))</f>
        <v/>
      </c>
      <c r="F4821" s="79" t="str">
        <f t="shared" si="377"/>
        <v/>
      </c>
      <c r="G4821" s="101"/>
      <c r="H4821" s="91">
        <f t="shared" si="378"/>
        <v>0</v>
      </c>
      <c r="I4821" s="91" t="str">
        <f t="shared" si="379"/>
        <v/>
      </c>
      <c r="J4821" s="91" t="str">
        <f t="shared" si="380"/>
        <v/>
      </c>
      <c r="K4821" s="92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2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58"/>
      <c r="U4821" s="217" t="str">
        <f t="shared" si="381"/>
        <v/>
      </c>
      <c r="V4821" s="215" t="s">
        <v>47</v>
      </c>
      <c r="W4821" s="102" t="s">
        <v>136</v>
      </c>
      <c r="X4821" s="102" t="s">
        <v>137</v>
      </c>
      <c r="Y4821" s="103" t="s">
        <v>138</v>
      </c>
      <c r="Z4821" s="103" t="s">
        <v>139</v>
      </c>
      <c r="AA4821" s="103" t="s">
        <v>47</v>
      </c>
      <c r="AB4821" s="103" t="s">
        <v>140</v>
      </c>
      <c r="AC4821" s="104" t="s">
        <v>141</v>
      </c>
    </row>
    <row r="4822" spans="1:29" ht="25.5" customHeight="1" x14ac:dyDescent="0.35">
      <c r="A4822" s="188"/>
      <c r="B4822" s="190"/>
      <c r="C4822" s="99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0"/>
      <c r="E4822" s="78" t="str">
        <f>IF(C4822="","",IFERROR(VLOOKUP(C4822,parametros!$A$11:$E$15,5,0),""))</f>
        <v/>
      </c>
      <c r="F4822" s="79" t="str">
        <f t="shared" si="377"/>
        <v/>
      </c>
      <c r="G4822" s="101"/>
      <c r="H4822" s="91">
        <f t="shared" si="378"/>
        <v>0</v>
      </c>
      <c r="I4822" s="91" t="str">
        <f t="shared" si="379"/>
        <v/>
      </c>
      <c r="J4822" s="91" t="str">
        <f t="shared" si="380"/>
        <v/>
      </c>
      <c r="K4822" s="92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2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58"/>
      <c r="U4822" s="217" t="str">
        <f t="shared" si="381"/>
        <v/>
      </c>
      <c r="V4822" s="215" t="s">
        <v>47</v>
      </c>
      <c r="W4822" s="102" t="s">
        <v>136</v>
      </c>
      <c r="X4822" s="102" t="s">
        <v>137</v>
      </c>
      <c r="Y4822" s="103" t="s">
        <v>138</v>
      </c>
      <c r="Z4822" s="103" t="s">
        <v>139</v>
      </c>
      <c r="AA4822" s="103" t="s">
        <v>47</v>
      </c>
      <c r="AB4822" s="103" t="s">
        <v>140</v>
      </c>
      <c r="AC4822" s="104" t="s">
        <v>141</v>
      </c>
    </row>
    <row r="4823" spans="1:29" ht="25.5" customHeight="1" x14ac:dyDescent="0.35">
      <c r="A4823" s="188"/>
      <c r="B4823" s="190"/>
      <c r="C4823" s="99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0"/>
      <c r="E4823" s="78" t="str">
        <f>IF(C4823="","",IFERROR(VLOOKUP(C4823,parametros!$A$11:$E$15,5,0),""))</f>
        <v/>
      </c>
      <c r="F4823" s="79" t="str">
        <f t="shared" si="377"/>
        <v/>
      </c>
      <c r="G4823" s="101"/>
      <c r="H4823" s="91">
        <f t="shared" si="378"/>
        <v>0</v>
      </c>
      <c r="I4823" s="91" t="str">
        <f t="shared" si="379"/>
        <v/>
      </c>
      <c r="J4823" s="91" t="str">
        <f t="shared" si="380"/>
        <v/>
      </c>
      <c r="K4823" s="92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2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58"/>
      <c r="U4823" s="217" t="str">
        <f t="shared" si="381"/>
        <v/>
      </c>
      <c r="V4823" s="215" t="s">
        <v>47</v>
      </c>
      <c r="W4823" s="102" t="s">
        <v>136</v>
      </c>
      <c r="X4823" s="102" t="s">
        <v>137</v>
      </c>
      <c r="Y4823" s="103" t="s">
        <v>138</v>
      </c>
      <c r="Z4823" s="103" t="s">
        <v>139</v>
      </c>
      <c r="AA4823" s="103" t="s">
        <v>47</v>
      </c>
      <c r="AB4823" s="103" t="s">
        <v>140</v>
      </c>
      <c r="AC4823" s="104" t="s">
        <v>141</v>
      </c>
    </row>
    <row r="4824" spans="1:29" ht="25.5" customHeight="1" x14ac:dyDescent="0.35">
      <c r="A4824" s="188"/>
      <c r="B4824" s="190"/>
      <c r="C4824" s="99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0"/>
      <c r="E4824" s="78" t="str">
        <f>IF(C4824="","",IFERROR(VLOOKUP(C4824,parametros!$A$11:$E$15,5,0),""))</f>
        <v/>
      </c>
      <c r="F4824" s="79" t="str">
        <f t="shared" si="377"/>
        <v/>
      </c>
      <c r="G4824" s="101"/>
      <c r="H4824" s="91">
        <f t="shared" si="378"/>
        <v>0</v>
      </c>
      <c r="I4824" s="91" t="str">
        <f t="shared" si="379"/>
        <v/>
      </c>
      <c r="J4824" s="91" t="str">
        <f t="shared" si="380"/>
        <v/>
      </c>
      <c r="K4824" s="92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2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58"/>
      <c r="U4824" s="217" t="str">
        <f t="shared" si="381"/>
        <v/>
      </c>
      <c r="V4824" s="215" t="s">
        <v>47</v>
      </c>
      <c r="W4824" s="102" t="s">
        <v>136</v>
      </c>
      <c r="X4824" s="102" t="s">
        <v>137</v>
      </c>
      <c r="Y4824" s="103" t="s">
        <v>138</v>
      </c>
      <c r="Z4824" s="103" t="s">
        <v>139</v>
      </c>
      <c r="AA4824" s="103" t="s">
        <v>47</v>
      </c>
      <c r="AB4824" s="103" t="s">
        <v>140</v>
      </c>
      <c r="AC4824" s="104" t="s">
        <v>141</v>
      </c>
    </row>
    <row r="4825" spans="1:29" ht="25.5" customHeight="1" x14ac:dyDescent="0.35">
      <c r="A4825" s="188"/>
      <c r="B4825" s="190"/>
      <c r="C4825" s="99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0"/>
      <c r="E4825" s="78" t="str">
        <f>IF(C4825="","",IFERROR(VLOOKUP(C4825,parametros!$A$11:$E$15,5,0),""))</f>
        <v/>
      </c>
      <c r="F4825" s="79" t="str">
        <f t="shared" si="377"/>
        <v/>
      </c>
      <c r="G4825" s="101"/>
      <c r="H4825" s="91">
        <f t="shared" si="378"/>
        <v>0</v>
      </c>
      <c r="I4825" s="91" t="str">
        <f t="shared" si="379"/>
        <v/>
      </c>
      <c r="J4825" s="91" t="str">
        <f t="shared" si="380"/>
        <v/>
      </c>
      <c r="K4825" s="92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2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58"/>
      <c r="U4825" s="217" t="str">
        <f t="shared" si="381"/>
        <v/>
      </c>
      <c r="V4825" s="215" t="s">
        <v>47</v>
      </c>
      <c r="W4825" s="102" t="s">
        <v>136</v>
      </c>
      <c r="X4825" s="102" t="s">
        <v>137</v>
      </c>
      <c r="Y4825" s="103" t="s">
        <v>138</v>
      </c>
      <c r="Z4825" s="103" t="s">
        <v>139</v>
      </c>
      <c r="AA4825" s="103" t="s">
        <v>47</v>
      </c>
      <c r="AB4825" s="103" t="s">
        <v>140</v>
      </c>
      <c r="AC4825" s="104" t="s">
        <v>141</v>
      </c>
    </row>
    <row r="4826" spans="1:29" ht="25.5" customHeight="1" x14ac:dyDescent="0.35">
      <c r="A4826" s="188"/>
      <c r="B4826" s="190"/>
      <c r="C4826" s="99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0"/>
      <c r="E4826" s="78" t="str">
        <f>IF(C4826="","",IFERROR(VLOOKUP(C4826,parametros!$A$11:$E$15,5,0),""))</f>
        <v/>
      </c>
      <c r="F4826" s="79" t="str">
        <f t="shared" si="377"/>
        <v/>
      </c>
      <c r="G4826" s="101"/>
      <c r="H4826" s="91">
        <f t="shared" si="378"/>
        <v>0</v>
      </c>
      <c r="I4826" s="91" t="str">
        <f t="shared" si="379"/>
        <v/>
      </c>
      <c r="J4826" s="91" t="str">
        <f t="shared" si="380"/>
        <v/>
      </c>
      <c r="K4826" s="92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2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58"/>
      <c r="U4826" s="217" t="str">
        <f t="shared" si="381"/>
        <v/>
      </c>
      <c r="V4826" s="215" t="s">
        <v>47</v>
      </c>
      <c r="W4826" s="102" t="s">
        <v>136</v>
      </c>
      <c r="X4826" s="102" t="s">
        <v>137</v>
      </c>
      <c r="Y4826" s="103" t="s">
        <v>138</v>
      </c>
      <c r="Z4826" s="103" t="s">
        <v>139</v>
      </c>
      <c r="AA4826" s="103" t="s">
        <v>47</v>
      </c>
      <c r="AB4826" s="103" t="s">
        <v>140</v>
      </c>
      <c r="AC4826" s="104" t="s">
        <v>141</v>
      </c>
    </row>
    <row r="4827" spans="1:29" ht="25.5" customHeight="1" x14ac:dyDescent="0.35">
      <c r="A4827" s="188"/>
      <c r="B4827" s="190"/>
      <c r="C4827" s="99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0"/>
      <c r="E4827" s="78" t="str">
        <f>IF(C4827="","",IFERROR(VLOOKUP(C4827,parametros!$A$11:$E$15,5,0),""))</f>
        <v/>
      </c>
      <c r="F4827" s="79" t="str">
        <f t="shared" si="377"/>
        <v/>
      </c>
      <c r="G4827" s="101"/>
      <c r="H4827" s="91">
        <f t="shared" si="378"/>
        <v>0</v>
      </c>
      <c r="I4827" s="91" t="str">
        <f t="shared" si="379"/>
        <v/>
      </c>
      <c r="J4827" s="91" t="str">
        <f t="shared" si="380"/>
        <v/>
      </c>
      <c r="K4827" s="92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2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58"/>
      <c r="U4827" s="217" t="str">
        <f t="shared" si="381"/>
        <v/>
      </c>
      <c r="V4827" s="215" t="s">
        <v>47</v>
      </c>
      <c r="W4827" s="102" t="s">
        <v>136</v>
      </c>
      <c r="X4827" s="102" t="s">
        <v>137</v>
      </c>
      <c r="Y4827" s="103" t="s">
        <v>138</v>
      </c>
      <c r="Z4827" s="103" t="s">
        <v>139</v>
      </c>
      <c r="AA4827" s="103" t="s">
        <v>47</v>
      </c>
      <c r="AB4827" s="103" t="s">
        <v>140</v>
      </c>
      <c r="AC4827" s="104" t="s">
        <v>141</v>
      </c>
    </row>
    <row r="4828" spans="1:29" ht="25.5" customHeight="1" x14ac:dyDescent="0.35">
      <c r="A4828" s="188"/>
      <c r="B4828" s="190"/>
      <c r="C4828" s="99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0"/>
      <c r="E4828" s="78" t="str">
        <f>IF(C4828="","",IFERROR(VLOOKUP(C4828,parametros!$A$11:$E$15,5,0),""))</f>
        <v/>
      </c>
      <c r="F4828" s="79" t="str">
        <f t="shared" si="377"/>
        <v/>
      </c>
      <c r="G4828" s="101"/>
      <c r="H4828" s="91">
        <f t="shared" si="378"/>
        <v>0</v>
      </c>
      <c r="I4828" s="91" t="str">
        <f t="shared" si="379"/>
        <v/>
      </c>
      <c r="J4828" s="91" t="str">
        <f t="shared" si="380"/>
        <v/>
      </c>
      <c r="K4828" s="92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2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58"/>
      <c r="U4828" s="217" t="str">
        <f t="shared" si="381"/>
        <v/>
      </c>
      <c r="V4828" s="215" t="s">
        <v>47</v>
      </c>
      <c r="W4828" s="102" t="s">
        <v>136</v>
      </c>
      <c r="X4828" s="102" t="s">
        <v>137</v>
      </c>
      <c r="Y4828" s="103" t="s">
        <v>138</v>
      </c>
      <c r="Z4828" s="103" t="s">
        <v>139</v>
      </c>
      <c r="AA4828" s="103" t="s">
        <v>47</v>
      </c>
      <c r="AB4828" s="103" t="s">
        <v>140</v>
      </c>
      <c r="AC4828" s="104" t="s">
        <v>141</v>
      </c>
    </row>
    <row r="4829" spans="1:29" ht="25.5" customHeight="1" x14ac:dyDescent="0.35">
      <c r="A4829" s="188"/>
      <c r="B4829" s="190"/>
      <c r="C4829" s="99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0"/>
      <c r="E4829" s="78" t="str">
        <f>IF(C4829="","",IFERROR(VLOOKUP(C4829,parametros!$A$11:$E$15,5,0),""))</f>
        <v/>
      </c>
      <c r="F4829" s="79" t="str">
        <f t="shared" si="377"/>
        <v/>
      </c>
      <c r="G4829" s="101"/>
      <c r="H4829" s="91">
        <f t="shared" si="378"/>
        <v>0</v>
      </c>
      <c r="I4829" s="91" t="str">
        <f t="shared" si="379"/>
        <v/>
      </c>
      <c r="J4829" s="91" t="str">
        <f t="shared" si="380"/>
        <v/>
      </c>
      <c r="K4829" s="92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2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58"/>
      <c r="U4829" s="217" t="str">
        <f t="shared" si="381"/>
        <v/>
      </c>
      <c r="V4829" s="215" t="s">
        <v>47</v>
      </c>
      <c r="W4829" s="102" t="s">
        <v>136</v>
      </c>
      <c r="X4829" s="102" t="s">
        <v>137</v>
      </c>
      <c r="Y4829" s="103" t="s">
        <v>138</v>
      </c>
      <c r="Z4829" s="103" t="s">
        <v>139</v>
      </c>
      <c r="AA4829" s="103" t="s">
        <v>47</v>
      </c>
      <c r="AB4829" s="103" t="s">
        <v>140</v>
      </c>
      <c r="AC4829" s="104" t="s">
        <v>141</v>
      </c>
    </row>
    <row r="4830" spans="1:29" ht="25.5" customHeight="1" x14ac:dyDescent="0.35">
      <c r="A4830" s="188"/>
      <c r="B4830" s="190"/>
      <c r="C4830" s="99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0"/>
      <c r="E4830" s="78" t="str">
        <f>IF(C4830="","",IFERROR(VLOOKUP(C4830,parametros!$A$11:$E$15,5,0),""))</f>
        <v/>
      </c>
      <c r="F4830" s="79" t="str">
        <f t="shared" si="377"/>
        <v/>
      </c>
      <c r="G4830" s="101"/>
      <c r="H4830" s="91">
        <f t="shared" si="378"/>
        <v>0</v>
      </c>
      <c r="I4830" s="91" t="str">
        <f t="shared" si="379"/>
        <v/>
      </c>
      <c r="J4830" s="91" t="str">
        <f t="shared" si="380"/>
        <v/>
      </c>
      <c r="K4830" s="92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2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58"/>
      <c r="U4830" s="217" t="str">
        <f t="shared" si="381"/>
        <v/>
      </c>
      <c r="V4830" s="215" t="s">
        <v>47</v>
      </c>
      <c r="W4830" s="102" t="s">
        <v>136</v>
      </c>
      <c r="X4830" s="102" t="s">
        <v>137</v>
      </c>
      <c r="Y4830" s="103" t="s">
        <v>138</v>
      </c>
      <c r="Z4830" s="103" t="s">
        <v>139</v>
      </c>
      <c r="AA4830" s="103" t="s">
        <v>47</v>
      </c>
      <c r="AB4830" s="103" t="s">
        <v>140</v>
      </c>
      <c r="AC4830" s="104" t="s">
        <v>141</v>
      </c>
    </row>
    <row r="4831" spans="1:29" ht="25.5" customHeight="1" x14ac:dyDescent="0.35">
      <c r="A4831" s="188"/>
      <c r="B4831" s="190"/>
      <c r="C4831" s="99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0"/>
      <c r="E4831" s="78" t="str">
        <f>IF(C4831="","",IFERROR(VLOOKUP(C4831,parametros!$A$11:$E$15,5,0),""))</f>
        <v/>
      </c>
      <c r="F4831" s="79" t="str">
        <f t="shared" si="377"/>
        <v/>
      </c>
      <c r="G4831" s="101"/>
      <c r="H4831" s="91">
        <f t="shared" si="378"/>
        <v>0</v>
      </c>
      <c r="I4831" s="91" t="str">
        <f t="shared" si="379"/>
        <v/>
      </c>
      <c r="J4831" s="91" t="str">
        <f t="shared" si="380"/>
        <v/>
      </c>
      <c r="K4831" s="92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2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58"/>
      <c r="U4831" s="217" t="str">
        <f t="shared" si="381"/>
        <v/>
      </c>
      <c r="V4831" s="215" t="s">
        <v>47</v>
      </c>
      <c r="W4831" s="102" t="s">
        <v>136</v>
      </c>
      <c r="X4831" s="102" t="s">
        <v>137</v>
      </c>
      <c r="Y4831" s="103" t="s">
        <v>138</v>
      </c>
      <c r="Z4831" s="103" t="s">
        <v>139</v>
      </c>
      <c r="AA4831" s="103" t="s">
        <v>47</v>
      </c>
      <c r="AB4831" s="103" t="s">
        <v>140</v>
      </c>
      <c r="AC4831" s="104" t="s">
        <v>141</v>
      </c>
    </row>
    <row r="4832" spans="1:29" ht="25.5" customHeight="1" x14ac:dyDescent="0.35">
      <c r="A4832" s="188"/>
      <c r="B4832" s="190"/>
      <c r="C4832" s="99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0"/>
      <c r="E4832" s="78" t="str">
        <f>IF(C4832="","",IFERROR(VLOOKUP(C4832,parametros!$A$11:$E$15,5,0),""))</f>
        <v/>
      </c>
      <c r="F4832" s="79" t="str">
        <f t="shared" si="377"/>
        <v/>
      </c>
      <c r="G4832" s="101"/>
      <c r="H4832" s="91">
        <f t="shared" si="378"/>
        <v>0</v>
      </c>
      <c r="I4832" s="91" t="str">
        <f t="shared" si="379"/>
        <v/>
      </c>
      <c r="J4832" s="91" t="str">
        <f t="shared" si="380"/>
        <v/>
      </c>
      <c r="K4832" s="92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2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58"/>
      <c r="U4832" s="217" t="str">
        <f t="shared" si="381"/>
        <v/>
      </c>
      <c r="V4832" s="215" t="s">
        <v>47</v>
      </c>
      <c r="W4832" s="102" t="s">
        <v>136</v>
      </c>
      <c r="X4832" s="102" t="s">
        <v>137</v>
      </c>
      <c r="Y4832" s="103" t="s">
        <v>138</v>
      </c>
      <c r="Z4832" s="103" t="s">
        <v>139</v>
      </c>
      <c r="AA4832" s="103" t="s">
        <v>47</v>
      </c>
      <c r="AB4832" s="103" t="s">
        <v>140</v>
      </c>
      <c r="AC4832" s="104" t="s">
        <v>141</v>
      </c>
    </row>
    <row r="4833" spans="1:29" ht="25.5" customHeight="1" x14ac:dyDescent="0.35">
      <c r="A4833" s="188"/>
      <c r="B4833" s="190"/>
      <c r="C4833" s="99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0"/>
      <c r="E4833" s="78" t="str">
        <f>IF(C4833="","",IFERROR(VLOOKUP(C4833,parametros!$A$11:$E$15,5,0),""))</f>
        <v/>
      </c>
      <c r="F4833" s="79" t="str">
        <f t="shared" si="377"/>
        <v/>
      </c>
      <c r="G4833" s="101"/>
      <c r="H4833" s="91">
        <f t="shared" si="378"/>
        <v>0</v>
      </c>
      <c r="I4833" s="91" t="str">
        <f t="shared" si="379"/>
        <v/>
      </c>
      <c r="J4833" s="91" t="str">
        <f t="shared" si="380"/>
        <v/>
      </c>
      <c r="K4833" s="92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2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58"/>
      <c r="U4833" s="217" t="str">
        <f t="shared" si="381"/>
        <v/>
      </c>
      <c r="V4833" s="215" t="s">
        <v>47</v>
      </c>
      <c r="W4833" s="102" t="s">
        <v>136</v>
      </c>
      <c r="X4833" s="102" t="s">
        <v>137</v>
      </c>
      <c r="Y4833" s="103" t="s">
        <v>138</v>
      </c>
      <c r="Z4833" s="103" t="s">
        <v>139</v>
      </c>
      <c r="AA4833" s="103" t="s">
        <v>47</v>
      </c>
      <c r="AB4833" s="103" t="s">
        <v>140</v>
      </c>
      <c r="AC4833" s="104" t="s">
        <v>141</v>
      </c>
    </row>
    <row r="4834" spans="1:29" ht="25.5" customHeight="1" x14ac:dyDescent="0.35">
      <c r="A4834" s="188"/>
      <c r="B4834" s="190"/>
      <c r="C4834" s="99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0"/>
      <c r="E4834" s="78" t="str">
        <f>IF(C4834="","",IFERROR(VLOOKUP(C4834,parametros!$A$11:$E$15,5,0),""))</f>
        <v/>
      </c>
      <c r="F4834" s="79" t="str">
        <f t="shared" si="377"/>
        <v/>
      </c>
      <c r="G4834" s="101"/>
      <c r="H4834" s="91">
        <f t="shared" si="378"/>
        <v>0</v>
      </c>
      <c r="I4834" s="91" t="str">
        <f t="shared" si="379"/>
        <v/>
      </c>
      <c r="J4834" s="91" t="str">
        <f t="shared" si="380"/>
        <v/>
      </c>
      <c r="K4834" s="92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2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58"/>
      <c r="U4834" s="217" t="str">
        <f t="shared" si="381"/>
        <v/>
      </c>
      <c r="V4834" s="215" t="s">
        <v>47</v>
      </c>
      <c r="W4834" s="102" t="s">
        <v>136</v>
      </c>
      <c r="X4834" s="102" t="s">
        <v>137</v>
      </c>
      <c r="Y4834" s="103" t="s">
        <v>138</v>
      </c>
      <c r="Z4834" s="103" t="s">
        <v>139</v>
      </c>
      <c r="AA4834" s="103" t="s">
        <v>47</v>
      </c>
      <c r="AB4834" s="103" t="s">
        <v>140</v>
      </c>
      <c r="AC4834" s="104" t="s">
        <v>141</v>
      </c>
    </row>
    <row r="4835" spans="1:29" ht="25.5" customHeight="1" x14ac:dyDescent="0.35">
      <c r="A4835" s="188"/>
      <c r="B4835" s="190"/>
      <c r="C4835" s="99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0"/>
      <c r="E4835" s="78" t="str">
        <f>IF(C4835="","",IFERROR(VLOOKUP(C4835,parametros!$A$11:$E$15,5,0),""))</f>
        <v/>
      </c>
      <c r="F4835" s="79" t="str">
        <f t="shared" si="377"/>
        <v/>
      </c>
      <c r="G4835" s="101"/>
      <c r="H4835" s="91">
        <f t="shared" si="378"/>
        <v>0</v>
      </c>
      <c r="I4835" s="91" t="str">
        <f t="shared" si="379"/>
        <v/>
      </c>
      <c r="J4835" s="91" t="str">
        <f t="shared" si="380"/>
        <v/>
      </c>
      <c r="K4835" s="92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2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58"/>
      <c r="U4835" s="217" t="str">
        <f t="shared" si="381"/>
        <v/>
      </c>
      <c r="V4835" s="215" t="s">
        <v>47</v>
      </c>
      <c r="W4835" s="102" t="s">
        <v>136</v>
      </c>
      <c r="X4835" s="102" t="s">
        <v>137</v>
      </c>
      <c r="Y4835" s="103" t="s">
        <v>138</v>
      </c>
      <c r="Z4835" s="103" t="s">
        <v>139</v>
      </c>
      <c r="AA4835" s="103" t="s">
        <v>47</v>
      </c>
      <c r="AB4835" s="103" t="s">
        <v>140</v>
      </c>
      <c r="AC4835" s="104" t="s">
        <v>141</v>
      </c>
    </row>
    <row r="4836" spans="1:29" ht="25.5" customHeight="1" x14ac:dyDescent="0.35">
      <c r="A4836" s="188"/>
      <c r="B4836" s="190"/>
      <c r="C4836" s="99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0"/>
      <c r="E4836" s="78" t="str">
        <f>IF(C4836="","",IFERROR(VLOOKUP(C4836,parametros!$A$11:$E$15,5,0),""))</f>
        <v/>
      </c>
      <c r="F4836" s="79" t="str">
        <f t="shared" si="377"/>
        <v/>
      </c>
      <c r="G4836" s="101"/>
      <c r="H4836" s="91">
        <f t="shared" si="378"/>
        <v>0</v>
      </c>
      <c r="I4836" s="91" t="str">
        <f t="shared" si="379"/>
        <v/>
      </c>
      <c r="J4836" s="91" t="str">
        <f t="shared" si="380"/>
        <v/>
      </c>
      <c r="K4836" s="92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2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58"/>
      <c r="U4836" s="217" t="str">
        <f t="shared" si="381"/>
        <v/>
      </c>
      <c r="V4836" s="215" t="s">
        <v>47</v>
      </c>
      <c r="W4836" s="102" t="s">
        <v>136</v>
      </c>
      <c r="X4836" s="102" t="s">
        <v>137</v>
      </c>
      <c r="Y4836" s="103" t="s">
        <v>138</v>
      </c>
      <c r="Z4836" s="103" t="s">
        <v>139</v>
      </c>
      <c r="AA4836" s="103" t="s">
        <v>47</v>
      </c>
      <c r="AB4836" s="103" t="s">
        <v>140</v>
      </c>
      <c r="AC4836" s="104" t="s">
        <v>141</v>
      </c>
    </row>
    <row r="4837" spans="1:29" ht="25.5" customHeight="1" x14ac:dyDescent="0.35">
      <c r="A4837" s="188"/>
      <c r="B4837" s="190"/>
      <c r="C4837" s="99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0"/>
      <c r="E4837" s="78" t="str">
        <f>IF(C4837="","",IFERROR(VLOOKUP(C4837,parametros!$A$11:$E$15,5,0),""))</f>
        <v/>
      </c>
      <c r="F4837" s="79" t="str">
        <f t="shared" si="377"/>
        <v/>
      </c>
      <c r="G4837" s="101"/>
      <c r="H4837" s="91">
        <f t="shared" si="378"/>
        <v>0</v>
      </c>
      <c r="I4837" s="91" t="str">
        <f t="shared" si="379"/>
        <v/>
      </c>
      <c r="J4837" s="91" t="str">
        <f t="shared" si="380"/>
        <v/>
      </c>
      <c r="K4837" s="92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2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58"/>
      <c r="U4837" s="217" t="str">
        <f t="shared" si="381"/>
        <v/>
      </c>
      <c r="V4837" s="215" t="s">
        <v>47</v>
      </c>
      <c r="W4837" s="102" t="s">
        <v>136</v>
      </c>
      <c r="X4837" s="102" t="s">
        <v>137</v>
      </c>
      <c r="Y4837" s="103" t="s">
        <v>138</v>
      </c>
      <c r="Z4837" s="103" t="s">
        <v>139</v>
      </c>
      <c r="AA4837" s="103" t="s">
        <v>47</v>
      </c>
      <c r="AB4837" s="103" t="s">
        <v>140</v>
      </c>
      <c r="AC4837" s="104" t="s">
        <v>141</v>
      </c>
    </row>
    <row r="4838" spans="1:29" ht="25.5" customHeight="1" x14ac:dyDescent="0.35">
      <c r="A4838" s="188"/>
      <c r="B4838" s="190"/>
      <c r="C4838" s="99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0"/>
      <c r="E4838" s="78" t="str">
        <f>IF(C4838="","",IFERROR(VLOOKUP(C4838,parametros!$A$11:$E$15,5,0),""))</f>
        <v/>
      </c>
      <c r="F4838" s="79" t="str">
        <f t="shared" si="377"/>
        <v/>
      </c>
      <c r="G4838" s="101"/>
      <c r="H4838" s="91">
        <f t="shared" si="378"/>
        <v>0</v>
      </c>
      <c r="I4838" s="91" t="str">
        <f t="shared" si="379"/>
        <v/>
      </c>
      <c r="J4838" s="91" t="str">
        <f t="shared" si="380"/>
        <v/>
      </c>
      <c r="K4838" s="92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2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58"/>
      <c r="U4838" s="217" t="str">
        <f t="shared" si="381"/>
        <v/>
      </c>
      <c r="V4838" s="215" t="s">
        <v>47</v>
      </c>
      <c r="W4838" s="102" t="s">
        <v>136</v>
      </c>
      <c r="X4838" s="102" t="s">
        <v>137</v>
      </c>
      <c r="Y4838" s="103" t="s">
        <v>138</v>
      </c>
      <c r="Z4838" s="103" t="s">
        <v>139</v>
      </c>
      <c r="AA4838" s="103" t="s">
        <v>47</v>
      </c>
      <c r="AB4838" s="103" t="s">
        <v>140</v>
      </c>
      <c r="AC4838" s="104" t="s">
        <v>141</v>
      </c>
    </row>
    <row r="4839" spans="1:29" ht="25.5" customHeight="1" x14ac:dyDescent="0.35">
      <c r="A4839" s="188"/>
      <c r="B4839" s="190"/>
      <c r="C4839" s="99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0"/>
      <c r="E4839" s="78" t="str">
        <f>IF(C4839="","",IFERROR(VLOOKUP(C4839,parametros!$A$11:$E$15,5,0),""))</f>
        <v/>
      </c>
      <c r="F4839" s="79" t="str">
        <f t="shared" si="377"/>
        <v/>
      </c>
      <c r="G4839" s="101"/>
      <c r="H4839" s="91">
        <f t="shared" si="378"/>
        <v>0</v>
      </c>
      <c r="I4839" s="91" t="str">
        <f t="shared" si="379"/>
        <v/>
      </c>
      <c r="J4839" s="91" t="str">
        <f t="shared" si="380"/>
        <v/>
      </c>
      <c r="K4839" s="92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2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58"/>
      <c r="U4839" s="217" t="str">
        <f t="shared" si="381"/>
        <v/>
      </c>
      <c r="V4839" s="215" t="s">
        <v>47</v>
      </c>
      <c r="W4839" s="102" t="s">
        <v>136</v>
      </c>
      <c r="X4839" s="102" t="s">
        <v>137</v>
      </c>
      <c r="Y4839" s="103" t="s">
        <v>138</v>
      </c>
      <c r="Z4839" s="103" t="s">
        <v>139</v>
      </c>
      <c r="AA4839" s="103" t="s">
        <v>47</v>
      </c>
      <c r="AB4839" s="103" t="s">
        <v>140</v>
      </c>
      <c r="AC4839" s="104" t="s">
        <v>141</v>
      </c>
    </row>
    <row r="4840" spans="1:29" ht="25.5" customHeight="1" x14ac:dyDescent="0.35">
      <c r="A4840" s="188"/>
      <c r="B4840" s="190"/>
      <c r="C4840" s="99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0"/>
      <c r="E4840" s="78" t="str">
        <f>IF(C4840="","",IFERROR(VLOOKUP(C4840,parametros!$A$11:$E$15,5,0),""))</f>
        <v/>
      </c>
      <c r="F4840" s="79" t="str">
        <f t="shared" si="377"/>
        <v/>
      </c>
      <c r="G4840" s="101"/>
      <c r="H4840" s="91">
        <f t="shared" si="378"/>
        <v>0</v>
      </c>
      <c r="I4840" s="91" t="str">
        <f t="shared" si="379"/>
        <v/>
      </c>
      <c r="J4840" s="91" t="str">
        <f t="shared" si="380"/>
        <v/>
      </c>
      <c r="K4840" s="92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2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58"/>
      <c r="U4840" s="217" t="str">
        <f t="shared" si="381"/>
        <v/>
      </c>
      <c r="V4840" s="215" t="s">
        <v>47</v>
      </c>
      <c r="W4840" s="102" t="s">
        <v>136</v>
      </c>
      <c r="X4840" s="102" t="s">
        <v>137</v>
      </c>
      <c r="Y4840" s="103" t="s">
        <v>138</v>
      </c>
      <c r="Z4840" s="103" t="s">
        <v>139</v>
      </c>
      <c r="AA4840" s="103" t="s">
        <v>47</v>
      </c>
      <c r="AB4840" s="103" t="s">
        <v>140</v>
      </c>
      <c r="AC4840" s="104" t="s">
        <v>141</v>
      </c>
    </row>
    <row r="4841" spans="1:29" ht="25.5" customHeight="1" x14ac:dyDescent="0.35">
      <c r="A4841" s="188"/>
      <c r="B4841" s="190"/>
      <c r="C4841" s="99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0"/>
      <c r="E4841" s="78" t="str">
        <f>IF(C4841="","",IFERROR(VLOOKUP(C4841,parametros!$A$11:$E$15,5,0),""))</f>
        <v/>
      </c>
      <c r="F4841" s="79" t="str">
        <f t="shared" si="377"/>
        <v/>
      </c>
      <c r="G4841" s="101"/>
      <c r="H4841" s="91">
        <f t="shared" si="378"/>
        <v>0</v>
      </c>
      <c r="I4841" s="91" t="str">
        <f t="shared" si="379"/>
        <v/>
      </c>
      <c r="J4841" s="91" t="str">
        <f t="shared" si="380"/>
        <v/>
      </c>
      <c r="K4841" s="92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2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58"/>
      <c r="U4841" s="217" t="str">
        <f t="shared" si="381"/>
        <v/>
      </c>
      <c r="V4841" s="215" t="s">
        <v>47</v>
      </c>
      <c r="W4841" s="102" t="s">
        <v>136</v>
      </c>
      <c r="X4841" s="102" t="s">
        <v>137</v>
      </c>
      <c r="Y4841" s="103" t="s">
        <v>138</v>
      </c>
      <c r="Z4841" s="103" t="s">
        <v>139</v>
      </c>
      <c r="AA4841" s="103" t="s">
        <v>47</v>
      </c>
      <c r="AB4841" s="103" t="s">
        <v>140</v>
      </c>
      <c r="AC4841" s="104" t="s">
        <v>141</v>
      </c>
    </row>
    <row r="4842" spans="1:29" ht="25.5" customHeight="1" x14ac:dyDescent="0.35">
      <c r="A4842" s="188"/>
      <c r="B4842" s="190"/>
      <c r="C4842" s="99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0"/>
      <c r="E4842" s="78" t="str">
        <f>IF(C4842="","",IFERROR(VLOOKUP(C4842,parametros!$A$11:$E$15,5,0),""))</f>
        <v/>
      </c>
      <c r="F4842" s="79" t="str">
        <f t="shared" si="377"/>
        <v/>
      </c>
      <c r="G4842" s="101"/>
      <c r="H4842" s="91">
        <f t="shared" si="378"/>
        <v>0</v>
      </c>
      <c r="I4842" s="91" t="str">
        <f t="shared" si="379"/>
        <v/>
      </c>
      <c r="J4842" s="91" t="str">
        <f t="shared" si="380"/>
        <v/>
      </c>
      <c r="K4842" s="92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2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58"/>
      <c r="U4842" s="217" t="str">
        <f t="shared" si="381"/>
        <v/>
      </c>
      <c r="V4842" s="215" t="s">
        <v>47</v>
      </c>
      <c r="W4842" s="102" t="s">
        <v>136</v>
      </c>
      <c r="X4842" s="102" t="s">
        <v>137</v>
      </c>
      <c r="Y4842" s="103" t="s">
        <v>138</v>
      </c>
      <c r="Z4842" s="103" t="s">
        <v>139</v>
      </c>
      <c r="AA4842" s="103" t="s">
        <v>47</v>
      </c>
      <c r="AB4842" s="103" t="s">
        <v>140</v>
      </c>
      <c r="AC4842" s="104" t="s">
        <v>141</v>
      </c>
    </row>
    <row r="4843" spans="1:29" ht="25.5" customHeight="1" x14ac:dyDescent="0.35">
      <c r="A4843" s="188"/>
      <c r="B4843" s="190"/>
      <c r="C4843" s="99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0"/>
      <c r="E4843" s="78" t="str">
        <f>IF(C4843="","",IFERROR(VLOOKUP(C4843,parametros!$A$11:$E$15,5,0),""))</f>
        <v/>
      </c>
      <c r="F4843" s="79" t="str">
        <f t="shared" si="377"/>
        <v/>
      </c>
      <c r="G4843" s="101"/>
      <c r="H4843" s="91">
        <f t="shared" si="378"/>
        <v>0</v>
      </c>
      <c r="I4843" s="91" t="str">
        <f t="shared" si="379"/>
        <v/>
      </c>
      <c r="J4843" s="91" t="str">
        <f t="shared" si="380"/>
        <v/>
      </c>
      <c r="K4843" s="92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2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58"/>
      <c r="U4843" s="217" t="str">
        <f t="shared" si="381"/>
        <v/>
      </c>
      <c r="V4843" s="215" t="s">
        <v>47</v>
      </c>
      <c r="W4843" s="102" t="s">
        <v>136</v>
      </c>
      <c r="X4843" s="102" t="s">
        <v>137</v>
      </c>
      <c r="Y4843" s="103" t="s">
        <v>138</v>
      </c>
      <c r="Z4843" s="103" t="s">
        <v>139</v>
      </c>
      <c r="AA4843" s="103" t="s">
        <v>47</v>
      </c>
      <c r="AB4843" s="103" t="s">
        <v>140</v>
      </c>
      <c r="AC4843" s="104" t="s">
        <v>141</v>
      </c>
    </row>
    <row r="4844" spans="1:29" ht="25.5" customHeight="1" x14ac:dyDescent="0.35">
      <c r="A4844" s="188"/>
      <c r="B4844" s="190"/>
      <c r="C4844" s="99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0"/>
      <c r="E4844" s="78" t="str">
        <f>IF(C4844="","",IFERROR(VLOOKUP(C4844,parametros!$A$11:$E$15,5,0),""))</f>
        <v/>
      </c>
      <c r="F4844" s="79" t="str">
        <f t="shared" si="377"/>
        <v/>
      </c>
      <c r="G4844" s="101"/>
      <c r="H4844" s="91">
        <f t="shared" si="378"/>
        <v>0</v>
      </c>
      <c r="I4844" s="91" t="str">
        <f t="shared" si="379"/>
        <v/>
      </c>
      <c r="J4844" s="91" t="str">
        <f t="shared" si="380"/>
        <v/>
      </c>
      <c r="K4844" s="92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2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58"/>
      <c r="U4844" s="217" t="str">
        <f t="shared" si="381"/>
        <v/>
      </c>
      <c r="V4844" s="215" t="s">
        <v>47</v>
      </c>
      <c r="W4844" s="102" t="s">
        <v>136</v>
      </c>
      <c r="X4844" s="102" t="s">
        <v>137</v>
      </c>
      <c r="Y4844" s="103" t="s">
        <v>138</v>
      </c>
      <c r="Z4844" s="103" t="s">
        <v>139</v>
      </c>
      <c r="AA4844" s="103" t="s">
        <v>47</v>
      </c>
      <c r="AB4844" s="103" t="s">
        <v>140</v>
      </c>
      <c r="AC4844" s="104" t="s">
        <v>141</v>
      </c>
    </row>
    <row r="4845" spans="1:29" ht="25.5" customHeight="1" x14ac:dyDescent="0.35">
      <c r="A4845" s="188"/>
      <c r="B4845" s="190"/>
      <c r="C4845" s="99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0"/>
      <c r="E4845" s="78" t="str">
        <f>IF(C4845="","",IFERROR(VLOOKUP(C4845,parametros!$A$11:$E$15,5,0),""))</f>
        <v/>
      </c>
      <c r="F4845" s="79" t="str">
        <f t="shared" si="377"/>
        <v/>
      </c>
      <c r="G4845" s="101"/>
      <c r="H4845" s="91">
        <f t="shared" si="378"/>
        <v>0</v>
      </c>
      <c r="I4845" s="91" t="str">
        <f t="shared" si="379"/>
        <v/>
      </c>
      <c r="J4845" s="91" t="str">
        <f t="shared" si="380"/>
        <v/>
      </c>
      <c r="K4845" s="92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2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58"/>
      <c r="U4845" s="217" t="str">
        <f t="shared" si="381"/>
        <v/>
      </c>
      <c r="V4845" s="215" t="s">
        <v>47</v>
      </c>
      <c r="W4845" s="102" t="s">
        <v>136</v>
      </c>
      <c r="X4845" s="102" t="s">
        <v>137</v>
      </c>
      <c r="Y4845" s="103" t="s">
        <v>138</v>
      </c>
      <c r="Z4845" s="103" t="s">
        <v>139</v>
      </c>
      <c r="AA4845" s="103" t="s">
        <v>47</v>
      </c>
      <c r="AB4845" s="103" t="s">
        <v>140</v>
      </c>
      <c r="AC4845" s="104" t="s">
        <v>141</v>
      </c>
    </row>
    <row r="4846" spans="1:29" ht="25.5" customHeight="1" x14ac:dyDescent="0.35">
      <c r="A4846" s="188"/>
      <c r="B4846" s="190"/>
      <c r="C4846" s="99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0"/>
      <c r="E4846" s="78" t="str">
        <f>IF(C4846="","",IFERROR(VLOOKUP(C4846,parametros!$A$11:$E$15,5,0),""))</f>
        <v/>
      </c>
      <c r="F4846" s="79" t="str">
        <f t="shared" si="377"/>
        <v/>
      </c>
      <c r="G4846" s="101"/>
      <c r="H4846" s="91">
        <f t="shared" si="378"/>
        <v>0</v>
      </c>
      <c r="I4846" s="91" t="str">
        <f t="shared" si="379"/>
        <v/>
      </c>
      <c r="J4846" s="91" t="str">
        <f t="shared" si="380"/>
        <v/>
      </c>
      <c r="K4846" s="92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2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58"/>
      <c r="U4846" s="217" t="str">
        <f t="shared" si="381"/>
        <v/>
      </c>
      <c r="V4846" s="215" t="s">
        <v>47</v>
      </c>
      <c r="W4846" s="102" t="s">
        <v>136</v>
      </c>
      <c r="X4846" s="102" t="s">
        <v>137</v>
      </c>
      <c r="Y4846" s="103" t="s">
        <v>138</v>
      </c>
      <c r="Z4846" s="103" t="s">
        <v>139</v>
      </c>
      <c r="AA4846" s="103" t="s">
        <v>47</v>
      </c>
      <c r="AB4846" s="103" t="s">
        <v>140</v>
      </c>
      <c r="AC4846" s="104" t="s">
        <v>141</v>
      </c>
    </row>
    <row r="4847" spans="1:29" ht="25.5" customHeight="1" x14ac:dyDescent="0.35">
      <c r="A4847" s="188"/>
      <c r="B4847" s="190"/>
      <c r="C4847" s="99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0"/>
      <c r="E4847" s="78" t="str">
        <f>IF(C4847="","",IFERROR(VLOOKUP(C4847,parametros!$A$11:$E$15,5,0),""))</f>
        <v/>
      </c>
      <c r="F4847" s="79" t="str">
        <f t="shared" si="377"/>
        <v/>
      </c>
      <c r="G4847" s="101"/>
      <c r="H4847" s="91">
        <f t="shared" si="378"/>
        <v>0</v>
      </c>
      <c r="I4847" s="91" t="str">
        <f t="shared" si="379"/>
        <v/>
      </c>
      <c r="J4847" s="91" t="str">
        <f t="shared" si="380"/>
        <v/>
      </c>
      <c r="K4847" s="92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2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58"/>
      <c r="U4847" s="217" t="str">
        <f t="shared" si="381"/>
        <v/>
      </c>
      <c r="V4847" s="215" t="s">
        <v>47</v>
      </c>
      <c r="W4847" s="102" t="s">
        <v>136</v>
      </c>
      <c r="X4847" s="102" t="s">
        <v>137</v>
      </c>
      <c r="Y4847" s="103" t="s">
        <v>138</v>
      </c>
      <c r="Z4847" s="103" t="s">
        <v>139</v>
      </c>
      <c r="AA4847" s="103" t="s">
        <v>47</v>
      </c>
      <c r="AB4847" s="103" t="s">
        <v>140</v>
      </c>
      <c r="AC4847" s="104" t="s">
        <v>141</v>
      </c>
    </row>
    <row r="4848" spans="1:29" ht="25.5" customHeight="1" x14ac:dyDescent="0.35">
      <c r="A4848" s="188"/>
      <c r="B4848" s="190"/>
      <c r="C4848" s="99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0"/>
      <c r="E4848" s="78" t="str">
        <f>IF(C4848="","",IFERROR(VLOOKUP(C4848,parametros!$A$11:$E$15,5,0),""))</f>
        <v/>
      </c>
      <c r="F4848" s="79" t="str">
        <f t="shared" si="377"/>
        <v/>
      </c>
      <c r="G4848" s="101"/>
      <c r="H4848" s="91">
        <f t="shared" si="378"/>
        <v>0</v>
      </c>
      <c r="I4848" s="91" t="str">
        <f t="shared" si="379"/>
        <v/>
      </c>
      <c r="J4848" s="91" t="str">
        <f t="shared" si="380"/>
        <v/>
      </c>
      <c r="K4848" s="92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2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58"/>
      <c r="U4848" s="217" t="str">
        <f t="shared" si="381"/>
        <v/>
      </c>
      <c r="V4848" s="215" t="s">
        <v>47</v>
      </c>
      <c r="W4848" s="102" t="s">
        <v>136</v>
      </c>
      <c r="X4848" s="102" t="s">
        <v>137</v>
      </c>
      <c r="Y4848" s="103" t="s">
        <v>138</v>
      </c>
      <c r="Z4848" s="103" t="s">
        <v>139</v>
      </c>
      <c r="AA4848" s="103" t="s">
        <v>47</v>
      </c>
      <c r="AB4848" s="103" t="s">
        <v>140</v>
      </c>
      <c r="AC4848" s="104" t="s">
        <v>141</v>
      </c>
    </row>
    <row r="4849" spans="1:29" ht="25.5" customHeight="1" x14ac:dyDescent="0.35">
      <c r="A4849" s="188"/>
      <c r="B4849" s="190"/>
      <c r="C4849" s="99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0"/>
      <c r="E4849" s="78" t="str">
        <f>IF(C4849="","",IFERROR(VLOOKUP(C4849,parametros!$A$11:$E$15,5,0),""))</f>
        <v/>
      </c>
      <c r="F4849" s="79" t="str">
        <f t="shared" si="377"/>
        <v/>
      </c>
      <c r="G4849" s="101"/>
      <c r="H4849" s="91">
        <f t="shared" si="378"/>
        <v>0</v>
      </c>
      <c r="I4849" s="91" t="str">
        <f t="shared" si="379"/>
        <v/>
      </c>
      <c r="J4849" s="91" t="str">
        <f t="shared" si="380"/>
        <v/>
      </c>
      <c r="K4849" s="92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2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58"/>
      <c r="U4849" s="217" t="str">
        <f t="shared" si="381"/>
        <v/>
      </c>
      <c r="V4849" s="215" t="s">
        <v>47</v>
      </c>
      <c r="W4849" s="102" t="s">
        <v>136</v>
      </c>
      <c r="X4849" s="102" t="s">
        <v>137</v>
      </c>
      <c r="Y4849" s="103" t="s">
        <v>138</v>
      </c>
      <c r="Z4849" s="103" t="s">
        <v>139</v>
      </c>
      <c r="AA4849" s="103" t="s">
        <v>47</v>
      </c>
      <c r="AB4849" s="103" t="s">
        <v>140</v>
      </c>
      <c r="AC4849" s="104" t="s">
        <v>141</v>
      </c>
    </row>
    <row r="4850" spans="1:29" ht="25.5" customHeight="1" x14ac:dyDescent="0.35">
      <c r="A4850" s="188"/>
      <c r="B4850" s="190"/>
      <c r="C4850" s="99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0"/>
      <c r="E4850" s="78" t="str">
        <f>IF(C4850="","",IFERROR(VLOOKUP(C4850,parametros!$A$11:$E$15,5,0),""))</f>
        <v/>
      </c>
      <c r="F4850" s="79" t="str">
        <f t="shared" si="377"/>
        <v/>
      </c>
      <c r="G4850" s="101"/>
      <c r="H4850" s="91">
        <f t="shared" si="378"/>
        <v>0</v>
      </c>
      <c r="I4850" s="91" t="str">
        <f t="shared" si="379"/>
        <v/>
      </c>
      <c r="J4850" s="91" t="str">
        <f t="shared" si="380"/>
        <v/>
      </c>
      <c r="K4850" s="92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2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58"/>
      <c r="U4850" s="217" t="str">
        <f t="shared" si="381"/>
        <v/>
      </c>
      <c r="V4850" s="215" t="s">
        <v>47</v>
      </c>
      <c r="W4850" s="102" t="s">
        <v>136</v>
      </c>
      <c r="X4850" s="102" t="s">
        <v>137</v>
      </c>
      <c r="Y4850" s="103" t="s">
        <v>138</v>
      </c>
      <c r="Z4850" s="103" t="s">
        <v>139</v>
      </c>
      <c r="AA4850" s="103" t="s">
        <v>47</v>
      </c>
      <c r="AB4850" s="103" t="s">
        <v>140</v>
      </c>
      <c r="AC4850" s="104" t="s">
        <v>141</v>
      </c>
    </row>
    <row r="4851" spans="1:29" ht="25.5" customHeight="1" x14ac:dyDescent="0.35">
      <c r="A4851" s="188"/>
      <c r="B4851" s="190"/>
      <c r="C4851" s="99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0"/>
      <c r="E4851" s="78" t="str">
        <f>IF(C4851="","",IFERROR(VLOOKUP(C4851,parametros!$A$11:$E$15,5,0),""))</f>
        <v/>
      </c>
      <c r="F4851" s="79" t="str">
        <f t="shared" si="377"/>
        <v/>
      </c>
      <c r="G4851" s="101"/>
      <c r="H4851" s="91">
        <f t="shared" si="378"/>
        <v>0</v>
      </c>
      <c r="I4851" s="91" t="str">
        <f t="shared" si="379"/>
        <v/>
      </c>
      <c r="J4851" s="91" t="str">
        <f t="shared" si="380"/>
        <v/>
      </c>
      <c r="K4851" s="92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2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58"/>
      <c r="U4851" s="217" t="str">
        <f t="shared" si="381"/>
        <v/>
      </c>
      <c r="V4851" s="215" t="s">
        <v>47</v>
      </c>
      <c r="W4851" s="102" t="s">
        <v>136</v>
      </c>
      <c r="X4851" s="102" t="s">
        <v>137</v>
      </c>
      <c r="Y4851" s="103" t="s">
        <v>138</v>
      </c>
      <c r="Z4851" s="103" t="s">
        <v>139</v>
      </c>
      <c r="AA4851" s="103" t="s">
        <v>47</v>
      </c>
      <c r="AB4851" s="103" t="s">
        <v>140</v>
      </c>
      <c r="AC4851" s="104" t="s">
        <v>141</v>
      </c>
    </row>
    <row r="4852" spans="1:29" ht="25.5" customHeight="1" x14ac:dyDescent="0.35">
      <c r="A4852" s="188"/>
      <c r="B4852" s="190"/>
      <c r="C4852" s="99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0"/>
      <c r="E4852" s="78" t="str">
        <f>IF(C4852="","",IFERROR(VLOOKUP(C4852,parametros!$A$11:$E$15,5,0),""))</f>
        <v/>
      </c>
      <c r="F4852" s="79" t="str">
        <f t="shared" si="377"/>
        <v/>
      </c>
      <c r="G4852" s="101"/>
      <c r="H4852" s="91">
        <f t="shared" si="378"/>
        <v>0</v>
      </c>
      <c r="I4852" s="91" t="str">
        <f t="shared" si="379"/>
        <v/>
      </c>
      <c r="J4852" s="91" t="str">
        <f t="shared" si="380"/>
        <v/>
      </c>
      <c r="K4852" s="92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2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58"/>
      <c r="U4852" s="217" t="str">
        <f t="shared" si="381"/>
        <v/>
      </c>
      <c r="V4852" s="215" t="s">
        <v>47</v>
      </c>
      <c r="W4852" s="102" t="s">
        <v>136</v>
      </c>
      <c r="X4852" s="102" t="s">
        <v>137</v>
      </c>
      <c r="Y4852" s="103" t="s">
        <v>138</v>
      </c>
      <c r="Z4852" s="103" t="s">
        <v>139</v>
      </c>
      <c r="AA4852" s="103" t="s">
        <v>47</v>
      </c>
      <c r="AB4852" s="103" t="s">
        <v>140</v>
      </c>
      <c r="AC4852" s="104" t="s">
        <v>141</v>
      </c>
    </row>
    <row r="4853" spans="1:29" ht="25.5" customHeight="1" x14ac:dyDescent="0.35">
      <c r="A4853" s="188"/>
      <c r="B4853" s="190"/>
      <c r="C4853" s="99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0"/>
      <c r="E4853" s="78" t="str">
        <f>IF(C4853="","",IFERROR(VLOOKUP(C4853,parametros!$A$11:$E$15,5,0),""))</f>
        <v/>
      </c>
      <c r="F4853" s="79" t="str">
        <f t="shared" si="377"/>
        <v/>
      </c>
      <c r="G4853" s="101"/>
      <c r="H4853" s="91">
        <f t="shared" si="378"/>
        <v>0</v>
      </c>
      <c r="I4853" s="91" t="str">
        <f t="shared" si="379"/>
        <v/>
      </c>
      <c r="J4853" s="91" t="str">
        <f t="shared" si="380"/>
        <v/>
      </c>
      <c r="K4853" s="92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2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58"/>
      <c r="U4853" s="217" t="str">
        <f t="shared" si="381"/>
        <v/>
      </c>
      <c r="V4853" s="215" t="s">
        <v>47</v>
      </c>
      <c r="W4853" s="102" t="s">
        <v>136</v>
      </c>
      <c r="X4853" s="102" t="s">
        <v>137</v>
      </c>
      <c r="Y4853" s="103" t="s">
        <v>138</v>
      </c>
      <c r="Z4853" s="103" t="s">
        <v>139</v>
      </c>
      <c r="AA4853" s="103" t="s">
        <v>47</v>
      </c>
      <c r="AB4853" s="103" t="s">
        <v>140</v>
      </c>
      <c r="AC4853" s="104" t="s">
        <v>141</v>
      </c>
    </row>
    <row r="4854" spans="1:29" ht="25.5" customHeight="1" x14ac:dyDescent="0.35">
      <c r="A4854" s="188"/>
      <c r="B4854" s="190"/>
      <c r="C4854" s="99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0"/>
      <c r="E4854" s="78" t="str">
        <f>IF(C4854="","",IFERROR(VLOOKUP(C4854,parametros!$A$11:$E$15,5,0),""))</f>
        <v/>
      </c>
      <c r="F4854" s="79" t="str">
        <f t="shared" si="377"/>
        <v/>
      </c>
      <c r="G4854" s="101"/>
      <c r="H4854" s="91">
        <f t="shared" si="378"/>
        <v>0</v>
      </c>
      <c r="I4854" s="91" t="str">
        <f t="shared" si="379"/>
        <v/>
      </c>
      <c r="J4854" s="91" t="str">
        <f t="shared" si="380"/>
        <v/>
      </c>
      <c r="K4854" s="92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2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58"/>
      <c r="U4854" s="217" t="str">
        <f t="shared" si="381"/>
        <v/>
      </c>
      <c r="V4854" s="215" t="s">
        <v>47</v>
      </c>
      <c r="W4854" s="102" t="s">
        <v>136</v>
      </c>
      <c r="X4854" s="102" t="s">
        <v>137</v>
      </c>
      <c r="Y4854" s="103" t="s">
        <v>138</v>
      </c>
      <c r="Z4854" s="103" t="s">
        <v>139</v>
      </c>
      <c r="AA4854" s="103" t="s">
        <v>47</v>
      </c>
      <c r="AB4854" s="103" t="s">
        <v>140</v>
      </c>
      <c r="AC4854" s="104" t="s">
        <v>141</v>
      </c>
    </row>
    <row r="4855" spans="1:29" ht="25.5" customHeight="1" x14ac:dyDescent="0.35">
      <c r="A4855" s="188"/>
      <c r="B4855" s="190"/>
      <c r="C4855" s="99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0"/>
      <c r="E4855" s="78" t="str">
        <f>IF(C4855="","",IFERROR(VLOOKUP(C4855,parametros!$A$11:$E$15,5,0),""))</f>
        <v/>
      </c>
      <c r="F4855" s="79" t="str">
        <f t="shared" si="377"/>
        <v/>
      </c>
      <c r="G4855" s="101"/>
      <c r="H4855" s="91">
        <f t="shared" si="378"/>
        <v>0</v>
      </c>
      <c r="I4855" s="91" t="str">
        <f t="shared" si="379"/>
        <v/>
      </c>
      <c r="J4855" s="91" t="str">
        <f t="shared" si="380"/>
        <v/>
      </c>
      <c r="K4855" s="92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2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58"/>
      <c r="U4855" s="217" t="str">
        <f t="shared" si="381"/>
        <v/>
      </c>
      <c r="V4855" s="215" t="s">
        <v>47</v>
      </c>
      <c r="W4855" s="102" t="s">
        <v>136</v>
      </c>
      <c r="X4855" s="102" t="s">
        <v>137</v>
      </c>
      <c r="Y4855" s="103" t="s">
        <v>138</v>
      </c>
      <c r="Z4855" s="103" t="s">
        <v>139</v>
      </c>
      <c r="AA4855" s="103" t="s">
        <v>47</v>
      </c>
      <c r="AB4855" s="103" t="s">
        <v>140</v>
      </c>
      <c r="AC4855" s="104" t="s">
        <v>141</v>
      </c>
    </row>
    <row r="4856" spans="1:29" ht="25.5" customHeight="1" x14ac:dyDescent="0.35">
      <c r="A4856" s="188"/>
      <c r="B4856" s="190"/>
      <c r="C4856" s="99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0"/>
      <c r="E4856" s="78" t="str">
        <f>IF(C4856="","",IFERROR(VLOOKUP(C4856,parametros!$A$11:$E$15,5,0),""))</f>
        <v/>
      </c>
      <c r="F4856" s="79" t="str">
        <f t="shared" si="377"/>
        <v/>
      </c>
      <c r="G4856" s="101"/>
      <c r="H4856" s="91">
        <f t="shared" si="378"/>
        <v>0</v>
      </c>
      <c r="I4856" s="91" t="str">
        <f t="shared" si="379"/>
        <v/>
      </c>
      <c r="J4856" s="91" t="str">
        <f t="shared" si="380"/>
        <v/>
      </c>
      <c r="K4856" s="92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2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58"/>
      <c r="U4856" s="217" t="str">
        <f t="shared" si="381"/>
        <v/>
      </c>
      <c r="V4856" s="215" t="s">
        <v>47</v>
      </c>
      <c r="W4856" s="102" t="s">
        <v>136</v>
      </c>
      <c r="X4856" s="102" t="s">
        <v>137</v>
      </c>
      <c r="Y4856" s="103" t="s">
        <v>138</v>
      </c>
      <c r="Z4856" s="103" t="s">
        <v>139</v>
      </c>
      <c r="AA4856" s="103" t="s">
        <v>47</v>
      </c>
      <c r="AB4856" s="103" t="s">
        <v>140</v>
      </c>
      <c r="AC4856" s="104" t="s">
        <v>141</v>
      </c>
    </row>
    <row r="4857" spans="1:29" ht="25.5" customHeight="1" x14ac:dyDescent="0.35">
      <c r="A4857" s="188"/>
      <c r="B4857" s="190"/>
      <c r="C4857" s="99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0"/>
      <c r="E4857" s="78" t="str">
        <f>IF(C4857="","",IFERROR(VLOOKUP(C4857,parametros!$A$11:$E$15,5,0),""))</f>
        <v/>
      </c>
      <c r="F4857" s="79" t="str">
        <f t="shared" si="377"/>
        <v/>
      </c>
      <c r="G4857" s="101"/>
      <c r="H4857" s="91">
        <f t="shared" si="378"/>
        <v>0</v>
      </c>
      <c r="I4857" s="91" t="str">
        <f t="shared" si="379"/>
        <v/>
      </c>
      <c r="J4857" s="91" t="str">
        <f t="shared" si="380"/>
        <v/>
      </c>
      <c r="K4857" s="92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2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58"/>
      <c r="U4857" s="217" t="str">
        <f t="shared" si="381"/>
        <v/>
      </c>
      <c r="V4857" s="215" t="s">
        <v>47</v>
      </c>
      <c r="W4857" s="102" t="s">
        <v>136</v>
      </c>
      <c r="X4857" s="102" t="s">
        <v>137</v>
      </c>
      <c r="Y4857" s="103" t="s">
        <v>138</v>
      </c>
      <c r="Z4857" s="103" t="s">
        <v>139</v>
      </c>
      <c r="AA4857" s="103" t="s">
        <v>47</v>
      </c>
      <c r="AB4857" s="103" t="s">
        <v>140</v>
      </c>
      <c r="AC4857" s="104" t="s">
        <v>141</v>
      </c>
    </row>
    <row r="4858" spans="1:29" ht="25.5" customHeight="1" x14ac:dyDescent="0.35">
      <c r="A4858" s="188"/>
      <c r="B4858" s="190"/>
      <c r="C4858" s="99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0"/>
      <c r="E4858" s="78" t="str">
        <f>IF(C4858="","",IFERROR(VLOOKUP(C4858,parametros!$A$11:$E$15,5,0),""))</f>
        <v/>
      </c>
      <c r="F4858" s="79" t="str">
        <f t="shared" si="377"/>
        <v/>
      </c>
      <c r="G4858" s="101"/>
      <c r="H4858" s="91">
        <f t="shared" si="378"/>
        <v>0</v>
      </c>
      <c r="I4858" s="91" t="str">
        <f t="shared" si="379"/>
        <v/>
      </c>
      <c r="J4858" s="91" t="str">
        <f t="shared" si="380"/>
        <v/>
      </c>
      <c r="K4858" s="92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2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58"/>
      <c r="U4858" s="217" t="str">
        <f t="shared" si="381"/>
        <v/>
      </c>
      <c r="V4858" s="215" t="s">
        <v>47</v>
      </c>
      <c r="W4858" s="102" t="s">
        <v>136</v>
      </c>
      <c r="X4858" s="102" t="s">
        <v>137</v>
      </c>
      <c r="Y4858" s="103" t="s">
        <v>138</v>
      </c>
      <c r="Z4858" s="103" t="s">
        <v>139</v>
      </c>
      <c r="AA4858" s="103" t="s">
        <v>47</v>
      </c>
      <c r="AB4858" s="103" t="s">
        <v>140</v>
      </c>
      <c r="AC4858" s="104" t="s">
        <v>141</v>
      </c>
    </row>
    <row r="4859" spans="1:29" ht="25.5" customHeight="1" x14ac:dyDescent="0.35">
      <c r="A4859" s="188"/>
      <c r="B4859" s="190"/>
      <c r="C4859" s="99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0"/>
      <c r="E4859" s="78" t="str">
        <f>IF(C4859="","",IFERROR(VLOOKUP(C4859,parametros!$A$11:$E$15,5,0),""))</f>
        <v/>
      </c>
      <c r="F4859" s="79" t="str">
        <f t="shared" si="377"/>
        <v/>
      </c>
      <c r="G4859" s="101"/>
      <c r="H4859" s="91">
        <f t="shared" si="378"/>
        <v>0</v>
      </c>
      <c r="I4859" s="91" t="str">
        <f t="shared" si="379"/>
        <v/>
      </c>
      <c r="J4859" s="91" t="str">
        <f t="shared" si="380"/>
        <v/>
      </c>
      <c r="K4859" s="92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2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58"/>
      <c r="U4859" s="217" t="str">
        <f t="shared" si="381"/>
        <v/>
      </c>
      <c r="V4859" s="215" t="s">
        <v>47</v>
      </c>
      <c r="W4859" s="102" t="s">
        <v>136</v>
      </c>
      <c r="X4859" s="102" t="s">
        <v>137</v>
      </c>
      <c r="Y4859" s="103" t="s">
        <v>138</v>
      </c>
      <c r="Z4859" s="103" t="s">
        <v>139</v>
      </c>
      <c r="AA4859" s="103" t="s">
        <v>47</v>
      </c>
      <c r="AB4859" s="103" t="s">
        <v>140</v>
      </c>
      <c r="AC4859" s="104" t="s">
        <v>141</v>
      </c>
    </row>
    <row r="4860" spans="1:29" ht="25.5" customHeight="1" x14ac:dyDescent="0.35">
      <c r="A4860" s="188"/>
      <c r="B4860" s="190"/>
      <c r="C4860" s="99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0"/>
      <c r="E4860" s="78" t="str">
        <f>IF(C4860="","",IFERROR(VLOOKUP(C4860,parametros!$A$11:$E$15,5,0),""))</f>
        <v/>
      </c>
      <c r="F4860" s="79" t="str">
        <f t="shared" si="377"/>
        <v/>
      </c>
      <c r="G4860" s="101"/>
      <c r="H4860" s="91">
        <f t="shared" si="378"/>
        <v>0</v>
      </c>
      <c r="I4860" s="91" t="str">
        <f t="shared" si="379"/>
        <v/>
      </c>
      <c r="J4860" s="91" t="str">
        <f t="shared" si="380"/>
        <v/>
      </c>
      <c r="K4860" s="92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2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58"/>
      <c r="U4860" s="217" t="str">
        <f t="shared" si="381"/>
        <v/>
      </c>
      <c r="V4860" s="215" t="s">
        <v>47</v>
      </c>
      <c r="W4860" s="102" t="s">
        <v>136</v>
      </c>
      <c r="X4860" s="102" t="s">
        <v>137</v>
      </c>
      <c r="Y4860" s="103" t="s">
        <v>138</v>
      </c>
      <c r="Z4860" s="103" t="s">
        <v>139</v>
      </c>
      <c r="AA4860" s="103" t="s">
        <v>47</v>
      </c>
      <c r="AB4860" s="103" t="s">
        <v>140</v>
      </c>
      <c r="AC4860" s="104" t="s">
        <v>141</v>
      </c>
    </row>
    <row r="4861" spans="1:29" ht="25.5" customHeight="1" x14ac:dyDescent="0.35">
      <c r="A4861" s="188"/>
      <c r="B4861" s="190"/>
      <c r="C4861" s="99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0"/>
      <c r="E4861" s="78" t="str">
        <f>IF(C4861="","",IFERROR(VLOOKUP(C4861,parametros!$A$11:$E$15,5,0),""))</f>
        <v/>
      </c>
      <c r="F4861" s="79" t="str">
        <f t="shared" si="377"/>
        <v/>
      </c>
      <c r="G4861" s="101"/>
      <c r="H4861" s="91">
        <f t="shared" si="378"/>
        <v>0</v>
      </c>
      <c r="I4861" s="91" t="str">
        <f t="shared" si="379"/>
        <v/>
      </c>
      <c r="J4861" s="91" t="str">
        <f t="shared" si="380"/>
        <v/>
      </c>
      <c r="K4861" s="92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2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58"/>
      <c r="U4861" s="217" t="str">
        <f t="shared" si="381"/>
        <v/>
      </c>
      <c r="V4861" s="215" t="s">
        <v>47</v>
      </c>
      <c r="W4861" s="102" t="s">
        <v>136</v>
      </c>
      <c r="X4861" s="102" t="s">
        <v>137</v>
      </c>
      <c r="Y4861" s="103" t="s">
        <v>138</v>
      </c>
      <c r="Z4861" s="103" t="s">
        <v>139</v>
      </c>
      <c r="AA4861" s="103" t="s">
        <v>47</v>
      </c>
      <c r="AB4861" s="103" t="s">
        <v>140</v>
      </c>
      <c r="AC4861" s="104" t="s">
        <v>141</v>
      </c>
    </row>
    <row r="4862" spans="1:29" ht="25.5" customHeight="1" x14ac:dyDescent="0.35">
      <c r="A4862" s="188"/>
      <c r="B4862" s="190"/>
      <c r="C4862" s="99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0"/>
      <c r="E4862" s="78" t="str">
        <f>IF(C4862="","",IFERROR(VLOOKUP(C4862,parametros!$A$11:$E$15,5,0),""))</f>
        <v/>
      </c>
      <c r="F4862" s="79" t="str">
        <f t="shared" si="377"/>
        <v/>
      </c>
      <c r="G4862" s="101"/>
      <c r="H4862" s="91">
        <f t="shared" si="378"/>
        <v>0</v>
      </c>
      <c r="I4862" s="91" t="str">
        <f t="shared" si="379"/>
        <v/>
      </c>
      <c r="J4862" s="91" t="str">
        <f t="shared" si="380"/>
        <v/>
      </c>
      <c r="K4862" s="92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2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58"/>
      <c r="U4862" s="217" t="str">
        <f t="shared" si="381"/>
        <v/>
      </c>
      <c r="V4862" s="215" t="s">
        <v>47</v>
      </c>
      <c r="W4862" s="102" t="s">
        <v>136</v>
      </c>
      <c r="X4862" s="102" t="s">
        <v>137</v>
      </c>
      <c r="Y4862" s="103" t="s">
        <v>138</v>
      </c>
      <c r="Z4862" s="103" t="s">
        <v>139</v>
      </c>
      <c r="AA4862" s="103" t="s">
        <v>47</v>
      </c>
      <c r="AB4862" s="103" t="s">
        <v>140</v>
      </c>
      <c r="AC4862" s="104" t="s">
        <v>141</v>
      </c>
    </row>
    <row r="4863" spans="1:29" ht="25.5" customHeight="1" x14ac:dyDescent="0.35">
      <c r="A4863" s="188"/>
      <c r="B4863" s="190"/>
      <c r="C4863" s="99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0"/>
      <c r="E4863" s="78" t="str">
        <f>IF(C4863="","",IFERROR(VLOOKUP(C4863,parametros!$A$11:$E$15,5,0),""))</f>
        <v/>
      </c>
      <c r="F4863" s="79" t="str">
        <f t="shared" si="377"/>
        <v/>
      </c>
      <c r="G4863" s="101"/>
      <c r="H4863" s="91">
        <f t="shared" si="378"/>
        <v>0</v>
      </c>
      <c r="I4863" s="91" t="str">
        <f t="shared" si="379"/>
        <v/>
      </c>
      <c r="J4863" s="91" t="str">
        <f t="shared" si="380"/>
        <v/>
      </c>
      <c r="K4863" s="92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2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58"/>
      <c r="U4863" s="217" t="str">
        <f t="shared" si="381"/>
        <v/>
      </c>
      <c r="V4863" s="215" t="s">
        <v>47</v>
      </c>
      <c r="W4863" s="102" t="s">
        <v>136</v>
      </c>
      <c r="X4863" s="102" t="s">
        <v>137</v>
      </c>
      <c r="Y4863" s="103" t="s">
        <v>138</v>
      </c>
      <c r="Z4863" s="103" t="s">
        <v>139</v>
      </c>
      <c r="AA4863" s="103" t="s">
        <v>47</v>
      </c>
      <c r="AB4863" s="103" t="s">
        <v>140</v>
      </c>
      <c r="AC4863" s="104" t="s">
        <v>141</v>
      </c>
    </row>
    <row r="4864" spans="1:29" ht="25.5" customHeight="1" x14ac:dyDescent="0.35">
      <c r="A4864" s="188"/>
      <c r="B4864" s="190"/>
      <c r="C4864" s="99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0"/>
      <c r="E4864" s="78" t="str">
        <f>IF(C4864="","",IFERROR(VLOOKUP(C4864,parametros!$A$11:$E$15,5,0),""))</f>
        <v/>
      </c>
      <c r="F4864" s="79" t="str">
        <f t="shared" si="377"/>
        <v/>
      </c>
      <c r="G4864" s="101"/>
      <c r="H4864" s="91">
        <f t="shared" si="378"/>
        <v>0</v>
      </c>
      <c r="I4864" s="91" t="str">
        <f t="shared" si="379"/>
        <v/>
      </c>
      <c r="J4864" s="91" t="str">
        <f t="shared" si="380"/>
        <v/>
      </c>
      <c r="K4864" s="92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2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58"/>
      <c r="U4864" s="217" t="str">
        <f t="shared" si="381"/>
        <v/>
      </c>
      <c r="V4864" s="215" t="s">
        <v>47</v>
      </c>
      <c r="W4864" s="102" t="s">
        <v>136</v>
      </c>
      <c r="X4864" s="102" t="s">
        <v>137</v>
      </c>
      <c r="Y4864" s="103" t="s">
        <v>138</v>
      </c>
      <c r="Z4864" s="103" t="s">
        <v>139</v>
      </c>
      <c r="AA4864" s="103" t="s">
        <v>47</v>
      </c>
      <c r="AB4864" s="103" t="s">
        <v>140</v>
      </c>
      <c r="AC4864" s="104" t="s">
        <v>141</v>
      </c>
    </row>
    <row r="4865" spans="1:29" ht="25.5" customHeight="1" x14ac:dyDescent="0.35">
      <c r="A4865" s="188"/>
      <c r="B4865" s="190"/>
      <c r="C4865" s="99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0"/>
      <c r="E4865" s="78" t="str">
        <f>IF(C4865="","",IFERROR(VLOOKUP(C4865,parametros!$A$11:$E$15,5,0),""))</f>
        <v/>
      </c>
      <c r="F4865" s="79" t="str">
        <f t="shared" si="377"/>
        <v/>
      </c>
      <c r="G4865" s="101"/>
      <c r="H4865" s="91">
        <f t="shared" si="378"/>
        <v>0</v>
      </c>
      <c r="I4865" s="91" t="str">
        <f t="shared" si="379"/>
        <v/>
      </c>
      <c r="J4865" s="91" t="str">
        <f t="shared" si="380"/>
        <v/>
      </c>
      <c r="K4865" s="92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2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58"/>
      <c r="U4865" s="217" t="str">
        <f t="shared" si="381"/>
        <v/>
      </c>
      <c r="V4865" s="215" t="s">
        <v>47</v>
      </c>
      <c r="W4865" s="102" t="s">
        <v>136</v>
      </c>
      <c r="X4865" s="102" t="s">
        <v>137</v>
      </c>
      <c r="Y4865" s="103" t="s">
        <v>138</v>
      </c>
      <c r="Z4865" s="103" t="s">
        <v>139</v>
      </c>
      <c r="AA4865" s="103" t="s">
        <v>47</v>
      </c>
      <c r="AB4865" s="103" t="s">
        <v>140</v>
      </c>
      <c r="AC4865" s="104" t="s">
        <v>141</v>
      </c>
    </row>
    <row r="4866" spans="1:29" ht="25.5" customHeight="1" x14ac:dyDescent="0.35">
      <c r="A4866" s="188"/>
      <c r="B4866" s="190"/>
      <c r="C4866" s="99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0"/>
      <c r="E4866" s="78" t="str">
        <f>IF(C4866="","",IFERROR(VLOOKUP(C4866,parametros!$A$11:$E$15,5,0),""))</f>
        <v/>
      </c>
      <c r="F4866" s="79" t="str">
        <f t="shared" ref="F4866:F4929" si="382">IF(OR(D4866="",E4866=""),"",ROUND(D4866*E4866,2))</f>
        <v/>
      </c>
      <c r="G4866" s="101"/>
      <c r="H4866" s="91">
        <f t="shared" ref="H4866:H4929" si="383">IF(G4866="Sim",IF(OR(F4866="",D4866="",L4866=""),"",IF(L4866="Sim",ROUND(F4866-D4866,2),0)),0)</f>
        <v>0</v>
      </c>
      <c r="I4866" s="91" t="str">
        <f t="shared" ref="I4866:I4929" si="384">IF(G4866="Sim",0,IF(OR(F4866="",L4866=""),"",F4866))</f>
        <v/>
      </c>
      <c r="J4866" s="91" t="str">
        <f t="shared" ref="J4866:J4929" si="385">IF(G4866="Sim",0,IF(OR(F4866="",D4866="",L4866=""),"",IF(L4866="Sim",ROUND(F4866-D4866,2),0)))</f>
        <v/>
      </c>
      <c r="K4866" s="92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2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58"/>
      <c r="U4866" s="217" t="str">
        <f t="shared" ref="U4866:U4929" si="386">IF(OR($D4866="",$H4866=""),"",ROUND($D4866+$H4866,2))</f>
        <v/>
      </c>
      <c r="V4866" s="215" t="s">
        <v>47</v>
      </c>
      <c r="W4866" s="102" t="s">
        <v>136</v>
      </c>
      <c r="X4866" s="102" t="s">
        <v>137</v>
      </c>
      <c r="Y4866" s="103" t="s">
        <v>138</v>
      </c>
      <c r="Z4866" s="103" t="s">
        <v>139</v>
      </c>
      <c r="AA4866" s="103" t="s">
        <v>47</v>
      </c>
      <c r="AB4866" s="103" t="s">
        <v>140</v>
      </c>
      <c r="AC4866" s="104" t="s">
        <v>141</v>
      </c>
    </row>
    <row r="4867" spans="1:29" ht="25.5" customHeight="1" x14ac:dyDescent="0.35">
      <c r="A4867" s="188"/>
      <c r="B4867" s="190"/>
      <c r="C4867" s="99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0"/>
      <c r="E4867" s="78" t="str">
        <f>IF(C4867="","",IFERROR(VLOOKUP(C4867,parametros!$A$11:$E$15,5,0),""))</f>
        <v/>
      </c>
      <c r="F4867" s="79" t="str">
        <f t="shared" si="382"/>
        <v/>
      </c>
      <c r="G4867" s="101"/>
      <c r="H4867" s="91">
        <f t="shared" si="383"/>
        <v>0</v>
      </c>
      <c r="I4867" s="91" t="str">
        <f t="shared" si="384"/>
        <v/>
      </c>
      <c r="J4867" s="91" t="str">
        <f t="shared" si="385"/>
        <v/>
      </c>
      <c r="K4867" s="92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2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58"/>
      <c r="U4867" s="217" t="str">
        <f t="shared" si="386"/>
        <v/>
      </c>
      <c r="V4867" s="215" t="s">
        <v>47</v>
      </c>
      <c r="W4867" s="102" t="s">
        <v>136</v>
      </c>
      <c r="X4867" s="102" t="s">
        <v>137</v>
      </c>
      <c r="Y4867" s="103" t="s">
        <v>138</v>
      </c>
      <c r="Z4867" s="103" t="s">
        <v>139</v>
      </c>
      <c r="AA4867" s="103" t="s">
        <v>47</v>
      </c>
      <c r="AB4867" s="103" t="s">
        <v>140</v>
      </c>
      <c r="AC4867" s="104" t="s">
        <v>141</v>
      </c>
    </row>
    <row r="4868" spans="1:29" ht="25.5" customHeight="1" x14ac:dyDescent="0.35">
      <c r="A4868" s="188"/>
      <c r="B4868" s="190"/>
      <c r="C4868" s="99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0"/>
      <c r="E4868" s="78" t="str">
        <f>IF(C4868="","",IFERROR(VLOOKUP(C4868,parametros!$A$11:$E$15,5,0),""))</f>
        <v/>
      </c>
      <c r="F4868" s="79" t="str">
        <f t="shared" si="382"/>
        <v/>
      </c>
      <c r="G4868" s="101"/>
      <c r="H4868" s="91">
        <f t="shared" si="383"/>
        <v>0</v>
      </c>
      <c r="I4868" s="91" t="str">
        <f t="shared" si="384"/>
        <v/>
      </c>
      <c r="J4868" s="91" t="str">
        <f t="shared" si="385"/>
        <v/>
      </c>
      <c r="K4868" s="92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2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58"/>
      <c r="U4868" s="217" t="str">
        <f t="shared" si="386"/>
        <v/>
      </c>
      <c r="V4868" s="215" t="s">
        <v>47</v>
      </c>
      <c r="W4868" s="102" t="s">
        <v>136</v>
      </c>
      <c r="X4868" s="102" t="s">
        <v>137</v>
      </c>
      <c r="Y4868" s="103" t="s">
        <v>138</v>
      </c>
      <c r="Z4868" s="103" t="s">
        <v>139</v>
      </c>
      <c r="AA4868" s="103" t="s">
        <v>47</v>
      </c>
      <c r="AB4868" s="103" t="s">
        <v>140</v>
      </c>
      <c r="AC4868" s="104" t="s">
        <v>141</v>
      </c>
    </row>
    <row r="4869" spans="1:29" ht="25.5" customHeight="1" x14ac:dyDescent="0.35">
      <c r="A4869" s="188"/>
      <c r="B4869" s="190"/>
      <c r="C4869" s="99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0"/>
      <c r="E4869" s="78" t="str">
        <f>IF(C4869="","",IFERROR(VLOOKUP(C4869,parametros!$A$11:$E$15,5,0),""))</f>
        <v/>
      </c>
      <c r="F4869" s="79" t="str">
        <f t="shared" si="382"/>
        <v/>
      </c>
      <c r="G4869" s="101"/>
      <c r="H4869" s="91">
        <f t="shared" si="383"/>
        <v>0</v>
      </c>
      <c r="I4869" s="91" t="str">
        <f t="shared" si="384"/>
        <v/>
      </c>
      <c r="J4869" s="91" t="str">
        <f t="shared" si="385"/>
        <v/>
      </c>
      <c r="K4869" s="92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2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58"/>
      <c r="U4869" s="217" t="str">
        <f t="shared" si="386"/>
        <v/>
      </c>
      <c r="V4869" s="215" t="s">
        <v>47</v>
      </c>
      <c r="W4869" s="102" t="s">
        <v>136</v>
      </c>
      <c r="X4869" s="102" t="s">
        <v>137</v>
      </c>
      <c r="Y4869" s="103" t="s">
        <v>138</v>
      </c>
      <c r="Z4869" s="103" t="s">
        <v>139</v>
      </c>
      <c r="AA4869" s="103" t="s">
        <v>47</v>
      </c>
      <c r="AB4869" s="103" t="s">
        <v>140</v>
      </c>
      <c r="AC4869" s="104" t="s">
        <v>141</v>
      </c>
    </row>
    <row r="4870" spans="1:29" ht="25.5" customHeight="1" x14ac:dyDescent="0.35">
      <c r="A4870" s="188"/>
      <c r="B4870" s="190"/>
      <c r="C4870" s="99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0"/>
      <c r="E4870" s="78" t="str">
        <f>IF(C4870="","",IFERROR(VLOOKUP(C4870,parametros!$A$11:$E$15,5,0),""))</f>
        <v/>
      </c>
      <c r="F4870" s="79" t="str">
        <f t="shared" si="382"/>
        <v/>
      </c>
      <c r="G4870" s="101"/>
      <c r="H4870" s="91">
        <f t="shared" si="383"/>
        <v>0</v>
      </c>
      <c r="I4870" s="91" t="str">
        <f t="shared" si="384"/>
        <v/>
      </c>
      <c r="J4870" s="91" t="str">
        <f t="shared" si="385"/>
        <v/>
      </c>
      <c r="K4870" s="92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2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58"/>
      <c r="U4870" s="217" t="str">
        <f t="shared" si="386"/>
        <v/>
      </c>
      <c r="V4870" s="215" t="s">
        <v>47</v>
      </c>
      <c r="W4870" s="102" t="s">
        <v>136</v>
      </c>
      <c r="X4870" s="102" t="s">
        <v>137</v>
      </c>
      <c r="Y4870" s="103" t="s">
        <v>138</v>
      </c>
      <c r="Z4870" s="103" t="s">
        <v>139</v>
      </c>
      <c r="AA4870" s="103" t="s">
        <v>47</v>
      </c>
      <c r="AB4870" s="103" t="s">
        <v>140</v>
      </c>
      <c r="AC4870" s="104" t="s">
        <v>141</v>
      </c>
    </row>
    <row r="4871" spans="1:29" ht="25.5" customHeight="1" x14ac:dyDescent="0.35">
      <c r="A4871" s="188"/>
      <c r="B4871" s="190"/>
      <c r="C4871" s="99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0"/>
      <c r="E4871" s="78" t="str">
        <f>IF(C4871="","",IFERROR(VLOOKUP(C4871,parametros!$A$11:$E$15,5,0),""))</f>
        <v/>
      </c>
      <c r="F4871" s="79" t="str">
        <f t="shared" si="382"/>
        <v/>
      </c>
      <c r="G4871" s="101"/>
      <c r="H4871" s="91">
        <f t="shared" si="383"/>
        <v>0</v>
      </c>
      <c r="I4871" s="91" t="str">
        <f t="shared" si="384"/>
        <v/>
      </c>
      <c r="J4871" s="91" t="str">
        <f t="shared" si="385"/>
        <v/>
      </c>
      <c r="K4871" s="92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2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58"/>
      <c r="U4871" s="217" t="str">
        <f t="shared" si="386"/>
        <v/>
      </c>
      <c r="V4871" s="215" t="s">
        <v>47</v>
      </c>
      <c r="W4871" s="102" t="s">
        <v>136</v>
      </c>
      <c r="X4871" s="102" t="s">
        <v>137</v>
      </c>
      <c r="Y4871" s="103" t="s">
        <v>138</v>
      </c>
      <c r="Z4871" s="103" t="s">
        <v>139</v>
      </c>
      <c r="AA4871" s="103" t="s">
        <v>47</v>
      </c>
      <c r="AB4871" s="103" t="s">
        <v>140</v>
      </c>
      <c r="AC4871" s="104" t="s">
        <v>141</v>
      </c>
    </row>
    <row r="4872" spans="1:29" ht="25.5" customHeight="1" x14ac:dyDescent="0.35">
      <c r="A4872" s="188"/>
      <c r="B4872" s="190"/>
      <c r="C4872" s="99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0"/>
      <c r="E4872" s="78" t="str">
        <f>IF(C4872="","",IFERROR(VLOOKUP(C4872,parametros!$A$11:$E$15,5,0),""))</f>
        <v/>
      </c>
      <c r="F4872" s="79" t="str">
        <f t="shared" si="382"/>
        <v/>
      </c>
      <c r="G4872" s="101"/>
      <c r="H4872" s="91">
        <f t="shared" si="383"/>
        <v>0</v>
      </c>
      <c r="I4872" s="91" t="str">
        <f t="shared" si="384"/>
        <v/>
      </c>
      <c r="J4872" s="91" t="str">
        <f t="shared" si="385"/>
        <v/>
      </c>
      <c r="K4872" s="92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2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58"/>
      <c r="U4872" s="217" t="str">
        <f t="shared" si="386"/>
        <v/>
      </c>
      <c r="V4872" s="215" t="s">
        <v>47</v>
      </c>
      <c r="W4872" s="102" t="s">
        <v>136</v>
      </c>
      <c r="X4872" s="102" t="s">
        <v>137</v>
      </c>
      <c r="Y4872" s="103" t="s">
        <v>138</v>
      </c>
      <c r="Z4872" s="103" t="s">
        <v>139</v>
      </c>
      <c r="AA4872" s="103" t="s">
        <v>47</v>
      </c>
      <c r="AB4872" s="103" t="s">
        <v>140</v>
      </c>
      <c r="AC4872" s="104" t="s">
        <v>141</v>
      </c>
    </row>
    <row r="4873" spans="1:29" ht="25.5" customHeight="1" x14ac:dyDescent="0.35">
      <c r="A4873" s="188"/>
      <c r="B4873" s="190"/>
      <c r="C4873" s="99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0"/>
      <c r="E4873" s="78" t="str">
        <f>IF(C4873="","",IFERROR(VLOOKUP(C4873,parametros!$A$11:$E$15,5,0),""))</f>
        <v/>
      </c>
      <c r="F4873" s="79" t="str">
        <f t="shared" si="382"/>
        <v/>
      </c>
      <c r="G4873" s="101"/>
      <c r="H4873" s="91">
        <f t="shared" si="383"/>
        <v>0</v>
      </c>
      <c r="I4873" s="91" t="str">
        <f t="shared" si="384"/>
        <v/>
      </c>
      <c r="J4873" s="91" t="str">
        <f t="shared" si="385"/>
        <v/>
      </c>
      <c r="K4873" s="92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2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58"/>
      <c r="U4873" s="217" t="str">
        <f t="shared" si="386"/>
        <v/>
      </c>
      <c r="V4873" s="215" t="s">
        <v>47</v>
      </c>
      <c r="W4873" s="102" t="s">
        <v>136</v>
      </c>
      <c r="X4873" s="102" t="s">
        <v>137</v>
      </c>
      <c r="Y4873" s="103" t="s">
        <v>138</v>
      </c>
      <c r="Z4873" s="103" t="s">
        <v>139</v>
      </c>
      <c r="AA4873" s="103" t="s">
        <v>47</v>
      </c>
      <c r="AB4873" s="103" t="s">
        <v>140</v>
      </c>
      <c r="AC4873" s="104" t="s">
        <v>141</v>
      </c>
    </row>
    <row r="4874" spans="1:29" ht="25.5" customHeight="1" x14ac:dyDescent="0.35">
      <c r="A4874" s="188"/>
      <c r="B4874" s="190"/>
      <c r="C4874" s="99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0"/>
      <c r="E4874" s="78" t="str">
        <f>IF(C4874="","",IFERROR(VLOOKUP(C4874,parametros!$A$11:$E$15,5,0),""))</f>
        <v/>
      </c>
      <c r="F4874" s="79" t="str">
        <f t="shared" si="382"/>
        <v/>
      </c>
      <c r="G4874" s="101"/>
      <c r="H4874" s="91">
        <f t="shared" si="383"/>
        <v>0</v>
      </c>
      <c r="I4874" s="91" t="str">
        <f t="shared" si="384"/>
        <v/>
      </c>
      <c r="J4874" s="91" t="str">
        <f t="shared" si="385"/>
        <v/>
      </c>
      <c r="K4874" s="92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2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58"/>
      <c r="U4874" s="217" t="str">
        <f t="shared" si="386"/>
        <v/>
      </c>
      <c r="V4874" s="215" t="s">
        <v>47</v>
      </c>
      <c r="W4874" s="102" t="s">
        <v>136</v>
      </c>
      <c r="X4874" s="102" t="s">
        <v>137</v>
      </c>
      <c r="Y4874" s="103" t="s">
        <v>138</v>
      </c>
      <c r="Z4874" s="103" t="s">
        <v>139</v>
      </c>
      <c r="AA4874" s="103" t="s">
        <v>47</v>
      </c>
      <c r="AB4874" s="103" t="s">
        <v>140</v>
      </c>
      <c r="AC4874" s="104" t="s">
        <v>141</v>
      </c>
    </row>
    <row r="4875" spans="1:29" ht="25.5" customHeight="1" x14ac:dyDescent="0.35">
      <c r="A4875" s="188"/>
      <c r="B4875" s="190"/>
      <c r="C4875" s="99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0"/>
      <c r="E4875" s="78" t="str">
        <f>IF(C4875="","",IFERROR(VLOOKUP(C4875,parametros!$A$11:$E$15,5,0),""))</f>
        <v/>
      </c>
      <c r="F4875" s="79" t="str">
        <f t="shared" si="382"/>
        <v/>
      </c>
      <c r="G4875" s="101"/>
      <c r="H4875" s="91">
        <f t="shared" si="383"/>
        <v>0</v>
      </c>
      <c r="I4875" s="91" t="str">
        <f t="shared" si="384"/>
        <v/>
      </c>
      <c r="J4875" s="91" t="str">
        <f t="shared" si="385"/>
        <v/>
      </c>
      <c r="K4875" s="92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2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58"/>
      <c r="U4875" s="217" t="str">
        <f t="shared" si="386"/>
        <v/>
      </c>
      <c r="V4875" s="215" t="s">
        <v>47</v>
      </c>
      <c r="W4875" s="102" t="s">
        <v>136</v>
      </c>
      <c r="X4875" s="102" t="s">
        <v>137</v>
      </c>
      <c r="Y4875" s="103" t="s">
        <v>138</v>
      </c>
      <c r="Z4875" s="103" t="s">
        <v>139</v>
      </c>
      <c r="AA4875" s="103" t="s">
        <v>47</v>
      </c>
      <c r="AB4875" s="103" t="s">
        <v>140</v>
      </c>
      <c r="AC4875" s="104" t="s">
        <v>141</v>
      </c>
    </row>
    <row r="4876" spans="1:29" ht="25.5" customHeight="1" x14ac:dyDescent="0.35">
      <c r="A4876" s="188"/>
      <c r="B4876" s="190"/>
      <c r="C4876" s="99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0"/>
      <c r="E4876" s="78" t="str">
        <f>IF(C4876="","",IFERROR(VLOOKUP(C4876,parametros!$A$11:$E$15,5,0),""))</f>
        <v/>
      </c>
      <c r="F4876" s="79" t="str">
        <f t="shared" si="382"/>
        <v/>
      </c>
      <c r="G4876" s="101"/>
      <c r="H4876" s="91">
        <f t="shared" si="383"/>
        <v>0</v>
      </c>
      <c r="I4876" s="91" t="str">
        <f t="shared" si="384"/>
        <v/>
      </c>
      <c r="J4876" s="91" t="str">
        <f t="shared" si="385"/>
        <v/>
      </c>
      <c r="K4876" s="92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2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58"/>
      <c r="U4876" s="217" t="str">
        <f t="shared" si="386"/>
        <v/>
      </c>
      <c r="V4876" s="215" t="s">
        <v>47</v>
      </c>
      <c r="W4876" s="102" t="s">
        <v>136</v>
      </c>
      <c r="X4876" s="102" t="s">
        <v>137</v>
      </c>
      <c r="Y4876" s="103" t="s">
        <v>138</v>
      </c>
      <c r="Z4876" s="103" t="s">
        <v>139</v>
      </c>
      <c r="AA4876" s="103" t="s">
        <v>47</v>
      </c>
      <c r="AB4876" s="103" t="s">
        <v>140</v>
      </c>
      <c r="AC4876" s="104" t="s">
        <v>141</v>
      </c>
    </row>
    <row r="4877" spans="1:29" ht="25.5" customHeight="1" x14ac:dyDescent="0.35">
      <c r="A4877" s="188"/>
      <c r="B4877" s="190"/>
      <c r="C4877" s="99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0"/>
      <c r="E4877" s="78" t="str">
        <f>IF(C4877="","",IFERROR(VLOOKUP(C4877,parametros!$A$11:$E$15,5,0),""))</f>
        <v/>
      </c>
      <c r="F4877" s="79" t="str">
        <f t="shared" si="382"/>
        <v/>
      </c>
      <c r="G4877" s="101"/>
      <c r="H4877" s="91">
        <f t="shared" si="383"/>
        <v>0</v>
      </c>
      <c r="I4877" s="91" t="str">
        <f t="shared" si="384"/>
        <v/>
      </c>
      <c r="J4877" s="91" t="str">
        <f t="shared" si="385"/>
        <v/>
      </c>
      <c r="K4877" s="92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2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58"/>
      <c r="U4877" s="217" t="str">
        <f t="shared" si="386"/>
        <v/>
      </c>
      <c r="V4877" s="215" t="s">
        <v>47</v>
      </c>
      <c r="W4877" s="102" t="s">
        <v>136</v>
      </c>
      <c r="X4877" s="102" t="s">
        <v>137</v>
      </c>
      <c r="Y4877" s="103" t="s">
        <v>138</v>
      </c>
      <c r="Z4877" s="103" t="s">
        <v>139</v>
      </c>
      <c r="AA4877" s="103" t="s">
        <v>47</v>
      </c>
      <c r="AB4877" s="103" t="s">
        <v>140</v>
      </c>
      <c r="AC4877" s="104" t="s">
        <v>141</v>
      </c>
    </row>
    <row r="4878" spans="1:29" ht="25.5" customHeight="1" x14ac:dyDescent="0.35">
      <c r="A4878" s="188"/>
      <c r="B4878" s="190"/>
      <c r="C4878" s="99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0"/>
      <c r="E4878" s="78" t="str">
        <f>IF(C4878="","",IFERROR(VLOOKUP(C4878,parametros!$A$11:$E$15,5,0),""))</f>
        <v/>
      </c>
      <c r="F4878" s="79" t="str">
        <f t="shared" si="382"/>
        <v/>
      </c>
      <c r="G4878" s="101"/>
      <c r="H4878" s="91">
        <f t="shared" si="383"/>
        <v>0</v>
      </c>
      <c r="I4878" s="91" t="str">
        <f t="shared" si="384"/>
        <v/>
      </c>
      <c r="J4878" s="91" t="str">
        <f t="shared" si="385"/>
        <v/>
      </c>
      <c r="K4878" s="92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2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58"/>
      <c r="U4878" s="217" t="str">
        <f t="shared" si="386"/>
        <v/>
      </c>
      <c r="V4878" s="215" t="s">
        <v>47</v>
      </c>
      <c r="W4878" s="102" t="s">
        <v>136</v>
      </c>
      <c r="X4878" s="102" t="s">
        <v>137</v>
      </c>
      <c r="Y4878" s="103" t="s">
        <v>138</v>
      </c>
      <c r="Z4878" s="103" t="s">
        <v>139</v>
      </c>
      <c r="AA4878" s="103" t="s">
        <v>47</v>
      </c>
      <c r="AB4878" s="103" t="s">
        <v>140</v>
      </c>
      <c r="AC4878" s="104" t="s">
        <v>141</v>
      </c>
    </row>
    <row r="4879" spans="1:29" ht="25.5" customHeight="1" x14ac:dyDescent="0.35">
      <c r="A4879" s="188"/>
      <c r="B4879" s="190"/>
      <c r="C4879" s="99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0"/>
      <c r="E4879" s="78" t="str">
        <f>IF(C4879="","",IFERROR(VLOOKUP(C4879,parametros!$A$11:$E$15,5,0),""))</f>
        <v/>
      </c>
      <c r="F4879" s="79" t="str">
        <f t="shared" si="382"/>
        <v/>
      </c>
      <c r="G4879" s="101"/>
      <c r="H4879" s="91">
        <f t="shared" si="383"/>
        <v>0</v>
      </c>
      <c r="I4879" s="91" t="str">
        <f t="shared" si="384"/>
        <v/>
      </c>
      <c r="J4879" s="91" t="str">
        <f t="shared" si="385"/>
        <v/>
      </c>
      <c r="K4879" s="92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2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58"/>
      <c r="U4879" s="217" t="str">
        <f t="shared" si="386"/>
        <v/>
      </c>
      <c r="V4879" s="215" t="s">
        <v>47</v>
      </c>
      <c r="W4879" s="102" t="s">
        <v>136</v>
      </c>
      <c r="X4879" s="102" t="s">
        <v>137</v>
      </c>
      <c r="Y4879" s="103" t="s">
        <v>138</v>
      </c>
      <c r="Z4879" s="103" t="s">
        <v>139</v>
      </c>
      <c r="AA4879" s="103" t="s">
        <v>47</v>
      </c>
      <c r="AB4879" s="103" t="s">
        <v>140</v>
      </c>
      <c r="AC4879" s="104" t="s">
        <v>141</v>
      </c>
    </row>
    <row r="4880" spans="1:29" ht="25.5" customHeight="1" x14ac:dyDescent="0.35">
      <c r="A4880" s="188"/>
      <c r="B4880" s="190"/>
      <c r="C4880" s="99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0"/>
      <c r="E4880" s="78" t="str">
        <f>IF(C4880="","",IFERROR(VLOOKUP(C4880,parametros!$A$11:$E$15,5,0),""))</f>
        <v/>
      </c>
      <c r="F4880" s="79" t="str">
        <f t="shared" si="382"/>
        <v/>
      </c>
      <c r="G4880" s="101"/>
      <c r="H4880" s="91">
        <f t="shared" si="383"/>
        <v>0</v>
      </c>
      <c r="I4880" s="91" t="str">
        <f t="shared" si="384"/>
        <v/>
      </c>
      <c r="J4880" s="91" t="str">
        <f t="shared" si="385"/>
        <v/>
      </c>
      <c r="K4880" s="92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2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58"/>
      <c r="U4880" s="217" t="str">
        <f t="shared" si="386"/>
        <v/>
      </c>
      <c r="V4880" s="215" t="s">
        <v>47</v>
      </c>
      <c r="W4880" s="102" t="s">
        <v>136</v>
      </c>
      <c r="X4880" s="102" t="s">
        <v>137</v>
      </c>
      <c r="Y4880" s="103" t="s">
        <v>138</v>
      </c>
      <c r="Z4880" s="103" t="s">
        <v>139</v>
      </c>
      <c r="AA4880" s="103" t="s">
        <v>47</v>
      </c>
      <c r="AB4880" s="103" t="s">
        <v>140</v>
      </c>
      <c r="AC4880" s="104" t="s">
        <v>141</v>
      </c>
    </row>
    <row r="4881" spans="1:29" ht="25.5" customHeight="1" x14ac:dyDescent="0.35">
      <c r="A4881" s="188"/>
      <c r="B4881" s="190"/>
      <c r="C4881" s="99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0"/>
      <c r="E4881" s="78" t="str">
        <f>IF(C4881="","",IFERROR(VLOOKUP(C4881,parametros!$A$11:$E$15,5,0),""))</f>
        <v/>
      </c>
      <c r="F4881" s="79" t="str">
        <f t="shared" si="382"/>
        <v/>
      </c>
      <c r="G4881" s="101"/>
      <c r="H4881" s="91">
        <f t="shared" si="383"/>
        <v>0</v>
      </c>
      <c r="I4881" s="91" t="str">
        <f t="shared" si="384"/>
        <v/>
      </c>
      <c r="J4881" s="91" t="str">
        <f t="shared" si="385"/>
        <v/>
      </c>
      <c r="K4881" s="92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2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58"/>
      <c r="U4881" s="217" t="str">
        <f t="shared" si="386"/>
        <v/>
      </c>
      <c r="V4881" s="215" t="s">
        <v>47</v>
      </c>
      <c r="W4881" s="102" t="s">
        <v>136</v>
      </c>
      <c r="X4881" s="102" t="s">
        <v>137</v>
      </c>
      <c r="Y4881" s="103" t="s">
        <v>138</v>
      </c>
      <c r="Z4881" s="103" t="s">
        <v>139</v>
      </c>
      <c r="AA4881" s="103" t="s">
        <v>47</v>
      </c>
      <c r="AB4881" s="103" t="s">
        <v>140</v>
      </c>
      <c r="AC4881" s="104" t="s">
        <v>141</v>
      </c>
    </row>
    <row r="4882" spans="1:29" ht="25.5" customHeight="1" x14ac:dyDescent="0.35">
      <c r="A4882" s="188"/>
      <c r="B4882" s="190"/>
      <c r="C4882" s="99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0"/>
      <c r="E4882" s="78" t="str">
        <f>IF(C4882="","",IFERROR(VLOOKUP(C4882,parametros!$A$11:$E$15,5,0),""))</f>
        <v/>
      </c>
      <c r="F4882" s="79" t="str">
        <f t="shared" si="382"/>
        <v/>
      </c>
      <c r="G4882" s="101"/>
      <c r="H4882" s="91">
        <f t="shared" si="383"/>
        <v>0</v>
      </c>
      <c r="I4882" s="91" t="str">
        <f t="shared" si="384"/>
        <v/>
      </c>
      <c r="J4882" s="91" t="str">
        <f t="shared" si="385"/>
        <v/>
      </c>
      <c r="K4882" s="92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2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58"/>
      <c r="U4882" s="217" t="str">
        <f t="shared" si="386"/>
        <v/>
      </c>
      <c r="V4882" s="215" t="s">
        <v>47</v>
      </c>
      <c r="W4882" s="102" t="s">
        <v>136</v>
      </c>
      <c r="X4882" s="102" t="s">
        <v>137</v>
      </c>
      <c r="Y4882" s="103" t="s">
        <v>138</v>
      </c>
      <c r="Z4882" s="103" t="s">
        <v>139</v>
      </c>
      <c r="AA4882" s="103" t="s">
        <v>47</v>
      </c>
      <c r="AB4882" s="103" t="s">
        <v>140</v>
      </c>
      <c r="AC4882" s="104" t="s">
        <v>141</v>
      </c>
    </row>
    <row r="4883" spans="1:29" ht="25.5" customHeight="1" x14ac:dyDescent="0.35">
      <c r="A4883" s="188"/>
      <c r="B4883" s="190"/>
      <c r="C4883" s="99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0"/>
      <c r="E4883" s="78" t="str">
        <f>IF(C4883="","",IFERROR(VLOOKUP(C4883,parametros!$A$11:$E$15,5,0),""))</f>
        <v/>
      </c>
      <c r="F4883" s="79" t="str">
        <f t="shared" si="382"/>
        <v/>
      </c>
      <c r="G4883" s="101"/>
      <c r="H4883" s="91">
        <f t="shared" si="383"/>
        <v>0</v>
      </c>
      <c r="I4883" s="91" t="str">
        <f t="shared" si="384"/>
        <v/>
      </c>
      <c r="J4883" s="91" t="str">
        <f t="shared" si="385"/>
        <v/>
      </c>
      <c r="K4883" s="92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2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58"/>
      <c r="U4883" s="217" t="str">
        <f t="shared" si="386"/>
        <v/>
      </c>
      <c r="V4883" s="215" t="s">
        <v>47</v>
      </c>
      <c r="W4883" s="102" t="s">
        <v>136</v>
      </c>
      <c r="X4883" s="102" t="s">
        <v>137</v>
      </c>
      <c r="Y4883" s="103" t="s">
        <v>138</v>
      </c>
      <c r="Z4883" s="103" t="s">
        <v>139</v>
      </c>
      <c r="AA4883" s="103" t="s">
        <v>47</v>
      </c>
      <c r="AB4883" s="103" t="s">
        <v>140</v>
      </c>
      <c r="AC4883" s="104" t="s">
        <v>141</v>
      </c>
    </row>
    <row r="4884" spans="1:29" ht="25.5" customHeight="1" x14ac:dyDescent="0.35">
      <c r="A4884" s="188"/>
      <c r="B4884" s="190"/>
      <c r="C4884" s="99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0"/>
      <c r="E4884" s="78" t="str">
        <f>IF(C4884="","",IFERROR(VLOOKUP(C4884,parametros!$A$11:$E$15,5,0),""))</f>
        <v/>
      </c>
      <c r="F4884" s="79" t="str">
        <f t="shared" si="382"/>
        <v/>
      </c>
      <c r="G4884" s="101"/>
      <c r="H4884" s="91">
        <f t="shared" si="383"/>
        <v>0</v>
      </c>
      <c r="I4884" s="91" t="str">
        <f t="shared" si="384"/>
        <v/>
      </c>
      <c r="J4884" s="91" t="str">
        <f t="shared" si="385"/>
        <v/>
      </c>
      <c r="K4884" s="92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2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58"/>
      <c r="U4884" s="217" t="str">
        <f t="shared" si="386"/>
        <v/>
      </c>
      <c r="V4884" s="215" t="s">
        <v>47</v>
      </c>
      <c r="W4884" s="102" t="s">
        <v>136</v>
      </c>
      <c r="X4884" s="102" t="s">
        <v>137</v>
      </c>
      <c r="Y4884" s="103" t="s">
        <v>138</v>
      </c>
      <c r="Z4884" s="103" t="s">
        <v>139</v>
      </c>
      <c r="AA4884" s="103" t="s">
        <v>47</v>
      </c>
      <c r="AB4884" s="103" t="s">
        <v>140</v>
      </c>
      <c r="AC4884" s="104" t="s">
        <v>141</v>
      </c>
    </row>
    <row r="4885" spans="1:29" ht="25.5" customHeight="1" x14ac:dyDescent="0.35">
      <c r="A4885" s="188"/>
      <c r="B4885" s="190"/>
      <c r="C4885" s="99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0"/>
      <c r="E4885" s="78" t="str">
        <f>IF(C4885="","",IFERROR(VLOOKUP(C4885,parametros!$A$11:$E$15,5,0),""))</f>
        <v/>
      </c>
      <c r="F4885" s="79" t="str">
        <f t="shared" si="382"/>
        <v/>
      </c>
      <c r="G4885" s="101"/>
      <c r="H4885" s="91">
        <f t="shared" si="383"/>
        <v>0</v>
      </c>
      <c r="I4885" s="91" t="str">
        <f t="shared" si="384"/>
        <v/>
      </c>
      <c r="J4885" s="91" t="str">
        <f t="shared" si="385"/>
        <v/>
      </c>
      <c r="K4885" s="92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2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58"/>
      <c r="U4885" s="217" t="str">
        <f t="shared" si="386"/>
        <v/>
      </c>
      <c r="V4885" s="215" t="s">
        <v>47</v>
      </c>
      <c r="W4885" s="102" t="s">
        <v>136</v>
      </c>
      <c r="X4885" s="102" t="s">
        <v>137</v>
      </c>
      <c r="Y4885" s="103" t="s">
        <v>138</v>
      </c>
      <c r="Z4885" s="103" t="s">
        <v>139</v>
      </c>
      <c r="AA4885" s="103" t="s">
        <v>47</v>
      </c>
      <c r="AB4885" s="103" t="s">
        <v>140</v>
      </c>
      <c r="AC4885" s="104" t="s">
        <v>141</v>
      </c>
    </row>
    <row r="4886" spans="1:29" ht="25.5" customHeight="1" x14ac:dyDescent="0.35">
      <c r="A4886" s="188"/>
      <c r="B4886" s="190"/>
      <c r="C4886" s="99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0"/>
      <c r="E4886" s="78" t="str">
        <f>IF(C4886="","",IFERROR(VLOOKUP(C4886,parametros!$A$11:$E$15,5,0),""))</f>
        <v/>
      </c>
      <c r="F4886" s="79" t="str">
        <f t="shared" si="382"/>
        <v/>
      </c>
      <c r="G4886" s="101"/>
      <c r="H4886" s="91">
        <f t="shared" si="383"/>
        <v>0</v>
      </c>
      <c r="I4886" s="91" t="str">
        <f t="shared" si="384"/>
        <v/>
      </c>
      <c r="J4886" s="91" t="str">
        <f t="shared" si="385"/>
        <v/>
      </c>
      <c r="K4886" s="92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2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58"/>
      <c r="U4886" s="217" t="str">
        <f t="shared" si="386"/>
        <v/>
      </c>
      <c r="V4886" s="215" t="s">
        <v>47</v>
      </c>
      <c r="W4886" s="102" t="s">
        <v>136</v>
      </c>
      <c r="X4886" s="102" t="s">
        <v>137</v>
      </c>
      <c r="Y4886" s="103" t="s">
        <v>138</v>
      </c>
      <c r="Z4886" s="103" t="s">
        <v>139</v>
      </c>
      <c r="AA4886" s="103" t="s">
        <v>47</v>
      </c>
      <c r="AB4886" s="103" t="s">
        <v>140</v>
      </c>
      <c r="AC4886" s="104" t="s">
        <v>141</v>
      </c>
    </row>
    <row r="4887" spans="1:29" ht="25.5" customHeight="1" x14ac:dyDescent="0.35">
      <c r="A4887" s="188"/>
      <c r="B4887" s="190"/>
      <c r="C4887" s="99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0"/>
      <c r="E4887" s="78" t="str">
        <f>IF(C4887="","",IFERROR(VLOOKUP(C4887,parametros!$A$11:$E$15,5,0),""))</f>
        <v/>
      </c>
      <c r="F4887" s="79" t="str">
        <f t="shared" si="382"/>
        <v/>
      </c>
      <c r="G4887" s="101"/>
      <c r="H4887" s="91">
        <f t="shared" si="383"/>
        <v>0</v>
      </c>
      <c r="I4887" s="91" t="str">
        <f t="shared" si="384"/>
        <v/>
      </c>
      <c r="J4887" s="91" t="str">
        <f t="shared" si="385"/>
        <v/>
      </c>
      <c r="K4887" s="92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2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58"/>
      <c r="U4887" s="217" t="str">
        <f t="shared" si="386"/>
        <v/>
      </c>
      <c r="V4887" s="215" t="s">
        <v>47</v>
      </c>
      <c r="W4887" s="102" t="s">
        <v>136</v>
      </c>
      <c r="X4887" s="102" t="s">
        <v>137</v>
      </c>
      <c r="Y4887" s="103" t="s">
        <v>138</v>
      </c>
      <c r="Z4887" s="103" t="s">
        <v>139</v>
      </c>
      <c r="AA4887" s="103" t="s">
        <v>47</v>
      </c>
      <c r="AB4887" s="103" t="s">
        <v>140</v>
      </c>
      <c r="AC4887" s="104" t="s">
        <v>141</v>
      </c>
    </row>
    <row r="4888" spans="1:29" ht="25.5" customHeight="1" x14ac:dyDescent="0.35">
      <c r="A4888" s="188"/>
      <c r="B4888" s="190"/>
      <c r="C4888" s="99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0"/>
      <c r="E4888" s="78" t="str">
        <f>IF(C4888="","",IFERROR(VLOOKUP(C4888,parametros!$A$11:$E$15,5,0),""))</f>
        <v/>
      </c>
      <c r="F4888" s="79" t="str">
        <f t="shared" si="382"/>
        <v/>
      </c>
      <c r="G4888" s="101"/>
      <c r="H4888" s="91">
        <f t="shared" si="383"/>
        <v>0</v>
      </c>
      <c r="I4888" s="91" t="str">
        <f t="shared" si="384"/>
        <v/>
      </c>
      <c r="J4888" s="91" t="str">
        <f t="shared" si="385"/>
        <v/>
      </c>
      <c r="K4888" s="92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2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58"/>
      <c r="U4888" s="217" t="str">
        <f t="shared" si="386"/>
        <v/>
      </c>
      <c r="V4888" s="215" t="s">
        <v>47</v>
      </c>
      <c r="W4888" s="102" t="s">
        <v>136</v>
      </c>
      <c r="X4888" s="102" t="s">
        <v>137</v>
      </c>
      <c r="Y4888" s="103" t="s">
        <v>138</v>
      </c>
      <c r="Z4888" s="103" t="s">
        <v>139</v>
      </c>
      <c r="AA4888" s="103" t="s">
        <v>47</v>
      </c>
      <c r="AB4888" s="103" t="s">
        <v>140</v>
      </c>
      <c r="AC4888" s="104" t="s">
        <v>141</v>
      </c>
    </row>
    <row r="4889" spans="1:29" ht="25.5" customHeight="1" x14ac:dyDescent="0.35">
      <c r="A4889" s="188"/>
      <c r="B4889" s="190"/>
      <c r="C4889" s="99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0"/>
      <c r="E4889" s="78" t="str">
        <f>IF(C4889="","",IFERROR(VLOOKUP(C4889,parametros!$A$11:$E$15,5,0),""))</f>
        <v/>
      </c>
      <c r="F4889" s="79" t="str">
        <f t="shared" si="382"/>
        <v/>
      </c>
      <c r="G4889" s="101"/>
      <c r="H4889" s="91">
        <f t="shared" si="383"/>
        <v>0</v>
      </c>
      <c r="I4889" s="91" t="str">
        <f t="shared" si="384"/>
        <v/>
      </c>
      <c r="J4889" s="91" t="str">
        <f t="shared" si="385"/>
        <v/>
      </c>
      <c r="K4889" s="92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2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58"/>
      <c r="U4889" s="217" t="str">
        <f t="shared" si="386"/>
        <v/>
      </c>
      <c r="V4889" s="215" t="s">
        <v>47</v>
      </c>
      <c r="W4889" s="102" t="s">
        <v>136</v>
      </c>
      <c r="X4889" s="102" t="s">
        <v>137</v>
      </c>
      <c r="Y4889" s="103" t="s">
        <v>138</v>
      </c>
      <c r="Z4889" s="103" t="s">
        <v>139</v>
      </c>
      <c r="AA4889" s="103" t="s">
        <v>47</v>
      </c>
      <c r="AB4889" s="103" t="s">
        <v>140</v>
      </c>
      <c r="AC4889" s="104" t="s">
        <v>141</v>
      </c>
    </row>
    <row r="4890" spans="1:29" ht="25.5" customHeight="1" x14ac:dyDescent="0.35">
      <c r="A4890" s="188"/>
      <c r="B4890" s="190"/>
      <c r="C4890" s="99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0"/>
      <c r="E4890" s="78" t="str">
        <f>IF(C4890="","",IFERROR(VLOOKUP(C4890,parametros!$A$11:$E$15,5,0),""))</f>
        <v/>
      </c>
      <c r="F4890" s="79" t="str">
        <f t="shared" si="382"/>
        <v/>
      </c>
      <c r="G4890" s="101"/>
      <c r="H4890" s="91">
        <f t="shared" si="383"/>
        <v>0</v>
      </c>
      <c r="I4890" s="91" t="str">
        <f t="shared" si="384"/>
        <v/>
      </c>
      <c r="J4890" s="91" t="str">
        <f t="shared" si="385"/>
        <v/>
      </c>
      <c r="K4890" s="92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2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58"/>
      <c r="U4890" s="217" t="str">
        <f t="shared" si="386"/>
        <v/>
      </c>
      <c r="V4890" s="215" t="s">
        <v>47</v>
      </c>
      <c r="W4890" s="102" t="s">
        <v>136</v>
      </c>
      <c r="X4890" s="102" t="s">
        <v>137</v>
      </c>
      <c r="Y4890" s="103" t="s">
        <v>138</v>
      </c>
      <c r="Z4890" s="103" t="s">
        <v>139</v>
      </c>
      <c r="AA4890" s="103" t="s">
        <v>47</v>
      </c>
      <c r="AB4890" s="103" t="s">
        <v>140</v>
      </c>
      <c r="AC4890" s="104" t="s">
        <v>141</v>
      </c>
    </row>
    <row r="4891" spans="1:29" ht="25.5" customHeight="1" x14ac:dyDescent="0.35">
      <c r="A4891" s="188"/>
      <c r="B4891" s="190"/>
      <c r="C4891" s="99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0"/>
      <c r="E4891" s="78" t="str">
        <f>IF(C4891="","",IFERROR(VLOOKUP(C4891,parametros!$A$11:$E$15,5,0),""))</f>
        <v/>
      </c>
      <c r="F4891" s="79" t="str">
        <f t="shared" si="382"/>
        <v/>
      </c>
      <c r="G4891" s="101"/>
      <c r="H4891" s="91">
        <f t="shared" si="383"/>
        <v>0</v>
      </c>
      <c r="I4891" s="91" t="str">
        <f t="shared" si="384"/>
        <v/>
      </c>
      <c r="J4891" s="91" t="str">
        <f t="shared" si="385"/>
        <v/>
      </c>
      <c r="K4891" s="92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2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58"/>
      <c r="U4891" s="217" t="str">
        <f t="shared" si="386"/>
        <v/>
      </c>
      <c r="V4891" s="215" t="s">
        <v>47</v>
      </c>
      <c r="W4891" s="102" t="s">
        <v>136</v>
      </c>
      <c r="X4891" s="102" t="s">
        <v>137</v>
      </c>
      <c r="Y4891" s="103" t="s">
        <v>138</v>
      </c>
      <c r="Z4891" s="103" t="s">
        <v>139</v>
      </c>
      <c r="AA4891" s="103" t="s">
        <v>47</v>
      </c>
      <c r="AB4891" s="103" t="s">
        <v>140</v>
      </c>
      <c r="AC4891" s="104" t="s">
        <v>141</v>
      </c>
    </row>
    <row r="4892" spans="1:29" ht="25.5" customHeight="1" x14ac:dyDescent="0.35">
      <c r="A4892" s="188"/>
      <c r="B4892" s="190"/>
      <c r="C4892" s="99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0"/>
      <c r="E4892" s="78" t="str">
        <f>IF(C4892="","",IFERROR(VLOOKUP(C4892,parametros!$A$11:$E$15,5,0),""))</f>
        <v/>
      </c>
      <c r="F4892" s="79" t="str">
        <f t="shared" si="382"/>
        <v/>
      </c>
      <c r="G4892" s="101"/>
      <c r="H4892" s="91">
        <f t="shared" si="383"/>
        <v>0</v>
      </c>
      <c r="I4892" s="91" t="str">
        <f t="shared" si="384"/>
        <v/>
      </c>
      <c r="J4892" s="91" t="str">
        <f t="shared" si="385"/>
        <v/>
      </c>
      <c r="K4892" s="92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2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58"/>
      <c r="U4892" s="217" t="str">
        <f t="shared" si="386"/>
        <v/>
      </c>
      <c r="V4892" s="215" t="s">
        <v>47</v>
      </c>
      <c r="W4892" s="102" t="s">
        <v>136</v>
      </c>
      <c r="X4892" s="102" t="s">
        <v>137</v>
      </c>
      <c r="Y4892" s="103" t="s">
        <v>138</v>
      </c>
      <c r="Z4892" s="103" t="s">
        <v>139</v>
      </c>
      <c r="AA4892" s="103" t="s">
        <v>47</v>
      </c>
      <c r="AB4892" s="103" t="s">
        <v>140</v>
      </c>
      <c r="AC4892" s="104" t="s">
        <v>141</v>
      </c>
    </row>
    <row r="4893" spans="1:29" ht="25.5" customHeight="1" x14ac:dyDescent="0.35">
      <c r="A4893" s="188"/>
      <c r="B4893" s="190"/>
      <c r="C4893" s="99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0"/>
      <c r="E4893" s="78" t="str">
        <f>IF(C4893="","",IFERROR(VLOOKUP(C4893,parametros!$A$11:$E$15,5,0),""))</f>
        <v/>
      </c>
      <c r="F4893" s="79" t="str">
        <f t="shared" si="382"/>
        <v/>
      </c>
      <c r="G4893" s="101"/>
      <c r="H4893" s="91">
        <f t="shared" si="383"/>
        <v>0</v>
      </c>
      <c r="I4893" s="91" t="str">
        <f t="shared" si="384"/>
        <v/>
      </c>
      <c r="J4893" s="91" t="str">
        <f t="shared" si="385"/>
        <v/>
      </c>
      <c r="K4893" s="92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2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58"/>
      <c r="U4893" s="217" t="str">
        <f t="shared" si="386"/>
        <v/>
      </c>
      <c r="V4893" s="215" t="s">
        <v>47</v>
      </c>
      <c r="W4893" s="102" t="s">
        <v>136</v>
      </c>
      <c r="X4893" s="102" t="s">
        <v>137</v>
      </c>
      <c r="Y4893" s="103" t="s">
        <v>138</v>
      </c>
      <c r="Z4893" s="103" t="s">
        <v>139</v>
      </c>
      <c r="AA4893" s="103" t="s">
        <v>47</v>
      </c>
      <c r="AB4893" s="103" t="s">
        <v>140</v>
      </c>
      <c r="AC4893" s="104" t="s">
        <v>141</v>
      </c>
    </row>
    <row r="4894" spans="1:29" ht="25.5" customHeight="1" x14ac:dyDescent="0.35">
      <c r="A4894" s="188"/>
      <c r="B4894" s="190"/>
      <c r="C4894" s="99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0"/>
      <c r="E4894" s="78" t="str">
        <f>IF(C4894="","",IFERROR(VLOOKUP(C4894,parametros!$A$11:$E$15,5,0),""))</f>
        <v/>
      </c>
      <c r="F4894" s="79" t="str">
        <f t="shared" si="382"/>
        <v/>
      </c>
      <c r="G4894" s="101"/>
      <c r="H4894" s="91">
        <f t="shared" si="383"/>
        <v>0</v>
      </c>
      <c r="I4894" s="91" t="str">
        <f t="shared" si="384"/>
        <v/>
      </c>
      <c r="J4894" s="91" t="str">
        <f t="shared" si="385"/>
        <v/>
      </c>
      <c r="K4894" s="92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2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58"/>
      <c r="U4894" s="217" t="str">
        <f t="shared" si="386"/>
        <v/>
      </c>
      <c r="V4894" s="215" t="s">
        <v>47</v>
      </c>
      <c r="W4894" s="102" t="s">
        <v>136</v>
      </c>
      <c r="X4894" s="102" t="s">
        <v>137</v>
      </c>
      <c r="Y4894" s="103" t="s">
        <v>138</v>
      </c>
      <c r="Z4894" s="103" t="s">
        <v>139</v>
      </c>
      <c r="AA4894" s="103" t="s">
        <v>47</v>
      </c>
      <c r="AB4894" s="103" t="s">
        <v>140</v>
      </c>
      <c r="AC4894" s="104" t="s">
        <v>141</v>
      </c>
    </row>
    <row r="4895" spans="1:29" ht="25.5" customHeight="1" x14ac:dyDescent="0.35">
      <c r="A4895" s="188"/>
      <c r="B4895" s="190"/>
      <c r="C4895" s="99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0"/>
      <c r="E4895" s="78" t="str">
        <f>IF(C4895="","",IFERROR(VLOOKUP(C4895,parametros!$A$11:$E$15,5,0),""))</f>
        <v/>
      </c>
      <c r="F4895" s="79" t="str">
        <f t="shared" si="382"/>
        <v/>
      </c>
      <c r="G4895" s="101"/>
      <c r="H4895" s="91">
        <f t="shared" si="383"/>
        <v>0</v>
      </c>
      <c r="I4895" s="91" t="str">
        <f t="shared" si="384"/>
        <v/>
      </c>
      <c r="J4895" s="91" t="str">
        <f t="shared" si="385"/>
        <v/>
      </c>
      <c r="K4895" s="92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2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58"/>
      <c r="U4895" s="217" t="str">
        <f t="shared" si="386"/>
        <v/>
      </c>
      <c r="V4895" s="215" t="s">
        <v>47</v>
      </c>
      <c r="W4895" s="102" t="s">
        <v>136</v>
      </c>
      <c r="X4895" s="102" t="s">
        <v>137</v>
      </c>
      <c r="Y4895" s="103" t="s">
        <v>138</v>
      </c>
      <c r="Z4895" s="103" t="s">
        <v>139</v>
      </c>
      <c r="AA4895" s="103" t="s">
        <v>47</v>
      </c>
      <c r="AB4895" s="103" t="s">
        <v>140</v>
      </c>
      <c r="AC4895" s="104" t="s">
        <v>141</v>
      </c>
    </row>
    <row r="4896" spans="1:29" ht="25.5" customHeight="1" x14ac:dyDescent="0.35">
      <c r="A4896" s="188"/>
      <c r="B4896" s="190"/>
      <c r="C4896" s="99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0"/>
      <c r="E4896" s="78" t="str">
        <f>IF(C4896="","",IFERROR(VLOOKUP(C4896,parametros!$A$11:$E$15,5,0),""))</f>
        <v/>
      </c>
      <c r="F4896" s="79" t="str">
        <f t="shared" si="382"/>
        <v/>
      </c>
      <c r="G4896" s="101"/>
      <c r="H4896" s="91">
        <f t="shared" si="383"/>
        <v>0</v>
      </c>
      <c r="I4896" s="91" t="str">
        <f t="shared" si="384"/>
        <v/>
      </c>
      <c r="J4896" s="91" t="str">
        <f t="shared" si="385"/>
        <v/>
      </c>
      <c r="K4896" s="92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2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58"/>
      <c r="U4896" s="217" t="str">
        <f t="shared" si="386"/>
        <v/>
      </c>
      <c r="V4896" s="215" t="s">
        <v>47</v>
      </c>
      <c r="W4896" s="102" t="s">
        <v>136</v>
      </c>
      <c r="X4896" s="102" t="s">
        <v>137</v>
      </c>
      <c r="Y4896" s="103" t="s">
        <v>138</v>
      </c>
      <c r="Z4896" s="103" t="s">
        <v>139</v>
      </c>
      <c r="AA4896" s="103" t="s">
        <v>47</v>
      </c>
      <c r="AB4896" s="103" t="s">
        <v>140</v>
      </c>
      <c r="AC4896" s="104" t="s">
        <v>141</v>
      </c>
    </row>
    <row r="4897" spans="1:29" ht="25.5" customHeight="1" x14ac:dyDescent="0.35">
      <c r="A4897" s="188"/>
      <c r="B4897" s="190"/>
      <c r="C4897" s="99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0"/>
      <c r="E4897" s="78" t="str">
        <f>IF(C4897="","",IFERROR(VLOOKUP(C4897,parametros!$A$11:$E$15,5,0),""))</f>
        <v/>
      </c>
      <c r="F4897" s="79" t="str">
        <f t="shared" si="382"/>
        <v/>
      </c>
      <c r="G4897" s="101"/>
      <c r="H4897" s="91">
        <f t="shared" si="383"/>
        <v>0</v>
      </c>
      <c r="I4897" s="91" t="str">
        <f t="shared" si="384"/>
        <v/>
      </c>
      <c r="J4897" s="91" t="str">
        <f t="shared" si="385"/>
        <v/>
      </c>
      <c r="K4897" s="92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2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58"/>
      <c r="U4897" s="217" t="str">
        <f t="shared" si="386"/>
        <v/>
      </c>
      <c r="V4897" s="215" t="s">
        <v>47</v>
      </c>
      <c r="W4897" s="102" t="s">
        <v>136</v>
      </c>
      <c r="X4897" s="102" t="s">
        <v>137</v>
      </c>
      <c r="Y4897" s="103" t="s">
        <v>138</v>
      </c>
      <c r="Z4897" s="103" t="s">
        <v>139</v>
      </c>
      <c r="AA4897" s="103" t="s">
        <v>47</v>
      </c>
      <c r="AB4897" s="103" t="s">
        <v>140</v>
      </c>
      <c r="AC4897" s="104" t="s">
        <v>141</v>
      </c>
    </row>
    <row r="4898" spans="1:29" ht="25.5" customHeight="1" x14ac:dyDescent="0.35">
      <c r="A4898" s="188"/>
      <c r="B4898" s="190"/>
      <c r="C4898" s="99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0"/>
      <c r="E4898" s="78" t="str">
        <f>IF(C4898="","",IFERROR(VLOOKUP(C4898,parametros!$A$11:$E$15,5,0),""))</f>
        <v/>
      </c>
      <c r="F4898" s="79" t="str">
        <f t="shared" si="382"/>
        <v/>
      </c>
      <c r="G4898" s="101"/>
      <c r="H4898" s="91">
        <f t="shared" si="383"/>
        <v>0</v>
      </c>
      <c r="I4898" s="91" t="str">
        <f t="shared" si="384"/>
        <v/>
      </c>
      <c r="J4898" s="91" t="str">
        <f t="shared" si="385"/>
        <v/>
      </c>
      <c r="K4898" s="92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2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58"/>
      <c r="U4898" s="217" t="str">
        <f t="shared" si="386"/>
        <v/>
      </c>
      <c r="V4898" s="215" t="s">
        <v>47</v>
      </c>
      <c r="W4898" s="102" t="s">
        <v>136</v>
      </c>
      <c r="X4898" s="102" t="s">
        <v>137</v>
      </c>
      <c r="Y4898" s="103" t="s">
        <v>138</v>
      </c>
      <c r="Z4898" s="103" t="s">
        <v>139</v>
      </c>
      <c r="AA4898" s="103" t="s">
        <v>47</v>
      </c>
      <c r="AB4898" s="103" t="s">
        <v>140</v>
      </c>
      <c r="AC4898" s="104" t="s">
        <v>141</v>
      </c>
    </row>
    <row r="4899" spans="1:29" ht="25.5" customHeight="1" x14ac:dyDescent="0.35">
      <c r="A4899" s="188"/>
      <c r="B4899" s="190"/>
      <c r="C4899" s="99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0"/>
      <c r="E4899" s="78" t="str">
        <f>IF(C4899="","",IFERROR(VLOOKUP(C4899,parametros!$A$11:$E$15,5,0),""))</f>
        <v/>
      </c>
      <c r="F4899" s="79" t="str">
        <f t="shared" si="382"/>
        <v/>
      </c>
      <c r="G4899" s="101"/>
      <c r="H4899" s="91">
        <f t="shared" si="383"/>
        <v>0</v>
      </c>
      <c r="I4899" s="91" t="str">
        <f t="shared" si="384"/>
        <v/>
      </c>
      <c r="J4899" s="91" t="str">
        <f t="shared" si="385"/>
        <v/>
      </c>
      <c r="K4899" s="92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2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58"/>
      <c r="U4899" s="217" t="str">
        <f t="shared" si="386"/>
        <v/>
      </c>
      <c r="V4899" s="215" t="s">
        <v>47</v>
      </c>
      <c r="W4899" s="102" t="s">
        <v>136</v>
      </c>
      <c r="X4899" s="102" t="s">
        <v>137</v>
      </c>
      <c r="Y4899" s="103" t="s">
        <v>138</v>
      </c>
      <c r="Z4899" s="103" t="s">
        <v>139</v>
      </c>
      <c r="AA4899" s="103" t="s">
        <v>47</v>
      </c>
      <c r="AB4899" s="103" t="s">
        <v>140</v>
      </c>
      <c r="AC4899" s="104" t="s">
        <v>141</v>
      </c>
    </row>
    <row r="4900" spans="1:29" ht="25.5" customHeight="1" x14ac:dyDescent="0.35">
      <c r="A4900" s="188"/>
      <c r="B4900" s="190"/>
      <c r="C4900" s="99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0"/>
      <c r="E4900" s="78" t="str">
        <f>IF(C4900="","",IFERROR(VLOOKUP(C4900,parametros!$A$11:$E$15,5,0),""))</f>
        <v/>
      </c>
      <c r="F4900" s="79" t="str">
        <f t="shared" si="382"/>
        <v/>
      </c>
      <c r="G4900" s="101"/>
      <c r="H4900" s="91">
        <f t="shared" si="383"/>
        <v>0</v>
      </c>
      <c r="I4900" s="91" t="str">
        <f t="shared" si="384"/>
        <v/>
      </c>
      <c r="J4900" s="91" t="str">
        <f t="shared" si="385"/>
        <v/>
      </c>
      <c r="K4900" s="92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2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58"/>
      <c r="U4900" s="217" t="str">
        <f t="shared" si="386"/>
        <v/>
      </c>
      <c r="V4900" s="215" t="s">
        <v>47</v>
      </c>
      <c r="W4900" s="102" t="s">
        <v>136</v>
      </c>
      <c r="X4900" s="102" t="s">
        <v>137</v>
      </c>
      <c r="Y4900" s="103" t="s">
        <v>138</v>
      </c>
      <c r="Z4900" s="103" t="s">
        <v>139</v>
      </c>
      <c r="AA4900" s="103" t="s">
        <v>47</v>
      </c>
      <c r="AB4900" s="103" t="s">
        <v>140</v>
      </c>
      <c r="AC4900" s="104" t="s">
        <v>141</v>
      </c>
    </row>
    <row r="4901" spans="1:29" ht="25.5" customHeight="1" x14ac:dyDescent="0.35">
      <c r="A4901" s="188"/>
      <c r="B4901" s="190"/>
      <c r="C4901" s="99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0"/>
      <c r="E4901" s="78" t="str">
        <f>IF(C4901="","",IFERROR(VLOOKUP(C4901,parametros!$A$11:$E$15,5,0),""))</f>
        <v/>
      </c>
      <c r="F4901" s="79" t="str">
        <f t="shared" si="382"/>
        <v/>
      </c>
      <c r="G4901" s="101"/>
      <c r="H4901" s="91">
        <f t="shared" si="383"/>
        <v>0</v>
      </c>
      <c r="I4901" s="91" t="str">
        <f t="shared" si="384"/>
        <v/>
      </c>
      <c r="J4901" s="91" t="str">
        <f t="shared" si="385"/>
        <v/>
      </c>
      <c r="K4901" s="92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2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58"/>
      <c r="U4901" s="217" t="str">
        <f t="shared" si="386"/>
        <v/>
      </c>
      <c r="V4901" s="215" t="s">
        <v>47</v>
      </c>
      <c r="W4901" s="102" t="s">
        <v>136</v>
      </c>
      <c r="X4901" s="102" t="s">
        <v>137</v>
      </c>
      <c r="Y4901" s="103" t="s">
        <v>138</v>
      </c>
      <c r="Z4901" s="103" t="s">
        <v>139</v>
      </c>
      <c r="AA4901" s="103" t="s">
        <v>47</v>
      </c>
      <c r="AB4901" s="103" t="s">
        <v>140</v>
      </c>
      <c r="AC4901" s="104" t="s">
        <v>141</v>
      </c>
    </row>
    <row r="4902" spans="1:29" ht="25.5" customHeight="1" x14ac:dyDescent="0.35">
      <c r="A4902" s="188"/>
      <c r="B4902" s="190"/>
      <c r="C4902" s="99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0"/>
      <c r="E4902" s="78" t="str">
        <f>IF(C4902="","",IFERROR(VLOOKUP(C4902,parametros!$A$11:$E$15,5,0),""))</f>
        <v/>
      </c>
      <c r="F4902" s="79" t="str">
        <f t="shared" si="382"/>
        <v/>
      </c>
      <c r="G4902" s="101"/>
      <c r="H4902" s="91">
        <f t="shared" si="383"/>
        <v>0</v>
      </c>
      <c r="I4902" s="91" t="str">
        <f t="shared" si="384"/>
        <v/>
      </c>
      <c r="J4902" s="91" t="str">
        <f t="shared" si="385"/>
        <v/>
      </c>
      <c r="K4902" s="92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2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58"/>
      <c r="U4902" s="217" t="str">
        <f t="shared" si="386"/>
        <v/>
      </c>
      <c r="V4902" s="215" t="s">
        <v>47</v>
      </c>
      <c r="W4902" s="102" t="s">
        <v>136</v>
      </c>
      <c r="X4902" s="102" t="s">
        <v>137</v>
      </c>
      <c r="Y4902" s="103" t="s">
        <v>138</v>
      </c>
      <c r="Z4902" s="103" t="s">
        <v>139</v>
      </c>
      <c r="AA4902" s="103" t="s">
        <v>47</v>
      </c>
      <c r="AB4902" s="103" t="s">
        <v>140</v>
      </c>
      <c r="AC4902" s="104" t="s">
        <v>141</v>
      </c>
    </row>
    <row r="4903" spans="1:29" ht="25.5" customHeight="1" x14ac:dyDescent="0.35">
      <c r="A4903" s="188"/>
      <c r="B4903" s="190"/>
      <c r="C4903" s="99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0"/>
      <c r="E4903" s="78" t="str">
        <f>IF(C4903="","",IFERROR(VLOOKUP(C4903,parametros!$A$11:$E$15,5,0),""))</f>
        <v/>
      </c>
      <c r="F4903" s="79" t="str">
        <f t="shared" si="382"/>
        <v/>
      </c>
      <c r="G4903" s="101"/>
      <c r="H4903" s="91">
        <f t="shared" si="383"/>
        <v>0</v>
      </c>
      <c r="I4903" s="91" t="str">
        <f t="shared" si="384"/>
        <v/>
      </c>
      <c r="J4903" s="91" t="str">
        <f t="shared" si="385"/>
        <v/>
      </c>
      <c r="K4903" s="92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2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58"/>
      <c r="U4903" s="217" t="str">
        <f t="shared" si="386"/>
        <v/>
      </c>
      <c r="V4903" s="215" t="s">
        <v>47</v>
      </c>
      <c r="W4903" s="102" t="s">
        <v>136</v>
      </c>
      <c r="X4903" s="102" t="s">
        <v>137</v>
      </c>
      <c r="Y4903" s="103" t="s">
        <v>138</v>
      </c>
      <c r="Z4903" s="103" t="s">
        <v>139</v>
      </c>
      <c r="AA4903" s="103" t="s">
        <v>47</v>
      </c>
      <c r="AB4903" s="103" t="s">
        <v>140</v>
      </c>
      <c r="AC4903" s="104" t="s">
        <v>141</v>
      </c>
    </row>
    <row r="4904" spans="1:29" ht="25.5" customHeight="1" x14ac:dyDescent="0.35">
      <c r="A4904" s="188"/>
      <c r="B4904" s="190"/>
      <c r="C4904" s="99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0"/>
      <c r="E4904" s="78" t="str">
        <f>IF(C4904="","",IFERROR(VLOOKUP(C4904,parametros!$A$11:$E$15,5,0),""))</f>
        <v/>
      </c>
      <c r="F4904" s="79" t="str">
        <f t="shared" si="382"/>
        <v/>
      </c>
      <c r="G4904" s="101"/>
      <c r="H4904" s="91">
        <f t="shared" si="383"/>
        <v>0</v>
      </c>
      <c r="I4904" s="91" t="str">
        <f t="shared" si="384"/>
        <v/>
      </c>
      <c r="J4904" s="91" t="str">
        <f t="shared" si="385"/>
        <v/>
      </c>
      <c r="K4904" s="92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2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58"/>
      <c r="U4904" s="217" t="str">
        <f t="shared" si="386"/>
        <v/>
      </c>
      <c r="V4904" s="215" t="s">
        <v>47</v>
      </c>
      <c r="W4904" s="102" t="s">
        <v>136</v>
      </c>
      <c r="X4904" s="102" t="s">
        <v>137</v>
      </c>
      <c r="Y4904" s="103" t="s">
        <v>138</v>
      </c>
      <c r="Z4904" s="103" t="s">
        <v>139</v>
      </c>
      <c r="AA4904" s="103" t="s">
        <v>47</v>
      </c>
      <c r="AB4904" s="103" t="s">
        <v>140</v>
      </c>
      <c r="AC4904" s="104" t="s">
        <v>141</v>
      </c>
    </row>
    <row r="4905" spans="1:29" ht="25.5" customHeight="1" x14ac:dyDescent="0.35">
      <c r="A4905" s="188"/>
      <c r="B4905" s="190"/>
      <c r="C4905" s="99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0"/>
      <c r="E4905" s="78" t="str">
        <f>IF(C4905="","",IFERROR(VLOOKUP(C4905,parametros!$A$11:$E$15,5,0),""))</f>
        <v/>
      </c>
      <c r="F4905" s="79" t="str">
        <f t="shared" si="382"/>
        <v/>
      </c>
      <c r="G4905" s="101"/>
      <c r="H4905" s="91">
        <f t="shared" si="383"/>
        <v>0</v>
      </c>
      <c r="I4905" s="91" t="str">
        <f t="shared" si="384"/>
        <v/>
      </c>
      <c r="J4905" s="91" t="str">
        <f t="shared" si="385"/>
        <v/>
      </c>
      <c r="K4905" s="92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2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58"/>
      <c r="U4905" s="217" t="str">
        <f t="shared" si="386"/>
        <v/>
      </c>
      <c r="V4905" s="215" t="s">
        <v>47</v>
      </c>
      <c r="W4905" s="102" t="s">
        <v>136</v>
      </c>
      <c r="X4905" s="102" t="s">
        <v>137</v>
      </c>
      <c r="Y4905" s="103" t="s">
        <v>138</v>
      </c>
      <c r="Z4905" s="103" t="s">
        <v>139</v>
      </c>
      <c r="AA4905" s="103" t="s">
        <v>47</v>
      </c>
      <c r="AB4905" s="103" t="s">
        <v>140</v>
      </c>
      <c r="AC4905" s="104" t="s">
        <v>141</v>
      </c>
    </row>
    <row r="4906" spans="1:29" ht="25.5" customHeight="1" x14ac:dyDescent="0.35">
      <c r="A4906" s="188"/>
      <c r="B4906" s="190"/>
      <c r="C4906" s="99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0"/>
      <c r="E4906" s="78" t="str">
        <f>IF(C4906="","",IFERROR(VLOOKUP(C4906,parametros!$A$11:$E$15,5,0),""))</f>
        <v/>
      </c>
      <c r="F4906" s="79" t="str">
        <f t="shared" si="382"/>
        <v/>
      </c>
      <c r="G4906" s="101"/>
      <c r="H4906" s="91">
        <f t="shared" si="383"/>
        <v>0</v>
      </c>
      <c r="I4906" s="91" t="str">
        <f t="shared" si="384"/>
        <v/>
      </c>
      <c r="J4906" s="91" t="str">
        <f t="shared" si="385"/>
        <v/>
      </c>
      <c r="K4906" s="92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2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58"/>
      <c r="U4906" s="217" t="str">
        <f t="shared" si="386"/>
        <v/>
      </c>
      <c r="V4906" s="215" t="s">
        <v>47</v>
      </c>
      <c r="W4906" s="102" t="s">
        <v>136</v>
      </c>
      <c r="X4906" s="102" t="s">
        <v>137</v>
      </c>
      <c r="Y4906" s="103" t="s">
        <v>138</v>
      </c>
      <c r="Z4906" s="103" t="s">
        <v>139</v>
      </c>
      <c r="AA4906" s="103" t="s">
        <v>47</v>
      </c>
      <c r="AB4906" s="103" t="s">
        <v>140</v>
      </c>
      <c r="AC4906" s="104" t="s">
        <v>141</v>
      </c>
    </row>
    <row r="4907" spans="1:29" ht="25.5" customHeight="1" x14ac:dyDescent="0.35">
      <c r="A4907" s="188"/>
      <c r="B4907" s="190"/>
      <c r="C4907" s="99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0"/>
      <c r="E4907" s="78" t="str">
        <f>IF(C4907="","",IFERROR(VLOOKUP(C4907,parametros!$A$11:$E$15,5,0),""))</f>
        <v/>
      </c>
      <c r="F4907" s="79" t="str">
        <f t="shared" si="382"/>
        <v/>
      </c>
      <c r="G4907" s="101"/>
      <c r="H4907" s="91">
        <f t="shared" si="383"/>
        <v>0</v>
      </c>
      <c r="I4907" s="91" t="str">
        <f t="shared" si="384"/>
        <v/>
      </c>
      <c r="J4907" s="91" t="str">
        <f t="shared" si="385"/>
        <v/>
      </c>
      <c r="K4907" s="92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2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58"/>
      <c r="U4907" s="217" t="str">
        <f t="shared" si="386"/>
        <v/>
      </c>
      <c r="V4907" s="215" t="s">
        <v>47</v>
      </c>
      <c r="W4907" s="102" t="s">
        <v>136</v>
      </c>
      <c r="X4907" s="102" t="s">
        <v>137</v>
      </c>
      <c r="Y4907" s="103" t="s">
        <v>138</v>
      </c>
      <c r="Z4907" s="103" t="s">
        <v>139</v>
      </c>
      <c r="AA4907" s="103" t="s">
        <v>47</v>
      </c>
      <c r="AB4907" s="103" t="s">
        <v>140</v>
      </c>
      <c r="AC4907" s="104" t="s">
        <v>141</v>
      </c>
    </row>
    <row r="4908" spans="1:29" ht="25.5" customHeight="1" x14ac:dyDescent="0.35">
      <c r="A4908" s="188"/>
      <c r="B4908" s="190"/>
      <c r="C4908" s="99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0"/>
      <c r="E4908" s="78" t="str">
        <f>IF(C4908="","",IFERROR(VLOOKUP(C4908,parametros!$A$11:$E$15,5,0),""))</f>
        <v/>
      </c>
      <c r="F4908" s="79" t="str">
        <f t="shared" si="382"/>
        <v/>
      </c>
      <c r="G4908" s="101"/>
      <c r="H4908" s="91">
        <f t="shared" si="383"/>
        <v>0</v>
      </c>
      <c r="I4908" s="91" t="str">
        <f t="shared" si="384"/>
        <v/>
      </c>
      <c r="J4908" s="91" t="str">
        <f t="shared" si="385"/>
        <v/>
      </c>
      <c r="K4908" s="92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2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58"/>
      <c r="U4908" s="217" t="str">
        <f t="shared" si="386"/>
        <v/>
      </c>
      <c r="V4908" s="215" t="s">
        <v>47</v>
      </c>
      <c r="W4908" s="102" t="s">
        <v>136</v>
      </c>
      <c r="X4908" s="102" t="s">
        <v>137</v>
      </c>
      <c r="Y4908" s="103" t="s">
        <v>138</v>
      </c>
      <c r="Z4908" s="103" t="s">
        <v>139</v>
      </c>
      <c r="AA4908" s="103" t="s">
        <v>47</v>
      </c>
      <c r="AB4908" s="103" t="s">
        <v>140</v>
      </c>
      <c r="AC4908" s="104" t="s">
        <v>141</v>
      </c>
    </row>
    <row r="4909" spans="1:29" ht="25.5" customHeight="1" x14ac:dyDescent="0.35">
      <c r="A4909" s="188"/>
      <c r="B4909" s="190"/>
      <c r="C4909" s="99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0"/>
      <c r="E4909" s="78" t="str">
        <f>IF(C4909="","",IFERROR(VLOOKUP(C4909,parametros!$A$11:$E$15,5,0),""))</f>
        <v/>
      </c>
      <c r="F4909" s="79" t="str">
        <f t="shared" si="382"/>
        <v/>
      </c>
      <c r="G4909" s="101"/>
      <c r="H4909" s="91">
        <f t="shared" si="383"/>
        <v>0</v>
      </c>
      <c r="I4909" s="91" t="str">
        <f t="shared" si="384"/>
        <v/>
      </c>
      <c r="J4909" s="91" t="str">
        <f t="shared" si="385"/>
        <v/>
      </c>
      <c r="K4909" s="92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2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58"/>
      <c r="U4909" s="217" t="str">
        <f t="shared" si="386"/>
        <v/>
      </c>
      <c r="V4909" s="215" t="s">
        <v>47</v>
      </c>
      <c r="W4909" s="102" t="s">
        <v>136</v>
      </c>
      <c r="X4909" s="102" t="s">
        <v>137</v>
      </c>
      <c r="Y4909" s="103" t="s">
        <v>138</v>
      </c>
      <c r="Z4909" s="103" t="s">
        <v>139</v>
      </c>
      <c r="AA4909" s="103" t="s">
        <v>47</v>
      </c>
      <c r="AB4909" s="103" t="s">
        <v>140</v>
      </c>
      <c r="AC4909" s="104" t="s">
        <v>141</v>
      </c>
    </row>
    <row r="4910" spans="1:29" ht="25.5" customHeight="1" x14ac:dyDescent="0.35">
      <c r="A4910" s="188"/>
      <c r="B4910" s="190"/>
      <c r="C4910" s="99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0"/>
      <c r="E4910" s="78" t="str">
        <f>IF(C4910="","",IFERROR(VLOOKUP(C4910,parametros!$A$11:$E$15,5,0),""))</f>
        <v/>
      </c>
      <c r="F4910" s="79" t="str">
        <f t="shared" si="382"/>
        <v/>
      </c>
      <c r="G4910" s="101"/>
      <c r="H4910" s="91">
        <f t="shared" si="383"/>
        <v>0</v>
      </c>
      <c r="I4910" s="91" t="str">
        <f t="shared" si="384"/>
        <v/>
      </c>
      <c r="J4910" s="91" t="str">
        <f t="shared" si="385"/>
        <v/>
      </c>
      <c r="K4910" s="92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2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58"/>
      <c r="U4910" s="217" t="str">
        <f t="shared" si="386"/>
        <v/>
      </c>
      <c r="V4910" s="215" t="s">
        <v>47</v>
      </c>
      <c r="W4910" s="102" t="s">
        <v>136</v>
      </c>
      <c r="X4910" s="102" t="s">
        <v>137</v>
      </c>
      <c r="Y4910" s="103" t="s">
        <v>138</v>
      </c>
      <c r="Z4910" s="103" t="s">
        <v>139</v>
      </c>
      <c r="AA4910" s="103" t="s">
        <v>47</v>
      </c>
      <c r="AB4910" s="103" t="s">
        <v>140</v>
      </c>
      <c r="AC4910" s="104" t="s">
        <v>141</v>
      </c>
    </row>
    <row r="4911" spans="1:29" ht="25.5" customHeight="1" x14ac:dyDescent="0.35">
      <c r="A4911" s="188"/>
      <c r="B4911" s="190"/>
      <c r="C4911" s="99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0"/>
      <c r="E4911" s="78" t="str">
        <f>IF(C4911="","",IFERROR(VLOOKUP(C4911,parametros!$A$11:$E$15,5,0),""))</f>
        <v/>
      </c>
      <c r="F4911" s="79" t="str">
        <f t="shared" si="382"/>
        <v/>
      </c>
      <c r="G4911" s="101"/>
      <c r="H4911" s="91">
        <f t="shared" si="383"/>
        <v>0</v>
      </c>
      <c r="I4911" s="91" t="str">
        <f t="shared" si="384"/>
        <v/>
      </c>
      <c r="J4911" s="91" t="str">
        <f t="shared" si="385"/>
        <v/>
      </c>
      <c r="K4911" s="92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2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58"/>
      <c r="U4911" s="217" t="str">
        <f t="shared" si="386"/>
        <v/>
      </c>
      <c r="V4911" s="215" t="s">
        <v>47</v>
      </c>
      <c r="W4911" s="102" t="s">
        <v>136</v>
      </c>
      <c r="X4911" s="102" t="s">
        <v>137</v>
      </c>
      <c r="Y4911" s="103" t="s">
        <v>138</v>
      </c>
      <c r="Z4911" s="103" t="s">
        <v>139</v>
      </c>
      <c r="AA4911" s="103" t="s">
        <v>47</v>
      </c>
      <c r="AB4911" s="103" t="s">
        <v>140</v>
      </c>
      <c r="AC4911" s="104" t="s">
        <v>141</v>
      </c>
    </row>
    <row r="4912" spans="1:29" ht="25.5" customHeight="1" x14ac:dyDescent="0.35">
      <c r="A4912" s="188"/>
      <c r="B4912" s="190"/>
      <c r="C4912" s="99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0"/>
      <c r="E4912" s="78" t="str">
        <f>IF(C4912="","",IFERROR(VLOOKUP(C4912,parametros!$A$11:$E$15,5,0),""))</f>
        <v/>
      </c>
      <c r="F4912" s="79" t="str">
        <f t="shared" si="382"/>
        <v/>
      </c>
      <c r="G4912" s="101"/>
      <c r="H4912" s="91">
        <f t="shared" si="383"/>
        <v>0</v>
      </c>
      <c r="I4912" s="91" t="str">
        <f t="shared" si="384"/>
        <v/>
      </c>
      <c r="J4912" s="91" t="str">
        <f t="shared" si="385"/>
        <v/>
      </c>
      <c r="K4912" s="92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2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58"/>
      <c r="U4912" s="217" t="str">
        <f t="shared" si="386"/>
        <v/>
      </c>
      <c r="V4912" s="215" t="s">
        <v>47</v>
      </c>
      <c r="W4912" s="102" t="s">
        <v>136</v>
      </c>
      <c r="X4912" s="102" t="s">
        <v>137</v>
      </c>
      <c r="Y4912" s="103" t="s">
        <v>138</v>
      </c>
      <c r="Z4912" s="103" t="s">
        <v>139</v>
      </c>
      <c r="AA4912" s="103" t="s">
        <v>47</v>
      </c>
      <c r="AB4912" s="103" t="s">
        <v>140</v>
      </c>
      <c r="AC4912" s="104" t="s">
        <v>141</v>
      </c>
    </row>
    <row r="4913" spans="1:29" ht="25.5" customHeight="1" x14ac:dyDescent="0.35">
      <c r="A4913" s="188"/>
      <c r="B4913" s="190"/>
      <c r="C4913" s="99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0"/>
      <c r="E4913" s="78" t="str">
        <f>IF(C4913="","",IFERROR(VLOOKUP(C4913,parametros!$A$11:$E$15,5,0),""))</f>
        <v/>
      </c>
      <c r="F4913" s="79" t="str">
        <f t="shared" si="382"/>
        <v/>
      </c>
      <c r="G4913" s="101"/>
      <c r="H4913" s="91">
        <f t="shared" si="383"/>
        <v>0</v>
      </c>
      <c r="I4913" s="91" t="str">
        <f t="shared" si="384"/>
        <v/>
      </c>
      <c r="J4913" s="91" t="str">
        <f t="shared" si="385"/>
        <v/>
      </c>
      <c r="K4913" s="92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2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58"/>
      <c r="U4913" s="217" t="str">
        <f t="shared" si="386"/>
        <v/>
      </c>
      <c r="V4913" s="215" t="s">
        <v>47</v>
      </c>
      <c r="W4913" s="102" t="s">
        <v>136</v>
      </c>
      <c r="X4913" s="102" t="s">
        <v>137</v>
      </c>
      <c r="Y4913" s="103" t="s">
        <v>138</v>
      </c>
      <c r="Z4913" s="103" t="s">
        <v>139</v>
      </c>
      <c r="AA4913" s="103" t="s">
        <v>47</v>
      </c>
      <c r="AB4913" s="103" t="s">
        <v>140</v>
      </c>
      <c r="AC4913" s="104" t="s">
        <v>141</v>
      </c>
    </row>
    <row r="4914" spans="1:29" ht="25.5" customHeight="1" x14ac:dyDescent="0.35">
      <c r="A4914" s="188"/>
      <c r="B4914" s="190"/>
      <c r="C4914" s="99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0"/>
      <c r="E4914" s="78" t="str">
        <f>IF(C4914="","",IFERROR(VLOOKUP(C4914,parametros!$A$11:$E$15,5,0),""))</f>
        <v/>
      </c>
      <c r="F4914" s="79" t="str">
        <f t="shared" si="382"/>
        <v/>
      </c>
      <c r="G4914" s="101"/>
      <c r="H4914" s="91">
        <f t="shared" si="383"/>
        <v>0</v>
      </c>
      <c r="I4914" s="91" t="str">
        <f t="shared" si="384"/>
        <v/>
      </c>
      <c r="J4914" s="91" t="str">
        <f t="shared" si="385"/>
        <v/>
      </c>
      <c r="K4914" s="92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2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58"/>
      <c r="U4914" s="217" t="str">
        <f t="shared" si="386"/>
        <v/>
      </c>
      <c r="V4914" s="215" t="s">
        <v>47</v>
      </c>
      <c r="W4914" s="102" t="s">
        <v>136</v>
      </c>
      <c r="X4914" s="102" t="s">
        <v>137</v>
      </c>
      <c r="Y4914" s="103" t="s">
        <v>138</v>
      </c>
      <c r="Z4914" s="103" t="s">
        <v>139</v>
      </c>
      <c r="AA4914" s="103" t="s">
        <v>47</v>
      </c>
      <c r="AB4914" s="103" t="s">
        <v>140</v>
      </c>
      <c r="AC4914" s="104" t="s">
        <v>141</v>
      </c>
    </row>
    <row r="4915" spans="1:29" ht="25.5" customHeight="1" x14ac:dyDescent="0.35">
      <c r="A4915" s="188"/>
      <c r="B4915" s="190"/>
      <c r="C4915" s="99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0"/>
      <c r="E4915" s="78" t="str">
        <f>IF(C4915="","",IFERROR(VLOOKUP(C4915,parametros!$A$11:$E$15,5,0),""))</f>
        <v/>
      </c>
      <c r="F4915" s="79" t="str">
        <f t="shared" si="382"/>
        <v/>
      </c>
      <c r="G4915" s="101"/>
      <c r="H4915" s="91">
        <f t="shared" si="383"/>
        <v>0</v>
      </c>
      <c r="I4915" s="91" t="str">
        <f t="shared" si="384"/>
        <v/>
      </c>
      <c r="J4915" s="91" t="str">
        <f t="shared" si="385"/>
        <v/>
      </c>
      <c r="K4915" s="92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2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58"/>
      <c r="U4915" s="217" t="str">
        <f t="shared" si="386"/>
        <v/>
      </c>
      <c r="V4915" s="215" t="s">
        <v>47</v>
      </c>
      <c r="W4915" s="102" t="s">
        <v>136</v>
      </c>
      <c r="X4915" s="102" t="s">
        <v>137</v>
      </c>
      <c r="Y4915" s="103" t="s">
        <v>138</v>
      </c>
      <c r="Z4915" s="103" t="s">
        <v>139</v>
      </c>
      <c r="AA4915" s="103" t="s">
        <v>47</v>
      </c>
      <c r="AB4915" s="103" t="s">
        <v>140</v>
      </c>
      <c r="AC4915" s="104" t="s">
        <v>141</v>
      </c>
    </row>
    <row r="4916" spans="1:29" ht="25.5" customHeight="1" x14ac:dyDescent="0.35">
      <c r="A4916" s="188"/>
      <c r="B4916" s="190"/>
      <c r="C4916" s="99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0"/>
      <c r="E4916" s="78" t="str">
        <f>IF(C4916="","",IFERROR(VLOOKUP(C4916,parametros!$A$11:$E$15,5,0),""))</f>
        <v/>
      </c>
      <c r="F4916" s="79" t="str">
        <f t="shared" si="382"/>
        <v/>
      </c>
      <c r="G4916" s="101"/>
      <c r="H4916" s="91">
        <f t="shared" si="383"/>
        <v>0</v>
      </c>
      <c r="I4916" s="91" t="str">
        <f t="shared" si="384"/>
        <v/>
      </c>
      <c r="J4916" s="91" t="str">
        <f t="shared" si="385"/>
        <v/>
      </c>
      <c r="K4916" s="92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2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58"/>
      <c r="U4916" s="217" t="str">
        <f t="shared" si="386"/>
        <v/>
      </c>
      <c r="V4916" s="215" t="s">
        <v>47</v>
      </c>
      <c r="W4916" s="102" t="s">
        <v>136</v>
      </c>
      <c r="X4916" s="102" t="s">
        <v>137</v>
      </c>
      <c r="Y4916" s="103" t="s">
        <v>138</v>
      </c>
      <c r="Z4916" s="103" t="s">
        <v>139</v>
      </c>
      <c r="AA4916" s="103" t="s">
        <v>47</v>
      </c>
      <c r="AB4916" s="103" t="s">
        <v>140</v>
      </c>
      <c r="AC4916" s="104" t="s">
        <v>141</v>
      </c>
    </row>
    <row r="4917" spans="1:29" ht="25.5" customHeight="1" x14ac:dyDescent="0.35">
      <c r="A4917" s="188"/>
      <c r="B4917" s="190"/>
      <c r="C4917" s="99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0"/>
      <c r="E4917" s="78" t="str">
        <f>IF(C4917="","",IFERROR(VLOOKUP(C4917,parametros!$A$11:$E$15,5,0),""))</f>
        <v/>
      </c>
      <c r="F4917" s="79" t="str">
        <f t="shared" si="382"/>
        <v/>
      </c>
      <c r="G4917" s="101"/>
      <c r="H4917" s="91">
        <f t="shared" si="383"/>
        <v>0</v>
      </c>
      <c r="I4917" s="91" t="str">
        <f t="shared" si="384"/>
        <v/>
      </c>
      <c r="J4917" s="91" t="str">
        <f t="shared" si="385"/>
        <v/>
      </c>
      <c r="K4917" s="92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2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58"/>
      <c r="U4917" s="217" t="str">
        <f t="shared" si="386"/>
        <v/>
      </c>
      <c r="V4917" s="215" t="s">
        <v>47</v>
      </c>
      <c r="W4917" s="102" t="s">
        <v>136</v>
      </c>
      <c r="X4917" s="102" t="s">
        <v>137</v>
      </c>
      <c r="Y4917" s="103" t="s">
        <v>138</v>
      </c>
      <c r="Z4917" s="103" t="s">
        <v>139</v>
      </c>
      <c r="AA4917" s="103" t="s">
        <v>47</v>
      </c>
      <c r="AB4917" s="103" t="s">
        <v>140</v>
      </c>
      <c r="AC4917" s="104" t="s">
        <v>141</v>
      </c>
    </row>
    <row r="4918" spans="1:29" ht="25.5" customHeight="1" x14ac:dyDescent="0.35">
      <c r="A4918" s="188"/>
      <c r="B4918" s="190"/>
      <c r="C4918" s="99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0"/>
      <c r="E4918" s="78" t="str">
        <f>IF(C4918="","",IFERROR(VLOOKUP(C4918,parametros!$A$11:$E$15,5,0),""))</f>
        <v/>
      </c>
      <c r="F4918" s="79" t="str">
        <f t="shared" si="382"/>
        <v/>
      </c>
      <c r="G4918" s="101"/>
      <c r="H4918" s="91">
        <f t="shared" si="383"/>
        <v>0</v>
      </c>
      <c r="I4918" s="91" t="str">
        <f t="shared" si="384"/>
        <v/>
      </c>
      <c r="J4918" s="91" t="str">
        <f t="shared" si="385"/>
        <v/>
      </c>
      <c r="K4918" s="92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2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58"/>
      <c r="U4918" s="217" t="str">
        <f t="shared" si="386"/>
        <v/>
      </c>
      <c r="V4918" s="215" t="s">
        <v>47</v>
      </c>
      <c r="W4918" s="102" t="s">
        <v>136</v>
      </c>
      <c r="X4918" s="102" t="s">
        <v>137</v>
      </c>
      <c r="Y4918" s="103" t="s">
        <v>138</v>
      </c>
      <c r="Z4918" s="103" t="s">
        <v>139</v>
      </c>
      <c r="AA4918" s="103" t="s">
        <v>47</v>
      </c>
      <c r="AB4918" s="103" t="s">
        <v>140</v>
      </c>
      <c r="AC4918" s="104" t="s">
        <v>141</v>
      </c>
    </row>
    <row r="4919" spans="1:29" ht="25.5" customHeight="1" x14ac:dyDescent="0.35">
      <c r="A4919" s="188"/>
      <c r="B4919" s="190"/>
      <c r="C4919" s="99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0"/>
      <c r="E4919" s="78" t="str">
        <f>IF(C4919="","",IFERROR(VLOOKUP(C4919,parametros!$A$11:$E$15,5,0),""))</f>
        <v/>
      </c>
      <c r="F4919" s="79" t="str">
        <f t="shared" si="382"/>
        <v/>
      </c>
      <c r="G4919" s="101"/>
      <c r="H4919" s="91">
        <f t="shared" si="383"/>
        <v>0</v>
      </c>
      <c r="I4919" s="91" t="str">
        <f t="shared" si="384"/>
        <v/>
      </c>
      <c r="J4919" s="91" t="str">
        <f t="shared" si="385"/>
        <v/>
      </c>
      <c r="K4919" s="92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2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58"/>
      <c r="U4919" s="217" t="str">
        <f t="shared" si="386"/>
        <v/>
      </c>
      <c r="V4919" s="215" t="s">
        <v>47</v>
      </c>
      <c r="W4919" s="102" t="s">
        <v>136</v>
      </c>
      <c r="X4919" s="102" t="s">
        <v>137</v>
      </c>
      <c r="Y4919" s="103" t="s">
        <v>138</v>
      </c>
      <c r="Z4919" s="103" t="s">
        <v>139</v>
      </c>
      <c r="AA4919" s="103" t="s">
        <v>47</v>
      </c>
      <c r="AB4919" s="103" t="s">
        <v>140</v>
      </c>
      <c r="AC4919" s="104" t="s">
        <v>141</v>
      </c>
    </row>
    <row r="4920" spans="1:29" ht="25.5" customHeight="1" x14ac:dyDescent="0.35">
      <c r="A4920" s="188"/>
      <c r="B4920" s="190"/>
      <c r="C4920" s="99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0"/>
      <c r="E4920" s="78" t="str">
        <f>IF(C4920="","",IFERROR(VLOOKUP(C4920,parametros!$A$11:$E$15,5,0),""))</f>
        <v/>
      </c>
      <c r="F4920" s="79" t="str">
        <f t="shared" si="382"/>
        <v/>
      </c>
      <c r="G4920" s="101"/>
      <c r="H4920" s="91">
        <f t="shared" si="383"/>
        <v>0</v>
      </c>
      <c r="I4920" s="91" t="str">
        <f t="shared" si="384"/>
        <v/>
      </c>
      <c r="J4920" s="91" t="str">
        <f t="shared" si="385"/>
        <v/>
      </c>
      <c r="K4920" s="92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2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58"/>
      <c r="U4920" s="217" t="str">
        <f t="shared" si="386"/>
        <v/>
      </c>
      <c r="V4920" s="215" t="s">
        <v>47</v>
      </c>
      <c r="W4920" s="102" t="s">
        <v>136</v>
      </c>
      <c r="X4920" s="102" t="s">
        <v>137</v>
      </c>
      <c r="Y4920" s="103" t="s">
        <v>138</v>
      </c>
      <c r="Z4920" s="103" t="s">
        <v>139</v>
      </c>
      <c r="AA4920" s="103" t="s">
        <v>47</v>
      </c>
      <c r="AB4920" s="103" t="s">
        <v>140</v>
      </c>
      <c r="AC4920" s="104" t="s">
        <v>141</v>
      </c>
    </row>
    <row r="4921" spans="1:29" ht="25.5" customHeight="1" x14ac:dyDescent="0.35">
      <c r="A4921" s="188"/>
      <c r="B4921" s="190"/>
      <c r="C4921" s="99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0"/>
      <c r="E4921" s="78" t="str">
        <f>IF(C4921="","",IFERROR(VLOOKUP(C4921,parametros!$A$11:$E$15,5,0),""))</f>
        <v/>
      </c>
      <c r="F4921" s="79" t="str">
        <f t="shared" si="382"/>
        <v/>
      </c>
      <c r="G4921" s="101"/>
      <c r="H4921" s="91">
        <f t="shared" si="383"/>
        <v>0</v>
      </c>
      <c r="I4921" s="91" t="str">
        <f t="shared" si="384"/>
        <v/>
      </c>
      <c r="J4921" s="91" t="str">
        <f t="shared" si="385"/>
        <v/>
      </c>
      <c r="K4921" s="92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2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58"/>
      <c r="U4921" s="217" t="str">
        <f t="shared" si="386"/>
        <v/>
      </c>
      <c r="V4921" s="215" t="s">
        <v>47</v>
      </c>
      <c r="W4921" s="102" t="s">
        <v>136</v>
      </c>
      <c r="X4921" s="102" t="s">
        <v>137</v>
      </c>
      <c r="Y4921" s="103" t="s">
        <v>138</v>
      </c>
      <c r="Z4921" s="103" t="s">
        <v>139</v>
      </c>
      <c r="AA4921" s="103" t="s">
        <v>47</v>
      </c>
      <c r="AB4921" s="103" t="s">
        <v>140</v>
      </c>
      <c r="AC4921" s="104" t="s">
        <v>141</v>
      </c>
    </row>
    <row r="4922" spans="1:29" ht="25.5" customHeight="1" x14ac:dyDescent="0.35">
      <c r="A4922" s="188"/>
      <c r="B4922" s="190"/>
      <c r="C4922" s="99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0"/>
      <c r="E4922" s="78" t="str">
        <f>IF(C4922="","",IFERROR(VLOOKUP(C4922,parametros!$A$11:$E$15,5,0),""))</f>
        <v/>
      </c>
      <c r="F4922" s="79" t="str">
        <f t="shared" si="382"/>
        <v/>
      </c>
      <c r="G4922" s="101"/>
      <c r="H4922" s="91">
        <f t="shared" si="383"/>
        <v>0</v>
      </c>
      <c r="I4922" s="91" t="str">
        <f t="shared" si="384"/>
        <v/>
      </c>
      <c r="J4922" s="91" t="str">
        <f t="shared" si="385"/>
        <v/>
      </c>
      <c r="K4922" s="92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2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58"/>
      <c r="U4922" s="217" t="str">
        <f t="shared" si="386"/>
        <v/>
      </c>
      <c r="V4922" s="215" t="s">
        <v>47</v>
      </c>
      <c r="W4922" s="102" t="s">
        <v>136</v>
      </c>
      <c r="X4922" s="102" t="s">
        <v>137</v>
      </c>
      <c r="Y4922" s="103" t="s">
        <v>138</v>
      </c>
      <c r="Z4922" s="103" t="s">
        <v>139</v>
      </c>
      <c r="AA4922" s="103" t="s">
        <v>47</v>
      </c>
      <c r="AB4922" s="103" t="s">
        <v>140</v>
      </c>
      <c r="AC4922" s="104" t="s">
        <v>141</v>
      </c>
    </row>
    <row r="4923" spans="1:29" ht="25.5" customHeight="1" x14ac:dyDescent="0.35">
      <c r="A4923" s="188"/>
      <c r="B4923" s="190"/>
      <c r="C4923" s="99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0"/>
      <c r="E4923" s="78" t="str">
        <f>IF(C4923="","",IFERROR(VLOOKUP(C4923,parametros!$A$11:$E$15,5,0),""))</f>
        <v/>
      </c>
      <c r="F4923" s="79" t="str">
        <f t="shared" si="382"/>
        <v/>
      </c>
      <c r="G4923" s="101"/>
      <c r="H4923" s="91">
        <f t="shared" si="383"/>
        <v>0</v>
      </c>
      <c r="I4923" s="91" t="str">
        <f t="shared" si="384"/>
        <v/>
      </c>
      <c r="J4923" s="91" t="str">
        <f t="shared" si="385"/>
        <v/>
      </c>
      <c r="K4923" s="92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2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58"/>
      <c r="U4923" s="217" t="str">
        <f t="shared" si="386"/>
        <v/>
      </c>
      <c r="V4923" s="215" t="s">
        <v>47</v>
      </c>
      <c r="W4923" s="102" t="s">
        <v>136</v>
      </c>
      <c r="X4923" s="102" t="s">
        <v>137</v>
      </c>
      <c r="Y4923" s="103" t="s">
        <v>138</v>
      </c>
      <c r="Z4923" s="103" t="s">
        <v>139</v>
      </c>
      <c r="AA4923" s="103" t="s">
        <v>47</v>
      </c>
      <c r="AB4923" s="103" t="s">
        <v>140</v>
      </c>
      <c r="AC4923" s="104" t="s">
        <v>141</v>
      </c>
    </row>
    <row r="4924" spans="1:29" ht="25.5" customHeight="1" x14ac:dyDescent="0.35">
      <c r="A4924" s="188"/>
      <c r="B4924" s="190"/>
      <c r="C4924" s="99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0"/>
      <c r="E4924" s="78" t="str">
        <f>IF(C4924="","",IFERROR(VLOOKUP(C4924,parametros!$A$11:$E$15,5,0),""))</f>
        <v/>
      </c>
      <c r="F4924" s="79" t="str">
        <f t="shared" si="382"/>
        <v/>
      </c>
      <c r="G4924" s="101"/>
      <c r="H4924" s="91">
        <f t="shared" si="383"/>
        <v>0</v>
      </c>
      <c r="I4924" s="91" t="str">
        <f t="shared" si="384"/>
        <v/>
      </c>
      <c r="J4924" s="91" t="str">
        <f t="shared" si="385"/>
        <v/>
      </c>
      <c r="K4924" s="92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2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58"/>
      <c r="U4924" s="217" t="str">
        <f t="shared" si="386"/>
        <v/>
      </c>
      <c r="V4924" s="215" t="s">
        <v>47</v>
      </c>
      <c r="W4924" s="102" t="s">
        <v>136</v>
      </c>
      <c r="X4924" s="102" t="s">
        <v>137</v>
      </c>
      <c r="Y4924" s="103" t="s">
        <v>138</v>
      </c>
      <c r="Z4924" s="103" t="s">
        <v>139</v>
      </c>
      <c r="AA4924" s="103" t="s">
        <v>47</v>
      </c>
      <c r="AB4924" s="103" t="s">
        <v>140</v>
      </c>
      <c r="AC4924" s="104" t="s">
        <v>141</v>
      </c>
    </row>
    <row r="4925" spans="1:29" ht="25.5" customHeight="1" x14ac:dyDescent="0.35">
      <c r="A4925" s="188"/>
      <c r="B4925" s="190"/>
      <c r="C4925" s="99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0"/>
      <c r="E4925" s="78" t="str">
        <f>IF(C4925="","",IFERROR(VLOOKUP(C4925,parametros!$A$11:$E$15,5,0),""))</f>
        <v/>
      </c>
      <c r="F4925" s="79" t="str">
        <f t="shared" si="382"/>
        <v/>
      </c>
      <c r="G4925" s="101"/>
      <c r="H4925" s="91">
        <f t="shared" si="383"/>
        <v>0</v>
      </c>
      <c r="I4925" s="91" t="str">
        <f t="shared" si="384"/>
        <v/>
      </c>
      <c r="J4925" s="91" t="str">
        <f t="shared" si="385"/>
        <v/>
      </c>
      <c r="K4925" s="92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2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58"/>
      <c r="U4925" s="217" t="str">
        <f t="shared" si="386"/>
        <v/>
      </c>
      <c r="V4925" s="215" t="s">
        <v>47</v>
      </c>
      <c r="W4925" s="102" t="s">
        <v>136</v>
      </c>
      <c r="X4925" s="102" t="s">
        <v>137</v>
      </c>
      <c r="Y4925" s="103" t="s">
        <v>138</v>
      </c>
      <c r="Z4925" s="103" t="s">
        <v>139</v>
      </c>
      <c r="AA4925" s="103" t="s">
        <v>47</v>
      </c>
      <c r="AB4925" s="103" t="s">
        <v>140</v>
      </c>
      <c r="AC4925" s="104" t="s">
        <v>141</v>
      </c>
    </row>
    <row r="4926" spans="1:29" ht="25.5" customHeight="1" x14ac:dyDescent="0.35">
      <c r="A4926" s="188"/>
      <c r="B4926" s="190"/>
      <c r="C4926" s="99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0"/>
      <c r="E4926" s="78" t="str">
        <f>IF(C4926="","",IFERROR(VLOOKUP(C4926,parametros!$A$11:$E$15,5,0),""))</f>
        <v/>
      </c>
      <c r="F4926" s="79" t="str">
        <f t="shared" si="382"/>
        <v/>
      </c>
      <c r="G4926" s="101"/>
      <c r="H4926" s="91">
        <f t="shared" si="383"/>
        <v>0</v>
      </c>
      <c r="I4926" s="91" t="str">
        <f t="shared" si="384"/>
        <v/>
      </c>
      <c r="J4926" s="91" t="str">
        <f t="shared" si="385"/>
        <v/>
      </c>
      <c r="K4926" s="92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2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58"/>
      <c r="U4926" s="217" t="str">
        <f t="shared" si="386"/>
        <v/>
      </c>
      <c r="V4926" s="215" t="s">
        <v>47</v>
      </c>
      <c r="W4926" s="102" t="s">
        <v>136</v>
      </c>
      <c r="X4926" s="102" t="s">
        <v>137</v>
      </c>
      <c r="Y4926" s="103" t="s">
        <v>138</v>
      </c>
      <c r="Z4926" s="103" t="s">
        <v>139</v>
      </c>
      <c r="AA4926" s="103" t="s">
        <v>47</v>
      </c>
      <c r="AB4926" s="103" t="s">
        <v>140</v>
      </c>
      <c r="AC4926" s="104" t="s">
        <v>141</v>
      </c>
    </row>
    <row r="4927" spans="1:29" ht="25.5" customHeight="1" x14ac:dyDescent="0.35">
      <c r="A4927" s="188"/>
      <c r="B4927" s="190"/>
      <c r="C4927" s="99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0"/>
      <c r="E4927" s="78" t="str">
        <f>IF(C4927="","",IFERROR(VLOOKUP(C4927,parametros!$A$11:$E$15,5,0),""))</f>
        <v/>
      </c>
      <c r="F4927" s="79" t="str">
        <f t="shared" si="382"/>
        <v/>
      </c>
      <c r="G4927" s="101"/>
      <c r="H4927" s="91">
        <f t="shared" si="383"/>
        <v>0</v>
      </c>
      <c r="I4927" s="91" t="str">
        <f t="shared" si="384"/>
        <v/>
      </c>
      <c r="J4927" s="91" t="str">
        <f t="shared" si="385"/>
        <v/>
      </c>
      <c r="K4927" s="92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2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58"/>
      <c r="U4927" s="217" t="str">
        <f t="shared" si="386"/>
        <v/>
      </c>
      <c r="V4927" s="215" t="s">
        <v>47</v>
      </c>
      <c r="W4927" s="102" t="s">
        <v>136</v>
      </c>
      <c r="X4927" s="102" t="s">
        <v>137</v>
      </c>
      <c r="Y4927" s="103" t="s">
        <v>138</v>
      </c>
      <c r="Z4927" s="103" t="s">
        <v>139</v>
      </c>
      <c r="AA4927" s="103" t="s">
        <v>47</v>
      </c>
      <c r="AB4927" s="103" t="s">
        <v>140</v>
      </c>
      <c r="AC4927" s="104" t="s">
        <v>141</v>
      </c>
    </row>
    <row r="4928" spans="1:29" ht="25.5" customHeight="1" x14ac:dyDescent="0.35">
      <c r="A4928" s="188"/>
      <c r="B4928" s="190"/>
      <c r="C4928" s="99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0"/>
      <c r="E4928" s="78" t="str">
        <f>IF(C4928="","",IFERROR(VLOOKUP(C4928,parametros!$A$11:$E$15,5,0),""))</f>
        <v/>
      </c>
      <c r="F4928" s="79" t="str">
        <f t="shared" si="382"/>
        <v/>
      </c>
      <c r="G4928" s="101"/>
      <c r="H4928" s="91">
        <f t="shared" si="383"/>
        <v>0</v>
      </c>
      <c r="I4928" s="91" t="str">
        <f t="shared" si="384"/>
        <v/>
      </c>
      <c r="J4928" s="91" t="str">
        <f t="shared" si="385"/>
        <v/>
      </c>
      <c r="K4928" s="92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2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58"/>
      <c r="U4928" s="217" t="str">
        <f t="shared" si="386"/>
        <v/>
      </c>
      <c r="V4928" s="215" t="s">
        <v>47</v>
      </c>
      <c r="W4928" s="102" t="s">
        <v>136</v>
      </c>
      <c r="X4928" s="102" t="s">
        <v>137</v>
      </c>
      <c r="Y4928" s="103" t="s">
        <v>138</v>
      </c>
      <c r="Z4928" s="103" t="s">
        <v>139</v>
      </c>
      <c r="AA4928" s="103" t="s">
        <v>47</v>
      </c>
      <c r="AB4928" s="103" t="s">
        <v>140</v>
      </c>
      <c r="AC4928" s="104" t="s">
        <v>141</v>
      </c>
    </row>
    <row r="4929" spans="1:29" ht="25.5" customHeight="1" x14ac:dyDescent="0.35">
      <c r="A4929" s="188"/>
      <c r="B4929" s="190"/>
      <c r="C4929" s="99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0"/>
      <c r="E4929" s="78" t="str">
        <f>IF(C4929="","",IFERROR(VLOOKUP(C4929,parametros!$A$11:$E$15,5,0),""))</f>
        <v/>
      </c>
      <c r="F4929" s="79" t="str">
        <f t="shared" si="382"/>
        <v/>
      </c>
      <c r="G4929" s="101"/>
      <c r="H4929" s="91">
        <f t="shared" si="383"/>
        <v>0</v>
      </c>
      <c r="I4929" s="91" t="str">
        <f t="shared" si="384"/>
        <v/>
      </c>
      <c r="J4929" s="91" t="str">
        <f t="shared" si="385"/>
        <v/>
      </c>
      <c r="K4929" s="92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2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58"/>
      <c r="U4929" s="217" t="str">
        <f t="shared" si="386"/>
        <v/>
      </c>
      <c r="V4929" s="215" t="s">
        <v>47</v>
      </c>
      <c r="W4929" s="102" t="s">
        <v>136</v>
      </c>
      <c r="X4929" s="102" t="s">
        <v>137</v>
      </c>
      <c r="Y4929" s="103" t="s">
        <v>138</v>
      </c>
      <c r="Z4929" s="103" t="s">
        <v>139</v>
      </c>
      <c r="AA4929" s="103" t="s">
        <v>47</v>
      </c>
      <c r="AB4929" s="103" t="s">
        <v>140</v>
      </c>
      <c r="AC4929" s="104" t="s">
        <v>141</v>
      </c>
    </row>
    <row r="4930" spans="1:29" ht="25.5" customHeight="1" x14ac:dyDescent="0.35">
      <c r="A4930" s="188"/>
      <c r="B4930" s="190"/>
      <c r="C4930" s="99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0"/>
      <c r="E4930" s="78" t="str">
        <f>IF(C4930="","",IFERROR(VLOOKUP(C4930,parametros!$A$11:$E$15,5,0),""))</f>
        <v/>
      </c>
      <c r="F4930" s="79" t="str">
        <f t="shared" ref="F4930:F4993" si="387">IF(OR(D4930="",E4930=""),"",ROUND(D4930*E4930,2))</f>
        <v/>
      </c>
      <c r="G4930" s="101"/>
      <c r="H4930" s="91">
        <f t="shared" ref="H4930:H4993" si="388">IF(G4930="Sim",IF(OR(F4930="",D4930="",L4930=""),"",IF(L4930="Sim",ROUND(F4930-D4930,2),0)),0)</f>
        <v>0</v>
      </c>
      <c r="I4930" s="91" t="str">
        <f t="shared" ref="I4930:I4993" si="389">IF(G4930="Sim",0,IF(OR(F4930="",L4930=""),"",F4930))</f>
        <v/>
      </c>
      <c r="J4930" s="91" t="str">
        <f t="shared" ref="J4930:J4993" si="390">IF(G4930="Sim",0,IF(OR(F4930="",D4930="",L4930=""),"",IF(L4930="Sim",ROUND(F4930-D4930,2),0)))</f>
        <v/>
      </c>
      <c r="K4930" s="92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2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58"/>
      <c r="U4930" s="217" t="str">
        <f t="shared" ref="U4930:U4993" si="391">IF(OR($D4930="",$H4930=""),"",ROUND($D4930+$H4930,2))</f>
        <v/>
      </c>
      <c r="V4930" s="215" t="s">
        <v>47</v>
      </c>
      <c r="W4930" s="102" t="s">
        <v>136</v>
      </c>
      <c r="X4930" s="102" t="s">
        <v>137</v>
      </c>
      <c r="Y4930" s="103" t="s">
        <v>138</v>
      </c>
      <c r="Z4930" s="103" t="s">
        <v>139</v>
      </c>
      <c r="AA4930" s="103" t="s">
        <v>47</v>
      </c>
      <c r="AB4930" s="103" t="s">
        <v>140</v>
      </c>
      <c r="AC4930" s="104" t="s">
        <v>141</v>
      </c>
    </row>
    <row r="4931" spans="1:29" ht="25.5" customHeight="1" x14ac:dyDescent="0.35">
      <c r="A4931" s="188"/>
      <c r="B4931" s="190"/>
      <c r="C4931" s="99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0"/>
      <c r="E4931" s="78" t="str">
        <f>IF(C4931="","",IFERROR(VLOOKUP(C4931,parametros!$A$11:$E$15,5,0),""))</f>
        <v/>
      </c>
      <c r="F4931" s="79" t="str">
        <f t="shared" si="387"/>
        <v/>
      </c>
      <c r="G4931" s="101"/>
      <c r="H4931" s="91">
        <f t="shared" si="388"/>
        <v>0</v>
      </c>
      <c r="I4931" s="91" t="str">
        <f t="shared" si="389"/>
        <v/>
      </c>
      <c r="J4931" s="91" t="str">
        <f t="shared" si="390"/>
        <v/>
      </c>
      <c r="K4931" s="92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2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58"/>
      <c r="U4931" s="217" t="str">
        <f t="shared" si="391"/>
        <v/>
      </c>
      <c r="V4931" s="215" t="s">
        <v>47</v>
      </c>
      <c r="W4931" s="102" t="s">
        <v>136</v>
      </c>
      <c r="X4931" s="102" t="s">
        <v>137</v>
      </c>
      <c r="Y4931" s="103" t="s">
        <v>138</v>
      </c>
      <c r="Z4931" s="103" t="s">
        <v>139</v>
      </c>
      <c r="AA4931" s="103" t="s">
        <v>47</v>
      </c>
      <c r="AB4931" s="103" t="s">
        <v>140</v>
      </c>
      <c r="AC4931" s="104" t="s">
        <v>141</v>
      </c>
    </row>
    <row r="4932" spans="1:29" ht="25.5" customHeight="1" x14ac:dyDescent="0.35">
      <c r="A4932" s="188"/>
      <c r="B4932" s="190"/>
      <c r="C4932" s="99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0"/>
      <c r="E4932" s="78" t="str">
        <f>IF(C4932="","",IFERROR(VLOOKUP(C4932,parametros!$A$11:$E$15,5,0),""))</f>
        <v/>
      </c>
      <c r="F4932" s="79" t="str">
        <f t="shared" si="387"/>
        <v/>
      </c>
      <c r="G4932" s="101"/>
      <c r="H4932" s="91">
        <f t="shared" si="388"/>
        <v>0</v>
      </c>
      <c r="I4932" s="91" t="str">
        <f t="shared" si="389"/>
        <v/>
      </c>
      <c r="J4932" s="91" t="str">
        <f t="shared" si="390"/>
        <v/>
      </c>
      <c r="K4932" s="92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2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58"/>
      <c r="U4932" s="217" t="str">
        <f t="shared" si="391"/>
        <v/>
      </c>
      <c r="V4932" s="215" t="s">
        <v>47</v>
      </c>
      <c r="W4932" s="102" t="s">
        <v>136</v>
      </c>
      <c r="X4932" s="102" t="s">
        <v>137</v>
      </c>
      <c r="Y4932" s="103" t="s">
        <v>138</v>
      </c>
      <c r="Z4932" s="103" t="s">
        <v>139</v>
      </c>
      <c r="AA4932" s="103" t="s">
        <v>47</v>
      </c>
      <c r="AB4932" s="103" t="s">
        <v>140</v>
      </c>
      <c r="AC4932" s="104" t="s">
        <v>141</v>
      </c>
    </row>
    <row r="4933" spans="1:29" ht="25.5" customHeight="1" x14ac:dyDescent="0.35">
      <c r="A4933" s="188"/>
      <c r="B4933" s="190"/>
      <c r="C4933" s="99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0"/>
      <c r="E4933" s="78" t="str">
        <f>IF(C4933="","",IFERROR(VLOOKUP(C4933,parametros!$A$11:$E$15,5,0),""))</f>
        <v/>
      </c>
      <c r="F4933" s="79" t="str">
        <f t="shared" si="387"/>
        <v/>
      </c>
      <c r="G4933" s="101"/>
      <c r="H4933" s="91">
        <f t="shared" si="388"/>
        <v>0</v>
      </c>
      <c r="I4933" s="91" t="str">
        <f t="shared" si="389"/>
        <v/>
      </c>
      <c r="J4933" s="91" t="str">
        <f t="shared" si="390"/>
        <v/>
      </c>
      <c r="K4933" s="92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2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58"/>
      <c r="U4933" s="217" t="str">
        <f t="shared" si="391"/>
        <v/>
      </c>
      <c r="V4933" s="215" t="s">
        <v>47</v>
      </c>
      <c r="W4933" s="102" t="s">
        <v>136</v>
      </c>
      <c r="X4933" s="102" t="s">
        <v>137</v>
      </c>
      <c r="Y4933" s="103" t="s">
        <v>138</v>
      </c>
      <c r="Z4933" s="103" t="s">
        <v>139</v>
      </c>
      <c r="AA4933" s="103" t="s">
        <v>47</v>
      </c>
      <c r="AB4933" s="103" t="s">
        <v>140</v>
      </c>
      <c r="AC4933" s="104" t="s">
        <v>141</v>
      </c>
    </row>
    <row r="4934" spans="1:29" ht="25.5" customHeight="1" x14ac:dyDescent="0.35">
      <c r="A4934" s="188"/>
      <c r="B4934" s="190"/>
      <c r="C4934" s="99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0"/>
      <c r="E4934" s="78" t="str">
        <f>IF(C4934="","",IFERROR(VLOOKUP(C4934,parametros!$A$11:$E$15,5,0),""))</f>
        <v/>
      </c>
      <c r="F4934" s="79" t="str">
        <f t="shared" si="387"/>
        <v/>
      </c>
      <c r="G4934" s="101"/>
      <c r="H4934" s="91">
        <f t="shared" si="388"/>
        <v>0</v>
      </c>
      <c r="I4934" s="91" t="str">
        <f t="shared" si="389"/>
        <v/>
      </c>
      <c r="J4934" s="91" t="str">
        <f t="shared" si="390"/>
        <v/>
      </c>
      <c r="K4934" s="92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2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58"/>
      <c r="U4934" s="217" t="str">
        <f t="shared" si="391"/>
        <v/>
      </c>
      <c r="V4934" s="215" t="s">
        <v>47</v>
      </c>
      <c r="W4934" s="102" t="s">
        <v>136</v>
      </c>
      <c r="X4934" s="102" t="s">
        <v>137</v>
      </c>
      <c r="Y4934" s="103" t="s">
        <v>138</v>
      </c>
      <c r="Z4934" s="103" t="s">
        <v>139</v>
      </c>
      <c r="AA4934" s="103" t="s">
        <v>47</v>
      </c>
      <c r="AB4934" s="103" t="s">
        <v>140</v>
      </c>
      <c r="AC4934" s="104" t="s">
        <v>141</v>
      </c>
    </row>
    <row r="4935" spans="1:29" ht="25.5" customHeight="1" x14ac:dyDescent="0.35">
      <c r="A4935" s="188"/>
      <c r="B4935" s="190"/>
      <c r="C4935" s="99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0"/>
      <c r="E4935" s="78" t="str">
        <f>IF(C4935="","",IFERROR(VLOOKUP(C4935,parametros!$A$11:$E$15,5,0),""))</f>
        <v/>
      </c>
      <c r="F4935" s="79" t="str">
        <f t="shared" si="387"/>
        <v/>
      </c>
      <c r="G4935" s="101"/>
      <c r="H4935" s="91">
        <f t="shared" si="388"/>
        <v>0</v>
      </c>
      <c r="I4935" s="91" t="str">
        <f t="shared" si="389"/>
        <v/>
      </c>
      <c r="J4935" s="91" t="str">
        <f t="shared" si="390"/>
        <v/>
      </c>
      <c r="K4935" s="92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2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58"/>
      <c r="U4935" s="217" t="str">
        <f t="shared" si="391"/>
        <v/>
      </c>
      <c r="V4935" s="215" t="s">
        <v>47</v>
      </c>
      <c r="W4935" s="102" t="s">
        <v>136</v>
      </c>
      <c r="X4935" s="102" t="s">
        <v>137</v>
      </c>
      <c r="Y4935" s="103" t="s">
        <v>138</v>
      </c>
      <c r="Z4935" s="103" t="s">
        <v>139</v>
      </c>
      <c r="AA4935" s="103" t="s">
        <v>47</v>
      </c>
      <c r="AB4935" s="103" t="s">
        <v>140</v>
      </c>
      <c r="AC4935" s="104" t="s">
        <v>141</v>
      </c>
    </row>
    <row r="4936" spans="1:29" ht="25.5" customHeight="1" x14ac:dyDescent="0.35">
      <c r="A4936" s="188"/>
      <c r="B4936" s="190"/>
      <c r="C4936" s="99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0"/>
      <c r="E4936" s="78" t="str">
        <f>IF(C4936="","",IFERROR(VLOOKUP(C4936,parametros!$A$11:$E$15,5,0),""))</f>
        <v/>
      </c>
      <c r="F4936" s="79" t="str">
        <f t="shared" si="387"/>
        <v/>
      </c>
      <c r="G4936" s="101"/>
      <c r="H4936" s="91">
        <f t="shared" si="388"/>
        <v>0</v>
      </c>
      <c r="I4936" s="91" t="str">
        <f t="shared" si="389"/>
        <v/>
      </c>
      <c r="J4936" s="91" t="str">
        <f t="shared" si="390"/>
        <v/>
      </c>
      <c r="K4936" s="92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2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58"/>
      <c r="U4936" s="217" t="str">
        <f t="shared" si="391"/>
        <v/>
      </c>
      <c r="V4936" s="215" t="s">
        <v>47</v>
      </c>
      <c r="W4936" s="102" t="s">
        <v>136</v>
      </c>
      <c r="X4936" s="102" t="s">
        <v>137</v>
      </c>
      <c r="Y4936" s="103" t="s">
        <v>138</v>
      </c>
      <c r="Z4936" s="103" t="s">
        <v>139</v>
      </c>
      <c r="AA4936" s="103" t="s">
        <v>47</v>
      </c>
      <c r="AB4936" s="103" t="s">
        <v>140</v>
      </c>
      <c r="AC4936" s="104" t="s">
        <v>141</v>
      </c>
    </row>
    <row r="4937" spans="1:29" ht="25.5" customHeight="1" x14ac:dyDescent="0.35">
      <c r="A4937" s="188"/>
      <c r="B4937" s="190"/>
      <c r="C4937" s="99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0"/>
      <c r="E4937" s="78" t="str">
        <f>IF(C4937="","",IFERROR(VLOOKUP(C4937,parametros!$A$11:$E$15,5,0),""))</f>
        <v/>
      </c>
      <c r="F4937" s="79" t="str">
        <f t="shared" si="387"/>
        <v/>
      </c>
      <c r="G4937" s="101"/>
      <c r="H4937" s="91">
        <f t="shared" si="388"/>
        <v>0</v>
      </c>
      <c r="I4937" s="91" t="str">
        <f t="shared" si="389"/>
        <v/>
      </c>
      <c r="J4937" s="91" t="str">
        <f t="shared" si="390"/>
        <v/>
      </c>
      <c r="K4937" s="92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2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58"/>
      <c r="U4937" s="217" t="str">
        <f t="shared" si="391"/>
        <v/>
      </c>
      <c r="V4937" s="215" t="s">
        <v>47</v>
      </c>
      <c r="W4937" s="102" t="s">
        <v>136</v>
      </c>
      <c r="X4937" s="102" t="s">
        <v>137</v>
      </c>
      <c r="Y4937" s="103" t="s">
        <v>138</v>
      </c>
      <c r="Z4937" s="103" t="s">
        <v>139</v>
      </c>
      <c r="AA4937" s="103" t="s">
        <v>47</v>
      </c>
      <c r="AB4937" s="103" t="s">
        <v>140</v>
      </c>
      <c r="AC4937" s="104" t="s">
        <v>141</v>
      </c>
    </row>
    <row r="4938" spans="1:29" ht="25.5" customHeight="1" x14ac:dyDescent="0.35">
      <c r="A4938" s="188"/>
      <c r="B4938" s="190"/>
      <c r="C4938" s="99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0"/>
      <c r="E4938" s="78" t="str">
        <f>IF(C4938="","",IFERROR(VLOOKUP(C4938,parametros!$A$11:$E$15,5,0),""))</f>
        <v/>
      </c>
      <c r="F4938" s="79" t="str">
        <f t="shared" si="387"/>
        <v/>
      </c>
      <c r="G4938" s="101"/>
      <c r="H4938" s="91">
        <f t="shared" si="388"/>
        <v>0</v>
      </c>
      <c r="I4938" s="91" t="str">
        <f t="shared" si="389"/>
        <v/>
      </c>
      <c r="J4938" s="91" t="str">
        <f t="shared" si="390"/>
        <v/>
      </c>
      <c r="K4938" s="92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2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58"/>
      <c r="U4938" s="217" t="str">
        <f t="shared" si="391"/>
        <v/>
      </c>
      <c r="V4938" s="215" t="s">
        <v>47</v>
      </c>
      <c r="W4938" s="102" t="s">
        <v>136</v>
      </c>
      <c r="X4938" s="102" t="s">
        <v>137</v>
      </c>
      <c r="Y4938" s="103" t="s">
        <v>138</v>
      </c>
      <c r="Z4938" s="103" t="s">
        <v>139</v>
      </c>
      <c r="AA4938" s="103" t="s">
        <v>47</v>
      </c>
      <c r="AB4938" s="103" t="s">
        <v>140</v>
      </c>
      <c r="AC4938" s="104" t="s">
        <v>141</v>
      </c>
    </row>
    <row r="4939" spans="1:29" ht="25.5" customHeight="1" x14ac:dyDescent="0.35">
      <c r="A4939" s="188"/>
      <c r="B4939" s="190"/>
      <c r="C4939" s="99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0"/>
      <c r="E4939" s="78" t="str">
        <f>IF(C4939="","",IFERROR(VLOOKUP(C4939,parametros!$A$11:$E$15,5,0),""))</f>
        <v/>
      </c>
      <c r="F4939" s="79" t="str">
        <f t="shared" si="387"/>
        <v/>
      </c>
      <c r="G4939" s="101"/>
      <c r="H4939" s="91">
        <f t="shared" si="388"/>
        <v>0</v>
      </c>
      <c r="I4939" s="91" t="str">
        <f t="shared" si="389"/>
        <v/>
      </c>
      <c r="J4939" s="91" t="str">
        <f t="shared" si="390"/>
        <v/>
      </c>
      <c r="K4939" s="92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2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58"/>
      <c r="U4939" s="217" t="str">
        <f t="shared" si="391"/>
        <v/>
      </c>
      <c r="V4939" s="215" t="s">
        <v>47</v>
      </c>
      <c r="W4939" s="102" t="s">
        <v>136</v>
      </c>
      <c r="X4939" s="102" t="s">
        <v>137</v>
      </c>
      <c r="Y4939" s="103" t="s">
        <v>138</v>
      </c>
      <c r="Z4939" s="103" t="s">
        <v>139</v>
      </c>
      <c r="AA4939" s="103" t="s">
        <v>47</v>
      </c>
      <c r="AB4939" s="103" t="s">
        <v>140</v>
      </c>
      <c r="AC4939" s="104" t="s">
        <v>141</v>
      </c>
    </row>
    <row r="4940" spans="1:29" ht="25.5" customHeight="1" x14ac:dyDescent="0.35">
      <c r="A4940" s="188"/>
      <c r="B4940" s="190"/>
      <c r="C4940" s="99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0"/>
      <c r="E4940" s="78" t="str">
        <f>IF(C4940="","",IFERROR(VLOOKUP(C4940,parametros!$A$11:$E$15,5,0),""))</f>
        <v/>
      </c>
      <c r="F4940" s="79" t="str">
        <f t="shared" si="387"/>
        <v/>
      </c>
      <c r="G4940" s="101"/>
      <c r="H4940" s="91">
        <f t="shared" si="388"/>
        <v>0</v>
      </c>
      <c r="I4940" s="91" t="str">
        <f t="shared" si="389"/>
        <v/>
      </c>
      <c r="J4940" s="91" t="str">
        <f t="shared" si="390"/>
        <v/>
      </c>
      <c r="K4940" s="92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2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58"/>
      <c r="U4940" s="217" t="str">
        <f t="shared" si="391"/>
        <v/>
      </c>
      <c r="V4940" s="215" t="s">
        <v>47</v>
      </c>
      <c r="W4940" s="102" t="s">
        <v>136</v>
      </c>
      <c r="X4940" s="102" t="s">
        <v>137</v>
      </c>
      <c r="Y4940" s="103" t="s">
        <v>138</v>
      </c>
      <c r="Z4940" s="103" t="s">
        <v>139</v>
      </c>
      <c r="AA4940" s="103" t="s">
        <v>47</v>
      </c>
      <c r="AB4940" s="103" t="s">
        <v>140</v>
      </c>
      <c r="AC4940" s="104" t="s">
        <v>141</v>
      </c>
    </row>
    <row r="4941" spans="1:29" ht="25.5" customHeight="1" x14ac:dyDescent="0.35">
      <c r="A4941" s="188"/>
      <c r="B4941" s="190"/>
      <c r="C4941" s="99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0"/>
      <c r="E4941" s="78" t="str">
        <f>IF(C4941="","",IFERROR(VLOOKUP(C4941,parametros!$A$11:$E$15,5,0),""))</f>
        <v/>
      </c>
      <c r="F4941" s="79" t="str">
        <f t="shared" si="387"/>
        <v/>
      </c>
      <c r="G4941" s="101"/>
      <c r="H4941" s="91">
        <f t="shared" si="388"/>
        <v>0</v>
      </c>
      <c r="I4941" s="91" t="str">
        <f t="shared" si="389"/>
        <v/>
      </c>
      <c r="J4941" s="91" t="str">
        <f t="shared" si="390"/>
        <v/>
      </c>
      <c r="K4941" s="92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2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58"/>
      <c r="U4941" s="217" t="str">
        <f t="shared" si="391"/>
        <v/>
      </c>
      <c r="V4941" s="215" t="s">
        <v>47</v>
      </c>
      <c r="W4941" s="102" t="s">
        <v>136</v>
      </c>
      <c r="X4941" s="102" t="s">
        <v>137</v>
      </c>
      <c r="Y4941" s="103" t="s">
        <v>138</v>
      </c>
      <c r="Z4941" s="103" t="s">
        <v>139</v>
      </c>
      <c r="AA4941" s="103" t="s">
        <v>47</v>
      </c>
      <c r="AB4941" s="103" t="s">
        <v>140</v>
      </c>
      <c r="AC4941" s="104" t="s">
        <v>141</v>
      </c>
    </row>
    <row r="4942" spans="1:29" ht="25.5" customHeight="1" x14ac:dyDescent="0.35">
      <c r="A4942" s="188"/>
      <c r="B4942" s="190"/>
      <c r="C4942" s="99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0"/>
      <c r="E4942" s="78" t="str">
        <f>IF(C4942="","",IFERROR(VLOOKUP(C4942,parametros!$A$11:$E$15,5,0),""))</f>
        <v/>
      </c>
      <c r="F4942" s="79" t="str">
        <f t="shared" si="387"/>
        <v/>
      </c>
      <c r="G4942" s="101"/>
      <c r="H4942" s="91">
        <f t="shared" si="388"/>
        <v>0</v>
      </c>
      <c r="I4942" s="91" t="str">
        <f t="shared" si="389"/>
        <v/>
      </c>
      <c r="J4942" s="91" t="str">
        <f t="shared" si="390"/>
        <v/>
      </c>
      <c r="K4942" s="92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2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58"/>
      <c r="U4942" s="217" t="str">
        <f t="shared" si="391"/>
        <v/>
      </c>
      <c r="V4942" s="215" t="s">
        <v>47</v>
      </c>
      <c r="W4942" s="102" t="s">
        <v>136</v>
      </c>
      <c r="X4942" s="102" t="s">
        <v>137</v>
      </c>
      <c r="Y4942" s="103" t="s">
        <v>138</v>
      </c>
      <c r="Z4942" s="103" t="s">
        <v>139</v>
      </c>
      <c r="AA4942" s="103" t="s">
        <v>47</v>
      </c>
      <c r="AB4942" s="103" t="s">
        <v>140</v>
      </c>
      <c r="AC4942" s="104" t="s">
        <v>141</v>
      </c>
    </row>
    <row r="4943" spans="1:29" ht="25.5" customHeight="1" x14ac:dyDescent="0.35">
      <c r="A4943" s="188"/>
      <c r="B4943" s="190"/>
      <c r="C4943" s="99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0"/>
      <c r="E4943" s="78" t="str">
        <f>IF(C4943="","",IFERROR(VLOOKUP(C4943,parametros!$A$11:$E$15,5,0),""))</f>
        <v/>
      </c>
      <c r="F4943" s="79" t="str">
        <f t="shared" si="387"/>
        <v/>
      </c>
      <c r="G4943" s="101"/>
      <c r="H4943" s="91">
        <f t="shared" si="388"/>
        <v>0</v>
      </c>
      <c r="I4943" s="91" t="str">
        <f t="shared" si="389"/>
        <v/>
      </c>
      <c r="J4943" s="91" t="str">
        <f t="shared" si="390"/>
        <v/>
      </c>
      <c r="K4943" s="92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2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58"/>
      <c r="U4943" s="217" t="str">
        <f t="shared" si="391"/>
        <v/>
      </c>
      <c r="V4943" s="215" t="s">
        <v>47</v>
      </c>
      <c r="W4943" s="102" t="s">
        <v>136</v>
      </c>
      <c r="X4943" s="102" t="s">
        <v>137</v>
      </c>
      <c r="Y4943" s="103" t="s">
        <v>138</v>
      </c>
      <c r="Z4943" s="103" t="s">
        <v>139</v>
      </c>
      <c r="AA4943" s="103" t="s">
        <v>47</v>
      </c>
      <c r="AB4943" s="103" t="s">
        <v>140</v>
      </c>
      <c r="AC4943" s="104" t="s">
        <v>141</v>
      </c>
    </row>
    <row r="4944" spans="1:29" ht="25.5" customHeight="1" x14ac:dyDescent="0.35">
      <c r="A4944" s="188"/>
      <c r="B4944" s="190"/>
      <c r="C4944" s="99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0"/>
      <c r="E4944" s="78" t="str">
        <f>IF(C4944="","",IFERROR(VLOOKUP(C4944,parametros!$A$11:$E$15,5,0),""))</f>
        <v/>
      </c>
      <c r="F4944" s="79" t="str">
        <f t="shared" si="387"/>
        <v/>
      </c>
      <c r="G4944" s="101"/>
      <c r="H4944" s="91">
        <f t="shared" si="388"/>
        <v>0</v>
      </c>
      <c r="I4944" s="91" t="str">
        <f t="shared" si="389"/>
        <v/>
      </c>
      <c r="J4944" s="91" t="str">
        <f t="shared" si="390"/>
        <v/>
      </c>
      <c r="K4944" s="92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2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58"/>
      <c r="U4944" s="217" t="str">
        <f t="shared" si="391"/>
        <v/>
      </c>
      <c r="V4944" s="215" t="s">
        <v>47</v>
      </c>
      <c r="W4944" s="102" t="s">
        <v>136</v>
      </c>
      <c r="X4944" s="102" t="s">
        <v>137</v>
      </c>
      <c r="Y4944" s="103" t="s">
        <v>138</v>
      </c>
      <c r="Z4944" s="103" t="s">
        <v>139</v>
      </c>
      <c r="AA4944" s="103" t="s">
        <v>47</v>
      </c>
      <c r="AB4944" s="103" t="s">
        <v>140</v>
      </c>
      <c r="AC4944" s="104" t="s">
        <v>141</v>
      </c>
    </row>
    <row r="4945" spans="1:29" ht="25.5" customHeight="1" x14ac:dyDescent="0.35">
      <c r="A4945" s="188"/>
      <c r="B4945" s="190"/>
      <c r="C4945" s="99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0"/>
      <c r="E4945" s="78" t="str">
        <f>IF(C4945="","",IFERROR(VLOOKUP(C4945,parametros!$A$11:$E$15,5,0),""))</f>
        <v/>
      </c>
      <c r="F4945" s="79" t="str">
        <f t="shared" si="387"/>
        <v/>
      </c>
      <c r="G4945" s="101"/>
      <c r="H4945" s="91">
        <f t="shared" si="388"/>
        <v>0</v>
      </c>
      <c r="I4945" s="91" t="str">
        <f t="shared" si="389"/>
        <v/>
      </c>
      <c r="J4945" s="91" t="str">
        <f t="shared" si="390"/>
        <v/>
      </c>
      <c r="K4945" s="92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2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58"/>
      <c r="U4945" s="217" t="str">
        <f t="shared" si="391"/>
        <v/>
      </c>
      <c r="V4945" s="215" t="s">
        <v>47</v>
      </c>
      <c r="W4945" s="102" t="s">
        <v>136</v>
      </c>
      <c r="X4945" s="102" t="s">
        <v>137</v>
      </c>
      <c r="Y4945" s="103" t="s">
        <v>138</v>
      </c>
      <c r="Z4945" s="103" t="s">
        <v>139</v>
      </c>
      <c r="AA4945" s="103" t="s">
        <v>47</v>
      </c>
      <c r="AB4945" s="103" t="s">
        <v>140</v>
      </c>
      <c r="AC4945" s="104" t="s">
        <v>141</v>
      </c>
    </row>
    <row r="4946" spans="1:29" ht="25.5" customHeight="1" x14ac:dyDescent="0.35">
      <c r="A4946" s="188"/>
      <c r="B4946" s="190"/>
      <c r="C4946" s="99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0"/>
      <c r="E4946" s="78" t="str">
        <f>IF(C4946="","",IFERROR(VLOOKUP(C4946,parametros!$A$11:$E$15,5,0),""))</f>
        <v/>
      </c>
      <c r="F4946" s="79" t="str">
        <f t="shared" si="387"/>
        <v/>
      </c>
      <c r="G4946" s="101"/>
      <c r="H4946" s="91">
        <f t="shared" si="388"/>
        <v>0</v>
      </c>
      <c r="I4946" s="91" t="str">
        <f t="shared" si="389"/>
        <v/>
      </c>
      <c r="J4946" s="91" t="str">
        <f t="shared" si="390"/>
        <v/>
      </c>
      <c r="K4946" s="92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2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58"/>
      <c r="U4946" s="217" t="str">
        <f t="shared" si="391"/>
        <v/>
      </c>
      <c r="V4946" s="215" t="s">
        <v>47</v>
      </c>
      <c r="W4946" s="102" t="s">
        <v>136</v>
      </c>
      <c r="X4946" s="102" t="s">
        <v>137</v>
      </c>
      <c r="Y4946" s="103" t="s">
        <v>138</v>
      </c>
      <c r="Z4946" s="103" t="s">
        <v>139</v>
      </c>
      <c r="AA4946" s="103" t="s">
        <v>47</v>
      </c>
      <c r="AB4946" s="103" t="s">
        <v>140</v>
      </c>
      <c r="AC4946" s="104" t="s">
        <v>141</v>
      </c>
    </row>
    <row r="4947" spans="1:29" ht="25.5" customHeight="1" x14ac:dyDescent="0.35">
      <c r="A4947" s="188"/>
      <c r="B4947" s="190"/>
      <c r="C4947" s="99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0"/>
      <c r="E4947" s="78" t="str">
        <f>IF(C4947="","",IFERROR(VLOOKUP(C4947,parametros!$A$11:$E$15,5,0),""))</f>
        <v/>
      </c>
      <c r="F4947" s="79" t="str">
        <f t="shared" si="387"/>
        <v/>
      </c>
      <c r="G4947" s="101"/>
      <c r="H4947" s="91">
        <f t="shared" si="388"/>
        <v>0</v>
      </c>
      <c r="I4947" s="91" t="str">
        <f t="shared" si="389"/>
        <v/>
      </c>
      <c r="J4947" s="91" t="str">
        <f t="shared" si="390"/>
        <v/>
      </c>
      <c r="K4947" s="92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2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58"/>
      <c r="U4947" s="217" t="str">
        <f t="shared" si="391"/>
        <v/>
      </c>
      <c r="V4947" s="215" t="s">
        <v>47</v>
      </c>
      <c r="W4947" s="102" t="s">
        <v>136</v>
      </c>
      <c r="X4947" s="102" t="s">
        <v>137</v>
      </c>
      <c r="Y4947" s="103" t="s">
        <v>138</v>
      </c>
      <c r="Z4947" s="103" t="s">
        <v>139</v>
      </c>
      <c r="AA4947" s="103" t="s">
        <v>47</v>
      </c>
      <c r="AB4947" s="103" t="s">
        <v>140</v>
      </c>
      <c r="AC4947" s="104" t="s">
        <v>141</v>
      </c>
    </row>
    <row r="4948" spans="1:29" ht="25.5" customHeight="1" x14ac:dyDescent="0.35">
      <c r="A4948" s="188"/>
      <c r="B4948" s="190"/>
      <c r="C4948" s="99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0"/>
      <c r="E4948" s="78" t="str">
        <f>IF(C4948="","",IFERROR(VLOOKUP(C4948,parametros!$A$11:$E$15,5,0),""))</f>
        <v/>
      </c>
      <c r="F4948" s="79" t="str">
        <f t="shared" si="387"/>
        <v/>
      </c>
      <c r="G4948" s="101"/>
      <c r="H4948" s="91">
        <f t="shared" si="388"/>
        <v>0</v>
      </c>
      <c r="I4948" s="91" t="str">
        <f t="shared" si="389"/>
        <v/>
      </c>
      <c r="J4948" s="91" t="str">
        <f t="shared" si="390"/>
        <v/>
      </c>
      <c r="K4948" s="92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2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58"/>
      <c r="U4948" s="217" t="str">
        <f t="shared" si="391"/>
        <v/>
      </c>
      <c r="V4948" s="215" t="s">
        <v>47</v>
      </c>
      <c r="W4948" s="102" t="s">
        <v>136</v>
      </c>
      <c r="X4948" s="102" t="s">
        <v>137</v>
      </c>
      <c r="Y4948" s="103" t="s">
        <v>138</v>
      </c>
      <c r="Z4948" s="103" t="s">
        <v>139</v>
      </c>
      <c r="AA4948" s="103" t="s">
        <v>47</v>
      </c>
      <c r="AB4948" s="103" t="s">
        <v>140</v>
      </c>
      <c r="AC4948" s="104" t="s">
        <v>141</v>
      </c>
    </row>
    <row r="4949" spans="1:29" ht="25.5" customHeight="1" x14ac:dyDescent="0.35">
      <c r="A4949" s="188"/>
      <c r="B4949" s="190"/>
      <c r="C4949" s="99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0"/>
      <c r="E4949" s="78" t="str">
        <f>IF(C4949="","",IFERROR(VLOOKUP(C4949,parametros!$A$11:$E$15,5,0),""))</f>
        <v/>
      </c>
      <c r="F4949" s="79" t="str">
        <f t="shared" si="387"/>
        <v/>
      </c>
      <c r="G4949" s="101"/>
      <c r="H4949" s="91">
        <f t="shared" si="388"/>
        <v>0</v>
      </c>
      <c r="I4949" s="91" t="str">
        <f t="shared" si="389"/>
        <v/>
      </c>
      <c r="J4949" s="91" t="str">
        <f t="shared" si="390"/>
        <v/>
      </c>
      <c r="K4949" s="92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2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58"/>
      <c r="U4949" s="217" t="str">
        <f t="shared" si="391"/>
        <v/>
      </c>
      <c r="V4949" s="215" t="s">
        <v>47</v>
      </c>
      <c r="W4949" s="102" t="s">
        <v>136</v>
      </c>
      <c r="X4949" s="102" t="s">
        <v>137</v>
      </c>
      <c r="Y4949" s="103" t="s">
        <v>138</v>
      </c>
      <c r="Z4949" s="103" t="s">
        <v>139</v>
      </c>
      <c r="AA4949" s="103" t="s">
        <v>47</v>
      </c>
      <c r="AB4949" s="103" t="s">
        <v>140</v>
      </c>
      <c r="AC4949" s="104" t="s">
        <v>141</v>
      </c>
    </row>
    <row r="4950" spans="1:29" ht="25.5" customHeight="1" x14ac:dyDescent="0.35">
      <c r="A4950" s="188"/>
      <c r="B4950" s="190"/>
      <c r="C4950" s="99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0"/>
      <c r="E4950" s="78" t="str">
        <f>IF(C4950="","",IFERROR(VLOOKUP(C4950,parametros!$A$11:$E$15,5,0),""))</f>
        <v/>
      </c>
      <c r="F4950" s="79" t="str">
        <f t="shared" si="387"/>
        <v/>
      </c>
      <c r="G4950" s="101"/>
      <c r="H4950" s="91">
        <f t="shared" si="388"/>
        <v>0</v>
      </c>
      <c r="I4950" s="91" t="str">
        <f t="shared" si="389"/>
        <v/>
      </c>
      <c r="J4950" s="91" t="str">
        <f t="shared" si="390"/>
        <v/>
      </c>
      <c r="K4950" s="92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2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58"/>
      <c r="U4950" s="217" t="str">
        <f t="shared" si="391"/>
        <v/>
      </c>
      <c r="V4950" s="215" t="s">
        <v>47</v>
      </c>
      <c r="W4950" s="102" t="s">
        <v>136</v>
      </c>
      <c r="X4950" s="102" t="s">
        <v>137</v>
      </c>
      <c r="Y4950" s="103" t="s">
        <v>138</v>
      </c>
      <c r="Z4950" s="103" t="s">
        <v>139</v>
      </c>
      <c r="AA4950" s="103" t="s">
        <v>47</v>
      </c>
      <c r="AB4950" s="103" t="s">
        <v>140</v>
      </c>
      <c r="AC4950" s="104" t="s">
        <v>141</v>
      </c>
    </row>
    <row r="4951" spans="1:29" ht="25.5" customHeight="1" x14ac:dyDescent="0.35">
      <c r="A4951" s="188"/>
      <c r="B4951" s="190"/>
      <c r="C4951" s="99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0"/>
      <c r="E4951" s="78" t="str">
        <f>IF(C4951="","",IFERROR(VLOOKUP(C4951,parametros!$A$11:$E$15,5,0),""))</f>
        <v/>
      </c>
      <c r="F4951" s="79" t="str">
        <f t="shared" si="387"/>
        <v/>
      </c>
      <c r="G4951" s="101"/>
      <c r="H4951" s="91">
        <f t="shared" si="388"/>
        <v>0</v>
      </c>
      <c r="I4951" s="91" t="str">
        <f t="shared" si="389"/>
        <v/>
      </c>
      <c r="J4951" s="91" t="str">
        <f t="shared" si="390"/>
        <v/>
      </c>
      <c r="K4951" s="92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2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58"/>
      <c r="U4951" s="217" t="str">
        <f t="shared" si="391"/>
        <v/>
      </c>
      <c r="V4951" s="215" t="s">
        <v>47</v>
      </c>
      <c r="W4951" s="102" t="s">
        <v>136</v>
      </c>
      <c r="X4951" s="102" t="s">
        <v>137</v>
      </c>
      <c r="Y4951" s="103" t="s">
        <v>138</v>
      </c>
      <c r="Z4951" s="103" t="s">
        <v>139</v>
      </c>
      <c r="AA4951" s="103" t="s">
        <v>47</v>
      </c>
      <c r="AB4951" s="103" t="s">
        <v>140</v>
      </c>
      <c r="AC4951" s="104" t="s">
        <v>141</v>
      </c>
    </row>
    <row r="4952" spans="1:29" ht="25.5" customHeight="1" x14ac:dyDescent="0.35">
      <c r="A4952" s="188"/>
      <c r="B4952" s="190"/>
      <c r="C4952" s="99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0"/>
      <c r="E4952" s="78" t="str">
        <f>IF(C4952="","",IFERROR(VLOOKUP(C4952,parametros!$A$11:$E$15,5,0),""))</f>
        <v/>
      </c>
      <c r="F4952" s="79" t="str">
        <f t="shared" si="387"/>
        <v/>
      </c>
      <c r="G4952" s="101"/>
      <c r="H4952" s="91">
        <f t="shared" si="388"/>
        <v>0</v>
      </c>
      <c r="I4952" s="91" t="str">
        <f t="shared" si="389"/>
        <v/>
      </c>
      <c r="J4952" s="91" t="str">
        <f t="shared" si="390"/>
        <v/>
      </c>
      <c r="K4952" s="92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2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58"/>
      <c r="U4952" s="217" t="str">
        <f t="shared" si="391"/>
        <v/>
      </c>
      <c r="V4952" s="215" t="s">
        <v>47</v>
      </c>
      <c r="W4952" s="102" t="s">
        <v>136</v>
      </c>
      <c r="X4952" s="102" t="s">
        <v>137</v>
      </c>
      <c r="Y4952" s="103" t="s">
        <v>138</v>
      </c>
      <c r="Z4952" s="103" t="s">
        <v>139</v>
      </c>
      <c r="AA4952" s="103" t="s">
        <v>47</v>
      </c>
      <c r="AB4952" s="103" t="s">
        <v>140</v>
      </c>
      <c r="AC4952" s="104" t="s">
        <v>141</v>
      </c>
    </row>
    <row r="4953" spans="1:29" ht="25.5" customHeight="1" x14ac:dyDescent="0.35">
      <c r="A4953" s="188"/>
      <c r="B4953" s="190"/>
      <c r="C4953" s="99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0"/>
      <c r="E4953" s="78" t="str">
        <f>IF(C4953="","",IFERROR(VLOOKUP(C4953,parametros!$A$11:$E$15,5,0),""))</f>
        <v/>
      </c>
      <c r="F4953" s="79" t="str">
        <f t="shared" si="387"/>
        <v/>
      </c>
      <c r="G4953" s="101"/>
      <c r="H4953" s="91">
        <f t="shared" si="388"/>
        <v>0</v>
      </c>
      <c r="I4953" s="91" t="str">
        <f t="shared" si="389"/>
        <v/>
      </c>
      <c r="J4953" s="91" t="str">
        <f t="shared" si="390"/>
        <v/>
      </c>
      <c r="K4953" s="92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2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58"/>
      <c r="U4953" s="217" t="str">
        <f t="shared" si="391"/>
        <v/>
      </c>
      <c r="V4953" s="215" t="s">
        <v>47</v>
      </c>
      <c r="W4953" s="102" t="s">
        <v>136</v>
      </c>
      <c r="X4953" s="102" t="s">
        <v>137</v>
      </c>
      <c r="Y4953" s="103" t="s">
        <v>138</v>
      </c>
      <c r="Z4953" s="103" t="s">
        <v>139</v>
      </c>
      <c r="AA4953" s="103" t="s">
        <v>47</v>
      </c>
      <c r="AB4953" s="103" t="s">
        <v>140</v>
      </c>
      <c r="AC4953" s="104" t="s">
        <v>141</v>
      </c>
    </row>
    <row r="4954" spans="1:29" ht="25.5" customHeight="1" x14ac:dyDescent="0.35">
      <c r="A4954" s="188"/>
      <c r="B4954" s="190"/>
      <c r="C4954" s="99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0"/>
      <c r="E4954" s="78" t="str">
        <f>IF(C4954="","",IFERROR(VLOOKUP(C4954,parametros!$A$11:$E$15,5,0),""))</f>
        <v/>
      </c>
      <c r="F4954" s="79" t="str">
        <f t="shared" si="387"/>
        <v/>
      </c>
      <c r="G4954" s="101"/>
      <c r="H4954" s="91">
        <f t="shared" si="388"/>
        <v>0</v>
      </c>
      <c r="I4954" s="91" t="str">
        <f t="shared" si="389"/>
        <v/>
      </c>
      <c r="J4954" s="91" t="str">
        <f t="shared" si="390"/>
        <v/>
      </c>
      <c r="K4954" s="92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2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58"/>
      <c r="U4954" s="217" t="str">
        <f t="shared" si="391"/>
        <v/>
      </c>
      <c r="V4954" s="215" t="s">
        <v>47</v>
      </c>
      <c r="W4954" s="102" t="s">
        <v>136</v>
      </c>
      <c r="X4954" s="102" t="s">
        <v>137</v>
      </c>
      <c r="Y4954" s="103" t="s">
        <v>138</v>
      </c>
      <c r="Z4954" s="103" t="s">
        <v>139</v>
      </c>
      <c r="AA4954" s="103" t="s">
        <v>47</v>
      </c>
      <c r="AB4954" s="103" t="s">
        <v>140</v>
      </c>
      <c r="AC4954" s="104" t="s">
        <v>141</v>
      </c>
    </row>
    <row r="4955" spans="1:29" ht="25.5" customHeight="1" x14ac:dyDescent="0.35">
      <c r="A4955" s="188"/>
      <c r="B4955" s="190"/>
      <c r="C4955" s="99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0"/>
      <c r="E4955" s="78" t="str">
        <f>IF(C4955="","",IFERROR(VLOOKUP(C4955,parametros!$A$11:$E$15,5,0),""))</f>
        <v/>
      </c>
      <c r="F4955" s="79" t="str">
        <f t="shared" si="387"/>
        <v/>
      </c>
      <c r="G4955" s="101"/>
      <c r="H4955" s="91">
        <f t="shared" si="388"/>
        <v>0</v>
      </c>
      <c r="I4955" s="91" t="str">
        <f t="shared" si="389"/>
        <v/>
      </c>
      <c r="J4955" s="91" t="str">
        <f t="shared" si="390"/>
        <v/>
      </c>
      <c r="K4955" s="92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2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58"/>
      <c r="U4955" s="217" t="str">
        <f t="shared" si="391"/>
        <v/>
      </c>
      <c r="V4955" s="215" t="s">
        <v>47</v>
      </c>
      <c r="W4955" s="102" t="s">
        <v>136</v>
      </c>
      <c r="X4955" s="102" t="s">
        <v>137</v>
      </c>
      <c r="Y4955" s="103" t="s">
        <v>138</v>
      </c>
      <c r="Z4955" s="103" t="s">
        <v>139</v>
      </c>
      <c r="AA4955" s="103" t="s">
        <v>47</v>
      </c>
      <c r="AB4955" s="103" t="s">
        <v>140</v>
      </c>
      <c r="AC4955" s="104" t="s">
        <v>141</v>
      </c>
    </row>
    <row r="4956" spans="1:29" ht="25.5" customHeight="1" x14ac:dyDescent="0.35">
      <c r="A4956" s="188"/>
      <c r="B4956" s="190"/>
      <c r="C4956" s="99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0"/>
      <c r="E4956" s="78" t="str">
        <f>IF(C4956="","",IFERROR(VLOOKUP(C4956,parametros!$A$11:$E$15,5,0),""))</f>
        <v/>
      </c>
      <c r="F4956" s="79" t="str">
        <f t="shared" si="387"/>
        <v/>
      </c>
      <c r="G4956" s="101"/>
      <c r="H4956" s="91">
        <f t="shared" si="388"/>
        <v>0</v>
      </c>
      <c r="I4956" s="91" t="str">
        <f t="shared" si="389"/>
        <v/>
      </c>
      <c r="J4956" s="91" t="str">
        <f t="shared" si="390"/>
        <v/>
      </c>
      <c r="K4956" s="92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2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58"/>
      <c r="U4956" s="217" t="str">
        <f t="shared" si="391"/>
        <v/>
      </c>
      <c r="V4956" s="215" t="s">
        <v>47</v>
      </c>
      <c r="W4956" s="102" t="s">
        <v>136</v>
      </c>
      <c r="X4956" s="102" t="s">
        <v>137</v>
      </c>
      <c r="Y4956" s="103" t="s">
        <v>138</v>
      </c>
      <c r="Z4956" s="103" t="s">
        <v>139</v>
      </c>
      <c r="AA4956" s="103" t="s">
        <v>47</v>
      </c>
      <c r="AB4956" s="103" t="s">
        <v>140</v>
      </c>
      <c r="AC4956" s="104" t="s">
        <v>141</v>
      </c>
    </row>
    <row r="4957" spans="1:29" ht="25.5" customHeight="1" x14ac:dyDescent="0.35">
      <c r="A4957" s="188"/>
      <c r="B4957" s="190"/>
      <c r="C4957" s="99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0"/>
      <c r="E4957" s="78" t="str">
        <f>IF(C4957="","",IFERROR(VLOOKUP(C4957,parametros!$A$11:$E$15,5,0),""))</f>
        <v/>
      </c>
      <c r="F4957" s="79" t="str">
        <f t="shared" si="387"/>
        <v/>
      </c>
      <c r="G4957" s="101"/>
      <c r="H4957" s="91">
        <f t="shared" si="388"/>
        <v>0</v>
      </c>
      <c r="I4957" s="91" t="str">
        <f t="shared" si="389"/>
        <v/>
      </c>
      <c r="J4957" s="91" t="str">
        <f t="shared" si="390"/>
        <v/>
      </c>
      <c r="K4957" s="92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2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58"/>
      <c r="U4957" s="217" t="str">
        <f t="shared" si="391"/>
        <v/>
      </c>
      <c r="V4957" s="215" t="s">
        <v>47</v>
      </c>
      <c r="W4957" s="102" t="s">
        <v>136</v>
      </c>
      <c r="X4957" s="102" t="s">
        <v>137</v>
      </c>
      <c r="Y4957" s="103" t="s">
        <v>138</v>
      </c>
      <c r="Z4957" s="103" t="s">
        <v>139</v>
      </c>
      <c r="AA4957" s="103" t="s">
        <v>47</v>
      </c>
      <c r="AB4957" s="103" t="s">
        <v>140</v>
      </c>
      <c r="AC4957" s="104" t="s">
        <v>141</v>
      </c>
    </row>
    <row r="4958" spans="1:29" ht="25.5" customHeight="1" x14ac:dyDescent="0.35">
      <c r="A4958" s="188"/>
      <c r="B4958" s="190"/>
      <c r="C4958" s="99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0"/>
      <c r="E4958" s="78" t="str">
        <f>IF(C4958="","",IFERROR(VLOOKUP(C4958,parametros!$A$11:$E$15,5,0),""))</f>
        <v/>
      </c>
      <c r="F4958" s="79" t="str">
        <f t="shared" si="387"/>
        <v/>
      </c>
      <c r="G4958" s="101"/>
      <c r="H4958" s="91">
        <f t="shared" si="388"/>
        <v>0</v>
      </c>
      <c r="I4958" s="91" t="str">
        <f t="shared" si="389"/>
        <v/>
      </c>
      <c r="J4958" s="91" t="str">
        <f t="shared" si="390"/>
        <v/>
      </c>
      <c r="K4958" s="92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2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58"/>
      <c r="U4958" s="217" t="str">
        <f t="shared" si="391"/>
        <v/>
      </c>
      <c r="V4958" s="215" t="s">
        <v>47</v>
      </c>
      <c r="W4958" s="102" t="s">
        <v>136</v>
      </c>
      <c r="X4958" s="102" t="s">
        <v>137</v>
      </c>
      <c r="Y4958" s="103" t="s">
        <v>138</v>
      </c>
      <c r="Z4958" s="103" t="s">
        <v>139</v>
      </c>
      <c r="AA4958" s="103" t="s">
        <v>47</v>
      </c>
      <c r="AB4958" s="103" t="s">
        <v>140</v>
      </c>
      <c r="AC4958" s="104" t="s">
        <v>141</v>
      </c>
    </row>
    <row r="4959" spans="1:29" ht="25.5" customHeight="1" x14ac:dyDescent="0.35">
      <c r="A4959" s="188"/>
      <c r="B4959" s="190"/>
      <c r="C4959" s="99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0"/>
      <c r="E4959" s="78" t="str">
        <f>IF(C4959="","",IFERROR(VLOOKUP(C4959,parametros!$A$11:$E$15,5,0),""))</f>
        <v/>
      </c>
      <c r="F4959" s="79" t="str">
        <f t="shared" si="387"/>
        <v/>
      </c>
      <c r="G4959" s="101"/>
      <c r="H4959" s="91">
        <f t="shared" si="388"/>
        <v>0</v>
      </c>
      <c r="I4959" s="91" t="str">
        <f t="shared" si="389"/>
        <v/>
      </c>
      <c r="J4959" s="91" t="str">
        <f t="shared" si="390"/>
        <v/>
      </c>
      <c r="K4959" s="92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2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58"/>
      <c r="U4959" s="217" t="str">
        <f t="shared" si="391"/>
        <v/>
      </c>
      <c r="V4959" s="215" t="s">
        <v>47</v>
      </c>
      <c r="W4959" s="102" t="s">
        <v>136</v>
      </c>
      <c r="X4959" s="102" t="s">
        <v>137</v>
      </c>
      <c r="Y4959" s="103" t="s">
        <v>138</v>
      </c>
      <c r="Z4959" s="103" t="s">
        <v>139</v>
      </c>
      <c r="AA4959" s="103" t="s">
        <v>47</v>
      </c>
      <c r="AB4959" s="103" t="s">
        <v>140</v>
      </c>
      <c r="AC4959" s="104" t="s">
        <v>141</v>
      </c>
    </row>
    <row r="4960" spans="1:29" ht="25.5" customHeight="1" x14ac:dyDescent="0.35">
      <c r="A4960" s="188"/>
      <c r="B4960" s="190"/>
      <c r="C4960" s="99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0"/>
      <c r="E4960" s="78" t="str">
        <f>IF(C4960="","",IFERROR(VLOOKUP(C4960,parametros!$A$11:$E$15,5,0),""))</f>
        <v/>
      </c>
      <c r="F4960" s="79" t="str">
        <f t="shared" si="387"/>
        <v/>
      </c>
      <c r="G4960" s="101"/>
      <c r="H4960" s="91">
        <f t="shared" si="388"/>
        <v>0</v>
      </c>
      <c r="I4960" s="91" t="str">
        <f t="shared" si="389"/>
        <v/>
      </c>
      <c r="J4960" s="91" t="str">
        <f t="shared" si="390"/>
        <v/>
      </c>
      <c r="K4960" s="92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2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58"/>
      <c r="U4960" s="217" t="str">
        <f t="shared" si="391"/>
        <v/>
      </c>
      <c r="V4960" s="215" t="s">
        <v>47</v>
      </c>
      <c r="W4960" s="102" t="s">
        <v>136</v>
      </c>
      <c r="X4960" s="102" t="s">
        <v>137</v>
      </c>
      <c r="Y4960" s="103" t="s">
        <v>138</v>
      </c>
      <c r="Z4960" s="103" t="s">
        <v>139</v>
      </c>
      <c r="AA4960" s="103" t="s">
        <v>47</v>
      </c>
      <c r="AB4960" s="103" t="s">
        <v>140</v>
      </c>
      <c r="AC4960" s="104" t="s">
        <v>141</v>
      </c>
    </row>
    <row r="4961" spans="1:29" ht="25.5" customHeight="1" x14ac:dyDescent="0.35">
      <c r="A4961" s="188"/>
      <c r="B4961" s="190"/>
      <c r="C4961" s="99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0"/>
      <c r="E4961" s="78" t="str">
        <f>IF(C4961="","",IFERROR(VLOOKUP(C4961,parametros!$A$11:$E$15,5,0),""))</f>
        <v/>
      </c>
      <c r="F4961" s="79" t="str">
        <f t="shared" si="387"/>
        <v/>
      </c>
      <c r="G4961" s="101"/>
      <c r="H4961" s="91">
        <f t="shared" si="388"/>
        <v>0</v>
      </c>
      <c r="I4961" s="91" t="str">
        <f t="shared" si="389"/>
        <v/>
      </c>
      <c r="J4961" s="91" t="str">
        <f t="shared" si="390"/>
        <v/>
      </c>
      <c r="K4961" s="92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2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58"/>
      <c r="U4961" s="217" t="str">
        <f t="shared" si="391"/>
        <v/>
      </c>
      <c r="V4961" s="215" t="s">
        <v>47</v>
      </c>
      <c r="W4961" s="102" t="s">
        <v>136</v>
      </c>
      <c r="X4961" s="102" t="s">
        <v>137</v>
      </c>
      <c r="Y4961" s="103" t="s">
        <v>138</v>
      </c>
      <c r="Z4961" s="103" t="s">
        <v>139</v>
      </c>
      <c r="AA4961" s="103" t="s">
        <v>47</v>
      </c>
      <c r="AB4961" s="103" t="s">
        <v>140</v>
      </c>
      <c r="AC4961" s="104" t="s">
        <v>141</v>
      </c>
    </row>
    <row r="4962" spans="1:29" ht="25.5" customHeight="1" x14ac:dyDescent="0.35">
      <c r="A4962" s="188"/>
      <c r="B4962" s="190"/>
      <c r="C4962" s="99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0"/>
      <c r="E4962" s="78" t="str">
        <f>IF(C4962="","",IFERROR(VLOOKUP(C4962,parametros!$A$11:$E$15,5,0),""))</f>
        <v/>
      </c>
      <c r="F4962" s="79" t="str">
        <f t="shared" si="387"/>
        <v/>
      </c>
      <c r="G4962" s="101"/>
      <c r="H4962" s="91">
        <f t="shared" si="388"/>
        <v>0</v>
      </c>
      <c r="I4962" s="91" t="str">
        <f t="shared" si="389"/>
        <v/>
      </c>
      <c r="J4962" s="91" t="str">
        <f t="shared" si="390"/>
        <v/>
      </c>
      <c r="K4962" s="92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2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58"/>
      <c r="U4962" s="217" t="str">
        <f t="shared" si="391"/>
        <v/>
      </c>
      <c r="V4962" s="215" t="s">
        <v>47</v>
      </c>
      <c r="W4962" s="102" t="s">
        <v>136</v>
      </c>
      <c r="X4962" s="102" t="s">
        <v>137</v>
      </c>
      <c r="Y4962" s="103" t="s">
        <v>138</v>
      </c>
      <c r="Z4962" s="103" t="s">
        <v>139</v>
      </c>
      <c r="AA4962" s="103" t="s">
        <v>47</v>
      </c>
      <c r="AB4962" s="103" t="s">
        <v>140</v>
      </c>
      <c r="AC4962" s="104" t="s">
        <v>141</v>
      </c>
    </row>
    <row r="4963" spans="1:29" ht="25.5" customHeight="1" x14ac:dyDescent="0.35">
      <c r="A4963" s="188"/>
      <c r="B4963" s="190"/>
      <c r="C4963" s="99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0"/>
      <c r="E4963" s="78" t="str">
        <f>IF(C4963="","",IFERROR(VLOOKUP(C4963,parametros!$A$11:$E$15,5,0),""))</f>
        <v/>
      </c>
      <c r="F4963" s="79" t="str">
        <f t="shared" si="387"/>
        <v/>
      </c>
      <c r="G4963" s="101"/>
      <c r="H4963" s="91">
        <f t="shared" si="388"/>
        <v>0</v>
      </c>
      <c r="I4963" s="91" t="str">
        <f t="shared" si="389"/>
        <v/>
      </c>
      <c r="J4963" s="91" t="str">
        <f t="shared" si="390"/>
        <v/>
      </c>
      <c r="K4963" s="92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2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58"/>
      <c r="U4963" s="217" t="str">
        <f t="shared" si="391"/>
        <v/>
      </c>
      <c r="V4963" s="215" t="s">
        <v>47</v>
      </c>
      <c r="W4963" s="102" t="s">
        <v>136</v>
      </c>
      <c r="X4963" s="102" t="s">
        <v>137</v>
      </c>
      <c r="Y4963" s="103" t="s">
        <v>138</v>
      </c>
      <c r="Z4963" s="103" t="s">
        <v>139</v>
      </c>
      <c r="AA4963" s="103" t="s">
        <v>47</v>
      </c>
      <c r="AB4963" s="103" t="s">
        <v>140</v>
      </c>
      <c r="AC4963" s="104" t="s">
        <v>141</v>
      </c>
    </row>
    <row r="4964" spans="1:29" ht="25.5" customHeight="1" x14ac:dyDescent="0.35">
      <c r="A4964" s="188"/>
      <c r="B4964" s="190"/>
      <c r="C4964" s="99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0"/>
      <c r="E4964" s="78" t="str">
        <f>IF(C4964="","",IFERROR(VLOOKUP(C4964,parametros!$A$11:$E$15,5,0),""))</f>
        <v/>
      </c>
      <c r="F4964" s="79" t="str">
        <f t="shared" si="387"/>
        <v/>
      </c>
      <c r="G4964" s="101"/>
      <c r="H4964" s="91">
        <f t="shared" si="388"/>
        <v>0</v>
      </c>
      <c r="I4964" s="91" t="str">
        <f t="shared" si="389"/>
        <v/>
      </c>
      <c r="J4964" s="91" t="str">
        <f t="shared" si="390"/>
        <v/>
      </c>
      <c r="K4964" s="92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2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58"/>
      <c r="U4964" s="217" t="str">
        <f t="shared" si="391"/>
        <v/>
      </c>
      <c r="V4964" s="215" t="s">
        <v>47</v>
      </c>
      <c r="W4964" s="102" t="s">
        <v>136</v>
      </c>
      <c r="X4964" s="102" t="s">
        <v>137</v>
      </c>
      <c r="Y4964" s="103" t="s">
        <v>138</v>
      </c>
      <c r="Z4964" s="103" t="s">
        <v>139</v>
      </c>
      <c r="AA4964" s="103" t="s">
        <v>47</v>
      </c>
      <c r="AB4964" s="103" t="s">
        <v>140</v>
      </c>
      <c r="AC4964" s="104" t="s">
        <v>141</v>
      </c>
    </row>
    <row r="4965" spans="1:29" ht="25.5" customHeight="1" x14ac:dyDescent="0.35">
      <c r="A4965" s="188"/>
      <c r="B4965" s="190"/>
      <c r="C4965" s="99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0"/>
      <c r="E4965" s="78" t="str">
        <f>IF(C4965="","",IFERROR(VLOOKUP(C4965,parametros!$A$11:$E$15,5,0),""))</f>
        <v/>
      </c>
      <c r="F4965" s="79" t="str">
        <f t="shared" si="387"/>
        <v/>
      </c>
      <c r="G4965" s="101"/>
      <c r="H4965" s="91">
        <f t="shared" si="388"/>
        <v>0</v>
      </c>
      <c r="I4965" s="91" t="str">
        <f t="shared" si="389"/>
        <v/>
      </c>
      <c r="J4965" s="91" t="str">
        <f t="shared" si="390"/>
        <v/>
      </c>
      <c r="K4965" s="92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2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58"/>
      <c r="U4965" s="217" t="str">
        <f t="shared" si="391"/>
        <v/>
      </c>
      <c r="V4965" s="215" t="s">
        <v>47</v>
      </c>
      <c r="W4965" s="102" t="s">
        <v>136</v>
      </c>
      <c r="X4965" s="102" t="s">
        <v>137</v>
      </c>
      <c r="Y4965" s="103" t="s">
        <v>138</v>
      </c>
      <c r="Z4965" s="103" t="s">
        <v>139</v>
      </c>
      <c r="AA4965" s="103" t="s">
        <v>47</v>
      </c>
      <c r="AB4965" s="103" t="s">
        <v>140</v>
      </c>
      <c r="AC4965" s="104" t="s">
        <v>141</v>
      </c>
    </row>
    <row r="4966" spans="1:29" ht="25.5" customHeight="1" x14ac:dyDescent="0.35">
      <c r="A4966" s="188"/>
      <c r="B4966" s="190"/>
      <c r="C4966" s="99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0"/>
      <c r="E4966" s="78" t="str">
        <f>IF(C4966="","",IFERROR(VLOOKUP(C4966,parametros!$A$11:$E$15,5,0),""))</f>
        <v/>
      </c>
      <c r="F4966" s="79" t="str">
        <f t="shared" si="387"/>
        <v/>
      </c>
      <c r="G4966" s="101"/>
      <c r="H4966" s="91">
        <f t="shared" si="388"/>
        <v>0</v>
      </c>
      <c r="I4966" s="91" t="str">
        <f t="shared" si="389"/>
        <v/>
      </c>
      <c r="J4966" s="91" t="str">
        <f t="shared" si="390"/>
        <v/>
      </c>
      <c r="K4966" s="92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2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58"/>
      <c r="U4966" s="217" t="str">
        <f t="shared" si="391"/>
        <v/>
      </c>
      <c r="V4966" s="215" t="s">
        <v>47</v>
      </c>
      <c r="W4966" s="102" t="s">
        <v>136</v>
      </c>
      <c r="X4966" s="102" t="s">
        <v>137</v>
      </c>
      <c r="Y4966" s="103" t="s">
        <v>138</v>
      </c>
      <c r="Z4966" s="103" t="s">
        <v>139</v>
      </c>
      <c r="AA4966" s="103" t="s">
        <v>47</v>
      </c>
      <c r="AB4966" s="103" t="s">
        <v>140</v>
      </c>
      <c r="AC4966" s="104" t="s">
        <v>141</v>
      </c>
    </row>
    <row r="4967" spans="1:29" ht="25.5" customHeight="1" x14ac:dyDescent="0.35">
      <c r="A4967" s="188"/>
      <c r="B4967" s="190"/>
      <c r="C4967" s="99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0"/>
      <c r="E4967" s="78" t="str">
        <f>IF(C4967="","",IFERROR(VLOOKUP(C4967,parametros!$A$11:$E$15,5,0),""))</f>
        <v/>
      </c>
      <c r="F4967" s="79" t="str">
        <f t="shared" si="387"/>
        <v/>
      </c>
      <c r="G4967" s="101"/>
      <c r="H4967" s="91">
        <f t="shared" si="388"/>
        <v>0</v>
      </c>
      <c r="I4967" s="91" t="str">
        <f t="shared" si="389"/>
        <v/>
      </c>
      <c r="J4967" s="91" t="str">
        <f t="shared" si="390"/>
        <v/>
      </c>
      <c r="K4967" s="92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2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58"/>
      <c r="U4967" s="217" t="str">
        <f t="shared" si="391"/>
        <v/>
      </c>
      <c r="V4967" s="215" t="s">
        <v>47</v>
      </c>
      <c r="W4967" s="102" t="s">
        <v>136</v>
      </c>
      <c r="X4967" s="102" t="s">
        <v>137</v>
      </c>
      <c r="Y4967" s="103" t="s">
        <v>138</v>
      </c>
      <c r="Z4967" s="103" t="s">
        <v>139</v>
      </c>
      <c r="AA4967" s="103" t="s">
        <v>47</v>
      </c>
      <c r="AB4967" s="103" t="s">
        <v>140</v>
      </c>
      <c r="AC4967" s="104" t="s">
        <v>141</v>
      </c>
    </row>
    <row r="4968" spans="1:29" ht="25.5" customHeight="1" x14ac:dyDescent="0.35">
      <c r="A4968" s="188"/>
      <c r="B4968" s="190"/>
      <c r="C4968" s="99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0"/>
      <c r="E4968" s="78" t="str">
        <f>IF(C4968="","",IFERROR(VLOOKUP(C4968,parametros!$A$11:$E$15,5,0),""))</f>
        <v/>
      </c>
      <c r="F4968" s="79" t="str">
        <f t="shared" si="387"/>
        <v/>
      </c>
      <c r="G4968" s="101"/>
      <c r="H4968" s="91">
        <f t="shared" si="388"/>
        <v>0</v>
      </c>
      <c r="I4968" s="91" t="str">
        <f t="shared" si="389"/>
        <v/>
      </c>
      <c r="J4968" s="91" t="str">
        <f t="shared" si="390"/>
        <v/>
      </c>
      <c r="K4968" s="92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2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58"/>
      <c r="U4968" s="217" t="str">
        <f t="shared" si="391"/>
        <v/>
      </c>
      <c r="V4968" s="215" t="s">
        <v>47</v>
      </c>
      <c r="W4968" s="102" t="s">
        <v>136</v>
      </c>
      <c r="X4968" s="102" t="s">
        <v>137</v>
      </c>
      <c r="Y4968" s="103" t="s">
        <v>138</v>
      </c>
      <c r="Z4968" s="103" t="s">
        <v>139</v>
      </c>
      <c r="AA4968" s="103" t="s">
        <v>47</v>
      </c>
      <c r="AB4968" s="103" t="s">
        <v>140</v>
      </c>
      <c r="AC4968" s="104" t="s">
        <v>141</v>
      </c>
    </row>
    <row r="4969" spans="1:29" ht="25.5" customHeight="1" x14ac:dyDescent="0.35">
      <c r="A4969" s="188"/>
      <c r="B4969" s="190"/>
      <c r="C4969" s="99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0"/>
      <c r="E4969" s="78" t="str">
        <f>IF(C4969="","",IFERROR(VLOOKUP(C4969,parametros!$A$11:$E$15,5,0),""))</f>
        <v/>
      </c>
      <c r="F4969" s="79" t="str">
        <f t="shared" si="387"/>
        <v/>
      </c>
      <c r="G4969" s="101"/>
      <c r="H4969" s="91">
        <f t="shared" si="388"/>
        <v>0</v>
      </c>
      <c r="I4969" s="91" t="str">
        <f t="shared" si="389"/>
        <v/>
      </c>
      <c r="J4969" s="91" t="str">
        <f t="shared" si="390"/>
        <v/>
      </c>
      <c r="K4969" s="92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2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58"/>
      <c r="U4969" s="217" t="str">
        <f t="shared" si="391"/>
        <v/>
      </c>
      <c r="V4969" s="215" t="s">
        <v>47</v>
      </c>
      <c r="W4969" s="102" t="s">
        <v>136</v>
      </c>
      <c r="X4969" s="102" t="s">
        <v>137</v>
      </c>
      <c r="Y4969" s="103" t="s">
        <v>138</v>
      </c>
      <c r="Z4969" s="103" t="s">
        <v>139</v>
      </c>
      <c r="AA4969" s="103" t="s">
        <v>47</v>
      </c>
      <c r="AB4969" s="103" t="s">
        <v>140</v>
      </c>
      <c r="AC4969" s="104" t="s">
        <v>141</v>
      </c>
    </row>
    <row r="4970" spans="1:29" ht="25.5" customHeight="1" x14ac:dyDescent="0.35">
      <c r="A4970" s="188"/>
      <c r="B4970" s="190"/>
      <c r="C4970" s="99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0"/>
      <c r="E4970" s="78" t="str">
        <f>IF(C4970="","",IFERROR(VLOOKUP(C4970,parametros!$A$11:$E$15,5,0),""))</f>
        <v/>
      </c>
      <c r="F4970" s="79" t="str">
        <f t="shared" si="387"/>
        <v/>
      </c>
      <c r="G4970" s="101"/>
      <c r="H4970" s="91">
        <f t="shared" si="388"/>
        <v>0</v>
      </c>
      <c r="I4970" s="91" t="str">
        <f t="shared" si="389"/>
        <v/>
      </c>
      <c r="J4970" s="91" t="str">
        <f t="shared" si="390"/>
        <v/>
      </c>
      <c r="K4970" s="92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2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58"/>
      <c r="U4970" s="217" t="str">
        <f t="shared" si="391"/>
        <v/>
      </c>
      <c r="V4970" s="215" t="s">
        <v>47</v>
      </c>
      <c r="W4970" s="102" t="s">
        <v>136</v>
      </c>
      <c r="X4970" s="102" t="s">
        <v>137</v>
      </c>
      <c r="Y4970" s="103" t="s">
        <v>138</v>
      </c>
      <c r="Z4970" s="103" t="s">
        <v>139</v>
      </c>
      <c r="AA4970" s="103" t="s">
        <v>47</v>
      </c>
      <c r="AB4970" s="103" t="s">
        <v>140</v>
      </c>
      <c r="AC4970" s="104" t="s">
        <v>141</v>
      </c>
    </row>
    <row r="4971" spans="1:29" ht="25.5" customHeight="1" x14ac:dyDescent="0.35">
      <c r="A4971" s="188"/>
      <c r="B4971" s="190"/>
      <c r="C4971" s="99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0"/>
      <c r="E4971" s="78" t="str">
        <f>IF(C4971="","",IFERROR(VLOOKUP(C4971,parametros!$A$11:$E$15,5,0),""))</f>
        <v/>
      </c>
      <c r="F4971" s="79" t="str">
        <f t="shared" si="387"/>
        <v/>
      </c>
      <c r="G4971" s="101"/>
      <c r="H4971" s="91">
        <f t="shared" si="388"/>
        <v>0</v>
      </c>
      <c r="I4971" s="91" t="str">
        <f t="shared" si="389"/>
        <v/>
      </c>
      <c r="J4971" s="91" t="str">
        <f t="shared" si="390"/>
        <v/>
      </c>
      <c r="K4971" s="92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2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58"/>
      <c r="U4971" s="217" t="str">
        <f t="shared" si="391"/>
        <v/>
      </c>
      <c r="V4971" s="215" t="s">
        <v>47</v>
      </c>
      <c r="W4971" s="102" t="s">
        <v>136</v>
      </c>
      <c r="X4971" s="102" t="s">
        <v>137</v>
      </c>
      <c r="Y4971" s="103" t="s">
        <v>138</v>
      </c>
      <c r="Z4971" s="103" t="s">
        <v>139</v>
      </c>
      <c r="AA4971" s="103" t="s">
        <v>47</v>
      </c>
      <c r="AB4971" s="103" t="s">
        <v>140</v>
      </c>
      <c r="AC4971" s="104" t="s">
        <v>141</v>
      </c>
    </row>
    <row r="4972" spans="1:29" ht="25.5" customHeight="1" x14ac:dyDescent="0.35">
      <c r="A4972" s="188"/>
      <c r="B4972" s="190"/>
      <c r="C4972" s="99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0"/>
      <c r="E4972" s="78" t="str">
        <f>IF(C4972="","",IFERROR(VLOOKUP(C4972,parametros!$A$11:$E$15,5,0),""))</f>
        <v/>
      </c>
      <c r="F4972" s="79" t="str">
        <f t="shared" si="387"/>
        <v/>
      </c>
      <c r="G4972" s="101"/>
      <c r="H4972" s="91">
        <f t="shared" si="388"/>
        <v>0</v>
      </c>
      <c r="I4972" s="91" t="str">
        <f t="shared" si="389"/>
        <v/>
      </c>
      <c r="J4972" s="91" t="str">
        <f t="shared" si="390"/>
        <v/>
      </c>
      <c r="K4972" s="92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2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58"/>
      <c r="U4972" s="217" t="str">
        <f t="shared" si="391"/>
        <v/>
      </c>
      <c r="V4972" s="215" t="s">
        <v>47</v>
      </c>
      <c r="W4972" s="102" t="s">
        <v>136</v>
      </c>
      <c r="X4972" s="102" t="s">
        <v>137</v>
      </c>
      <c r="Y4972" s="103" t="s">
        <v>138</v>
      </c>
      <c r="Z4972" s="103" t="s">
        <v>139</v>
      </c>
      <c r="AA4972" s="103" t="s">
        <v>47</v>
      </c>
      <c r="AB4972" s="103" t="s">
        <v>140</v>
      </c>
      <c r="AC4972" s="104" t="s">
        <v>141</v>
      </c>
    </row>
    <row r="4973" spans="1:29" ht="25.5" customHeight="1" x14ac:dyDescent="0.35">
      <c r="A4973" s="188"/>
      <c r="B4973" s="190"/>
      <c r="C4973" s="99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0"/>
      <c r="E4973" s="78" t="str">
        <f>IF(C4973="","",IFERROR(VLOOKUP(C4973,parametros!$A$11:$E$15,5,0),""))</f>
        <v/>
      </c>
      <c r="F4973" s="79" t="str">
        <f t="shared" si="387"/>
        <v/>
      </c>
      <c r="G4973" s="101"/>
      <c r="H4973" s="91">
        <f t="shared" si="388"/>
        <v>0</v>
      </c>
      <c r="I4973" s="91" t="str">
        <f t="shared" si="389"/>
        <v/>
      </c>
      <c r="J4973" s="91" t="str">
        <f t="shared" si="390"/>
        <v/>
      </c>
      <c r="K4973" s="92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2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58"/>
      <c r="U4973" s="217" t="str">
        <f t="shared" si="391"/>
        <v/>
      </c>
      <c r="V4973" s="215" t="s">
        <v>47</v>
      </c>
      <c r="W4973" s="102" t="s">
        <v>136</v>
      </c>
      <c r="X4973" s="102" t="s">
        <v>137</v>
      </c>
      <c r="Y4973" s="103" t="s">
        <v>138</v>
      </c>
      <c r="Z4973" s="103" t="s">
        <v>139</v>
      </c>
      <c r="AA4973" s="103" t="s">
        <v>47</v>
      </c>
      <c r="AB4973" s="103" t="s">
        <v>140</v>
      </c>
      <c r="AC4973" s="104" t="s">
        <v>141</v>
      </c>
    </row>
    <row r="4974" spans="1:29" ht="25.5" customHeight="1" x14ac:dyDescent="0.35">
      <c r="A4974" s="188"/>
      <c r="B4974" s="190"/>
      <c r="C4974" s="99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0"/>
      <c r="E4974" s="78" t="str">
        <f>IF(C4974="","",IFERROR(VLOOKUP(C4974,parametros!$A$11:$E$15,5,0),""))</f>
        <v/>
      </c>
      <c r="F4974" s="79" t="str">
        <f t="shared" si="387"/>
        <v/>
      </c>
      <c r="G4974" s="101"/>
      <c r="H4974" s="91">
        <f t="shared" si="388"/>
        <v>0</v>
      </c>
      <c r="I4974" s="91" t="str">
        <f t="shared" si="389"/>
        <v/>
      </c>
      <c r="J4974" s="91" t="str">
        <f t="shared" si="390"/>
        <v/>
      </c>
      <c r="K4974" s="92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2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58"/>
      <c r="U4974" s="217" t="str">
        <f t="shared" si="391"/>
        <v/>
      </c>
      <c r="V4974" s="215" t="s">
        <v>47</v>
      </c>
      <c r="W4974" s="102" t="s">
        <v>136</v>
      </c>
      <c r="X4974" s="102" t="s">
        <v>137</v>
      </c>
      <c r="Y4974" s="103" t="s">
        <v>138</v>
      </c>
      <c r="Z4974" s="103" t="s">
        <v>139</v>
      </c>
      <c r="AA4974" s="103" t="s">
        <v>47</v>
      </c>
      <c r="AB4974" s="103" t="s">
        <v>140</v>
      </c>
      <c r="AC4974" s="104" t="s">
        <v>141</v>
      </c>
    </row>
    <row r="4975" spans="1:29" ht="25.5" customHeight="1" x14ac:dyDescent="0.35">
      <c r="A4975" s="188"/>
      <c r="B4975" s="190"/>
      <c r="C4975" s="99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0"/>
      <c r="E4975" s="78" t="str">
        <f>IF(C4975="","",IFERROR(VLOOKUP(C4975,parametros!$A$11:$E$15,5,0),""))</f>
        <v/>
      </c>
      <c r="F4975" s="79" t="str">
        <f t="shared" si="387"/>
        <v/>
      </c>
      <c r="G4975" s="101"/>
      <c r="H4975" s="91">
        <f t="shared" si="388"/>
        <v>0</v>
      </c>
      <c r="I4975" s="91" t="str">
        <f t="shared" si="389"/>
        <v/>
      </c>
      <c r="J4975" s="91" t="str">
        <f t="shared" si="390"/>
        <v/>
      </c>
      <c r="K4975" s="92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2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58"/>
      <c r="U4975" s="217" t="str">
        <f t="shared" si="391"/>
        <v/>
      </c>
      <c r="V4975" s="215" t="s">
        <v>47</v>
      </c>
      <c r="W4975" s="102" t="s">
        <v>136</v>
      </c>
      <c r="X4975" s="102" t="s">
        <v>137</v>
      </c>
      <c r="Y4975" s="103" t="s">
        <v>138</v>
      </c>
      <c r="Z4975" s="103" t="s">
        <v>139</v>
      </c>
      <c r="AA4975" s="103" t="s">
        <v>47</v>
      </c>
      <c r="AB4975" s="103" t="s">
        <v>140</v>
      </c>
      <c r="AC4975" s="104" t="s">
        <v>141</v>
      </c>
    </row>
    <row r="4976" spans="1:29" ht="25.5" customHeight="1" x14ac:dyDescent="0.35">
      <c r="A4976" s="188"/>
      <c r="B4976" s="190"/>
      <c r="C4976" s="99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0"/>
      <c r="E4976" s="78" t="str">
        <f>IF(C4976="","",IFERROR(VLOOKUP(C4976,parametros!$A$11:$E$15,5,0),""))</f>
        <v/>
      </c>
      <c r="F4976" s="79" t="str">
        <f t="shared" si="387"/>
        <v/>
      </c>
      <c r="G4976" s="101"/>
      <c r="H4976" s="91">
        <f t="shared" si="388"/>
        <v>0</v>
      </c>
      <c r="I4976" s="91" t="str">
        <f t="shared" si="389"/>
        <v/>
      </c>
      <c r="J4976" s="91" t="str">
        <f t="shared" si="390"/>
        <v/>
      </c>
      <c r="K4976" s="92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2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58"/>
      <c r="U4976" s="217" t="str">
        <f t="shared" si="391"/>
        <v/>
      </c>
      <c r="V4976" s="215" t="s">
        <v>47</v>
      </c>
      <c r="W4976" s="102" t="s">
        <v>136</v>
      </c>
      <c r="X4976" s="102" t="s">
        <v>137</v>
      </c>
      <c r="Y4976" s="103" t="s">
        <v>138</v>
      </c>
      <c r="Z4976" s="103" t="s">
        <v>139</v>
      </c>
      <c r="AA4976" s="103" t="s">
        <v>47</v>
      </c>
      <c r="AB4976" s="103" t="s">
        <v>140</v>
      </c>
      <c r="AC4976" s="104" t="s">
        <v>141</v>
      </c>
    </row>
    <row r="4977" spans="1:29" ht="25.5" customHeight="1" x14ac:dyDescent="0.35">
      <c r="A4977" s="188"/>
      <c r="B4977" s="190"/>
      <c r="C4977" s="99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0"/>
      <c r="E4977" s="78" t="str">
        <f>IF(C4977="","",IFERROR(VLOOKUP(C4977,parametros!$A$11:$E$15,5,0),""))</f>
        <v/>
      </c>
      <c r="F4977" s="79" t="str">
        <f t="shared" si="387"/>
        <v/>
      </c>
      <c r="G4977" s="101"/>
      <c r="H4977" s="91">
        <f t="shared" si="388"/>
        <v>0</v>
      </c>
      <c r="I4977" s="91" t="str">
        <f t="shared" si="389"/>
        <v/>
      </c>
      <c r="J4977" s="91" t="str">
        <f t="shared" si="390"/>
        <v/>
      </c>
      <c r="K4977" s="92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2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58"/>
      <c r="U4977" s="217" t="str">
        <f t="shared" si="391"/>
        <v/>
      </c>
      <c r="V4977" s="215" t="s">
        <v>47</v>
      </c>
      <c r="W4977" s="102" t="s">
        <v>136</v>
      </c>
      <c r="X4977" s="102" t="s">
        <v>137</v>
      </c>
      <c r="Y4977" s="103" t="s">
        <v>138</v>
      </c>
      <c r="Z4977" s="103" t="s">
        <v>139</v>
      </c>
      <c r="AA4977" s="103" t="s">
        <v>47</v>
      </c>
      <c r="AB4977" s="103" t="s">
        <v>140</v>
      </c>
      <c r="AC4977" s="104" t="s">
        <v>141</v>
      </c>
    </row>
    <row r="4978" spans="1:29" ht="25.5" customHeight="1" x14ac:dyDescent="0.35">
      <c r="A4978" s="188"/>
      <c r="B4978" s="190"/>
      <c r="C4978" s="99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0"/>
      <c r="E4978" s="78" t="str">
        <f>IF(C4978="","",IFERROR(VLOOKUP(C4978,parametros!$A$11:$E$15,5,0),""))</f>
        <v/>
      </c>
      <c r="F4978" s="79" t="str">
        <f t="shared" si="387"/>
        <v/>
      </c>
      <c r="G4978" s="101"/>
      <c r="H4978" s="91">
        <f t="shared" si="388"/>
        <v>0</v>
      </c>
      <c r="I4978" s="91" t="str">
        <f t="shared" si="389"/>
        <v/>
      </c>
      <c r="J4978" s="91" t="str">
        <f t="shared" si="390"/>
        <v/>
      </c>
      <c r="K4978" s="92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2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58"/>
      <c r="U4978" s="217" t="str">
        <f t="shared" si="391"/>
        <v/>
      </c>
      <c r="V4978" s="215" t="s">
        <v>47</v>
      </c>
      <c r="W4978" s="102" t="s">
        <v>136</v>
      </c>
      <c r="X4978" s="102" t="s">
        <v>137</v>
      </c>
      <c r="Y4978" s="103" t="s">
        <v>138</v>
      </c>
      <c r="Z4978" s="103" t="s">
        <v>139</v>
      </c>
      <c r="AA4978" s="103" t="s">
        <v>47</v>
      </c>
      <c r="AB4978" s="103" t="s">
        <v>140</v>
      </c>
      <c r="AC4978" s="104" t="s">
        <v>141</v>
      </c>
    </row>
    <row r="4979" spans="1:29" ht="25.5" customHeight="1" x14ac:dyDescent="0.35">
      <c r="A4979" s="188"/>
      <c r="B4979" s="190"/>
      <c r="C4979" s="99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0"/>
      <c r="E4979" s="78" t="str">
        <f>IF(C4979="","",IFERROR(VLOOKUP(C4979,parametros!$A$11:$E$15,5,0),""))</f>
        <v/>
      </c>
      <c r="F4979" s="79" t="str">
        <f t="shared" si="387"/>
        <v/>
      </c>
      <c r="G4979" s="101"/>
      <c r="H4979" s="91">
        <f t="shared" si="388"/>
        <v>0</v>
      </c>
      <c r="I4979" s="91" t="str">
        <f t="shared" si="389"/>
        <v/>
      </c>
      <c r="J4979" s="91" t="str">
        <f t="shared" si="390"/>
        <v/>
      </c>
      <c r="K4979" s="92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2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58"/>
      <c r="U4979" s="217" t="str">
        <f t="shared" si="391"/>
        <v/>
      </c>
      <c r="V4979" s="215" t="s">
        <v>47</v>
      </c>
      <c r="W4979" s="102" t="s">
        <v>136</v>
      </c>
      <c r="X4979" s="102" t="s">
        <v>137</v>
      </c>
      <c r="Y4979" s="103" t="s">
        <v>138</v>
      </c>
      <c r="Z4979" s="103" t="s">
        <v>139</v>
      </c>
      <c r="AA4979" s="103" t="s">
        <v>47</v>
      </c>
      <c r="AB4979" s="103" t="s">
        <v>140</v>
      </c>
      <c r="AC4979" s="104" t="s">
        <v>141</v>
      </c>
    </row>
    <row r="4980" spans="1:29" ht="25.5" customHeight="1" x14ac:dyDescent="0.35">
      <c r="A4980" s="188"/>
      <c r="B4980" s="190"/>
      <c r="C4980" s="99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0"/>
      <c r="E4980" s="78" t="str">
        <f>IF(C4980="","",IFERROR(VLOOKUP(C4980,parametros!$A$11:$E$15,5,0),""))</f>
        <v/>
      </c>
      <c r="F4980" s="79" t="str">
        <f t="shared" si="387"/>
        <v/>
      </c>
      <c r="G4980" s="101"/>
      <c r="H4980" s="91">
        <f t="shared" si="388"/>
        <v>0</v>
      </c>
      <c r="I4980" s="91" t="str">
        <f t="shared" si="389"/>
        <v/>
      </c>
      <c r="J4980" s="91" t="str">
        <f t="shared" si="390"/>
        <v/>
      </c>
      <c r="K4980" s="92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2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58"/>
      <c r="U4980" s="217" t="str">
        <f t="shared" si="391"/>
        <v/>
      </c>
      <c r="V4980" s="215" t="s">
        <v>47</v>
      </c>
      <c r="W4980" s="102" t="s">
        <v>136</v>
      </c>
      <c r="X4980" s="102" t="s">
        <v>137</v>
      </c>
      <c r="Y4980" s="103" t="s">
        <v>138</v>
      </c>
      <c r="Z4980" s="103" t="s">
        <v>139</v>
      </c>
      <c r="AA4980" s="103" t="s">
        <v>47</v>
      </c>
      <c r="AB4980" s="103" t="s">
        <v>140</v>
      </c>
      <c r="AC4980" s="104" t="s">
        <v>141</v>
      </c>
    </row>
    <row r="4981" spans="1:29" ht="25.5" customHeight="1" x14ac:dyDescent="0.35">
      <c r="A4981" s="188"/>
      <c r="B4981" s="190"/>
      <c r="C4981" s="99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0"/>
      <c r="E4981" s="78" t="str">
        <f>IF(C4981="","",IFERROR(VLOOKUP(C4981,parametros!$A$11:$E$15,5,0),""))</f>
        <v/>
      </c>
      <c r="F4981" s="79" t="str">
        <f t="shared" si="387"/>
        <v/>
      </c>
      <c r="G4981" s="101"/>
      <c r="H4981" s="91">
        <f t="shared" si="388"/>
        <v>0</v>
      </c>
      <c r="I4981" s="91" t="str">
        <f t="shared" si="389"/>
        <v/>
      </c>
      <c r="J4981" s="91" t="str">
        <f t="shared" si="390"/>
        <v/>
      </c>
      <c r="K4981" s="92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2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58"/>
      <c r="U4981" s="217" t="str">
        <f t="shared" si="391"/>
        <v/>
      </c>
      <c r="V4981" s="215" t="s">
        <v>47</v>
      </c>
      <c r="W4981" s="102" t="s">
        <v>136</v>
      </c>
      <c r="X4981" s="102" t="s">
        <v>137</v>
      </c>
      <c r="Y4981" s="103" t="s">
        <v>138</v>
      </c>
      <c r="Z4981" s="103" t="s">
        <v>139</v>
      </c>
      <c r="AA4981" s="103" t="s">
        <v>47</v>
      </c>
      <c r="AB4981" s="103" t="s">
        <v>140</v>
      </c>
      <c r="AC4981" s="104" t="s">
        <v>141</v>
      </c>
    </row>
    <row r="4982" spans="1:29" ht="25.5" customHeight="1" x14ac:dyDescent="0.35">
      <c r="A4982" s="188"/>
      <c r="B4982" s="190"/>
      <c r="C4982" s="99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0"/>
      <c r="E4982" s="78" t="str">
        <f>IF(C4982="","",IFERROR(VLOOKUP(C4982,parametros!$A$11:$E$15,5,0),""))</f>
        <v/>
      </c>
      <c r="F4982" s="79" t="str">
        <f t="shared" si="387"/>
        <v/>
      </c>
      <c r="G4982" s="101"/>
      <c r="H4982" s="91">
        <f t="shared" si="388"/>
        <v>0</v>
      </c>
      <c r="I4982" s="91" t="str">
        <f t="shared" si="389"/>
        <v/>
      </c>
      <c r="J4982" s="91" t="str">
        <f t="shared" si="390"/>
        <v/>
      </c>
      <c r="K4982" s="92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2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58"/>
      <c r="U4982" s="217" t="str">
        <f t="shared" si="391"/>
        <v/>
      </c>
      <c r="V4982" s="215" t="s">
        <v>47</v>
      </c>
      <c r="W4982" s="102" t="s">
        <v>136</v>
      </c>
      <c r="X4982" s="102" t="s">
        <v>137</v>
      </c>
      <c r="Y4982" s="103" t="s">
        <v>138</v>
      </c>
      <c r="Z4982" s="103" t="s">
        <v>139</v>
      </c>
      <c r="AA4982" s="103" t="s">
        <v>47</v>
      </c>
      <c r="AB4982" s="103" t="s">
        <v>140</v>
      </c>
      <c r="AC4982" s="104" t="s">
        <v>141</v>
      </c>
    </row>
    <row r="4983" spans="1:29" ht="25.5" customHeight="1" x14ac:dyDescent="0.35">
      <c r="A4983" s="188"/>
      <c r="B4983" s="190"/>
      <c r="C4983" s="99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0"/>
      <c r="E4983" s="78" t="str">
        <f>IF(C4983="","",IFERROR(VLOOKUP(C4983,parametros!$A$11:$E$15,5,0),""))</f>
        <v/>
      </c>
      <c r="F4983" s="79" t="str">
        <f t="shared" si="387"/>
        <v/>
      </c>
      <c r="G4983" s="101"/>
      <c r="H4983" s="91">
        <f t="shared" si="388"/>
        <v>0</v>
      </c>
      <c r="I4983" s="91" t="str">
        <f t="shared" si="389"/>
        <v/>
      </c>
      <c r="J4983" s="91" t="str">
        <f t="shared" si="390"/>
        <v/>
      </c>
      <c r="K4983" s="92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2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58"/>
      <c r="U4983" s="217" t="str">
        <f t="shared" si="391"/>
        <v/>
      </c>
      <c r="V4983" s="215" t="s">
        <v>47</v>
      </c>
      <c r="W4983" s="102" t="s">
        <v>136</v>
      </c>
      <c r="X4983" s="102" t="s">
        <v>137</v>
      </c>
      <c r="Y4983" s="103" t="s">
        <v>138</v>
      </c>
      <c r="Z4983" s="103" t="s">
        <v>139</v>
      </c>
      <c r="AA4983" s="103" t="s">
        <v>47</v>
      </c>
      <c r="AB4983" s="103" t="s">
        <v>140</v>
      </c>
      <c r="AC4983" s="104" t="s">
        <v>141</v>
      </c>
    </row>
    <row r="4984" spans="1:29" ht="25.5" customHeight="1" x14ac:dyDescent="0.35">
      <c r="A4984" s="188"/>
      <c r="B4984" s="190"/>
      <c r="C4984" s="99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0"/>
      <c r="E4984" s="78" t="str">
        <f>IF(C4984="","",IFERROR(VLOOKUP(C4984,parametros!$A$11:$E$15,5,0),""))</f>
        <v/>
      </c>
      <c r="F4984" s="79" t="str">
        <f t="shared" si="387"/>
        <v/>
      </c>
      <c r="G4984" s="101"/>
      <c r="H4984" s="91">
        <f t="shared" si="388"/>
        <v>0</v>
      </c>
      <c r="I4984" s="91" t="str">
        <f t="shared" si="389"/>
        <v/>
      </c>
      <c r="J4984" s="91" t="str">
        <f t="shared" si="390"/>
        <v/>
      </c>
      <c r="K4984" s="92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2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58"/>
      <c r="U4984" s="217" t="str">
        <f t="shared" si="391"/>
        <v/>
      </c>
      <c r="V4984" s="215" t="s">
        <v>47</v>
      </c>
      <c r="W4984" s="102" t="s">
        <v>136</v>
      </c>
      <c r="X4984" s="102" t="s">
        <v>137</v>
      </c>
      <c r="Y4984" s="103" t="s">
        <v>138</v>
      </c>
      <c r="Z4984" s="103" t="s">
        <v>139</v>
      </c>
      <c r="AA4984" s="103" t="s">
        <v>47</v>
      </c>
      <c r="AB4984" s="103" t="s">
        <v>140</v>
      </c>
      <c r="AC4984" s="104" t="s">
        <v>141</v>
      </c>
    </row>
    <row r="4985" spans="1:29" ht="25.5" customHeight="1" x14ac:dyDescent="0.35">
      <c r="A4985" s="188"/>
      <c r="B4985" s="190"/>
      <c r="C4985" s="99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0"/>
      <c r="E4985" s="78" t="str">
        <f>IF(C4985="","",IFERROR(VLOOKUP(C4985,parametros!$A$11:$E$15,5,0),""))</f>
        <v/>
      </c>
      <c r="F4985" s="79" t="str">
        <f t="shared" si="387"/>
        <v/>
      </c>
      <c r="G4985" s="101"/>
      <c r="H4985" s="91">
        <f t="shared" si="388"/>
        <v>0</v>
      </c>
      <c r="I4985" s="91" t="str">
        <f t="shared" si="389"/>
        <v/>
      </c>
      <c r="J4985" s="91" t="str">
        <f t="shared" si="390"/>
        <v/>
      </c>
      <c r="K4985" s="92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2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58"/>
      <c r="U4985" s="217" t="str">
        <f t="shared" si="391"/>
        <v/>
      </c>
      <c r="V4985" s="215" t="s">
        <v>47</v>
      </c>
      <c r="W4985" s="102" t="s">
        <v>136</v>
      </c>
      <c r="X4985" s="102" t="s">
        <v>137</v>
      </c>
      <c r="Y4985" s="103" t="s">
        <v>138</v>
      </c>
      <c r="Z4985" s="103" t="s">
        <v>139</v>
      </c>
      <c r="AA4985" s="103" t="s">
        <v>47</v>
      </c>
      <c r="AB4985" s="103" t="s">
        <v>140</v>
      </c>
      <c r="AC4985" s="104" t="s">
        <v>141</v>
      </c>
    </row>
    <row r="4986" spans="1:29" ht="25.5" customHeight="1" x14ac:dyDescent="0.35">
      <c r="A4986" s="188"/>
      <c r="B4986" s="190"/>
      <c r="C4986" s="99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0"/>
      <c r="E4986" s="78" t="str">
        <f>IF(C4986="","",IFERROR(VLOOKUP(C4986,parametros!$A$11:$E$15,5,0),""))</f>
        <v/>
      </c>
      <c r="F4986" s="79" t="str">
        <f t="shared" si="387"/>
        <v/>
      </c>
      <c r="G4986" s="101"/>
      <c r="H4986" s="91">
        <f t="shared" si="388"/>
        <v>0</v>
      </c>
      <c r="I4986" s="91" t="str">
        <f t="shared" si="389"/>
        <v/>
      </c>
      <c r="J4986" s="91" t="str">
        <f t="shared" si="390"/>
        <v/>
      </c>
      <c r="K4986" s="92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2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58"/>
      <c r="U4986" s="217" t="str">
        <f t="shared" si="391"/>
        <v/>
      </c>
      <c r="V4986" s="215" t="s">
        <v>47</v>
      </c>
      <c r="W4986" s="102" t="s">
        <v>136</v>
      </c>
      <c r="X4986" s="102" t="s">
        <v>137</v>
      </c>
      <c r="Y4986" s="103" t="s">
        <v>138</v>
      </c>
      <c r="Z4986" s="103" t="s">
        <v>139</v>
      </c>
      <c r="AA4986" s="103" t="s">
        <v>47</v>
      </c>
      <c r="AB4986" s="103" t="s">
        <v>140</v>
      </c>
      <c r="AC4986" s="104" t="s">
        <v>141</v>
      </c>
    </row>
    <row r="4987" spans="1:29" ht="25.5" customHeight="1" x14ac:dyDescent="0.35">
      <c r="A4987" s="188"/>
      <c r="B4987" s="190"/>
      <c r="C4987" s="99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0"/>
      <c r="E4987" s="78" t="str">
        <f>IF(C4987="","",IFERROR(VLOOKUP(C4987,parametros!$A$11:$E$15,5,0),""))</f>
        <v/>
      </c>
      <c r="F4987" s="79" t="str">
        <f t="shared" si="387"/>
        <v/>
      </c>
      <c r="G4987" s="101"/>
      <c r="H4987" s="91">
        <f t="shared" si="388"/>
        <v>0</v>
      </c>
      <c r="I4987" s="91" t="str">
        <f t="shared" si="389"/>
        <v/>
      </c>
      <c r="J4987" s="91" t="str">
        <f t="shared" si="390"/>
        <v/>
      </c>
      <c r="K4987" s="92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2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58"/>
      <c r="U4987" s="217" t="str">
        <f t="shared" si="391"/>
        <v/>
      </c>
      <c r="V4987" s="215" t="s">
        <v>47</v>
      </c>
      <c r="W4987" s="102" t="s">
        <v>136</v>
      </c>
      <c r="X4987" s="102" t="s">
        <v>137</v>
      </c>
      <c r="Y4987" s="103" t="s">
        <v>138</v>
      </c>
      <c r="Z4987" s="103" t="s">
        <v>139</v>
      </c>
      <c r="AA4987" s="103" t="s">
        <v>47</v>
      </c>
      <c r="AB4987" s="103" t="s">
        <v>140</v>
      </c>
      <c r="AC4987" s="104" t="s">
        <v>141</v>
      </c>
    </row>
    <row r="4988" spans="1:29" ht="25.5" customHeight="1" x14ac:dyDescent="0.35">
      <c r="A4988" s="188"/>
      <c r="B4988" s="190"/>
      <c r="C4988" s="99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0"/>
      <c r="E4988" s="78" t="str">
        <f>IF(C4988="","",IFERROR(VLOOKUP(C4988,parametros!$A$11:$E$15,5,0),""))</f>
        <v/>
      </c>
      <c r="F4988" s="79" t="str">
        <f t="shared" si="387"/>
        <v/>
      </c>
      <c r="G4988" s="101"/>
      <c r="H4988" s="91">
        <f t="shared" si="388"/>
        <v>0</v>
      </c>
      <c r="I4988" s="91" t="str">
        <f t="shared" si="389"/>
        <v/>
      </c>
      <c r="J4988" s="91" t="str">
        <f t="shared" si="390"/>
        <v/>
      </c>
      <c r="K4988" s="92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2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58"/>
      <c r="U4988" s="217" t="str">
        <f t="shared" si="391"/>
        <v/>
      </c>
      <c r="V4988" s="215" t="s">
        <v>47</v>
      </c>
      <c r="W4988" s="102" t="s">
        <v>136</v>
      </c>
      <c r="X4988" s="102" t="s">
        <v>137</v>
      </c>
      <c r="Y4988" s="103" t="s">
        <v>138</v>
      </c>
      <c r="Z4988" s="103" t="s">
        <v>139</v>
      </c>
      <c r="AA4988" s="103" t="s">
        <v>47</v>
      </c>
      <c r="AB4988" s="103" t="s">
        <v>140</v>
      </c>
      <c r="AC4988" s="104" t="s">
        <v>141</v>
      </c>
    </row>
    <row r="4989" spans="1:29" ht="25.5" customHeight="1" x14ac:dyDescent="0.35">
      <c r="A4989" s="188"/>
      <c r="B4989" s="190"/>
      <c r="C4989" s="99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0"/>
      <c r="E4989" s="78" t="str">
        <f>IF(C4989="","",IFERROR(VLOOKUP(C4989,parametros!$A$11:$E$15,5,0),""))</f>
        <v/>
      </c>
      <c r="F4989" s="79" t="str">
        <f t="shared" si="387"/>
        <v/>
      </c>
      <c r="G4989" s="101"/>
      <c r="H4989" s="91">
        <f t="shared" si="388"/>
        <v>0</v>
      </c>
      <c r="I4989" s="91" t="str">
        <f t="shared" si="389"/>
        <v/>
      </c>
      <c r="J4989" s="91" t="str">
        <f t="shared" si="390"/>
        <v/>
      </c>
      <c r="K4989" s="92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2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58"/>
      <c r="U4989" s="217" t="str">
        <f t="shared" si="391"/>
        <v/>
      </c>
      <c r="V4989" s="215" t="s">
        <v>47</v>
      </c>
      <c r="W4989" s="102" t="s">
        <v>136</v>
      </c>
      <c r="X4989" s="102" t="s">
        <v>137</v>
      </c>
      <c r="Y4989" s="103" t="s">
        <v>138</v>
      </c>
      <c r="Z4989" s="103" t="s">
        <v>139</v>
      </c>
      <c r="AA4989" s="103" t="s">
        <v>47</v>
      </c>
      <c r="AB4989" s="103" t="s">
        <v>140</v>
      </c>
      <c r="AC4989" s="104" t="s">
        <v>141</v>
      </c>
    </row>
    <row r="4990" spans="1:29" ht="25.5" customHeight="1" x14ac:dyDescent="0.35">
      <c r="A4990" s="188"/>
      <c r="B4990" s="190"/>
      <c r="C4990" s="99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0"/>
      <c r="E4990" s="78" t="str">
        <f>IF(C4990="","",IFERROR(VLOOKUP(C4990,parametros!$A$11:$E$15,5,0),""))</f>
        <v/>
      </c>
      <c r="F4990" s="79" t="str">
        <f t="shared" si="387"/>
        <v/>
      </c>
      <c r="G4990" s="101"/>
      <c r="H4990" s="91">
        <f t="shared" si="388"/>
        <v>0</v>
      </c>
      <c r="I4990" s="91" t="str">
        <f t="shared" si="389"/>
        <v/>
      </c>
      <c r="J4990" s="91" t="str">
        <f t="shared" si="390"/>
        <v/>
      </c>
      <c r="K4990" s="92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2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58"/>
      <c r="U4990" s="217" t="str">
        <f t="shared" si="391"/>
        <v/>
      </c>
      <c r="V4990" s="215" t="s">
        <v>47</v>
      </c>
      <c r="W4990" s="102" t="s">
        <v>136</v>
      </c>
      <c r="X4990" s="102" t="s">
        <v>137</v>
      </c>
      <c r="Y4990" s="103" t="s">
        <v>138</v>
      </c>
      <c r="Z4990" s="103" t="s">
        <v>139</v>
      </c>
      <c r="AA4990" s="103" t="s">
        <v>47</v>
      </c>
      <c r="AB4990" s="103" t="s">
        <v>140</v>
      </c>
      <c r="AC4990" s="104" t="s">
        <v>141</v>
      </c>
    </row>
    <row r="4991" spans="1:29" ht="25.5" customHeight="1" x14ac:dyDescent="0.35">
      <c r="A4991" s="188"/>
      <c r="B4991" s="190"/>
      <c r="C4991" s="99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0"/>
      <c r="E4991" s="78" t="str">
        <f>IF(C4991="","",IFERROR(VLOOKUP(C4991,parametros!$A$11:$E$15,5,0),""))</f>
        <v/>
      </c>
      <c r="F4991" s="79" t="str">
        <f t="shared" si="387"/>
        <v/>
      </c>
      <c r="G4991" s="101"/>
      <c r="H4991" s="91">
        <f t="shared" si="388"/>
        <v>0</v>
      </c>
      <c r="I4991" s="91" t="str">
        <f t="shared" si="389"/>
        <v/>
      </c>
      <c r="J4991" s="91" t="str">
        <f t="shared" si="390"/>
        <v/>
      </c>
      <c r="K4991" s="92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2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58"/>
      <c r="U4991" s="217" t="str">
        <f t="shared" si="391"/>
        <v/>
      </c>
      <c r="V4991" s="215" t="s">
        <v>47</v>
      </c>
      <c r="W4991" s="102" t="s">
        <v>136</v>
      </c>
      <c r="X4991" s="102" t="s">
        <v>137</v>
      </c>
      <c r="Y4991" s="103" t="s">
        <v>138</v>
      </c>
      <c r="Z4991" s="103" t="s">
        <v>139</v>
      </c>
      <c r="AA4991" s="103" t="s">
        <v>47</v>
      </c>
      <c r="AB4991" s="103" t="s">
        <v>140</v>
      </c>
      <c r="AC4991" s="104" t="s">
        <v>141</v>
      </c>
    </row>
    <row r="4992" spans="1:29" ht="25.5" customHeight="1" x14ac:dyDescent="0.35">
      <c r="A4992" s="188"/>
      <c r="B4992" s="190"/>
      <c r="C4992" s="99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0"/>
      <c r="E4992" s="78" t="str">
        <f>IF(C4992="","",IFERROR(VLOOKUP(C4992,parametros!$A$11:$E$15,5,0),""))</f>
        <v/>
      </c>
      <c r="F4992" s="79" t="str">
        <f t="shared" si="387"/>
        <v/>
      </c>
      <c r="G4992" s="101"/>
      <c r="H4992" s="91">
        <f t="shared" si="388"/>
        <v>0</v>
      </c>
      <c r="I4992" s="91" t="str">
        <f t="shared" si="389"/>
        <v/>
      </c>
      <c r="J4992" s="91" t="str">
        <f t="shared" si="390"/>
        <v/>
      </c>
      <c r="K4992" s="92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2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58"/>
      <c r="U4992" s="217" t="str">
        <f t="shared" si="391"/>
        <v/>
      </c>
      <c r="V4992" s="215" t="s">
        <v>47</v>
      </c>
      <c r="W4992" s="102" t="s">
        <v>136</v>
      </c>
      <c r="X4992" s="102" t="s">
        <v>137</v>
      </c>
      <c r="Y4992" s="103" t="s">
        <v>138</v>
      </c>
      <c r="Z4992" s="103" t="s">
        <v>139</v>
      </c>
      <c r="AA4992" s="103" t="s">
        <v>47</v>
      </c>
      <c r="AB4992" s="103" t="s">
        <v>140</v>
      </c>
      <c r="AC4992" s="104" t="s">
        <v>141</v>
      </c>
    </row>
    <row r="4993" spans="1:29" ht="25.5" customHeight="1" x14ac:dyDescent="0.35">
      <c r="A4993" s="188"/>
      <c r="B4993" s="190"/>
      <c r="C4993" s="99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0"/>
      <c r="E4993" s="78" t="str">
        <f>IF(C4993="","",IFERROR(VLOOKUP(C4993,parametros!$A$11:$E$15,5,0),""))</f>
        <v/>
      </c>
      <c r="F4993" s="79" t="str">
        <f t="shared" si="387"/>
        <v/>
      </c>
      <c r="G4993" s="101"/>
      <c r="H4993" s="91">
        <f t="shared" si="388"/>
        <v>0</v>
      </c>
      <c r="I4993" s="91" t="str">
        <f t="shared" si="389"/>
        <v/>
      </c>
      <c r="J4993" s="91" t="str">
        <f t="shared" si="390"/>
        <v/>
      </c>
      <c r="K4993" s="92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2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58"/>
      <c r="U4993" s="217" t="str">
        <f t="shared" si="391"/>
        <v/>
      </c>
      <c r="V4993" s="215" t="s">
        <v>47</v>
      </c>
      <c r="W4993" s="102" t="s">
        <v>136</v>
      </c>
      <c r="X4993" s="102" t="s">
        <v>137</v>
      </c>
      <c r="Y4993" s="103" t="s">
        <v>138</v>
      </c>
      <c r="Z4993" s="103" t="s">
        <v>139</v>
      </c>
      <c r="AA4993" s="103" t="s">
        <v>47</v>
      </c>
      <c r="AB4993" s="103" t="s">
        <v>140</v>
      </c>
      <c r="AC4993" s="104" t="s">
        <v>141</v>
      </c>
    </row>
    <row r="4994" spans="1:29" ht="25.5" customHeight="1" x14ac:dyDescent="0.35">
      <c r="A4994" s="188"/>
      <c r="B4994" s="190"/>
      <c r="C4994" s="99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0"/>
      <c r="E4994" s="78" t="str">
        <f>IF(C4994="","",IFERROR(VLOOKUP(C4994,parametros!$A$11:$E$15,5,0),""))</f>
        <v/>
      </c>
      <c r="F4994" s="79" t="str">
        <f t="shared" ref="F4994:F5001" si="392">IF(OR(D4994="",E4994=""),"",ROUND(D4994*E4994,2))</f>
        <v/>
      </c>
      <c r="G4994" s="101"/>
      <c r="H4994" s="91">
        <f t="shared" ref="H4994:H5001" si="393">IF(G4994="Sim",IF(OR(F4994="",D4994="",L4994=""),"",IF(L4994="Sim",ROUND(F4994-D4994,2),0)),0)</f>
        <v>0</v>
      </c>
      <c r="I4994" s="91" t="str">
        <f t="shared" ref="I4994:I5001" si="394">IF(G4994="Sim",0,IF(OR(F4994="",L4994=""),"",F4994))</f>
        <v/>
      </c>
      <c r="J4994" s="91" t="str">
        <f t="shared" ref="J4994:J5001" si="395">IF(G4994="Sim",0,IF(OR(F4994="",D4994="",L4994=""),"",IF(L4994="Sim",ROUND(F4994-D4994,2),0)))</f>
        <v/>
      </c>
      <c r="K4994" s="92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2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58"/>
      <c r="U4994" s="217" t="str">
        <f t="shared" ref="U4994:U5001" si="396">IF(OR($D4994="",$H4994=""),"",ROUND($D4994+$H4994,2))</f>
        <v/>
      </c>
      <c r="V4994" s="215" t="s">
        <v>47</v>
      </c>
      <c r="W4994" s="102" t="s">
        <v>136</v>
      </c>
      <c r="X4994" s="102" t="s">
        <v>137</v>
      </c>
      <c r="Y4994" s="103" t="s">
        <v>138</v>
      </c>
      <c r="Z4994" s="103" t="s">
        <v>139</v>
      </c>
      <c r="AA4994" s="103" t="s">
        <v>47</v>
      </c>
      <c r="AB4994" s="103" t="s">
        <v>140</v>
      </c>
      <c r="AC4994" s="104" t="s">
        <v>141</v>
      </c>
    </row>
    <row r="4995" spans="1:29" ht="25.5" customHeight="1" x14ac:dyDescent="0.35">
      <c r="A4995" s="188"/>
      <c r="B4995" s="190"/>
      <c r="C4995" s="99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0"/>
      <c r="E4995" s="78" t="str">
        <f>IF(C4995="","",IFERROR(VLOOKUP(C4995,parametros!$A$11:$E$15,5,0),""))</f>
        <v/>
      </c>
      <c r="F4995" s="79" t="str">
        <f t="shared" si="392"/>
        <v/>
      </c>
      <c r="G4995" s="101"/>
      <c r="H4995" s="91">
        <f t="shared" si="393"/>
        <v>0</v>
      </c>
      <c r="I4995" s="91" t="str">
        <f t="shared" si="394"/>
        <v/>
      </c>
      <c r="J4995" s="91" t="str">
        <f t="shared" si="395"/>
        <v/>
      </c>
      <c r="K4995" s="92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2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58"/>
      <c r="U4995" s="217" t="str">
        <f t="shared" si="396"/>
        <v/>
      </c>
      <c r="V4995" s="215" t="s">
        <v>47</v>
      </c>
      <c r="W4995" s="102" t="s">
        <v>136</v>
      </c>
      <c r="X4995" s="102" t="s">
        <v>137</v>
      </c>
      <c r="Y4995" s="103" t="s">
        <v>138</v>
      </c>
      <c r="Z4995" s="103" t="s">
        <v>139</v>
      </c>
      <c r="AA4995" s="103" t="s">
        <v>47</v>
      </c>
      <c r="AB4995" s="103" t="s">
        <v>140</v>
      </c>
      <c r="AC4995" s="104" t="s">
        <v>141</v>
      </c>
    </row>
    <row r="4996" spans="1:29" ht="25.5" customHeight="1" x14ac:dyDescent="0.35">
      <c r="A4996" s="188"/>
      <c r="B4996" s="190"/>
      <c r="C4996" s="99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0"/>
      <c r="E4996" s="78" t="str">
        <f>IF(C4996="","",IFERROR(VLOOKUP(C4996,parametros!$A$11:$E$15,5,0),""))</f>
        <v/>
      </c>
      <c r="F4996" s="79" t="str">
        <f t="shared" si="392"/>
        <v/>
      </c>
      <c r="G4996" s="101"/>
      <c r="H4996" s="91">
        <f t="shared" si="393"/>
        <v>0</v>
      </c>
      <c r="I4996" s="91" t="str">
        <f t="shared" si="394"/>
        <v/>
      </c>
      <c r="J4996" s="91" t="str">
        <f t="shared" si="395"/>
        <v/>
      </c>
      <c r="K4996" s="92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2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58"/>
      <c r="U4996" s="217" t="str">
        <f t="shared" si="396"/>
        <v/>
      </c>
      <c r="V4996" s="215" t="s">
        <v>47</v>
      </c>
      <c r="W4996" s="102" t="s">
        <v>136</v>
      </c>
      <c r="X4996" s="102" t="s">
        <v>137</v>
      </c>
      <c r="Y4996" s="103" t="s">
        <v>138</v>
      </c>
      <c r="Z4996" s="103" t="s">
        <v>139</v>
      </c>
      <c r="AA4996" s="103" t="s">
        <v>47</v>
      </c>
      <c r="AB4996" s="103" t="s">
        <v>140</v>
      </c>
      <c r="AC4996" s="104" t="s">
        <v>141</v>
      </c>
    </row>
    <row r="4997" spans="1:29" ht="25.5" customHeight="1" x14ac:dyDescent="0.35">
      <c r="A4997" s="188"/>
      <c r="B4997" s="190"/>
      <c r="C4997" s="99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0"/>
      <c r="E4997" s="78" t="str">
        <f>IF(C4997="","",IFERROR(VLOOKUP(C4997,parametros!$A$11:$E$15,5,0),""))</f>
        <v/>
      </c>
      <c r="F4997" s="79" t="str">
        <f t="shared" si="392"/>
        <v/>
      </c>
      <c r="G4997" s="101"/>
      <c r="H4997" s="91">
        <f t="shared" si="393"/>
        <v>0</v>
      </c>
      <c r="I4997" s="91" t="str">
        <f t="shared" si="394"/>
        <v/>
      </c>
      <c r="J4997" s="91" t="str">
        <f t="shared" si="395"/>
        <v/>
      </c>
      <c r="K4997" s="92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2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58"/>
      <c r="U4997" s="217" t="str">
        <f t="shared" si="396"/>
        <v/>
      </c>
      <c r="V4997" s="215" t="s">
        <v>47</v>
      </c>
      <c r="W4997" s="102" t="s">
        <v>136</v>
      </c>
      <c r="X4997" s="102" t="s">
        <v>137</v>
      </c>
      <c r="Y4997" s="103" t="s">
        <v>138</v>
      </c>
      <c r="Z4997" s="103" t="s">
        <v>139</v>
      </c>
      <c r="AA4997" s="103" t="s">
        <v>47</v>
      </c>
      <c r="AB4997" s="103" t="s">
        <v>140</v>
      </c>
      <c r="AC4997" s="104" t="s">
        <v>141</v>
      </c>
    </row>
    <row r="4998" spans="1:29" ht="25.5" customHeight="1" x14ac:dyDescent="0.35">
      <c r="A4998" s="188"/>
      <c r="B4998" s="190"/>
      <c r="C4998" s="99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0"/>
      <c r="E4998" s="78" t="str">
        <f>IF(C4998="","",IFERROR(VLOOKUP(C4998,parametros!$A$11:$E$15,5,0),""))</f>
        <v/>
      </c>
      <c r="F4998" s="79" t="str">
        <f t="shared" si="392"/>
        <v/>
      </c>
      <c r="G4998" s="101"/>
      <c r="H4998" s="91">
        <f t="shared" si="393"/>
        <v>0</v>
      </c>
      <c r="I4998" s="91" t="str">
        <f t="shared" si="394"/>
        <v/>
      </c>
      <c r="J4998" s="91" t="str">
        <f t="shared" si="395"/>
        <v/>
      </c>
      <c r="K4998" s="92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2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58"/>
      <c r="U4998" s="217" t="str">
        <f t="shared" si="396"/>
        <v/>
      </c>
      <c r="V4998" s="215" t="s">
        <v>47</v>
      </c>
      <c r="W4998" s="102" t="s">
        <v>136</v>
      </c>
      <c r="X4998" s="102" t="s">
        <v>137</v>
      </c>
      <c r="Y4998" s="103" t="s">
        <v>138</v>
      </c>
      <c r="Z4998" s="103" t="s">
        <v>139</v>
      </c>
      <c r="AA4998" s="103" t="s">
        <v>47</v>
      </c>
      <c r="AB4998" s="103" t="s">
        <v>140</v>
      </c>
      <c r="AC4998" s="104" t="s">
        <v>141</v>
      </c>
    </row>
    <row r="4999" spans="1:29" ht="25.5" customHeight="1" x14ac:dyDescent="0.35">
      <c r="A4999" s="188"/>
      <c r="B4999" s="190"/>
      <c r="C4999" s="99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0"/>
      <c r="E4999" s="78" t="str">
        <f>IF(C4999="","",IFERROR(VLOOKUP(C4999,parametros!$A$11:$E$15,5,0),""))</f>
        <v/>
      </c>
      <c r="F4999" s="79" t="str">
        <f t="shared" si="392"/>
        <v/>
      </c>
      <c r="G4999" s="101"/>
      <c r="H4999" s="91">
        <f t="shared" si="393"/>
        <v>0</v>
      </c>
      <c r="I4999" s="91" t="str">
        <f t="shared" si="394"/>
        <v/>
      </c>
      <c r="J4999" s="91" t="str">
        <f t="shared" si="395"/>
        <v/>
      </c>
      <c r="K4999" s="92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2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58"/>
      <c r="U4999" s="217" t="str">
        <f t="shared" si="396"/>
        <v/>
      </c>
      <c r="V4999" s="215" t="s">
        <v>47</v>
      </c>
      <c r="W4999" s="102" t="s">
        <v>136</v>
      </c>
      <c r="X4999" s="102" t="s">
        <v>137</v>
      </c>
      <c r="Y4999" s="103" t="s">
        <v>138</v>
      </c>
      <c r="Z4999" s="103" t="s">
        <v>139</v>
      </c>
      <c r="AA4999" s="103" t="s">
        <v>47</v>
      </c>
      <c r="AB4999" s="103" t="s">
        <v>140</v>
      </c>
      <c r="AC4999" s="104" t="s">
        <v>141</v>
      </c>
    </row>
    <row r="5000" spans="1:29" ht="25.5" customHeight="1" x14ac:dyDescent="0.35">
      <c r="A5000" s="188"/>
      <c r="B5000" s="190"/>
      <c r="C5000" s="99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0"/>
      <c r="E5000" s="78" t="str">
        <f>IF(C5000="","",IFERROR(VLOOKUP(C5000,parametros!$A$11:$E$15,5,0),""))</f>
        <v/>
      </c>
      <c r="F5000" s="79" t="str">
        <f t="shared" si="392"/>
        <v/>
      </c>
      <c r="G5000" s="101"/>
      <c r="H5000" s="91">
        <f t="shared" si="393"/>
        <v>0</v>
      </c>
      <c r="I5000" s="91" t="str">
        <f t="shared" si="394"/>
        <v/>
      </c>
      <c r="J5000" s="91" t="str">
        <f t="shared" si="395"/>
        <v/>
      </c>
      <c r="K5000" s="92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2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58"/>
      <c r="U5000" s="217" t="str">
        <f t="shared" si="396"/>
        <v/>
      </c>
      <c r="V5000" s="215" t="s">
        <v>47</v>
      </c>
      <c r="W5000" s="102" t="s">
        <v>136</v>
      </c>
      <c r="X5000" s="102" t="s">
        <v>137</v>
      </c>
      <c r="Y5000" s="103" t="s">
        <v>138</v>
      </c>
      <c r="Z5000" s="103" t="s">
        <v>139</v>
      </c>
      <c r="AA5000" s="103" t="s">
        <v>47</v>
      </c>
      <c r="AB5000" s="103" t="s">
        <v>140</v>
      </c>
      <c r="AC5000" s="104" t="s">
        <v>141</v>
      </c>
    </row>
    <row r="5001" spans="1:29" ht="25.5" customHeight="1" x14ac:dyDescent="0.35">
      <c r="A5001" s="188"/>
      <c r="B5001" s="190"/>
      <c r="C5001" s="99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0"/>
      <c r="E5001" s="78" t="str">
        <f>IF(C5001="","",IFERROR(VLOOKUP(C5001,parametros!$A$11:$E$15,5,0),""))</f>
        <v/>
      </c>
      <c r="F5001" s="79" t="str">
        <f t="shared" si="392"/>
        <v/>
      </c>
      <c r="G5001" s="101"/>
      <c r="H5001" s="91">
        <f t="shared" si="393"/>
        <v>0</v>
      </c>
      <c r="I5001" s="91" t="str">
        <f t="shared" si="394"/>
        <v/>
      </c>
      <c r="J5001" s="91" t="str">
        <f t="shared" si="395"/>
        <v/>
      </c>
      <c r="K5001" s="92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2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58"/>
      <c r="U5001" s="217" t="str">
        <f t="shared" si="396"/>
        <v/>
      </c>
      <c r="V5001" s="215" t="s">
        <v>47</v>
      </c>
      <c r="W5001" s="102" t="s">
        <v>136</v>
      </c>
      <c r="X5001" s="102" t="s">
        <v>137</v>
      </c>
      <c r="Y5001" s="103" t="s">
        <v>138</v>
      </c>
      <c r="Z5001" s="103" t="s">
        <v>139</v>
      </c>
      <c r="AA5001" s="103" t="s">
        <v>47</v>
      </c>
      <c r="AB5001" s="103" t="s">
        <v>140</v>
      </c>
      <c r="AC5001" s="104" t="s">
        <v>141</v>
      </c>
    </row>
  </sheetData>
  <mergeCells count="14">
    <mergeCell ref="M1:T1"/>
    <mergeCell ref="M10:T10"/>
    <mergeCell ref="M20:T20"/>
    <mergeCell ref="M21:T21"/>
    <mergeCell ref="M22:T22"/>
    <mergeCell ref="M19:R19"/>
    <mergeCell ref="S19:T19"/>
    <mergeCell ref="M27:T27"/>
    <mergeCell ref="M28:T28"/>
    <mergeCell ref="M29:T29"/>
    <mergeCell ref="M23:T23"/>
    <mergeCell ref="M24:T24"/>
    <mergeCell ref="M25:T25"/>
    <mergeCell ref="M26:T26"/>
  </mergeCells>
  <conditionalFormatting sqref="A2:L5001">
    <cfRule type="expression" dxfId="88" priority="1" stopIfTrue="1">
      <formula>AND(OR($A2&lt;&gt;"",$B2&lt;&gt;"",$D2&lt;&gt;"",$G2&lt;&gt;""),$L2="")</formula>
    </cfRule>
    <cfRule type="expression" dxfId="87" priority="2">
      <formula>$L2="Nao"</formula>
    </cfRule>
  </conditionalFormatting>
  <conditionalFormatting sqref="S3:S9">
    <cfRule type="expression" dxfId="86" priority="3" stopIfTrue="1">
      <formula>N($S3)&lt;&gt;0</formula>
    </cfRule>
  </conditionalFormatting>
  <conditionalFormatting sqref="S12:S18">
    <cfRule type="expression" dxfId="85" priority="4" stopIfTrue="1">
      <formula>N($S12)&lt;&gt;0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O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  <col min="14" max="14" width="34.6328125" customWidth="1"/>
    <col min="15" max="15" width="0" hidden="1" customWidth="1"/>
  </cols>
  <sheetData>
    <row r="1" spans="1:15" ht="95" customHeight="1" x14ac:dyDescent="0.35">
      <c r="A1" s="34" t="s">
        <v>468</v>
      </c>
      <c r="B1" s="34" t="s">
        <v>142</v>
      </c>
      <c r="C1" s="34" t="s">
        <v>143</v>
      </c>
      <c r="D1" s="34" t="s">
        <v>144</v>
      </c>
      <c r="E1" s="50" t="s">
        <v>145</v>
      </c>
      <c r="F1" s="51" t="s">
        <v>146</v>
      </c>
      <c r="G1" s="51" t="s">
        <v>147</v>
      </c>
      <c r="H1" s="34" t="s">
        <v>148</v>
      </c>
      <c r="I1" s="34" t="s">
        <v>149</v>
      </c>
      <c r="J1" s="51" t="s">
        <v>150</v>
      </c>
      <c r="K1" s="34" t="s">
        <v>151</v>
      </c>
      <c r="L1" s="63" t="s">
        <v>152</v>
      </c>
      <c r="M1" s="162" t="s">
        <v>82</v>
      </c>
      <c r="N1" s="482" t="s">
        <v>742</v>
      </c>
      <c r="O1" s="486" t="s">
        <v>743</v>
      </c>
    </row>
    <row r="2" spans="1:15" ht="45" customHeight="1" x14ac:dyDescent="0.35">
      <c r="A2" s="105"/>
      <c r="B2" s="189"/>
      <c r="C2" s="99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05"/>
      <c r="E2" s="106"/>
      <c r="F2" s="107" t="str">
        <f>IF(A2="","",IFERROR(VLOOKUP(A2,itens_Remanesc!$A:$C,3,0),""))</f>
        <v/>
      </c>
      <c r="G2" s="107" t="str">
        <f t="shared" ref="G2:G33" si="0">IF(OR(E2="",F2=""),"",ROUND(E2*F2,2))</f>
        <v/>
      </c>
      <c r="H2" s="105"/>
      <c r="I2" s="64" t="str">
        <f>IFERROR(IF(OR($A2="",$C2=""),"",IF(OR(($O2)="",($O2)&gt;(MIN(MATCH($C2,{"C0","C1","C2","C3","C4"},0)-1,COUNT(parametros!$F$2:$F$6)-1)),NOT(ISNUMBER(INDEX(parametros!$F$2:$F$6,(MIN(MATCH($C2,{"C0","C1","C2","C3","C4"},0)-1,COUNT(parametros!$F$2:$F$6)-1))+1))),NOT(ISNUMBER(INDEX(parametros!$F$2:$F$6,($O2)+1)))),"",INDEX(parametros!$F$2:$F$6,(MIN(MATCH($C2,{"C0","C1","C2","C3","C4"},0)-1,COUNT(parametros!$F$2:$F$6)-1))+1)/INDEX(parametros!$F$2:$F$6,($O2)+1))),"")</f>
        <v/>
      </c>
      <c r="J2" s="107" t="str">
        <f t="shared" ref="J2:J33" si="1">IF(OR(L2="",F2=""),"",IF(UPPER(H2)="SIM",IF(ISNUMBER(I2),ROUND(L2*ROUND(F2*I2,2),2),""),ROUND(L2*F2,2)))</f>
        <v/>
      </c>
      <c r="K2" s="105"/>
      <c r="L2" s="85" t="str">
        <f t="shared" ref="L2:L33" si="2">IF(OR(A2="",C2="",D2="",NOT(ISNUMBER(E2))),"",IF(LEFT(UPPER(D2),3)="ACR",ROUND(ABS(E2),2),IF(OR(LEFT(UPPER(D2),4)="SUPR",LEFT(UPPER(D2),4)="DECR"),ROUND(-ABS(E2),2),"")))</f>
        <v/>
      </c>
      <c r="M2" s="483" t="str">
        <f>IF(A2="","",IF(COUNTIF(itens_Remanesc!$A$2:$A$200,A2)=0,"NOVO ITEM NAO CADASTRADO - CADASTRAR EM itens_Remanesc: ITEM + VU_ORIGINAL (QTD_BASE_ORIGINAL sera 0 automaticamente); depois a data e a quantidade aqui.",IF(COUNTIF(itens_Remanesc!$A$2:$A$200,A2)&gt;1,"ALERTA: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TIPO_INVALIDO",IF(AND(ISNUMBER(SEARCH("NOVO",D2)),OR(INDEX(posicao_contratual!$C$2:$C$200,MATCH(A2,posicao_contratual!$A$2:$A$200,0))&lt;&gt;0,F2="",COUNTIFS($A$2:$A$200,A2,$B$2:$B$200,"&lt;"&amp;B2,$L$2:$L$200,"&gt;0")&gt;0)),"ALERTA: NOVO ITEM INVALIDO - use Acrescimo se o item ja existia; novo item exige QTD_BASE_ORIGINAL 0, VU_ORIGINAL e ser o 1o acrescimo do item.",IF(AND(ISNUMBER(SEARCH("NOVO",D2)),OR(N2="",ISERROR(MATCH(N2,{"C0","C1","C2","C3","C4"},0)))),"ALERTA: BASE_VU_OBRIGATORIA",IF(AND(NOT(ISNUMBER(SEARCH("NOVO",D2))),N2&lt;&gt;""),"ALERTA: BASE_VU_NAO_APLICAVEL",IF(AND(UPPER(H2)="SIM",NOT(ISNUMBER(I2))),"ALERTA: BASE_VU_INVALIDA_OU_POSTERIOR_AO_FATOR_ALVO","OK"))))))))))</f>
        <v/>
      </c>
      <c r="N2" s="484"/>
      <c r="O2" s="487" t="str">
        <f>IFERROR(IF((COUNTIFS($A$2:$A$200,$A2,$D$2:$D$200,"*novo*",$N$2:$N$200,"C0")+COUNTIFS($A$2:$A$200,$A2,$D$2:$D$200,"*novo*",$N$2:$N$200,"C1")+COUNTIFS($A$2:$A$200,$A2,$D$2:$D$200,"*novo*",$N$2:$N$200,"C2")+COUNTIFS($A$2:$A$200,$A2,$D$2:$D$200,"*novo*",$N$2:$N$200,"C3")+COUNTIFS($A$2:$A$200,$A2,$D$2:$D$200,"*novo*",$N$2:$N$200,"C4"))=1,IF(COUNTIFS($A$2:$A$200,$A2,$D$2:$D$200,"*novo*",$N$2:$N$200,"C4")&gt;0,4,IF(COUNTIFS($A$2:$A$200,$A2,$D$2:$D$200,"*novo*",$N$2:$N$200,"C3")&gt;0,3,IF(COUNTIFS($A$2:$A$200,$A2,$D$2:$D$200,"*novo*",$N$2:$N$200,"C2")&gt;0,2,IF(COUNTIFS($A$2:$A$200,$A2,$D$2:$D$200,"*novo*",$N$2:$N$200,"C1")&gt;0,1,IF(COUNTIFS($A$2:$A$200,$A2,$D$2:$D$200,"*novo*",$N$2:$N$200,"C0")&gt;0,0,""))))),IF(AND((COUNTIFS($A$2:$A$200,$A2,$D$2:$D$200,"*novo*",$N$2:$N$200,"C0")+COUNTIFS($A$2:$A$200,$A2,$D$2:$D$200,"*novo*",$N$2:$N$200,"C1")+COUNTIFS($A$2:$A$200,$A2,$D$2:$D$200,"*novo*",$N$2:$N$200,"C2")+COUNTIFS($A$2:$A$200,$A2,$D$2:$D$200,"*novo*",$N$2:$N$200,"C3")+COUNTIFS($A$2:$A$200,$A2,$D$2:$D$200,"*novo*",$N$2:$N$200,"C4"))=0,INDEX(posicao_contratual!$Y$2:$Y$200,MATCH($A2,posicao_contratual!$A$2:$A$200,0))=0),0,"")),"")</f>
        <v/>
      </c>
    </row>
    <row r="3" spans="1:15" ht="45" customHeight="1" x14ac:dyDescent="0.35">
      <c r="A3" s="105"/>
      <c r="B3" s="189"/>
      <c r="C3" s="99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05"/>
      <c r="E3" s="106"/>
      <c r="F3" s="107" t="str">
        <f>IF(A3="","",IFERROR(VLOOKUP(A3,itens_Remanesc!$A:$C,3,0),""))</f>
        <v/>
      </c>
      <c r="G3" s="107" t="str">
        <f t="shared" si="0"/>
        <v/>
      </c>
      <c r="H3" s="105"/>
      <c r="I3" s="64" t="str">
        <f>IFERROR(IF(OR($A3="",$C3=""),"",IF(OR(($O3)="",($O3)&gt;(MIN(MATCH($C3,{"C0","C1","C2","C3","C4"},0)-1,COUNT(parametros!$F$2:$F$6)-1)),NOT(ISNUMBER(INDEX(parametros!$F$2:$F$6,(MIN(MATCH($C3,{"C0","C1","C2","C3","C4"},0)-1,COUNT(parametros!$F$2:$F$6)-1))+1))),NOT(ISNUMBER(INDEX(parametros!$F$2:$F$6,($O3)+1)))),"",INDEX(parametros!$F$2:$F$6,(MIN(MATCH($C3,{"C0","C1","C2","C3","C4"},0)-1,COUNT(parametros!$F$2:$F$6)-1))+1)/INDEX(parametros!$F$2:$F$6,($O3)+1))),"")</f>
        <v/>
      </c>
      <c r="J3" s="107" t="str">
        <f t="shared" si="1"/>
        <v/>
      </c>
      <c r="K3" s="105"/>
      <c r="L3" s="85" t="str">
        <f t="shared" si="2"/>
        <v/>
      </c>
      <c r="M3" s="483" t="str">
        <f>IF(A3="","",IF(COUNTIF(itens_Remanesc!$A$2:$A$200,A3)=0,"NOVO ITEM NAO CADASTRADO - CADASTRAR EM itens_Remanesc: ITEM + VU_ORIGINAL (QTD_BASE_ORIGINAL sera 0 automaticamente); depois a data e a quantidade aqui.",IF(COUNTIF(itens_Remanesc!$A$2:$A$200,A3)&gt;1,"ALERTA: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TIPO_INVALIDO",IF(AND(ISNUMBER(SEARCH("NOVO",D3)),OR(INDEX(posicao_contratual!$C$2:$C$200,MATCH(A3,posicao_contratual!$A$2:$A$200,0))&lt;&gt;0,F3="",COUNTIFS($A$2:$A$200,A3,$B$2:$B$200,"&lt;"&amp;B3,$L$2:$L$200,"&gt;0")&gt;0)),"ALERTA: NOVO ITEM INVALIDO - use Acrescimo se o item ja existia; novo item exige QTD_BASE_ORIGINAL 0, VU_ORIGINAL e ser o 1o acrescimo do item.",IF(AND(ISNUMBER(SEARCH("NOVO",D3)),OR(N3="",ISERROR(MATCH(N3,{"C0","C1","C2","C3","C4"},0)))),"ALERTA: BASE_VU_OBRIGATORIA",IF(AND(NOT(ISNUMBER(SEARCH("NOVO",D3))),N3&lt;&gt;""),"ALERTA: BASE_VU_NAO_APLICAVEL",IF(AND(UPPER(H3)="SIM",NOT(ISNUMBER(I3))),"ALERTA: BASE_VU_INVALIDA_OU_POSTERIOR_AO_FATOR_ALVO","OK"))))))))))</f>
        <v/>
      </c>
      <c r="N3" s="485"/>
      <c r="O3" s="487" t="str">
        <f>IFERROR(IF((COUNTIFS($A$2:$A$200,$A3,$D$2:$D$200,"*novo*",$N$2:$N$200,"C0")+COUNTIFS($A$2:$A$200,$A3,$D$2:$D$200,"*novo*",$N$2:$N$200,"C1")+COUNTIFS($A$2:$A$200,$A3,$D$2:$D$200,"*novo*",$N$2:$N$200,"C2")+COUNTIFS($A$2:$A$200,$A3,$D$2:$D$200,"*novo*",$N$2:$N$200,"C3")+COUNTIFS($A$2:$A$200,$A3,$D$2:$D$200,"*novo*",$N$2:$N$200,"C4"))=1,IF(COUNTIFS($A$2:$A$200,$A3,$D$2:$D$200,"*novo*",$N$2:$N$200,"C4")&gt;0,4,IF(COUNTIFS($A$2:$A$200,$A3,$D$2:$D$200,"*novo*",$N$2:$N$200,"C3")&gt;0,3,IF(COUNTIFS($A$2:$A$200,$A3,$D$2:$D$200,"*novo*",$N$2:$N$200,"C2")&gt;0,2,IF(COUNTIFS($A$2:$A$200,$A3,$D$2:$D$200,"*novo*",$N$2:$N$200,"C1")&gt;0,1,IF(COUNTIFS($A$2:$A$200,$A3,$D$2:$D$200,"*novo*",$N$2:$N$200,"C0")&gt;0,0,""))))),IF(AND((COUNTIFS($A$2:$A$200,$A3,$D$2:$D$200,"*novo*",$N$2:$N$200,"C0")+COUNTIFS($A$2:$A$200,$A3,$D$2:$D$200,"*novo*",$N$2:$N$200,"C1")+COUNTIFS($A$2:$A$200,$A3,$D$2:$D$200,"*novo*",$N$2:$N$200,"C2")+COUNTIFS($A$2:$A$200,$A3,$D$2:$D$200,"*novo*",$N$2:$N$200,"C3")+COUNTIFS($A$2:$A$200,$A3,$D$2:$D$200,"*novo*",$N$2:$N$200,"C4"))=0,INDEX(posicao_contratual!$Y$2:$Y$200,MATCH($A3,posicao_contratual!$A$2:$A$200,0))=0),0,"")),"")</f>
        <v/>
      </c>
    </row>
    <row r="4" spans="1:15" ht="45" customHeight="1" x14ac:dyDescent="0.35">
      <c r="A4" s="105"/>
      <c r="B4" s="189"/>
      <c r="C4" s="99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05"/>
      <c r="E4" s="106"/>
      <c r="F4" s="107" t="str">
        <f>IF(A4="","",IFERROR(VLOOKUP(A4,itens_Remanesc!$A:$C,3,0),""))</f>
        <v/>
      </c>
      <c r="G4" s="107" t="str">
        <f t="shared" si="0"/>
        <v/>
      </c>
      <c r="H4" s="105"/>
      <c r="I4" s="64" t="str">
        <f>IFERROR(IF(OR($A4="",$C4=""),"",IF(OR(($O4)="",($O4)&gt;(MIN(MATCH($C4,{"C0","C1","C2","C3","C4"},0)-1,COUNT(parametros!$F$2:$F$6)-1)),NOT(ISNUMBER(INDEX(parametros!$F$2:$F$6,(MIN(MATCH($C4,{"C0","C1","C2","C3","C4"},0)-1,COUNT(parametros!$F$2:$F$6)-1))+1))),NOT(ISNUMBER(INDEX(parametros!$F$2:$F$6,($O4)+1)))),"",INDEX(parametros!$F$2:$F$6,(MIN(MATCH($C4,{"C0","C1","C2","C3","C4"},0)-1,COUNT(parametros!$F$2:$F$6)-1))+1)/INDEX(parametros!$F$2:$F$6,($O4)+1))),"")</f>
        <v/>
      </c>
      <c r="J4" s="107" t="str">
        <f t="shared" si="1"/>
        <v/>
      </c>
      <c r="K4" s="105"/>
      <c r="L4" s="85" t="str">
        <f t="shared" si="2"/>
        <v/>
      </c>
      <c r="M4" s="483" t="str">
        <f>IF(A4="","",IF(COUNTIF(itens_Remanesc!$A$2:$A$200,A4)=0,"NOVO ITEM NAO CADASTRADO - CADASTRAR EM itens_Remanesc: ITEM + VU_ORIGINAL (QTD_BASE_ORIGINAL sera 0 automaticamente); depois a data e a quantidade aqui.",IF(COUNTIF(itens_Remanesc!$A$2:$A$200,A4)&gt;1,"ALERTA: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TIPO_INVALIDO",IF(AND(ISNUMBER(SEARCH("NOVO",D4)),OR(INDEX(posicao_contratual!$C$2:$C$200,MATCH(A4,posicao_contratual!$A$2:$A$200,0))&lt;&gt;0,F4="",COUNTIFS($A$2:$A$200,A4,$B$2:$B$200,"&lt;"&amp;B4,$L$2:$L$200,"&gt;0")&gt;0)),"ALERTA: NOVO ITEM INVALIDO - use Acrescimo se o item ja existia; novo item exige QTD_BASE_ORIGINAL 0, VU_ORIGINAL e ser o 1o acrescimo do item.",IF(AND(ISNUMBER(SEARCH("NOVO",D4)),OR(N4="",ISERROR(MATCH(N4,{"C0","C1","C2","C3","C4"},0)))),"ALERTA: BASE_VU_OBRIGATORIA",IF(AND(NOT(ISNUMBER(SEARCH("NOVO",D4))),N4&lt;&gt;""),"ALERTA: BASE_VU_NAO_APLICAVEL",IF(AND(UPPER(H4)="SIM",NOT(ISNUMBER(I4))),"ALERTA: BASE_VU_INVALIDA_OU_POSTERIOR_AO_FATOR_ALVO","OK"))))))))))</f>
        <v/>
      </c>
      <c r="N4" s="485"/>
      <c r="O4" s="487" t="str">
        <f>IFERROR(IF((COUNTIFS($A$2:$A$200,$A4,$D$2:$D$200,"*novo*",$N$2:$N$200,"C0")+COUNTIFS($A$2:$A$200,$A4,$D$2:$D$200,"*novo*",$N$2:$N$200,"C1")+COUNTIFS($A$2:$A$200,$A4,$D$2:$D$200,"*novo*",$N$2:$N$200,"C2")+COUNTIFS($A$2:$A$200,$A4,$D$2:$D$200,"*novo*",$N$2:$N$200,"C3")+COUNTIFS($A$2:$A$200,$A4,$D$2:$D$200,"*novo*",$N$2:$N$200,"C4"))=1,IF(COUNTIFS($A$2:$A$200,$A4,$D$2:$D$200,"*novo*",$N$2:$N$200,"C4")&gt;0,4,IF(COUNTIFS($A$2:$A$200,$A4,$D$2:$D$200,"*novo*",$N$2:$N$200,"C3")&gt;0,3,IF(COUNTIFS($A$2:$A$200,$A4,$D$2:$D$200,"*novo*",$N$2:$N$200,"C2")&gt;0,2,IF(COUNTIFS($A$2:$A$200,$A4,$D$2:$D$200,"*novo*",$N$2:$N$200,"C1")&gt;0,1,IF(COUNTIFS($A$2:$A$200,$A4,$D$2:$D$200,"*novo*",$N$2:$N$200,"C0")&gt;0,0,""))))),IF(AND((COUNTIFS($A$2:$A$200,$A4,$D$2:$D$200,"*novo*",$N$2:$N$200,"C0")+COUNTIFS($A$2:$A$200,$A4,$D$2:$D$200,"*novo*",$N$2:$N$200,"C1")+COUNTIFS($A$2:$A$200,$A4,$D$2:$D$200,"*novo*",$N$2:$N$200,"C2")+COUNTIFS($A$2:$A$200,$A4,$D$2:$D$200,"*novo*",$N$2:$N$200,"C3")+COUNTIFS($A$2:$A$200,$A4,$D$2:$D$200,"*novo*",$N$2:$N$200,"C4"))=0,INDEX(posicao_contratual!$Y$2:$Y$200,MATCH($A4,posicao_contratual!$A$2:$A$200,0))=0),0,"")),"")</f>
        <v/>
      </c>
    </row>
    <row r="5" spans="1:15" ht="45" customHeight="1" x14ac:dyDescent="0.35">
      <c r="A5" s="105"/>
      <c r="B5" s="189"/>
      <c r="C5" s="99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05"/>
      <c r="E5" s="106"/>
      <c r="F5" s="107" t="str">
        <f>IF(A5="","",IFERROR(VLOOKUP(A5,itens_Remanesc!$A:$C,3,0),""))</f>
        <v/>
      </c>
      <c r="G5" s="107" t="str">
        <f t="shared" si="0"/>
        <v/>
      </c>
      <c r="H5" s="105"/>
      <c r="I5" s="64" t="str">
        <f>IFERROR(IF(OR($A5="",$C5=""),"",IF(OR(($O5)="",($O5)&gt;(MIN(MATCH($C5,{"C0","C1","C2","C3","C4"},0)-1,COUNT(parametros!$F$2:$F$6)-1)),NOT(ISNUMBER(INDEX(parametros!$F$2:$F$6,(MIN(MATCH($C5,{"C0","C1","C2","C3","C4"},0)-1,COUNT(parametros!$F$2:$F$6)-1))+1))),NOT(ISNUMBER(INDEX(parametros!$F$2:$F$6,($O5)+1)))),"",INDEX(parametros!$F$2:$F$6,(MIN(MATCH($C5,{"C0","C1","C2","C3","C4"},0)-1,COUNT(parametros!$F$2:$F$6)-1))+1)/INDEX(parametros!$F$2:$F$6,($O5)+1))),"")</f>
        <v/>
      </c>
      <c r="J5" s="107" t="str">
        <f t="shared" si="1"/>
        <v/>
      </c>
      <c r="K5" s="105"/>
      <c r="L5" s="85" t="str">
        <f t="shared" si="2"/>
        <v/>
      </c>
      <c r="M5" s="483" t="str">
        <f>IF(A5="","",IF(COUNTIF(itens_Remanesc!$A$2:$A$200,A5)=0,"NOVO ITEM NAO CADASTRADO - CADASTRAR EM itens_Remanesc: ITEM + VU_ORIGINAL (QTD_BASE_ORIGINAL sera 0 automaticamente); depois a data e a quantidade aqui.",IF(COUNTIF(itens_Remanesc!$A$2:$A$200,A5)&gt;1,"ALERTA: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TIPO_INVALIDO",IF(AND(ISNUMBER(SEARCH("NOVO",D5)),OR(INDEX(posicao_contratual!$C$2:$C$200,MATCH(A5,posicao_contratual!$A$2:$A$200,0))&lt;&gt;0,F5="",COUNTIFS($A$2:$A$200,A5,$B$2:$B$200,"&lt;"&amp;B5,$L$2:$L$200,"&gt;0")&gt;0)),"ALERTA: NOVO ITEM INVALIDO - use Acrescimo se o item ja existia; novo item exige QTD_BASE_ORIGINAL 0, VU_ORIGINAL e ser o 1o acrescimo do item.",IF(AND(ISNUMBER(SEARCH("NOVO",D5)),OR(N5="",ISERROR(MATCH(N5,{"C0","C1","C2","C3","C4"},0)))),"ALERTA: BASE_VU_OBRIGATORIA",IF(AND(NOT(ISNUMBER(SEARCH("NOVO",D5))),N5&lt;&gt;""),"ALERTA: BASE_VU_NAO_APLICAVEL",IF(AND(UPPER(H5)="SIM",NOT(ISNUMBER(I5))),"ALERTA: BASE_VU_INVALIDA_OU_POSTERIOR_AO_FATOR_ALVO","OK"))))))))))</f>
        <v/>
      </c>
      <c r="N5" s="485"/>
      <c r="O5" s="487" t="str">
        <f>IFERROR(IF((COUNTIFS($A$2:$A$200,$A5,$D$2:$D$200,"*novo*",$N$2:$N$200,"C0")+COUNTIFS($A$2:$A$200,$A5,$D$2:$D$200,"*novo*",$N$2:$N$200,"C1")+COUNTIFS($A$2:$A$200,$A5,$D$2:$D$200,"*novo*",$N$2:$N$200,"C2")+COUNTIFS($A$2:$A$200,$A5,$D$2:$D$200,"*novo*",$N$2:$N$200,"C3")+COUNTIFS($A$2:$A$200,$A5,$D$2:$D$200,"*novo*",$N$2:$N$200,"C4"))=1,IF(COUNTIFS($A$2:$A$200,$A5,$D$2:$D$200,"*novo*",$N$2:$N$200,"C4")&gt;0,4,IF(COUNTIFS($A$2:$A$200,$A5,$D$2:$D$200,"*novo*",$N$2:$N$200,"C3")&gt;0,3,IF(COUNTIFS($A$2:$A$200,$A5,$D$2:$D$200,"*novo*",$N$2:$N$200,"C2")&gt;0,2,IF(COUNTIFS($A$2:$A$200,$A5,$D$2:$D$200,"*novo*",$N$2:$N$200,"C1")&gt;0,1,IF(COUNTIFS($A$2:$A$200,$A5,$D$2:$D$200,"*novo*",$N$2:$N$200,"C0")&gt;0,0,""))))),IF(AND((COUNTIFS($A$2:$A$200,$A5,$D$2:$D$200,"*novo*",$N$2:$N$200,"C0")+COUNTIFS($A$2:$A$200,$A5,$D$2:$D$200,"*novo*",$N$2:$N$200,"C1")+COUNTIFS($A$2:$A$200,$A5,$D$2:$D$200,"*novo*",$N$2:$N$200,"C2")+COUNTIFS($A$2:$A$200,$A5,$D$2:$D$200,"*novo*",$N$2:$N$200,"C3")+COUNTIFS($A$2:$A$200,$A5,$D$2:$D$200,"*novo*",$N$2:$N$200,"C4"))=0,INDEX(posicao_contratual!$Y$2:$Y$200,MATCH($A5,posicao_contratual!$A$2:$A$200,0))=0),0,"")),"")</f>
        <v/>
      </c>
    </row>
    <row r="6" spans="1:15" ht="45" customHeight="1" x14ac:dyDescent="0.35">
      <c r="A6" s="105"/>
      <c r="B6" s="189"/>
      <c r="C6" s="99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05"/>
      <c r="E6" s="106"/>
      <c r="F6" s="107" t="str">
        <f>IF(A6="","",IFERROR(VLOOKUP(A6,itens_Remanesc!$A:$C,3,0),""))</f>
        <v/>
      </c>
      <c r="G6" s="107" t="str">
        <f t="shared" si="0"/>
        <v/>
      </c>
      <c r="H6" s="105"/>
      <c r="I6" s="64" t="str">
        <f>IFERROR(IF(OR($A6="",$C6=""),"",IF(OR(($O6)="",($O6)&gt;(MIN(MATCH($C6,{"C0","C1","C2","C3","C4"},0)-1,COUNT(parametros!$F$2:$F$6)-1)),NOT(ISNUMBER(INDEX(parametros!$F$2:$F$6,(MIN(MATCH($C6,{"C0","C1","C2","C3","C4"},0)-1,COUNT(parametros!$F$2:$F$6)-1))+1))),NOT(ISNUMBER(INDEX(parametros!$F$2:$F$6,($O6)+1)))),"",INDEX(parametros!$F$2:$F$6,(MIN(MATCH($C6,{"C0","C1","C2","C3","C4"},0)-1,COUNT(parametros!$F$2:$F$6)-1))+1)/INDEX(parametros!$F$2:$F$6,($O6)+1))),"")</f>
        <v/>
      </c>
      <c r="J6" s="107" t="str">
        <f t="shared" si="1"/>
        <v/>
      </c>
      <c r="K6" s="105"/>
      <c r="L6" s="85" t="str">
        <f t="shared" si="2"/>
        <v/>
      </c>
      <c r="M6" s="483" t="str">
        <f>IF(A6="","",IF(COUNTIF(itens_Remanesc!$A$2:$A$200,A6)=0,"NOVO ITEM NAO CADASTRADO - CADASTRAR EM itens_Remanesc: ITEM + VU_ORIGINAL (QTD_BASE_ORIGINAL sera 0 automaticamente); depois a data e a quantidade aqui.",IF(COUNTIF(itens_Remanesc!$A$2:$A$200,A6)&gt;1,"ALERTA: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TIPO_INVALIDO",IF(AND(ISNUMBER(SEARCH("NOVO",D6)),OR(INDEX(posicao_contratual!$C$2:$C$200,MATCH(A6,posicao_contratual!$A$2:$A$200,0))&lt;&gt;0,F6="",COUNTIFS($A$2:$A$200,A6,$B$2:$B$200,"&lt;"&amp;B6,$L$2:$L$200,"&gt;0")&gt;0)),"ALERTA: NOVO ITEM INVALIDO - use Acrescimo se o item ja existia; novo item exige QTD_BASE_ORIGINAL 0, VU_ORIGINAL e ser o 1o acrescimo do item.",IF(AND(ISNUMBER(SEARCH("NOVO",D6)),OR(N6="",ISERROR(MATCH(N6,{"C0","C1","C2","C3","C4"},0)))),"ALERTA: BASE_VU_OBRIGATORIA",IF(AND(NOT(ISNUMBER(SEARCH("NOVO",D6))),N6&lt;&gt;""),"ALERTA: BASE_VU_NAO_APLICAVEL",IF(AND(UPPER(H6)="SIM",NOT(ISNUMBER(I6))),"ALERTA: BASE_VU_INVALIDA_OU_POSTERIOR_AO_FATOR_ALVO","OK"))))))))))</f>
        <v/>
      </c>
      <c r="N6" s="485"/>
      <c r="O6" s="487" t="str">
        <f>IFERROR(IF((COUNTIFS($A$2:$A$200,$A6,$D$2:$D$200,"*novo*",$N$2:$N$200,"C0")+COUNTIFS($A$2:$A$200,$A6,$D$2:$D$200,"*novo*",$N$2:$N$200,"C1")+COUNTIFS($A$2:$A$200,$A6,$D$2:$D$200,"*novo*",$N$2:$N$200,"C2")+COUNTIFS($A$2:$A$200,$A6,$D$2:$D$200,"*novo*",$N$2:$N$200,"C3")+COUNTIFS($A$2:$A$200,$A6,$D$2:$D$200,"*novo*",$N$2:$N$200,"C4"))=1,IF(COUNTIFS($A$2:$A$200,$A6,$D$2:$D$200,"*novo*",$N$2:$N$200,"C4")&gt;0,4,IF(COUNTIFS($A$2:$A$200,$A6,$D$2:$D$200,"*novo*",$N$2:$N$200,"C3")&gt;0,3,IF(COUNTIFS($A$2:$A$200,$A6,$D$2:$D$200,"*novo*",$N$2:$N$200,"C2")&gt;0,2,IF(COUNTIFS($A$2:$A$200,$A6,$D$2:$D$200,"*novo*",$N$2:$N$200,"C1")&gt;0,1,IF(COUNTIFS($A$2:$A$200,$A6,$D$2:$D$200,"*novo*",$N$2:$N$200,"C0")&gt;0,0,""))))),IF(AND((COUNTIFS($A$2:$A$200,$A6,$D$2:$D$200,"*novo*",$N$2:$N$200,"C0")+COUNTIFS($A$2:$A$200,$A6,$D$2:$D$200,"*novo*",$N$2:$N$200,"C1")+COUNTIFS($A$2:$A$200,$A6,$D$2:$D$200,"*novo*",$N$2:$N$200,"C2")+COUNTIFS($A$2:$A$200,$A6,$D$2:$D$200,"*novo*",$N$2:$N$200,"C3")+COUNTIFS($A$2:$A$200,$A6,$D$2:$D$200,"*novo*",$N$2:$N$200,"C4"))=0,INDEX(posicao_contratual!$Y$2:$Y$200,MATCH($A6,posicao_contratual!$A$2:$A$200,0))=0),0,"")),"")</f>
        <v/>
      </c>
    </row>
    <row r="7" spans="1:15" ht="45" customHeight="1" x14ac:dyDescent="0.35">
      <c r="A7" s="105"/>
      <c r="B7" s="189"/>
      <c r="C7" s="99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05"/>
      <c r="E7" s="106"/>
      <c r="F7" s="107" t="str">
        <f>IF(A7="","",IFERROR(VLOOKUP(A7,itens_Remanesc!$A:$C,3,0),""))</f>
        <v/>
      </c>
      <c r="G7" s="107" t="str">
        <f t="shared" si="0"/>
        <v/>
      </c>
      <c r="H7" s="105"/>
      <c r="I7" s="64" t="str">
        <f>IFERROR(IF(OR($A7="",$C7=""),"",IF(OR(($O7)="",($O7)&gt;(MIN(MATCH($C7,{"C0","C1","C2","C3","C4"},0)-1,COUNT(parametros!$F$2:$F$6)-1)),NOT(ISNUMBER(INDEX(parametros!$F$2:$F$6,(MIN(MATCH($C7,{"C0","C1","C2","C3","C4"},0)-1,COUNT(parametros!$F$2:$F$6)-1))+1))),NOT(ISNUMBER(INDEX(parametros!$F$2:$F$6,($O7)+1)))),"",INDEX(parametros!$F$2:$F$6,(MIN(MATCH($C7,{"C0","C1","C2","C3","C4"},0)-1,COUNT(parametros!$F$2:$F$6)-1))+1)/INDEX(parametros!$F$2:$F$6,($O7)+1))),"")</f>
        <v/>
      </c>
      <c r="J7" s="107" t="str">
        <f t="shared" si="1"/>
        <v/>
      </c>
      <c r="K7" s="105"/>
      <c r="L7" s="85" t="str">
        <f t="shared" si="2"/>
        <v/>
      </c>
      <c r="M7" s="483" t="str">
        <f>IF(A7="","",IF(COUNTIF(itens_Remanesc!$A$2:$A$200,A7)=0,"NOVO ITEM NAO CADASTRADO - CADASTRAR EM itens_Remanesc: ITEM + VU_ORIGINAL (QTD_BASE_ORIGINAL sera 0 automaticamente); depois a data e a quantidade aqui.",IF(COUNTIF(itens_Remanesc!$A$2:$A$200,A7)&gt;1,"ALERTA: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TIPO_INVALIDO",IF(AND(ISNUMBER(SEARCH("NOVO",D7)),OR(INDEX(posicao_contratual!$C$2:$C$200,MATCH(A7,posicao_contratual!$A$2:$A$200,0))&lt;&gt;0,F7="",COUNTIFS($A$2:$A$200,A7,$B$2:$B$200,"&lt;"&amp;B7,$L$2:$L$200,"&gt;0")&gt;0)),"ALERTA: NOVO ITEM INVALIDO - use Acrescimo se o item ja existia; novo item exige QTD_BASE_ORIGINAL 0, VU_ORIGINAL e ser o 1o acrescimo do item.",IF(AND(ISNUMBER(SEARCH("NOVO",D7)),OR(N7="",ISERROR(MATCH(N7,{"C0","C1","C2","C3","C4"},0)))),"ALERTA: BASE_VU_OBRIGATORIA",IF(AND(NOT(ISNUMBER(SEARCH("NOVO",D7))),N7&lt;&gt;""),"ALERTA: BASE_VU_NAO_APLICAVEL",IF(AND(UPPER(H7)="SIM",NOT(ISNUMBER(I7))),"ALERTA: BASE_VU_INVALIDA_OU_POSTERIOR_AO_FATOR_ALVO","OK"))))))))))</f>
        <v/>
      </c>
      <c r="N7" s="485"/>
      <c r="O7" s="487" t="str">
        <f>IFERROR(IF((COUNTIFS($A$2:$A$200,$A7,$D$2:$D$200,"*novo*",$N$2:$N$200,"C0")+COUNTIFS($A$2:$A$200,$A7,$D$2:$D$200,"*novo*",$N$2:$N$200,"C1")+COUNTIFS($A$2:$A$200,$A7,$D$2:$D$200,"*novo*",$N$2:$N$200,"C2")+COUNTIFS($A$2:$A$200,$A7,$D$2:$D$200,"*novo*",$N$2:$N$200,"C3")+COUNTIFS($A$2:$A$200,$A7,$D$2:$D$200,"*novo*",$N$2:$N$200,"C4"))=1,IF(COUNTIFS($A$2:$A$200,$A7,$D$2:$D$200,"*novo*",$N$2:$N$200,"C4")&gt;0,4,IF(COUNTIFS($A$2:$A$200,$A7,$D$2:$D$200,"*novo*",$N$2:$N$200,"C3")&gt;0,3,IF(COUNTIFS($A$2:$A$200,$A7,$D$2:$D$200,"*novo*",$N$2:$N$200,"C2")&gt;0,2,IF(COUNTIFS($A$2:$A$200,$A7,$D$2:$D$200,"*novo*",$N$2:$N$200,"C1")&gt;0,1,IF(COUNTIFS($A$2:$A$200,$A7,$D$2:$D$200,"*novo*",$N$2:$N$200,"C0")&gt;0,0,""))))),IF(AND((COUNTIFS($A$2:$A$200,$A7,$D$2:$D$200,"*novo*",$N$2:$N$200,"C0")+COUNTIFS($A$2:$A$200,$A7,$D$2:$D$200,"*novo*",$N$2:$N$200,"C1")+COUNTIFS($A$2:$A$200,$A7,$D$2:$D$200,"*novo*",$N$2:$N$200,"C2")+COUNTIFS($A$2:$A$200,$A7,$D$2:$D$200,"*novo*",$N$2:$N$200,"C3")+COUNTIFS($A$2:$A$200,$A7,$D$2:$D$200,"*novo*",$N$2:$N$200,"C4"))=0,INDEX(posicao_contratual!$Y$2:$Y$200,MATCH($A7,posicao_contratual!$A$2:$A$200,0))=0),0,"")),"")</f>
        <v/>
      </c>
    </row>
    <row r="8" spans="1:15" ht="45" customHeight="1" x14ac:dyDescent="0.35">
      <c r="A8" s="105"/>
      <c r="B8" s="189"/>
      <c r="C8" s="99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05"/>
      <c r="E8" s="106"/>
      <c r="F8" s="107" t="str">
        <f>IF(A8="","",IFERROR(VLOOKUP(A8,itens_Remanesc!$A:$C,3,0),""))</f>
        <v/>
      </c>
      <c r="G8" s="107" t="str">
        <f t="shared" si="0"/>
        <v/>
      </c>
      <c r="H8" s="105"/>
      <c r="I8" s="64" t="str">
        <f>IFERROR(IF(OR($A8="",$C8=""),"",IF(OR(($O8)="",($O8)&gt;(MIN(MATCH($C8,{"C0","C1","C2","C3","C4"},0)-1,COUNT(parametros!$F$2:$F$6)-1)),NOT(ISNUMBER(INDEX(parametros!$F$2:$F$6,(MIN(MATCH($C8,{"C0","C1","C2","C3","C4"},0)-1,COUNT(parametros!$F$2:$F$6)-1))+1))),NOT(ISNUMBER(INDEX(parametros!$F$2:$F$6,($O8)+1)))),"",INDEX(parametros!$F$2:$F$6,(MIN(MATCH($C8,{"C0","C1","C2","C3","C4"},0)-1,COUNT(parametros!$F$2:$F$6)-1))+1)/INDEX(parametros!$F$2:$F$6,($O8)+1))),"")</f>
        <v/>
      </c>
      <c r="J8" s="107" t="str">
        <f t="shared" si="1"/>
        <v/>
      </c>
      <c r="K8" s="105"/>
      <c r="L8" s="85" t="str">
        <f t="shared" si="2"/>
        <v/>
      </c>
      <c r="M8" s="483" t="str">
        <f>IF(A8="","",IF(COUNTIF(itens_Remanesc!$A$2:$A$200,A8)=0,"NOVO ITEM NAO CADASTRADO - CADASTRAR EM itens_Remanesc: ITEM + VU_ORIGINAL (QTD_BASE_ORIGINAL sera 0 automaticamente); depois a data e a quantidade aqui.",IF(COUNTIF(itens_Remanesc!$A$2:$A$200,A8)&gt;1,"ALERTA: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TIPO_INVALIDO",IF(AND(ISNUMBER(SEARCH("NOVO",D8)),OR(INDEX(posicao_contratual!$C$2:$C$200,MATCH(A8,posicao_contratual!$A$2:$A$200,0))&lt;&gt;0,F8="",COUNTIFS($A$2:$A$200,A8,$B$2:$B$200,"&lt;"&amp;B8,$L$2:$L$200,"&gt;0")&gt;0)),"ALERTA: NOVO ITEM INVALIDO - use Acrescimo se o item ja existia; novo item exige QTD_BASE_ORIGINAL 0, VU_ORIGINAL e ser o 1o acrescimo do item.",IF(AND(ISNUMBER(SEARCH("NOVO",D8)),OR(N8="",ISERROR(MATCH(N8,{"C0","C1","C2","C3","C4"},0)))),"ALERTA: BASE_VU_OBRIGATORIA",IF(AND(NOT(ISNUMBER(SEARCH("NOVO",D8))),N8&lt;&gt;""),"ALERTA: BASE_VU_NAO_APLICAVEL",IF(AND(UPPER(H8)="SIM",NOT(ISNUMBER(I8))),"ALERTA: BASE_VU_INVALIDA_OU_POSTERIOR_AO_FATOR_ALVO","OK"))))))))))</f>
        <v/>
      </c>
      <c r="N8" s="485"/>
      <c r="O8" s="487" t="str">
        <f>IFERROR(IF((COUNTIFS($A$2:$A$200,$A8,$D$2:$D$200,"*novo*",$N$2:$N$200,"C0")+COUNTIFS($A$2:$A$200,$A8,$D$2:$D$200,"*novo*",$N$2:$N$200,"C1")+COUNTIFS($A$2:$A$200,$A8,$D$2:$D$200,"*novo*",$N$2:$N$200,"C2")+COUNTIFS($A$2:$A$200,$A8,$D$2:$D$200,"*novo*",$N$2:$N$200,"C3")+COUNTIFS($A$2:$A$200,$A8,$D$2:$D$200,"*novo*",$N$2:$N$200,"C4"))=1,IF(COUNTIFS($A$2:$A$200,$A8,$D$2:$D$200,"*novo*",$N$2:$N$200,"C4")&gt;0,4,IF(COUNTIFS($A$2:$A$200,$A8,$D$2:$D$200,"*novo*",$N$2:$N$200,"C3")&gt;0,3,IF(COUNTIFS($A$2:$A$200,$A8,$D$2:$D$200,"*novo*",$N$2:$N$200,"C2")&gt;0,2,IF(COUNTIFS($A$2:$A$200,$A8,$D$2:$D$200,"*novo*",$N$2:$N$200,"C1")&gt;0,1,IF(COUNTIFS($A$2:$A$200,$A8,$D$2:$D$200,"*novo*",$N$2:$N$200,"C0")&gt;0,0,""))))),IF(AND((COUNTIFS($A$2:$A$200,$A8,$D$2:$D$200,"*novo*",$N$2:$N$200,"C0")+COUNTIFS($A$2:$A$200,$A8,$D$2:$D$200,"*novo*",$N$2:$N$200,"C1")+COUNTIFS($A$2:$A$200,$A8,$D$2:$D$200,"*novo*",$N$2:$N$200,"C2")+COUNTIFS($A$2:$A$200,$A8,$D$2:$D$200,"*novo*",$N$2:$N$200,"C3")+COUNTIFS($A$2:$A$200,$A8,$D$2:$D$200,"*novo*",$N$2:$N$200,"C4"))=0,INDEX(posicao_contratual!$Y$2:$Y$200,MATCH($A8,posicao_contratual!$A$2:$A$200,0))=0),0,"")),"")</f>
        <v/>
      </c>
    </row>
    <row r="9" spans="1:15" ht="45" customHeight="1" x14ac:dyDescent="0.35">
      <c r="A9" s="105"/>
      <c r="B9" s="189"/>
      <c r="C9" s="99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05"/>
      <c r="E9" s="106"/>
      <c r="F9" s="107" t="str">
        <f>IF(A9="","",IFERROR(VLOOKUP(A9,itens_Remanesc!$A:$C,3,0),""))</f>
        <v/>
      </c>
      <c r="G9" s="107" t="str">
        <f t="shared" si="0"/>
        <v/>
      </c>
      <c r="H9" s="105"/>
      <c r="I9" s="64" t="str">
        <f>IFERROR(IF(OR($A9="",$C9=""),"",IF(OR(($O9)="",($O9)&gt;(MIN(MATCH($C9,{"C0","C1","C2","C3","C4"},0)-1,COUNT(parametros!$F$2:$F$6)-1)),NOT(ISNUMBER(INDEX(parametros!$F$2:$F$6,(MIN(MATCH($C9,{"C0","C1","C2","C3","C4"},0)-1,COUNT(parametros!$F$2:$F$6)-1))+1))),NOT(ISNUMBER(INDEX(parametros!$F$2:$F$6,($O9)+1)))),"",INDEX(parametros!$F$2:$F$6,(MIN(MATCH($C9,{"C0","C1","C2","C3","C4"},0)-1,COUNT(parametros!$F$2:$F$6)-1))+1)/INDEX(parametros!$F$2:$F$6,($O9)+1))),"")</f>
        <v/>
      </c>
      <c r="J9" s="107" t="str">
        <f t="shared" si="1"/>
        <v/>
      </c>
      <c r="K9" s="105"/>
      <c r="L9" s="85" t="str">
        <f t="shared" si="2"/>
        <v/>
      </c>
      <c r="M9" s="483" t="str">
        <f>IF(A9="","",IF(COUNTIF(itens_Remanesc!$A$2:$A$200,A9)=0,"NOVO ITEM NAO CADASTRADO - CADASTRAR EM itens_Remanesc: ITEM + VU_ORIGINAL (QTD_BASE_ORIGINAL sera 0 automaticamente); depois a data e a quantidade aqui.",IF(COUNTIF(itens_Remanesc!$A$2:$A$200,A9)&gt;1,"ALERTA: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TIPO_INVALIDO",IF(AND(ISNUMBER(SEARCH("NOVO",D9)),OR(INDEX(posicao_contratual!$C$2:$C$200,MATCH(A9,posicao_contratual!$A$2:$A$200,0))&lt;&gt;0,F9="",COUNTIFS($A$2:$A$200,A9,$B$2:$B$200,"&lt;"&amp;B9,$L$2:$L$200,"&gt;0")&gt;0)),"ALERTA: NOVO ITEM INVALIDO - use Acrescimo se o item ja existia; novo item exige QTD_BASE_ORIGINAL 0, VU_ORIGINAL e ser o 1o acrescimo do item.",IF(AND(ISNUMBER(SEARCH("NOVO",D9)),OR(N9="",ISERROR(MATCH(N9,{"C0","C1","C2","C3","C4"},0)))),"ALERTA: BASE_VU_OBRIGATORIA",IF(AND(NOT(ISNUMBER(SEARCH("NOVO",D9))),N9&lt;&gt;""),"ALERTA: BASE_VU_NAO_APLICAVEL",IF(AND(UPPER(H9)="SIM",NOT(ISNUMBER(I9))),"ALERTA: BASE_VU_INVALIDA_OU_POSTERIOR_AO_FATOR_ALVO","OK"))))))))))</f>
        <v/>
      </c>
      <c r="N9" s="485"/>
      <c r="O9" s="487" t="str">
        <f>IFERROR(IF((COUNTIFS($A$2:$A$200,$A9,$D$2:$D$200,"*novo*",$N$2:$N$200,"C0")+COUNTIFS($A$2:$A$200,$A9,$D$2:$D$200,"*novo*",$N$2:$N$200,"C1")+COUNTIFS($A$2:$A$200,$A9,$D$2:$D$200,"*novo*",$N$2:$N$200,"C2")+COUNTIFS($A$2:$A$200,$A9,$D$2:$D$200,"*novo*",$N$2:$N$200,"C3")+COUNTIFS($A$2:$A$200,$A9,$D$2:$D$200,"*novo*",$N$2:$N$200,"C4"))=1,IF(COUNTIFS($A$2:$A$200,$A9,$D$2:$D$200,"*novo*",$N$2:$N$200,"C4")&gt;0,4,IF(COUNTIFS($A$2:$A$200,$A9,$D$2:$D$200,"*novo*",$N$2:$N$200,"C3")&gt;0,3,IF(COUNTIFS($A$2:$A$200,$A9,$D$2:$D$200,"*novo*",$N$2:$N$200,"C2")&gt;0,2,IF(COUNTIFS($A$2:$A$200,$A9,$D$2:$D$200,"*novo*",$N$2:$N$200,"C1")&gt;0,1,IF(COUNTIFS($A$2:$A$200,$A9,$D$2:$D$200,"*novo*",$N$2:$N$200,"C0")&gt;0,0,""))))),IF(AND((COUNTIFS($A$2:$A$200,$A9,$D$2:$D$200,"*novo*",$N$2:$N$200,"C0")+COUNTIFS($A$2:$A$200,$A9,$D$2:$D$200,"*novo*",$N$2:$N$200,"C1")+COUNTIFS($A$2:$A$200,$A9,$D$2:$D$200,"*novo*",$N$2:$N$200,"C2")+COUNTIFS($A$2:$A$200,$A9,$D$2:$D$200,"*novo*",$N$2:$N$200,"C3")+COUNTIFS($A$2:$A$200,$A9,$D$2:$D$200,"*novo*",$N$2:$N$200,"C4"))=0,INDEX(posicao_contratual!$Y$2:$Y$200,MATCH($A9,posicao_contratual!$A$2:$A$200,0))=0),0,"")),"")</f>
        <v/>
      </c>
    </row>
    <row r="10" spans="1:15" ht="45" customHeight="1" x14ac:dyDescent="0.35">
      <c r="A10" s="105"/>
      <c r="B10" s="189"/>
      <c r="C10" s="99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05"/>
      <c r="E10" s="106"/>
      <c r="F10" s="107" t="str">
        <f>IF(A10="","",IFERROR(VLOOKUP(A10,itens_Remanesc!$A:$C,3,0),""))</f>
        <v/>
      </c>
      <c r="G10" s="107" t="str">
        <f t="shared" si="0"/>
        <v/>
      </c>
      <c r="H10" s="105"/>
      <c r="I10" s="64" t="str">
        <f>IFERROR(IF(OR($A10="",$C10=""),"",IF(OR(($O10)="",($O10)&gt;(MIN(MATCH($C10,{"C0","C1","C2","C3","C4"},0)-1,COUNT(parametros!$F$2:$F$6)-1)),NOT(ISNUMBER(INDEX(parametros!$F$2:$F$6,(MIN(MATCH($C10,{"C0","C1","C2","C3","C4"},0)-1,COUNT(parametros!$F$2:$F$6)-1))+1))),NOT(ISNUMBER(INDEX(parametros!$F$2:$F$6,($O10)+1)))),"",INDEX(parametros!$F$2:$F$6,(MIN(MATCH($C10,{"C0","C1","C2","C3","C4"},0)-1,COUNT(parametros!$F$2:$F$6)-1))+1)/INDEX(parametros!$F$2:$F$6,($O10)+1))),"")</f>
        <v/>
      </c>
      <c r="J10" s="107" t="str">
        <f t="shared" si="1"/>
        <v/>
      </c>
      <c r="K10" s="105"/>
      <c r="L10" s="85" t="str">
        <f t="shared" si="2"/>
        <v/>
      </c>
      <c r="M10" s="483" t="str">
        <f>IF(A10="","",IF(COUNTIF(itens_Remanesc!$A$2:$A$200,A10)=0,"NOVO ITEM NAO CADASTRADO - CADASTRAR EM itens_Remanesc: ITEM + VU_ORIGINAL (QTD_BASE_ORIGINAL sera 0 automaticamente); depois a data e a quantidade aqui.",IF(COUNTIF(itens_Remanesc!$A$2:$A$200,A10)&gt;1,"ALERTA: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TIPO_INVALIDO",IF(AND(ISNUMBER(SEARCH("NOVO",D10)),OR(INDEX(posicao_contratual!$C$2:$C$200,MATCH(A10,posicao_contratual!$A$2:$A$200,0))&lt;&gt;0,F10="",COUNTIFS($A$2:$A$200,A10,$B$2:$B$200,"&lt;"&amp;B10,$L$2:$L$200,"&gt;0")&gt;0)),"ALERTA: NOVO ITEM INVALIDO - use Acrescimo se o item ja existia; novo item exige QTD_BASE_ORIGINAL 0, VU_ORIGINAL e ser o 1o acrescimo do item.",IF(AND(ISNUMBER(SEARCH("NOVO",D10)),OR(N10="",ISERROR(MATCH(N10,{"C0","C1","C2","C3","C4"},0)))),"ALERTA: BASE_VU_OBRIGATORIA",IF(AND(NOT(ISNUMBER(SEARCH("NOVO",D10))),N10&lt;&gt;""),"ALERTA: BASE_VU_NAO_APLICAVEL",IF(AND(UPPER(H10)="SIM",NOT(ISNUMBER(I10))),"ALERTA: BASE_VU_INVALIDA_OU_POSTERIOR_AO_FATOR_ALVO","OK"))))))))))</f>
        <v/>
      </c>
      <c r="N10" s="485"/>
      <c r="O10" s="487" t="str">
        <f>IFERROR(IF((COUNTIFS($A$2:$A$200,$A10,$D$2:$D$200,"*novo*",$N$2:$N$200,"C0")+COUNTIFS($A$2:$A$200,$A10,$D$2:$D$200,"*novo*",$N$2:$N$200,"C1")+COUNTIFS($A$2:$A$200,$A10,$D$2:$D$200,"*novo*",$N$2:$N$200,"C2")+COUNTIFS($A$2:$A$200,$A10,$D$2:$D$200,"*novo*",$N$2:$N$200,"C3")+COUNTIFS($A$2:$A$200,$A10,$D$2:$D$200,"*novo*",$N$2:$N$200,"C4"))=1,IF(COUNTIFS($A$2:$A$200,$A10,$D$2:$D$200,"*novo*",$N$2:$N$200,"C4")&gt;0,4,IF(COUNTIFS($A$2:$A$200,$A10,$D$2:$D$200,"*novo*",$N$2:$N$200,"C3")&gt;0,3,IF(COUNTIFS($A$2:$A$200,$A10,$D$2:$D$200,"*novo*",$N$2:$N$200,"C2")&gt;0,2,IF(COUNTIFS($A$2:$A$200,$A10,$D$2:$D$200,"*novo*",$N$2:$N$200,"C1")&gt;0,1,IF(COUNTIFS($A$2:$A$200,$A10,$D$2:$D$200,"*novo*",$N$2:$N$200,"C0")&gt;0,0,""))))),IF(AND((COUNTIFS($A$2:$A$200,$A10,$D$2:$D$200,"*novo*",$N$2:$N$200,"C0")+COUNTIFS($A$2:$A$200,$A10,$D$2:$D$200,"*novo*",$N$2:$N$200,"C1")+COUNTIFS($A$2:$A$200,$A10,$D$2:$D$200,"*novo*",$N$2:$N$200,"C2")+COUNTIFS($A$2:$A$200,$A10,$D$2:$D$200,"*novo*",$N$2:$N$200,"C3")+COUNTIFS($A$2:$A$200,$A10,$D$2:$D$200,"*novo*",$N$2:$N$200,"C4"))=0,INDEX(posicao_contratual!$Y$2:$Y$200,MATCH($A10,posicao_contratual!$A$2:$A$200,0))=0),0,"")),"")</f>
        <v/>
      </c>
    </row>
    <row r="11" spans="1:15" ht="45" customHeight="1" x14ac:dyDescent="0.35">
      <c r="A11" s="105"/>
      <c r="B11" s="189"/>
      <c r="C11" s="99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05"/>
      <c r="E11" s="106"/>
      <c r="F11" s="107" t="str">
        <f>IF(A11="","",IFERROR(VLOOKUP(A11,itens_Remanesc!$A:$C,3,0),""))</f>
        <v/>
      </c>
      <c r="G11" s="107" t="str">
        <f t="shared" si="0"/>
        <v/>
      </c>
      <c r="H11" s="105"/>
      <c r="I11" s="64" t="str">
        <f>IFERROR(IF(OR($A11="",$C11=""),"",IF(OR(($O11)="",($O11)&gt;(MIN(MATCH($C11,{"C0","C1","C2","C3","C4"},0)-1,COUNT(parametros!$F$2:$F$6)-1)),NOT(ISNUMBER(INDEX(parametros!$F$2:$F$6,(MIN(MATCH($C11,{"C0","C1","C2","C3","C4"},0)-1,COUNT(parametros!$F$2:$F$6)-1))+1))),NOT(ISNUMBER(INDEX(parametros!$F$2:$F$6,($O11)+1)))),"",INDEX(parametros!$F$2:$F$6,(MIN(MATCH($C11,{"C0","C1","C2","C3","C4"},0)-1,COUNT(parametros!$F$2:$F$6)-1))+1)/INDEX(parametros!$F$2:$F$6,($O11)+1))),"")</f>
        <v/>
      </c>
      <c r="J11" s="107" t="str">
        <f t="shared" si="1"/>
        <v/>
      </c>
      <c r="K11" s="105"/>
      <c r="L11" s="85" t="str">
        <f t="shared" si="2"/>
        <v/>
      </c>
      <c r="M11" s="483" t="str">
        <f>IF(A11="","",IF(COUNTIF(itens_Remanesc!$A$2:$A$200,A11)=0,"NOVO ITEM NAO CADASTRADO - CADASTRAR EM itens_Remanesc: ITEM + VU_ORIGINAL (QTD_BASE_ORIGINAL sera 0 automaticamente); depois a data e a quantidade aqui.",IF(COUNTIF(itens_Remanesc!$A$2:$A$200,A11)&gt;1,"ALERTA: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TIPO_INVALIDO",IF(AND(ISNUMBER(SEARCH("NOVO",D11)),OR(INDEX(posicao_contratual!$C$2:$C$200,MATCH(A11,posicao_contratual!$A$2:$A$200,0))&lt;&gt;0,F11="",COUNTIFS($A$2:$A$200,A11,$B$2:$B$200,"&lt;"&amp;B11,$L$2:$L$200,"&gt;0")&gt;0)),"ALERTA: NOVO ITEM INVALIDO - use Acrescimo se o item ja existia; novo item exige QTD_BASE_ORIGINAL 0, VU_ORIGINAL e ser o 1o acrescimo do item.",IF(AND(ISNUMBER(SEARCH("NOVO",D11)),OR(N11="",ISERROR(MATCH(N11,{"C0","C1","C2","C3","C4"},0)))),"ALERTA: BASE_VU_OBRIGATORIA",IF(AND(NOT(ISNUMBER(SEARCH("NOVO",D11))),N11&lt;&gt;""),"ALERTA: BASE_VU_NAO_APLICAVEL",IF(AND(UPPER(H11)="SIM",NOT(ISNUMBER(I11))),"ALERTA: BASE_VU_INVALIDA_OU_POSTERIOR_AO_FATOR_ALVO","OK"))))))))))</f>
        <v/>
      </c>
      <c r="N11" s="485"/>
      <c r="O11" s="487" t="str">
        <f>IFERROR(IF((COUNTIFS($A$2:$A$200,$A11,$D$2:$D$200,"*novo*",$N$2:$N$200,"C0")+COUNTIFS($A$2:$A$200,$A11,$D$2:$D$200,"*novo*",$N$2:$N$200,"C1")+COUNTIFS($A$2:$A$200,$A11,$D$2:$D$200,"*novo*",$N$2:$N$200,"C2")+COUNTIFS($A$2:$A$200,$A11,$D$2:$D$200,"*novo*",$N$2:$N$200,"C3")+COUNTIFS($A$2:$A$200,$A11,$D$2:$D$200,"*novo*",$N$2:$N$200,"C4"))=1,IF(COUNTIFS($A$2:$A$200,$A11,$D$2:$D$200,"*novo*",$N$2:$N$200,"C4")&gt;0,4,IF(COUNTIFS($A$2:$A$200,$A11,$D$2:$D$200,"*novo*",$N$2:$N$200,"C3")&gt;0,3,IF(COUNTIFS($A$2:$A$200,$A11,$D$2:$D$200,"*novo*",$N$2:$N$200,"C2")&gt;0,2,IF(COUNTIFS($A$2:$A$200,$A11,$D$2:$D$200,"*novo*",$N$2:$N$200,"C1")&gt;0,1,IF(COUNTIFS($A$2:$A$200,$A11,$D$2:$D$200,"*novo*",$N$2:$N$200,"C0")&gt;0,0,""))))),IF(AND((COUNTIFS($A$2:$A$200,$A11,$D$2:$D$200,"*novo*",$N$2:$N$200,"C0")+COUNTIFS($A$2:$A$200,$A11,$D$2:$D$200,"*novo*",$N$2:$N$200,"C1")+COUNTIFS($A$2:$A$200,$A11,$D$2:$D$200,"*novo*",$N$2:$N$200,"C2")+COUNTIFS($A$2:$A$200,$A11,$D$2:$D$200,"*novo*",$N$2:$N$200,"C3")+COUNTIFS($A$2:$A$200,$A11,$D$2:$D$200,"*novo*",$N$2:$N$200,"C4"))=0,INDEX(posicao_contratual!$Y$2:$Y$200,MATCH($A11,posicao_contratual!$A$2:$A$200,0))=0),0,"")),"")</f>
        <v/>
      </c>
    </row>
    <row r="12" spans="1:15" ht="45" customHeight="1" x14ac:dyDescent="0.35">
      <c r="A12" s="105"/>
      <c r="B12" s="189"/>
      <c r="C12" s="99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05"/>
      <c r="E12" s="106"/>
      <c r="F12" s="107" t="str">
        <f>IF(A12="","",IFERROR(VLOOKUP(A12,itens_Remanesc!$A:$C,3,0),""))</f>
        <v/>
      </c>
      <c r="G12" s="107" t="str">
        <f t="shared" si="0"/>
        <v/>
      </c>
      <c r="H12" s="105"/>
      <c r="I12" s="64" t="str">
        <f>IFERROR(IF(OR($A12="",$C12=""),"",IF(OR(($O12)="",($O12)&gt;(MIN(MATCH($C12,{"C0","C1","C2","C3","C4"},0)-1,COUNT(parametros!$F$2:$F$6)-1)),NOT(ISNUMBER(INDEX(parametros!$F$2:$F$6,(MIN(MATCH($C12,{"C0","C1","C2","C3","C4"},0)-1,COUNT(parametros!$F$2:$F$6)-1))+1))),NOT(ISNUMBER(INDEX(parametros!$F$2:$F$6,($O12)+1)))),"",INDEX(parametros!$F$2:$F$6,(MIN(MATCH($C12,{"C0","C1","C2","C3","C4"},0)-1,COUNT(parametros!$F$2:$F$6)-1))+1)/INDEX(parametros!$F$2:$F$6,($O12)+1))),"")</f>
        <v/>
      </c>
      <c r="J12" s="107" t="str">
        <f t="shared" si="1"/>
        <v/>
      </c>
      <c r="K12" s="105"/>
      <c r="L12" s="85" t="str">
        <f t="shared" si="2"/>
        <v/>
      </c>
      <c r="M12" s="483" t="str">
        <f>IF(A12="","",IF(COUNTIF(itens_Remanesc!$A$2:$A$200,A12)=0,"NOVO ITEM NAO CADASTRADO - CADASTRAR EM itens_Remanesc: ITEM + VU_ORIGINAL (QTD_BASE_ORIGINAL sera 0 automaticamente); depois a data e a quantidade aqui.",IF(COUNTIF(itens_Remanesc!$A$2:$A$200,A12)&gt;1,"ALERTA: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TIPO_INVALIDO",IF(AND(ISNUMBER(SEARCH("NOVO",D12)),OR(INDEX(posicao_contratual!$C$2:$C$200,MATCH(A12,posicao_contratual!$A$2:$A$200,0))&lt;&gt;0,F12="",COUNTIFS($A$2:$A$200,A12,$B$2:$B$200,"&lt;"&amp;B12,$L$2:$L$200,"&gt;0")&gt;0)),"ALERTA: NOVO ITEM INVALIDO - use Acrescimo se o item ja existia; novo item exige QTD_BASE_ORIGINAL 0, VU_ORIGINAL e ser o 1o acrescimo do item.",IF(AND(ISNUMBER(SEARCH("NOVO",D12)),OR(N12="",ISERROR(MATCH(N12,{"C0","C1","C2","C3","C4"},0)))),"ALERTA: BASE_VU_OBRIGATORIA",IF(AND(NOT(ISNUMBER(SEARCH("NOVO",D12))),N12&lt;&gt;""),"ALERTA: BASE_VU_NAO_APLICAVEL",IF(AND(UPPER(H12)="SIM",NOT(ISNUMBER(I12))),"ALERTA: BASE_VU_INVALIDA_OU_POSTERIOR_AO_FATOR_ALVO","OK"))))))))))</f>
        <v/>
      </c>
      <c r="N12" s="485"/>
      <c r="O12" s="487" t="str">
        <f>IFERROR(IF((COUNTIFS($A$2:$A$200,$A12,$D$2:$D$200,"*novo*",$N$2:$N$200,"C0")+COUNTIFS($A$2:$A$200,$A12,$D$2:$D$200,"*novo*",$N$2:$N$200,"C1")+COUNTIFS($A$2:$A$200,$A12,$D$2:$D$200,"*novo*",$N$2:$N$200,"C2")+COUNTIFS($A$2:$A$200,$A12,$D$2:$D$200,"*novo*",$N$2:$N$200,"C3")+COUNTIFS($A$2:$A$200,$A12,$D$2:$D$200,"*novo*",$N$2:$N$200,"C4"))=1,IF(COUNTIFS($A$2:$A$200,$A12,$D$2:$D$200,"*novo*",$N$2:$N$200,"C4")&gt;0,4,IF(COUNTIFS($A$2:$A$200,$A12,$D$2:$D$200,"*novo*",$N$2:$N$200,"C3")&gt;0,3,IF(COUNTIFS($A$2:$A$200,$A12,$D$2:$D$200,"*novo*",$N$2:$N$200,"C2")&gt;0,2,IF(COUNTIFS($A$2:$A$200,$A12,$D$2:$D$200,"*novo*",$N$2:$N$200,"C1")&gt;0,1,IF(COUNTIFS($A$2:$A$200,$A12,$D$2:$D$200,"*novo*",$N$2:$N$200,"C0")&gt;0,0,""))))),IF(AND((COUNTIFS($A$2:$A$200,$A12,$D$2:$D$200,"*novo*",$N$2:$N$200,"C0")+COUNTIFS($A$2:$A$200,$A12,$D$2:$D$200,"*novo*",$N$2:$N$200,"C1")+COUNTIFS($A$2:$A$200,$A12,$D$2:$D$200,"*novo*",$N$2:$N$200,"C2")+COUNTIFS($A$2:$A$200,$A12,$D$2:$D$200,"*novo*",$N$2:$N$200,"C3")+COUNTIFS($A$2:$A$200,$A12,$D$2:$D$200,"*novo*",$N$2:$N$200,"C4"))=0,INDEX(posicao_contratual!$Y$2:$Y$200,MATCH($A12,posicao_contratual!$A$2:$A$200,0))=0),0,"")),"")</f>
        <v/>
      </c>
    </row>
    <row r="13" spans="1:15" ht="45" customHeight="1" x14ac:dyDescent="0.35">
      <c r="A13" s="105"/>
      <c r="B13" s="189"/>
      <c r="C13" s="99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05"/>
      <c r="E13" s="106"/>
      <c r="F13" s="107" t="str">
        <f>IF(A13="","",IFERROR(VLOOKUP(A13,itens_Remanesc!$A:$C,3,0),""))</f>
        <v/>
      </c>
      <c r="G13" s="107" t="str">
        <f t="shared" si="0"/>
        <v/>
      </c>
      <c r="H13" s="105"/>
      <c r="I13" s="64" t="str">
        <f>IFERROR(IF(OR($A13="",$C13=""),"",IF(OR(($O13)="",($O13)&gt;(MIN(MATCH($C13,{"C0","C1","C2","C3","C4"},0)-1,COUNT(parametros!$F$2:$F$6)-1)),NOT(ISNUMBER(INDEX(parametros!$F$2:$F$6,(MIN(MATCH($C13,{"C0","C1","C2","C3","C4"},0)-1,COUNT(parametros!$F$2:$F$6)-1))+1))),NOT(ISNUMBER(INDEX(parametros!$F$2:$F$6,($O13)+1)))),"",INDEX(parametros!$F$2:$F$6,(MIN(MATCH($C13,{"C0","C1","C2","C3","C4"},0)-1,COUNT(parametros!$F$2:$F$6)-1))+1)/INDEX(parametros!$F$2:$F$6,($O13)+1))),"")</f>
        <v/>
      </c>
      <c r="J13" s="107" t="str">
        <f t="shared" si="1"/>
        <v/>
      </c>
      <c r="K13" s="105"/>
      <c r="L13" s="85" t="str">
        <f t="shared" si="2"/>
        <v/>
      </c>
      <c r="M13" s="483" t="str">
        <f>IF(A13="","",IF(COUNTIF(itens_Remanesc!$A$2:$A$200,A13)=0,"NOVO ITEM NAO CADASTRADO - CADASTRAR EM itens_Remanesc: ITEM + VU_ORIGINAL (QTD_BASE_ORIGINAL sera 0 automaticamente); depois a data e a quantidade aqui.",IF(COUNTIF(itens_Remanesc!$A$2:$A$200,A13)&gt;1,"ALERTA: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TIPO_INVALIDO",IF(AND(ISNUMBER(SEARCH("NOVO",D13)),OR(INDEX(posicao_contratual!$C$2:$C$200,MATCH(A13,posicao_contratual!$A$2:$A$200,0))&lt;&gt;0,F13="",COUNTIFS($A$2:$A$200,A13,$B$2:$B$200,"&lt;"&amp;B13,$L$2:$L$200,"&gt;0")&gt;0)),"ALERTA: NOVO ITEM INVALIDO - use Acrescimo se o item ja existia; novo item exige QTD_BASE_ORIGINAL 0, VU_ORIGINAL e ser o 1o acrescimo do item.",IF(AND(ISNUMBER(SEARCH("NOVO",D13)),OR(N13="",ISERROR(MATCH(N13,{"C0","C1","C2","C3","C4"},0)))),"ALERTA: BASE_VU_OBRIGATORIA",IF(AND(NOT(ISNUMBER(SEARCH("NOVO",D13))),N13&lt;&gt;""),"ALERTA: BASE_VU_NAO_APLICAVEL",IF(AND(UPPER(H13)="SIM",NOT(ISNUMBER(I13))),"ALERTA: BASE_VU_INVALIDA_OU_POSTERIOR_AO_FATOR_ALVO","OK"))))))))))</f>
        <v/>
      </c>
      <c r="N13" s="485"/>
      <c r="O13" s="487" t="str">
        <f>IFERROR(IF((COUNTIFS($A$2:$A$200,$A13,$D$2:$D$200,"*novo*",$N$2:$N$200,"C0")+COUNTIFS($A$2:$A$200,$A13,$D$2:$D$200,"*novo*",$N$2:$N$200,"C1")+COUNTIFS($A$2:$A$200,$A13,$D$2:$D$200,"*novo*",$N$2:$N$200,"C2")+COUNTIFS($A$2:$A$200,$A13,$D$2:$D$200,"*novo*",$N$2:$N$200,"C3")+COUNTIFS($A$2:$A$200,$A13,$D$2:$D$200,"*novo*",$N$2:$N$200,"C4"))=1,IF(COUNTIFS($A$2:$A$200,$A13,$D$2:$D$200,"*novo*",$N$2:$N$200,"C4")&gt;0,4,IF(COUNTIFS($A$2:$A$200,$A13,$D$2:$D$200,"*novo*",$N$2:$N$200,"C3")&gt;0,3,IF(COUNTIFS($A$2:$A$200,$A13,$D$2:$D$200,"*novo*",$N$2:$N$200,"C2")&gt;0,2,IF(COUNTIFS($A$2:$A$200,$A13,$D$2:$D$200,"*novo*",$N$2:$N$200,"C1")&gt;0,1,IF(COUNTIFS($A$2:$A$200,$A13,$D$2:$D$200,"*novo*",$N$2:$N$200,"C0")&gt;0,0,""))))),IF(AND((COUNTIFS($A$2:$A$200,$A13,$D$2:$D$200,"*novo*",$N$2:$N$200,"C0")+COUNTIFS($A$2:$A$200,$A13,$D$2:$D$200,"*novo*",$N$2:$N$200,"C1")+COUNTIFS($A$2:$A$200,$A13,$D$2:$D$200,"*novo*",$N$2:$N$200,"C2")+COUNTIFS($A$2:$A$200,$A13,$D$2:$D$200,"*novo*",$N$2:$N$200,"C3")+COUNTIFS($A$2:$A$200,$A13,$D$2:$D$200,"*novo*",$N$2:$N$200,"C4"))=0,INDEX(posicao_contratual!$Y$2:$Y$200,MATCH($A13,posicao_contratual!$A$2:$A$200,0))=0),0,"")),"")</f>
        <v/>
      </c>
    </row>
    <row r="14" spans="1:15" ht="45" customHeight="1" x14ac:dyDescent="0.35">
      <c r="A14" s="105"/>
      <c r="B14" s="189"/>
      <c r="C14" s="99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05"/>
      <c r="E14" s="106"/>
      <c r="F14" s="107" t="str">
        <f>IF(A14="","",IFERROR(VLOOKUP(A14,itens_Remanesc!$A:$C,3,0),""))</f>
        <v/>
      </c>
      <c r="G14" s="107" t="str">
        <f t="shared" si="0"/>
        <v/>
      </c>
      <c r="H14" s="105"/>
      <c r="I14" s="64" t="str">
        <f>IFERROR(IF(OR($A14="",$C14=""),"",IF(OR(($O14)="",($O14)&gt;(MIN(MATCH($C14,{"C0","C1","C2","C3","C4"},0)-1,COUNT(parametros!$F$2:$F$6)-1)),NOT(ISNUMBER(INDEX(parametros!$F$2:$F$6,(MIN(MATCH($C14,{"C0","C1","C2","C3","C4"},0)-1,COUNT(parametros!$F$2:$F$6)-1))+1))),NOT(ISNUMBER(INDEX(parametros!$F$2:$F$6,($O14)+1)))),"",INDEX(parametros!$F$2:$F$6,(MIN(MATCH($C14,{"C0","C1","C2","C3","C4"},0)-1,COUNT(parametros!$F$2:$F$6)-1))+1)/INDEX(parametros!$F$2:$F$6,($O14)+1))),"")</f>
        <v/>
      </c>
      <c r="J14" s="107" t="str">
        <f t="shared" si="1"/>
        <v/>
      </c>
      <c r="K14" s="105"/>
      <c r="L14" s="85" t="str">
        <f t="shared" si="2"/>
        <v/>
      </c>
      <c r="M14" s="483" t="str">
        <f>IF(A14="","",IF(COUNTIF(itens_Remanesc!$A$2:$A$200,A14)=0,"NOVO ITEM NAO CADASTRADO - CADASTRAR EM itens_Remanesc: ITEM + VU_ORIGINAL (QTD_BASE_ORIGINAL sera 0 automaticamente); depois a data e a quantidade aqui.",IF(COUNTIF(itens_Remanesc!$A$2:$A$200,A14)&gt;1,"ALERTA: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TIPO_INVALIDO",IF(AND(ISNUMBER(SEARCH("NOVO",D14)),OR(INDEX(posicao_contratual!$C$2:$C$200,MATCH(A14,posicao_contratual!$A$2:$A$200,0))&lt;&gt;0,F14="",COUNTIFS($A$2:$A$200,A14,$B$2:$B$200,"&lt;"&amp;B14,$L$2:$L$200,"&gt;0")&gt;0)),"ALERTA: NOVO ITEM INVALIDO - use Acrescimo se o item ja existia; novo item exige QTD_BASE_ORIGINAL 0, VU_ORIGINAL e ser o 1o acrescimo do item.",IF(AND(ISNUMBER(SEARCH("NOVO",D14)),OR(N14="",ISERROR(MATCH(N14,{"C0","C1","C2","C3","C4"},0)))),"ALERTA: BASE_VU_OBRIGATORIA",IF(AND(NOT(ISNUMBER(SEARCH("NOVO",D14))),N14&lt;&gt;""),"ALERTA: BASE_VU_NAO_APLICAVEL",IF(AND(UPPER(H14)="SIM",NOT(ISNUMBER(I14))),"ALERTA: BASE_VU_INVALIDA_OU_POSTERIOR_AO_FATOR_ALVO","OK"))))))))))</f>
        <v/>
      </c>
      <c r="N14" s="485"/>
      <c r="O14" s="487" t="str">
        <f>IFERROR(IF((COUNTIFS($A$2:$A$200,$A14,$D$2:$D$200,"*novo*",$N$2:$N$200,"C0")+COUNTIFS($A$2:$A$200,$A14,$D$2:$D$200,"*novo*",$N$2:$N$200,"C1")+COUNTIFS($A$2:$A$200,$A14,$D$2:$D$200,"*novo*",$N$2:$N$200,"C2")+COUNTIFS($A$2:$A$200,$A14,$D$2:$D$200,"*novo*",$N$2:$N$200,"C3")+COUNTIFS($A$2:$A$200,$A14,$D$2:$D$200,"*novo*",$N$2:$N$200,"C4"))=1,IF(COUNTIFS($A$2:$A$200,$A14,$D$2:$D$200,"*novo*",$N$2:$N$200,"C4")&gt;0,4,IF(COUNTIFS($A$2:$A$200,$A14,$D$2:$D$200,"*novo*",$N$2:$N$200,"C3")&gt;0,3,IF(COUNTIFS($A$2:$A$200,$A14,$D$2:$D$200,"*novo*",$N$2:$N$200,"C2")&gt;0,2,IF(COUNTIFS($A$2:$A$200,$A14,$D$2:$D$200,"*novo*",$N$2:$N$200,"C1")&gt;0,1,IF(COUNTIFS($A$2:$A$200,$A14,$D$2:$D$200,"*novo*",$N$2:$N$200,"C0")&gt;0,0,""))))),IF(AND((COUNTIFS($A$2:$A$200,$A14,$D$2:$D$200,"*novo*",$N$2:$N$200,"C0")+COUNTIFS($A$2:$A$200,$A14,$D$2:$D$200,"*novo*",$N$2:$N$200,"C1")+COUNTIFS($A$2:$A$200,$A14,$D$2:$D$200,"*novo*",$N$2:$N$200,"C2")+COUNTIFS($A$2:$A$200,$A14,$D$2:$D$200,"*novo*",$N$2:$N$200,"C3")+COUNTIFS($A$2:$A$200,$A14,$D$2:$D$200,"*novo*",$N$2:$N$200,"C4"))=0,INDEX(posicao_contratual!$Y$2:$Y$200,MATCH($A14,posicao_contratual!$A$2:$A$200,0))=0),0,"")),"")</f>
        <v/>
      </c>
    </row>
    <row r="15" spans="1:15" ht="45" customHeight="1" x14ac:dyDescent="0.35">
      <c r="A15" s="105"/>
      <c r="B15" s="189"/>
      <c r="C15" s="99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05"/>
      <c r="E15" s="106"/>
      <c r="F15" s="107" t="str">
        <f>IF(A15="","",IFERROR(VLOOKUP(A15,itens_Remanesc!$A:$C,3,0),""))</f>
        <v/>
      </c>
      <c r="G15" s="107" t="str">
        <f t="shared" si="0"/>
        <v/>
      </c>
      <c r="H15" s="105"/>
      <c r="I15" s="64" t="str">
        <f>IFERROR(IF(OR($A15="",$C15=""),"",IF(OR(($O15)="",($O15)&gt;(MIN(MATCH($C15,{"C0","C1","C2","C3","C4"},0)-1,COUNT(parametros!$F$2:$F$6)-1)),NOT(ISNUMBER(INDEX(parametros!$F$2:$F$6,(MIN(MATCH($C15,{"C0","C1","C2","C3","C4"},0)-1,COUNT(parametros!$F$2:$F$6)-1))+1))),NOT(ISNUMBER(INDEX(parametros!$F$2:$F$6,($O15)+1)))),"",INDEX(parametros!$F$2:$F$6,(MIN(MATCH($C15,{"C0","C1","C2","C3","C4"},0)-1,COUNT(parametros!$F$2:$F$6)-1))+1)/INDEX(parametros!$F$2:$F$6,($O15)+1))),"")</f>
        <v/>
      </c>
      <c r="J15" s="107" t="str">
        <f t="shared" si="1"/>
        <v/>
      </c>
      <c r="K15" s="105"/>
      <c r="L15" s="85" t="str">
        <f t="shared" si="2"/>
        <v/>
      </c>
      <c r="M15" s="483" t="str">
        <f>IF(A15="","",IF(COUNTIF(itens_Remanesc!$A$2:$A$200,A15)=0,"NOVO ITEM NAO CADASTRADO - CADASTRAR EM itens_Remanesc: ITEM + VU_ORIGINAL (QTD_BASE_ORIGINAL sera 0 automaticamente); depois a data e a quantidade aqui.",IF(COUNTIF(itens_Remanesc!$A$2:$A$200,A15)&gt;1,"ALERTA: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TIPO_INVALIDO",IF(AND(ISNUMBER(SEARCH("NOVO",D15)),OR(INDEX(posicao_contratual!$C$2:$C$200,MATCH(A15,posicao_contratual!$A$2:$A$200,0))&lt;&gt;0,F15="",COUNTIFS($A$2:$A$200,A15,$B$2:$B$200,"&lt;"&amp;B15,$L$2:$L$200,"&gt;0")&gt;0)),"ALERTA: NOVO ITEM INVALIDO - use Acrescimo se o item ja existia; novo item exige QTD_BASE_ORIGINAL 0, VU_ORIGINAL e ser o 1o acrescimo do item.",IF(AND(ISNUMBER(SEARCH("NOVO",D15)),OR(N15="",ISERROR(MATCH(N15,{"C0","C1","C2","C3","C4"},0)))),"ALERTA: BASE_VU_OBRIGATORIA",IF(AND(NOT(ISNUMBER(SEARCH("NOVO",D15))),N15&lt;&gt;""),"ALERTA: BASE_VU_NAO_APLICAVEL",IF(AND(UPPER(H15)="SIM",NOT(ISNUMBER(I15))),"ALERTA: BASE_VU_INVALIDA_OU_POSTERIOR_AO_FATOR_ALVO","OK"))))))))))</f>
        <v/>
      </c>
      <c r="N15" s="485"/>
      <c r="O15" s="487" t="str">
        <f>IFERROR(IF((COUNTIFS($A$2:$A$200,$A15,$D$2:$D$200,"*novo*",$N$2:$N$200,"C0")+COUNTIFS($A$2:$A$200,$A15,$D$2:$D$200,"*novo*",$N$2:$N$200,"C1")+COUNTIFS($A$2:$A$200,$A15,$D$2:$D$200,"*novo*",$N$2:$N$200,"C2")+COUNTIFS($A$2:$A$200,$A15,$D$2:$D$200,"*novo*",$N$2:$N$200,"C3")+COUNTIFS($A$2:$A$200,$A15,$D$2:$D$200,"*novo*",$N$2:$N$200,"C4"))=1,IF(COUNTIFS($A$2:$A$200,$A15,$D$2:$D$200,"*novo*",$N$2:$N$200,"C4")&gt;0,4,IF(COUNTIFS($A$2:$A$200,$A15,$D$2:$D$200,"*novo*",$N$2:$N$200,"C3")&gt;0,3,IF(COUNTIFS($A$2:$A$200,$A15,$D$2:$D$200,"*novo*",$N$2:$N$200,"C2")&gt;0,2,IF(COUNTIFS($A$2:$A$200,$A15,$D$2:$D$200,"*novo*",$N$2:$N$200,"C1")&gt;0,1,IF(COUNTIFS($A$2:$A$200,$A15,$D$2:$D$200,"*novo*",$N$2:$N$200,"C0")&gt;0,0,""))))),IF(AND((COUNTIFS($A$2:$A$200,$A15,$D$2:$D$200,"*novo*",$N$2:$N$200,"C0")+COUNTIFS($A$2:$A$200,$A15,$D$2:$D$200,"*novo*",$N$2:$N$200,"C1")+COUNTIFS($A$2:$A$200,$A15,$D$2:$D$200,"*novo*",$N$2:$N$200,"C2")+COUNTIFS($A$2:$A$200,$A15,$D$2:$D$200,"*novo*",$N$2:$N$200,"C3")+COUNTIFS($A$2:$A$200,$A15,$D$2:$D$200,"*novo*",$N$2:$N$200,"C4"))=0,INDEX(posicao_contratual!$Y$2:$Y$200,MATCH($A15,posicao_contratual!$A$2:$A$200,0))=0),0,"")),"")</f>
        <v/>
      </c>
    </row>
    <row r="16" spans="1:15" ht="45" customHeight="1" x14ac:dyDescent="0.35">
      <c r="A16" s="105"/>
      <c r="B16" s="189"/>
      <c r="C16" s="99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05"/>
      <c r="E16" s="106"/>
      <c r="F16" s="107" t="str">
        <f>IF(A16="","",IFERROR(VLOOKUP(A16,itens_Remanesc!$A:$C,3,0),""))</f>
        <v/>
      </c>
      <c r="G16" s="107" t="str">
        <f t="shared" si="0"/>
        <v/>
      </c>
      <c r="H16" s="105"/>
      <c r="I16" s="64" t="str">
        <f>IFERROR(IF(OR($A16="",$C16=""),"",IF(OR(($O16)="",($O16)&gt;(MIN(MATCH($C16,{"C0","C1","C2","C3","C4"},0)-1,COUNT(parametros!$F$2:$F$6)-1)),NOT(ISNUMBER(INDEX(parametros!$F$2:$F$6,(MIN(MATCH($C16,{"C0","C1","C2","C3","C4"},0)-1,COUNT(parametros!$F$2:$F$6)-1))+1))),NOT(ISNUMBER(INDEX(parametros!$F$2:$F$6,($O16)+1)))),"",INDEX(parametros!$F$2:$F$6,(MIN(MATCH($C16,{"C0","C1","C2","C3","C4"},0)-1,COUNT(parametros!$F$2:$F$6)-1))+1)/INDEX(parametros!$F$2:$F$6,($O16)+1))),"")</f>
        <v/>
      </c>
      <c r="J16" s="107" t="str">
        <f t="shared" si="1"/>
        <v/>
      </c>
      <c r="K16" s="105"/>
      <c r="L16" s="85" t="str">
        <f t="shared" si="2"/>
        <v/>
      </c>
      <c r="M16" s="483" t="str">
        <f>IF(A16="","",IF(COUNTIF(itens_Remanesc!$A$2:$A$200,A16)=0,"NOVO ITEM NAO CADASTRADO - CADASTRAR EM itens_Remanesc: ITEM + VU_ORIGINAL (QTD_BASE_ORIGINAL sera 0 automaticamente); depois a data e a quantidade aqui.",IF(COUNTIF(itens_Remanesc!$A$2:$A$200,A16)&gt;1,"ALERTA: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TIPO_INVALIDO",IF(AND(ISNUMBER(SEARCH("NOVO",D16)),OR(INDEX(posicao_contratual!$C$2:$C$200,MATCH(A16,posicao_contratual!$A$2:$A$200,0))&lt;&gt;0,F16="",COUNTIFS($A$2:$A$200,A16,$B$2:$B$200,"&lt;"&amp;B16,$L$2:$L$200,"&gt;0")&gt;0)),"ALERTA: NOVO ITEM INVALIDO - use Acrescimo se o item ja existia; novo item exige QTD_BASE_ORIGINAL 0, VU_ORIGINAL e ser o 1o acrescimo do item.",IF(AND(ISNUMBER(SEARCH("NOVO",D16)),OR(N16="",ISERROR(MATCH(N16,{"C0","C1","C2","C3","C4"},0)))),"ALERTA: BASE_VU_OBRIGATORIA",IF(AND(NOT(ISNUMBER(SEARCH("NOVO",D16))),N16&lt;&gt;""),"ALERTA: BASE_VU_NAO_APLICAVEL",IF(AND(UPPER(H16)="SIM",NOT(ISNUMBER(I16))),"ALERTA: BASE_VU_INVALIDA_OU_POSTERIOR_AO_FATOR_ALVO","OK"))))))))))</f>
        <v/>
      </c>
      <c r="N16" s="485"/>
      <c r="O16" s="487" t="str">
        <f>IFERROR(IF((COUNTIFS($A$2:$A$200,$A16,$D$2:$D$200,"*novo*",$N$2:$N$200,"C0")+COUNTIFS($A$2:$A$200,$A16,$D$2:$D$200,"*novo*",$N$2:$N$200,"C1")+COUNTIFS($A$2:$A$200,$A16,$D$2:$D$200,"*novo*",$N$2:$N$200,"C2")+COUNTIFS($A$2:$A$200,$A16,$D$2:$D$200,"*novo*",$N$2:$N$200,"C3")+COUNTIFS($A$2:$A$200,$A16,$D$2:$D$200,"*novo*",$N$2:$N$200,"C4"))=1,IF(COUNTIFS($A$2:$A$200,$A16,$D$2:$D$200,"*novo*",$N$2:$N$200,"C4")&gt;0,4,IF(COUNTIFS($A$2:$A$200,$A16,$D$2:$D$200,"*novo*",$N$2:$N$200,"C3")&gt;0,3,IF(COUNTIFS($A$2:$A$200,$A16,$D$2:$D$200,"*novo*",$N$2:$N$200,"C2")&gt;0,2,IF(COUNTIFS($A$2:$A$200,$A16,$D$2:$D$200,"*novo*",$N$2:$N$200,"C1")&gt;0,1,IF(COUNTIFS($A$2:$A$200,$A16,$D$2:$D$200,"*novo*",$N$2:$N$200,"C0")&gt;0,0,""))))),IF(AND((COUNTIFS($A$2:$A$200,$A16,$D$2:$D$200,"*novo*",$N$2:$N$200,"C0")+COUNTIFS($A$2:$A$200,$A16,$D$2:$D$200,"*novo*",$N$2:$N$200,"C1")+COUNTIFS($A$2:$A$200,$A16,$D$2:$D$200,"*novo*",$N$2:$N$200,"C2")+COUNTIFS($A$2:$A$200,$A16,$D$2:$D$200,"*novo*",$N$2:$N$200,"C3")+COUNTIFS($A$2:$A$200,$A16,$D$2:$D$200,"*novo*",$N$2:$N$200,"C4"))=0,INDEX(posicao_contratual!$Y$2:$Y$200,MATCH($A16,posicao_contratual!$A$2:$A$200,0))=0),0,"")),"")</f>
        <v/>
      </c>
    </row>
    <row r="17" spans="1:15" ht="45" customHeight="1" x14ac:dyDescent="0.35">
      <c r="A17" s="105"/>
      <c r="B17" s="189"/>
      <c r="C17" s="99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05"/>
      <c r="E17" s="106"/>
      <c r="F17" s="107" t="str">
        <f>IF(A17="","",IFERROR(VLOOKUP(A17,itens_Remanesc!$A:$C,3,0),""))</f>
        <v/>
      </c>
      <c r="G17" s="107" t="str">
        <f t="shared" si="0"/>
        <v/>
      </c>
      <c r="H17" s="105"/>
      <c r="I17" s="64" t="str">
        <f>IFERROR(IF(OR($A17="",$C17=""),"",IF(OR(($O17)="",($O17)&gt;(MIN(MATCH($C17,{"C0","C1","C2","C3","C4"},0)-1,COUNT(parametros!$F$2:$F$6)-1)),NOT(ISNUMBER(INDEX(parametros!$F$2:$F$6,(MIN(MATCH($C17,{"C0","C1","C2","C3","C4"},0)-1,COUNT(parametros!$F$2:$F$6)-1))+1))),NOT(ISNUMBER(INDEX(parametros!$F$2:$F$6,($O17)+1)))),"",INDEX(parametros!$F$2:$F$6,(MIN(MATCH($C17,{"C0","C1","C2","C3","C4"},0)-1,COUNT(parametros!$F$2:$F$6)-1))+1)/INDEX(parametros!$F$2:$F$6,($O17)+1))),"")</f>
        <v/>
      </c>
      <c r="J17" s="107" t="str">
        <f t="shared" si="1"/>
        <v/>
      </c>
      <c r="K17" s="105"/>
      <c r="L17" s="85" t="str">
        <f t="shared" si="2"/>
        <v/>
      </c>
      <c r="M17" s="483" t="str">
        <f>IF(A17="","",IF(COUNTIF(itens_Remanesc!$A$2:$A$200,A17)=0,"NOVO ITEM NAO CADASTRADO - CADASTRAR EM itens_Remanesc: ITEM + VU_ORIGINAL (QTD_BASE_ORIGINAL sera 0 automaticamente); depois a data e a quantidade aqui.",IF(COUNTIF(itens_Remanesc!$A$2:$A$200,A17)&gt;1,"ALERTA: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TIPO_INVALIDO",IF(AND(ISNUMBER(SEARCH("NOVO",D17)),OR(INDEX(posicao_contratual!$C$2:$C$200,MATCH(A17,posicao_contratual!$A$2:$A$200,0))&lt;&gt;0,F17="",COUNTIFS($A$2:$A$200,A17,$B$2:$B$200,"&lt;"&amp;B17,$L$2:$L$200,"&gt;0")&gt;0)),"ALERTA: NOVO ITEM INVALIDO - use Acrescimo se o item ja existia; novo item exige QTD_BASE_ORIGINAL 0, VU_ORIGINAL e ser o 1o acrescimo do item.",IF(AND(ISNUMBER(SEARCH("NOVO",D17)),OR(N17="",ISERROR(MATCH(N17,{"C0","C1","C2","C3","C4"},0)))),"ALERTA: BASE_VU_OBRIGATORIA",IF(AND(NOT(ISNUMBER(SEARCH("NOVO",D17))),N17&lt;&gt;""),"ALERTA: BASE_VU_NAO_APLICAVEL",IF(AND(UPPER(H17)="SIM",NOT(ISNUMBER(I17))),"ALERTA: BASE_VU_INVALIDA_OU_POSTERIOR_AO_FATOR_ALVO","OK"))))))))))</f>
        <v/>
      </c>
      <c r="N17" s="485"/>
      <c r="O17" s="487" t="str">
        <f>IFERROR(IF((COUNTIFS($A$2:$A$200,$A17,$D$2:$D$200,"*novo*",$N$2:$N$200,"C0")+COUNTIFS($A$2:$A$200,$A17,$D$2:$D$200,"*novo*",$N$2:$N$200,"C1")+COUNTIFS($A$2:$A$200,$A17,$D$2:$D$200,"*novo*",$N$2:$N$200,"C2")+COUNTIFS($A$2:$A$200,$A17,$D$2:$D$200,"*novo*",$N$2:$N$200,"C3")+COUNTIFS($A$2:$A$200,$A17,$D$2:$D$200,"*novo*",$N$2:$N$200,"C4"))=1,IF(COUNTIFS($A$2:$A$200,$A17,$D$2:$D$200,"*novo*",$N$2:$N$200,"C4")&gt;0,4,IF(COUNTIFS($A$2:$A$200,$A17,$D$2:$D$200,"*novo*",$N$2:$N$200,"C3")&gt;0,3,IF(COUNTIFS($A$2:$A$200,$A17,$D$2:$D$200,"*novo*",$N$2:$N$200,"C2")&gt;0,2,IF(COUNTIFS($A$2:$A$200,$A17,$D$2:$D$200,"*novo*",$N$2:$N$200,"C1")&gt;0,1,IF(COUNTIFS($A$2:$A$200,$A17,$D$2:$D$200,"*novo*",$N$2:$N$200,"C0")&gt;0,0,""))))),IF(AND((COUNTIFS($A$2:$A$200,$A17,$D$2:$D$200,"*novo*",$N$2:$N$200,"C0")+COUNTIFS($A$2:$A$200,$A17,$D$2:$D$200,"*novo*",$N$2:$N$200,"C1")+COUNTIFS($A$2:$A$200,$A17,$D$2:$D$200,"*novo*",$N$2:$N$200,"C2")+COUNTIFS($A$2:$A$200,$A17,$D$2:$D$200,"*novo*",$N$2:$N$200,"C3")+COUNTIFS($A$2:$A$200,$A17,$D$2:$D$200,"*novo*",$N$2:$N$200,"C4"))=0,INDEX(posicao_contratual!$Y$2:$Y$200,MATCH($A17,posicao_contratual!$A$2:$A$200,0))=0),0,"")),"")</f>
        <v/>
      </c>
    </row>
    <row r="18" spans="1:15" ht="45" customHeight="1" x14ac:dyDescent="0.35">
      <c r="A18" s="105"/>
      <c r="B18" s="189"/>
      <c r="C18" s="99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05"/>
      <c r="E18" s="106"/>
      <c r="F18" s="107" t="str">
        <f>IF(A18="","",IFERROR(VLOOKUP(A18,itens_Remanesc!$A:$C,3,0),""))</f>
        <v/>
      </c>
      <c r="G18" s="107" t="str">
        <f t="shared" si="0"/>
        <v/>
      </c>
      <c r="H18" s="105"/>
      <c r="I18" s="64" t="str">
        <f>IFERROR(IF(OR($A18="",$C18=""),"",IF(OR(($O18)="",($O18)&gt;(MIN(MATCH($C18,{"C0","C1","C2","C3","C4"},0)-1,COUNT(parametros!$F$2:$F$6)-1)),NOT(ISNUMBER(INDEX(parametros!$F$2:$F$6,(MIN(MATCH($C18,{"C0","C1","C2","C3","C4"},0)-1,COUNT(parametros!$F$2:$F$6)-1))+1))),NOT(ISNUMBER(INDEX(parametros!$F$2:$F$6,($O18)+1)))),"",INDEX(parametros!$F$2:$F$6,(MIN(MATCH($C18,{"C0","C1","C2","C3","C4"},0)-1,COUNT(parametros!$F$2:$F$6)-1))+1)/INDEX(parametros!$F$2:$F$6,($O18)+1))),"")</f>
        <v/>
      </c>
      <c r="J18" s="107" t="str">
        <f t="shared" si="1"/>
        <v/>
      </c>
      <c r="K18" s="105"/>
      <c r="L18" s="85" t="str">
        <f t="shared" si="2"/>
        <v/>
      </c>
      <c r="M18" s="483" t="str">
        <f>IF(A18="","",IF(COUNTIF(itens_Remanesc!$A$2:$A$200,A18)=0,"NOVO ITEM NAO CADASTRADO - CADASTRAR EM itens_Remanesc: ITEM + VU_ORIGINAL (QTD_BASE_ORIGINAL sera 0 automaticamente); depois a data e a quantidade aqui.",IF(COUNTIF(itens_Remanesc!$A$2:$A$200,A18)&gt;1,"ALERTA: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TIPO_INVALIDO",IF(AND(ISNUMBER(SEARCH("NOVO",D18)),OR(INDEX(posicao_contratual!$C$2:$C$200,MATCH(A18,posicao_contratual!$A$2:$A$200,0))&lt;&gt;0,F18="",COUNTIFS($A$2:$A$200,A18,$B$2:$B$200,"&lt;"&amp;B18,$L$2:$L$200,"&gt;0")&gt;0)),"ALERTA: NOVO ITEM INVALIDO - use Acrescimo se o item ja existia; novo item exige QTD_BASE_ORIGINAL 0, VU_ORIGINAL e ser o 1o acrescimo do item.",IF(AND(ISNUMBER(SEARCH("NOVO",D18)),OR(N18="",ISERROR(MATCH(N18,{"C0","C1","C2","C3","C4"},0)))),"ALERTA: BASE_VU_OBRIGATORIA",IF(AND(NOT(ISNUMBER(SEARCH("NOVO",D18))),N18&lt;&gt;""),"ALERTA: BASE_VU_NAO_APLICAVEL",IF(AND(UPPER(H18)="SIM",NOT(ISNUMBER(I18))),"ALERTA: BASE_VU_INVALIDA_OU_POSTERIOR_AO_FATOR_ALVO","OK"))))))))))</f>
        <v/>
      </c>
      <c r="N18" s="485"/>
      <c r="O18" s="487" t="str">
        <f>IFERROR(IF((COUNTIFS($A$2:$A$200,$A18,$D$2:$D$200,"*novo*",$N$2:$N$200,"C0")+COUNTIFS($A$2:$A$200,$A18,$D$2:$D$200,"*novo*",$N$2:$N$200,"C1")+COUNTIFS($A$2:$A$200,$A18,$D$2:$D$200,"*novo*",$N$2:$N$200,"C2")+COUNTIFS($A$2:$A$200,$A18,$D$2:$D$200,"*novo*",$N$2:$N$200,"C3")+COUNTIFS($A$2:$A$200,$A18,$D$2:$D$200,"*novo*",$N$2:$N$200,"C4"))=1,IF(COUNTIFS($A$2:$A$200,$A18,$D$2:$D$200,"*novo*",$N$2:$N$200,"C4")&gt;0,4,IF(COUNTIFS($A$2:$A$200,$A18,$D$2:$D$200,"*novo*",$N$2:$N$200,"C3")&gt;0,3,IF(COUNTIFS($A$2:$A$200,$A18,$D$2:$D$200,"*novo*",$N$2:$N$200,"C2")&gt;0,2,IF(COUNTIFS($A$2:$A$200,$A18,$D$2:$D$200,"*novo*",$N$2:$N$200,"C1")&gt;0,1,IF(COUNTIFS($A$2:$A$200,$A18,$D$2:$D$200,"*novo*",$N$2:$N$200,"C0")&gt;0,0,""))))),IF(AND((COUNTIFS($A$2:$A$200,$A18,$D$2:$D$200,"*novo*",$N$2:$N$200,"C0")+COUNTIFS($A$2:$A$200,$A18,$D$2:$D$200,"*novo*",$N$2:$N$200,"C1")+COUNTIFS($A$2:$A$200,$A18,$D$2:$D$200,"*novo*",$N$2:$N$200,"C2")+COUNTIFS($A$2:$A$200,$A18,$D$2:$D$200,"*novo*",$N$2:$N$200,"C3")+COUNTIFS($A$2:$A$200,$A18,$D$2:$D$200,"*novo*",$N$2:$N$200,"C4"))=0,INDEX(posicao_contratual!$Y$2:$Y$200,MATCH($A18,posicao_contratual!$A$2:$A$200,0))=0),0,"")),"")</f>
        <v/>
      </c>
    </row>
    <row r="19" spans="1:15" ht="45" customHeight="1" x14ac:dyDescent="0.35">
      <c r="A19" s="105"/>
      <c r="B19" s="189"/>
      <c r="C19" s="99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05"/>
      <c r="E19" s="106"/>
      <c r="F19" s="107" t="str">
        <f>IF(A19="","",IFERROR(VLOOKUP(A19,itens_Remanesc!$A:$C,3,0),""))</f>
        <v/>
      </c>
      <c r="G19" s="107" t="str">
        <f t="shared" si="0"/>
        <v/>
      </c>
      <c r="H19" s="105"/>
      <c r="I19" s="64" t="str">
        <f>IFERROR(IF(OR($A19="",$C19=""),"",IF(OR(($O19)="",($O19)&gt;(MIN(MATCH($C19,{"C0","C1","C2","C3","C4"},0)-1,COUNT(parametros!$F$2:$F$6)-1)),NOT(ISNUMBER(INDEX(parametros!$F$2:$F$6,(MIN(MATCH($C19,{"C0","C1","C2","C3","C4"},0)-1,COUNT(parametros!$F$2:$F$6)-1))+1))),NOT(ISNUMBER(INDEX(parametros!$F$2:$F$6,($O19)+1)))),"",INDEX(parametros!$F$2:$F$6,(MIN(MATCH($C19,{"C0","C1","C2","C3","C4"},0)-1,COUNT(parametros!$F$2:$F$6)-1))+1)/INDEX(parametros!$F$2:$F$6,($O19)+1))),"")</f>
        <v/>
      </c>
      <c r="J19" s="107" t="str">
        <f t="shared" si="1"/>
        <v/>
      </c>
      <c r="K19" s="105"/>
      <c r="L19" s="85" t="str">
        <f t="shared" si="2"/>
        <v/>
      </c>
      <c r="M19" s="483" t="str">
        <f>IF(A19="","",IF(COUNTIF(itens_Remanesc!$A$2:$A$200,A19)=0,"NOVO ITEM NAO CADASTRADO - CADASTRAR EM itens_Remanesc: ITEM + VU_ORIGINAL (QTD_BASE_ORIGINAL sera 0 automaticamente); depois a data e a quantidade aqui.",IF(COUNTIF(itens_Remanesc!$A$2:$A$200,A19)&gt;1,"ALERTA: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TIPO_INVALIDO",IF(AND(ISNUMBER(SEARCH("NOVO",D19)),OR(INDEX(posicao_contratual!$C$2:$C$200,MATCH(A19,posicao_contratual!$A$2:$A$200,0))&lt;&gt;0,F19="",COUNTIFS($A$2:$A$200,A19,$B$2:$B$200,"&lt;"&amp;B19,$L$2:$L$200,"&gt;0")&gt;0)),"ALERTA: NOVO ITEM INVALIDO - use Acrescimo se o item ja existia; novo item exige QTD_BASE_ORIGINAL 0, VU_ORIGINAL e ser o 1o acrescimo do item.",IF(AND(ISNUMBER(SEARCH("NOVO",D19)),OR(N19="",ISERROR(MATCH(N19,{"C0","C1","C2","C3","C4"},0)))),"ALERTA: BASE_VU_OBRIGATORIA",IF(AND(NOT(ISNUMBER(SEARCH("NOVO",D19))),N19&lt;&gt;""),"ALERTA: BASE_VU_NAO_APLICAVEL",IF(AND(UPPER(H19)="SIM",NOT(ISNUMBER(I19))),"ALERTA: BASE_VU_INVALIDA_OU_POSTERIOR_AO_FATOR_ALVO","OK"))))))))))</f>
        <v/>
      </c>
      <c r="N19" s="485"/>
      <c r="O19" s="487" t="str">
        <f>IFERROR(IF((COUNTIFS($A$2:$A$200,$A19,$D$2:$D$200,"*novo*",$N$2:$N$200,"C0")+COUNTIFS($A$2:$A$200,$A19,$D$2:$D$200,"*novo*",$N$2:$N$200,"C1")+COUNTIFS($A$2:$A$200,$A19,$D$2:$D$200,"*novo*",$N$2:$N$200,"C2")+COUNTIFS($A$2:$A$200,$A19,$D$2:$D$200,"*novo*",$N$2:$N$200,"C3")+COUNTIFS($A$2:$A$200,$A19,$D$2:$D$200,"*novo*",$N$2:$N$200,"C4"))=1,IF(COUNTIFS($A$2:$A$200,$A19,$D$2:$D$200,"*novo*",$N$2:$N$200,"C4")&gt;0,4,IF(COUNTIFS($A$2:$A$200,$A19,$D$2:$D$200,"*novo*",$N$2:$N$200,"C3")&gt;0,3,IF(COUNTIFS($A$2:$A$200,$A19,$D$2:$D$200,"*novo*",$N$2:$N$200,"C2")&gt;0,2,IF(COUNTIFS($A$2:$A$200,$A19,$D$2:$D$200,"*novo*",$N$2:$N$200,"C1")&gt;0,1,IF(COUNTIFS($A$2:$A$200,$A19,$D$2:$D$200,"*novo*",$N$2:$N$200,"C0")&gt;0,0,""))))),IF(AND((COUNTIFS($A$2:$A$200,$A19,$D$2:$D$200,"*novo*",$N$2:$N$200,"C0")+COUNTIFS($A$2:$A$200,$A19,$D$2:$D$200,"*novo*",$N$2:$N$200,"C1")+COUNTIFS($A$2:$A$200,$A19,$D$2:$D$200,"*novo*",$N$2:$N$200,"C2")+COUNTIFS($A$2:$A$200,$A19,$D$2:$D$200,"*novo*",$N$2:$N$200,"C3")+COUNTIFS($A$2:$A$200,$A19,$D$2:$D$200,"*novo*",$N$2:$N$200,"C4"))=0,INDEX(posicao_contratual!$Y$2:$Y$200,MATCH($A19,posicao_contratual!$A$2:$A$200,0))=0),0,"")),"")</f>
        <v/>
      </c>
    </row>
    <row r="20" spans="1:15" ht="45" customHeight="1" x14ac:dyDescent="0.35">
      <c r="A20" s="105"/>
      <c r="B20" s="189"/>
      <c r="C20" s="99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05"/>
      <c r="E20" s="106"/>
      <c r="F20" s="107" t="str">
        <f>IF(A20="","",IFERROR(VLOOKUP(A20,itens_Remanesc!$A:$C,3,0),""))</f>
        <v/>
      </c>
      <c r="G20" s="107" t="str">
        <f t="shared" si="0"/>
        <v/>
      </c>
      <c r="H20" s="105"/>
      <c r="I20" s="64" t="str">
        <f>IFERROR(IF(OR($A20="",$C20=""),"",IF(OR(($O20)="",($O20)&gt;(MIN(MATCH($C20,{"C0","C1","C2","C3","C4"},0)-1,COUNT(parametros!$F$2:$F$6)-1)),NOT(ISNUMBER(INDEX(parametros!$F$2:$F$6,(MIN(MATCH($C20,{"C0","C1","C2","C3","C4"},0)-1,COUNT(parametros!$F$2:$F$6)-1))+1))),NOT(ISNUMBER(INDEX(parametros!$F$2:$F$6,($O20)+1)))),"",INDEX(parametros!$F$2:$F$6,(MIN(MATCH($C20,{"C0","C1","C2","C3","C4"},0)-1,COUNT(parametros!$F$2:$F$6)-1))+1)/INDEX(parametros!$F$2:$F$6,($O20)+1))),"")</f>
        <v/>
      </c>
      <c r="J20" s="107" t="str">
        <f t="shared" si="1"/>
        <v/>
      </c>
      <c r="K20" s="105"/>
      <c r="L20" s="85" t="str">
        <f t="shared" si="2"/>
        <v/>
      </c>
      <c r="M20" s="483" t="str">
        <f>IF(A20="","",IF(COUNTIF(itens_Remanesc!$A$2:$A$200,A20)=0,"NOVO ITEM NAO CADASTRADO - CADASTRAR EM itens_Remanesc: ITEM + VU_ORIGINAL (QTD_BASE_ORIGINAL sera 0 automaticamente); depois a data e a quantidade aqui.",IF(COUNTIF(itens_Remanesc!$A$2:$A$200,A20)&gt;1,"ALERTA: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TIPO_INVALIDO",IF(AND(ISNUMBER(SEARCH("NOVO",D20)),OR(INDEX(posicao_contratual!$C$2:$C$200,MATCH(A20,posicao_contratual!$A$2:$A$200,0))&lt;&gt;0,F20="",COUNTIFS($A$2:$A$200,A20,$B$2:$B$200,"&lt;"&amp;B20,$L$2:$L$200,"&gt;0")&gt;0)),"ALERTA: NOVO ITEM INVALIDO - use Acrescimo se o item ja existia; novo item exige QTD_BASE_ORIGINAL 0, VU_ORIGINAL e ser o 1o acrescimo do item.",IF(AND(ISNUMBER(SEARCH("NOVO",D20)),OR(N20="",ISERROR(MATCH(N20,{"C0","C1","C2","C3","C4"},0)))),"ALERTA: BASE_VU_OBRIGATORIA",IF(AND(NOT(ISNUMBER(SEARCH("NOVO",D20))),N20&lt;&gt;""),"ALERTA: BASE_VU_NAO_APLICAVEL",IF(AND(UPPER(H20)="SIM",NOT(ISNUMBER(I20))),"ALERTA: BASE_VU_INVALIDA_OU_POSTERIOR_AO_FATOR_ALVO","OK"))))))))))</f>
        <v/>
      </c>
      <c r="N20" s="485"/>
      <c r="O20" s="487" t="str">
        <f>IFERROR(IF((COUNTIFS($A$2:$A$200,$A20,$D$2:$D$200,"*novo*",$N$2:$N$200,"C0")+COUNTIFS($A$2:$A$200,$A20,$D$2:$D$200,"*novo*",$N$2:$N$200,"C1")+COUNTIFS($A$2:$A$200,$A20,$D$2:$D$200,"*novo*",$N$2:$N$200,"C2")+COUNTIFS($A$2:$A$200,$A20,$D$2:$D$200,"*novo*",$N$2:$N$200,"C3")+COUNTIFS($A$2:$A$200,$A20,$D$2:$D$200,"*novo*",$N$2:$N$200,"C4"))=1,IF(COUNTIFS($A$2:$A$200,$A20,$D$2:$D$200,"*novo*",$N$2:$N$200,"C4")&gt;0,4,IF(COUNTIFS($A$2:$A$200,$A20,$D$2:$D$200,"*novo*",$N$2:$N$200,"C3")&gt;0,3,IF(COUNTIFS($A$2:$A$200,$A20,$D$2:$D$200,"*novo*",$N$2:$N$200,"C2")&gt;0,2,IF(COUNTIFS($A$2:$A$200,$A20,$D$2:$D$200,"*novo*",$N$2:$N$200,"C1")&gt;0,1,IF(COUNTIFS($A$2:$A$200,$A20,$D$2:$D$200,"*novo*",$N$2:$N$200,"C0")&gt;0,0,""))))),IF(AND((COUNTIFS($A$2:$A$200,$A20,$D$2:$D$200,"*novo*",$N$2:$N$200,"C0")+COUNTIFS($A$2:$A$200,$A20,$D$2:$D$200,"*novo*",$N$2:$N$200,"C1")+COUNTIFS($A$2:$A$200,$A20,$D$2:$D$200,"*novo*",$N$2:$N$200,"C2")+COUNTIFS($A$2:$A$200,$A20,$D$2:$D$200,"*novo*",$N$2:$N$200,"C3")+COUNTIFS($A$2:$A$200,$A20,$D$2:$D$200,"*novo*",$N$2:$N$200,"C4"))=0,INDEX(posicao_contratual!$Y$2:$Y$200,MATCH($A20,posicao_contratual!$A$2:$A$200,0))=0),0,"")),"")</f>
        <v/>
      </c>
    </row>
    <row r="21" spans="1:15" ht="45" customHeight="1" x14ac:dyDescent="0.35">
      <c r="A21" s="105"/>
      <c r="B21" s="189"/>
      <c r="C21" s="99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05"/>
      <c r="E21" s="106"/>
      <c r="F21" s="107" t="str">
        <f>IF(A21="","",IFERROR(VLOOKUP(A21,itens_Remanesc!$A:$C,3,0),""))</f>
        <v/>
      </c>
      <c r="G21" s="107" t="str">
        <f t="shared" si="0"/>
        <v/>
      </c>
      <c r="H21" s="105"/>
      <c r="I21" s="64" t="str">
        <f>IFERROR(IF(OR($A21="",$C21=""),"",IF(OR(($O21)="",($O21)&gt;(MIN(MATCH($C21,{"C0","C1","C2","C3","C4"},0)-1,COUNT(parametros!$F$2:$F$6)-1)),NOT(ISNUMBER(INDEX(parametros!$F$2:$F$6,(MIN(MATCH($C21,{"C0","C1","C2","C3","C4"},0)-1,COUNT(parametros!$F$2:$F$6)-1))+1))),NOT(ISNUMBER(INDEX(parametros!$F$2:$F$6,($O21)+1)))),"",INDEX(parametros!$F$2:$F$6,(MIN(MATCH($C21,{"C0","C1","C2","C3","C4"},0)-1,COUNT(parametros!$F$2:$F$6)-1))+1)/INDEX(parametros!$F$2:$F$6,($O21)+1))),"")</f>
        <v/>
      </c>
      <c r="J21" s="107" t="str">
        <f t="shared" si="1"/>
        <v/>
      </c>
      <c r="K21" s="105"/>
      <c r="L21" s="85" t="str">
        <f t="shared" si="2"/>
        <v/>
      </c>
      <c r="M21" s="483" t="str">
        <f>IF(A21="","",IF(COUNTIF(itens_Remanesc!$A$2:$A$200,A21)=0,"NOVO ITEM NAO CADASTRADO - CADASTRAR EM itens_Remanesc: ITEM + VU_ORIGINAL (QTD_BASE_ORIGINAL sera 0 automaticamente); depois a data e a quantidade aqui.",IF(COUNTIF(itens_Remanesc!$A$2:$A$200,A21)&gt;1,"ALERTA: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TIPO_INVALIDO",IF(AND(ISNUMBER(SEARCH("NOVO",D21)),OR(INDEX(posicao_contratual!$C$2:$C$200,MATCH(A21,posicao_contratual!$A$2:$A$200,0))&lt;&gt;0,F21="",COUNTIFS($A$2:$A$200,A21,$B$2:$B$200,"&lt;"&amp;B21,$L$2:$L$200,"&gt;0")&gt;0)),"ALERTA: NOVO ITEM INVALIDO - use Acrescimo se o item ja existia; novo item exige QTD_BASE_ORIGINAL 0, VU_ORIGINAL e ser o 1o acrescimo do item.",IF(AND(ISNUMBER(SEARCH("NOVO",D21)),OR(N21="",ISERROR(MATCH(N21,{"C0","C1","C2","C3","C4"},0)))),"ALERTA: BASE_VU_OBRIGATORIA",IF(AND(NOT(ISNUMBER(SEARCH("NOVO",D21))),N21&lt;&gt;""),"ALERTA: BASE_VU_NAO_APLICAVEL",IF(AND(UPPER(H21)="SIM",NOT(ISNUMBER(I21))),"ALERTA: BASE_VU_INVALIDA_OU_POSTERIOR_AO_FATOR_ALVO","OK"))))))))))</f>
        <v/>
      </c>
      <c r="N21" s="485"/>
      <c r="O21" s="487" t="str">
        <f>IFERROR(IF((COUNTIFS($A$2:$A$200,$A21,$D$2:$D$200,"*novo*",$N$2:$N$200,"C0")+COUNTIFS($A$2:$A$200,$A21,$D$2:$D$200,"*novo*",$N$2:$N$200,"C1")+COUNTIFS($A$2:$A$200,$A21,$D$2:$D$200,"*novo*",$N$2:$N$200,"C2")+COUNTIFS($A$2:$A$200,$A21,$D$2:$D$200,"*novo*",$N$2:$N$200,"C3")+COUNTIFS($A$2:$A$200,$A21,$D$2:$D$200,"*novo*",$N$2:$N$200,"C4"))=1,IF(COUNTIFS($A$2:$A$200,$A21,$D$2:$D$200,"*novo*",$N$2:$N$200,"C4")&gt;0,4,IF(COUNTIFS($A$2:$A$200,$A21,$D$2:$D$200,"*novo*",$N$2:$N$200,"C3")&gt;0,3,IF(COUNTIFS($A$2:$A$200,$A21,$D$2:$D$200,"*novo*",$N$2:$N$200,"C2")&gt;0,2,IF(COUNTIFS($A$2:$A$200,$A21,$D$2:$D$200,"*novo*",$N$2:$N$200,"C1")&gt;0,1,IF(COUNTIFS($A$2:$A$200,$A21,$D$2:$D$200,"*novo*",$N$2:$N$200,"C0")&gt;0,0,""))))),IF(AND((COUNTIFS($A$2:$A$200,$A21,$D$2:$D$200,"*novo*",$N$2:$N$200,"C0")+COUNTIFS($A$2:$A$200,$A21,$D$2:$D$200,"*novo*",$N$2:$N$200,"C1")+COUNTIFS($A$2:$A$200,$A21,$D$2:$D$200,"*novo*",$N$2:$N$200,"C2")+COUNTIFS($A$2:$A$200,$A21,$D$2:$D$200,"*novo*",$N$2:$N$200,"C3")+COUNTIFS($A$2:$A$200,$A21,$D$2:$D$200,"*novo*",$N$2:$N$200,"C4"))=0,INDEX(posicao_contratual!$Y$2:$Y$200,MATCH($A21,posicao_contratual!$A$2:$A$200,0))=0),0,"")),"")</f>
        <v/>
      </c>
    </row>
    <row r="22" spans="1:15" ht="45" customHeight="1" x14ac:dyDescent="0.35">
      <c r="A22" s="105"/>
      <c r="B22" s="189"/>
      <c r="C22" s="99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05"/>
      <c r="E22" s="106"/>
      <c r="F22" s="107" t="str">
        <f>IF(A22="","",IFERROR(VLOOKUP(A22,itens_Remanesc!$A:$C,3,0),""))</f>
        <v/>
      </c>
      <c r="G22" s="107" t="str">
        <f t="shared" si="0"/>
        <v/>
      </c>
      <c r="H22" s="105"/>
      <c r="I22" s="64" t="str">
        <f>IFERROR(IF(OR($A22="",$C22=""),"",IF(OR(($O22)="",($O22)&gt;(MIN(MATCH($C22,{"C0","C1","C2","C3","C4"},0)-1,COUNT(parametros!$F$2:$F$6)-1)),NOT(ISNUMBER(INDEX(parametros!$F$2:$F$6,(MIN(MATCH($C22,{"C0","C1","C2","C3","C4"},0)-1,COUNT(parametros!$F$2:$F$6)-1))+1))),NOT(ISNUMBER(INDEX(parametros!$F$2:$F$6,($O22)+1)))),"",INDEX(parametros!$F$2:$F$6,(MIN(MATCH($C22,{"C0","C1","C2","C3","C4"},0)-1,COUNT(parametros!$F$2:$F$6)-1))+1)/INDEX(parametros!$F$2:$F$6,($O22)+1))),"")</f>
        <v/>
      </c>
      <c r="J22" s="107" t="str">
        <f t="shared" si="1"/>
        <v/>
      </c>
      <c r="K22" s="105"/>
      <c r="L22" s="85" t="str">
        <f t="shared" si="2"/>
        <v/>
      </c>
      <c r="M22" s="483" t="str">
        <f>IF(A22="","",IF(COUNTIF(itens_Remanesc!$A$2:$A$200,A22)=0,"NOVO ITEM NAO CADASTRADO - CADASTRAR EM itens_Remanesc: ITEM + VU_ORIGINAL (QTD_BASE_ORIGINAL sera 0 automaticamente); depois a data e a quantidade aqui.",IF(COUNTIF(itens_Remanesc!$A$2:$A$200,A22)&gt;1,"ALERTA: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TIPO_INVALIDO",IF(AND(ISNUMBER(SEARCH("NOVO",D22)),OR(INDEX(posicao_contratual!$C$2:$C$200,MATCH(A22,posicao_contratual!$A$2:$A$200,0))&lt;&gt;0,F22="",COUNTIFS($A$2:$A$200,A22,$B$2:$B$200,"&lt;"&amp;B22,$L$2:$L$200,"&gt;0")&gt;0)),"ALERTA: NOVO ITEM INVALIDO - use Acrescimo se o item ja existia; novo item exige QTD_BASE_ORIGINAL 0, VU_ORIGINAL e ser o 1o acrescimo do item.",IF(AND(ISNUMBER(SEARCH("NOVO",D22)),OR(N22="",ISERROR(MATCH(N22,{"C0","C1","C2","C3","C4"},0)))),"ALERTA: BASE_VU_OBRIGATORIA",IF(AND(NOT(ISNUMBER(SEARCH("NOVO",D22))),N22&lt;&gt;""),"ALERTA: BASE_VU_NAO_APLICAVEL",IF(AND(UPPER(H22)="SIM",NOT(ISNUMBER(I22))),"ALERTA: BASE_VU_INVALIDA_OU_POSTERIOR_AO_FATOR_ALVO","OK"))))))))))</f>
        <v/>
      </c>
      <c r="N22" s="485"/>
      <c r="O22" s="487" t="str">
        <f>IFERROR(IF((COUNTIFS($A$2:$A$200,$A22,$D$2:$D$200,"*novo*",$N$2:$N$200,"C0")+COUNTIFS($A$2:$A$200,$A22,$D$2:$D$200,"*novo*",$N$2:$N$200,"C1")+COUNTIFS($A$2:$A$200,$A22,$D$2:$D$200,"*novo*",$N$2:$N$200,"C2")+COUNTIFS($A$2:$A$200,$A22,$D$2:$D$200,"*novo*",$N$2:$N$200,"C3")+COUNTIFS($A$2:$A$200,$A22,$D$2:$D$200,"*novo*",$N$2:$N$200,"C4"))=1,IF(COUNTIFS($A$2:$A$200,$A22,$D$2:$D$200,"*novo*",$N$2:$N$200,"C4")&gt;0,4,IF(COUNTIFS($A$2:$A$200,$A22,$D$2:$D$200,"*novo*",$N$2:$N$200,"C3")&gt;0,3,IF(COUNTIFS($A$2:$A$200,$A22,$D$2:$D$200,"*novo*",$N$2:$N$200,"C2")&gt;0,2,IF(COUNTIFS($A$2:$A$200,$A22,$D$2:$D$200,"*novo*",$N$2:$N$200,"C1")&gt;0,1,IF(COUNTIFS($A$2:$A$200,$A22,$D$2:$D$200,"*novo*",$N$2:$N$200,"C0")&gt;0,0,""))))),IF(AND((COUNTIFS($A$2:$A$200,$A22,$D$2:$D$200,"*novo*",$N$2:$N$200,"C0")+COUNTIFS($A$2:$A$200,$A22,$D$2:$D$200,"*novo*",$N$2:$N$200,"C1")+COUNTIFS($A$2:$A$200,$A22,$D$2:$D$200,"*novo*",$N$2:$N$200,"C2")+COUNTIFS($A$2:$A$200,$A22,$D$2:$D$200,"*novo*",$N$2:$N$200,"C3")+COUNTIFS($A$2:$A$200,$A22,$D$2:$D$200,"*novo*",$N$2:$N$200,"C4"))=0,INDEX(posicao_contratual!$Y$2:$Y$200,MATCH($A22,posicao_contratual!$A$2:$A$200,0))=0),0,"")),"")</f>
        <v/>
      </c>
    </row>
    <row r="23" spans="1:15" ht="45" customHeight="1" x14ac:dyDescent="0.35">
      <c r="A23" s="105"/>
      <c r="B23" s="189"/>
      <c r="C23" s="99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05"/>
      <c r="E23" s="106"/>
      <c r="F23" s="107" t="str">
        <f>IF(A23="","",IFERROR(VLOOKUP(A23,itens_Remanesc!$A:$C,3,0),""))</f>
        <v/>
      </c>
      <c r="G23" s="107" t="str">
        <f t="shared" si="0"/>
        <v/>
      </c>
      <c r="H23" s="105"/>
      <c r="I23" s="64" t="str">
        <f>IFERROR(IF(OR($A23="",$C23=""),"",IF(OR(($O23)="",($O23)&gt;(MIN(MATCH($C23,{"C0","C1","C2","C3","C4"},0)-1,COUNT(parametros!$F$2:$F$6)-1)),NOT(ISNUMBER(INDEX(parametros!$F$2:$F$6,(MIN(MATCH($C23,{"C0","C1","C2","C3","C4"},0)-1,COUNT(parametros!$F$2:$F$6)-1))+1))),NOT(ISNUMBER(INDEX(parametros!$F$2:$F$6,($O23)+1)))),"",INDEX(parametros!$F$2:$F$6,(MIN(MATCH($C23,{"C0","C1","C2","C3","C4"},0)-1,COUNT(parametros!$F$2:$F$6)-1))+1)/INDEX(parametros!$F$2:$F$6,($O23)+1))),"")</f>
        <v/>
      </c>
      <c r="J23" s="107" t="str">
        <f t="shared" si="1"/>
        <v/>
      </c>
      <c r="K23" s="105"/>
      <c r="L23" s="85" t="str">
        <f t="shared" si="2"/>
        <v/>
      </c>
      <c r="M23" s="483" t="str">
        <f>IF(A23="","",IF(COUNTIF(itens_Remanesc!$A$2:$A$200,A23)=0,"NOVO ITEM NAO CADASTRADO - CADASTRAR EM itens_Remanesc: ITEM + VU_ORIGINAL (QTD_BASE_ORIGINAL sera 0 automaticamente); depois a data e a quantidade aqui.",IF(COUNTIF(itens_Remanesc!$A$2:$A$200,A23)&gt;1,"ALERTA: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TIPO_INVALIDO",IF(AND(ISNUMBER(SEARCH("NOVO",D23)),OR(INDEX(posicao_contratual!$C$2:$C$200,MATCH(A23,posicao_contratual!$A$2:$A$200,0))&lt;&gt;0,F23="",COUNTIFS($A$2:$A$200,A23,$B$2:$B$200,"&lt;"&amp;B23,$L$2:$L$200,"&gt;0")&gt;0)),"ALERTA: NOVO ITEM INVALIDO - use Acrescimo se o item ja existia; novo item exige QTD_BASE_ORIGINAL 0, VU_ORIGINAL e ser o 1o acrescimo do item.",IF(AND(ISNUMBER(SEARCH("NOVO",D23)),OR(N23="",ISERROR(MATCH(N23,{"C0","C1","C2","C3","C4"},0)))),"ALERTA: BASE_VU_OBRIGATORIA",IF(AND(NOT(ISNUMBER(SEARCH("NOVO",D23))),N23&lt;&gt;""),"ALERTA: BASE_VU_NAO_APLICAVEL",IF(AND(UPPER(H23)="SIM",NOT(ISNUMBER(I23))),"ALERTA: BASE_VU_INVALIDA_OU_POSTERIOR_AO_FATOR_ALVO","OK"))))))))))</f>
        <v/>
      </c>
      <c r="N23" s="485"/>
      <c r="O23" s="487" t="str">
        <f>IFERROR(IF((COUNTIFS($A$2:$A$200,$A23,$D$2:$D$200,"*novo*",$N$2:$N$200,"C0")+COUNTIFS($A$2:$A$200,$A23,$D$2:$D$200,"*novo*",$N$2:$N$200,"C1")+COUNTIFS($A$2:$A$200,$A23,$D$2:$D$200,"*novo*",$N$2:$N$200,"C2")+COUNTIFS($A$2:$A$200,$A23,$D$2:$D$200,"*novo*",$N$2:$N$200,"C3")+COUNTIFS($A$2:$A$200,$A23,$D$2:$D$200,"*novo*",$N$2:$N$200,"C4"))=1,IF(COUNTIFS($A$2:$A$200,$A23,$D$2:$D$200,"*novo*",$N$2:$N$200,"C4")&gt;0,4,IF(COUNTIFS($A$2:$A$200,$A23,$D$2:$D$200,"*novo*",$N$2:$N$200,"C3")&gt;0,3,IF(COUNTIFS($A$2:$A$200,$A23,$D$2:$D$200,"*novo*",$N$2:$N$200,"C2")&gt;0,2,IF(COUNTIFS($A$2:$A$200,$A23,$D$2:$D$200,"*novo*",$N$2:$N$200,"C1")&gt;0,1,IF(COUNTIFS($A$2:$A$200,$A23,$D$2:$D$200,"*novo*",$N$2:$N$200,"C0")&gt;0,0,""))))),IF(AND((COUNTIFS($A$2:$A$200,$A23,$D$2:$D$200,"*novo*",$N$2:$N$200,"C0")+COUNTIFS($A$2:$A$200,$A23,$D$2:$D$200,"*novo*",$N$2:$N$200,"C1")+COUNTIFS($A$2:$A$200,$A23,$D$2:$D$200,"*novo*",$N$2:$N$200,"C2")+COUNTIFS($A$2:$A$200,$A23,$D$2:$D$200,"*novo*",$N$2:$N$200,"C3")+COUNTIFS($A$2:$A$200,$A23,$D$2:$D$200,"*novo*",$N$2:$N$200,"C4"))=0,INDEX(posicao_contratual!$Y$2:$Y$200,MATCH($A23,posicao_contratual!$A$2:$A$200,0))=0),0,"")),"")</f>
        <v/>
      </c>
    </row>
    <row r="24" spans="1:15" ht="45" customHeight="1" x14ac:dyDescent="0.35">
      <c r="A24" s="105"/>
      <c r="B24" s="189"/>
      <c r="C24" s="99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05"/>
      <c r="E24" s="106"/>
      <c r="F24" s="107" t="str">
        <f>IF(A24="","",IFERROR(VLOOKUP(A24,itens_Remanesc!$A:$C,3,0),""))</f>
        <v/>
      </c>
      <c r="G24" s="107" t="str">
        <f t="shared" si="0"/>
        <v/>
      </c>
      <c r="H24" s="105"/>
      <c r="I24" s="64" t="str">
        <f>IFERROR(IF(OR($A24="",$C24=""),"",IF(OR(($O24)="",($O24)&gt;(MIN(MATCH($C24,{"C0","C1","C2","C3","C4"},0)-1,COUNT(parametros!$F$2:$F$6)-1)),NOT(ISNUMBER(INDEX(parametros!$F$2:$F$6,(MIN(MATCH($C24,{"C0","C1","C2","C3","C4"},0)-1,COUNT(parametros!$F$2:$F$6)-1))+1))),NOT(ISNUMBER(INDEX(parametros!$F$2:$F$6,($O24)+1)))),"",INDEX(parametros!$F$2:$F$6,(MIN(MATCH($C24,{"C0","C1","C2","C3","C4"},0)-1,COUNT(parametros!$F$2:$F$6)-1))+1)/INDEX(parametros!$F$2:$F$6,($O24)+1))),"")</f>
        <v/>
      </c>
      <c r="J24" s="107" t="str">
        <f t="shared" si="1"/>
        <v/>
      </c>
      <c r="K24" s="105"/>
      <c r="L24" s="85" t="str">
        <f t="shared" si="2"/>
        <v/>
      </c>
      <c r="M24" s="483" t="str">
        <f>IF(A24="","",IF(COUNTIF(itens_Remanesc!$A$2:$A$200,A24)=0,"NOVO ITEM NAO CADASTRADO - CADASTRAR EM itens_Remanesc: ITEM + VU_ORIGINAL (QTD_BASE_ORIGINAL sera 0 automaticamente); depois a data e a quantidade aqui.",IF(COUNTIF(itens_Remanesc!$A$2:$A$200,A24)&gt;1,"ALERTA: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TIPO_INVALIDO",IF(AND(ISNUMBER(SEARCH("NOVO",D24)),OR(INDEX(posicao_contratual!$C$2:$C$200,MATCH(A24,posicao_contratual!$A$2:$A$200,0))&lt;&gt;0,F24="",COUNTIFS($A$2:$A$200,A24,$B$2:$B$200,"&lt;"&amp;B24,$L$2:$L$200,"&gt;0")&gt;0)),"ALERTA: NOVO ITEM INVALIDO - use Acrescimo se o item ja existia; novo item exige QTD_BASE_ORIGINAL 0, VU_ORIGINAL e ser o 1o acrescimo do item.",IF(AND(ISNUMBER(SEARCH("NOVO",D24)),OR(N24="",ISERROR(MATCH(N24,{"C0","C1","C2","C3","C4"},0)))),"ALERTA: BASE_VU_OBRIGATORIA",IF(AND(NOT(ISNUMBER(SEARCH("NOVO",D24))),N24&lt;&gt;""),"ALERTA: BASE_VU_NAO_APLICAVEL",IF(AND(UPPER(H24)="SIM",NOT(ISNUMBER(I24))),"ALERTA: BASE_VU_INVALIDA_OU_POSTERIOR_AO_FATOR_ALVO","OK"))))))))))</f>
        <v/>
      </c>
      <c r="N24" s="485"/>
      <c r="O24" s="487" t="str">
        <f>IFERROR(IF((COUNTIFS($A$2:$A$200,$A24,$D$2:$D$200,"*novo*",$N$2:$N$200,"C0")+COUNTIFS($A$2:$A$200,$A24,$D$2:$D$200,"*novo*",$N$2:$N$200,"C1")+COUNTIFS($A$2:$A$200,$A24,$D$2:$D$200,"*novo*",$N$2:$N$200,"C2")+COUNTIFS($A$2:$A$200,$A24,$D$2:$D$200,"*novo*",$N$2:$N$200,"C3")+COUNTIFS($A$2:$A$200,$A24,$D$2:$D$200,"*novo*",$N$2:$N$200,"C4"))=1,IF(COUNTIFS($A$2:$A$200,$A24,$D$2:$D$200,"*novo*",$N$2:$N$200,"C4")&gt;0,4,IF(COUNTIFS($A$2:$A$200,$A24,$D$2:$D$200,"*novo*",$N$2:$N$200,"C3")&gt;0,3,IF(COUNTIFS($A$2:$A$200,$A24,$D$2:$D$200,"*novo*",$N$2:$N$200,"C2")&gt;0,2,IF(COUNTIFS($A$2:$A$200,$A24,$D$2:$D$200,"*novo*",$N$2:$N$200,"C1")&gt;0,1,IF(COUNTIFS($A$2:$A$200,$A24,$D$2:$D$200,"*novo*",$N$2:$N$200,"C0")&gt;0,0,""))))),IF(AND((COUNTIFS($A$2:$A$200,$A24,$D$2:$D$200,"*novo*",$N$2:$N$200,"C0")+COUNTIFS($A$2:$A$200,$A24,$D$2:$D$200,"*novo*",$N$2:$N$200,"C1")+COUNTIFS($A$2:$A$200,$A24,$D$2:$D$200,"*novo*",$N$2:$N$200,"C2")+COUNTIFS($A$2:$A$200,$A24,$D$2:$D$200,"*novo*",$N$2:$N$200,"C3")+COUNTIFS($A$2:$A$200,$A24,$D$2:$D$200,"*novo*",$N$2:$N$200,"C4"))=0,INDEX(posicao_contratual!$Y$2:$Y$200,MATCH($A24,posicao_contratual!$A$2:$A$200,0))=0),0,"")),"")</f>
        <v/>
      </c>
    </row>
    <row r="25" spans="1:15" ht="45" customHeight="1" x14ac:dyDescent="0.35">
      <c r="A25" s="105"/>
      <c r="B25" s="189"/>
      <c r="C25" s="99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05"/>
      <c r="E25" s="106"/>
      <c r="F25" s="107" t="str">
        <f>IF(A25="","",IFERROR(VLOOKUP(A25,itens_Remanesc!$A:$C,3,0),""))</f>
        <v/>
      </c>
      <c r="G25" s="107" t="str">
        <f t="shared" si="0"/>
        <v/>
      </c>
      <c r="H25" s="105"/>
      <c r="I25" s="64" t="str">
        <f>IFERROR(IF(OR($A25="",$C25=""),"",IF(OR(($O25)="",($O25)&gt;(MIN(MATCH($C25,{"C0","C1","C2","C3","C4"},0)-1,COUNT(parametros!$F$2:$F$6)-1)),NOT(ISNUMBER(INDEX(parametros!$F$2:$F$6,(MIN(MATCH($C25,{"C0","C1","C2","C3","C4"},0)-1,COUNT(parametros!$F$2:$F$6)-1))+1))),NOT(ISNUMBER(INDEX(parametros!$F$2:$F$6,($O25)+1)))),"",INDEX(parametros!$F$2:$F$6,(MIN(MATCH($C25,{"C0","C1","C2","C3","C4"},0)-1,COUNT(parametros!$F$2:$F$6)-1))+1)/INDEX(parametros!$F$2:$F$6,($O25)+1))),"")</f>
        <v/>
      </c>
      <c r="J25" s="107" t="str">
        <f t="shared" si="1"/>
        <v/>
      </c>
      <c r="K25" s="105"/>
      <c r="L25" s="85" t="str">
        <f t="shared" si="2"/>
        <v/>
      </c>
      <c r="M25" s="483" t="str">
        <f>IF(A25="","",IF(COUNTIF(itens_Remanesc!$A$2:$A$200,A25)=0,"NOVO ITEM NAO CADASTRADO - CADASTRAR EM itens_Remanesc: ITEM + VU_ORIGINAL (QTD_BASE_ORIGINAL sera 0 automaticamente); depois a data e a quantidade aqui.",IF(COUNTIF(itens_Remanesc!$A$2:$A$200,A25)&gt;1,"ALERTA: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TIPO_INVALIDO",IF(AND(ISNUMBER(SEARCH("NOVO",D25)),OR(INDEX(posicao_contratual!$C$2:$C$200,MATCH(A25,posicao_contratual!$A$2:$A$200,0))&lt;&gt;0,F25="",COUNTIFS($A$2:$A$200,A25,$B$2:$B$200,"&lt;"&amp;B25,$L$2:$L$200,"&gt;0")&gt;0)),"ALERTA: NOVO ITEM INVALIDO - use Acrescimo se o item ja existia; novo item exige QTD_BASE_ORIGINAL 0, VU_ORIGINAL e ser o 1o acrescimo do item.",IF(AND(ISNUMBER(SEARCH("NOVO",D25)),OR(N25="",ISERROR(MATCH(N25,{"C0","C1","C2","C3","C4"},0)))),"ALERTA: BASE_VU_OBRIGATORIA",IF(AND(NOT(ISNUMBER(SEARCH("NOVO",D25))),N25&lt;&gt;""),"ALERTA: BASE_VU_NAO_APLICAVEL",IF(AND(UPPER(H25)="SIM",NOT(ISNUMBER(I25))),"ALERTA: BASE_VU_INVALIDA_OU_POSTERIOR_AO_FATOR_ALVO","OK"))))))))))</f>
        <v/>
      </c>
      <c r="N25" s="485"/>
      <c r="O25" s="487" t="str">
        <f>IFERROR(IF((COUNTIFS($A$2:$A$200,$A25,$D$2:$D$200,"*novo*",$N$2:$N$200,"C0")+COUNTIFS($A$2:$A$200,$A25,$D$2:$D$200,"*novo*",$N$2:$N$200,"C1")+COUNTIFS($A$2:$A$200,$A25,$D$2:$D$200,"*novo*",$N$2:$N$200,"C2")+COUNTIFS($A$2:$A$200,$A25,$D$2:$D$200,"*novo*",$N$2:$N$200,"C3")+COUNTIFS($A$2:$A$200,$A25,$D$2:$D$200,"*novo*",$N$2:$N$200,"C4"))=1,IF(COUNTIFS($A$2:$A$200,$A25,$D$2:$D$200,"*novo*",$N$2:$N$200,"C4")&gt;0,4,IF(COUNTIFS($A$2:$A$200,$A25,$D$2:$D$200,"*novo*",$N$2:$N$200,"C3")&gt;0,3,IF(COUNTIFS($A$2:$A$200,$A25,$D$2:$D$200,"*novo*",$N$2:$N$200,"C2")&gt;0,2,IF(COUNTIFS($A$2:$A$200,$A25,$D$2:$D$200,"*novo*",$N$2:$N$200,"C1")&gt;0,1,IF(COUNTIFS($A$2:$A$200,$A25,$D$2:$D$200,"*novo*",$N$2:$N$200,"C0")&gt;0,0,""))))),IF(AND((COUNTIFS($A$2:$A$200,$A25,$D$2:$D$200,"*novo*",$N$2:$N$200,"C0")+COUNTIFS($A$2:$A$200,$A25,$D$2:$D$200,"*novo*",$N$2:$N$200,"C1")+COUNTIFS($A$2:$A$200,$A25,$D$2:$D$200,"*novo*",$N$2:$N$200,"C2")+COUNTIFS($A$2:$A$200,$A25,$D$2:$D$200,"*novo*",$N$2:$N$200,"C3")+COUNTIFS($A$2:$A$200,$A25,$D$2:$D$200,"*novo*",$N$2:$N$200,"C4"))=0,INDEX(posicao_contratual!$Y$2:$Y$200,MATCH($A25,posicao_contratual!$A$2:$A$200,0))=0),0,"")),"")</f>
        <v/>
      </c>
    </row>
    <row r="26" spans="1:15" ht="45" customHeight="1" x14ac:dyDescent="0.35">
      <c r="A26" s="105"/>
      <c r="B26" s="189"/>
      <c r="C26" s="99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05"/>
      <c r="E26" s="106"/>
      <c r="F26" s="107" t="str">
        <f>IF(A26="","",IFERROR(VLOOKUP(A26,itens_Remanesc!$A:$C,3,0),""))</f>
        <v/>
      </c>
      <c r="G26" s="107" t="str">
        <f t="shared" si="0"/>
        <v/>
      </c>
      <c r="H26" s="105"/>
      <c r="I26" s="64" t="str">
        <f>IFERROR(IF(OR($A26="",$C26=""),"",IF(OR(($O26)="",($O26)&gt;(MIN(MATCH($C26,{"C0","C1","C2","C3","C4"},0)-1,COUNT(parametros!$F$2:$F$6)-1)),NOT(ISNUMBER(INDEX(parametros!$F$2:$F$6,(MIN(MATCH($C26,{"C0","C1","C2","C3","C4"},0)-1,COUNT(parametros!$F$2:$F$6)-1))+1))),NOT(ISNUMBER(INDEX(parametros!$F$2:$F$6,($O26)+1)))),"",INDEX(parametros!$F$2:$F$6,(MIN(MATCH($C26,{"C0","C1","C2","C3","C4"},0)-1,COUNT(parametros!$F$2:$F$6)-1))+1)/INDEX(parametros!$F$2:$F$6,($O26)+1))),"")</f>
        <v/>
      </c>
      <c r="J26" s="107" t="str">
        <f t="shared" si="1"/>
        <v/>
      </c>
      <c r="K26" s="105"/>
      <c r="L26" s="85" t="str">
        <f t="shared" si="2"/>
        <v/>
      </c>
      <c r="M26" s="483" t="str">
        <f>IF(A26="","",IF(COUNTIF(itens_Remanesc!$A$2:$A$200,A26)=0,"NOVO ITEM NAO CADASTRADO - CADASTRAR EM itens_Remanesc: ITEM + VU_ORIGINAL (QTD_BASE_ORIGINAL sera 0 automaticamente); depois a data e a quantidade aqui.",IF(COUNTIF(itens_Remanesc!$A$2:$A$200,A26)&gt;1,"ALERTA: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TIPO_INVALIDO",IF(AND(ISNUMBER(SEARCH("NOVO",D26)),OR(INDEX(posicao_contratual!$C$2:$C$200,MATCH(A26,posicao_contratual!$A$2:$A$200,0))&lt;&gt;0,F26="",COUNTIFS($A$2:$A$200,A26,$B$2:$B$200,"&lt;"&amp;B26,$L$2:$L$200,"&gt;0")&gt;0)),"ALERTA: NOVO ITEM INVALIDO - use Acrescimo se o item ja existia; novo item exige QTD_BASE_ORIGINAL 0, VU_ORIGINAL e ser o 1o acrescimo do item.",IF(AND(ISNUMBER(SEARCH("NOVO",D26)),OR(N26="",ISERROR(MATCH(N26,{"C0","C1","C2","C3","C4"},0)))),"ALERTA: BASE_VU_OBRIGATORIA",IF(AND(NOT(ISNUMBER(SEARCH("NOVO",D26))),N26&lt;&gt;""),"ALERTA: BASE_VU_NAO_APLICAVEL",IF(AND(UPPER(H26)="SIM",NOT(ISNUMBER(I26))),"ALERTA: BASE_VU_INVALIDA_OU_POSTERIOR_AO_FATOR_ALVO","OK"))))))))))</f>
        <v/>
      </c>
      <c r="N26" s="485"/>
      <c r="O26" s="487" t="str">
        <f>IFERROR(IF((COUNTIFS($A$2:$A$200,$A26,$D$2:$D$200,"*novo*",$N$2:$N$200,"C0")+COUNTIFS($A$2:$A$200,$A26,$D$2:$D$200,"*novo*",$N$2:$N$200,"C1")+COUNTIFS($A$2:$A$200,$A26,$D$2:$D$200,"*novo*",$N$2:$N$200,"C2")+COUNTIFS($A$2:$A$200,$A26,$D$2:$D$200,"*novo*",$N$2:$N$200,"C3")+COUNTIFS($A$2:$A$200,$A26,$D$2:$D$200,"*novo*",$N$2:$N$200,"C4"))=1,IF(COUNTIFS($A$2:$A$200,$A26,$D$2:$D$200,"*novo*",$N$2:$N$200,"C4")&gt;0,4,IF(COUNTIFS($A$2:$A$200,$A26,$D$2:$D$200,"*novo*",$N$2:$N$200,"C3")&gt;0,3,IF(COUNTIFS($A$2:$A$200,$A26,$D$2:$D$200,"*novo*",$N$2:$N$200,"C2")&gt;0,2,IF(COUNTIFS($A$2:$A$200,$A26,$D$2:$D$200,"*novo*",$N$2:$N$200,"C1")&gt;0,1,IF(COUNTIFS($A$2:$A$200,$A26,$D$2:$D$200,"*novo*",$N$2:$N$200,"C0")&gt;0,0,""))))),IF(AND((COUNTIFS($A$2:$A$200,$A26,$D$2:$D$200,"*novo*",$N$2:$N$200,"C0")+COUNTIFS($A$2:$A$200,$A26,$D$2:$D$200,"*novo*",$N$2:$N$200,"C1")+COUNTIFS($A$2:$A$200,$A26,$D$2:$D$200,"*novo*",$N$2:$N$200,"C2")+COUNTIFS($A$2:$A$200,$A26,$D$2:$D$200,"*novo*",$N$2:$N$200,"C3")+COUNTIFS($A$2:$A$200,$A26,$D$2:$D$200,"*novo*",$N$2:$N$200,"C4"))=0,INDEX(posicao_contratual!$Y$2:$Y$200,MATCH($A26,posicao_contratual!$A$2:$A$200,0))=0),0,"")),"")</f>
        <v/>
      </c>
    </row>
    <row r="27" spans="1:15" ht="45" customHeight="1" x14ac:dyDescent="0.35">
      <c r="A27" s="105"/>
      <c r="B27" s="189"/>
      <c r="C27" s="99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05"/>
      <c r="E27" s="106"/>
      <c r="F27" s="107" t="str">
        <f>IF(A27="","",IFERROR(VLOOKUP(A27,itens_Remanesc!$A:$C,3,0),""))</f>
        <v/>
      </c>
      <c r="G27" s="107" t="str">
        <f t="shared" si="0"/>
        <v/>
      </c>
      <c r="H27" s="105"/>
      <c r="I27" s="64" t="str">
        <f>IFERROR(IF(OR($A27="",$C27=""),"",IF(OR(($O27)="",($O27)&gt;(MIN(MATCH($C27,{"C0","C1","C2","C3","C4"},0)-1,COUNT(parametros!$F$2:$F$6)-1)),NOT(ISNUMBER(INDEX(parametros!$F$2:$F$6,(MIN(MATCH($C27,{"C0","C1","C2","C3","C4"},0)-1,COUNT(parametros!$F$2:$F$6)-1))+1))),NOT(ISNUMBER(INDEX(parametros!$F$2:$F$6,($O27)+1)))),"",INDEX(parametros!$F$2:$F$6,(MIN(MATCH($C27,{"C0","C1","C2","C3","C4"},0)-1,COUNT(parametros!$F$2:$F$6)-1))+1)/INDEX(parametros!$F$2:$F$6,($O27)+1))),"")</f>
        <v/>
      </c>
      <c r="J27" s="107" t="str">
        <f t="shared" si="1"/>
        <v/>
      </c>
      <c r="K27" s="105"/>
      <c r="L27" s="85" t="str">
        <f t="shared" si="2"/>
        <v/>
      </c>
      <c r="M27" s="483" t="str">
        <f>IF(A27="","",IF(COUNTIF(itens_Remanesc!$A$2:$A$200,A27)=0,"NOVO ITEM NAO CADASTRADO - CADASTRAR EM itens_Remanesc: ITEM + VU_ORIGINAL (QTD_BASE_ORIGINAL sera 0 automaticamente); depois a data e a quantidade aqui.",IF(COUNTIF(itens_Remanesc!$A$2:$A$200,A27)&gt;1,"ALERTA: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TIPO_INVALIDO",IF(AND(ISNUMBER(SEARCH("NOVO",D27)),OR(INDEX(posicao_contratual!$C$2:$C$200,MATCH(A27,posicao_contratual!$A$2:$A$200,0))&lt;&gt;0,F27="",COUNTIFS($A$2:$A$200,A27,$B$2:$B$200,"&lt;"&amp;B27,$L$2:$L$200,"&gt;0")&gt;0)),"ALERTA: NOVO ITEM INVALIDO - use Acrescimo se o item ja existia; novo item exige QTD_BASE_ORIGINAL 0, VU_ORIGINAL e ser o 1o acrescimo do item.",IF(AND(ISNUMBER(SEARCH("NOVO",D27)),OR(N27="",ISERROR(MATCH(N27,{"C0","C1","C2","C3","C4"},0)))),"ALERTA: BASE_VU_OBRIGATORIA",IF(AND(NOT(ISNUMBER(SEARCH("NOVO",D27))),N27&lt;&gt;""),"ALERTA: BASE_VU_NAO_APLICAVEL",IF(AND(UPPER(H27)="SIM",NOT(ISNUMBER(I27))),"ALERTA: BASE_VU_INVALIDA_OU_POSTERIOR_AO_FATOR_ALVO","OK"))))))))))</f>
        <v/>
      </c>
      <c r="N27" s="485"/>
      <c r="O27" s="487" t="str">
        <f>IFERROR(IF((COUNTIFS($A$2:$A$200,$A27,$D$2:$D$200,"*novo*",$N$2:$N$200,"C0")+COUNTIFS($A$2:$A$200,$A27,$D$2:$D$200,"*novo*",$N$2:$N$200,"C1")+COUNTIFS($A$2:$A$200,$A27,$D$2:$D$200,"*novo*",$N$2:$N$200,"C2")+COUNTIFS($A$2:$A$200,$A27,$D$2:$D$200,"*novo*",$N$2:$N$200,"C3")+COUNTIFS($A$2:$A$200,$A27,$D$2:$D$200,"*novo*",$N$2:$N$200,"C4"))=1,IF(COUNTIFS($A$2:$A$200,$A27,$D$2:$D$200,"*novo*",$N$2:$N$200,"C4")&gt;0,4,IF(COUNTIFS($A$2:$A$200,$A27,$D$2:$D$200,"*novo*",$N$2:$N$200,"C3")&gt;0,3,IF(COUNTIFS($A$2:$A$200,$A27,$D$2:$D$200,"*novo*",$N$2:$N$200,"C2")&gt;0,2,IF(COUNTIFS($A$2:$A$200,$A27,$D$2:$D$200,"*novo*",$N$2:$N$200,"C1")&gt;0,1,IF(COUNTIFS($A$2:$A$200,$A27,$D$2:$D$200,"*novo*",$N$2:$N$200,"C0")&gt;0,0,""))))),IF(AND((COUNTIFS($A$2:$A$200,$A27,$D$2:$D$200,"*novo*",$N$2:$N$200,"C0")+COUNTIFS($A$2:$A$200,$A27,$D$2:$D$200,"*novo*",$N$2:$N$200,"C1")+COUNTIFS($A$2:$A$200,$A27,$D$2:$D$200,"*novo*",$N$2:$N$200,"C2")+COUNTIFS($A$2:$A$200,$A27,$D$2:$D$200,"*novo*",$N$2:$N$200,"C3")+COUNTIFS($A$2:$A$200,$A27,$D$2:$D$200,"*novo*",$N$2:$N$200,"C4"))=0,INDEX(posicao_contratual!$Y$2:$Y$200,MATCH($A27,posicao_contratual!$A$2:$A$200,0))=0),0,"")),"")</f>
        <v/>
      </c>
    </row>
    <row r="28" spans="1:15" ht="45" customHeight="1" x14ac:dyDescent="0.35">
      <c r="A28" s="105"/>
      <c r="B28" s="189"/>
      <c r="C28" s="99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05"/>
      <c r="E28" s="106"/>
      <c r="F28" s="107" t="str">
        <f>IF(A28="","",IFERROR(VLOOKUP(A28,itens_Remanesc!$A:$C,3,0),""))</f>
        <v/>
      </c>
      <c r="G28" s="107" t="str">
        <f t="shared" si="0"/>
        <v/>
      </c>
      <c r="H28" s="105"/>
      <c r="I28" s="64" t="str">
        <f>IFERROR(IF(OR($A28="",$C28=""),"",IF(OR(($O28)="",($O28)&gt;(MIN(MATCH($C28,{"C0","C1","C2","C3","C4"},0)-1,COUNT(parametros!$F$2:$F$6)-1)),NOT(ISNUMBER(INDEX(parametros!$F$2:$F$6,(MIN(MATCH($C28,{"C0","C1","C2","C3","C4"},0)-1,COUNT(parametros!$F$2:$F$6)-1))+1))),NOT(ISNUMBER(INDEX(parametros!$F$2:$F$6,($O28)+1)))),"",INDEX(parametros!$F$2:$F$6,(MIN(MATCH($C28,{"C0","C1","C2","C3","C4"},0)-1,COUNT(parametros!$F$2:$F$6)-1))+1)/INDEX(parametros!$F$2:$F$6,($O28)+1))),"")</f>
        <v/>
      </c>
      <c r="J28" s="107" t="str">
        <f t="shared" si="1"/>
        <v/>
      </c>
      <c r="K28" s="105"/>
      <c r="L28" s="85" t="str">
        <f t="shared" si="2"/>
        <v/>
      </c>
      <c r="M28" s="483" t="str">
        <f>IF(A28="","",IF(COUNTIF(itens_Remanesc!$A$2:$A$200,A28)=0,"NOVO ITEM NAO CADASTRADO - CADASTRAR EM itens_Remanesc: ITEM + VU_ORIGINAL (QTD_BASE_ORIGINAL sera 0 automaticamente); depois a data e a quantidade aqui.",IF(COUNTIF(itens_Remanesc!$A$2:$A$200,A28)&gt;1,"ALERTA: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TIPO_INVALIDO",IF(AND(ISNUMBER(SEARCH("NOVO",D28)),OR(INDEX(posicao_contratual!$C$2:$C$200,MATCH(A28,posicao_contratual!$A$2:$A$200,0))&lt;&gt;0,F28="",COUNTIFS($A$2:$A$200,A28,$B$2:$B$200,"&lt;"&amp;B28,$L$2:$L$200,"&gt;0")&gt;0)),"ALERTA: NOVO ITEM INVALIDO - use Acrescimo se o item ja existia; novo item exige QTD_BASE_ORIGINAL 0, VU_ORIGINAL e ser o 1o acrescimo do item.",IF(AND(ISNUMBER(SEARCH("NOVO",D28)),OR(N28="",ISERROR(MATCH(N28,{"C0","C1","C2","C3","C4"},0)))),"ALERTA: BASE_VU_OBRIGATORIA",IF(AND(NOT(ISNUMBER(SEARCH("NOVO",D28))),N28&lt;&gt;""),"ALERTA: BASE_VU_NAO_APLICAVEL",IF(AND(UPPER(H28)="SIM",NOT(ISNUMBER(I28))),"ALERTA: BASE_VU_INVALIDA_OU_POSTERIOR_AO_FATOR_ALVO","OK"))))))))))</f>
        <v/>
      </c>
      <c r="N28" s="485"/>
      <c r="O28" s="487" t="str">
        <f>IFERROR(IF((COUNTIFS($A$2:$A$200,$A28,$D$2:$D$200,"*novo*",$N$2:$N$200,"C0")+COUNTIFS($A$2:$A$200,$A28,$D$2:$D$200,"*novo*",$N$2:$N$200,"C1")+COUNTIFS($A$2:$A$200,$A28,$D$2:$D$200,"*novo*",$N$2:$N$200,"C2")+COUNTIFS($A$2:$A$200,$A28,$D$2:$D$200,"*novo*",$N$2:$N$200,"C3")+COUNTIFS($A$2:$A$200,$A28,$D$2:$D$200,"*novo*",$N$2:$N$200,"C4"))=1,IF(COUNTIFS($A$2:$A$200,$A28,$D$2:$D$200,"*novo*",$N$2:$N$200,"C4")&gt;0,4,IF(COUNTIFS($A$2:$A$200,$A28,$D$2:$D$200,"*novo*",$N$2:$N$200,"C3")&gt;0,3,IF(COUNTIFS($A$2:$A$200,$A28,$D$2:$D$200,"*novo*",$N$2:$N$200,"C2")&gt;0,2,IF(COUNTIFS($A$2:$A$200,$A28,$D$2:$D$200,"*novo*",$N$2:$N$200,"C1")&gt;0,1,IF(COUNTIFS($A$2:$A$200,$A28,$D$2:$D$200,"*novo*",$N$2:$N$200,"C0")&gt;0,0,""))))),IF(AND((COUNTIFS($A$2:$A$200,$A28,$D$2:$D$200,"*novo*",$N$2:$N$200,"C0")+COUNTIFS($A$2:$A$200,$A28,$D$2:$D$200,"*novo*",$N$2:$N$200,"C1")+COUNTIFS($A$2:$A$200,$A28,$D$2:$D$200,"*novo*",$N$2:$N$200,"C2")+COUNTIFS($A$2:$A$200,$A28,$D$2:$D$200,"*novo*",$N$2:$N$200,"C3")+COUNTIFS($A$2:$A$200,$A28,$D$2:$D$200,"*novo*",$N$2:$N$200,"C4"))=0,INDEX(posicao_contratual!$Y$2:$Y$200,MATCH($A28,posicao_contratual!$A$2:$A$200,0))=0),0,"")),"")</f>
        <v/>
      </c>
    </row>
    <row r="29" spans="1:15" ht="45" customHeight="1" x14ac:dyDescent="0.35">
      <c r="A29" s="105"/>
      <c r="B29" s="189"/>
      <c r="C29" s="99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05"/>
      <c r="E29" s="106"/>
      <c r="F29" s="107" t="str">
        <f>IF(A29="","",IFERROR(VLOOKUP(A29,itens_Remanesc!$A:$C,3,0),""))</f>
        <v/>
      </c>
      <c r="G29" s="107" t="str">
        <f t="shared" si="0"/>
        <v/>
      </c>
      <c r="H29" s="105"/>
      <c r="I29" s="64" t="str">
        <f>IFERROR(IF(OR($A29="",$C29=""),"",IF(OR(($O29)="",($O29)&gt;(MIN(MATCH($C29,{"C0","C1","C2","C3","C4"},0)-1,COUNT(parametros!$F$2:$F$6)-1)),NOT(ISNUMBER(INDEX(parametros!$F$2:$F$6,(MIN(MATCH($C29,{"C0","C1","C2","C3","C4"},0)-1,COUNT(parametros!$F$2:$F$6)-1))+1))),NOT(ISNUMBER(INDEX(parametros!$F$2:$F$6,($O29)+1)))),"",INDEX(parametros!$F$2:$F$6,(MIN(MATCH($C29,{"C0","C1","C2","C3","C4"},0)-1,COUNT(parametros!$F$2:$F$6)-1))+1)/INDEX(parametros!$F$2:$F$6,($O29)+1))),"")</f>
        <v/>
      </c>
      <c r="J29" s="107" t="str">
        <f t="shared" si="1"/>
        <v/>
      </c>
      <c r="K29" s="105"/>
      <c r="L29" s="85" t="str">
        <f t="shared" si="2"/>
        <v/>
      </c>
      <c r="M29" s="483" t="str">
        <f>IF(A29="","",IF(COUNTIF(itens_Remanesc!$A$2:$A$200,A29)=0,"NOVO ITEM NAO CADASTRADO - CADASTRAR EM itens_Remanesc: ITEM + VU_ORIGINAL (QTD_BASE_ORIGINAL sera 0 automaticamente); depois a data e a quantidade aqui.",IF(COUNTIF(itens_Remanesc!$A$2:$A$200,A29)&gt;1,"ALERTA: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TIPO_INVALIDO",IF(AND(ISNUMBER(SEARCH("NOVO",D29)),OR(INDEX(posicao_contratual!$C$2:$C$200,MATCH(A29,posicao_contratual!$A$2:$A$200,0))&lt;&gt;0,F29="",COUNTIFS($A$2:$A$200,A29,$B$2:$B$200,"&lt;"&amp;B29,$L$2:$L$200,"&gt;0")&gt;0)),"ALERTA: NOVO ITEM INVALIDO - use Acrescimo se o item ja existia; novo item exige QTD_BASE_ORIGINAL 0, VU_ORIGINAL e ser o 1o acrescimo do item.",IF(AND(ISNUMBER(SEARCH("NOVO",D29)),OR(N29="",ISERROR(MATCH(N29,{"C0","C1","C2","C3","C4"},0)))),"ALERTA: BASE_VU_OBRIGATORIA",IF(AND(NOT(ISNUMBER(SEARCH("NOVO",D29))),N29&lt;&gt;""),"ALERTA: BASE_VU_NAO_APLICAVEL",IF(AND(UPPER(H29)="SIM",NOT(ISNUMBER(I29))),"ALERTA: BASE_VU_INVALIDA_OU_POSTERIOR_AO_FATOR_ALVO","OK"))))))))))</f>
        <v/>
      </c>
      <c r="N29" s="485"/>
      <c r="O29" s="487" t="str">
        <f>IFERROR(IF((COUNTIFS($A$2:$A$200,$A29,$D$2:$D$200,"*novo*",$N$2:$N$200,"C0")+COUNTIFS($A$2:$A$200,$A29,$D$2:$D$200,"*novo*",$N$2:$N$200,"C1")+COUNTIFS($A$2:$A$200,$A29,$D$2:$D$200,"*novo*",$N$2:$N$200,"C2")+COUNTIFS($A$2:$A$200,$A29,$D$2:$D$200,"*novo*",$N$2:$N$200,"C3")+COUNTIFS($A$2:$A$200,$A29,$D$2:$D$200,"*novo*",$N$2:$N$200,"C4"))=1,IF(COUNTIFS($A$2:$A$200,$A29,$D$2:$D$200,"*novo*",$N$2:$N$200,"C4")&gt;0,4,IF(COUNTIFS($A$2:$A$200,$A29,$D$2:$D$200,"*novo*",$N$2:$N$200,"C3")&gt;0,3,IF(COUNTIFS($A$2:$A$200,$A29,$D$2:$D$200,"*novo*",$N$2:$N$200,"C2")&gt;0,2,IF(COUNTIFS($A$2:$A$200,$A29,$D$2:$D$200,"*novo*",$N$2:$N$200,"C1")&gt;0,1,IF(COUNTIFS($A$2:$A$200,$A29,$D$2:$D$200,"*novo*",$N$2:$N$200,"C0")&gt;0,0,""))))),IF(AND((COUNTIFS($A$2:$A$200,$A29,$D$2:$D$200,"*novo*",$N$2:$N$200,"C0")+COUNTIFS($A$2:$A$200,$A29,$D$2:$D$200,"*novo*",$N$2:$N$200,"C1")+COUNTIFS($A$2:$A$200,$A29,$D$2:$D$200,"*novo*",$N$2:$N$200,"C2")+COUNTIFS($A$2:$A$200,$A29,$D$2:$D$200,"*novo*",$N$2:$N$200,"C3")+COUNTIFS($A$2:$A$200,$A29,$D$2:$D$200,"*novo*",$N$2:$N$200,"C4"))=0,INDEX(posicao_contratual!$Y$2:$Y$200,MATCH($A29,posicao_contratual!$A$2:$A$200,0))=0),0,"")),"")</f>
        <v/>
      </c>
    </row>
    <row r="30" spans="1:15" ht="45" customHeight="1" x14ac:dyDescent="0.35">
      <c r="A30" s="105"/>
      <c r="B30" s="189"/>
      <c r="C30" s="99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05"/>
      <c r="E30" s="106"/>
      <c r="F30" s="107" t="str">
        <f>IF(A30="","",IFERROR(VLOOKUP(A30,itens_Remanesc!$A:$C,3,0),""))</f>
        <v/>
      </c>
      <c r="G30" s="107" t="str">
        <f t="shared" si="0"/>
        <v/>
      </c>
      <c r="H30" s="105"/>
      <c r="I30" s="64" t="str">
        <f>IFERROR(IF(OR($A30="",$C30=""),"",IF(OR(($O30)="",($O30)&gt;(MIN(MATCH($C30,{"C0","C1","C2","C3","C4"},0)-1,COUNT(parametros!$F$2:$F$6)-1)),NOT(ISNUMBER(INDEX(parametros!$F$2:$F$6,(MIN(MATCH($C30,{"C0","C1","C2","C3","C4"},0)-1,COUNT(parametros!$F$2:$F$6)-1))+1))),NOT(ISNUMBER(INDEX(parametros!$F$2:$F$6,($O30)+1)))),"",INDEX(parametros!$F$2:$F$6,(MIN(MATCH($C30,{"C0","C1","C2","C3","C4"},0)-1,COUNT(parametros!$F$2:$F$6)-1))+1)/INDEX(parametros!$F$2:$F$6,($O30)+1))),"")</f>
        <v/>
      </c>
      <c r="J30" s="107" t="str">
        <f t="shared" si="1"/>
        <v/>
      </c>
      <c r="K30" s="105"/>
      <c r="L30" s="85" t="str">
        <f t="shared" si="2"/>
        <v/>
      </c>
      <c r="M30" s="483" t="str">
        <f>IF(A30="","",IF(COUNTIF(itens_Remanesc!$A$2:$A$200,A30)=0,"NOVO ITEM NAO CADASTRADO - CADASTRAR EM itens_Remanesc: ITEM + VU_ORIGINAL (QTD_BASE_ORIGINAL sera 0 automaticamente); depois a data e a quantidade aqui.",IF(COUNTIF(itens_Remanesc!$A$2:$A$200,A30)&gt;1,"ALERTA: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TIPO_INVALIDO",IF(AND(ISNUMBER(SEARCH("NOVO",D30)),OR(INDEX(posicao_contratual!$C$2:$C$200,MATCH(A30,posicao_contratual!$A$2:$A$200,0))&lt;&gt;0,F30="",COUNTIFS($A$2:$A$200,A30,$B$2:$B$200,"&lt;"&amp;B30,$L$2:$L$200,"&gt;0")&gt;0)),"ALERTA: NOVO ITEM INVALIDO - use Acrescimo se o item ja existia; novo item exige QTD_BASE_ORIGINAL 0, VU_ORIGINAL e ser o 1o acrescimo do item.",IF(AND(ISNUMBER(SEARCH("NOVO",D30)),OR(N30="",ISERROR(MATCH(N30,{"C0","C1","C2","C3","C4"},0)))),"ALERTA: BASE_VU_OBRIGATORIA",IF(AND(NOT(ISNUMBER(SEARCH("NOVO",D30))),N30&lt;&gt;""),"ALERTA: BASE_VU_NAO_APLICAVEL",IF(AND(UPPER(H30)="SIM",NOT(ISNUMBER(I30))),"ALERTA: BASE_VU_INVALIDA_OU_POSTERIOR_AO_FATOR_ALVO","OK"))))))))))</f>
        <v/>
      </c>
      <c r="N30" s="485"/>
      <c r="O30" s="487" t="str">
        <f>IFERROR(IF((COUNTIFS($A$2:$A$200,$A30,$D$2:$D$200,"*novo*",$N$2:$N$200,"C0")+COUNTIFS($A$2:$A$200,$A30,$D$2:$D$200,"*novo*",$N$2:$N$200,"C1")+COUNTIFS($A$2:$A$200,$A30,$D$2:$D$200,"*novo*",$N$2:$N$200,"C2")+COUNTIFS($A$2:$A$200,$A30,$D$2:$D$200,"*novo*",$N$2:$N$200,"C3")+COUNTIFS($A$2:$A$200,$A30,$D$2:$D$200,"*novo*",$N$2:$N$200,"C4"))=1,IF(COUNTIFS($A$2:$A$200,$A30,$D$2:$D$200,"*novo*",$N$2:$N$200,"C4")&gt;0,4,IF(COUNTIFS($A$2:$A$200,$A30,$D$2:$D$200,"*novo*",$N$2:$N$200,"C3")&gt;0,3,IF(COUNTIFS($A$2:$A$200,$A30,$D$2:$D$200,"*novo*",$N$2:$N$200,"C2")&gt;0,2,IF(COUNTIFS($A$2:$A$200,$A30,$D$2:$D$200,"*novo*",$N$2:$N$200,"C1")&gt;0,1,IF(COUNTIFS($A$2:$A$200,$A30,$D$2:$D$200,"*novo*",$N$2:$N$200,"C0")&gt;0,0,""))))),IF(AND((COUNTIFS($A$2:$A$200,$A30,$D$2:$D$200,"*novo*",$N$2:$N$200,"C0")+COUNTIFS($A$2:$A$200,$A30,$D$2:$D$200,"*novo*",$N$2:$N$200,"C1")+COUNTIFS($A$2:$A$200,$A30,$D$2:$D$200,"*novo*",$N$2:$N$200,"C2")+COUNTIFS($A$2:$A$200,$A30,$D$2:$D$200,"*novo*",$N$2:$N$200,"C3")+COUNTIFS($A$2:$A$200,$A30,$D$2:$D$200,"*novo*",$N$2:$N$200,"C4"))=0,INDEX(posicao_contratual!$Y$2:$Y$200,MATCH($A30,posicao_contratual!$A$2:$A$200,0))=0),0,"")),"")</f>
        <v/>
      </c>
    </row>
    <row r="31" spans="1:15" ht="45" customHeight="1" x14ac:dyDescent="0.35">
      <c r="A31" s="105"/>
      <c r="B31" s="189"/>
      <c r="C31" s="99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05"/>
      <c r="E31" s="106"/>
      <c r="F31" s="107" t="str">
        <f>IF(A31="","",IFERROR(VLOOKUP(A31,itens_Remanesc!$A:$C,3,0),""))</f>
        <v/>
      </c>
      <c r="G31" s="107" t="str">
        <f t="shared" si="0"/>
        <v/>
      </c>
      <c r="H31" s="105"/>
      <c r="I31" s="64" t="str">
        <f>IFERROR(IF(OR($A31="",$C31=""),"",IF(OR(($O31)="",($O31)&gt;(MIN(MATCH($C31,{"C0","C1","C2","C3","C4"},0)-1,COUNT(parametros!$F$2:$F$6)-1)),NOT(ISNUMBER(INDEX(parametros!$F$2:$F$6,(MIN(MATCH($C31,{"C0","C1","C2","C3","C4"},0)-1,COUNT(parametros!$F$2:$F$6)-1))+1))),NOT(ISNUMBER(INDEX(parametros!$F$2:$F$6,($O31)+1)))),"",INDEX(parametros!$F$2:$F$6,(MIN(MATCH($C31,{"C0","C1","C2","C3","C4"},0)-1,COUNT(parametros!$F$2:$F$6)-1))+1)/INDEX(parametros!$F$2:$F$6,($O31)+1))),"")</f>
        <v/>
      </c>
      <c r="J31" s="107" t="str">
        <f t="shared" si="1"/>
        <v/>
      </c>
      <c r="K31" s="105"/>
      <c r="L31" s="85" t="str">
        <f t="shared" si="2"/>
        <v/>
      </c>
      <c r="M31" s="483" t="str">
        <f>IF(A31="","",IF(COUNTIF(itens_Remanesc!$A$2:$A$200,A31)=0,"NOVO ITEM NAO CADASTRADO - CADASTRAR EM itens_Remanesc: ITEM + VU_ORIGINAL (QTD_BASE_ORIGINAL sera 0 automaticamente); depois a data e a quantidade aqui.",IF(COUNTIF(itens_Remanesc!$A$2:$A$200,A31)&gt;1,"ALERTA: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TIPO_INVALIDO",IF(AND(ISNUMBER(SEARCH("NOVO",D31)),OR(INDEX(posicao_contratual!$C$2:$C$200,MATCH(A31,posicao_contratual!$A$2:$A$200,0))&lt;&gt;0,F31="",COUNTIFS($A$2:$A$200,A31,$B$2:$B$200,"&lt;"&amp;B31,$L$2:$L$200,"&gt;0")&gt;0)),"ALERTA: NOVO ITEM INVALIDO - use Acrescimo se o item ja existia; novo item exige QTD_BASE_ORIGINAL 0, VU_ORIGINAL e ser o 1o acrescimo do item.",IF(AND(ISNUMBER(SEARCH("NOVO",D31)),OR(N31="",ISERROR(MATCH(N31,{"C0","C1","C2","C3","C4"},0)))),"ALERTA: BASE_VU_OBRIGATORIA",IF(AND(NOT(ISNUMBER(SEARCH("NOVO",D31))),N31&lt;&gt;""),"ALERTA: BASE_VU_NAO_APLICAVEL",IF(AND(UPPER(H31)="SIM",NOT(ISNUMBER(I31))),"ALERTA: BASE_VU_INVALIDA_OU_POSTERIOR_AO_FATOR_ALVO","OK"))))))))))</f>
        <v/>
      </c>
      <c r="N31" s="485"/>
      <c r="O31" s="487" t="str">
        <f>IFERROR(IF((COUNTIFS($A$2:$A$200,$A31,$D$2:$D$200,"*novo*",$N$2:$N$200,"C0")+COUNTIFS($A$2:$A$200,$A31,$D$2:$D$200,"*novo*",$N$2:$N$200,"C1")+COUNTIFS($A$2:$A$200,$A31,$D$2:$D$200,"*novo*",$N$2:$N$200,"C2")+COUNTIFS($A$2:$A$200,$A31,$D$2:$D$200,"*novo*",$N$2:$N$200,"C3")+COUNTIFS($A$2:$A$200,$A31,$D$2:$D$200,"*novo*",$N$2:$N$200,"C4"))=1,IF(COUNTIFS($A$2:$A$200,$A31,$D$2:$D$200,"*novo*",$N$2:$N$200,"C4")&gt;0,4,IF(COUNTIFS($A$2:$A$200,$A31,$D$2:$D$200,"*novo*",$N$2:$N$200,"C3")&gt;0,3,IF(COUNTIFS($A$2:$A$200,$A31,$D$2:$D$200,"*novo*",$N$2:$N$200,"C2")&gt;0,2,IF(COUNTIFS($A$2:$A$200,$A31,$D$2:$D$200,"*novo*",$N$2:$N$200,"C1")&gt;0,1,IF(COUNTIFS($A$2:$A$200,$A31,$D$2:$D$200,"*novo*",$N$2:$N$200,"C0")&gt;0,0,""))))),IF(AND((COUNTIFS($A$2:$A$200,$A31,$D$2:$D$200,"*novo*",$N$2:$N$200,"C0")+COUNTIFS($A$2:$A$200,$A31,$D$2:$D$200,"*novo*",$N$2:$N$200,"C1")+COUNTIFS($A$2:$A$200,$A31,$D$2:$D$200,"*novo*",$N$2:$N$200,"C2")+COUNTIFS($A$2:$A$200,$A31,$D$2:$D$200,"*novo*",$N$2:$N$200,"C3")+COUNTIFS($A$2:$A$200,$A31,$D$2:$D$200,"*novo*",$N$2:$N$200,"C4"))=0,INDEX(posicao_contratual!$Y$2:$Y$200,MATCH($A31,posicao_contratual!$A$2:$A$200,0))=0),0,"")),"")</f>
        <v/>
      </c>
    </row>
    <row r="32" spans="1:15" ht="45" customHeight="1" x14ac:dyDescent="0.35">
      <c r="A32" s="105"/>
      <c r="B32" s="189"/>
      <c r="C32" s="99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05"/>
      <c r="E32" s="106"/>
      <c r="F32" s="107" t="str">
        <f>IF(A32="","",IFERROR(VLOOKUP(A32,itens_Remanesc!$A:$C,3,0),""))</f>
        <v/>
      </c>
      <c r="G32" s="107" t="str">
        <f t="shared" si="0"/>
        <v/>
      </c>
      <c r="H32" s="105"/>
      <c r="I32" s="64" t="str">
        <f>IFERROR(IF(OR($A32="",$C32=""),"",IF(OR(($O32)="",($O32)&gt;(MIN(MATCH($C32,{"C0","C1","C2","C3","C4"},0)-1,COUNT(parametros!$F$2:$F$6)-1)),NOT(ISNUMBER(INDEX(parametros!$F$2:$F$6,(MIN(MATCH($C32,{"C0","C1","C2","C3","C4"},0)-1,COUNT(parametros!$F$2:$F$6)-1))+1))),NOT(ISNUMBER(INDEX(parametros!$F$2:$F$6,($O32)+1)))),"",INDEX(parametros!$F$2:$F$6,(MIN(MATCH($C32,{"C0","C1","C2","C3","C4"},0)-1,COUNT(parametros!$F$2:$F$6)-1))+1)/INDEX(parametros!$F$2:$F$6,($O32)+1))),"")</f>
        <v/>
      </c>
      <c r="J32" s="107" t="str">
        <f t="shared" si="1"/>
        <v/>
      </c>
      <c r="K32" s="105"/>
      <c r="L32" s="85" t="str">
        <f t="shared" si="2"/>
        <v/>
      </c>
      <c r="M32" s="483" t="str">
        <f>IF(A32="","",IF(COUNTIF(itens_Remanesc!$A$2:$A$200,A32)=0,"NOVO ITEM NAO CADASTRADO - CADASTRAR EM itens_Remanesc: ITEM + VU_ORIGINAL (QTD_BASE_ORIGINAL sera 0 automaticamente); depois a data e a quantidade aqui.",IF(COUNTIF(itens_Remanesc!$A$2:$A$200,A32)&gt;1,"ALERTA: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TIPO_INVALIDO",IF(AND(ISNUMBER(SEARCH("NOVO",D32)),OR(INDEX(posicao_contratual!$C$2:$C$200,MATCH(A32,posicao_contratual!$A$2:$A$200,0))&lt;&gt;0,F32="",COUNTIFS($A$2:$A$200,A32,$B$2:$B$200,"&lt;"&amp;B32,$L$2:$L$200,"&gt;0")&gt;0)),"ALERTA: NOVO ITEM INVALIDO - use Acrescimo se o item ja existia; novo item exige QTD_BASE_ORIGINAL 0, VU_ORIGINAL e ser o 1o acrescimo do item.",IF(AND(ISNUMBER(SEARCH("NOVO",D32)),OR(N32="",ISERROR(MATCH(N32,{"C0","C1","C2","C3","C4"},0)))),"ALERTA: BASE_VU_OBRIGATORIA",IF(AND(NOT(ISNUMBER(SEARCH("NOVO",D32))),N32&lt;&gt;""),"ALERTA: BASE_VU_NAO_APLICAVEL",IF(AND(UPPER(H32)="SIM",NOT(ISNUMBER(I32))),"ALERTA: BASE_VU_INVALIDA_OU_POSTERIOR_AO_FATOR_ALVO","OK"))))))))))</f>
        <v/>
      </c>
      <c r="N32" s="485"/>
      <c r="O32" s="487" t="str">
        <f>IFERROR(IF((COUNTIFS($A$2:$A$200,$A32,$D$2:$D$200,"*novo*",$N$2:$N$200,"C0")+COUNTIFS($A$2:$A$200,$A32,$D$2:$D$200,"*novo*",$N$2:$N$200,"C1")+COUNTIFS($A$2:$A$200,$A32,$D$2:$D$200,"*novo*",$N$2:$N$200,"C2")+COUNTIFS($A$2:$A$200,$A32,$D$2:$D$200,"*novo*",$N$2:$N$200,"C3")+COUNTIFS($A$2:$A$200,$A32,$D$2:$D$200,"*novo*",$N$2:$N$200,"C4"))=1,IF(COUNTIFS($A$2:$A$200,$A32,$D$2:$D$200,"*novo*",$N$2:$N$200,"C4")&gt;0,4,IF(COUNTIFS($A$2:$A$200,$A32,$D$2:$D$200,"*novo*",$N$2:$N$200,"C3")&gt;0,3,IF(COUNTIFS($A$2:$A$200,$A32,$D$2:$D$200,"*novo*",$N$2:$N$200,"C2")&gt;0,2,IF(COUNTIFS($A$2:$A$200,$A32,$D$2:$D$200,"*novo*",$N$2:$N$200,"C1")&gt;0,1,IF(COUNTIFS($A$2:$A$200,$A32,$D$2:$D$200,"*novo*",$N$2:$N$200,"C0")&gt;0,0,""))))),IF(AND((COUNTIFS($A$2:$A$200,$A32,$D$2:$D$200,"*novo*",$N$2:$N$200,"C0")+COUNTIFS($A$2:$A$200,$A32,$D$2:$D$200,"*novo*",$N$2:$N$200,"C1")+COUNTIFS($A$2:$A$200,$A32,$D$2:$D$200,"*novo*",$N$2:$N$200,"C2")+COUNTIFS($A$2:$A$200,$A32,$D$2:$D$200,"*novo*",$N$2:$N$200,"C3")+COUNTIFS($A$2:$A$200,$A32,$D$2:$D$200,"*novo*",$N$2:$N$200,"C4"))=0,INDEX(posicao_contratual!$Y$2:$Y$200,MATCH($A32,posicao_contratual!$A$2:$A$200,0))=0),0,"")),"")</f>
        <v/>
      </c>
    </row>
    <row r="33" spans="1:15" ht="45" customHeight="1" x14ac:dyDescent="0.35">
      <c r="A33" s="105"/>
      <c r="B33" s="189"/>
      <c r="C33" s="99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05"/>
      <c r="E33" s="106"/>
      <c r="F33" s="107" t="str">
        <f>IF(A33="","",IFERROR(VLOOKUP(A33,itens_Remanesc!$A:$C,3,0),""))</f>
        <v/>
      </c>
      <c r="G33" s="107" t="str">
        <f t="shared" si="0"/>
        <v/>
      </c>
      <c r="H33" s="105"/>
      <c r="I33" s="64" t="str">
        <f>IFERROR(IF(OR($A33="",$C33=""),"",IF(OR(($O33)="",($O33)&gt;(MIN(MATCH($C33,{"C0","C1","C2","C3","C4"},0)-1,COUNT(parametros!$F$2:$F$6)-1)),NOT(ISNUMBER(INDEX(parametros!$F$2:$F$6,(MIN(MATCH($C33,{"C0","C1","C2","C3","C4"},0)-1,COUNT(parametros!$F$2:$F$6)-1))+1))),NOT(ISNUMBER(INDEX(parametros!$F$2:$F$6,($O33)+1)))),"",INDEX(parametros!$F$2:$F$6,(MIN(MATCH($C33,{"C0","C1","C2","C3","C4"},0)-1,COUNT(parametros!$F$2:$F$6)-1))+1)/INDEX(parametros!$F$2:$F$6,($O33)+1))),"")</f>
        <v/>
      </c>
      <c r="J33" s="107" t="str">
        <f t="shared" si="1"/>
        <v/>
      </c>
      <c r="K33" s="105"/>
      <c r="L33" s="85" t="str">
        <f t="shared" si="2"/>
        <v/>
      </c>
      <c r="M33" s="483" t="str">
        <f>IF(A33="","",IF(COUNTIF(itens_Remanesc!$A$2:$A$200,A33)=0,"NOVO ITEM NAO CADASTRADO - CADASTRAR EM itens_Remanesc: ITEM + VU_ORIGINAL (QTD_BASE_ORIGINAL sera 0 automaticamente); depois a data e a quantidade aqui.",IF(COUNTIF(itens_Remanesc!$A$2:$A$200,A33)&gt;1,"ALERTA: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TIPO_INVALIDO",IF(AND(ISNUMBER(SEARCH("NOVO",D33)),OR(INDEX(posicao_contratual!$C$2:$C$200,MATCH(A33,posicao_contratual!$A$2:$A$200,0))&lt;&gt;0,F33="",COUNTIFS($A$2:$A$200,A33,$B$2:$B$200,"&lt;"&amp;B33,$L$2:$L$200,"&gt;0")&gt;0)),"ALERTA: NOVO ITEM INVALIDO - use Acrescimo se o item ja existia; novo item exige QTD_BASE_ORIGINAL 0, VU_ORIGINAL e ser o 1o acrescimo do item.",IF(AND(ISNUMBER(SEARCH("NOVO",D33)),OR(N33="",ISERROR(MATCH(N33,{"C0","C1","C2","C3","C4"},0)))),"ALERTA: BASE_VU_OBRIGATORIA",IF(AND(NOT(ISNUMBER(SEARCH("NOVO",D33))),N33&lt;&gt;""),"ALERTA: BASE_VU_NAO_APLICAVEL",IF(AND(UPPER(H33)="SIM",NOT(ISNUMBER(I33))),"ALERTA: BASE_VU_INVALIDA_OU_POSTERIOR_AO_FATOR_ALVO","OK"))))))))))</f>
        <v/>
      </c>
      <c r="N33" s="485"/>
      <c r="O33" s="487" t="str">
        <f>IFERROR(IF((COUNTIFS($A$2:$A$200,$A33,$D$2:$D$200,"*novo*",$N$2:$N$200,"C0")+COUNTIFS($A$2:$A$200,$A33,$D$2:$D$200,"*novo*",$N$2:$N$200,"C1")+COUNTIFS($A$2:$A$200,$A33,$D$2:$D$200,"*novo*",$N$2:$N$200,"C2")+COUNTIFS($A$2:$A$200,$A33,$D$2:$D$200,"*novo*",$N$2:$N$200,"C3")+COUNTIFS($A$2:$A$200,$A33,$D$2:$D$200,"*novo*",$N$2:$N$200,"C4"))=1,IF(COUNTIFS($A$2:$A$200,$A33,$D$2:$D$200,"*novo*",$N$2:$N$200,"C4")&gt;0,4,IF(COUNTIFS($A$2:$A$200,$A33,$D$2:$D$200,"*novo*",$N$2:$N$200,"C3")&gt;0,3,IF(COUNTIFS($A$2:$A$200,$A33,$D$2:$D$200,"*novo*",$N$2:$N$200,"C2")&gt;0,2,IF(COUNTIFS($A$2:$A$200,$A33,$D$2:$D$200,"*novo*",$N$2:$N$200,"C1")&gt;0,1,IF(COUNTIFS($A$2:$A$200,$A33,$D$2:$D$200,"*novo*",$N$2:$N$200,"C0")&gt;0,0,""))))),IF(AND((COUNTIFS($A$2:$A$200,$A33,$D$2:$D$200,"*novo*",$N$2:$N$200,"C0")+COUNTIFS($A$2:$A$200,$A33,$D$2:$D$200,"*novo*",$N$2:$N$200,"C1")+COUNTIFS($A$2:$A$200,$A33,$D$2:$D$200,"*novo*",$N$2:$N$200,"C2")+COUNTIFS($A$2:$A$200,$A33,$D$2:$D$200,"*novo*",$N$2:$N$200,"C3")+COUNTIFS($A$2:$A$200,$A33,$D$2:$D$200,"*novo*",$N$2:$N$200,"C4"))=0,INDEX(posicao_contratual!$Y$2:$Y$200,MATCH($A33,posicao_contratual!$A$2:$A$200,0))=0),0,"")),"")</f>
        <v/>
      </c>
    </row>
    <row r="34" spans="1:15" ht="45" customHeight="1" x14ac:dyDescent="0.35">
      <c r="A34" s="105"/>
      <c r="B34" s="189"/>
      <c r="C34" s="99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05"/>
      <c r="E34" s="106"/>
      <c r="F34" s="107" t="str">
        <f>IF(A34="","",IFERROR(VLOOKUP(A34,itens_Remanesc!$A:$C,3,0),""))</f>
        <v/>
      </c>
      <c r="G34" s="107" t="str">
        <f t="shared" ref="G34:G65" si="3">IF(OR(E34="",F34=""),"",ROUND(E34*F34,2))</f>
        <v/>
      </c>
      <c r="H34" s="105"/>
      <c r="I34" s="64" t="str">
        <f>IFERROR(IF(OR($A34="",$C34=""),"",IF(OR(($O34)="",($O34)&gt;(MIN(MATCH($C34,{"C0","C1","C2","C3","C4"},0)-1,COUNT(parametros!$F$2:$F$6)-1)),NOT(ISNUMBER(INDEX(parametros!$F$2:$F$6,(MIN(MATCH($C34,{"C0","C1","C2","C3","C4"},0)-1,COUNT(parametros!$F$2:$F$6)-1))+1))),NOT(ISNUMBER(INDEX(parametros!$F$2:$F$6,($O34)+1)))),"",INDEX(parametros!$F$2:$F$6,(MIN(MATCH($C34,{"C0","C1","C2","C3","C4"},0)-1,COUNT(parametros!$F$2:$F$6)-1))+1)/INDEX(parametros!$F$2:$F$6,($O34)+1))),"")</f>
        <v/>
      </c>
      <c r="J34" s="107" t="str">
        <f t="shared" ref="J34:J65" si="4">IF(OR(L34="",F34=""),"",IF(UPPER(H34)="SIM",IF(ISNUMBER(I34),ROUND(L34*ROUND(F34*I34,2),2),""),ROUND(L34*F34,2)))</f>
        <v/>
      </c>
      <c r="K34" s="105"/>
      <c r="L34" s="85" t="str">
        <f t="shared" ref="L34:L65" si="5">IF(OR(A34="",C34="",D34="",NOT(ISNUMBER(E34))),"",IF(LEFT(UPPER(D34),3)="ACR",ROUND(ABS(E34),2),IF(OR(LEFT(UPPER(D34),4)="SUPR",LEFT(UPPER(D34),4)="DECR"),ROUND(-ABS(E34),2),"")))</f>
        <v/>
      </c>
      <c r="M34" s="483" t="str">
        <f>IF(A34="","",IF(COUNTIF(itens_Remanesc!$A$2:$A$200,A34)=0,"NOVO ITEM NAO CADASTRADO - CADASTRAR EM itens_Remanesc: ITEM + VU_ORIGINAL (QTD_BASE_ORIGINAL sera 0 automaticamente); depois a data e a quantidade aqui.",IF(COUNTIF(itens_Remanesc!$A$2:$A$200,A34)&gt;1,"ALERTA: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TIPO_INVALIDO",IF(AND(ISNUMBER(SEARCH("NOVO",D34)),OR(INDEX(posicao_contratual!$C$2:$C$200,MATCH(A34,posicao_contratual!$A$2:$A$200,0))&lt;&gt;0,F34="",COUNTIFS($A$2:$A$200,A34,$B$2:$B$200,"&lt;"&amp;B34,$L$2:$L$200,"&gt;0")&gt;0)),"ALERTA: NOVO ITEM INVALIDO - use Acrescimo se o item ja existia; novo item exige QTD_BASE_ORIGINAL 0, VU_ORIGINAL e ser o 1o acrescimo do item.",IF(AND(ISNUMBER(SEARCH("NOVO",D34)),OR(N34="",ISERROR(MATCH(N34,{"C0","C1","C2","C3","C4"},0)))),"ALERTA: BASE_VU_OBRIGATORIA",IF(AND(NOT(ISNUMBER(SEARCH("NOVO",D34))),N34&lt;&gt;""),"ALERTA: BASE_VU_NAO_APLICAVEL",IF(AND(UPPER(H34)="SIM",NOT(ISNUMBER(I34))),"ALERTA: BASE_VU_INVALIDA_OU_POSTERIOR_AO_FATOR_ALVO","OK"))))))))))</f>
        <v/>
      </c>
      <c r="N34" s="485"/>
      <c r="O34" s="487" t="str">
        <f>IFERROR(IF((COUNTIFS($A$2:$A$200,$A34,$D$2:$D$200,"*novo*",$N$2:$N$200,"C0")+COUNTIFS($A$2:$A$200,$A34,$D$2:$D$200,"*novo*",$N$2:$N$200,"C1")+COUNTIFS($A$2:$A$200,$A34,$D$2:$D$200,"*novo*",$N$2:$N$200,"C2")+COUNTIFS($A$2:$A$200,$A34,$D$2:$D$200,"*novo*",$N$2:$N$200,"C3")+COUNTIFS($A$2:$A$200,$A34,$D$2:$D$200,"*novo*",$N$2:$N$200,"C4"))=1,IF(COUNTIFS($A$2:$A$200,$A34,$D$2:$D$200,"*novo*",$N$2:$N$200,"C4")&gt;0,4,IF(COUNTIFS($A$2:$A$200,$A34,$D$2:$D$200,"*novo*",$N$2:$N$200,"C3")&gt;0,3,IF(COUNTIFS($A$2:$A$200,$A34,$D$2:$D$200,"*novo*",$N$2:$N$200,"C2")&gt;0,2,IF(COUNTIFS($A$2:$A$200,$A34,$D$2:$D$200,"*novo*",$N$2:$N$200,"C1")&gt;0,1,IF(COUNTIFS($A$2:$A$200,$A34,$D$2:$D$200,"*novo*",$N$2:$N$200,"C0")&gt;0,0,""))))),IF(AND((COUNTIFS($A$2:$A$200,$A34,$D$2:$D$200,"*novo*",$N$2:$N$200,"C0")+COUNTIFS($A$2:$A$200,$A34,$D$2:$D$200,"*novo*",$N$2:$N$200,"C1")+COUNTIFS($A$2:$A$200,$A34,$D$2:$D$200,"*novo*",$N$2:$N$200,"C2")+COUNTIFS($A$2:$A$200,$A34,$D$2:$D$200,"*novo*",$N$2:$N$200,"C3")+COUNTIFS($A$2:$A$200,$A34,$D$2:$D$200,"*novo*",$N$2:$N$200,"C4"))=0,INDEX(posicao_contratual!$Y$2:$Y$200,MATCH($A34,posicao_contratual!$A$2:$A$200,0))=0),0,"")),"")</f>
        <v/>
      </c>
    </row>
    <row r="35" spans="1:15" ht="45" customHeight="1" x14ac:dyDescent="0.35">
      <c r="A35" s="105"/>
      <c r="B35" s="189"/>
      <c r="C35" s="99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05"/>
      <c r="E35" s="106"/>
      <c r="F35" s="107" t="str">
        <f>IF(A35="","",IFERROR(VLOOKUP(A35,itens_Remanesc!$A:$C,3,0),""))</f>
        <v/>
      </c>
      <c r="G35" s="107" t="str">
        <f t="shared" si="3"/>
        <v/>
      </c>
      <c r="H35" s="105"/>
      <c r="I35" s="64" t="str">
        <f>IFERROR(IF(OR($A35="",$C35=""),"",IF(OR(($O35)="",($O35)&gt;(MIN(MATCH($C35,{"C0","C1","C2","C3","C4"},0)-1,COUNT(parametros!$F$2:$F$6)-1)),NOT(ISNUMBER(INDEX(parametros!$F$2:$F$6,(MIN(MATCH($C35,{"C0","C1","C2","C3","C4"},0)-1,COUNT(parametros!$F$2:$F$6)-1))+1))),NOT(ISNUMBER(INDEX(parametros!$F$2:$F$6,($O35)+1)))),"",INDEX(parametros!$F$2:$F$6,(MIN(MATCH($C35,{"C0","C1","C2","C3","C4"},0)-1,COUNT(parametros!$F$2:$F$6)-1))+1)/INDEX(parametros!$F$2:$F$6,($O35)+1))),"")</f>
        <v/>
      </c>
      <c r="J35" s="107" t="str">
        <f t="shared" si="4"/>
        <v/>
      </c>
      <c r="K35" s="105"/>
      <c r="L35" s="85" t="str">
        <f t="shared" si="5"/>
        <v/>
      </c>
      <c r="M35" s="483" t="str">
        <f>IF(A35="","",IF(COUNTIF(itens_Remanesc!$A$2:$A$200,A35)=0,"NOVO ITEM NAO CADASTRADO - CADASTRAR EM itens_Remanesc: ITEM + VU_ORIGINAL (QTD_BASE_ORIGINAL sera 0 automaticamente); depois a data e a quantidade aqui.",IF(COUNTIF(itens_Remanesc!$A$2:$A$200,A35)&gt;1,"ALERTA: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TIPO_INVALIDO",IF(AND(ISNUMBER(SEARCH("NOVO",D35)),OR(INDEX(posicao_contratual!$C$2:$C$200,MATCH(A35,posicao_contratual!$A$2:$A$200,0))&lt;&gt;0,F35="",COUNTIFS($A$2:$A$200,A35,$B$2:$B$200,"&lt;"&amp;B35,$L$2:$L$200,"&gt;0")&gt;0)),"ALERTA: NOVO ITEM INVALIDO - use Acrescimo se o item ja existia; novo item exige QTD_BASE_ORIGINAL 0, VU_ORIGINAL e ser o 1o acrescimo do item.",IF(AND(ISNUMBER(SEARCH("NOVO",D35)),OR(N35="",ISERROR(MATCH(N35,{"C0","C1","C2","C3","C4"},0)))),"ALERTA: BASE_VU_OBRIGATORIA",IF(AND(NOT(ISNUMBER(SEARCH("NOVO",D35))),N35&lt;&gt;""),"ALERTA: BASE_VU_NAO_APLICAVEL",IF(AND(UPPER(H35)="SIM",NOT(ISNUMBER(I35))),"ALERTA: BASE_VU_INVALIDA_OU_POSTERIOR_AO_FATOR_ALVO","OK"))))))))))</f>
        <v/>
      </c>
      <c r="N35" s="485"/>
      <c r="O35" s="487" t="str">
        <f>IFERROR(IF((COUNTIFS($A$2:$A$200,$A35,$D$2:$D$200,"*novo*",$N$2:$N$200,"C0")+COUNTIFS($A$2:$A$200,$A35,$D$2:$D$200,"*novo*",$N$2:$N$200,"C1")+COUNTIFS($A$2:$A$200,$A35,$D$2:$D$200,"*novo*",$N$2:$N$200,"C2")+COUNTIFS($A$2:$A$200,$A35,$D$2:$D$200,"*novo*",$N$2:$N$200,"C3")+COUNTIFS($A$2:$A$200,$A35,$D$2:$D$200,"*novo*",$N$2:$N$200,"C4"))=1,IF(COUNTIFS($A$2:$A$200,$A35,$D$2:$D$200,"*novo*",$N$2:$N$200,"C4")&gt;0,4,IF(COUNTIFS($A$2:$A$200,$A35,$D$2:$D$200,"*novo*",$N$2:$N$200,"C3")&gt;0,3,IF(COUNTIFS($A$2:$A$200,$A35,$D$2:$D$200,"*novo*",$N$2:$N$200,"C2")&gt;0,2,IF(COUNTIFS($A$2:$A$200,$A35,$D$2:$D$200,"*novo*",$N$2:$N$200,"C1")&gt;0,1,IF(COUNTIFS($A$2:$A$200,$A35,$D$2:$D$200,"*novo*",$N$2:$N$200,"C0")&gt;0,0,""))))),IF(AND((COUNTIFS($A$2:$A$200,$A35,$D$2:$D$200,"*novo*",$N$2:$N$200,"C0")+COUNTIFS($A$2:$A$200,$A35,$D$2:$D$200,"*novo*",$N$2:$N$200,"C1")+COUNTIFS($A$2:$A$200,$A35,$D$2:$D$200,"*novo*",$N$2:$N$200,"C2")+COUNTIFS($A$2:$A$200,$A35,$D$2:$D$200,"*novo*",$N$2:$N$200,"C3")+COUNTIFS($A$2:$A$200,$A35,$D$2:$D$200,"*novo*",$N$2:$N$200,"C4"))=0,INDEX(posicao_contratual!$Y$2:$Y$200,MATCH($A35,posicao_contratual!$A$2:$A$200,0))=0),0,"")),"")</f>
        <v/>
      </c>
    </row>
    <row r="36" spans="1:15" ht="45" customHeight="1" x14ac:dyDescent="0.35">
      <c r="A36" s="105"/>
      <c r="B36" s="189"/>
      <c r="C36" s="99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05"/>
      <c r="E36" s="106"/>
      <c r="F36" s="107" t="str">
        <f>IF(A36="","",IFERROR(VLOOKUP(A36,itens_Remanesc!$A:$C,3,0),""))</f>
        <v/>
      </c>
      <c r="G36" s="107" t="str">
        <f t="shared" si="3"/>
        <v/>
      </c>
      <c r="H36" s="105"/>
      <c r="I36" s="64" t="str">
        <f>IFERROR(IF(OR($A36="",$C36=""),"",IF(OR(($O36)="",($O36)&gt;(MIN(MATCH($C36,{"C0","C1","C2","C3","C4"},0)-1,COUNT(parametros!$F$2:$F$6)-1)),NOT(ISNUMBER(INDEX(parametros!$F$2:$F$6,(MIN(MATCH($C36,{"C0","C1","C2","C3","C4"},0)-1,COUNT(parametros!$F$2:$F$6)-1))+1))),NOT(ISNUMBER(INDEX(parametros!$F$2:$F$6,($O36)+1)))),"",INDEX(parametros!$F$2:$F$6,(MIN(MATCH($C36,{"C0","C1","C2","C3","C4"},0)-1,COUNT(parametros!$F$2:$F$6)-1))+1)/INDEX(parametros!$F$2:$F$6,($O36)+1))),"")</f>
        <v/>
      </c>
      <c r="J36" s="107" t="str">
        <f t="shared" si="4"/>
        <v/>
      </c>
      <c r="K36" s="105"/>
      <c r="L36" s="85" t="str">
        <f t="shared" si="5"/>
        <v/>
      </c>
      <c r="M36" s="483" t="str">
        <f>IF(A36="","",IF(COUNTIF(itens_Remanesc!$A$2:$A$200,A36)=0,"NOVO ITEM NAO CADASTRADO - CADASTRAR EM itens_Remanesc: ITEM + VU_ORIGINAL (QTD_BASE_ORIGINAL sera 0 automaticamente); depois a data e a quantidade aqui.",IF(COUNTIF(itens_Remanesc!$A$2:$A$200,A36)&gt;1,"ALERTA: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TIPO_INVALIDO",IF(AND(ISNUMBER(SEARCH("NOVO",D36)),OR(INDEX(posicao_contratual!$C$2:$C$200,MATCH(A36,posicao_contratual!$A$2:$A$200,0))&lt;&gt;0,F36="",COUNTIFS($A$2:$A$200,A36,$B$2:$B$200,"&lt;"&amp;B36,$L$2:$L$200,"&gt;0")&gt;0)),"ALERTA: NOVO ITEM INVALIDO - use Acrescimo se o item ja existia; novo item exige QTD_BASE_ORIGINAL 0, VU_ORIGINAL e ser o 1o acrescimo do item.",IF(AND(ISNUMBER(SEARCH("NOVO",D36)),OR(N36="",ISERROR(MATCH(N36,{"C0","C1","C2","C3","C4"},0)))),"ALERTA: BASE_VU_OBRIGATORIA",IF(AND(NOT(ISNUMBER(SEARCH("NOVO",D36))),N36&lt;&gt;""),"ALERTA: BASE_VU_NAO_APLICAVEL",IF(AND(UPPER(H36)="SIM",NOT(ISNUMBER(I36))),"ALERTA: BASE_VU_INVALIDA_OU_POSTERIOR_AO_FATOR_ALVO","OK"))))))))))</f>
        <v/>
      </c>
      <c r="N36" s="485"/>
      <c r="O36" s="487" t="str">
        <f>IFERROR(IF((COUNTIFS($A$2:$A$200,$A36,$D$2:$D$200,"*novo*",$N$2:$N$200,"C0")+COUNTIFS($A$2:$A$200,$A36,$D$2:$D$200,"*novo*",$N$2:$N$200,"C1")+COUNTIFS($A$2:$A$200,$A36,$D$2:$D$200,"*novo*",$N$2:$N$200,"C2")+COUNTIFS($A$2:$A$200,$A36,$D$2:$D$200,"*novo*",$N$2:$N$200,"C3")+COUNTIFS($A$2:$A$200,$A36,$D$2:$D$200,"*novo*",$N$2:$N$200,"C4"))=1,IF(COUNTIFS($A$2:$A$200,$A36,$D$2:$D$200,"*novo*",$N$2:$N$200,"C4")&gt;0,4,IF(COUNTIFS($A$2:$A$200,$A36,$D$2:$D$200,"*novo*",$N$2:$N$200,"C3")&gt;0,3,IF(COUNTIFS($A$2:$A$200,$A36,$D$2:$D$200,"*novo*",$N$2:$N$200,"C2")&gt;0,2,IF(COUNTIFS($A$2:$A$200,$A36,$D$2:$D$200,"*novo*",$N$2:$N$200,"C1")&gt;0,1,IF(COUNTIFS($A$2:$A$200,$A36,$D$2:$D$200,"*novo*",$N$2:$N$200,"C0")&gt;0,0,""))))),IF(AND((COUNTIFS($A$2:$A$200,$A36,$D$2:$D$200,"*novo*",$N$2:$N$200,"C0")+COUNTIFS($A$2:$A$200,$A36,$D$2:$D$200,"*novo*",$N$2:$N$200,"C1")+COUNTIFS($A$2:$A$200,$A36,$D$2:$D$200,"*novo*",$N$2:$N$200,"C2")+COUNTIFS($A$2:$A$200,$A36,$D$2:$D$200,"*novo*",$N$2:$N$200,"C3")+COUNTIFS($A$2:$A$200,$A36,$D$2:$D$200,"*novo*",$N$2:$N$200,"C4"))=0,INDEX(posicao_contratual!$Y$2:$Y$200,MATCH($A36,posicao_contratual!$A$2:$A$200,0))=0),0,"")),"")</f>
        <v/>
      </c>
    </row>
    <row r="37" spans="1:15" ht="45" customHeight="1" x14ac:dyDescent="0.35">
      <c r="A37" s="105"/>
      <c r="B37" s="189"/>
      <c r="C37" s="99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05"/>
      <c r="E37" s="106"/>
      <c r="F37" s="107" t="str">
        <f>IF(A37="","",IFERROR(VLOOKUP(A37,itens_Remanesc!$A:$C,3,0),""))</f>
        <v/>
      </c>
      <c r="G37" s="107" t="str">
        <f t="shared" si="3"/>
        <v/>
      </c>
      <c r="H37" s="105"/>
      <c r="I37" s="64" t="str">
        <f>IFERROR(IF(OR($A37="",$C37=""),"",IF(OR(($O37)="",($O37)&gt;(MIN(MATCH($C37,{"C0","C1","C2","C3","C4"},0)-1,COUNT(parametros!$F$2:$F$6)-1)),NOT(ISNUMBER(INDEX(parametros!$F$2:$F$6,(MIN(MATCH($C37,{"C0","C1","C2","C3","C4"},0)-1,COUNT(parametros!$F$2:$F$6)-1))+1))),NOT(ISNUMBER(INDEX(parametros!$F$2:$F$6,($O37)+1)))),"",INDEX(parametros!$F$2:$F$6,(MIN(MATCH($C37,{"C0","C1","C2","C3","C4"},0)-1,COUNT(parametros!$F$2:$F$6)-1))+1)/INDEX(parametros!$F$2:$F$6,($O37)+1))),"")</f>
        <v/>
      </c>
      <c r="J37" s="107" t="str">
        <f t="shared" si="4"/>
        <v/>
      </c>
      <c r="K37" s="105"/>
      <c r="L37" s="85" t="str">
        <f t="shared" si="5"/>
        <v/>
      </c>
      <c r="M37" s="483" t="str">
        <f>IF(A37="","",IF(COUNTIF(itens_Remanesc!$A$2:$A$200,A37)=0,"NOVO ITEM NAO CADASTRADO - CADASTRAR EM itens_Remanesc: ITEM + VU_ORIGINAL (QTD_BASE_ORIGINAL sera 0 automaticamente); depois a data e a quantidade aqui.",IF(COUNTIF(itens_Remanesc!$A$2:$A$200,A37)&gt;1,"ALERTA: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TIPO_INVALIDO",IF(AND(ISNUMBER(SEARCH("NOVO",D37)),OR(INDEX(posicao_contratual!$C$2:$C$200,MATCH(A37,posicao_contratual!$A$2:$A$200,0))&lt;&gt;0,F37="",COUNTIFS($A$2:$A$200,A37,$B$2:$B$200,"&lt;"&amp;B37,$L$2:$L$200,"&gt;0")&gt;0)),"ALERTA: NOVO ITEM INVALIDO - use Acrescimo se o item ja existia; novo item exige QTD_BASE_ORIGINAL 0, VU_ORIGINAL e ser o 1o acrescimo do item.",IF(AND(ISNUMBER(SEARCH("NOVO",D37)),OR(N37="",ISERROR(MATCH(N37,{"C0","C1","C2","C3","C4"},0)))),"ALERTA: BASE_VU_OBRIGATORIA",IF(AND(NOT(ISNUMBER(SEARCH("NOVO",D37))),N37&lt;&gt;""),"ALERTA: BASE_VU_NAO_APLICAVEL",IF(AND(UPPER(H37)="SIM",NOT(ISNUMBER(I37))),"ALERTA: BASE_VU_INVALIDA_OU_POSTERIOR_AO_FATOR_ALVO","OK"))))))))))</f>
        <v/>
      </c>
      <c r="N37" s="485"/>
      <c r="O37" s="487" t="str">
        <f>IFERROR(IF((COUNTIFS($A$2:$A$200,$A37,$D$2:$D$200,"*novo*",$N$2:$N$200,"C0")+COUNTIFS($A$2:$A$200,$A37,$D$2:$D$200,"*novo*",$N$2:$N$200,"C1")+COUNTIFS($A$2:$A$200,$A37,$D$2:$D$200,"*novo*",$N$2:$N$200,"C2")+COUNTIFS($A$2:$A$200,$A37,$D$2:$D$200,"*novo*",$N$2:$N$200,"C3")+COUNTIFS($A$2:$A$200,$A37,$D$2:$D$200,"*novo*",$N$2:$N$200,"C4"))=1,IF(COUNTIFS($A$2:$A$200,$A37,$D$2:$D$200,"*novo*",$N$2:$N$200,"C4")&gt;0,4,IF(COUNTIFS($A$2:$A$200,$A37,$D$2:$D$200,"*novo*",$N$2:$N$200,"C3")&gt;0,3,IF(COUNTIFS($A$2:$A$200,$A37,$D$2:$D$200,"*novo*",$N$2:$N$200,"C2")&gt;0,2,IF(COUNTIFS($A$2:$A$200,$A37,$D$2:$D$200,"*novo*",$N$2:$N$200,"C1")&gt;0,1,IF(COUNTIFS($A$2:$A$200,$A37,$D$2:$D$200,"*novo*",$N$2:$N$200,"C0")&gt;0,0,""))))),IF(AND((COUNTIFS($A$2:$A$200,$A37,$D$2:$D$200,"*novo*",$N$2:$N$200,"C0")+COUNTIFS($A$2:$A$200,$A37,$D$2:$D$200,"*novo*",$N$2:$N$200,"C1")+COUNTIFS($A$2:$A$200,$A37,$D$2:$D$200,"*novo*",$N$2:$N$200,"C2")+COUNTIFS($A$2:$A$200,$A37,$D$2:$D$200,"*novo*",$N$2:$N$200,"C3")+COUNTIFS($A$2:$A$200,$A37,$D$2:$D$200,"*novo*",$N$2:$N$200,"C4"))=0,INDEX(posicao_contratual!$Y$2:$Y$200,MATCH($A37,posicao_contratual!$A$2:$A$200,0))=0),0,"")),"")</f>
        <v/>
      </c>
    </row>
    <row r="38" spans="1:15" ht="45" customHeight="1" x14ac:dyDescent="0.35">
      <c r="A38" s="105"/>
      <c r="B38" s="189"/>
      <c r="C38" s="99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05"/>
      <c r="E38" s="106"/>
      <c r="F38" s="107" t="str">
        <f>IF(A38="","",IFERROR(VLOOKUP(A38,itens_Remanesc!$A:$C,3,0),""))</f>
        <v/>
      </c>
      <c r="G38" s="107" t="str">
        <f t="shared" si="3"/>
        <v/>
      </c>
      <c r="H38" s="105"/>
      <c r="I38" s="64" t="str">
        <f>IFERROR(IF(OR($A38="",$C38=""),"",IF(OR(($O38)="",($O38)&gt;(MIN(MATCH($C38,{"C0","C1","C2","C3","C4"},0)-1,COUNT(parametros!$F$2:$F$6)-1)),NOT(ISNUMBER(INDEX(parametros!$F$2:$F$6,(MIN(MATCH($C38,{"C0","C1","C2","C3","C4"},0)-1,COUNT(parametros!$F$2:$F$6)-1))+1))),NOT(ISNUMBER(INDEX(parametros!$F$2:$F$6,($O38)+1)))),"",INDEX(parametros!$F$2:$F$6,(MIN(MATCH($C38,{"C0","C1","C2","C3","C4"},0)-1,COUNT(parametros!$F$2:$F$6)-1))+1)/INDEX(parametros!$F$2:$F$6,($O38)+1))),"")</f>
        <v/>
      </c>
      <c r="J38" s="107" t="str">
        <f t="shared" si="4"/>
        <v/>
      </c>
      <c r="K38" s="105"/>
      <c r="L38" s="85" t="str">
        <f t="shared" si="5"/>
        <v/>
      </c>
      <c r="M38" s="483" t="str">
        <f>IF(A38="","",IF(COUNTIF(itens_Remanesc!$A$2:$A$200,A38)=0,"NOVO ITEM NAO CADASTRADO - CADASTRAR EM itens_Remanesc: ITEM + VU_ORIGINAL (QTD_BASE_ORIGINAL sera 0 automaticamente); depois a data e a quantidade aqui.",IF(COUNTIF(itens_Remanesc!$A$2:$A$200,A38)&gt;1,"ALERTA: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TIPO_INVALIDO",IF(AND(ISNUMBER(SEARCH("NOVO",D38)),OR(INDEX(posicao_contratual!$C$2:$C$200,MATCH(A38,posicao_contratual!$A$2:$A$200,0))&lt;&gt;0,F38="",COUNTIFS($A$2:$A$200,A38,$B$2:$B$200,"&lt;"&amp;B38,$L$2:$L$200,"&gt;0")&gt;0)),"ALERTA: NOVO ITEM INVALIDO - use Acrescimo se o item ja existia; novo item exige QTD_BASE_ORIGINAL 0, VU_ORIGINAL e ser o 1o acrescimo do item.",IF(AND(ISNUMBER(SEARCH("NOVO",D38)),OR(N38="",ISERROR(MATCH(N38,{"C0","C1","C2","C3","C4"},0)))),"ALERTA: BASE_VU_OBRIGATORIA",IF(AND(NOT(ISNUMBER(SEARCH("NOVO",D38))),N38&lt;&gt;""),"ALERTA: BASE_VU_NAO_APLICAVEL",IF(AND(UPPER(H38)="SIM",NOT(ISNUMBER(I38))),"ALERTA: BASE_VU_INVALIDA_OU_POSTERIOR_AO_FATOR_ALVO","OK"))))))))))</f>
        <v/>
      </c>
      <c r="N38" s="485"/>
      <c r="O38" s="487" t="str">
        <f>IFERROR(IF((COUNTIFS($A$2:$A$200,$A38,$D$2:$D$200,"*novo*",$N$2:$N$200,"C0")+COUNTIFS($A$2:$A$200,$A38,$D$2:$D$200,"*novo*",$N$2:$N$200,"C1")+COUNTIFS($A$2:$A$200,$A38,$D$2:$D$200,"*novo*",$N$2:$N$200,"C2")+COUNTIFS($A$2:$A$200,$A38,$D$2:$D$200,"*novo*",$N$2:$N$200,"C3")+COUNTIFS($A$2:$A$200,$A38,$D$2:$D$200,"*novo*",$N$2:$N$200,"C4"))=1,IF(COUNTIFS($A$2:$A$200,$A38,$D$2:$D$200,"*novo*",$N$2:$N$200,"C4")&gt;0,4,IF(COUNTIFS($A$2:$A$200,$A38,$D$2:$D$200,"*novo*",$N$2:$N$200,"C3")&gt;0,3,IF(COUNTIFS($A$2:$A$200,$A38,$D$2:$D$200,"*novo*",$N$2:$N$200,"C2")&gt;0,2,IF(COUNTIFS($A$2:$A$200,$A38,$D$2:$D$200,"*novo*",$N$2:$N$200,"C1")&gt;0,1,IF(COUNTIFS($A$2:$A$200,$A38,$D$2:$D$200,"*novo*",$N$2:$N$200,"C0")&gt;0,0,""))))),IF(AND((COUNTIFS($A$2:$A$200,$A38,$D$2:$D$200,"*novo*",$N$2:$N$200,"C0")+COUNTIFS($A$2:$A$200,$A38,$D$2:$D$200,"*novo*",$N$2:$N$200,"C1")+COUNTIFS($A$2:$A$200,$A38,$D$2:$D$200,"*novo*",$N$2:$N$200,"C2")+COUNTIFS($A$2:$A$200,$A38,$D$2:$D$200,"*novo*",$N$2:$N$200,"C3")+COUNTIFS($A$2:$A$200,$A38,$D$2:$D$200,"*novo*",$N$2:$N$200,"C4"))=0,INDEX(posicao_contratual!$Y$2:$Y$200,MATCH($A38,posicao_contratual!$A$2:$A$200,0))=0),0,"")),"")</f>
        <v/>
      </c>
    </row>
    <row r="39" spans="1:15" ht="45" customHeight="1" x14ac:dyDescent="0.35">
      <c r="A39" s="105"/>
      <c r="B39" s="189"/>
      <c r="C39" s="99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05"/>
      <c r="E39" s="106"/>
      <c r="F39" s="107" t="str">
        <f>IF(A39="","",IFERROR(VLOOKUP(A39,itens_Remanesc!$A:$C,3,0),""))</f>
        <v/>
      </c>
      <c r="G39" s="107" t="str">
        <f t="shared" si="3"/>
        <v/>
      </c>
      <c r="H39" s="105"/>
      <c r="I39" s="64" t="str">
        <f>IFERROR(IF(OR($A39="",$C39=""),"",IF(OR(($O39)="",($O39)&gt;(MIN(MATCH($C39,{"C0","C1","C2","C3","C4"},0)-1,COUNT(parametros!$F$2:$F$6)-1)),NOT(ISNUMBER(INDEX(parametros!$F$2:$F$6,(MIN(MATCH($C39,{"C0","C1","C2","C3","C4"},0)-1,COUNT(parametros!$F$2:$F$6)-1))+1))),NOT(ISNUMBER(INDEX(parametros!$F$2:$F$6,($O39)+1)))),"",INDEX(parametros!$F$2:$F$6,(MIN(MATCH($C39,{"C0","C1","C2","C3","C4"},0)-1,COUNT(parametros!$F$2:$F$6)-1))+1)/INDEX(parametros!$F$2:$F$6,($O39)+1))),"")</f>
        <v/>
      </c>
      <c r="J39" s="107" t="str">
        <f t="shared" si="4"/>
        <v/>
      </c>
      <c r="K39" s="105"/>
      <c r="L39" s="85" t="str">
        <f t="shared" si="5"/>
        <v/>
      </c>
      <c r="M39" s="483" t="str">
        <f>IF(A39="","",IF(COUNTIF(itens_Remanesc!$A$2:$A$200,A39)=0,"NOVO ITEM NAO CADASTRADO - CADASTRAR EM itens_Remanesc: ITEM + VU_ORIGINAL (QTD_BASE_ORIGINAL sera 0 automaticamente); depois a data e a quantidade aqui.",IF(COUNTIF(itens_Remanesc!$A$2:$A$200,A39)&gt;1,"ALERTA: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TIPO_INVALIDO",IF(AND(ISNUMBER(SEARCH("NOVO",D39)),OR(INDEX(posicao_contratual!$C$2:$C$200,MATCH(A39,posicao_contratual!$A$2:$A$200,0))&lt;&gt;0,F39="",COUNTIFS($A$2:$A$200,A39,$B$2:$B$200,"&lt;"&amp;B39,$L$2:$L$200,"&gt;0")&gt;0)),"ALERTA: NOVO ITEM INVALIDO - use Acrescimo se o item ja existia; novo item exige QTD_BASE_ORIGINAL 0, VU_ORIGINAL e ser o 1o acrescimo do item.",IF(AND(ISNUMBER(SEARCH("NOVO",D39)),OR(N39="",ISERROR(MATCH(N39,{"C0","C1","C2","C3","C4"},0)))),"ALERTA: BASE_VU_OBRIGATORIA",IF(AND(NOT(ISNUMBER(SEARCH("NOVO",D39))),N39&lt;&gt;""),"ALERTA: BASE_VU_NAO_APLICAVEL",IF(AND(UPPER(H39)="SIM",NOT(ISNUMBER(I39))),"ALERTA: BASE_VU_INVALIDA_OU_POSTERIOR_AO_FATOR_ALVO","OK"))))))))))</f>
        <v/>
      </c>
      <c r="N39" s="485"/>
      <c r="O39" s="487" t="str">
        <f>IFERROR(IF((COUNTIFS($A$2:$A$200,$A39,$D$2:$D$200,"*novo*",$N$2:$N$200,"C0")+COUNTIFS($A$2:$A$200,$A39,$D$2:$D$200,"*novo*",$N$2:$N$200,"C1")+COUNTIFS($A$2:$A$200,$A39,$D$2:$D$200,"*novo*",$N$2:$N$200,"C2")+COUNTIFS($A$2:$A$200,$A39,$D$2:$D$200,"*novo*",$N$2:$N$200,"C3")+COUNTIFS($A$2:$A$200,$A39,$D$2:$D$200,"*novo*",$N$2:$N$200,"C4"))=1,IF(COUNTIFS($A$2:$A$200,$A39,$D$2:$D$200,"*novo*",$N$2:$N$200,"C4")&gt;0,4,IF(COUNTIFS($A$2:$A$200,$A39,$D$2:$D$200,"*novo*",$N$2:$N$200,"C3")&gt;0,3,IF(COUNTIFS($A$2:$A$200,$A39,$D$2:$D$200,"*novo*",$N$2:$N$200,"C2")&gt;0,2,IF(COUNTIFS($A$2:$A$200,$A39,$D$2:$D$200,"*novo*",$N$2:$N$200,"C1")&gt;0,1,IF(COUNTIFS($A$2:$A$200,$A39,$D$2:$D$200,"*novo*",$N$2:$N$200,"C0")&gt;0,0,""))))),IF(AND((COUNTIFS($A$2:$A$200,$A39,$D$2:$D$200,"*novo*",$N$2:$N$200,"C0")+COUNTIFS($A$2:$A$200,$A39,$D$2:$D$200,"*novo*",$N$2:$N$200,"C1")+COUNTIFS($A$2:$A$200,$A39,$D$2:$D$200,"*novo*",$N$2:$N$200,"C2")+COUNTIFS($A$2:$A$200,$A39,$D$2:$D$200,"*novo*",$N$2:$N$200,"C3")+COUNTIFS($A$2:$A$200,$A39,$D$2:$D$200,"*novo*",$N$2:$N$200,"C4"))=0,INDEX(posicao_contratual!$Y$2:$Y$200,MATCH($A39,posicao_contratual!$A$2:$A$200,0))=0),0,"")),"")</f>
        <v/>
      </c>
    </row>
    <row r="40" spans="1:15" ht="45" customHeight="1" x14ac:dyDescent="0.35">
      <c r="A40" s="105"/>
      <c r="B40" s="189"/>
      <c r="C40" s="99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05"/>
      <c r="E40" s="106"/>
      <c r="F40" s="107" t="str">
        <f>IF(A40="","",IFERROR(VLOOKUP(A40,itens_Remanesc!$A:$C,3,0),""))</f>
        <v/>
      </c>
      <c r="G40" s="107" t="str">
        <f t="shared" si="3"/>
        <v/>
      </c>
      <c r="H40" s="105"/>
      <c r="I40" s="64" t="str">
        <f>IFERROR(IF(OR($A40="",$C40=""),"",IF(OR(($O40)="",($O40)&gt;(MIN(MATCH($C40,{"C0","C1","C2","C3","C4"},0)-1,COUNT(parametros!$F$2:$F$6)-1)),NOT(ISNUMBER(INDEX(parametros!$F$2:$F$6,(MIN(MATCH($C40,{"C0","C1","C2","C3","C4"},0)-1,COUNT(parametros!$F$2:$F$6)-1))+1))),NOT(ISNUMBER(INDEX(parametros!$F$2:$F$6,($O40)+1)))),"",INDEX(parametros!$F$2:$F$6,(MIN(MATCH($C40,{"C0","C1","C2","C3","C4"},0)-1,COUNT(parametros!$F$2:$F$6)-1))+1)/INDEX(parametros!$F$2:$F$6,($O40)+1))),"")</f>
        <v/>
      </c>
      <c r="J40" s="107" t="str">
        <f t="shared" si="4"/>
        <v/>
      </c>
      <c r="K40" s="105"/>
      <c r="L40" s="85" t="str">
        <f t="shared" si="5"/>
        <v/>
      </c>
      <c r="M40" s="483" t="str">
        <f>IF(A40="","",IF(COUNTIF(itens_Remanesc!$A$2:$A$200,A40)=0,"NOVO ITEM NAO CADASTRADO - CADASTRAR EM itens_Remanesc: ITEM + VU_ORIGINAL (QTD_BASE_ORIGINAL sera 0 automaticamente); depois a data e a quantidade aqui.",IF(COUNTIF(itens_Remanesc!$A$2:$A$200,A40)&gt;1,"ALERTA: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TIPO_INVALIDO",IF(AND(ISNUMBER(SEARCH("NOVO",D40)),OR(INDEX(posicao_contratual!$C$2:$C$200,MATCH(A40,posicao_contratual!$A$2:$A$200,0))&lt;&gt;0,F40="",COUNTIFS($A$2:$A$200,A40,$B$2:$B$200,"&lt;"&amp;B40,$L$2:$L$200,"&gt;0")&gt;0)),"ALERTA: NOVO ITEM INVALIDO - use Acrescimo se o item ja existia; novo item exige QTD_BASE_ORIGINAL 0, VU_ORIGINAL e ser o 1o acrescimo do item.",IF(AND(ISNUMBER(SEARCH("NOVO",D40)),OR(N40="",ISERROR(MATCH(N40,{"C0","C1","C2","C3","C4"},0)))),"ALERTA: BASE_VU_OBRIGATORIA",IF(AND(NOT(ISNUMBER(SEARCH("NOVO",D40))),N40&lt;&gt;""),"ALERTA: BASE_VU_NAO_APLICAVEL",IF(AND(UPPER(H40)="SIM",NOT(ISNUMBER(I40))),"ALERTA: BASE_VU_INVALIDA_OU_POSTERIOR_AO_FATOR_ALVO","OK"))))))))))</f>
        <v/>
      </c>
      <c r="N40" s="485"/>
      <c r="O40" s="487" t="str">
        <f>IFERROR(IF((COUNTIFS($A$2:$A$200,$A40,$D$2:$D$200,"*novo*",$N$2:$N$200,"C0")+COUNTIFS($A$2:$A$200,$A40,$D$2:$D$200,"*novo*",$N$2:$N$200,"C1")+COUNTIFS($A$2:$A$200,$A40,$D$2:$D$200,"*novo*",$N$2:$N$200,"C2")+COUNTIFS($A$2:$A$200,$A40,$D$2:$D$200,"*novo*",$N$2:$N$200,"C3")+COUNTIFS($A$2:$A$200,$A40,$D$2:$D$200,"*novo*",$N$2:$N$200,"C4"))=1,IF(COUNTIFS($A$2:$A$200,$A40,$D$2:$D$200,"*novo*",$N$2:$N$200,"C4")&gt;0,4,IF(COUNTIFS($A$2:$A$200,$A40,$D$2:$D$200,"*novo*",$N$2:$N$200,"C3")&gt;0,3,IF(COUNTIFS($A$2:$A$200,$A40,$D$2:$D$200,"*novo*",$N$2:$N$200,"C2")&gt;0,2,IF(COUNTIFS($A$2:$A$200,$A40,$D$2:$D$200,"*novo*",$N$2:$N$200,"C1")&gt;0,1,IF(COUNTIFS($A$2:$A$200,$A40,$D$2:$D$200,"*novo*",$N$2:$N$200,"C0")&gt;0,0,""))))),IF(AND((COUNTIFS($A$2:$A$200,$A40,$D$2:$D$200,"*novo*",$N$2:$N$200,"C0")+COUNTIFS($A$2:$A$200,$A40,$D$2:$D$200,"*novo*",$N$2:$N$200,"C1")+COUNTIFS($A$2:$A$200,$A40,$D$2:$D$200,"*novo*",$N$2:$N$200,"C2")+COUNTIFS($A$2:$A$200,$A40,$D$2:$D$200,"*novo*",$N$2:$N$200,"C3")+COUNTIFS($A$2:$A$200,$A40,$D$2:$D$200,"*novo*",$N$2:$N$200,"C4"))=0,INDEX(posicao_contratual!$Y$2:$Y$200,MATCH($A40,posicao_contratual!$A$2:$A$200,0))=0),0,"")),"")</f>
        <v/>
      </c>
    </row>
    <row r="41" spans="1:15" ht="45" customHeight="1" x14ac:dyDescent="0.35">
      <c r="A41" s="105"/>
      <c r="B41" s="189"/>
      <c r="C41" s="99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05"/>
      <c r="E41" s="106"/>
      <c r="F41" s="107" t="str">
        <f>IF(A41="","",IFERROR(VLOOKUP(A41,itens_Remanesc!$A:$C,3,0),""))</f>
        <v/>
      </c>
      <c r="G41" s="107" t="str">
        <f t="shared" si="3"/>
        <v/>
      </c>
      <c r="H41" s="105"/>
      <c r="I41" s="64" t="str">
        <f>IFERROR(IF(OR($A41="",$C41=""),"",IF(OR(($O41)="",($O41)&gt;(MIN(MATCH($C41,{"C0","C1","C2","C3","C4"},0)-1,COUNT(parametros!$F$2:$F$6)-1)),NOT(ISNUMBER(INDEX(parametros!$F$2:$F$6,(MIN(MATCH($C41,{"C0","C1","C2","C3","C4"},0)-1,COUNT(parametros!$F$2:$F$6)-1))+1))),NOT(ISNUMBER(INDEX(parametros!$F$2:$F$6,($O41)+1)))),"",INDEX(parametros!$F$2:$F$6,(MIN(MATCH($C41,{"C0","C1","C2","C3","C4"},0)-1,COUNT(parametros!$F$2:$F$6)-1))+1)/INDEX(parametros!$F$2:$F$6,($O41)+1))),"")</f>
        <v/>
      </c>
      <c r="J41" s="107" t="str">
        <f t="shared" si="4"/>
        <v/>
      </c>
      <c r="K41" s="105"/>
      <c r="L41" s="85" t="str">
        <f t="shared" si="5"/>
        <v/>
      </c>
      <c r="M41" s="483" t="str">
        <f>IF(A41="","",IF(COUNTIF(itens_Remanesc!$A$2:$A$200,A41)=0,"NOVO ITEM NAO CADASTRADO - CADASTRAR EM itens_Remanesc: ITEM + VU_ORIGINAL (QTD_BASE_ORIGINAL sera 0 automaticamente); depois a data e a quantidade aqui.",IF(COUNTIF(itens_Remanesc!$A$2:$A$200,A41)&gt;1,"ALERTA: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TIPO_INVALIDO",IF(AND(ISNUMBER(SEARCH("NOVO",D41)),OR(INDEX(posicao_contratual!$C$2:$C$200,MATCH(A41,posicao_contratual!$A$2:$A$200,0))&lt;&gt;0,F41="",COUNTIFS($A$2:$A$200,A41,$B$2:$B$200,"&lt;"&amp;B41,$L$2:$L$200,"&gt;0")&gt;0)),"ALERTA: NOVO ITEM INVALIDO - use Acrescimo se o item ja existia; novo item exige QTD_BASE_ORIGINAL 0, VU_ORIGINAL e ser o 1o acrescimo do item.",IF(AND(ISNUMBER(SEARCH("NOVO",D41)),OR(N41="",ISERROR(MATCH(N41,{"C0","C1","C2","C3","C4"},0)))),"ALERTA: BASE_VU_OBRIGATORIA",IF(AND(NOT(ISNUMBER(SEARCH("NOVO",D41))),N41&lt;&gt;""),"ALERTA: BASE_VU_NAO_APLICAVEL",IF(AND(UPPER(H41)="SIM",NOT(ISNUMBER(I41))),"ALERTA: BASE_VU_INVALIDA_OU_POSTERIOR_AO_FATOR_ALVO","OK"))))))))))</f>
        <v/>
      </c>
      <c r="N41" s="485"/>
      <c r="O41" s="487" t="str">
        <f>IFERROR(IF((COUNTIFS($A$2:$A$200,$A41,$D$2:$D$200,"*novo*",$N$2:$N$200,"C0")+COUNTIFS($A$2:$A$200,$A41,$D$2:$D$200,"*novo*",$N$2:$N$200,"C1")+COUNTIFS($A$2:$A$200,$A41,$D$2:$D$200,"*novo*",$N$2:$N$200,"C2")+COUNTIFS($A$2:$A$200,$A41,$D$2:$D$200,"*novo*",$N$2:$N$200,"C3")+COUNTIFS($A$2:$A$200,$A41,$D$2:$D$200,"*novo*",$N$2:$N$200,"C4"))=1,IF(COUNTIFS($A$2:$A$200,$A41,$D$2:$D$200,"*novo*",$N$2:$N$200,"C4")&gt;0,4,IF(COUNTIFS($A$2:$A$200,$A41,$D$2:$D$200,"*novo*",$N$2:$N$200,"C3")&gt;0,3,IF(COUNTIFS($A$2:$A$200,$A41,$D$2:$D$200,"*novo*",$N$2:$N$200,"C2")&gt;0,2,IF(COUNTIFS($A$2:$A$200,$A41,$D$2:$D$200,"*novo*",$N$2:$N$200,"C1")&gt;0,1,IF(COUNTIFS($A$2:$A$200,$A41,$D$2:$D$200,"*novo*",$N$2:$N$200,"C0")&gt;0,0,""))))),IF(AND((COUNTIFS($A$2:$A$200,$A41,$D$2:$D$200,"*novo*",$N$2:$N$200,"C0")+COUNTIFS($A$2:$A$200,$A41,$D$2:$D$200,"*novo*",$N$2:$N$200,"C1")+COUNTIFS($A$2:$A$200,$A41,$D$2:$D$200,"*novo*",$N$2:$N$200,"C2")+COUNTIFS($A$2:$A$200,$A41,$D$2:$D$200,"*novo*",$N$2:$N$200,"C3")+COUNTIFS($A$2:$A$200,$A41,$D$2:$D$200,"*novo*",$N$2:$N$200,"C4"))=0,INDEX(posicao_contratual!$Y$2:$Y$200,MATCH($A41,posicao_contratual!$A$2:$A$200,0))=0),0,"")),"")</f>
        <v/>
      </c>
    </row>
    <row r="42" spans="1:15" ht="45" customHeight="1" x14ac:dyDescent="0.35">
      <c r="A42" s="105"/>
      <c r="B42" s="189"/>
      <c r="C42" s="99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05"/>
      <c r="E42" s="106"/>
      <c r="F42" s="107" t="str">
        <f>IF(A42="","",IFERROR(VLOOKUP(A42,itens_Remanesc!$A:$C,3,0),""))</f>
        <v/>
      </c>
      <c r="G42" s="107" t="str">
        <f t="shared" si="3"/>
        <v/>
      </c>
      <c r="H42" s="105"/>
      <c r="I42" s="64" t="str">
        <f>IFERROR(IF(OR($A42="",$C42=""),"",IF(OR(($O42)="",($O42)&gt;(MIN(MATCH($C42,{"C0","C1","C2","C3","C4"},0)-1,COUNT(parametros!$F$2:$F$6)-1)),NOT(ISNUMBER(INDEX(parametros!$F$2:$F$6,(MIN(MATCH($C42,{"C0","C1","C2","C3","C4"},0)-1,COUNT(parametros!$F$2:$F$6)-1))+1))),NOT(ISNUMBER(INDEX(parametros!$F$2:$F$6,($O42)+1)))),"",INDEX(parametros!$F$2:$F$6,(MIN(MATCH($C42,{"C0","C1","C2","C3","C4"},0)-1,COUNT(parametros!$F$2:$F$6)-1))+1)/INDEX(parametros!$F$2:$F$6,($O42)+1))),"")</f>
        <v/>
      </c>
      <c r="J42" s="107" t="str">
        <f t="shared" si="4"/>
        <v/>
      </c>
      <c r="K42" s="105"/>
      <c r="L42" s="85" t="str">
        <f t="shared" si="5"/>
        <v/>
      </c>
      <c r="M42" s="483" t="str">
        <f>IF(A42="","",IF(COUNTIF(itens_Remanesc!$A$2:$A$200,A42)=0,"NOVO ITEM NAO CADASTRADO - CADASTRAR EM itens_Remanesc: ITEM + VU_ORIGINAL (QTD_BASE_ORIGINAL sera 0 automaticamente); depois a data e a quantidade aqui.",IF(COUNTIF(itens_Remanesc!$A$2:$A$200,A42)&gt;1,"ALERTA: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TIPO_INVALIDO",IF(AND(ISNUMBER(SEARCH("NOVO",D42)),OR(INDEX(posicao_contratual!$C$2:$C$200,MATCH(A42,posicao_contratual!$A$2:$A$200,0))&lt;&gt;0,F42="",COUNTIFS($A$2:$A$200,A42,$B$2:$B$200,"&lt;"&amp;B42,$L$2:$L$200,"&gt;0")&gt;0)),"ALERTA: NOVO ITEM INVALIDO - use Acrescimo se o item ja existia; novo item exige QTD_BASE_ORIGINAL 0, VU_ORIGINAL e ser o 1o acrescimo do item.",IF(AND(ISNUMBER(SEARCH("NOVO",D42)),OR(N42="",ISERROR(MATCH(N42,{"C0","C1","C2","C3","C4"},0)))),"ALERTA: BASE_VU_OBRIGATORIA",IF(AND(NOT(ISNUMBER(SEARCH("NOVO",D42))),N42&lt;&gt;""),"ALERTA: BASE_VU_NAO_APLICAVEL",IF(AND(UPPER(H42)="SIM",NOT(ISNUMBER(I42))),"ALERTA: BASE_VU_INVALIDA_OU_POSTERIOR_AO_FATOR_ALVO","OK"))))))))))</f>
        <v/>
      </c>
      <c r="N42" s="485"/>
      <c r="O42" s="487" t="str">
        <f>IFERROR(IF((COUNTIFS($A$2:$A$200,$A42,$D$2:$D$200,"*novo*",$N$2:$N$200,"C0")+COUNTIFS($A$2:$A$200,$A42,$D$2:$D$200,"*novo*",$N$2:$N$200,"C1")+COUNTIFS($A$2:$A$200,$A42,$D$2:$D$200,"*novo*",$N$2:$N$200,"C2")+COUNTIFS($A$2:$A$200,$A42,$D$2:$D$200,"*novo*",$N$2:$N$200,"C3")+COUNTIFS($A$2:$A$200,$A42,$D$2:$D$200,"*novo*",$N$2:$N$200,"C4"))=1,IF(COUNTIFS($A$2:$A$200,$A42,$D$2:$D$200,"*novo*",$N$2:$N$200,"C4")&gt;0,4,IF(COUNTIFS($A$2:$A$200,$A42,$D$2:$D$200,"*novo*",$N$2:$N$200,"C3")&gt;0,3,IF(COUNTIFS($A$2:$A$200,$A42,$D$2:$D$200,"*novo*",$N$2:$N$200,"C2")&gt;0,2,IF(COUNTIFS($A$2:$A$200,$A42,$D$2:$D$200,"*novo*",$N$2:$N$200,"C1")&gt;0,1,IF(COUNTIFS($A$2:$A$200,$A42,$D$2:$D$200,"*novo*",$N$2:$N$200,"C0")&gt;0,0,""))))),IF(AND((COUNTIFS($A$2:$A$200,$A42,$D$2:$D$200,"*novo*",$N$2:$N$200,"C0")+COUNTIFS($A$2:$A$200,$A42,$D$2:$D$200,"*novo*",$N$2:$N$200,"C1")+COUNTIFS($A$2:$A$200,$A42,$D$2:$D$200,"*novo*",$N$2:$N$200,"C2")+COUNTIFS($A$2:$A$200,$A42,$D$2:$D$200,"*novo*",$N$2:$N$200,"C3")+COUNTIFS($A$2:$A$200,$A42,$D$2:$D$200,"*novo*",$N$2:$N$200,"C4"))=0,INDEX(posicao_contratual!$Y$2:$Y$200,MATCH($A42,posicao_contratual!$A$2:$A$200,0))=0),0,"")),"")</f>
        <v/>
      </c>
    </row>
    <row r="43" spans="1:15" ht="45" customHeight="1" x14ac:dyDescent="0.35">
      <c r="A43" s="105"/>
      <c r="B43" s="189"/>
      <c r="C43" s="99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05"/>
      <c r="E43" s="106"/>
      <c r="F43" s="107" t="str">
        <f>IF(A43="","",IFERROR(VLOOKUP(A43,itens_Remanesc!$A:$C,3,0),""))</f>
        <v/>
      </c>
      <c r="G43" s="107" t="str">
        <f t="shared" si="3"/>
        <v/>
      </c>
      <c r="H43" s="105"/>
      <c r="I43" s="64" t="str">
        <f>IFERROR(IF(OR($A43="",$C43=""),"",IF(OR(($O43)="",($O43)&gt;(MIN(MATCH($C43,{"C0","C1","C2","C3","C4"},0)-1,COUNT(parametros!$F$2:$F$6)-1)),NOT(ISNUMBER(INDEX(parametros!$F$2:$F$6,(MIN(MATCH($C43,{"C0","C1","C2","C3","C4"},0)-1,COUNT(parametros!$F$2:$F$6)-1))+1))),NOT(ISNUMBER(INDEX(parametros!$F$2:$F$6,($O43)+1)))),"",INDEX(parametros!$F$2:$F$6,(MIN(MATCH($C43,{"C0","C1","C2","C3","C4"},0)-1,COUNT(parametros!$F$2:$F$6)-1))+1)/INDEX(parametros!$F$2:$F$6,($O43)+1))),"")</f>
        <v/>
      </c>
      <c r="J43" s="107" t="str">
        <f t="shared" si="4"/>
        <v/>
      </c>
      <c r="K43" s="105"/>
      <c r="L43" s="85" t="str">
        <f t="shared" si="5"/>
        <v/>
      </c>
      <c r="M43" s="483" t="str">
        <f>IF(A43="","",IF(COUNTIF(itens_Remanesc!$A$2:$A$200,A43)=0,"NOVO ITEM NAO CADASTRADO - CADASTRAR EM itens_Remanesc: ITEM + VU_ORIGINAL (QTD_BASE_ORIGINAL sera 0 automaticamente); depois a data e a quantidade aqui.",IF(COUNTIF(itens_Remanesc!$A$2:$A$200,A43)&gt;1,"ALERTA: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TIPO_INVALIDO",IF(AND(ISNUMBER(SEARCH("NOVO",D43)),OR(INDEX(posicao_contratual!$C$2:$C$200,MATCH(A43,posicao_contratual!$A$2:$A$200,0))&lt;&gt;0,F43="",COUNTIFS($A$2:$A$200,A43,$B$2:$B$200,"&lt;"&amp;B43,$L$2:$L$200,"&gt;0")&gt;0)),"ALERTA: NOVO ITEM INVALIDO - use Acrescimo se o item ja existia; novo item exige QTD_BASE_ORIGINAL 0, VU_ORIGINAL e ser o 1o acrescimo do item.",IF(AND(ISNUMBER(SEARCH("NOVO",D43)),OR(N43="",ISERROR(MATCH(N43,{"C0","C1","C2","C3","C4"},0)))),"ALERTA: BASE_VU_OBRIGATORIA",IF(AND(NOT(ISNUMBER(SEARCH("NOVO",D43))),N43&lt;&gt;""),"ALERTA: BASE_VU_NAO_APLICAVEL",IF(AND(UPPER(H43)="SIM",NOT(ISNUMBER(I43))),"ALERTA: BASE_VU_INVALIDA_OU_POSTERIOR_AO_FATOR_ALVO","OK"))))))))))</f>
        <v/>
      </c>
      <c r="N43" s="485"/>
      <c r="O43" s="487" t="str">
        <f>IFERROR(IF((COUNTIFS($A$2:$A$200,$A43,$D$2:$D$200,"*novo*",$N$2:$N$200,"C0")+COUNTIFS($A$2:$A$200,$A43,$D$2:$D$200,"*novo*",$N$2:$N$200,"C1")+COUNTIFS($A$2:$A$200,$A43,$D$2:$D$200,"*novo*",$N$2:$N$200,"C2")+COUNTIFS($A$2:$A$200,$A43,$D$2:$D$200,"*novo*",$N$2:$N$200,"C3")+COUNTIFS($A$2:$A$200,$A43,$D$2:$D$200,"*novo*",$N$2:$N$200,"C4"))=1,IF(COUNTIFS($A$2:$A$200,$A43,$D$2:$D$200,"*novo*",$N$2:$N$200,"C4")&gt;0,4,IF(COUNTIFS($A$2:$A$200,$A43,$D$2:$D$200,"*novo*",$N$2:$N$200,"C3")&gt;0,3,IF(COUNTIFS($A$2:$A$200,$A43,$D$2:$D$200,"*novo*",$N$2:$N$200,"C2")&gt;0,2,IF(COUNTIFS($A$2:$A$200,$A43,$D$2:$D$200,"*novo*",$N$2:$N$200,"C1")&gt;0,1,IF(COUNTIFS($A$2:$A$200,$A43,$D$2:$D$200,"*novo*",$N$2:$N$200,"C0")&gt;0,0,""))))),IF(AND((COUNTIFS($A$2:$A$200,$A43,$D$2:$D$200,"*novo*",$N$2:$N$200,"C0")+COUNTIFS($A$2:$A$200,$A43,$D$2:$D$200,"*novo*",$N$2:$N$200,"C1")+COUNTIFS($A$2:$A$200,$A43,$D$2:$D$200,"*novo*",$N$2:$N$200,"C2")+COUNTIFS($A$2:$A$200,$A43,$D$2:$D$200,"*novo*",$N$2:$N$200,"C3")+COUNTIFS($A$2:$A$200,$A43,$D$2:$D$200,"*novo*",$N$2:$N$200,"C4"))=0,INDEX(posicao_contratual!$Y$2:$Y$200,MATCH($A43,posicao_contratual!$A$2:$A$200,0))=0),0,"")),"")</f>
        <v/>
      </c>
    </row>
    <row r="44" spans="1:15" ht="45" customHeight="1" x14ac:dyDescent="0.35">
      <c r="A44" s="105"/>
      <c r="B44" s="189"/>
      <c r="C44" s="99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05"/>
      <c r="E44" s="106"/>
      <c r="F44" s="107" t="str">
        <f>IF(A44="","",IFERROR(VLOOKUP(A44,itens_Remanesc!$A:$C,3,0),""))</f>
        <v/>
      </c>
      <c r="G44" s="107" t="str">
        <f t="shared" si="3"/>
        <v/>
      </c>
      <c r="H44" s="105"/>
      <c r="I44" s="64" t="str">
        <f>IFERROR(IF(OR($A44="",$C44=""),"",IF(OR(($O44)="",($O44)&gt;(MIN(MATCH($C44,{"C0","C1","C2","C3","C4"},0)-1,COUNT(parametros!$F$2:$F$6)-1)),NOT(ISNUMBER(INDEX(parametros!$F$2:$F$6,(MIN(MATCH($C44,{"C0","C1","C2","C3","C4"},0)-1,COUNT(parametros!$F$2:$F$6)-1))+1))),NOT(ISNUMBER(INDEX(parametros!$F$2:$F$6,($O44)+1)))),"",INDEX(parametros!$F$2:$F$6,(MIN(MATCH($C44,{"C0","C1","C2","C3","C4"},0)-1,COUNT(parametros!$F$2:$F$6)-1))+1)/INDEX(parametros!$F$2:$F$6,($O44)+1))),"")</f>
        <v/>
      </c>
      <c r="J44" s="107" t="str">
        <f t="shared" si="4"/>
        <v/>
      </c>
      <c r="K44" s="105"/>
      <c r="L44" s="85" t="str">
        <f t="shared" si="5"/>
        <v/>
      </c>
      <c r="M44" s="483" t="str">
        <f>IF(A44="","",IF(COUNTIF(itens_Remanesc!$A$2:$A$200,A44)=0,"NOVO ITEM NAO CADASTRADO - CADASTRAR EM itens_Remanesc: ITEM + VU_ORIGINAL (QTD_BASE_ORIGINAL sera 0 automaticamente); depois a data e a quantidade aqui.",IF(COUNTIF(itens_Remanesc!$A$2:$A$200,A44)&gt;1,"ALERTA: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TIPO_INVALIDO",IF(AND(ISNUMBER(SEARCH("NOVO",D44)),OR(INDEX(posicao_contratual!$C$2:$C$200,MATCH(A44,posicao_contratual!$A$2:$A$200,0))&lt;&gt;0,F44="",COUNTIFS($A$2:$A$200,A44,$B$2:$B$200,"&lt;"&amp;B44,$L$2:$L$200,"&gt;0")&gt;0)),"ALERTA: NOVO ITEM INVALIDO - use Acrescimo se o item ja existia; novo item exige QTD_BASE_ORIGINAL 0, VU_ORIGINAL e ser o 1o acrescimo do item.",IF(AND(ISNUMBER(SEARCH("NOVO",D44)),OR(N44="",ISERROR(MATCH(N44,{"C0","C1","C2","C3","C4"},0)))),"ALERTA: BASE_VU_OBRIGATORIA",IF(AND(NOT(ISNUMBER(SEARCH("NOVO",D44))),N44&lt;&gt;""),"ALERTA: BASE_VU_NAO_APLICAVEL",IF(AND(UPPER(H44)="SIM",NOT(ISNUMBER(I44))),"ALERTA: BASE_VU_INVALIDA_OU_POSTERIOR_AO_FATOR_ALVO","OK"))))))))))</f>
        <v/>
      </c>
      <c r="N44" s="485"/>
      <c r="O44" s="487" t="str">
        <f>IFERROR(IF((COUNTIFS($A$2:$A$200,$A44,$D$2:$D$200,"*novo*",$N$2:$N$200,"C0")+COUNTIFS($A$2:$A$200,$A44,$D$2:$D$200,"*novo*",$N$2:$N$200,"C1")+COUNTIFS($A$2:$A$200,$A44,$D$2:$D$200,"*novo*",$N$2:$N$200,"C2")+COUNTIFS($A$2:$A$200,$A44,$D$2:$D$200,"*novo*",$N$2:$N$200,"C3")+COUNTIFS($A$2:$A$200,$A44,$D$2:$D$200,"*novo*",$N$2:$N$200,"C4"))=1,IF(COUNTIFS($A$2:$A$200,$A44,$D$2:$D$200,"*novo*",$N$2:$N$200,"C4")&gt;0,4,IF(COUNTIFS($A$2:$A$200,$A44,$D$2:$D$200,"*novo*",$N$2:$N$200,"C3")&gt;0,3,IF(COUNTIFS($A$2:$A$200,$A44,$D$2:$D$200,"*novo*",$N$2:$N$200,"C2")&gt;0,2,IF(COUNTIFS($A$2:$A$200,$A44,$D$2:$D$200,"*novo*",$N$2:$N$200,"C1")&gt;0,1,IF(COUNTIFS($A$2:$A$200,$A44,$D$2:$D$200,"*novo*",$N$2:$N$200,"C0")&gt;0,0,""))))),IF(AND((COUNTIFS($A$2:$A$200,$A44,$D$2:$D$200,"*novo*",$N$2:$N$200,"C0")+COUNTIFS($A$2:$A$200,$A44,$D$2:$D$200,"*novo*",$N$2:$N$200,"C1")+COUNTIFS($A$2:$A$200,$A44,$D$2:$D$200,"*novo*",$N$2:$N$200,"C2")+COUNTIFS($A$2:$A$200,$A44,$D$2:$D$200,"*novo*",$N$2:$N$200,"C3")+COUNTIFS($A$2:$A$200,$A44,$D$2:$D$200,"*novo*",$N$2:$N$200,"C4"))=0,INDEX(posicao_contratual!$Y$2:$Y$200,MATCH($A44,posicao_contratual!$A$2:$A$200,0))=0),0,"")),"")</f>
        <v/>
      </c>
    </row>
    <row r="45" spans="1:15" ht="45" customHeight="1" x14ac:dyDescent="0.35">
      <c r="A45" s="105"/>
      <c r="B45" s="189"/>
      <c r="C45" s="99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05"/>
      <c r="E45" s="106"/>
      <c r="F45" s="107" t="str">
        <f>IF(A45="","",IFERROR(VLOOKUP(A45,itens_Remanesc!$A:$C,3,0),""))</f>
        <v/>
      </c>
      <c r="G45" s="107" t="str">
        <f t="shared" si="3"/>
        <v/>
      </c>
      <c r="H45" s="105"/>
      <c r="I45" s="64" t="str">
        <f>IFERROR(IF(OR($A45="",$C45=""),"",IF(OR(($O45)="",($O45)&gt;(MIN(MATCH($C45,{"C0","C1","C2","C3","C4"},0)-1,COUNT(parametros!$F$2:$F$6)-1)),NOT(ISNUMBER(INDEX(parametros!$F$2:$F$6,(MIN(MATCH($C45,{"C0","C1","C2","C3","C4"},0)-1,COUNT(parametros!$F$2:$F$6)-1))+1))),NOT(ISNUMBER(INDEX(parametros!$F$2:$F$6,($O45)+1)))),"",INDEX(parametros!$F$2:$F$6,(MIN(MATCH($C45,{"C0","C1","C2","C3","C4"},0)-1,COUNT(parametros!$F$2:$F$6)-1))+1)/INDEX(parametros!$F$2:$F$6,($O45)+1))),"")</f>
        <v/>
      </c>
      <c r="J45" s="107" t="str">
        <f t="shared" si="4"/>
        <v/>
      </c>
      <c r="K45" s="105"/>
      <c r="L45" s="85" t="str">
        <f t="shared" si="5"/>
        <v/>
      </c>
      <c r="M45" s="483" t="str">
        <f>IF(A45="","",IF(COUNTIF(itens_Remanesc!$A$2:$A$200,A45)=0,"NOVO ITEM NAO CADASTRADO - CADASTRAR EM itens_Remanesc: ITEM + VU_ORIGINAL (QTD_BASE_ORIGINAL sera 0 automaticamente); depois a data e a quantidade aqui.",IF(COUNTIF(itens_Remanesc!$A$2:$A$200,A45)&gt;1,"ALERTA: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TIPO_INVALIDO",IF(AND(ISNUMBER(SEARCH("NOVO",D45)),OR(INDEX(posicao_contratual!$C$2:$C$200,MATCH(A45,posicao_contratual!$A$2:$A$200,0))&lt;&gt;0,F45="",COUNTIFS($A$2:$A$200,A45,$B$2:$B$200,"&lt;"&amp;B45,$L$2:$L$200,"&gt;0")&gt;0)),"ALERTA: NOVO ITEM INVALIDO - use Acrescimo se o item ja existia; novo item exige QTD_BASE_ORIGINAL 0, VU_ORIGINAL e ser o 1o acrescimo do item.",IF(AND(ISNUMBER(SEARCH("NOVO",D45)),OR(N45="",ISERROR(MATCH(N45,{"C0","C1","C2","C3","C4"},0)))),"ALERTA: BASE_VU_OBRIGATORIA",IF(AND(NOT(ISNUMBER(SEARCH("NOVO",D45))),N45&lt;&gt;""),"ALERTA: BASE_VU_NAO_APLICAVEL",IF(AND(UPPER(H45)="SIM",NOT(ISNUMBER(I45))),"ALERTA: BASE_VU_INVALIDA_OU_POSTERIOR_AO_FATOR_ALVO","OK"))))))))))</f>
        <v/>
      </c>
      <c r="N45" s="485"/>
      <c r="O45" s="487" t="str">
        <f>IFERROR(IF((COUNTIFS($A$2:$A$200,$A45,$D$2:$D$200,"*novo*",$N$2:$N$200,"C0")+COUNTIFS($A$2:$A$200,$A45,$D$2:$D$200,"*novo*",$N$2:$N$200,"C1")+COUNTIFS($A$2:$A$200,$A45,$D$2:$D$200,"*novo*",$N$2:$N$200,"C2")+COUNTIFS($A$2:$A$200,$A45,$D$2:$D$200,"*novo*",$N$2:$N$200,"C3")+COUNTIFS($A$2:$A$200,$A45,$D$2:$D$200,"*novo*",$N$2:$N$200,"C4"))=1,IF(COUNTIFS($A$2:$A$200,$A45,$D$2:$D$200,"*novo*",$N$2:$N$200,"C4")&gt;0,4,IF(COUNTIFS($A$2:$A$200,$A45,$D$2:$D$200,"*novo*",$N$2:$N$200,"C3")&gt;0,3,IF(COUNTIFS($A$2:$A$200,$A45,$D$2:$D$200,"*novo*",$N$2:$N$200,"C2")&gt;0,2,IF(COUNTIFS($A$2:$A$200,$A45,$D$2:$D$200,"*novo*",$N$2:$N$200,"C1")&gt;0,1,IF(COUNTIFS($A$2:$A$200,$A45,$D$2:$D$200,"*novo*",$N$2:$N$200,"C0")&gt;0,0,""))))),IF(AND((COUNTIFS($A$2:$A$200,$A45,$D$2:$D$200,"*novo*",$N$2:$N$200,"C0")+COUNTIFS($A$2:$A$200,$A45,$D$2:$D$200,"*novo*",$N$2:$N$200,"C1")+COUNTIFS($A$2:$A$200,$A45,$D$2:$D$200,"*novo*",$N$2:$N$200,"C2")+COUNTIFS($A$2:$A$200,$A45,$D$2:$D$200,"*novo*",$N$2:$N$200,"C3")+COUNTIFS($A$2:$A$200,$A45,$D$2:$D$200,"*novo*",$N$2:$N$200,"C4"))=0,INDEX(posicao_contratual!$Y$2:$Y$200,MATCH($A45,posicao_contratual!$A$2:$A$200,0))=0),0,"")),"")</f>
        <v/>
      </c>
    </row>
    <row r="46" spans="1:15" ht="45" customHeight="1" x14ac:dyDescent="0.35">
      <c r="A46" s="105"/>
      <c r="B46" s="189"/>
      <c r="C46" s="99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05"/>
      <c r="E46" s="106"/>
      <c r="F46" s="107" t="str">
        <f>IF(A46="","",IFERROR(VLOOKUP(A46,itens_Remanesc!$A:$C,3,0),""))</f>
        <v/>
      </c>
      <c r="G46" s="107" t="str">
        <f t="shared" si="3"/>
        <v/>
      </c>
      <c r="H46" s="105"/>
      <c r="I46" s="64" t="str">
        <f>IFERROR(IF(OR($A46="",$C46=""),"",IF(OR(($O46)="",($O46)&gt;(MIN(MATCH($C46,{"C0","C1","C2","C3","C4"},0)-1,COUNT(parametros!$F$2:$F$6)-1)),NOT(ISNUMBER(INDEX(parametros!$F$2:$F$6,(MIN(MATCH($C46,{"C0","C1","C2","C3","C4"},0)-1,COUNT(parametros!$F$2:$F$6)-1))+1))),NOT(ISNUMBER(INDEX(parametros!$F$2:$F$6,($O46)+1)))),"",INDEX(parametros!$F$2:$F$6,(MIN(MATCH($C46,{"C0","C1","C2","C3","C4"},0)-1,COUNT(parametros!$F$2:$F$6)-1))+1)/INDEX(parametros!$F$2:$F$6,($O46)+1))),"")</f>
        <v/>
      </c>
      <c r="J46" s="107" t="str">
        <f t="shared" si="4"/>
        <v/>
      </c>
      <c r="K46" s="105"/>
      <c r="L46" s="85" t="str">
        <f t="shared" si="5"/>
        <v/>
      </c>
      <c r="M46" s="483" t="str">
        <f>IF(A46="","",IF(COUNTIF(itens_Remanesc!$A$2:$A$200,A46)=0,"NOVO ITEM NAO CADASTRADO - CADASTRAR EM itens_Remanesc: ITEM + VU_ORIGINAL (QTD_BASE_ORIGINAL sera 0 automaticamente); depois a data e a quantidade aqui.",IF(COUNTIF(itens_Remanesc!$A$2:$A$200,A46)&gt;1,"ALERTA: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TIPO_INVALIDO",IF(AND(ISNUMBER(SEARCH("NOVO",D46)),OR(INDEX(posicao_contratual!$C$2:$C$200,MATCH(A46,posicao_contratual!$A$2:$A$200,0))&lt;&gt;0,F46="",COUNTIFS($A$2:$A$200,A46,$B$2:$B$200,"&lt;"&amp;B46,$L$2:$L$200,"&gt;0")&gt;0)),"ALERTA: NOVO ITEM INVALIDO - use Acrescimo se o item ja existia; novo item exige QTD_BASE_ORIGINAL 0, VU_ORIGINAL e ser o 1o acrescimo do item.",IF(AND(ISNUMBER(SEARCH("NOVO",D46)),OR(N46="",ISERROR(MATCH(N46,{"C0","C1","C2","C3","C4"},0)))),"ALERTA: BASE_VU_OBRIGATORIA",IF(AND(NOT(ISNUMBER(SEARCH("NOVO",D46))),N46&lt;&gt;""),"ALERTA: BASE_VU_NAO_APLICAVEL",IF(AND(UPPER(H46)="SIM",NOT(ISNUMBER(I46))),"ALERTA: BASE_VU_INVALIDA_OU_POSTERIOR_AO_FATOR_ALVO","OK"))))))))))</f>
        <v/>
      </c>
      <c r="N46" s="485"/>
      <c r="O46" s="487" t="str">
        <f>IFERROR(IF((COUNTIFS($A$2:$A$200,$A46,$D$2:$D$200,"*novo*",$N$2:$N$200,"C0")+COUNTIFS($A$2:$A$200,$A46,$D$2:$D$200,"*novo*",$N$2:$N$200,"C1")+COUNTIFS($A$2:$A$200,$A46,$D$2:$D$200,"*novo*",$N$2:$N$200,"C2")+COUNTIFS($A$2:$A$200,$A46,$D$2:$D$200,"*novo*",$N$2:$N$200,"C3")+COUNTIFS($A$2:$A$200,$A46,$D$2:$D$200,"*novo*",$N$2:$N$200,"C4"))=1,IF(COUNTIFS($A$2:$A$200,$A46,$D$2:$D$200,"*novo*",$N$2:$N$200,"C4")&gt;0,4,IF(COUNTIFS($A$2:$A$200,$A46,$D$2:$D$200,"*novo*",$N$2:$N$200,"C3")&gt;0,3,IF(COUNTIFS($A$2:$A$200,$A46,$D$2:$D$200,"*novo*",$N$2:$N$200,"C2")&gt;0,2,IF(COUNTIFS($A$2:$A$200,$A46,$D$2:$D$200,"*novo*",$N$2:$N$200,"C1")&gt;0,1,IF(COUNTIFS($A$2:$A$200,$A46,$D$2:$D$200,"*novo*",$N$2:$N$200,"C0")&gt;0,0,""))))),IF(AND((COUNTIFS($A$2:$A$200,$A46,$D$2:$D$200,"*novo*",$N$2:$N$200,"C0")+COUNTIFS($A$2:$A$200,$A46,$D$2:$D$200,"*novo*",$N$2:$N$200,"C1")+COUNTIFS($A$2:$A$200,$A46,$D$2:$D$200,"*novo*",$N$2:$N$200,"C2")+COUNTIFS($A$2:$A$200,$A46,$D$2:$D$200,"*novo*",$N$2:$N$200,"C3")+COUNTIFS($A$2:$A$200,$A46,$D$2:$D$200,"*novo*",$N$2:$N$200,"C4"))=0,INDEX(posicao_contratual!$Y$2:$Y$200,MATCH($A46,posicao_contratual!$A$2:$A$200,0))=0),0,"")),"")</f>
        <v/>
      </c>
    </row>
    <row r="47" spans="1:15" ht="45" customHeight="1" x14ac:dyDescent="0.35">
      <c r="A47" s="105"/>
      <c r="B47" s="189"/>
      <c r="C47" s="99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05"/>
      <c r="E47" s="106"/>
      <c r="F47" s="107" t="str">
        <f>IF(A47="","",IFERROR(VLOOKUP(A47,itens_Remanesc!$A:$C,3,0),""))</f>
        <v/>
      </c>
      <c r="G47" s="107" t="str">
        <f t="shared" si="3"/>
        <v/>
      </c>
      <c r="H47" s="105"/>
      <c r="I47" s="64" t="str">
        <f>IFERROR(IF(OR($A47="",$C47=""),"",IF(OR(($O47)="",($O47)&gt;(MIN(MATCH($C47,{"C0","C1","C2","C3","C4"},0)-1,COUNT(parametros!$F$2:$F$6)-1)),NOT(ISNUMBER(INDEX(parametros!$F$2:$F$6,(MIN(MATCH($C47,{"C0","C1","C2","C3","C4"},0)-1,COUNT(parametros!$F$2:$F$6)-1))+1))),NOT(ISNUMBER(INDEX(parametros!$F$2:$F$6,($O47)+1)))),"",INDEX(parametros!$F$2:$F$6,(MIN(MATCH($C47,{"C0","C1","C2","C3","C4"},0)-1,COUNT(parametros!$F$2:$F$6)-1))+1)/INDEX(parametros!$F$2:$F$6,($O47)+1))),"")</f>
        <v/>
      </c>
      <c r="J47" s="107" t="str">
        <f t="shared" si="4"/>
        <v/>
      </c>
      <c r="K47" s="105"/>
      <c r="L47" s="85" t="str">
        <f t="shared" si="5"/>
        <v/>
      </c>
      <c r="M47" s="483" t="str">
        <f>IF(A47="","",IF(COUNTIF(itens_Remanesc!$A$2:$A$200,A47)=0,"NOVO ITEM NAO CADASTRADO - CADASTRAR EM itens_Remanesc: ITEM + VU_ORIGINAL (QTD_BASE_ORIGINAL sera 0 automaticamente); depois a data e a quantidade aqui.",IF(COUNTIF(itens_Remanesc!$A$2:$A$200,A47)&gt;1,"ALERTA: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TIPO_INVALIDO",IF(AND(ISNUMBER(SEARCH("NOVO",D47)),OR(INDEX(posicao_contratual!$C$2:$C$200,MATCH(A47,posicao_contratual!$A$2:$A$200,0))&lt;&gt;0,F47="",COUNTIFS($A$2:$A$200,A47,$B$2:$B$200,"&lt;"&amp;B47,$L$2:$L$200,"&gt;0")&gt;0)),"ALERTA: NOVO ITEM INVALIDO - use Acrescimo se o item ja existia; novo item exige QTD_BASE_ORIGINAL 0, VU_ORIGINAL e ser o 1o acrescimo do item.",IF(AND(ISNUMBER(SEARCH("NOVO",D47)),OR(N47="",ISERROR(MATCH(N47,{"C0","C1","C2","C3","C4"},0)))),"ALERTA: BASE_VU_OBRIGATORIA",IF(AND(NOT(ISNUMBER(SEARCH("NOVO",D47))),N47&lt;&gt;""),"ALERTA: BASE_VU_NAO_APLICAVEL",IF(AND(UPPER(H47)="SIM",NOT(ISNUMBER(I47))),"ALERTA: BASE_VU_INVALIDA_OU_POSTERIOR_AO_FATOR_ALVO","OK"))))))))))</f>
        <v/>
      </c>
      <c r="N47" s="485"/>
      <c r="O47" s="487" t="str">
        <f>IFERROR(IF((COUNTIFS($A$2:$A$200,$A47,$D$2:$D$200,"*novo*",$N$2:$N$200,"C0")+COUNTIFS($A$2:$A$200,$A47,$D$2:$D$200,"*novo*",$N$2:$N$200,"C1")+COUNTIFS($A$2:$A$200,$A47,$D$2:$D$200,"*novo*",$N$2:$N$200,"C2")+COUNTIFS($A$2:$A$200,$A47,$D$2:$D$200,"*novo*",$N$2:$N$200,"C3")+COUNTIFS($A$2:$A$200,$A47,$D$2:$D$200,"*novo*",$N$2:$N$200,"C4"))=1,IF(COUNTIFS($A$2:$A$200,$A47,$D$2:$D$200,"*novo*",$N$2:$N$200,"C4")&gt;0,4,IF(COUNTIFS($A$2:$A$200,$A47,$D$2:$D$200,"*novo*",$N$2:$N$200,"C3")&gt;0,3,IF(COUNTIFS($A$2:$A$200,$A47,$D$2:$D$200,"*novo*",$N$2:$N$200,"C2")&gt;0,2,IF(COUNTIFS($A$2:$A$200,$A47,$D$2:$D$200,"*novo*",$N$2:$N$200,"C1")&gt;0,1,IF(COUNTIFS($A$2:$A$200,$A47,$D$2:$D$200,"*novo*",$N$2:$N$200,"C0")&gt;0,0,""))))),IF(AND((COUNTIFS($A$2:$A$200,$A47,$D$2:$D$200,"*novo*",$N$2:$N$200,"C0")+COUNTIFS($A$2:$A$200,$A47,$D$2:$D$200,"*novo*",$N$2:$N$200,"C1")+COUNTIFS($A$2:$A$200,$A47,$D$2:$D$200,"*novo*",$N$2:$N$200,"C2")+COUNTIFS($A$2:$A$200,$A47,$D$2:$D$200,"*novo*",$N$2:$N$200,"C3")+COUNTIFS($A$2:$A$200,$A47,$D$2:$D$200,"*novo*",$N$2:$N$200,"C4"))=0,INDEX(posicao_contratual!$Y$2:$Y$200,MATCH($A47,posicao_contratual!$A$2:$A$200,0))=0),0,"")),"")</f>
        <v/>
      </c>
    </row>
    <row r="48" spans="1:15" ht="45" customHeight="1" x14ac:dyDescent="0.35">
      <c r="A48" s="105"/>
      <c r="B48" s="189"/>
      <c r="C48" s="99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05"/>
      <c r="E48" s="106"/>
      <c r="F48" s="107" t="str">
        <f>IF(A48="","",IFERROR(VLOOKUP(A48,itens_Remanesc!$A:$C,3,0),""))</f>
        <v/>
      </c>
      <c r="G48" s="107" t="str">
        <f t="shared" si="3"/>
        <v/>
      </c>
      <c r="H48" s="105"/>
      <c r="I48" s="64" t="str">
        <f>IFERROR(IF(OR($A48="",$C48=""),"",IF(OR(($O48)="",($O48)&gt;(MIN(MATCH($C48,{"C0","C1","C2","C3","C4"},0)-1,COUNT(parametros!$F$2:$F$6)-1)),NOT(ISNUMBER(INDEX(parametros!$F$2:$F$6,(MIN(MATCH($C48,{"C0","C1","C2","C3","C4"},0)-1,COUNT(parametros!$F$2:$F$6)-1))+1))),NOT(ISNUMBER(INDEX(parametros!$F$2:$F$6,($O48)+1)))),"",INDEX(parametros!$F$2:$F$6,(MIN(MATCH($C48,{"C0","C1","C2","C3","C4"},0)-1,COUNT(parametros!$F$2:$F$6)-1))+1)/INDEX(parametros!$F$2:$F$6,($O48)+1))),"")</f>
        <v/>
      </c>
      <c r="J48" s="107" t="str">
        <f t="shared" si="4"/>
        <v/>
      </c>
      <c r="K48" s="105"/>
      <c r="L48" s="85" t="str">
        <f t="shared" si="5"/>
        <v/>
      </c>
      <c r="M48" s="483" t="str">
        <f>IF(A48="","",IF(COUNTIF(itens_Remanesc!$A$2:$A$200,A48)=0,"NOVO ITEM NAO CADASTRADO - CADASTRAR EM itens_Remanesc: ITEM + VU_ORIGINAL (QTD_BASE_ORIGINAL sera 0 automaticamente); depois a data e a quantidade aqui.",IF(COUNTIF(itens_Remanesc!$A$2:$A$200,A48)&gt;1,"ALERTA: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TIPO_INVALIDO",IF(AND(ISNUMBER(SEARCH("NOVO",D48)),OR(INDEX(posicao_contratual!$C$2:$C$200,MATCH(A48,posicao_contratual!$A$2:$A$200,0))&lt;&gt;0,F48="",COUNTIFS($A$2:$A$200,A48,$B$2:$B$200,"&lt;"&amp;B48,$L$2:$L$200,"&gt;0")&gt;0)),"ALERTA: NOVO ITEM INVALIDO - use Acrescimo se o item ja existia; novo item exige QTD_BASE_ORIGINAL 0, VU_ORIGINAL e ser o 1o acrescimo do item.",IF(AND(ISNUMBER(SEARCH("NOVO",D48)),OR(N48="",ISERROR(MATCH(N48,{"C0","C1","C2","C3","C4"},0)))),"ALERTA: BASE_VU_OBRIGATORIA",IF(AND(NOT(ISNUMBER(SEARCH("NOVO",D48))),N48&lt;&gt;""),"ALERTA: BASE_VU_NAO_APLICAVEL",IF(AND(UPPER(H48)="SIM",NOT(ISNUMBER(I48))),"ALERTA: BASE_VU_INVALIDA_OU_POSTERIOR_AO_FATOR_ALVO","OK"))))))))))</f>
        <v/>
      </c>
      <c r="N48" s="485"/>
      <c r="O48" s="487" t="str">
        <f>IFERROR(IF((COUNTIFS($A$2:$A$200,$A48,$D$2:$D$200,"*novo*",$N$2:$N$200,"C0")+COUNTIFS($A$2:$A$200,$A48,$D$2:$D$200,"*novo*",$N$2:$N$200,"C1")+COUNTIFS($A$2:$A$200,$A48,$D$2:$D$200,"*novo*",$N$2:$N$200,"C2")+COUNTIFS($A$2:$A$200,$A48,$D$2:$D$200,"*novo*",$N$2:$N$200,"C3")+COUNTIFS($A$2:$A$200,$A48,$D$2:$D$200,"*novo*",$N$2:$N$200,"C4"))=1,IF(COUNTIFS($A$2:$A$200,$A48,$D$2:$D$200,"*novo*",$N$2:$N$200,"C4")&gt;0,4,IF(COUNTIFS($A$2:$A$200,$A48,$D$2:$D$200,"*novo*",$N$2:$N$200,"C3")&gt;0,3,IF(COUNTIFS($A$2:$A$200,$A48,$D$2:$D$200,"*novo*",$N$2:$N$200,"C2")&gt;0,2,IF(COUNTIFS($A$2:$A$200,$A48,$D$2:$D$200,"*novo*",$N$2:$N$200,"C1")&gt;0,1,IF(COUNTIFS($A$2:$A$200,$A48,$D$2:$D$200,"*novo*",$N$2:$N$200,"C0")&gt;0,0,""))))),IF(AND((COUNTIFS($A$2:$A$200,$A48,$D$2:$D$200,"*novo*",$N$2:$N$200,"C0")+COUNTIFS($A$2:$A$200,$A48,$D$2:$D$200,"*novo*",$N$2:$N$200,"C1")+COUNTIFS($A$2:$A$200,$A48,$D$2:$D$200,"*novo*",$N$2:$N$200,"C2")+COUNTIFS($A$2:$A$200,$A48,$D$2:$D$200,"*novo*",$N$2:$N$200,"C3")+COUNTIFS($A$2:$A$200,$A48,$D$2:$D$200,"*novo*",$N$2:$N$200,"C4"))=0,INDEX(posicao_contratual!$Y$2:$Y$200,MATCH($A48,posicao_contratual!$A$2:$A$200,0))=0),0,"")),"")</f>
        <v/>
      </c>
    </row>
    <row r="49" spans="1:15" ht="45" customHeight="1" x14ac:dyDescent="0.35">
      <c r="A49" s="105"/>
      <c r="B49" s="189"/>
      <c r="C49" s="99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05"/>
      <c r="E49" s="106"/>
      <c r="F49" s="107" t="str">
        <f>IF(A49="","",IFERROR(VLOOKUP(A49,itens_Remanesc!$A:$C,3,0),""))</f>
        <v/>
      </c>
      <c r="G49" s="107" t="str">
        <f t="shared" si="3"/>
        <v/>
      </c>
      <c r="H49" s="105"/>
      <c r="I49" s="64" t="str">
        <f>IFERROR(IF(OR($A49="",$C49=""),"",IF(OR(($O49)="",($O49)&gt;(MIN(MATCH($C49,{"C0","C1","C2","C3","C4"},0)-1,COUNT(parametros!$F$2:$F$6)-1)),NOT(ISNUMBER(INDEX(parametros!$F$2:$F$6,(MIN(MATCH($C49,{"C0","C1","C2","C3","C4"},0)-1,COUNT(parametros!$F$2:$F$6)-1))+1))),NOT(ISNUMBER(INDEX(parametros!$F$2:$F$6,($O49)+1)))),"",INDEX(parametros!$F$2:$F$6,(MIN(MATCH($C49,{"C0","C1","C2","C3","C4"},0)-1,COUNT(parametros!$F$2:$F$6)-1))+1)/INDEX(parametros!$F$2:$F$6,($O49)+1))),"")</f>
        <v/>
      </c>
      <c r="J49" s="107" t="str">
        <f t="shared" si="4"/>
        <v/>
      </c>
      <c r="K49" s="105"/>
      <c r="L49" s="85" t="str">
        <f t="shared" si="5"/>
        <v/>
      </c>
      <c r="M49" s="483" t="str">
        <f>IF(A49="","",IF(COUNTIF(itens_Remanesc!$A$2:$A$200,A49)=0,"NOVO ITEM NAO CADASTRADO - CADASTRAR EM itens_Remanesc: ITEM + VU_ORIGINAL (QTD_BASE_ORIGINAL sera 0 automaticamente); depois a data e a quantidade aqui.",IF(COUNTIF(itens_Remanesc!$A$2:$A$200,A49)&gt;1,"ALERTA: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TIPO_INVALIDO",IF(AND(ISNUMBER(SEARCH("NOVO",D49)),OR(INDEX(posicao_contratual!$C$2:$C$200,MATCH(A49,posicao_contratual!$A$2:$A$200,0))&lt;&gt;0,F49="",COUNTIFS($A$2:$A$200,A49,$B$2:$B$200,"&lt;"&amp;B49,$L$2:$L$200,"&gt;0")&gt;0)),"ALERTA: NOVO ITEM INVALIDO - use Acrescimo se o item ja existia; novo item exige QTD_BASE_ORIGINAL 0, VU_ORIGINAL e ser o 1o acrescimo do item.",IF(AND(ISNUMBER(SEARCH("NOVO",D49)),OR(N49="",ISERROR(MATCH(N49,{"C0","C1","C2","C3","C4"},0)))),"ALERTA: BASE_VU_OBRIGATORIA",IF(AND(NOT(ISNUMBER(SEARCH("NOVO",D49))),N49&lt;&gt;""),"ALERTA: BASE_VU_NAO_APLICAVEL",IF(AND(UPPER(H49)="SIM",NOT(ISNUMBER(I49))),"ALERTA: BASE_VU_INVALIDA_OU_POSTERIOR_AO_FATOR_ALVO","OK"))))))))))</f>
        <v/>
      </c>
      <c r="N49" s="485"/>
      <c r="O49" s="487" t="str">
        <f>IFERROR(IF((COUNTIFS($A$2:$A$200,$A49,$D$2:$D$200,"*novo*",$N$2:$N$200,"C0")+COUNTIFS($A$2:$A$200,$A49,$D$2:$D$200,"*novo*",$N$2:$N$200,"C1")+COUNTIFS($A$2:$A$200,$A49,$D$2:$D$200,"*novo*",$N$2:$N$200,"C2")+COUNTIFS($A$2:$A$200,$A49,$D$2:$D$200,"*novo*",$N$2:$N$200,"C3")+COUNTIFS($A$2:$A$200,$A49,$D$2:$D$200,"*novo*",$N$2:$N$200,"C4"))=1,IF(COUNTIFS($A$2:$A$200,$A49,$D$2:$D$200,"*novo*",$N$2:$N$200,"C4")&gt;0,4,IF(COUNTIFS($A$2:$A$200,$A49,$D$2:$D$200,"*novo*",$N$2:$N$200,"C3")&gt;0,3,IF(COUNTIFS($A$2:$A$200,$A49,$D$2:$D$200,"*novo*",$N$2:$N$200,"C2")&gt;0,2,IF(COUNTIFS($A$2:$A$200,$A49,$D$2:$D$200,"*novo*",$N$2:$N$200,"C1")&gt;0,1,IF(COUNTIFS($A$2:$A$200,$A49,$D$2:$D$200,"*novo*",$N$2:$N$200,"C0")&gt;0,0,""))))),IF(AND((COUNTIFS($A$2:$A$200,$A49,$D$2:$D$200,"*novo*",$N$2:$N$200,"C0")+COUNTIFS($A$2:$A$200,$A49,$D$2:$D$200,"*novo*",$N$2:$N$200,"C1")+COUNTIFS($A$2:$A$200,$A49,$D$2:$D$200,"*novo*",$N$2:$N$200,"C2")+COUNTIFS($A$2:$A$200,$A49,$D$2:$D$200,"*novo*",$N$2:$N$200,"C3")+COUNTIFS($A$2:$A$200,$A49,$D$2:$D$200,"*novo*",$N$2:$N$200,"C4"))=0,INDEX(posicao_contratual!$Y$2:$Y$200,MATCH($A49,posicao_contratual!$A$2:$A$200,0))=0),0,"")),"")</f>
        <v/>
      </c>
    </row>
    <row r="50" spans="1:15" ht="45" customHeight="1" x14ac:dyDescent="0.35">
      <c r="A50" s="105"/>
      <c r="B50" s="189"/>
      <c r="C50" s="99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05"/>
      <c r="E50" s="106"/>
      <c r="F50" s="107" t="str">
        <f>IF(A50="","",IFERROR(VLOOKUP(A50,itens_Remanesc!$A:$C,3,0),""))</f>
        <v/>
      </c>
      <c r="G50" s="107" t="str">
        <f t="shared" si="3"/>
        <v/>
      </c>
      <c r="H50" s="105"/>
      <c r="I50" s="64" t="str">
        <f>IFERROR(IF(OR($A50="",$C50=""),"",IF(OR(($O50)="",($O50)&gt;(MIN(MATCH($C50,{"C0","C1","C2","C3","C4"},0)-1,COUNT(parametros!$F$2:$F$6)-1)),NOT(ISNUMBER(INDEX(parametros!$F$2:$F$6,(MIN(MATCH($C50,{"C0","C1","C2","C3","C4"},0)-1,COUNT(parametros!$F$2:$F$6)-1))+1))),NOT(ISNUMBER(INDEX(parametros!$F$2:$F$6,($O50)+1)))),"",INDEX(parametros!$F$2:$F$6,(MIN(MATCH($C50,{"C0","C1","C2","C3","C4"},0)-1,COUNT(parametros!$F$2:$F$6)-1))+1)/INDEX(parametros!$F$2:$F$6,($O50)+1))),"")</f>
        <v/>
      </c>
      <c r="J50" s="107" t="str">
        <f t="shared" si="4"/>
        <v/>
      </c>
      <c r="K50" s="105"/>
      <c r="L50" s="85" t="str">
        <f t="shared" si="5"/>
        <v/>
      </c>
      <c r="M50" s="483" t="str">
        <f>IF(A50="","",IF(COUNTIF(itens_Remanesc!$A$2:$A$200,A50)=0,"NOVO ITEM NAO CADASTRADO - CADASTRAR EM itens_Remanesc: ITEM + VU_ORIGINAL (QTD_BASE_ORIGINAL sera 0 automaticamente); depois a data e a quantidade aqui.",IF(COUNTIF(itens_Remanesc!$A$2:$A$200,A50)&gt;1,"ALERTA: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TIPO_INVALIDO",IF(AND(ISNUMBER(SEARCH("NOVO",D50)),OR(INDEX(posicao_contratual!$C$2:$C$200,MATCH(A50,posicao_contratual!$A$2:$A$200,0))&lt;&gt;0,F50="",COUNTIFS($A$2:$A$200,A50,$B$2:$B$200,"&lt;"&amp;B50,$L$2:$L$200,"&gt;0")&gt;0)),"ALERTA: NOVO ITEM INVALIDO - use Acrescimo se o item ja existia; novo item exige QTD_BASE_ORIGINAL 0, VU_ORIGINAL e ser o 1o acrescimo do item.",IF(AND(ISNUMBER(SEARCH("NOVO",D50)),OR(N50="",ISERROR(MATCH(N50,{"C0","C1","C2","C3","C4"},0)))),"ALERTA: BASE_VU_OBRIGATORIA",IF(AND(NOT(ISNUMBER(SEARCH("NOVO",D50))),N50&lt;&gt;""),"ALERTA: BASE_VU_NAO_APLICAVEL",IF(AND(UPPER(H50)="SIM",NOT(ISNUMBER(I50))),"ALERTA: BASE_VU_INVALIDA_OU_POSTERIOR_AO_FATOR_ALVO","OK"))))))))))</f>
        <v/>
      </c>
      <c r="N50" s="485"/>
      <c r="O50" s="487" t="str">
        <f>IFERROR(IF((COUNTIFS($A$2:$A$200,$A50,$D$2:$D$200,"*novo*",$N$2:$N$200,"C0")+COUNTIFS($A$2:$A$200,$A50,$D$2:$D$200,"*novo*",$N$2:$N$200,"C1")+COUNTIFS($A$2:$A$200,$A50,$D$2:$D$200,"*novo*",$N$2:$N$200,"C2")+COUNTIFS($A$2:$A$200,$A50,$D$2:$D$200,"*novo*",$N$2:$N$200,"C3")+COUNTIFS($A$2:$A$200,$A50,$D$2:$D$200,"*novo*",$N$2:$N$200,"C4"))=1,IF(COUNTIFS($A$2:$A$200,$A50,$D$2:$D$200,"*novo*",$N$2:$N$200,"C4")&gt;0,4,IF(COUNTIFS($A$2:$A$200,$A50,$D$2:$D$200,"*novo*",$N$2:$N$200,"C3")&gt;0,3,IF(COUNTIFS($A$2:$A$200,$A50,$D$2:$D$200,"*novo*",$N$2:$N$200,"C2")&gt;0,2,IF(COUNTIFS($A$2:$A$200,$A50,$D$2:$D$200,"*novo*",$N$2:$N$200,"C1")&gt;0,1,IF(COUNTIFS($A$2:$A$200,$A50,$D$2:$D$200,"*novo*",$N$2:$N$200,"C0")&gt;0,0,""))))),IF(AND((COUNTIFS($A$2:$A$200,$A50,$D$2:$D$200,"*novo*",$N$2:$N$200,"C0")+COUNTIFS($A$2:$A$200,$A50,$D$2:$D$200,"*novo*",$N$2:$N$200,"C1")+COUNTIFS($A$2:$A$200,$A50,$D$2:$D$200,"*novo*",$N$2:$N$200,"C2")+COUNTIFS($A$2:$A$200,$A50,$D$2:$D$200,"*novo*",$N$2:$N$200,"C3")+COUNTIFS($A$2:$A$200,$A50,$D$2:$D$200,"*novo*",$N$2:$N$200,"C4"))=0,INDEX(posicao_contratual!$Y$2:$Y$200,MATCH($A50,posicao_contratual!$A$2:$A$200,0))=0),0,"")),"")</f>
        <v/>
      </c>
    </row>
    <row r="51" spans="1:15" ht="45" customHeight="1" x14ac:dyDescent="0.35">
      <c r="A51" s="105"/>
      <c r="B51" s="189"/>
      <c r="C51" s="99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05"/>
      <c r="E51" s="106"/>
      <c r="F51" s="107" t="str">
        <f>IF(A51="","",IFERROR(VLOOKUP(A51,itens_Remanesc!$A:$C,3,0),""))</f>
        <v/>
      </c>
      <c r="G51" s="107" t="str">
        <f t="shared" si="3"/>
        <v/>
      </c>
      <c r="H51" s="105"/>
      <c r="I51" s="64" t="str">
        <f>IFERROR(IF(OR($A51="",$C51=""),"",IF(OR(($O51)="",($O51)&gt;(MIN(MATCH($C51,{"C0","C1","C2","C3","C4"},0)-1,COUNT(parametros!$F$2:$F$6)-1)),NOT(ISNUMBER(INDEX(parametros!$F$2:$F$6,(MIN(MATCH($C51,{"C0","C1","C2","C3","C4"},0)-1,COUNT(parametros!$F$2:$F$6)-1))+1))),NOT(ISNUMBER(INDEX(parametros!$F$2:$F$6,($O51)+1)))),"",INDEX(parametros!$F$2:$F$6,(MIN(MATCH($C51,{"C0","C1","C2","C3","C4"},0)-1,COUNT(parametros!$F$2:$F$6)-1))+1)/INDEX(parametros!$F$2:$F$6,($O51)+1))),"")</f>
        <v/>
      </c>
      <c r="J51" s="107" t="str">
        <f t="shared" si="4"/>
        <v/>
      </c>
      <c r="K51" s="105"/>
      <c r="L51" s="85" t="str">
        <f t="shared" si="5"/>
        <v/>
      </c>
      <c r="M51" s="483" t="str">
        <f>IF(A51="","",IF(COUNTIF(itens_Remanesc!$A$2:$A$200,A51)=0,"NOVO ITEM NAO CADASTRADO - CADASTRAR EM itens_Remanesc: ITEM + VU_ORIGINAL (QTD_BASE_ORIGINAL sera 0 automaticamente); depois a data e a quantidade aqui.",IF(COUNTIF(itens_Remanesc!$A$2:$A$200,A51)&gt;1,"ALERTA: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TIPO_INVALIDO",IF(AND(ISNUMBER(SEARCH("NOVO",D51)),OR(INDEX(posicao_contratual!$C$2:$C$200,MATCH(A51,posicao_contratual!$A$2:$A$200,0))&lt;&gt;0,F51="",COUNTIFS($A$2:$A$200,A51,$B$2:$B$200,"&lt;"&amp;B51,$L$2:$L$200,"&gt;0")&gt;0)),"ALERTA: NOVO ITEM INVALIDO - use Acrescimo se o item ja existia; novo item exige QTD_BASE_ORIGINAL 0, VU_ORIGINAL e ser o 1o acrescimo do item.",IF(AND(ISNUMBER(SEARCH("NOVO",D51)),OR(N51="",ISERROR(MATCH(N51,{"C0","C1","C2","C3","C4"},0)))),"ALERTA: BASE_VU_OBRIGATORIA",IF(AND(NOT(ISNUMBER(SEARCH("NOVO",D51))),N51&lt;&gt;""),"ALERTA: BASE_VU_NAO_APLICAVEL",IF(AND(UPPER(H51)="SIM",NOT(ISNUMBER(I51))),"ALERTA: BASE_VU_INVALIDA_OU_POSTERIOR_AO_FATOR_ALVO","OK"))))))))))</f>
        <v/>
      </c>
      <c r="N51" s="485"/>
      <c r="O51" s="487" t="str">
        <f>IFERROR(IF((COUNTIFS($A$2:$A$200,$A51,$D$2:$D$200,"*novo*",$N$2:$N$200,"C0")+COUNTIFS($A$2:$A$200,$A51,$D$2:$D$200,"*novo*",$N$2:$N$200,"C1")+COUNTIFS($A$2:$A$200,$A51,$D$2:$D$200,"*novo*",$N$2:$N$200,"C2")+COUNTIFS($A$2:$A$200,$A51,$D$2:$D$200,"*novo*",$N$2:$N$200,"C3")+COUNTIFS($A$2:$A$200,$A51,$D$2:$D$200,"*novo*",$N$2:$N$200,"C4"))=1,IF(COUNTIFS($A$2:$A$200,$A51,$D$2:$D$200,"*novo*",$N$2:$N$200,"C4")&gt;0,4,IF(COUNTIFS($A$2:$A$200,$A51,$D$2:$D$200,"*novo*",$N$2:$N$200,"C3")&gt;0,3,IF(COUNTIFS($A$2:$A$200,$A51,$D$2:$D$200,"*novo*",$N$2:$N$200,"C2")&gt;0,2,IF(COUNTIFS($A$2:$A$200,$A51,$D$2:$D$200,"*novo*",$N$2:$N$200,"C1")&gt;0,1,IF(COUNTIFS($A$2:$A$200,$A51,$D$2:$D$200,"*novo*",$N$2:$N$200,"C0")&gt;0,0,""))))),IF(AND((COUNTIFS($A$2:$A$200,$A51,$D$2:$D$200,"*novo*",$N$2:$N$200,"C0")+COUNTIFS($A$2:$A$200,$A51,$D$2:$D$200,"*novo*",$N$2:$N$200,"C1")+COUNTIFS($A$2:$A$200,$A51,$D$2:$D$200,"*novo*",$N$2:$N$200,"C2")+COUNTIFS($A$2:$A$200,$A51,$D$2:$D$200,"*novo*",$N$2:$N$200,"C3")+COUNTIFS($A$2:$A$200,$A51,$D$2:$D$200,"*novo*",$N$2:$N$200,"C4"))=0,INDEX(posicao_contratual!$Y$2:$Y$200,MATCH($A51,posicao_contratual!$A$2:$A$200,0))=0),0,"")),"")</f>
        <v/>
      </c>
    </row>
    <row r="52" spans="1:15" ht="45" customHeight="1" x14ac:dyDescent="0.35">
      <c r="A52" s="105"/>
      <c r="B52" s="189"/>
      <c r="C52" s="99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05"/>
      <c r="E52" s="106"/>
      <c r="F52" s="107" t="str">
        <f>IF(A52="","",IFERROR(VLOOKUP(A52,itens_Remanesc!$A:$C,3,0),""))</f>
        <v/>
      </c>
      <c r="G52" s="107" t="str">
        <f t="shared" si="3"/>
        <v/>
      </c>
      <c r="H52" s="105"/>
      <c r="I52" s="64" t="str">
        <f>IFERROR(IF(OR($A52="",$C52=""),"",IF(OR(($O52)="",($O52)&gt;(MIN(MATCH($C52,{"C0","C1","C2","C3","C4"},0)-1,COUNT(parametros!$F$2:$F$6)-1)),NOT(ISNUMBER(INDEX(parametros!$F$2:$F$6,(MIN(MATCH($C52,{"C0","C1","C2","C3","C4"},0)-1,COUNT(parametros!$F$2:$F$6)-1))+1))),NOT(ISNUMBER(INDEX(parametros!$F$2:$F$6,($O52)+1)))),"",INDEX(parametros!$F$2:$F$6,(MIN(MATCH($C52,{"C0","C1","C2","C3","C4"},0)-1,COUNT(parametros!$F$2:$F$6)-1))+1)/INDEX(parametros!$F$2:$F$6,($O52)+1))),"")</f>
        <v/>
      </c>
      <c r="J52" s="107" t="str">
        <f t="shared" si="4"/>
        <v/>
      </c>
      <c r="K52" s="105"/>
      <c r="L52" s="85" t="str">
        <f t="shared" si="5"/>
        <v/>
      </c>
      <c r="M52" s="483" t="str">
        <f>IF(A52="","",IF(COUNTIF(itens_Remanesc!$A$2:$A$200,A52)=0,"NOVO ITEM NAO CADASTRADO - CADASTRAR EM itens_Remanesc: ITEM + VU_ORIGINAL (QTD_BASE_ORIGINAL sera 0 automaticamente); depois a data e a quantidade aqui.",IF(COUNTIF(itens_Remanesc!$A$2:$A$200,A52)&gt;1,"ALERTA: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TIPO_INVALIDO",IF(AND(ISNUMBER(SEARCH("NOVO",D52)),OR(INDEX(posicao_contratual!$C$2:$C$200,MATCH(A52,posicao_contratual!$A$2:$A$200,0))&lt;&gt;0,F52="",COUNTIFS($A$2:$A$200,A52,$B$2:$B$200,"&lt;"&amp;B52,$L$2:$L$200,"&gt;0")&gt;0)),"ALERTA: NOVO ITEM INVALIDO - use Acrescimo se o item ja existia; novo item exige QTD_BASE_ORIGINAL 0, VU_ORIGINAL e ser o 1o acrescimo do item.",IF(AND(ISNUMBER(SEARCH("NOVO",D52)),OR(N52="",ISERROR(MATCH(N52,{"C0","C1","C2","C3","C4"},0)))),"ALERTA: BASE_VU_OBRIGATORIA",IF(AND(NOT(ISNUMBER(SEARCH("NOVO",D52))),N52&lt;&gt;""),"ALERTA: BASE_VU_NAO_APLICAVEL",IF(AND(UPPER(H52)="SIM",NOT(ISNUMBER(I52))),"ALERTA: BASE_VU_INVALIDA_OU_POSTERIOR_AO_FATOR_ALVO","OK"))))))))))</f>
        <v/>
      </c>
      <c r="N52" s="485"/>
      <c r="O52" s="487" t="str">
        <f>IFERROR(IF((COUNTIFS($A$2:$A$200,$A52,$D$2:$D$200,"*novo*",$N$2:$N$200,"C0")+COUNTIFS($A$2:$A$200,$A52,$D$2:$D$200,"*novo*",$N$2:$N$200,"C1")+COUNTIFS($A$2:$A$200,$A52,$D$2:$D$200,"*novo*",$N$2:$N$200,"C2")+COUNTIFS($A$2:$A$200,$A52,$D$2:$D$200,"*novo*",$N$2:$N$200,"C3")+COUNTIFS($A$2:$A$200,$A52,$D$2:$D$200,"*novo*",$N$2:$N$200,"C4"))=1,IF(COUNTIFS($A$2:$A$200,$A52,$D$2:$D$200,"*novo*",$N$2:$N$200,"C4")&gt;0,4,IF(COUNTIFS($A$2:$A$200,$A52,$D$2:$D$200,"*novo*",$N$2:$N$200,"C3")&gt;0,3,IF(COUNTIFS($A$2:$A$200,$A52,$D$2:$D$200,"*novo*",$N$2:$N$200,"C2")&gt;0,2,IF(COUNTIFS($A$2:$A$200,$A52,$D$2:$D$200,"*novo*",$N$2:$N$200,"C1")&gt;0,1,IF(COUNTIFS($A$2:$A$200,$A52,$D$2:$D$200,"*novo*",$N$2:$N$200,"C0")&gt;0,0,""))))),IF(AND((COUNTIFS($A$2:$A$200,$A52,$D$2:$D$200,"*novo*",$N$2:$N$200,"C0")+COUNTIFS($A$2:$A$200,$A52,$D$2:$D$200,"*novo*",$N$2:$N$200,"C1")+COUNTIFS($A$2:$A$200,$A52,$D$2:$D$200,"*novo*",$N$2:$N$200,"C2")+COUNTIFS($A$2:$A$200,$A52,$D$2:$D$200,"*novo*",$N$2:$N$200,"C3")+COUNTIFS($A$2:$A$200,$A52,$D$2:$D$200,"*novo*",$N$2:$N$200,"C4"))=0,INDEX(posicao_contratual!$Y$2:$Y$200,MATCH($A52,posicao_contratual!$A$2:$A$200,0))=0),0,"")),"")</f>
        <v/>
      </c>
    </row>
    <row r="53" spans="1:15" ht="45" customHeight="1" x14ac:dyDescent="0.35">
      <c r="A53" s="105"/>
      <c r="B53" s="189"/>
      <c r="C53" s="99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05"/>
      <c r="E53" s="106"/>
      <c r="F53" s="107" t="str">
        <f>IF(A53="","",IFERROR(VLOOKUP(A53,itens_Remanesc!$A:$C,3,0),""))</f>
        <v/>
      </c>
      <c r="G53" s="107" t="str">
        <f t="shared" si="3"/>
        <v/>
      </c>
      <c r="H53" s="105"/>
      <c r="I53" s="64" t="str">
        <f>IFERROR(IF(OR($A53="",$C53=""),"",IF(OR(($O53)="",($O53)&gt;(MIN(MATCH($C53,{"C0","C1","C2","C3","C4"},0)-1,COUNT(parametros!$F$2:$F$6)-1)),NOT(ISNUMBER(INDEX(parametros!$F$2:$F$6,(MIN(MATCH($C53,{"C0","C1","C2","C3","C4"},0)-1,COUNT(parametros!$F$2:$F$6)-1))+1))),NOT(ISNUMBER(INDEX(parametros!$F$2:$F$6,($O53)+1)))),"",INDEX(parametros!$F$2:$F$6,(MIN(MATCH($C53,{"C0","C1","C2","C3","C4"},0)-1,COUNT(parametros!$F$2:$F$6)-1))+1)/INDEX(parametros!$F$2:$F$6,($O53)+1))),"")</f>
        <v/>
      </c>
      <c r="J53" s="107" t="str">
        <f t="shared" si="4"/>
        <v/>
      </c>
      <c r="K53" s="105"/>
      <c r="L53" s="85" t="str">
        <f t="shared" si="5"/>
        <v/>
      </c>
      <c r="M53" s="483" t="str">
        <f>IF(A53="","",IF(COUNTIF(itens_Remanesc!$A$2:$A$200,A53)=0,"NOVO ITEM NAO CADASTRADO - CADASTRAR EM itens_Remanesc: ITEM + VU_ORIGINAL (QTD_BASE_ORIGINAL sera 0 automaticamente); depois a data e a quantidade aqui.",IF(COUNTIF(itens_Remanesc!$A$2:$A$200,A53)&gt;1,"ALERTA: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TIPO_INVALIDO",IF(AND(ISNUMBER(SEARCH("NOVO",D53)),OR(INDEX(posicao_contratual!$C$2:$C$200,MATCH(A53,posicao_contratual!$A$2:$A$200,0))&lt;&gt;0,F53="",COUNTIFS($A$2:$A$200,A53,$B$2:$B$200,"&lt;"&amp;B53,$L$2:$L$200,"&gt;0")&gt;0)),"ALERTA: NOVO ITEM INVALIDO - use Acrescimo se o item ja existia; novo item exige QTD_BASE_ORIGINAL 0, VU_ORIGINAL e ser o 1o acrescimo do item.",IF(AND(ISNUMBER(SEARCH("NOVO",D53)),OR(N53="",ISERROR(MATCH(N53,{"C0","C1","C2","C3","C4"},0)))),"ALERTA: BASE_VU_OBRIGATORIA",IF(AND(NOT(ISNUMBER(SEARCH("NOVO",D53))),N53&lt;&gt;""),"ALERTA: BASE_VU_NAO_APLICAVEL",IF(AND(UPPER(H53)="SIM",NOT(ISNUMBER(I53))),"ALERTA: BASE_VU_INVALIDA_OU_POSTERIOR_AO_FATOR_ALVO","OK"))))))))))</f>
        <v/>
      </c>
      <c r="N53" s="485"/>
      <c r="O53" s="487" t="str">
        <f>IFERROR(IF((COUNTIFS($A$2:$A$200,$A53,$D$2:$D$200,"*novo*",$N$2:$N$200,"C0")+COUNTIFS($A$2:$A$200,$A53,$D$2:$D$200,"*novo*",$N$2:$N$200,"C1")+COUNTIFS($A$2:$A$200,$A53,$D$2:$D$200,"*novo*",$N$2:$N$200,"C2")+COUNTIFS($A$2:$A$200,$A53,$D$2:$D$200,"*novo*",$N$2:$N$200,"C3")+COUNTIFS($A$2:$A$200,$A53,$D$2:$D$200,"*novo*",$N$2:$N$200,"C4"))=1,IF(COUNTIFS($A$2:$A$200,$A53,$D$2:$D$200,"*novo*",$N$2:$N$200,"C4")&gt;0,4,IF(COUNTIFS($A$2:$A$200,$A53,$D$2:$D$200,"*novo*",$N$2:$N$200,"C3")&gt;0,3,IF(COUNTIFS($A$2:$A$200,$A53,$D$2:$D$200,"*novo*",$N$2:$N$200,"C2")&gt;0,2,IF(COUNTIFS($A$2:$A$200,$A53,$D$2:$D$200,"*novo*",$N$2:$N$200,"C1")&gt;0,1,IF(COUNTIFS($A$2:$A$200,$A53,$D$2:$D$200,"*novo*",$N$2:$N$200,"C0")&gt;0,0,""))))),IF(AND((COUNTIFS($A$2:$A$200,$A53,$D$2:$D$200,"*novo*",$N$2:$N$200,"C0")+COUNTIFS($A$2:$A$200,$A53,$D$2:$D$200,"*novo*",$N$2:$N$200,"C1")+COUNTIFS($A$2:$A$200,$A53,$D$2:$D$200,"*novo*",$N$2:$N$200,"C2")+COUNTIFS($A$2:$A$200,$A53,$D$2:$D$200,"*novo*",$N$2:$N$200,"C3")+COUNTIFS($A$2:$A$200,$A53,$D$2:$D$200,"*novo*",$N$2:$N$200,"C4"))=0,INDEX(posicao_contratual!$Y$2:$Y$200,MATCH($A53,posicao_contratual!$A$2:$A$200,0))=0),0,"")),"")</f>
        <v/>
      </c>
    </row>
    <row r="54" spans="1:15" ht="45" customHeight="1" x14ac:dyDescent="0.35">
      <c r="A54" s="105"/>
      <c r="B54" s="189"/>
      <c r="C54" s="99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05"/>
      <c r="E54" s="106"/>
      <c r="F54" s="107" t="str">
        <f>IF(A54="","",IFERROR(VLOOKUP(A54,itens_Remanesc!$A:$C,3,0),""))</f>
        <v/>
      </c>
      <c r="G54" s="107" t="str">
        <f t="shared" si="3"/>
        <v/>
      </c>
      <c r="H54" s="105"/>
      <c r="I54" s="64" t="str">
        <f>IFERROR(IF(OR($A54="",$C54=""),"",IF(OR(($O54)="",($O54)&gt;(MIN(MATCH($C54,{"C0","C1","C2","C3","C4"},0)-1,COUNT(parametros!$F$2:$F$6)-1)),NOT(ISNUMBER(INDEX(parametros!$F$2:$F$6,(MIN(MATCH($C54,{"C0","C1","C2","C3","C4"},0)-1,COUNT(parametros!$F$2:$F$6)-1))+1))),NOT(ISNUMBER(INDEX(parametros!$F$2:$F$6,($O54)+1)))),"",INDEX(parametros!$F$2:$F$6,(MIN(MATCH($C54,{"C0","C1","C2","C3","C4"},0)-1,COUNT(parametros!$F$2:$F$6)-1))+1)/INDEX(parametros!$F$2:$F$6,($O54)+1))),"")</f>
        <v/>
      </c>
      <c r="J54" s="107" t="str">
        <f t="shared" si="4"/>
        <v/>
      </c>
      <c r="K54" s="105"/>
      <c r="L54" s="85" t="str">
        <f t="shared" si="5"/>
        <v/>
      </c>
      <c r="M54" s="483" t="str">
        <f>IF(A54="","",IF(COUNTIF(itens_Remanesc!$A$2:$A$200,A54)=0,"NOVO ITEM NAO CADASTRADO - CADASTRAR EM itens_Remanesc: ITEM + VU_ORIGINAL (QTD_BASE_ORIGINAL sera 0 automaticamente); depois a data e a quantidade aqui.",IF(COUNTIF(itens_Remanesc!$A$2:$A$200,A54)&gt;1,"ALERTA: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TIPO_INVALIDO",IF(AND(ISNUMBER(SEARCH("NOVO",D54)),OR(INDEX(posicao_contratual!$C$2:$C$200,MATCH(A54,posicao_contratual!$A$2:$A$200,0))&lt;&gt;0,F54="",COUNTIFS($A$2:$A$200,A54,$B$2:$B$200,"&lt;"&amp;B54,$L$2:$L$200,"&gt;0")&gt;0)),"ALERTA: NOVO ITEM INVALIDO - use Acrescimo se o item ja existia; novo item exige QTD_BASE_ORIGINAL 0, VU_ORIGINAL e ser o 1o acrescimo do item.",IF(AND(ISNUMBER(SEARCH("NOVO",D54)),OR(N54="",ISERROR(MATCH(N54,{"C0","C1","C2","C3","C4"},0)))),"ALERTA: BASE_VU_OBRIGATORIA",IF(AND(NOT(ISNUMBER(SEARCH("NOVO",D54))),N54&lt;&gt;""),"ALERTA: BASE_VU_NAO_APLICAVEL",IF(AND(UPPER(H54)="SIM",NOT(ISNUMBER(I54))),"ALERTA: BASE_VU_INVALIDA_OU_POSTERIOR_AO_FATOR_ALVO","OK"))))))))))</f>
        <v/>
      </c>
      <c r="N54" s="485"/>
      <c r="O54" s="487" t="str">
        <f>IFERROR(IF((COUNTIFS($A$2:$A$200,$A54,$D$2:$D$200,"*novo*",$N$2:$N$200,"C0")+COUNTIFS($A$2:$A$200,$A54,$D$2:$D$200,"*novo*",$N$2:$N$200,"C1")+COUNTIFS($A$2:$A$200,$A54,$D$2:$D$200,"*novo*",$N$2:$N$200,"C2")+COUNTIFS($A$2:$A$200,$A54,$D$2:$D$200,"*novo*",$N$2:$N$200,"C3")+COUNTIFS($A$2:$A$200,$A54,$D$2:$D$200,"*novo*",$N$2:$N$200,"C4"))=1,IF(COUNTIFS($A$2:$A$200,$A54,$D$2:$D$200,"*novo*",$N$2:$N$200,"C4")&gt;0,4,IF(COUNTIFS($A$2:$A$200,$A54,$D$2:$D$200,"*novo*",$N$2:$N$200,"C3")&gt;0,3,IF(COUNTIFS($A$2:$A$200,$A54,$D$2:$D$200,"*novo*",$N$2:$N$200,"C2")&gt;0,2,IF(COUNTIFS($A$2:$A$200,$A54,$D$2:$D$200,"*novo*",$N$2:$N$200,"C1")&gt;0,1,IF(COUNTIFS($A$2:$A$200,$A54,$D$2:$D$200,"*novo*",$N$2:$N$200,"C0")&gt;0,0,""))))),IF(AND((COUNTIFS($A$2:$A$200,$A54,$D$2:$D$200,"*novo*",$N$2:$N$200,"C0")+COUNTIFS($A$2:$A$200,$A54,$D$2:$D$200,"*novo*",$N$2:$N$200,"C1")+COUNTIFS($A$2:$A$200,$A54,$D$2:$D$200,"*novo*",$N$2:$N$200,"C2")+COUNTIFS($A$2:$A$200,$A54,$D$2:$D$200,"*novo*",$N$2:$N$200,"C3")+COUNTIFS($A$2:$A$200,$A54,$D$2:$D$200,"*novo*",$N$2:$N$200,"C4"))=0,INDEX(posicao_contratual!$Y$2:$Y$200,MATCH($A54,posicao_contratual!$A$2:$A$200,0))=0),0,"")),"")</f>
        <v/>
      </c>
    </row>
    <row r="55" spans="1:15" ht="45" customHeight="1" x14ac:dyDescent="0.35">
      <c r="A55" s="105"/>
      <c r="B55" s="189"/>
      <c r="C55" s="99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05"/>
      <c r="E55" s="106"/>
      <c r="F55" s="107" t="str">
        <f>IF(A55="","",IFERROR(VLOOKUP(A55,itens_Remanesc!$A:$C,3,0),""))</f>
        <v/>
      </c>
      <c r="G55" s="107" t="str">
        <f t="shared" si="3"/>
        <v/>
      </c>
      <c r="H55" s="105"/>
      <c r="I55" s="64" t="str">
        <f>IFERROR(IF(OR($A55="",$C55=""),"",IF(OR(($O55)="",($O55)&gt;(MIN(MATCH($C55,{"C0","C1","C2","C3","C4"},0)-1,COUNT(parametros!$F$2:$F$6)-1)),NOT(ISNUMBER(INDEX(parametros!$F$2:$F$6,(MIN(MATCH($C55,{"C0","C1","C2","C3","C4"},0)-1,COUNT(parametros!$F$2:$F$6)-1))+1))),NOT(ISNUMBER(INDEX(parametros!$F$2:$F$6,($O55)+1)))),"",INDEX(parametros!$F$2:$F$6,(MIN(MATCH($C55,{"C0","C1","C2","C3","C4"},0)-1,COUNT(parametros!$F$2:$F$6)-1))+1)/INDEX(parametros!$F$2:$F$6,($O55)+1))),"")</f>
        <v/>
      </c>
      <c r="J55" s="107" t="str">
        <f t="shared" si="4"/>
        <v/>
      </c>
      <c r="K55" s="105"/>
      <c r="L55" s="85" t="str">
        <f t="shared" si="5"/>
        <v/>
      </c>
      <c r="M55" s="483" t="str">
        <f>IF(A55="","",IF(COUNTIF(itens_Remanesc!$A$2:$A$200,A55)=0,"NOVO ITEM NAO CADASTRADO - CADASTRAR EM itens_Remanesc: ITEM + VU_ORIGINAL (QTD_BASE_ORIGINAL sera 0 automaticamente); depois a data e a quantidade aqui.",IF(COUNTIF(itens_Remanesc!$A$2:$A$200,A55)&gt;1,"ALERTA: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TIPO_INVALIDO",IF(AND(ISNUMBER(SEARCH("NOVO",D55)),OR(INDEX(posicao_contratual!$C$2:$C$200,MATCH(A55,posicao_contratual!$A$2:$A$200,0))&lt;&gt;0,F55="",COUNTIFS($A$2:$A$200,A55,$B$2:$B$200,"&lt;"&amp;B55,$L$2:$L$200,"&gt;0")&gt;0)),"ALERTA: NOVO ITEM INVALIDO - use Acrescimo se o item ja existia; novo item exige QTD_BASE_ORIGINAL 0, VU_ORIGINAL e ser o 1o acrescimo do item.",IF(AND(ISNUMBER(SEARCH("NOVO",D55)),OR(N55="",ISERROR(MATCH(N55,{"C0","C1","C2","C3","C4"},0)))),"ALERTA: BASE_VU_OBRIGATORIA",IF(AND(NOT(ISNUMBER(SEARCH("NOVO",D55))),N55&lt;&gt;""),"ALERTA: BASE_VU_NAO_APLICAVEL",IF(AND(UPPER(H55)="SIM",NOT(ISNUMBER(I55))),"ALERTA: BASE_VU_INVALIDA_OU_POSTERIOR_AO_FATOR_ALVO","OK"))))))))))</f>
        <v/>
      </c>
      <c r="N55" s="485"/>
      <c r="O55" s="487" t="str">
        <f>IFERROR(IF((COUNTIFS($A$2:$A$200,$A55,$D$2:$D$200,"*novo*",$N$2:$N$200,"C0")+COUNTIFS($A$2:$A$200,$A55,$D$2:$D$200,"*novo*",$N$2:$N$200,"C1")+COUNTIFS($A$2:$A$200,$A55,$D$2:$D$200,"*novo*",$N$2:$N$200,"C2")+COUNTIFS($A$2:$A$200,$A55,$D$2:$D$200,"*novo*",$N$2:$N$200,"C3")+COUNTIFS($A$2:$A$200,$A55,$D$2:$D$200,"*novo*",$N$2:$N$200,"C4"))=1,IF(COUNTIFS($A$2:$A$200,$A55,$D$2:$D$200,"*novo*",$N$2:$N$200,"C4")&gt;0,4,IF(COUNTIFS($A$2:$A$200,$A55,$D$2:$D$200,"*novo*",$N$2:$N$200,"C3")&gt;0,3,IF(COUNTIFS($A$2:$A$200,$A55,$D$2:$D$200,"*novo*",$N$2:$N$200,"C2")&gt;0,2,IF(COUNTIFS($A$2:$A$200,$A55,$D$2:$D$200,"*novo*",$N$2:$N$200,"C1")&gt;0,1,IF(COUNTIFS($A$2:$A$200,$A55,$D$2:$D$200,"*novo*",$N$2:$N$200,"C0")&gt;0,0,""))))),IF(AND((COUNTIFS($A$2:$A$200,$A55,$D$2:$D$200,"*novo*",$N$2:$N$200,"C0")+COUNTIFS($A$2:$A$200,$A55,$D$2:$D$200,"*novo*",$N$2:$N$200,"C1")+COUNTIFS($A$2:$A$200,$A55,$D$2:$D$200,"*novo*",$N$2:$N$200,"C2")+COUNTIFS($A$2:$A$200,$A55,$D$2:$D$200,"*novo*",$N$2:$N$200,"C3")+COUNTIFS($A$2:$A$200,$A55,$D$2:$D$200,"*novo*",$N$2:$N$200,"C4"))=0,INDEX(posicao_contratual!$Y$2:$Y$200,MATCH($A55,posicao_contratual!$A$2:$A$200,0))=0),0,"")),"")</f>
        <v/>
      </c>
    </row>
    <row r="56" spans="1:15" ht="45" customHeight="1" x14ac:dyDescent="0.35">
      <c r="A56" s="105"/>
      <c r="B56" s="189"/>
      <c r="C56" s="99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05"/>
      <c r="E56" s="106"/>
      <c r="F56" s="107" t="str">
        <f>IF(A56="","",IFERROR(VLOOKUP(A56,itens_Remanesc!$A:$C,3,0),""))</f>
        <v/>
      </c>
      <c r="G56" s="107" t="str">
        <f t="shared" si="3"/>
        <v/>
      </c>
      <c r="H56" s="105"/>
      <c r="I56" s="64" t="str">
        <f>IFERROR(IF(OR($A56="",$C56=""),"",IF(OR(($O56)="",($O56)&gt;(MIN(MATCH($C56,{"C0","C1","C2","C3","C4"},0)-1,COUNT(parametros!$F$2:$F$6)-1)),NOT(ISNUMBER(INDEX(parametros!$F$2:$F$6,(MIN(MATCH($C56,{"C0","C1","C2","C3","C4"},0)-1,COUNT(parametros!$F$2:$F$6)-1))+1))),NOT(ISNUMBER(INDEX(parametros!$F$2:$F$6,($O56)+1)))),"",INDEX(parametros!$F$2:$F$6,(MIN(MATCH($C56,{"C0","C1","C2","C3","C4"},0)-1,COUNT(parametros!$F$2:$F$6)-1))+1)/INDEX(parametros!$F$2:$F$6,($O56)+1))),"")</f>
        <v/>
      </c>
      <c r="J56" s="107" t="str">
        <f t="shared" si="4"/>
        <v/>
      </c>
      <c r="K56" s="105"/>
      <c r="L56" s="85" t="str">
        <f t="shared" si="5"/>
        <v/>
      </c>
      <c r="M56" s="483" t="str">
        <f>IF(A56="","",IF(COUNTIF(itens_Remanesc!$A$2:$A$200,A56)=0,"NOVO ITEM NAO CADASTRADO - CADASTRAR EM itens_Remanesc: ITEM + VU_ORIGINAL (QTD_BASE_ORIGINAL sera 0 automaticamente); depois a data e a quantidade aqui.",IF(COUNTIF(itens_Remanesc!$A$2:$A$200,A56)&gt;1,"ALERTA: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TIPO_INVALIDO",IF(AND(ISNUMBER(SEARCH("NOVO",D56)),OR(INDEX(posicao_contratual!$C$2:$C$200,MATCH(A56,posicao_contratual!$A$2:$A$200,0))&lt;&gt;0,F56="",COUNTIFS($A$2:$A$200,A56,$B$2:$B$200,"&lt;"&amp;B56,$L$2:$L$200,"&gt;0")&gt;0)),"ALERTA: NOVO ITEM INVALIDO - use Acrescimo se o item ja existia; novo item exige QTD_BASE_ORIGINAL 0, VU_ORIGINAL e ser o 1o acrescimo do item.",IF(AND(ISNUMBER(SEARCH("NOVO",D56)),OR(N56="",ISERROR(MATCH(N56,{"C0","C1","C2","C3","C4"},0)))),"ALERTA: BASE_VU_OBRIGATORIA",IF(AND(NOT(ISNUMBER(SEARCH("NOVO",D56))),N56&lt;&gt;""),"ALERTA: BASE_VU_NAO_APLICAVEL",IF(AND(UPPER(H56)="SIM",NOT(ISNUMBER(I56))),"ALERTA: BASE_VU_INVALIDA_OU_POSTERIOR_AO_FATOR_ALVO","OK"))))))))))</f>
        <v/>
      </c>
      <c r="N56" s="485"/>
      <c r="O56" s="487" t="str">
        <f>IFERROR(IF((COUNTIFS($A$2:$A$200,$A56,$D$2:$D$200,"*novo*",$N$2:$N$200,"C0")+COUNTIFS($A$2:$A$200,$A56,$D$2:$D$200,"*novo*",$N$2:$N$200,"C1")+COUNTIFS($A$2:$A$200,$A56,$D$2:$D$200,"*novo*",$N$2:$N$200,"C2")+COUNTIFS($A$2:$A$200,$A56,$D$2:$D$200,"*novo*",$N$2:$N$200,"C3")+COUNTIFS($A$2:$A$200,$A56,$D$2:$D$200,"*novo*",$N$2:$N$200,"C4"))=1,IF(COUNTIFS($A$2:$A$200,$A56,$D$2:$D$200,"*novo*",$N$2:$N$200,"C4")&gt;0,4,IF(COUNTIFS($A$2:$A$200,$A56,$D$2:$D$200,"*novo*",$N$2:$N$200,"C3")&gt;0,3,IF(COUNTIFS($A$2:$A$200,$A56,$D$2:$D$200,"*novo*",$N$2:$N$200,"C2")&gt;0,2,IF(COUNTIFS($A$2:$A$200,$A56,$D$2:$D$200,"*novo*",$N$2:$N$200,"C1")&gt;0,1,IF(COUNTIFS($A$2:$A$200,$A56,$D$2:$D$200,"*novo*",$N$2:$N$200,"C0")&gt;0,0,""))))),IF(AND((COUNTIFS($A$2:$A$200,$A56,$D$2:$D$200,"*novo*",$N$2:$N$200,"C0")+COUNTIFS($A$2:$A$200,$A56,$D$2:$D$200,"*novo*",$N$2:$N$200,"C1")+COUNTIFS($A$2:$A$200,$A56,$D$2:$D$200,"*novo*",$N$2:$N$200,"C2")+COUNTIFS($A$2:$A$200,$A56,$D$2:$D$200,"*novo*",$N$2:$N$200,"C3")+COUNTIFS($A$2:$A$200,$A56,$D$2:$D$200,"*novo*",$N$2:$N$200,"C4"))=0,INDEX(posicao_contratual!$Y$2:$Y$200,MATCH($A56,posicao_contratual!$A$2:$A$200,0))=0),0,"")),"")</f>
        <v/>
      </c>
    </row>
    <row r="57" spans="1:15" ht="45" customHeight="1" x14ac:dyDescent="0.35">
      <c r="A57" s="105"/>
      <c r="B57" s="189"/>
      <c r="C57" s="99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05"/>
      <c r="E57" s="106"/>
      <c r="F57" s="107" t="str">
        <f>IF(A57="","",IFERROR(VLOOKUP(A57,itens_Remanesc!$A:$C,3,0),""))</f>
        <v/>
      </c>
      <c r="G57" s="107" t="str">
        <f t="shared" si="3"/>
        <v/>
      </c>
      <c r="H57" s="105"/>
      <c r="I57" s="64" t="str">
        <f>IFERROR(IF(OR($A57="",$C57=""),"",IF(OR(($O57)="",($O57)&gt;(MIN(MATCH($C57,{"C0","C1","C2","C3","C4"},0)-1,COUNT(parametros!$F$2:$F$6)-1)),NOT(ISNUMBER(INDEX(parametros!$F$2:$F$6,(MIN(MATCH($C57,{"C0","C1","C2","C3","C4"},0)-1,COUNT(parametros!$F$2:$F$6)-1))+1))),NOT(ISNUMBER(INDEX(parametros!$F$2:$F$6,($O57)+1)))),"",INDEX(parametros!$F$2:$F$6,(MIN(MATCH($C57,{"C0","C1","C2","C3","C4"},0)-1,COUNT(parametros!$F$2:$F$6)-1))+1)/INDEX(parametros!$F$2:$F$6,($O57)+1))),"")</f>
        <v/>
      </c>
      <c r="J57" s="107" t="str">
        <f t="shared" si="4"/>
        <v/>
      </c>
      <c r="K57" s="105"/>
      <c r="L57" s="85" t="str">
        <f t="shared" si="5"/>
        <v/>
      </c>
      <c r="M57" s="483" t="str">
        <f>IF(A57="","",IF(COUNTIF(itens_Remanesc!$A$2:$A$200,A57)=0,"NOVO ITEM NAO CADASTRADO - CADASTRAR EM itens_Remanesc: ITEM + VU_ORIGINAL (QTD_BASE_ORIGINAL sera 0 automaticamente); depois a data e a quantidade aqui.",IF(COUNTIF(itens_Remanesc!$A$2:$A$200,A57)&gt;1,"ALERTA: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TIPO_INVALIDO",IF(AND(ISNUMBER(SEARCH("NOVO",D57)),OR(INDEX(posicao_contratual!$C$2:$C$200,MATCH(A57,posicao_contratual!$A$2:$A$200,0))&lt;&gt;0,F57="",COUNTIFS($A$2:$A$200,A57,$B$2:$B$200,"&lt;"&amp;B57,$L$2:$L$200,"&gt;0")&gt;0)),"ALERTA: NOVO ITEM INVALIDO - use Acrescimo se o item ja existia; novo item exige QTD_BASE_ORIGINAL 0, VU_ORIGINAL e ser o 1o acrescimo do item.",IF(AND(ISNUMBER(SEARCH("NOVO",D57)),OR(N57="",ISERROR(MATCH(N57,{"C0","C1","C2","C3","C4"},0)))),"ALERTA: BASE_VU_OBRIGATORIA",IF(AND(NOT(ISNUMBER(SEARCH("NOVO",D57))),N57&lt;&gt;""),"ALERTA: BASE_VU_NAO_APLICAVEL",IF(AND(UPPER(H57)="SIM",NOT(ISNUMBER(I57))),"ALERTA: BASE_VU_INVALIDA_OU_POSTERIOR_AO_FATOR_ALVO","OK"))))))))))</f>
        <v/>
      </c>
      <c r="N57" s="485"/>
      <c r="O57" s="487" t="str">
        <f>IFERROR(IF((COUNTIFS($A$2:$A$200,$A57,$D$2:$D$200,"*novo*",$N$2:$N$200,"C0")+COUNTIFS($A$2:$A$200,$A57,$D$2:$D$200,"*novo*",$N$2:$N$200,"C1")+COUNTIFS($A$2:$A$200,$A57,$D$2:$D$200,"*novo*",$N$2:$N$200,"C2")+COUNTIFS($A$2:$A$200,$A57,$D$2:$D$200,"*novo*",$N$2:$N$200,"C3")+COUNTIFS($A$2:$A$200,$A57,$D$2:$D$200,"*novo*",$N$2:$N$200,"C4"))=1,IF(COUNTIFS($A$2:$A$200,$A57,$D$2:$D$200,"*novo*",$N$2:$N$200,"C4")&gt;0,4,IF(COUNTIFS($A$2:$A$200,$A57,$D$2:$D$200,"*novo*",$N$2:$N$200,"C3")&gt;0,3,IF(COUNTIFS($A$2:$A$200,$A57,$D$2:$D$200,"*novo*",$N$2:$N$200,"C2")&gt;0,2,IF(COUNTIFS($A$2:$A$200,$A57,$D$2:$D$200,"*novo*",$N$2:$N$200,"C1")&gt;0,1,IF(COUNTIFS($A$2:$A$200,$A57,$D$2:$D$200,"*novo*",$N$2:$N$200,"C0")&gt;0,0,""))))),IF(AND((COUNTIFS($A$2:$A$200,$A57,$D$2:$D$200,"*novo*",$N$2:$N$200,"C0")+COUNTIFS($A$2:$A$200,$A57,$D$2:$D$200,"*novo*",$N$2:$N$200,"C1")+COUNTIFS($A$2:$A$200,$A57,$D$2:$D$200,"*novo*",$N$2:$N$200,"C2")+COUNTIFS($A$2:$A$200,$A57,$D$2:$D$200,"*novo*",$N$2:$N$200,"C3")+COUNTIFS($A$2:$A$200,$A57,$D$2:$D$200,"*novo*",$N$2:$N$200,"C4"))=0,INDEX(posicao_contratual!$Y$2:$Y$200,MATCH($A57,posicao_contratual!$A$2:$A$200,0))=0),0,"")),"")</f>
        <v/>
      </c>
    </row>
    <row r="58" spans="1:15" ht="45" customHeight="1" x14ac:dyDescent="0.35">
      <c r="A58" s="105"/>
      <c r="B58" s="189"/>
      <c r="C58" s="99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05"/>
      <c r="E58" s="106"/>
      <c r="F58" s="107" t="str">
        <f>IF(A58="","",IFERROR(VLOOKUP(A58,itens_Remanesc!$A:$C,3,0),""))</f>
        <v/>
      </c>
      <c r="G58" s="107" t="str">
        <f t="shared" si="3"/>
        <v/>
      </c>
      <c r="H58" s="105"/>
      <c r="I58" s="64" t="str">
        <f>IFERROR(IF(OR($A58="",$C58=""),"",IF(OR(($O58)="",($O58)&gt;(MIN(MATCH($C58,{"C0","C1","C2","C3","C4"},0)-1,COUNT(parametros!$F$2:$F$6)-1)),NOT(ISNUMBER(INDEX(parametros!$F$2:$F$6,(MIN(MATCH($C58,{"C0","C1","C2","C3","C4"},0)-1,COUNT(parametros!$F$2:$F$6)-1))+1))),NOT(ISNUMBER(INDEX(parametros!$F$2:$F$6,($O58)+1)))),"",INDEX(parametros!$F$2:$F$6,(MIN(MATCH($C58,{"C0","C1","C2","C3","C4"},0)-1,COUNT(parametros!$F$2:$F$6)-1))+1)/INDEX(parametros!$F$2:$F$6,($O58)+1))),"")</f>
        <v/>
      </c>
      <c r="J58" s="107" t="str">
        <f t="shared" si="4"/>
        <v/>
      </c>
      <c r="K58" s="105"/>
      <c r="L58" s="85" t="str">
        <f t="shared" si="5"/>
        <v/>
      </c>
      <c r="M58" s="483" t="str">
        <f>IF(A58="","",IF(COUNTIF(itens_Remanesc!$A$2:$A$200,A58)=0,"NOVO ITEM NAO CADASTRADO - CADASTRAR EM itens_Remanesc: ITEM + VU_ORIGINAL (QTD_BASE_ORIGINAL sera 0 automaticamente); depois a data e a quantidade aqui.",IF(COUNTIF(itens_Remanesc!$A$2:$A$200,A58)&gt;1,"ALERTA: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TIPO_INVALIDO",IF(AND(ISNUMBER(SEARCH("NOVO",D58)),OR(INDEX(posicao_contratual!$C$2:$C$200,MATCH(A58,posicao_contratual!$A$2:$A$200,0))&lt;&gt;0,F58="",COUNTIFS($A$2:$A$200,A58,$B$2:$B$200,"&lt;"&amp;B58,$L$2:$L$200,"&gt;0")&gt;0)),"ALERTA: NOVO ITEM INVALIDO - use Acrescimo se o item ja existia; novo item exige QTD_BASE_ORIGINAL 0, VU_ORIGINAL e ser o 1o acrescimo do item.",IF(AND(ISNUMBER(SEARCH("NOVO",D58)),OR(N58="",ISERROR(MATCH(N58,{"C0","C1","C2","C3","C4"},0)))),"ALERTA: BASE_VU_OBRIGATORIA",IF(AND(NOT(ISNUMBER(SEARCH("NOVO",D58))),N58&lt;&gt;""),"ALERTA: BASE_VU_NAO_APLICAVEL",IF(AND(UPPER(H58)="SIM",NOT(ISNUMBER(I58))),"ALERTA: BASE_VU_INVALIDA_OU_POSTERIOR_AO_FATOR_ALVO","OK"))))))))))</f>
        <v/>
      </c>
      <c r="N58" s="485"/>
      <c r="O58" s="487" t="str">
        <f>IFERROR(IF((COUNTIFS($A$2:$A$200,$A58,$D$2:$D$200,"*novo*",$N$2:$N$200,"C0")+COUNTIFS($A$2:$A$200,$A58,$D$2:$D$200,"*novo*",$N$2:$N$200,"C1")+COUNTIFS($A$2:$A$200,$A58,$D$2:$D$200,"*novo*",$N$2:$N$200,"C2")+COUNTIFS($A$2:$A$200,$A58,$D$2:$D$200,"*novo*",$N$2:$N$200,"C3")+COUNTIFS($A$2:$A$200,$A58,$D$2:$D$200,"*novo*",$N$2:$N$200,"C4"))=1,IF(COUNTIFS($A$2:$A$200,$A58,$D$2:$D$200,"*novo*",$N$2:$N$200,"C4")&gt;0,4,IF(COUNTIFS($A$2:$A$200,$A58,$D$2:$D$200,"*novo*",$N$2:$N$200,"C3")&gt;0,3,IF(COUNTIFS($A$2:$A$200,$A58,$D$2:$D$200,"*novo*",$N$2:$N$200,"C2")&gt;0,2,IF(COUNTIFS($A$2:$A$200,$A58,$D$2:$D$200,"*novo*",$N$2:$N$200,"C1")&gt;0,1,IF(COUNTIFS($A$2:$A$200,$A58,$D$2:$D$200,"*novo*",$N$2:$N$200,"C0")&gt;0,0,""))))),IF(AND((COUNTIFS($A$2:$A$200,$A58,$D$2:$D$200,"*novo*",$N$2:$N$200,"C0")+COUNTIFS($A$2:$A$200,$A58,$D$2:$D$200,"*novo*",$N$2:$N$200,"C1")+COUNTIFS($A$2:$A$200,$A58,$D$2:$D$200,"*novo*",$N$2:$N$200,"C2")+COUNTIFS($A$2:$A$200,$A58,$D$2:$D$200,"*novo*",$N$2:$N$200,"C3")+COUNTIFS($A$2:$A$200,$A58,$D$2:$D$200,"*novo*",$N$2:$N$200,"C4"))=0,INDEX(posicao_contratual!$Y$2:$Y$200,MATCH($A58,posicao_contratual!$A$2:$A$200,0))=0),0,"")),"")</f>
        <v/>
      </c>
    </row>
    <row r="59" spans="1:15" ht="45" customHeight="1" x14ac:dyDescent="0.35">
      <c r="A59" s="105"/>
      <c r="B59" s="189"/>
      <c r="C59" s="99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05"/>
      <c r="E59" s="106"/>
      <c r="F59" s="107" t="str">
        <f>IF(A59="","",IFERROR(VLOOKUP(A59,itens_Remanesc!$A:$C,3,0),""))</f>
        <v/>
      </c>
      <c r="G59" s="107" t="str">
        <f t="shared" si="3"/>
        <v/>
      </c>
      <c r="H59" s="105"/>
      <c r="I59" s="64" t="str">
        <f>IFERROR(IF(OR($A59="",$C59=""),"",IF(OR(($O59)="",($O59)&gt;(MIN(MATCH($C59,{"C0","C1","C2","C3","C4"},0)-1,COUNT(parametros!$F$2:$F$6)-1)),NOT(ISNUMBER(INDEX(parametros!$F$2:$F$6,(MIN(MATCH($C59,{"C0","C1","C2","C3","C4"},0)-1,COUNT(parametros!$F$2:$F$6)-1))+1))),NOT(ISNUMBER(INDEX(parametros!$F$2:$F$6,($O59)+1)))),"",INDEX(parametros!$F$2:$F$6,(MIN(MATCH($C59,{"C0","C1","C2","C3","C4"},0)-1,COUNT(parametros!$F$2:$F$6)-1))+1)/INDEX(parametros!$F$2:$F$6,($O59)+1))),"")</f>
        <v/>
      </c>
      <c r="J59" s="107" t="str">
        <f t="shared" si="4"/>
        <v/>
      </c>
      <c r="K59" s="105"/>
      <c r="L59" s="85" t="str">
        <f t="shared" si="5"/>
        <v/>
      </c>
      <c r="M59" s="483" t="str">
        <f>IF(A59="","",IF(COUNTIF(itens_Remanesc!$A$2:$A$200,A59)=0,"NOVO ITEM NAO CADASTRADO - CADASTRAR EM itens_Remanesc: ITEM + VU_ORIGINAL (QTD_BASE_ORIGINAL sera 0 automaticamente); depois a data e a quantidade aqui.",IF(COUNTIF(itens_Remanesc!$A$2:$A$200,A59)&gt;1,"ALERTA: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TIPO_INVALIDO",IF(AND(ISNUMBER(SEARCH("NOVO",D59)),OR(INDEX(posicao_contratual!$C$2:$C$200,MATCH(A59,posicao_contratual!$A$2:$A$200,0))&lt;&gt;0,F59="",COUNTIFS($A$2:$A$200,A59,$B$2:$B$200,"&lt;"&amp;B59,$L$2:$L$200,"&gt;0")&gt;0)),"ALERTA: NOVO ITEM INVALIDO - use Acrescimo se o item ja existia; novo item exige QTD_BASE_ORIGINAL 0, VU_ORIGINAL e ser o 1o acrescimo do item.",IF(AND(ISNUMBER(SEARCH("NOVO",D59)),OR(N59="",ISERROR(MATCH(N59,{"C0","C1","C2","C3","C4"},0)))),"ALERTA: BASE_VU_OBRIGATORIA",IF(AND(NOT(ISNUMBER(SEARCH("NOVO",D59))),N59&lt;&gt;""),"ALERTA: BASE_VU_NAO_APLICAVEL",IF(AND(UPPER(H59)="SIM",NOT(ISNUMBER(I59))),"ALERTA: BASE_VU_INVALIDA_OU_POSTERIOR_AO_FATOR_ALVO","OK"))))))))))</f>
        <v/>
      </c>
      <c r="N59" s="485"/>
      <c r="O59" s="487" t="str">
        <f>IFERROR(IF((COUNTIFS($A$2:$A$200,$A59,$D$2:$D$200,"*novo*",$N$2:$N$200,"C0")+COUNTIFS($A$2:$A$200,$A59,$D$2:$D$200,"*novo*",$N$2:$N$200,"C1")+COUNTIFS($A$2:$A$200,$A59,$D$2:$D$200,"*novo*",$N$2:$N$200,"C2")+COUNTIFS($A$2:$A$200,$A59,$D$2:$D$200,"*novo*",$N$2:$N$200,"C3")+COUNTIFS($A$2:$A$200,$A59,$D$2:$D$200,"*novo*",$N$2:$N$200,"C4"))=1,IF(COUNTIFS($A$2:$A$200,$A59,$D$2:$D$200,"*novo*",$N$2:$N$200,"C4")&gt;0,4,IF(COUNTIFS($A$2:$A$200,$A59,$D$2:$D$200,"*novo*",$N$2:$N$200,"C3")&gt;0,3,IF(COUNTIFS($A$2:$A$200,$A59,$D$2:$D$200,"*novo*",$N$2:$N$200,"C2")&gt;0,2,IF(COUNTIFS($A$2:$A$200,$A59,$D$2:$D$200,"*novo*",$N$2:$N$200,"C1")&gt;0,1,IF(COUNTIFS($A$2:$A$200,$A59,$D$2:$D$200,"*novo*",$N$2:$N$200,"C0")&gt;0,0,""))))),IF(AND((COUNTIFS($A$2:$A$200,$A59,$D$2:$D$200,"*novo*",$N$2:$N$200,"C0")+COUNTIFS($A$2:$A$200,$A59,$D$2:$D$200,"*novo*",$N$2:$N$200,"C1")+COUNTIFS($A$2:$A$200,$A59,$D$2:$D$200,"*novo*",$N$2:$N$200,"C2")+COUNTIFS($A$2:$A$200,$A59,$D$2:$D$200,"*novo*",$N$2:$N$200,"C3")+COUNTIFS($A$2:$A$200,$A59,$D$2:$D$200,"*novo*",$N$2:$N$200,"C4"))=0,INDEX(posicao_contratual!$Y$2:$Y$200,MATCH($A59,posicao_contratual!$A$2:$A$200,0))=0),0,"")),"")</f>
        <v/>
      </c>
    </row>
    <row r="60" spans="1:15" ht="45" customHeight="1" x14ac:dyDescent="0.35">
      <c r="A60" s="105"/>
      <c r="B60" s="189"/>
      <c r="C60" s="99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05"/>
      <c r="E60" s="106"/>
      <c r="F60" s="107" t="str">
        <f>IF(A60="","",IFERROR(VLOOKUP(A60,itens_Remanesc!$A:$C,3,0),""))</f>
        <v/>
      </c>
      <c r="G60" s="107" t="str">
        <f t="shared" si="3"/>
        <v/>
      </c>
      <c r="H60" s="105"/>
      <c r="I60" s="64" t="str">
        <f>IFERROR(IF(OR($A60="",$C60=""),"",IF(OR(($O60)="",($O60)&gt;(MIN(MATCH($C60,{"C0","C1","C2","C3","C4"},0)-1,COUNT(parametros!$F$2:$F$6)-1)),NOT(ISNUMBER(INDEX(parametros!$F$2:$F$6,(MIN(MATCH($C60,{"C0","C1","C2","C3","C4"},0)-1,COUNT(parametros!$F$2:$F$6)-1))+1))),NOT(ISNUMBER(INDEX(parametros!$F$2:$F$6,($O60)+1)))),"",INDEX(parametros!$F$2:$F$6,(MIN(MATCH($C60,{"C0","C1","C2","C3","C4"},0)-1,COUNT(parametros!$F$2:$F$6)-1))+1)/INDEX(parametros!$F$2:$F$6,($O60)+1))),"")</f>
        <v/>
      </c>
      <c r="J60" s="107" t="str">
        <f t="shared" si="4"/>
        <v/>
      </c>
      <c r="K60" s="105"/>
      <c r="L60" s="85" t="str">
        <f t="shared" si="5"/>
        <v/>
      </c>
      <c r="M60" s="483" t="str">
        <f>IF(A60="","",IF(COUNTIF(itens_Remanesc!$A$2:$A$200,A60)=0,"NOVO ITEM NAO CADASTRADO - CADASTRAR EM itens_Remanesc: ITEM + VU_ORIGINAL (QTD_BASE_ORIGINAL sera 0 automaticamente); depois a data e a quantidade aqui.",IF(COUNTIF(itens_Remanesc!$A$2:$A$200,A60)&gt;1,"ALERTA: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TIPO_INVALIDO",IF(AND(ISNUMBER(SEARCH("NOVO",D60)),OR(INDEX(posicao_contratual!$C$2:$C$200,MATCH(A60,posicao_contratual!$A$2:$A$200,0))&lt;&gt;0,F60="",COUNTIFS($A$2:$A$200,A60,$B$2:$B$200,"&lt;"&amp;B60,$L$2:$L$200,"&gt;0")&gt;0)),"ALERTA: NOVO ITEM INVALIDO - use Acrescimo se o item ja existia; novo item exige QTD_BASE_ORIGINAL 0, VU_ORIGINAL e ser o 1o acrescimo do item.",IF(AND(ISNUMBER(SEARCH("NOVO",D60)),OR(N60="",ISERROR(MATCH(N60,{"C0","C1","C2","C3","C4"},0)))),"ALERTA: BASE_VU_OBRIGATORIA",IF(AND(NOT(ISNUMBER(SEARCH("NOVO",D60))),N60&lt;&gt;""),"ALERTA: BASE_VU_NAO_APLICAVEL",IF(AND(UPPER(H60)="SIM",NOT(ISNUMBER(I60))),"ALERTA: BASE_VU_INVALIDA_OU_POSTERIOR_AO_FATOR_ALVO","OK"))))))))))</f>
        <v/>
      </c>
      <c r="N60" s="485"/>
      <c r="O60" s="487" t="str">
        <f>IFERROR(IF((COUNTIFS($A$2:$A$200,$A60,$D$2:$D$200,"*novo*",$N$2:$N$200,"C0")+COUNTIFS($A$2:$A$200,$A60,$D$2:$D$200,"*novo*",$N$2:$N$200,"C1")+COUNTIFS($A$2:$A$200,$A60,$D$2:$D$200,"*novo*",$N$2:$N$200,"C2")+COUNTIFS($A$2:$A$200,$A60,$D$2:$D$200,"*novo*",$N$2:$N$200,"C3")+COUNTIFS($A$2:$A$200,$A60,$D$2:$D$200,"*novo*",$N$2:$N$200,"C4"))=1,IF(COUNTIFS($A$2:$A$200,$A60,$D$2:$D$200,"*novo*",$N$2:$N$200,"C4")&gt;0,4,IF(COUNTIFS($A$2:$A$200,$A60,$D$2:$D$200,"*novo*",$N$2:$N$200,"C3")&gt;0,3,IF(COUNTIFS($A$2:$A$200,$A60,$D$2:$D$200,"*novo*",$N$2:$N$200,"C2")&gt;0,2,IF(COUNTIFS($A$2:$A$200,$A60,$D$2:$D$200,"*novo*",$N$2:$N$200,"C1")&gt;0,1,IF(COUNTIFS($A$2:$A$200,$A60,$D$2:$D$200,"*novo*",$N$2:$N$200,"C0")&gt;0,0,""))))),IF(AND((COUNTIFS($A$2:$A$200,$A60,$D$2:$D$200,"*novo*",$N$2:$N$200,"C0")+COUNTIFS($A$2:$A$200,$A60,$D$2:$D$200,"*novo*",$N$2:$N$200,"C1")+COUNTIFS($A$2:$A$200,$A60,$D$2:$D$200,"*novo*",$N$2:$N$200,"C2")+COUNTIFS($A$2:$A$200,$A60,$D$2:$D$200,"*novo*",$N$2:$N$200,"C3")+COUNTIFS($A$2:$A$200,$A60,$D$2:$D$200,"*novo*",$N$2:$N$200,"C4"))=0,INDEX(posicao_contratual!$Y$2:$Y$200,MATCH($A60,posicao_contratual!$A$2:$A$200,0))=0),0,"")),"")</f>
        <v/>
      </c>
    </row>
    <row r="61" spans="1:15" ht="45" customHeight="1" x14ac:dyDescent="0.35">
      <c r="A61" s="105"/>
      <c r="B61" s="189"/>
      <c r="C61" s="99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05"/>
      <c r="E61" s="106"/>
      <c r="F61" s="107" t="str">
        <f>IF(A61="","",IFERROR(VLOOKUP(A61,itens_Remanesc!$A:$C,3,0),""))</f>
        <v/>
      </c>
      <c r="G61" s="107" t="str">
        <f t="shared" si="3"/>
        <v/>
      </c>
      <c r="H61" s="105"/>
      <c r="I61" s="64" t="str">
        <f>IFERROR(IF(OR($A61="",$C61=""),"",IF(OR(($O61)="",($O61)&gt;(MIN(MATCH($C61,{"C0","C1","C2","C3","C4"},0)-1,COUNT(parametros!$F$2:$F$6)-1)),NOT(ISNUMBER(INDEX(parametros!$F$2:$F$6,(MIN(MATCH($C61,{"C0","C1","C2","C3","C4"},0)-1,COUNT(parametros!$F$2:$F$6)-1))+1))),NOT(ISNUMBER(INDEX(parametros!$F$2:$F$6,($O61)+1)))),"",INDEX(parametros!$F$2:$F$6,(MIN(MATCH($C61,{"C0","C1","C2","C3","C4"},0)-1,COUNT(parametros!$F$2:$F$6)-1))+1)/INDEX(parametros!$F$2:$F$6,($O61)+1))),"")</f>
        <v/>
      </c>
      <c r="J61" s="107" t="str">
        <f t="shared" si="4"/>
        <v/>
      </c>
      <c r="K61" s="105"/>
      <c r="L61" s="85" t="str">
        <f t="shared" si="5"/>
        <v/>
      </c>
      <c r="M61" s="483" t="str">
        <f>IF(A61="","",IF(COUNTIF(itens_Remanesc!$A$2:$A$200,A61)=0,"NOVO ITEM NAO CADASTRADO - CADASTRAR EM itens_Remanesc: ITEM + VU_ORIGINAL (QTD_BASE_ORIGINAL sera 0 automaticamente); depois a data e a quantidade aqui.",IF(COUNTIF(itens_Remanesc!$A$2:$A$200,A61)&gt;1,"ALERTA: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TIPO_INVALIDO",IF(AND(ISNUMBER(SEARCH("NOVO",D61)),OR(INDEX(posicao_contratual!$C$2:$C$200,MATCH(A61,posicao_contratual!$A$2:$A$200,0))&lt;&gt;0,F61="",COUNTIFS($A$2:$A$200,A61,$B$2:$B$200,"&lt;"&amp;B61,$L$2:$L$200,"&gt;0")&gt;0)),"ALERTA: NOVO ITEM INVALIDO - use Acrescimo se o item ja existia; novo item exige QTD_BASE_ORIGINAL 0, VU_ORIGINAL e ser o 1o acrescimo do item.",IF(AND(ISNUMBER(SEARCH("NOVO",D61)),OR(N61="",ISERROR(MATCH(N61,{"C0","C1","C2","C3","C4"},0)))),"ALERTA: BASE_VU_OBRIGATORIA",IF(AND(NOT(ISNUMBER(SEARCH("NOVO",D61))),N61&lt;&gt;""),"ALERTA: BASE_VU_NAO_APLICAVEL",IF(AND(UPPER(H61)="SIM",NOT(ISNUMBER(I61))),"ALERTA: BASE_VU_INVALIDA_OU_POSTERIOR_AO_FATOR_ALVO","OK"))))))))))</f>
        <v/>
      </c>
      <c r="N61" s="485"/>
      <c r="O61" s="487" t="str">
        <f>IFERROR(IF((COUNTIFS($A$2:$A$200,$A61,$D$2:$D$200,"*novo*",$N$2:$N$200,"C0")+COUNTIFS($A$2:$A$200,$A61,$D$2:$D$200,"*novo*",$N$2:$N$200,"C1")+COUNTIFS($A$2:$A$200,$A61,$D$2:$D$200,"*novo*",$N$2:$N$200,"C2")+COUNTIFS($A$2:$A$200,$A61,$D$2:$D$200,"*novo*",$N$2:$N$200,"C3")+COUNTIFS($A$2:$A$200,$A61,$D$2:$D$200,"*novo*",$N$2:$N$200,"C4"))=1,IF(COUNTIFS($A$2:$A$200,$A61,$D$2:$D$200,"*novo*",$N$2:$N$200,"C4")&gt;0,4,IF(COUNTIFS($A$2:$A$200,$A61,$D$2:$D$200,"*novo*",$N$2:$N$200,"C3")&gt;0,3,IF(COUNTIFS($A$2:$A$200,$A61,$D$2:$D$200,"*novo*",$N$2:$N$200,"C2")&gt;0,2,IF(COUNTIFS($A$2:$A$200,$A61,$D$2:$D$200,"*novo*",$N$2:$N$200,"C1")&gt;0,1,IF(COUNTIFS($A$2:$A$200,$A61,$D$2:$D$200,"*novo*",$N$2:$N$200,"C0")&gt;0,0,""))))),IF(AND((COUNTIFS($A$2:$A$200,$A61,$D$2:$D$200,"*novo*",$N$2:$N$200,"C0")+COUNTIFS($A$2:$A$200,$A61,$D$2:$D$200,"*novo*",$N$2:$N$200,"C1")+COUNTIFS($A$2:$A$200,$A61,$D$2:$D$200,"*novo*",$N$2:$N$200,"C2")+COUNTIFS($A$2:$A$200,$A61,$D$2:$D$200,"*novo*",$N$2:$N$200,"C3")+COUNTIFS($A$2:$A$200,$A61,$D$2:$D$200,"*novo*",$N$2:$N$200,"C4"))=0,INDEX(posicao_contratual!$Y$2:$Y$200,MATCH($A61,posicao_contratual!$A$2:$A$200,0))=0),0,"")),"")</f>
        <v/>
      </c>
    </row>
    <row r="62" spans="1:15" ht="45" customHeight="1" x14ac:dyDescent="0.35">
      <c r="A62" s="105"/>
      <c r="B62" s="189"/>
      <c r="C62" s="99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05"/>
      <c r="E62" s="106"/>
      <c r="F62" s="107" t="str">
        <f>IF(A62="","",IFERROR(VLOOKUP(A62,itens_Remanesc!$A:$C,3,0),""))</f>
        <v/>
      </c>
      <c r="G62" s="107" t="str">
        <f t="shared" si="3"/>
        <v/>
      </c>
      <c r="H62" s="105"/>
      <c r="I62" s="64" t="str">
        <f>IFERROR(IF(OR($A62="",$C62=""),"",IF(OR(($O62)="",($O62)&gt;(MIN(MATCH($C62,{"C0","C1","C2","C3","C4"},0)-1,COUNT(parametros!$F$2:$F$6)-1)),NOT(ISNUMBER(INDEX(parametros!$F$2:$F$6,(MIN(MATCH($C62,{"C0","C1","C2","C3","C4"},0)-1,COUNT(parametros!$F$2:$F$6)-1))+1))),NOT(ISNUMBER(INDEX(parametros!$F$2:$F$6,($O62)+1)))),"",INDEX(parametros!$F$2:$F$6,(MIN(MATCH($C62,{"C0","C1","C2","C3","C4"},0)-1,COUNT(parametros!$F$2:$F$6)-1))+1)/INDEX(parametros!$F$2:$F$6,($O62)+1))),"")</f>
        <v/>
      </c>
      <c r="J62" s="107" t="str">
        <f t="shared" si="4"/>
        <v/>
      </c>
      <c r="K62" s="105"/>
      <c r="L62" s="85" t="str">
        <f t="shared" si="5"/>
        <v/>
      </c>
      <c r="M62" s="483" t="str">
        <f>IF(A62="","",IF(COUNTIF(itens_Remanesc!$A$2:$A$200,A62)=0,"NOVO ITEM NAO CADASTRADO - CADASTRAR EM itens_Remanesc: ITEM + VU_ORIGINAL (QTD_BASE_ORIGINAL sera 0 automaticamente); depois a data e a quantidade aqui.",IF(COUNTIF(itens_Remanesc!$A$2:$A$200,A62)&gt;1,"ALERTA: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TIPO_INVALIDO",IF(AND(ISNUMBER(SEARCH("NOVO",D62)),OR(INDEX(posicao_contratual!$C$2:$C$200,MATCH(A62,posicao_contratual!$A$2:$A$200,0))&lt;&gt;0,F62="",COUNTIFS($A$2:$A$200,A62,$B$2:$B$200,"&lt;"&amp;B62,$L$2:$L$200,"&gt;0")&gt;0)),"ALERTA: NOVO ITEM INVALIDO - use Acrescimo se o item ja existia; novo item exige QTD_BASE_ORIGINAL 0, VU_ORIGINAL e ser o 1o acrescimo do item.",IF(AND(ISNUMBER(SEARCH("NOVO",D62)),OR(N62="",ISERROR(MATCH(N62,{"C0","C1","C2","C3","C4"},0)))),"ALERTA: BASE_VU_OBRIGATORIA",IF(AND(NOT(ISNUMBER(SEARCH("NOVO",D62))),N62&lt;&gt;""),"ALERTA: BASE_VU_NAO_APLICAVEL",IF(AND(UPPER(H62)="SIM",NOT(ISNUMBER(I62))),"ALERTA: BASE_VU_INVALIDA_OU_POSTERIOR_AO_FATOR_ALVO","OK"))))))))))</f>
        <v/>
      </c>
      <c r="N62" s="485"/>
      <c r="O62" s="487" t="str">
        <f>IFERROR(IF((COUNTIFS($A$2:$A$200,$A62,$D$2:$D$200,"*novo*",$N$2:$N$200,"C0")+COUNTIFS($A$2:$A$200,$A62,$D$2:$D$200,"*novo*",$N$2:$N$200,"C1")+COUNTIFS($A$2:$A$200,$A62,$D$2:$D$200,"*novo*",$N$2:$N$200,"C2")+COUNTIFS($A$2:$A$200,$A62,$D$2:$D$200,"*novo*",$N$2:$N$200,"C3")+COUNTIFS($A$2:$A$200,$A62,$D$2:$D$200,"*novo*",$N$2:$N$200,"C4"))=1,IF(COUNTIFS($A$2:$A$200,$A62,$D$2:$D$200,"*novo*",$N$2:$N$200,"C4")&gt;0,4,IF(COUNTIFS($A$2:$A$200,$A62,$D$2:$D$200,"*novo*",$N$2:$N$200,"C3")&gt;0,3,IF(COUNTIFS($A$2:$A$200,$A62,$D$2:$D$200,"*novo*",$N$2:$N$200,"C2")&gt;0,2,IF(COUNTIFS($A$2:$A$200,$A62,$D$2:$D$200,"*novo*",$N$2:$N$200,"C1")&gt;0,1,IF(COUNTIFS($A$2:$A$200,$A62,$D$2:$D$200,"*novo*",$N$2:$N$200,"C0")&gt;0,0,""))))),IF(AND((COUNTIFS($A$2:$A$200,$A62,$D$2:$D$200,"*novo*",$N$2:$N$200,"C0")+COUNTIFS($A$2:$A$200,$A62,$D$2:$D$200,"*novo*",$N$2:$N$200,"C1")+COUNTIFS($A$2:$A$200,$A62,$D$2:$D$200,"*novo*",$N$2:$N$200,"C2")+COUNTIFS($A$2:$A$200,$A62,$D$2:$D$200,"*novo*",$N$2:$N$200,"C3")+COUNTIFS($A$2:$A$200,$A62,$D$2:$D$200,"*novo*",$N$2:$N$200,"C4"))=0,INDEX(posicao_contratual!$Y$2:$Y$200,MATCH($A62,posicao_contratual!$A$2:$A$200,0))=0),0,"")),"")</f>
        <v/>
      </c>
    </row>
    <row r="63" spans="1:15" ht="45" customHeight="1" x14ac:dyDescent="0.35">
      <c r="A63" s="105"/>
      <c r="B63" s="189"/>
      <c r="C63" s="99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05"/>
      <c r="E63" s="106"/>
      <c r="F63" s="107" t="str">
        <f>IF(A63="","",IFERROR(VLOOKUP(A63,itens_Remanesc!$A:$C,3,0),""))</f>
        <v/>
      </c>
      <c r="G63" s="107" t="str">
        <f t="shared" si="3"/>
        <v/>
      </c>
      <c r="H63" s="105"/>
      <c r="I63" s="64" t="str">
        <f>IFERROR(IF(OR($A63="",$C63=""),"",IF(OR(($O63)="",($O63)&gt;(MIN(MATCH($C63,{"C0","C1","C2","C3","C4"},0)-1,COUNT(parametros!$F$2:$F$6)-1)),NOT(ISNUMBER(INDEX(parametros!$F$2:$F$6,(MIN(MATCH($C63,{"C0","C1","C2","C3","C4"},0)-1,COUNT(parametros!$F$2:$F$6)-1))+1))),NOT(ISNUMBER(INDEX(parametros!$F$2:$F$6,($O63)+1)))),"",INDEX(parametros!$F$2:$F$6,(MIN(MATCH($C63,{"C0","C1","C2","C3","C4"},0)-1,COUNT(parametros!$F$2:$F$6)-1))+1)/INDEX(parametros!$F$2:$F$6,($O63)+1))),"")</f>
        <v/>
      </c>
      <c r="J63" s="107" t="str">
        <f t="shared" si="4"/>
        <v/>
      </c>
      <c r="K63" s="105"/>
      <c r="L63" s="85" t="str">
        <f t="shared" si="5"/>
        <v/>
      </c>
      <c r="M63" s="483" t="str">
        <f>IF(A63="","",IF(COUNTIF(itens_Remanesc!$A$2:$A$200,A63)=0,"NOVO ITEM NAO CADASTRADO - CADASTRAR EM itens_Remanesc: ITEM + VU_ORIGINAL (QTD_BASE_ORIGINAL sera 0 automaticamente); depois a data e a quantidade aqui.",IF(COUNTIF(itens_Remanesc!$A$2:$A$200,A63)&gt;1,"ALERTA: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TIPO_INVALIDO",IF(AND(ISNUMBER(SEARCH("NOVO",D63)),OR(INDEX(posicao_contratual!$C$2:$C$200,MATCH(A63,posicao_contratual!$A$2:$A$200,0))&lt;&gt;0,F63="",COUNTIFS($A$2:$A$200,A63,$B$2:$B$200,"&lt;"&amp;B63,$L$2:$L$200,"&gt;0")&gt;0)),"ALERTA: NOVO ITEM INVALIDO - use Acrescimo se o item ja existia; novo item exige QTD_BASE_ORIGINAL 0, VU_ORIGINAL e ser o 1o acrescimo do item.",IF(AND(ISNUMBER(SEARCH("NOVO",D63)),OR(N63="",ISERROR(MATCH(N63,{"C0","C1","C2","C3","C4"},0)))),"ALERTA: BASE_VU_OBRIGATORIA",IF(AND(NOT(ISNUMBER(SEARCH("NOVO",D63))),N63&lt;&gt;""),"ALERTA: BASE_VU_NAO_APLICAVEL",IF(AND(UPPER(H63)="SIM",NOT(ISNUMBER(I63))),"ALERTA: BASE_VU_INVALIDA_OU_POSTERIOR_AO_FATOR_ALVO","OK"))))))))))</f>
        <v/>
      </c>
      <c r="N63" s="485"/>
      <c r="O63" s="487" t="str">
        <f>IFERROR(IF((COUNTIFS($A$2:$A$200,$A63,$D$2:$D$200,"*novo*",$N$2:$N$200,"C0")+COUNTIFS($A$2:$A$200,$A63,$D$2:$D$200,"*novo*",$N$2:$N$200,"C1")+COUNTIFS($A$2:$A$200,$A63,$D$2:$D$200,"*novo*",$N$2:$N$200,"C2")+COUNTIFS($A$2:$A$200,$A63,$D$2:$D$200,"*novo*",$N$2:$N$200,"C3")+COUNTIFS($A$2:$A$200,$A63,$D$2:$D$200,"*novo*",$N$2:$N$200,"C4"))=1,IF(COUNTIFS($A$2:$A$200,$A63,$D$2:$D$200,"*novo*",$N$2:$N$200,"C4")&gt;0,4,IF(COUNTIFS($A$2:$A$200,$A63,$D$2:$D$200,"*novo*",$N$2:$N$200,"C3")&gt;0,3,IF(COUNTIFS($A$2:$A$200,$A63,$D$2:$D$200,"*novo*",$N$2:$N$200,"C2")&gt;0,2,IF(COUNTIFS($A$2:$A$200,$A63,$D$2:$D$200,"*novo*",$N$2:$N$200,"C1")&gt;0,1,IF(COUNTIFS($A$2:$A$200,$A63,$D$2:$D$200,"*novo*",$N$2:$N$200,"C0")&gt;0,0,""))))),IF(AND((COUNTIFS($A$2:$A$200,$A63,$D$2:$D$200,"*novo*",$N$2:$N$200,"C0")+COUNTIFS($A$2:$A$200,$A63,$D$2:$D$200,"*novo*",$N$2:$N$200,"C1")+COUNTIFS($A$2:$A$200,$A63,$D$2:$D$200,"*novo*",$N$2:$N$200,"C2")+COUNTIFS($A$2:$A$200,$A63,$D$2:$D$200,"*novo*",$N$2:$N$200,"C3")+COUNTIFS($A$2:$A$200,$A63,$D$2:$D$200,"*novo*",$N$2:$N$200,"C4"))=0,INDEX(posicao_contratual!$Y$2:$Y$200,MATCH($A63,posicao_contratual!$A$2:$A$200,0))=0),0,"")),"")</f>
        <v/>
      </c>
    </row>
    <row r="64" spans="1:15" ht="45" customHeight="1" x14ac:dyDescent="0.35">
      <c r="A64" s="105"/>
      <c r="B64" s="189"/>
      <c r="C64" s="99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05"/>
      <c r="E64" s="106"/>
      <c r="F64" s="107" t="str">
        <f>IF(A64="","",IFERROR(VLOOKUP(A64,itens_Remanesc!$A:$C,3,0),""))</f>
        <v/>
      </c>
      <c r="G64" s="107" t="str">
        <f t="shared" si="3"/>
        <v/>
      </c>
      <c r="H64" s="105"/>
      <c r="I64" s="64" t="str">
        <f>IFERROR(IF(OR($A64="",$C64=""),"",IF(OR(($O64)="",($O64)&gt;(MIN(MATCH($C64,{"C0","C1","C2","C3","C4"},0)-1,COUNT(parametros!$F$2:$F$6)-1)),NOT(ISNUMBER(INDEX(parametros!$F$2:$F$6,(MIN(MATCH($C64,{"C0","C1","C2","C3","C4"},0)-1,COUNT(parametros!$F$2:$F$6)-1))+1))),NOT(ISNUMBER(INDEX(parametros!$F$2:$F$6,($O64)+1)))),"",INDEX(parametros!$F$2:$F$6,(MIN(MATCH($C64,{"C0","C1","C2","C3","C4"},0)-1,COUNT(parametros!$F$2:$F$6)-1))+1)/INDEX(parametros!$F$2:$F$6,($O64)+1))),"")</f>
        <v/>
      </c>
      <c r="J64" s="107" t="str">
        <f t="shared" si="4"/>
        <v/>
      </c>
      <c r="K64" s="105"/>
      <c r="L64" s="85" t="str">
        <f t="shared" si="5"/>
        <v/>
      </c>
      <c r="M64" s="483" t="str">
        <f>IF(A64="","",IF(COUNTIF(itens_Remanesc!$A$2:$A$200,A64)=0,"NOVO ITEM NAO CADASTRADO - CADASTRAR EM itens_Remanesc: ITEM + VU_ORIGINAL (QTD_BASE_ORIGINAL sera 0 automaticamente); depois a data e a quantidade aqui.",IF(COUNTIF(itens_Remanesc!$A$2:$A$200,A64)&gt;1,"ALERTA: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TIPO_INVALIDO",IF(AND(ISNUMBER(SEARCH("NOVO",D64)),OR(INDEX(posicao_contratual!$C$2:$C$200,MATCH(A64,posicao_contratual!$A$2:$A$200,0))&lt;&gt;0,F64="",COUNTIFS($A$2:$A$200,A64,$B$2:$B$200,"&lt;"&amp;B64,$L$2:$L$200,"&gt;0")&gt;0)),"ALERTA: NOVO ITEM INVALIDO - use Acrescimo se o item ja existia; novo item exige QTD_BASE_ORIGINAL 0, VU_ORIGINAL e ser o 1o acrescimo do item.",IF(AND(ISNUMBER(SEARCH("NOVO",D64)),OR(N64="",ISERROR(MATCH(N64,{"C0","C1","C2","C3","C4"},0)))),"ALERTA: BASE_VU_OBRIGATORIA",IF(AND(NOT(ISNUMBER(SEARCH("NOVO",D64))),N64&lt;&gt;""),"ALERTA: BASE_VU_NAO_APLICAVEL",IF(AND(UPPER(H64)="SIM",NOT(ISNUMBER(I64))),"ALERTA: BASE_VU_INVALIDA_OU_POSTERIOR_AO_FATOR_ALVO","OK"))))))))))</f>
        <v/>
      </c>
      <c r="N64" s="485"/>
      <c r="O64" s="487" t="str">
        <f>IFERROR(IF((COUNTIFS($A$2:$A$200,$A64,$D$2:$D$200,"*novo*",$N$2:$N$200,"C0")+COUNTIFS($A$2:$A$200,$A64,$D$2:$D$200,"*novo*",$N$2:$N$200,"C1")+COUNTIFS($A$2:$A$200,$A64,$D$2:$D$200,"*novo*",$N$2:$N$200,"C2")+COUNTIFS($A$2:$A$200,$A64,$D$2:$D$200,"*novo*",$N$2:$N$200,"C3")+COUNTIFS($A$2:$A$200,$A64,$D$2:$D$200,"*novo*",$N$2:$N$200,"C4"))=1,IF(COUNTIFS($A$2:$A$200,$A64,$D$2:$D$200,"*novo*",$N$2:$N$200,"C4")&gt;0,4,IF(COUNTIFS($A$2:$A$200,$A64,$D$2:$D$200,"*novo*",$N$2:$N$200,"C3")&gt;0,3,IF(COUNTIFS($A$2:$A$200,$A64,$D$2:$D$200,"*novo*",$N$2:$N$200,"C2")&gt;0,2,IF(COUNTIFS($A$2:$A$200,$A64,$D$2:$D$200,"*novo*",$N$2:$N$200,"C1")&gt;0,1,IF(COUNTIFS($A$2:$A$200,$A64,$D$2:$D$200,"*novo*",$N$2:$N$200,"C0")&gt;0,0,""))))),IF(AND((COUNTIFS($A$2:$A$200,$A64,$D$2:$D$200,"*novo*",$N$2:$N$200,"C0")+COUNTIFS($A$2:$A$200,$A64,$D$2:$D$200,"*novo*",$N$2:$N$200,"C1")+COUNTIFS($A$2:$A$200,$A64,$D$2:$D$200,"*novo*",$N$2:$N$200,"C2")+COUNTIFS($A$2:$A$200,$A64,$D$2:$D$200,"*novo*",$N$2:$N$200,"C3")+COUNTIFS($A$2:$A$200,$A64,$D$2:$D$200,"*novo*",$N$2:$N$200,"C4"))=0,INDEX(posicao_contratual!$Y$2:$Y$200,MATCH($A64,posicao_contratual!$A$2:$A$200,0))=0),0,"")),"")</f>
        <v/>
      </c>
    </row>
    <row r="65" spans="1:15" ht="45" customHeight="1" x14ac:dyDescent="0.35">
      <c r="A65" s="105"/>
      <c r="B65" s="189"/>
      <c r="C65" s="99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05"/>
      <c r="E65" s="106"/>
      <c r="F65" s="107" t="str">
        <f>IF(A65="","",IFERROR(VLOOKUP(A65,itens_Remanesc!$A:$C,3,0),""))</f>
        <v/>
      </c>
      <c r="G65" s="107" t="str">
        <f t="shared" si="3"/>
        <v/>
      </c>
      <c r="H65" s="105"/>
      <c r="I65" s="64" t="str">
        <f>IFERROR(IF(OR($A65="",$C65=""),"",IF(OR(($O65)="",($O65)&gt;(MIN(MATCH($C65,{"C0","C1","C2","C3","C4"},0)-1,COUNT(parametros!$F$2:$F$6)-1)),NOT(ISNUMBER(INDEX(parametros!$F$2:$F$6,(MIN(MATCH($C65,{"C0","C1","C2","C3","C4"},0)-1,COUNT(parametros!$F$2:$F$6)-1))+1))),NOT(ISNUMBER(INDEX(parametros!$F$2:$F$6,($O65)+1)))),"",INDEX(parametros!$F$2:$F$6,(MIN(MATCH($C65,{"C0","C1","C2","C3","C4"},0)-1,COUNT(parametros!$F$2:$F$6)-1))+1)/INDEX(parametros!$F$2:$F$6,($O65)+1))),"")</f>
        <v/>
      </c>
      <c r="J65" s="107" t="str">
        <f t="shared" si="4"/>
        <v/>
      </c>
      <c r="K65" s="105"/>
      <c r="L65" s="85" t="str">
        <f t="shared" si="5"/>
        <v/>
      </c>
      <c r="M65" s="483" t="str">
        <f>IF(A65="","",IF(COUNTIF(itens_Remanesc!$A$2:$A$200,A65)=0,"NOVO ITEM NAO CADASTRADO - CADASTRAR EM itens_Remanesc: ITEM + VU_ORIGINAL (QTD_BASE_ORIGINAL sera 0 automaticamente); depois a data e a quantidade aqui.",IF(COUNTIF(itens_Remanesc!$A$2:$A$200,A65)&gt;1,"ALERTA: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TIPO_INVALIDO",IF(AND(ISNUMBER(SEARCH("NOVO",D65)),OR(INDEX(posicao_contratual!$C$2:$C$200,MATCH(A65,posicao_contratual!$A$2:$A$200,0))&lt;&gt;0,F65="",COUNTIFS($A$2:$A$200,A65,$B$2:$B$200,"&lt;"&amp;B65,$L$2:$L$200,"&gt;0")&gt;0)),"ALERTA: NOVO ITEM INVALIDO - use Acrescimo se o item ja existia; novo item exige QTD_BASE_ORIGINAL 0, VU_ORIGINAL e ser o 1o acrescimo do item.",IF(AND(ISNUMBER(SEARCH("NOVO",D65)),OR(N65="",ISERROR(MATCH(N65,{"C0","C1","C2","C3","C4"},0)))),"ALERTA: BASE_VU_OBRIGATORIA",IF(AND(NOT(ISNUMBER(SEARCH("NOVO",D65))),N65&lt;&gt;""),"ALERTA: BASE_VU_NAO_APLICAVEL",IF(AND(UPPER(H65)="SIM",NOT(ISNUMBER(I65))),"ALERTA: BASE_VU_INVALIDA_OU_POSTERIOR_AO_FATOR_ALVO","OK"))))))))))</f>
        <v/>
      </c>
      <c r="N65" s="485"/>
      <c r="O65" s="487" t="str">
        <f>IFERROR(IF((COUNTIFS($A$2:$A$200,$A65,$D$2:$D$200,"*novo*",$N$2:$N$200,"C0")+COUNTIFS($A$2:$A$200,$A65,$D$2:$D$200,"*novo*",$N$2:$N$200,"C1")+COUNTIFS($A$2:$A$200,$A65,$D$2:$D$200,"*novo*",$N$2:$N$200,"C2")+COUNTIFS($A$2:$A$200,$A65,$D$2:$D$200,"*novo*",$N$2:$N$200,"C3")+COUNTIFS($A$2:$A$200,$A65,$D$2:$D$200,"*novo*",$N$2:$N$200,"C4"))=1,IF(COUNTIFS($A$2:$A$200,$A65,$D$2:$D$200,"*novo*",$N$2:$N$200,"C4")&gt;0,4,IF(COUNTIFS($A$2:$A$200,$A65,$D$2:$D$200,"*novo*",$N$2:$N$200,"C3")&gt;0,3,IF(COUNTIFS($A$2:$A$200,$A65,$D$2:$D$200,"*novo*",$N$2:$N$200,"C2")&gt;0,2,IF(COUNTIFS($A$2:$A$200,$A65,$D$2:$D$200,"*novo*",$N$2:$N$200,"C1")&gt;0,1,IF(COUNTIFS($A$2:$A$200,$A65,$D$2:$D$200,"*novo*",$N$2:$N$200,"C0")&gt;0,0,""))))),IF(AND((COUNTIFS($A$2:$A$200,$A65,$D$2:$D$200,"*novo*",$N$2:$N$200,"C0")+COUNTIFS($A$2:$A$200,$A65,$D$2:$D$200,"*novo*",$N$2:$N$200,"C1")+COUNTIFS($A$2:$A$200,$A65,$D$2:$D$200,"*novo*",$N$2:$N$200,"C2")+COUNTIFS($A$2:$A$200,$A65,$D$2:$D$200,"*novo*",$N$2:$N$200,"C3")+COUNTIFS($A$2:$A$200,$A65,$D$2:$D$200,"*novo*",$N$2:$N$200,"C4"))=0,INDEX(posicao_contratual!$Y$2:$Y$200,MATCH($A65,posicao_contratual!$A$2:$A$200,0))=0),0,"")),"")</f>
        <v/>
      </c>
    </row>
    <row r="66" spans="1:15" ht="45" customHeight="1" x14ac:dyDescent="0.35">
      <c r="A66" s="105"/>
      <c r="B66" s="189"/>
      <c r="C66" s="99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05"/>
      <c r="E66" s="106"/>
      <c r="F66" s="107" t="str">
        <f>IF(A66="","",IFERROR(VLOOKUP(A66,itens_Remanesc!$A:$C,3,0),""))</f>
        <v/>
      </c>
      <c r="G66" s="107" t="str">
        <f t="shared" ref="G66:G97" si="6">IF(OR(E66="",F66=""),"",ROUND(E66*F66,2))</f>
        <v/>
      </c>
      <c r="H66" s="105"/>
      <c r="I66" s="64" t="str">
        <f>IFERROR(IF(OR($A66="",$C66=""),"",IF(OR(($O66)="",($O66)&gt;(MIN(MATCH($C66,{"C0","C1","C2","C3","C4"},0)-1,COUNT(parametros!$F$2:$F$6)-1)),NOT(ISNUMBER(INDEX(parametros!$F$2:$F$6,(MIN(MATCH($C66,{"C0","C1","C2","C3","C4"},0)-1,COUNT(parametros!$F$2:$F$6)-1))+1))),NOT(ISNUMBER(INDEX(parametros!$F$2:$F$6,($O66)+1)))),"",INDEX(parametros!$F$2:$F$6,(MIN(MATCH($C66,{"C0","C1","C2","C3","C4"},0)-1,COUNT(parametros!$F$2:$F$6)-1))+1)/INDEX(parametros!$F$2:$F$6,($O66)+1))),"")</f>
        <v/>
      </c>
      <c r="J66" s="107" t="str">
        <f t="shared" ref="J66:J97" si="7">IF(OR(L66="",F66=""),"",IF(UPPER(H66)="SIM",IF(ISNUMBER(I66),ROUND(L66*ROUND(F66*I66,2),2),""),ROUND(L66*F66,2)))</f>
        <v/>
      </c>
      <c r="K66" s="105"/>
      <c r="L66" s="85" t="str">
        <f t="shared" ref="L66:L97" si="8">IF(OR(A66="",C66="",D66="",NOT(ISNUMBER(E66))),"",IF(LEFT(UPPER(D66),3)="ACR",ROUND(ABS(E66),2),IF(OR(LEFT(UPPER(D66),4)="SUPR",LEFT(UPPER(D66),4)="DECR"),ROUND(-ABS(E66),2),"")))</f>
        <v/>
      </c>
      <c r="M66" s="483" t="str">
        <f>IF(A66="","",IF(COUNTIF(itens_Remanesc!$A$2:$A$200,A66)=0,"NOVO ITEM NAO CADASTRADO - CADASTRAR EM itens_Remanesc: ITEM + VU_ORIGINAL (QTD_BASE_ORIGINAL sera 0 automaticamente); depois a data e a quantidade aqui.",IF(COUNTIF(itens_Remanesc!$A$2:$A$200,A66)&gt;1,"ALERTA: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TIPO_INVALIDO",IF(AND(ISNUMBER(SEARCH("NOVO",D66)),OR(INDEX(posicao_contratual!$C$2:$C$200,MATCH(A66,posicao_contratual!$A$2:$A$200,0))&lt;&gt;0,F66="",COUNTIFS($A$2:$A$200,A66,$B$2:$B$200,"&lt;"&amp;B66,$L$2:$L$200,"&gt;0")&gt;0)),"ALERTA: NOVO ITEM INVALIDO - use Acrescimo se o item ja existia; novo item exige QTD_BASE_ORIGINAL 0, VU_ORIGINAL e ser o 1o acrescimo do item.",IF(AND(ISNUMBER(SEARCH("NOVO",D66)),OR(N66="",ISERROR(MATCH(N66,{"C0","C1","C2","C3","C4"},0)))),"ALERTA: BASE_VU_OBRIGATORIA",IF(AND(NOT(ISNUMBER(SEARCH("NOVO",D66))),N66&lt;&gt;""),"ALERTA: BASE_VU_NAO_APLICAVEL",IF(AND(UPPER(H66)="SIM",NOT(ISNUMBER(I66))),"ALERTA: BASE_VU_INVALIDA_OU_POSTERIOR_AO_FATOR_ALVO","OK"))))))))))</f>
        <v/>
      </c>
      <c r="N66" s="485"/>
      <c r="O66" s="487" t="str">
        <f>IFERROR(IF((COUNTIFS($A$2:$A$200,$A66,$D$2:$D$200,"*novo*",$N$2:$N$200,"C0")+COUNTIFS($A$2:$A$200,$A66,$D$2:$D$200,"*novo*",$N$2:$N$200,"C1")+COUNTIFS($A$2:$A$200,$A66,$D$2:$D$200,"*novo*",$N$2:$N$200,"C2")+COUNTIFS($A$2:$A$200,$A66,$D$2:$D$200,"*novo*",$N$2:$N$200,"C3")+COUNTIFS($A$2:$A$200,$A66,$D$2:$D$200,"*novo*",$N$2:$N$200,"C4"))=1,IF(COUNTIFS($A$2:$A$200,$A66,$D$2:$D$200,"*novo*",$N$2:$N$200,"C4")&gt;0,4,IF(COUNTIFS($A$2:$A$200,$A66,$D$2:$D$200,"*novo*",$N$2:$N$200,"C3")&gt;0,3,IF(COUNTIFS($A$2:$A$200,$A66,$D$2:$D$200,"*novo*",$N$2:$N$200,"C2")&gt;0,2,IF(COUNTIFS($A$2:$A$200,$A66,$D$2:$D$200,"*novo*",$N$2:$N$200,"C1")&gt;0,1,IF(COUNTIFS($A$2:$A$200,$A66,$D$2:$D$200,"*novo*",$N$2:$N$200,"C0")&gt;0,0,""))))),IF(AND((COUNTIFS($A$2:$A$200,$A66,$D$2:$D$200,"*novo*",$N$2:$N$200,"C0")+COUNTIFS($A$2:$A$200,$A66,$D$2:$D$200,"*novo*",$N$2:$N$200,"C1")+COUNTIFS($A$2:$A$200,$A66,$D$2:$D$200,"*novo*",$N$2:$N$200,"C2")+COUNTIFS($A$2:$A$200,$A66,$D$2:$D$200,"*novo*",$N$2:$N$200,"C3")+COUNTIFS($A$2:$A$200,$A66,$D$2:$D$200,"*novo*",$N$2:$N$200,"C4"))=0,INDEX(posicao_contratual!$Y$2:$Y$200,MATCH($A66,posicao_contratual!$A$2:$A$200,0))=0),0,"")),"")</f>
        <v/>
      </c>
    </row>
    <row r="67" spans="1:15" ht="45" customHeight="1" x14ac:dyDescent="0.35">
      <c r="A67" s="105"/>
      <c r="B67" s="189"/>
      <c r="C67" s="99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05"/>
      <c r="E67" s="106"/>
      <c r="F67" s="107" t="str">
        <f>IF(A67="","",IFERROR(VLOOKUP(A67,itens_Remanesc!$A:$C,3,0),""))</f>
        <v/>
      </c>
      <c r="G67" s="107" t="str">
        <f t="shared" si="6"/>
        <v/>
      </c>
      <c r="H67" s="105"/>
      <c r="I67" s="64" t="str">
        <f>IFERROR(IF(OR($A67="",$C67=""),"",IF(OR(($O67)="",($O67)&gt;(MIN(MATCH($C67,{"C0","C1","C2","C3","C4"},0)-1,COUNT(parametros!$F$2:$F$6)-1)),NOT(ISNUMBER(INDEX(parametros!$F$2:$F$6,(MIN(MATCH($C67,{"C0","C1","C2","C3","C4"},0)-1,COUNT(parametros!$F$2:$F$6)-1))+1))),NOT(ISNUMBER(INDEX(parametros!$F$2:$F$6,($O67)+1)))),"",INDEX(parametros!$F$2:$F$6,(MIN(MATCH($C67,{"C0","C1","C2","C3","C4"},0)-1,COUNT(parametros!$F$2:$F$6)-1))+1)/INDEX(parametros!$F$2:$F$6,($O67)+1))),"")</f>
        <v/>
      </c>
      <c r="J67" s="107" t="str">
        <f t="shared" si="7"/>
        <v/>
      </c>
      <c r="K67" s="105"/>
      <c r="L67" s="85" t="str">
        <f t="shared" si="8"/>
        <v/>
      </c>
      <c r="M67" s="483" t="str">
        <f>IF(A67="","",IF(COUNTIF(itens_Remanesc!$A$2:$A$200,A67)=0,"NOVO ITEM NAO CADASTRADO - CADASTRAR EM itens_Remanesc: ITEM + VU_ORIGINAL (QTD_BASE_ORIGINAL sera 0 automaticamente); depois a data e a quantidade aqui.",IF(COUNTIF(itens_Remanesc!$A$2:$A$200,A67)&gt;1,"ALERTA: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TIPO_INVALIDO",IF(AND(ISNUMBER(SEARCH("NOVO",D67)),OR(INDEX(posicao_contratual!$C$2:$C$200,MATCH(A67,posicao_contratual!$A$2:$A$200,0))&lt;&gt;0,F67="",COUNTIFS($A$2:$A$200,A67,$B$2:$B$200,"&lt;"&amp;B67,$L$2:$L$200,"&gt;0")&gt;0)),"ALERTA: NOVO ITEM INVALIDO - use Acrescimo se o item ja existia; novo item exige QTD_BASE_ORIGINAL 0, VU_ORIGINAL e ser o 1o acrescimo do item.",IF(AND(ISNUMBER(SEARCH("NOVO",D67)),OR(N67="",ISERROR(MATCH(N67,{"C0","C1","C2","C3","C4"},0)))),"ALERTA: BASE_VU_OBRIGATORIA",IF(AND(NOT(ISNUMBER(SEARCH("NOVO",D67))),N67&lt;&gt;""),"ALERTA: BASE_VU_NAO_APLICAVEL",IF(AND(UPPER(H67)="SIM",NOT(ISNUMBER(I67))),"ALERTA: BASE_VU_INVALIDA_OU_POSTERIOR_AO_FATOR_ALVO","OK"))))))))))</f>
        <v/>
      </c>
      <c r="N67" s="485"/>
      <c r="O67" s="487" t="str">
        <f>IFERROR(IF((COUNTIFS($A$2:$A$200,$A67,$D$2:$D$200,"*novo*",$N$2:$N$200,"C0")+COUNTIFS($A$2:$A$200,$A67,$D$2:$D$200,"*novo*",$N$2:$N$200,"C1")+COUNTIFS($A$2:$A$200,$A67,$D$2:$D$200,"*novo*",$N$2:$N$200,"C2")+COUNTIFS($A$2:$A$200,$A67,$D$2:$D$200,"*novo*",$N$2:$N$200,"C3")+COUNTIFS($A$2:$A$200,$A67,$D$2:$D$200,"*novo*",$N$2:$N$200,"C4"))=1,IF(COUNTIFS($A$2:$A$200,$A67,$D$2:$D$200,"*novo*",$N$2:$N$200,"C4")&gt;0,4,IF(COUNTIFS($A$2:$A$200,$A67,$D$2:$D$200,"*novo*",$N$2:$N$200,"C3")&gt;0,3,IF(COUNTIFS($A$2:$A$200,$A67,$D$2:$D$200,"*novo*",$N$2:$N$200,"C2")&gt;0,2,IF(COUNTIFS($A$2:$A$200,$A67,$D$2:$D$200,"*novo*",$N$2:$N$200,"C1")&gt;0,1,IF(COUNTIFS($A$2:$A$200,$A67,$D$2:$D$200,"*novo*",$N$2:$N$200,"C0")&gt;0,0,""))))),IF(AND((COUNTIFS($A$2:$A$200,$A67,$D$2:$D$200,"*novo*",$N$2:$N$200,"C0")+COUNTIFS($A$2:$A$200,$A67,$D$2:$D$200,"*novo*",$N$2:$N$200,"C1")+COUNTIFS($A$2:$A$200,$A67,$D$2:$D$200,"*novo*",$N$2:$N$200,"C2")+COUNTIFS($A$2:$A$200,$A67,$D$2:$D$200,"*novo*",$N$2:$N$200,"C3")+COUNTIFS($A$2:$A$200,$A67,$D$2:$D$200,"*novo*",$N$2:$N$200,"C4"))=0,INDEX(posicao_contratual!$Y$2:$Y$200,MATCH($A67,posicao_contratual!$A$2:$A$200,0))=0),0,"")),"")</f>
        <v/>
      </c>
    </row>
    <row r="68" spans="1:15" ht="45" customHeight="1" x14ac:dyDescent="0.35">
      <c r="A68" s="105"/>
      <c r="B68" s="189"/>
      <c r="C68" s="99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05"/>
      <c r="E68" s="106"/>
      <c r="F68" s="107" t="str">
        <f>IF(A68="","",IFERROR(VLOOKUP(A68,itens_Remanesc!$A:$C,3,0),""))</f>
        <v/>
      </c>
      <c r="G68" s="107" t="str">
        <f t="shared" si="6"/>
        <v/>
      </c>
      <c r="H68" s="105"/>
      <c r="I68" s="64" t="str">
        <f>IFERROR(IF(OR($A68="",$C68=""),"",IF(OR(($O68)="",($O68)&gt;(MIN(MATCH($C68,{"C0","C1","C2","C3","C4"},0)-1,COUNT(parametros!$F$2:$F$6)-1)),NOT(ISNUMBER(INDEX(parametros!$F$2:$F$6,(MIN(MATCH($C68,{"C0","C1","C2","C3","C4"},0)-1,COUNT(parametros!$F$2:$F$6)-1))+1))),NOT(ISNUMBER(INDEX(parametros!$F$2:$F$6,($O68)+1)))),"",INDEX(parametros!$F$2:$F$6,(MIN(MATCH($C68,{"C0","C1","C2","C3","C4"},0)-1,COUNT(parametros!$F$2:$F$6)-1))+1)/INDEX(parametros!$F$2:$F$6,($O68)+1))),"")</f>
        <v/>
      </c>
      <c r="J68" s="107" t="str">
        <f t="shared" si="7"/>
        <v/>
      </c>
      <c r="K68" s="105"/>
      <c r="L68" s="85" t="str">
        <f t="shared" si="8"/>
        <v/>
      </c>
      <c r="M68" s="483" t="str">
        <f>IF(A68="","",IF(COUNTIF(itens_Remanesc!$A$2:$A$200,A68)=0,"NOVO ITEM NAO CADASTRADO - CADASTRAR EM itens_Remanesc: ITEM + VU_ORIGINAL (QTD_BASE_ORIGINAL sera 0 automaticamente); depois a data e a quantidade aqui.",IF(COUNTIF(itens_Remanesc!$A$2:$A$200,A68)&gt;1,"ALERTA: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TIPO_INVALIDO",IF(AND(ISNUMBER(SEARCH("NOVO",D68)),OR(INDEX(posicao_contratual!$C$2:$C$200,MATCH(A68,posicao_contratual!$A$2:$A$200,0))&lt;&gt;0,F68="",COUNTIFS($A$2:$A$200,A68,$B$2:$B$200,"&lt;"&amp;B68,$L$2:$L$200,"&gt;0")&gt;0)),"ALERTA: NOVO ITEM INVALIDO - use Acrescimo se o item ja existia; novo item exige QTD_BASE_ORIGINAL 0, VU_ORIGINAL e ser o 1o acrescimo do item.",IF(AND(ISNUMBER(SEARCH("NOVO",D68)),OR(N68="",ISERROR(MATCH(N68,{"C0","C1","C2","C3","C4"},0)))),"ALERTA: BASE_VU_OBRIGATORIA",IF(AND(NOT(ISNUMBER(SEARCH("NOVO",D68))),N68&lt;&gt;""),"ALERTA: BASE_VU_NAO_APLICAVEL",IF(AND(UPPER(H68)="SIM",NOT(ISNUMBER(I68))),"ALERTA: BASE_VU_INVALIDA_OU_POSTERIOR_AO_FATOR_ALVO","OK"))))))))))</f>
        <v/>
      </c>
      <c r="N68" s="485"/>
      <c r="O68" s="487" t="str">
        <f>IFERROR(IF((COUNTIFS($A$2:$A$200,$A68,$D$2:$D$200,"*novo*",$N$2:$N$200,"C0")+COUNTIFS($A$2:$A$200,$A68,$D$2:$D$200,"*novo*",$N$2:$N$200,"C1")+COUNTIFS($A$2:$A$200,$A68,$D$2:$D$200,"*novo*",$N$2:$N$200,"C2")+COUNTIFS($A$2:$A$200,$A68,$D$2:$D$200,"*novo*",$N$2:$N$200,"C3")+COUNTIFS($A$2:$A$200,$A68,$D$2:$D$200,"*novo*",$N$2:$N$200,"C4"))=1,IF(COUNTIFS($A$2:$A$200,$A68,$D$2:$D$200,"*novo*",$N$2:$N$200,"C4")&gt;0,4,IF(COUNTIFS($A$2:$A$200,$A68,$D$2:$D$200,"*novo*",$N$2:$N$200,"C3")&gt;0,3,IF(COUNTIFS($A$2:$A$200,$A68,$D$2:$D$200,"*novo*",$N$2:$N$200,"C2")&gt;0,2,IF(COUNTIFS($A$2:$A$200,$A68,$D$2:$D$200,"*novo*",$N$2:$N$200,"C1")&gt;0,1,IF(COUNTIFS($A$2:$A$200,$A68,$D$2:$D$200,"*novo*",$N$2:$N$200,"C0")&gt;0,0,""))))),IF(AND((COUNTIFS($A$2:$A$200,$A68,$D$2:$D$200,"*novo*",$N$2:$N$200,"C0")+COUNTIFS($A$2:$A$200,$A68,$D$2:$D$200,"*novo*",$N$2:$N$200,"C1")+COUNTIFS($A$2:$A$200,$A68,$D$2:$D$200,"*novo*",$N$2:$N$200,"C2")+COUNTIFS($A$2:$A$200,$A68,$D$2:$D$200,"*novo*",$N$2:$N$200,"C3")+COUNTIFS($A$2:$A$200,$A68,$D$2:$D$200,"*novo*",$N$2:$N$200,"C4"))=0,INDEX(posicao_contratual!$Y$2:$Y$200,MATCH($A68,posicao_contratual!$A$2:$A$200,0))=0),0,"")),"")</f>
        <v/>
      </c>
    </row>
    <row r="69" spans="1:15" ht="45" customHeight="1" x14ac:dyDescent="0.35">
      <c r="A69" s="105"/>
      <c r="B69" s="189"/>
      <c r="C69" s="99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05"/>
      <c r="E69" s="106"/>
      <c r="F69" s="107" t="str">
        <f>IF(A69="","",IFERROR(VLOOKUP(A69,itens_Remanesc!$A:$C,3,0),""))</f>
        <v/>
      </c>
      <c r="G69" s="107" t="str">
        <f t="shared" si="6"/>
        <v/>
      </c>
      <c r="H69" s="105"/>
      <c r="I69" s="64" t="str">
        <f>IFERROR(IF(OR($A69="",$C69=""),"",IF(OR(($O69)="",($O69)&gt;(MIN(MATCH($C69,{"C0","C1","C2","C3","C4"},0)-1,COUNT(parametros!$F$2:$F$6)-1)),NOT(ISNUMBER(INDEX(parametros!$F$2:$F$6,(MIN(MATCH($C69,{"C0","C1","C2","C3","C4"},0)-1,COUNT(parametros!$F$2:$F$6)-1))+1))),NOT(ISNUMBER(INDEX(parametros!$F$2:$F$6,($O69)+1)))),"",INDEX(parametros!$F$2:$F$6,(MIN(MATCH($C69,{"C0","C1","C2","C3","C4"},0)-1,COUNT(parametros!$F$2:$F$6)-1))+1)/INDEX(parametros!$F$2:$F$6,($O69)+1))),"")</f>
        <v/>
      </c>
      <c r="J69" s="107" t="str">
        <f t="shared" si="7"/>
        <v/>
      </c>
      <c r="K69" s="105"/>
      <c r="L69" s="85" t="str">
        <f t="shared" si="8"/>
        <v/>
      </c>
      <c r="M69" s="483" t="str">
        <f>IF(A69="","",IF(COUNTIF(itens_Remanesc!$A$2:$A$200,A69)=0,"NOVO ITEM NAO CADASTRADO - CADASTRAR EM itens_Remanesc: ITEM + VU_ORIGINAL (QTD_BASE_ORIGINAL sera 0 automaticamente); depois a data e a quantidade aqui.",IF(COUNTIF(itens_Remanesc!$A$2:$A$200,A69)&gt;1,"ALERTA: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TIPO_INVALIDO",IF(AND(ISNUMBER(SEARCH("NOVO",D69)),OR(INDEX(posicao_contratual!$C$2:$C$200,MATCH(A69,posicao_contratual!$A$2:$A$200,0))&lt;&gt;0,F69="",COUNTIFS($A$2:$A$200,A69,$B$2:$B$200,"&lt;"&amp;B69,$L$2:$L$200,"&gt;0")&gt;0)),"ALERTA: NOVO ITEM INVALIDO - use Acrescimo se o item ja existia; novo item exige QTD_BASE_ORIGINAL 0, VU_ORIGINAL e ser o 1o acrescimo do item.",IF(AND(ISNUMBER(SEARCH("NOVO",D69)),OR(N69="",ISERROR(MATCH(N69,{"C0","C1","C2","C3","C4"},0)))),"ALERTA: BASE_VU_OBRIGATORIA",IF(AND(NOT(ISNUMBER(SEARCH("NOVO",D69))),N69&lt;&gt;""),"ALERTA: BASE_VU_NAO_APLICAVEL",IF(AND(UPPER(H69)="SIM",NOT(ISNUMBER(I69))),"ALERTA: BASE_VU_INVALIDA_OU_POSTERIOR_AO_FATOR_ALVO","OK"))))))))))</f>
        <v/>
      </c>
      <c r="N69" s="485"/>
      <c r="O69" s="487" t="str">
        <f>IFERROR(IF((COUNTIFS($A$2:$A$200,$A69,$D$2:$D$200,"*novo*",$N$2:$N$200,"C0")+COUNTIFS($A$2:$A$200,$A69,$D$2:$D$200,"*novo*",$N$2:$N$200,"C1")+COUNTIFS($A$2:$A$200,$A69,$D$2:$D$200,"*novo*",$N$2:$N$200,"C2")+COUNTIFS($A$2:$A$200,$A69,$D$2:$D$200,"*novo*",$N$2:$N$200,"C3")+COUNTIFS($A$2:$A$200,$A69,$D$2:$D$200,"*novo*",$N$2:$N$200,"C4"))=1,IF(COUNTIFS($A$2:$A$200,$A69,$D$2:$D$200,"*novo*",$N$2:$N$200,"C4")&gt;0,4,IF(COUNTIFS($A$2:$A$200,$A69,$D$2:$D$200,"*novo*",$N$2:$N$200,"C3")&gt;0,3,IF(COUNTIFS($A$2:$A$200,$A69,$D$2:$D$200,"*novo*",$N$2:$N$200,"C2")&gt;0,2,IF(COUNTIFS($A$2:$A$200,$A69,$D$2:$D$200,"*novo*",$N$2:$N$200,"C1")&gt;0,1,IF(COUNTIFS($A$2:$A$200,$A69,$D$2:$D$200,"*novo*",$N$2:$N$200,"C0")&gt;0,0,""))))),IF(AND((COUNTIFS($A$2:$A$200,$A69,$D$2:$D$200,"*novo*",$N$2:$N$200,"C0")+COUNTIFS($A$2:$A$200,$A69,$D$2:$D$200,"*novo*",$N$2:$N$200,"C1")+COUNTIFS($A$2:$A$200,$A69,$D$2:$D$200,"*novo*",$N$2:$N$200,"C2")+COUNTIFS($A$2:$A$200,$A69,$D$2:$D$200,"*novo*",$N$2:$N$200,"C3")+COUNTIFS($A$2:$A$200,$A69,$D$2:$D$200,"*novo*",$N$2:$N$200,"C4"))=0,INDEX(posicao_contratual!$Y$2:$Y$200,MATCH($A69,posicao_contratual!$A$2:$A$200,0))=0),0,"")),"")</f>
        <v/>
      </c>
    </row>
    <row r="70" spans="1:15" ht="45" customHeight="1" x14ac:dyDescent="0.35">
      <c r="A70" s="105"/>
      <c r="B70" s="189"/>
      <c r="C70" s="99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05"/>
      <c r="E70" s="106"/>
      <c r="F70" s="107" t="str">
        <f>IF(A70="","",IFERROR(VLOOKUP(A70,itens_Remanesc!$A:$C,3,0),""))</f>
        <v/>
      </c>
      <c r="G70" s="107" t="str">
        <f t="shared" si="6"/>
        <v/>
      </c>
      <c r="H70" s="105"/>
      <c r="I70" s="64" t="str">
        <f>IFERROR(IF(OR($A70="",$C70=""),"",IF(OR(($O70)="",($O70)&gt;(MIN(MATCH($C70,{"C0","C1","C2","C3","C4"},0)-1,COUNT(parametros!$F$2:$F$6)-1)),NOT(ISNUMBER(INDEX(parametros!$F$2:$F$6,(MIN(MATCH($C70,{"C0","C1","C2","C3","C4"},0)-1,COUNT(parametros!$F$2:$F$6)-1))+1))),NOT(ISNUMBER(INDEX(parametros!$F$2:$F$6,($O70)+1)))),"",INDEX(parametros!$F$2:$F$6,(MIN(MATCH($C70,{"C0","C1","C2","C3","C4"},0)-1,COUNT(parametros!$F$2:$F$6)-1))+1)/INDEX(parametros!$F$2:$F$6,($O70)+1))),"")</f>
        <v/>
      </c>
      <c r="J70" s="107" t="str">
        <f t="shared" si="7"/>
        <v/>
      </c>
      <c r="K70" s="105"/>
      <c r="L70" s="85" t="str">
        <f t="shared" si="8"/>
        <v/>
      </c>
      <c r="M70" s="483" t="str">
        <f>IF(A70="","",IF(COUNTIF(itens_Remanesc!$A$2:$A$200,A70)=0,"NOVO ITEM NAO CADASTRADO - CADASTRAR EM itens_Remanesc: ITEM + VU_ORIGINAL (QTD_BASE_ORIGINAL sera 0 automaticamente); depois a data e a quantidade aqui.",IF(COUNTIF(itens_Remanesc!$A$2:$A$200,A70)&gt;1,"ALERTA: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TIPO_INVALIDO",IF(AND(ISNUMBER(SEARCH("NOVO",D70)),OR(INDEX(posicao_contratual!$C$2:$C$200,MATCH(A70,posicao_contratual!$A$2:$A$200,0))&lt;&gt;0,F70="",COUNTIFS($A$2:$A$200,A70,$B$2:$B$200,"&lt;"&amp;B70,$L$2:$L$200,"&gt;0")&gt;0)),"ALERTA: NOVO ITEM INVALIDO - use Acrescimo se o item ja existia; novo item exige QTD_BASE_ORIGINAL 0, VU_ORIGINAL e ser o 1o acrescimo do item.",IF(AND(ISNUMBER(SEARCH("NOVO",D70)),OR(N70="",ISERROR(MATCH(N70,{"C0","C1","C2","C3","C4"},0)))),"ALERTA: BASE_VU_OBRIGATORIA",IF(AND(NOT(ISNUMBER(SEARCH("NOVO",D70))),N70&lt;&gt;""),"ALERTA: BASE_VU_NAO_APLICAVEL",IF(AND(UPPER(H70)="SIM",NOT(ISNUMBER(I70))),"ALERTA: BASE_VU_INVALIDA_OU_POSTERIOR_AO_FATOR_ALVO","OK"))))))))))</f>
        <v/>
      </c>
      <c r="N70" s="485"/>
      <c r="O70" s="487" t="str">
        <f>IFERROR(IF((COUNTIFS($A$2:$A$200,$A70,$D$2:$D$200,"*novo*",$N$2:$N$200,"C0")+COUNTIFS($A$2:$A$200,$A70,$D$2:$D$200,"*novo*",$N$2:$N$200,"C1")+COUNTIFS($A$2:$A$200,$A70,$D$2:$D$200,"*novo*",$N$2:$N$200,"C2")+COUNTIFS($A$2:$A$200,$A70,$D$2:$D$200,"*novo*",$N$2:$N$200,"C3")+COUNTIFS($A$2:$A$200,$A70,$D$2:$D$200,"*novo*",$N$2:$N$200,"C4"))=1,IF(COUNTIFS($A$2:$A$200,$A70,$D$2:$D$200,"*novo*",$N$2:$N$200,"C4")&gt;0,4,IF(COUNTIFS($A$2:$A$200,$A70,$D$2:$D$200,"*novo*",$N$2:$N$200,"C3")&gt;0,3,IF(COUNTIFS($A$2:$A$200,$A70,$D$2:$D$200,"*novo*",$N$2:$N$200,"C2")&gt;0,2,IF(COUNTIFS($A$2:$A$200,$A70,$D$2:$D$200,"*novo*",$N$2:$N$200,"C1")&gt;0,1,IF(COUNTIFS($A$2:$A$200,$A70,$D$2:$D$200,"*novo*",$N$2:$N$200,"C0")&gt;0,0,""))))),IF(AND((COUNTIFS($A$2:$A$200,$A70,$D$2:$D$200,"*novo*",$N$2:$N$200,"C0")+COUNTIFS($A$2:$A$200,$A70,$D$2:$D$200,"*novo*",$N$2:$N$200,"C1")+COUNTIFS($A$2:$A$200,$A70,$D$2:$D$200,"*novo*",$N$2:$N$200,"C2")+COUNTIFS($A$2:$A$200,$A70,$D$2:$D$200,"*novo*",$N$2:$N$200,"C3")+COUNTIFS($A$2:$A$200,$A70,$D$2:$D$200,"*novo*",$N$2:$N$200,"C4"))=0,INDEX(posicao_contratual!$Y$2:$Y$200,MATCH($A70,posicao_contratual!$A$2:$A$200,0))=0),0,"")),"")</f>
        <v/>
      </c>
    </row>
    <row r="71" spans="1:15" ht="45" customHeight="1" x14ac:dyDescent="0.35">
      <c r="A71" s="105"/>
      <c r="B71" s="189"/>
      <c r="C71" s="99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05"/>
      <c r="E71" s="106"/>
      <c r="F71" s="107" t="str">
        <f>IF(A71="","",IFERROR(VLOOKUP(A71,itens_Remanesc!$A:$C,3,0),""))</f>
        <v/>
      </c>
      <c r="G71" s="107" t="str">
        <f t="shared" si="6"/>
        <v/>
      </c>
      <c r="H71" s="105"/>
      <c r="I71" s="64" t="str">
        <f>IFERROR(IF(OR($A71="",$C71=""),"",IF(OR(($O71)="",($O71)&gt;(MIN(MATCH($C71,{"C0","C1","C2","C3","C4"},0)-1,COUNT(parametros!$F$2:$F$6)-1)),NOT(ISNUMBER(INDEX(parametros!$F$2:$F$6,(MIN(MATCH($C71,{"C0","C1","C2","C3","C4"},0)-1,COUNT(parametros!$F$2:$F$6)-1))+1))),NOT(ISNUMBER(INDEX(parametros!$F$2:$F$6,($O71)+1)))),"",INDEX(parametros!$F$2:$F$6,(MIN(MATCH($C71,{"C0","C1","C2","C3","C4"},0)-1,COUNT(parametros!$F$2:$F$6)-1))+1)/INDEX(parametros!$F$2:$F$6,($O71)+1))),"")</f>
        <v/>
      </c>
      <c r="J71" s="107" t="str">
        <f t="shared" si="7"/>
        <v/>
      </c>
      <c r="K71" s="105"/>
      <c r="L71" s="85" t="str">
        <f t="shared" si="8"/>
        <v/>
      </c>
      <c r="M71" s="483" t="str">
        <f>IF(A71="","",IF(COUNTIF(itens_Remanesc!$A$2:$A$200,A71)=0,"NOVO ITEM NAO CADASTRADO - CADASTRAR EM itens_Remanesc: ITEM + VU_ORIGINAL (QTD_BASE_ORIGINAL sera 0 automaticamente); depois a data e a quantidade aqui.",IF(COUNTIF(itens_Remanesc!$A$2:$A$200,A71)&gt;1,"ALERTA: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TIPO_INVALIDO",IF(AND(ISNUMBER(SEARCH("NOVO",D71)),OR(INDEX(posicao_contratual!$C$2:$C$200,MATCH(A71,posicao_contratual!$A$2:$A$200,0))&lt;&gt;0,F71="",COUNTIFS($A$2:$A$200,A71,$B$2:$B$200,"&lt;"&amp;B71,$L$2:$L$200,"&gt;0")&gt;0)),"ALERTA: NOVO ITEM INVALIDO - use Acrescimo se o item ja existia; novo item exige QTD_BASE_ORIGINAL 0, VU_ORIGINAL e ser o 1o acrescimo do item.",IF(AND(ISNUMBER(SEARCH("NOVO",D71)),OR(N71="",ISERROR(MATCH(N71,{"C0","C1","C2","C3","C4"},0)))),"ALERTA: BASE_VU_OBRIGATORIA",IF(AND(NOT(ISNUMBER(SEARCH("NOVO",D71))),N71&lt;&gt;""),"ALERTA: BASE_VU_NAO_APLICAVEL",IF(AND(UPPER(H71)="SIM",NOT(ISNUMBER(I71))),"ALERTA: BASE_VU_INVALIDA_OU_POSTERIOR_AO_FATOR_ALVO","OK"))))))))))</f>
        <v/>
      </c>
      <c r="N71" s="485"/>
      <c r="O71" s="487" t="str">
        <f>IFERROR(IF((COUNTIFS($A$2:$A$200,$A71,$D$2:$D$200,"*novo*",$N$2:$N$200,"C0")+COUNTIFS($A$2:$A$200,$A71,$D$2:$D$200,"*novo*",$N$2:$N$200,"C1")+COUNTIFS($A$2:$A$200,$A71,$D$2:$D$200,"*novo*",$N$2:$N$200,"C2")+COUNTIFS($A$2:$A$200,$A71,$D$2:$D$200,"*novo*",$N$2:$N$200,"C3")+COUNTIFS($A$2:$A$200,$A71,$D$2:$D$200,"*novo*",$N$2:$N$200,"C4"))=1,IF(COUNTIFS($A$2:$A$200,$A71,$D$2:$D$200,"*novo*",$N$2:$N$200,"C4")&gt;0,4,IF(COUNTIFS($A$2:$A$200,$A71,$D$2:$D$200,"*novo*",$N$2:$N$200,"C3")&gt;0,3,IF(COUNTIFS($A$2:$A$200,$A71,$D$2:$D$200,"*novo*",$N$2:$N$200,"C2")&gt;0,2,IF(COUNTIFS($A$2:$A$200,$A71,$D$2:$D$200,"*novo*",$N$2:$N$200,"C1")&gt;0,1,IF(COUNTIFS($A$2:$A$200,$A71,$D$2:$D$200,"*novo*",$N$2:$N$200,"C0")&gt;0,0,""))))),IF(AND((COUNTIFS($A$2:$A$200,$A71,$D$2:$D$200,"*novo*",$N$2:$N$200,"C0")+COUNTIFS($A$2:$A$200,$A71,$D$2:$D$200,"*novo*",$N$2:$N$200,"C1")+COUNTIFS($A$2:$A$200,$A71,$D$2:$D$200,"*novo*",$N$2:$N$200,"C2")+COUNTIFS($A$2:$A$200,$A71,$D$2:$D$200,"*novo*",$N$2:$N$200,"C3")+COUNTIFS($A$2:$A$200,$A71,$D$2:$D$200,"*novo*",$N$2:$N$200,"C4"))=0,INDEX(posicao_contratual!$Y$2:$Y$200,MATCH($A71,posicao_contratual!$A$2:$A$200,0))=0),0,"")),"")</f>
        <v/>
      </c>
    </row>
    <row r="72" spans="1:15" ht="45" customHeight="1" x14ac:dyDescent="0.35">
      <c r="A72" s="105"/>
      <c r="B72" s="189"/>
      <c r="C72" s="99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05"/>
      <c r="E72" s="106"/>
      <c r="F72" s="107" t="str">
        <f>IF(A72="","",IFERROR(VLOOKUP(A72,itens_Remanesc!$A:$C,3,0),""))</f>
        <v/>
      </c>
      <c r="G72" s="107" t="str">
        <f t="shared" si="6"/>
        <v/>
      </c>
      <c r="H72" s="105"/>
      <c r="I72" s="64" t="str">
        <f>IFERROR(IF(OR($A72="",$C72=""),"",IF(OR(($O72)="",($O72)&gt;(MIN(MATCH($C72,{"C0","C1","C2","C3","C4"},0)-1,COUNT(parametros!$F$2:$F$6)-1)),NOT(ISNUMBER(INDEX(parametros!$F$2:$F$6,(MIN(MATCH($C72,{"C0","C1","C2","C3","C4"},0)-1,COUNT(parametros!$F$2:$F$6)-1))+1))),NOT(ISNUMBER(INDEX(parametros!$F$2:$F$6,($O72)+1)))),"",INDEX(parametros!$F$2:$F$6,(MIN(MATCH($C72,{"C0","C1","C2","C3","C4"},0)-1,COUNT(parametros!$F$2:$F$6)-1))+1)/INDEX(parametros!$F$2:$F$6,($O72)+1))),"")</f>
        <v/>
      </c>
      <c r="J72" s="107" t="str">
        <f t="shared" si="7"/>
        <v/>
      </c>
      <c r="K72" s="105"/>
      <c r="L72" s="85" t="str">
        <f t="shared" si="8"/>
        <v/>
      </c>
      <c r="M72" s="483" t="str">
        <f>IF(A72="","",IF(COUNTIF(itens_Remanesc!$A$2:$A$200,A72)=0,"NOVO ITEM NAO CADASTRADO - CADASTRAR EM itens_Remanesc: ITEM + VU_ORIGINAL (QTD_BASE_ORIGINAL sera 0 automaticamente); depois a data e a quantidade aqui.",IF(COUNTIF(itens_Remanesc!$A$2:$A$200,A72)&gt;1,"ALERTA: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TIPO_INVALIDO",IF(AND(ISNUMBER(SEARCH("NOVO",D72)),OR(INDEX(posicao_contratual!$C$2:$C$200,MATCH(A72,posicao_contratual!$A$2:$A$200,0))&lt;&gt;0,F72="",COUNTIFS($A$2:$A$200,A72,$B$2:$B$200,"&lt;"&amp;B72,$L$2:$L$200,"&gt;0")&gt;0)),"ALERTA: NOVO ITEM INVALIDO - use Acrescimo se o item ja existia; novo item exige QTD_BASE_ORIGINAL 0, VU_ORIGINAL e ser o 1o acrescimo do item.",IF(AND(ISNUMBER(SEARCH("NOVO",D72)),OR(N72="",ISERROR(MATCH(N72,{"C0","C1","C2","C3","C4"},0)))),"ALERTA: BASE_VU_OBRIGATORIA",IF(AND(NOT(ISNUMBER(SEARCH("NOVO",D72))),N72&lt;&gt;""),"ALERTA: BASE_VU_NAO_APLICAVEL",IF(AND(UPPER(H72)="SIM",NOT(ISNUMBER(I72))),"ALERTA: BASE_VU_INVALIDA_OU_POSTERIOR_AO_FATOR_ALVO","OK"))))))))))</f>
        <v/>
      </c>
      <c r="N72" s="485"/>
      <c r="O72" s="487" t="str">
        <f>IFERROR(IF((COUNTIFS($A$2:$A$200,$A72,$D$2:$D$200,"*novo*",$N$2:$N$200,"C0")+COUNTIFS($A$2:$A$200,$A72,$D$2:$D$200,"*novo*",$N$2:$N$200,"C1")+COUNTIFS($A$2:$A$200,$A72,$D$2:$D$200,"*novo*",$N$2:$N$200,"C2")+COUNTIFS($A$2:$A$200,$A72,$D$2:$D$200,"*novo*",$N$2:$N$200,"C3")+COUNTIFS($A$2:$A$200,$A72,$D$2:$D$200,"*novo*",$N$2:$N$200,"C4"))=1,IF(COUNTIFS($A$2:$A$200,$A72,$D$2:$D$200,"*novo*",$N$2:$N$200,"C4")&gt;0,4,IF(COUNTIFS($A$2:$A$200,$A72,$D$2:$D$200,"*novo*",$N$2:$N$200,"C3")&gt;0,3,IF(COUNTIFS($A$2:$A$200,$A72,$D$2:$D$200,"*novo*",$N$2:$N$200,"C2")&gt;0,2,IF(COUNTIFS($A$2:$A$200,$A72,$D$2:$D$200,"*novo*",$N$2:$N$200,"C1")&gt;0,1,IF(COUNTIFS($A$2:$A$200,$A72,$D$2:$D$200,"*novo*",$N$2:$N$200,"C0")&gt;0,0,""))))),IF(AND((COUNTIFS($A$2:$A$200,$A72,$D$2:$D$200,"*novo*",$N$2:$N$200,"C0")+COUNTIFS($A$2:$A$200,$A72,$D$2:$D$200,"*novo*",$N$2:$N$200,"C1")+COUNTIFS($A$2:$A$200,$A72,$D$2:$D$200,"*novo*",$N$2:$N$200,"C2")+COUNTIFS($A$2:$A$200,$A72,$D$2:$D$200,"*novo*",$N$2:$N$200,"C3")+COUNTIFS($A$2:$A$200,$A72,$D$2:$D$200,"*novo*",$N$2:$N$200,"C4"))=0,INDEX(posicao_contratual!$Y$2:$Y$200,MATCH($A72,posicao_contratual!$A$2:$A$200,0))=0),0,"")),"")</f>
        <v/>
      </c>
    </row>
    <row r="73" spans="1:15" ht="45" customHeight="1" x14ac:dyDescent="0.35">
      <c r="A73" s="105"/>
      <c r="B73" s="189"/>
      <c r="C73" s="99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05"/>
      <c r="E73" s="106"/>
      <c r="F73" s="107" t="str">
        <f>IF(A73="","",IFERROR(VLOOKUP(A73,itens_Remanesc!$A:$C,3,0),""))</f>
        <v/>
      </c>
      <c r="G73" s="107" t="str">
        <f t="shared" si="6"/>
        <v/>
      </c>
      <c r="H73" s="105"/>
      <c r="I73" s="64" t="str">
        <f>IFERROR(IF(OR($A73="",$C73=""),"",IF(OR(($O73)="",($O73)&gt;(MIN(MATCH($C73,{"C0","C1","C2","C3","C4"},0)-1,COUNT(parametros!$F$2:$F$6)-1)),NOT(ISNUMBER(INDEX(parametros!$F$2:$F$6,(MIN(MATCH($C73,{"C0","C1","C2","C3","C4"},0)-1,COUNT(parametros!$F$2:$F$6)-1))+1))),NOT(ISNUMBER(INDEX(parametros!$F$2:$F$6,($O73)+1)))),"",INDEX(parametros!$F$2:$F$6,(MIN(MATCH($C73,{"C0","C1","C2","C3","C4"},0)-1,COUNT(parametros!$F$2:$F$6)-1))+1)/INDEX(parametros!$F$2:$F$6,($O73)+1))),"")</f>
        <v/>
      </c>
      <c r="J73" s="107" t="str">
        <f t="shared" si="7"/>
        <v/>
      </c>
      <c r="K73" s="105"/>
      <c r="L73" s="85" t="str">
        <f t="shared" si="8"/>
        <v/>
      </c>
      <c r="M73" s="483" t="str">
        <f>IF(A73="","",IF(COUNTIF(itens_Remanesc!$A$2:$A$200,A73)=0,"NOVO ITEM NAO CADASTRADO - CADASTRAR EM itens_Remanesc: ITEM + VU_ORIGINAL (QTD_BASE_ORIGINAL sera 0 automaticamente); depois a data e a quantidade aqui.",IF(COUNTIF(itens_Remanesc!$A$2:$A$200,A73)&gt;1,"ALERTA: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TIPO_INVALIDO",IF(AND(ISNUMBER(SEARCH("NOVO",D73)),OR(INDEX(posicao_contratual!$C$2:$C$200,MATCH(A73,posicao_contratual!$A$2:$A$200,0))&lt;&gt;0,F73="",COUNTIFS($A$2:$A$200,A73,$B$2:$B$200,"&lt;"&amp;B73,$L$2:$L$200,"&gt;0")&gt;0)),"ALERTA: NOVO ITEM INVALIDO - use Acrescimo se o item ja existia; novo item exige QTD_BASE_ORIGINAL 0, VU_ORIGINAL e ser o 1o acrescimo do item.",IF(AND(ISNUMBER(SEARCH("NOVO",D73)),OR(N73="",ISERROR(MATCH(N73,{"C0","C1","C2","C3","C4"},0)))),"ALERTA: BASE_VU_OBRIGATORIA",IF(AND(NOT(ISNUMBER(SEARCH("NOVO",D73))),N73&lt;&gt;""),"ALERTA: BASE_VU_NAO_APLICAVEL",IF(AND(UPPER(H73)="SIM",NOT(ISNUMBER(I73))),"ALERTA: BASE_VU_INVALIDA_OU_POSTERIOR_AO_FATOR_ALVO","OK"))))))))))</f>
        <v/>
      </c>
      <c r="N73" s="485"/>
      <c r="O73" s="487" t="str">
        <f>IFERROR(IF((COUNTIFS($A$2:$A$200,$A73,$D$2:$D$200,"*novo*",$N$2:$N$200,"C0")+COUNTIFS($A$2:$A$200,$A73,$D$2:$D$200,"*novo*",$N$2:$N$200,"C1")+COUNTIFS($A$2:$A$200,$A73,$D$2:$D$200,"*novo*",$N$2:$N$200,"C2")+COUNTIFS($A$2:$A$200,$A73,$D$2:$D$200,"*novo*",$N$2:$N$200,"C3")+COUNTIFS($A$2:$A$200,$A73,$D$2:$D$200,"*novo*",$N$2:$N$200,"C4"))=1,IF(COUNTIFS($A$2:$A$200,$A73,$D$2:$D$200,"*novo*",$N$2:$N$200,"C4")&gt;0,4,IF(COUNTIFS($A$2:$A$200,$A73,$D$2:$D$200,"*novo*",$N$2:$N$200,"C3")&gt;0,3,IF(COUNTIFS($A$2:$A$200,$A73,$D$2:$D$200,"*novo*",$N$2:$N$200,"C2")&gt;0,2,IF(COUNTIFS($A$2:$A$200,$A73,$D$2:$D$200,"*novo*",$N$2:$N$200,"C1")&gt;0,1,IF(COUNTIFS($A$2:$A$200,$A73,$D$2:$D$200,"*novo*",$N$2:$N$200,"C0")&gt;0,0,""))))),IF(AND((COUNTIFS($A$2:$A$200,$A73,$D$2:$D$200,"*novo*",$N$2:$N$200,"C0")+COUNTIFS($A$2:$A$200,$A73,$D$2:$D$200,"*novo*",$N$2:$N$200,"C1")+COUNTIFS($A$2:$A$200,$A73,$D$2:$D$200,"*novo*",$N$2:$N$200,"C2")+COUNTIFS($A$2:$A$200,$A73,$D$2:$D$200,"*novo*",$N$2:$N$200,"C3")+COUNTIFS($A$2:$A$200,$A73,$D$2:$D$200,"*novo*",$N$2:$N$200,"C4"))=0,INDEX(posicao_contratual!$Y$2:$Y$200,MATCH($A73,posicao_contratual!$A$2:$A$200,0))=0),0,"")),"")</f>
        <v/>
      </c>
    </row>
    <row r="74" spans="1:15" ht="45" customHeight="1" x14ac:dyDescent="0.35">
      <c r="A74" s="105"/>
      <c r="B74" s="189"/>
      <c r="C74" s="99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05"/>
      <c r="E74" s="106"/>
      <c r="F74" s="107" t="str">
        <f>IF(A74="","",IFERROR(VLOOKUP(A74,itens_Remanesc!$A:$C,3,0),""))</f>
        <v/>
      </c>
      <c r="G74" s="107" t="str">
        <f t="shared" si="6"/>
        <v/>
      </c>
      <c r="H74" s="105"/>
      <c r="I74" s="64" t="str">
        <f>IFERROR(IF(OR($A74="",$C74=""),"",IF(OR(($O74)="",($O74)&gt;(MIN(MATCH($C74,{"C0","C1","C2","C3","C4"},0)-1,COUNT(parametros!$F$2:$F$6)-1)),NOT(ISNUMBER(INDEX(parametros!$F$2:$F$6,(MIN(MATCH($C74,{"C0","C1","C2","C3","C4"},0)-1,COUNT(parametros!$F$2:$F$6)-1))+1))),NOT(ISNUMBER(INDEX(parametros!$F$2:$F$6,($O74)+1)))),"",INDEX(parametros!$F$2:$F$6,(MIN(MATCH($C74,{"C0","C1","C2","C3","C4"},0)-1,COUNT(parametros!$F$2:$F$6)-1))+1)/INDEX(parametros!$F$2:$F$6,($O74)+1))),"")</f>
        <v/>
      </c>
      <c r="J74" s="107" t="str">
        <f t="shared" si="7"/>
        <v/>
      </c>
      <c r="K74" s="105"/>
      <c r="L74" s="85" t="str">
        <f t="shared" si="8"/>
        <v/>
      </c>
      <c r="M74" s="483" t="str">
        <f>IF(A74="","",IF(COUNTIF(itens_Remanesc!$A$2:$A$200,A74)=0,"NOVO ITEM NAO CADASTRADO - CADASTRAR EM itens_Remanesc: ITEM + VU_ORIGINAL (QTD_BASE_ORIGINAL sera 0 automaticamente); depois a data e a quantidade aqui.",IF(COUNTIF(itens_Remanesc!$A$2:$A$200,A74)&gt;1,"ALERTA: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TIPO_INVALIDO",IF(AND(ISNUMBER(SEARCH("NOVO",D74)),OR(INDEX(posicao_contratual!$C$2:$C$200,MATCH(A74,posicao_contratual!$A$2:$A$200,0))&lt;&gt;0,F74="",COUNTIFS($A$2:$A$200,A74,$B$2:$B$200,"&lt;"&amp;B74,$L$2:$L$200,"&gt;0")&gt;0)),"ALERTA: NOVO ITEM INVALIDO - use Acrescimo se o item ja existia; novo item exige QTD_BASE_ORIGINAL 0, VU_ORIGINAL e ser o 1o acrescimo do item.",IF(AND(ISNUMBER(SEARCH("NOVO",D74)),OR(N74="",ISERROR(MATCH(N74,{"C0","C1","C2","C3","C4"},0)))),"ALERTA: BASE_VU_OBRIGATORIA",IF(AND(NOT(ISNUMBER(SEARCH("NOVO",D74))),N74&lt;&gt;""),"ALERTA: BASE_VU_NAO_APLICAVEL",IF(AND(UPPER(H74)="SIM",NOT(ISNUMBER(I74))),"ALERTA: BASE_VU_INVALIDA_OU_POSTERIOR_AO_FATOR_ALVO","OK"))))))))))</f>
        <v/>
      </c>
      <c r="N74" s="485"/>
      <c r="O74" s="487" t="str">
        <f>IFERROR(IF((COUNTIFS($A$2:$A$200,$A74,$D$2:$D$200,"*novo*",$N$2:$N$200,"C0")+COUNTIFS($A$2:$A$200,$A74,$D$2:$D$200,"*novo*",$N$2:$N$200,"C1")+COUNTIFS($A$2:$A$200,$A74,$D$2:$D$200,"*novo*",$N$2:$N$200,"C2")+COUNTIFS($A$2:$A$200,$A74,$D$2:$D$200,"*novo*",$N$2:$N$200,"C3")+COUNTIFS($A$2:$A$200,$A74,$D$2:$D$200,"*novo*",$N$2:$N$200,"C4"))=1,IF(COUNTIFS($A$2:$A$200,$A74,$D$2:$D$200,"*novo*",$N$2:$N$200,"C4")&gt;0,4,IF(COUNTIFS($A$2:$A$200,$A74,$D$2:$D$200,"*novo*",$N$2:$N$200,"C3")&gt;0,3,IF(COUNTIFS($A$2:$A$200,$A74,$D$2:$D$200,"*novo*",$N$2:$N$200,"C2")&gt;0,2,IF(COUNTIFS($A$2:$A$200,$A74,$D$2:$D$200,"*novo*",$N$2:$N$200,"C1")&gt;0,1,IF(COUNTIFS($A$2:$A$200,$A74,$D$2:$D$200,"*novo*",$N$2:$N$200,"C0")&gt;0,0,""))))),IF(AND((COUNTIFS($A$2:$A$200,$A74,$D$2:$D$200,"*novo*",$N$2:$N$200,"C0")+COUNTIFS($A$2:$A$200,$A74,$D$2:$D$200,"*novo*",$N$2:$N$200,"C1")+COUNTIFS($A$2:$A$200,$A74,$D$2:$D$200,"*novo*",$N$2:$N$200,"C2")+COUNTIFS($A$2:$A$200,$A74,$D$2:$D$200,"*novo*",$N$2:$N$200,"C3")+COUNTIFS($A$2:$A$200,$A74,$D$2:$D$200,"*novo*",$N$2:$N$200,"C4"))=0,INDEX(posicao_contratual!$Y$2:$Y$200,MATCH($A74,posicao_contratual!$A$2:$A$200,0))=0),0,"")),"")</f>
        <v/>
      </c>
    </row>
    <row r="75" spans="1:15" ht="45" customHeight="1" x14ac:dyDescent="0.35">
      <c r="A75" s="105"/>
      <c r="B75" s="189"/>
      <c r="C75" s="99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05"/>
      <c r="E75" s="106"/>
      <c r="F75" s="107" t="str">
        <f>IF(A75="","",IFERROR(VLOOKUP(A75,itens_Remanesc!$A:$C,3,0),""))</f>
        <v/>
      </c>
      <c r="G75" s="107" t="str">
        <f t="shared" si="6"/>
        <v/>
      </c>
      <c r="H75" s="105"/>
      <c r="I75" s="64" t="str">
        <f>IFERROR(IF(OR($A75="",$C75=""),"",IF(OR(($O75)="",($O75)&gt;(MIN(MATCH($C75,{"C0","C1","C2","C3","C4"},0)-1,COUNT(parametros!$F$2:$F$6)-1)),NOT(ISNUMBER(INDEX(parametros!$F$2:$F$6,(MIN(MATCH($C75,{"C0","C1","C2","C3","C4"},0)-1,COUNT(parametros!$F$2:$F$6)-1))+1))),NOT(ISNUMBER(INDEX(parametros!$F$2:$F$6,($O75)+1)))),"",INDEX(parametros!$F$2:$F$6,(MIN(MATCH($C75,{"C0","C1","C2","C3","C4"},0)-1,COUNT(parametros!$F$2:$F$6)-1))+1)/INDEX(parametros!$F$2:$F$6,($O75)+1))),"")</f>
        <v/>
      </c>
      <c r="J75" s="107" t="str">
        <f t="shared" si="7"/>
        <v/>
      </c>
      <c r="K75" s="105"/>
      <c r="L75" s="85" t="str">
        <f t="shared" si="8"/>
        <v/>
      </c>
      <c r="M75" s="483" t="str">
        <f>IF(A75="","",IF(COUNTIF(itens_Remanesc!$A$2:$A$200,A75)=0,"NOVO ITEM NAO CADASTRADO - CADASTRAR EM itens_Remanesc: ITEM + VU_ORIGINAL (QTD_BASE_ORIGINAL sera 0 automaticamente); depois a data e a quantidade aqui.",IF(COUNTIF(itens_Remanesc!$A$2:$A$200,A75)&gt;1,"ALERTA: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TIPO_INVALIDO",IF(AND(ISNUMBER(SEARCH("NOVO",D75)),OR(INDEX(posicao_contratual!$C$2:$C$200,MATCH(A75,posicao_contratual!$A$2:$A$200,0))&lt;&gt;0,F75="",COUNTIFS($A$2:$A$200,A75,$B$2:$B$200,"&lt;"&amp;B75,$L$2:$L$200,"&gt;0")&gt;0)),"ALERTA: NOVO ITEM INVALIDO - use Acrescimo se o item ja existia; novo item exige QTD_BASE_ORIGINAL 0, VU_ORIGINAL e ser o 1o acrescimo do item.",IF(AND(ISNUMBER(SEARCH("NOVO",D75)),OR(N75="",ISERROR(MATCH(N75,{"C0","C1","C2","C3","C4"},0)))),"ALERTA: BASE_VU_OBRIGATORIA",IF(AND(NOT(ISNUMBER(SEARCH("NOVO",D75))),N75&lt;&gt;""),"ALERTA: BASE_VU_NAO_APLICAVEL",IF(AND(UPPER(H75)="SIM",NOT(ISNUMBER(I75))),"ALERTA: BASE_VU_INVALIDA_OU_POSTERIOR_AO_FATOR_ALVO","OK"))))))))))</f>
        <v/>
      </c>
      <c r="N75" s="485"/>
      <c r="O75" s="487" t="str">
        <f>IFERROR(IF((COUNTIFS($A$2:$A$200,$A75,$D$2:$D$200,"*novo*",$N$2:$N$200,"C0")+COUNTIFS($A$2:$A$200,$A75,$D$2:$D$200,"*novo*",$N$2:$N$200,"C1")+COUNTIFS($A$2:$A$200,$A75,$D$2:$D$200,"*novo*",$N$2:$N$200,"C2")+COUNTIFS($A$2:$A$200,$A75,$D$2:$D$200,"*novo*",$N$2:$N$200,"C3")+COUNTIFS($A$2:$A$200,$A75,$D$2:$D$200,"*novo*",$N$2:$N$200,"C4"))=1,IF(COUNTIFS($A$2:$A$200,$A75,$D$2:$D$200,"*novo*",$N$2:$N$200,"C4")&gt;0,4,IF(COUNTIFS($A$2:$A$200,$A75,$D$2:$D$200,"*novo*",$N$2:$N$200,"C3")&gt;0,3,IF(COUNTIFS($A$2:$A$200,$A75,$D$2:$D$200,"*novo*",$N$2:$N$200,"C2")&gt;0,2,IF(COUNTIFS($A$2:$A$200,$A75,$D$2:$D$200,"*novo*",$N$2:$N$200,"C1")&gt;0,1,IF(COUNTIFS($A$2:$A$200,$A75,$D$2:$D$200,"*novo*",$N$2:$N$200,"C0")&gt;0,0,""))))),IF(AND((COUNTIFS($A$2:$A$200,$A75,$D$2:$D$200,"*novo*",$N$2:$N$200,"C0")+COUNTIFS($A$2:$A$200,$A75,$D$2:$D$200,"*novo*",$N$2:$N$200,"C1")+COUNTIFS($A$2:$A$200,$A75,$D$2:$D$200,"*novo*",$N$2:$N$200,"C2")+COUNTIFS($A$2:$A$200,$A75,$D$2:$D$200,"*novo*",$N$2:$N$200,"C3")+COUNTIFS($A$2:$A$200,$A75,$D$2:$D$200,"*novo*",$N$2:$N$200,"C4"))=0,INDEX(posicao_contratual!$Y$2:$Y$200,MATCH($A75,posicao_contratual!$A$2:$A$200,0))=0),0,"")),"")</f>
        <v/>
      </c>
    </row>
    <row r="76" spans="1:15" ht="45" customHeight="1" x14ac:dyDescent="0.35">
      <c r="A76" s="105"/>
      <c r="B76" s="189"/>
      <c r="C76" s="99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05"/>
      <c r="E76" s="106"/>
      <c r="F76" s="107" t="str">
        <f>IF(A76="","",IFERROR(VLOOKUP(A76,itens_Remanesc!$A:$C,3,0),""))</f>
        <v/>
      </c>
      <c r="G76" s="107" t="str">
        <f t="shared" si="6"/>
        <v/>
      </c>
      <c r="H76" s="105"/>
      <c r="I76" s="64" t="str">
        <f>IFERROR(IF(OR($A76="",$C76=""),"",IF(OR(($O76)="",($O76)&gt;(MIN(MATCH($C76,{"C0","C1","C2","C3","C4"},0)-1,COUNT(parametros!$F$2:$F$6)-1)),NOT(ISNUMBER(INDEX(parametros!$F$2:$F$6,(MIN(MATCH($C76,{"C0","C1","C2","C3","C4"},0)-1,COUNT(parametros!$F$2:$F$6)-1))+1))),NOT(ISNUMBER(INDEX(parametros!$F$2:$F$6,($O76)+1)))),"",INDEX(parametros!$F$2:$F$6,(MIN(MATCH($C76,{"C0","C1","C2","C3","C4"},0)-1,COUNT(parametros!$F$2:$F$6)-1))+1)/INDEX(parametros!$F$2:$F$6,($O76)+1))),"")</f>
        <v/>
      </c>
      <c r="J76" s="107" t="str">
        <f t="shared" si="7"/>
        <v/>
      </c>
      <c r="K76" s="105"/>
      <c r="L76" s="85" t="str">
        <f t="shared" si="8"/>
        <v/>
      </c>
      <c r="M76" s="483" t="str">
        <f>IF(A76="","",IF(COUNTIF(itens_Remanesc!$A$2:$A$200,A76)=0,"NOVO ITEM NAO CADASTRADO - CADASTRAR EM itens_Remanesc: ITEM + VU_ORIGINAL (QTD_BASE_ORIGINAL sera 0 automaticamente); depois a data e a quantidade aqui.",IF(COUNTIF(itens_Remanesc!$A$2:$A$200,A76)&gt;1,"ALERTA: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TIPO_INVALIDO",IF(AND(ISNUMBER(SEARCH("NOVO",D76)),OR(INDEX(posicao_contratual!$C$2:$C$200,MATCH(A76,posicao_contratual!$A$2:$A$200,0))&lt;&gt;0,F76="",COUNTIFS($A$2:$A$200,A76,$B$2:$B$200,"&lt;"&amp;B76,$L$2:$L$200,"&gt;0")&gt;0)),"ALERTA: NOVO ITEM INVALIDO - use Acrescimo se o item ja existia; novo item exige QTD_BASE_ORIGINAL 0, VU_ORIGINAL e ser o 1o acrescimo do item.",IF(AND(ISNUMBER(SEARCH("NOVO",D76)),OR(N76="",ISERROR(MATCH(N76,{"C0","C1","C2","C3","C4"},0)))),"ALERTA: BASE_VU_OBRIGATORIA",IF(AND(NOT(ISNUMBER(SEARCH("NOVO",D76))),N76&lt;&gt;""),"ALERTA: BASE_VU_NAO_APLICAVEL",IF(AND(UPPER(H76)="SIM",NOT(ISNUMBER(I76))),"ALERTA: BASE_VU_INVALIDA_OU_POSTERIOR_AO_FATOR_ALVO","OK"))))))))))</f>
        <v/>
      </c>
      <c r="N76" s="485"/>
      <c r="O76" s="487" t="str">
        <f>IFERROR(IF((COUNTIFS($A$2:$A$200,$A76,$D$2:$D$200,"*novo*",$N$2:$N$200,"C0")+COUNTIFS($A$2:$A$200,$A76,$D$2:$D$200,"*novo*",$N$2:$N$200,"C1")+COUNTIFS($A$2:$A$200,$A76,$D$2:$D$200,"*novo*",$N$2:$N$200,"C2")+COUNTIFS($A$2:$A$200,$A76,$D$2:$D$200,"*novo*",$N$2:$N$200,"C3")+COUNTIFS($A$2:$A$200,$A76,$D$2:$D$200,"*novo*",$N$2:$N$200,"C4"))=1,IF(COUNTIFS($A$2:$A$200,$A76,$D$2:$D$200,"*novo*",$N$2:$N$200,"C4")&gt;0,4,IF(COUNTIFS($A$2:$A$200,$A76,$D$2:$D$200,"*novo*",$N$2:$N$200,"C3")&gt;0,3,IF(COUNTIFS($A$2:$A$200,$A76,$D$2:$D$200,"*novo*",$N$2:$N$200,"C2")&gt;0,2,IF(COUNTIFS($A$2:$A$200,$A76,$D$2:$D$200,"*novo*",$N$2:$N$200,"C1")&gt;0,1,IF(COUNTIFS($A$2:$A$200,$A76,$D$2:$D$200,"*novo*",$N$2:$N$200,"C0")&gt;0,0,""))))),IF(AND((COUNTIFS($A$2:$A$200,$A76,$D$2:$D$200,"*novo*",$N$2:$N$200,"C0")+COUNTIFS($A$2:$A$200,$A76,$D$2:$D$200,"*novo*",$N$2:$N$200,"C1")+COUNTIFS($A$2:$A$200,$A76,$D$2:$D$200,"*novo*",$N$2:$N$200,"C2")+COUNTIFS($A$2:$A$200,$A76,$D$2:$D$200,"*novo*",$N$2:$N$200,"C3")+COUNTIFS($A$2:$A$200,$A76,$D$2:$D$200,"*novo*",$N$2:$N$200,"C4"))=0,INDEX(posicao_contratual!$Y$2:$Y$200,MATCH($A76,posicao_contratual!$A$2:$A$200,0))=0),0,"")),"")</f>
        <v/>
      </c>
    </row>
    <row r="77" spans="1:15" ht="45" customHeight="1" x14ac:dyDescent="0.35">
      <c r="A77" s="105"/>
      <c r="B77" s="189"/>
      <c r="C77" s="99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05"/>
      <c r="E77" s="106"/>
      <c r="F77" s="107" t="str">
        <f>IF(A77="","",IFERROR(VLOOKUP(A77,itens_Remanesc!$A:$C,3,0),""))</f>
        <v/>
      </c>
      <c r="G77" s="107" t="str">
        <f t="shared" si="6"/>
        <v/>
      </c>
      <c r="H77" s="105"/>
      <c r="I77" s="64" t="str">
        <f>IFERROR(IF(OR($A77="",$C77=""),"",IF(OR(($O77)="",($O77)&gt;(MIN(MATCH($C77,{"C0","C1","C2","C3","C4"},0)-1,COUNT(parametros!$F$2:$F$6)-1)),NOT(ISNUMBER(INDEX(parametros!$F$2:$F$6,(MIN(MATCH($C77,{"C0","C1","C2","C3","C4"},0)-1,COUNT(parametros!$F$2:$F$6)-1))+1))),NOT(ISNUMBER(INDEX(parametros!$F$2:$F$6,($O77)+1)))),"",INDEX(parametros!$F$2:$F$6,(MIN(MATCH($C77,{"C0","C1","C2","C3","C4"},0)-1,COUNT(parametros!$F$2:$F$6)-1))+1)/INDEX(parametros!$F$2:$F$6,($O77)+1))),"")</f>
        <v/>
      </c>
      <c r="J77" s="107" t="str">
        <f t="shared" si="7"/>
        <v/>
      </c>
      <c r="K77" s="105"/>
      <c r="L77" s="85" t="str">
        <f t="shared" si="8"/>
        <v/>
      </c>
      <c r="M77" s="483" t="str">
        <f>IF(A77="","",IF(COUNTIF(itens_Remanesc!$A$2:$A$200,A77)=0,"NOVO ITEM NAO CADASTRADO - CADASTRAR EM itens_Remanesc: ITEM + VU_ORIGINAL (QTD_BASE_ORIGINAL sera 0 automaticamente); depois a data e a quantidade aqui.",IF(COUNTIF(itens_Remanesc!$A$2:$A$200,A77)&gt;1,"ALERTA: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TIPO_INVALIDO",IF(AND(ISNUMBER(SEARCH("NOVO",D77)),OR(INDEX(posicao_contratual!$C$2:$C$200,MATCH(A77,posicao_contratual!$A$2:$A$200,0))&lt;&gt;0,F77="",COUNTIFS($A$2:$A$200,A77,$B$2:$B$200,"&lt;"&amp;B77,$L$2:$L$200,"&gt;0")&gt;0)),"ALERTA: NOVO ITEM INVALIDO - use Acrescimo se o item ja existia; novo item exige QTD_BASE_ORIGINAL 0, VU_ORIGINAL e ser o 1o acrescimo do item.",IF(AND(ISNUMBER(SEARCH("NOVO",D77)),OR(N77="",ISERROR(MATCH(N77,{"C0","C1","C2","C3","C4"},0)))),"ALERTA: BASE_VU_OBRIGATORIA",IF(AND(NOT(ISNUMBER(SEARCH("NOVO",D77))),N77&lt;&gt;""),"ALERTA: BASE_VU_NAO_APLICAVEL",IF(AND(UPPER(H77)="SIM",NOT(ISNUMBER(I77))),"ALERTA: BASE_VU_INVALIDA_OU_POSTERIOR_AO_FATOR_ALVO","OK"))))))))))</f>
        <v/>
      </c>
      <c r="N77" s="485"/>
      <c r="O77" s="487" t="str">
        <f>IFERROR(IF((COUNTIFS($A$2:$A$200,$A77,$D$2:$D$200,"*novo*",$N$2:$N$200,"C0")+COUNTIFS($A$2:$A$200,$A77,$D$2:$D$200,"*novo*",$N$2:$N$200,"C1")+COUNTIFS($A$2:$A$200,$A77,$D$2:$D$200,"*novo*",$N$2:$N$200,"C2")+COUNTIFS($A$2:$A$200,$A77,$D$2:$D$200,"*novo*",$N$2:$N$200,"C3")+COUNTIFS($A$2:$A$200,$A77,$D$2:$D$200,"*novo*",$N$2:$N$200,"C4"))=1,IF(COUNTIFS($A$2:$A$200,$A77,$D$2:$D$200,"*novo*",$N$2:$N$200,"C4")&gt;0,4,IF(COUNTIFS($A$2:$A$200,$A77,$D$2:$D$200,"*novo*",$N$2:$N$200,"C3")&gt;0,3,IF(COUNTIFS($A$2:$A$200,$A77,$D$2:$D$200,"*novo*",$N$2:$N$200,"C2")&gt;0,2,IF(COUNTIFS($A$2:$A$200,$A77,$D$2:$D$200,"*novo*",$N$2:$N$200,"C1")&gt;0,1,IF(COUNTIFS($A$2:$A$200,$A77,$D$2:$D$200,"*novo*",$N$2:$N$200,"C0")&gt;0,0,""))))),IF(AND((COUNTIFS($A$2:$A$200,$A77,$D$2:$D$200,"*novo*",$N$2:$N$200,"C0")+COUNTIFS($A$2:$A$200,$A77,$D$2:$D$200,"*novo*",$N$2:$N$200,"C1")+COUNTIFS($A$2:$A$200,$A77,$D$2:$D$200,"*novo*",$N$2:$N$200,"C2")+COUNTIFS($A$2:$A$200,$A77,$D$2:$D$200,"*novo*",$N$2:$N$200,"C3")+COUNTIFS($A$2:$A$200,$A77,$D$2:$D$200,"*novo*",$N$2:$N$200,"C4"))=0,INDEX(posicao_contratual!$Y$2:$Y$200,MATCH($A77,posicao_contratual!$A$2:$A$200,0))=0),0,"")),"")</f>
        <v/>
      </c>
    </row>
    <row r="78" spans="1:15" ht="45" customHeight="1" x14ac:dyDescent="0.35">
      <c r="A78" s="105"/>
      <c r="B78" s="189"/>
      <c r="C78" s="99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05"/>
      <c r="E78" s="106"/>
      <c r="F78" s="107" t="str">
        <f>IF(A78="","",IFERROR(VLOOKUP(A78,itens_Remanesc!$A:$C,3,0),""))</f>
        <v/>
      </c>
      <c r="G78" s="107" t="str">
        <f t="shared" si="6"/>
        <v/>
      </c>
      <c r="H78" s="105"/>
      <c r="I78" s="64" t="str">
        <f>IFERROR(IF(OR($A78="",$C78=""),"",IF(OR(($O78)="",($O78)&gt;(MIN(MATCH($C78,{"C0","C1","C2","C3","C4"},0)-1,COUNT(parametros!$F$2:$F$6)-1)),NOT(ISNUMBER(INDEX(parametros!$F$2:$F$6,(MIN(MATCH($C78,{"C0","C1","C2","C3","C4"},0)-1,COUNT(parametros!$F$2:$F$6)-1))+1))),NOT(ISNUMBER(INDEX(parametros!$F$2:$F$6,($O78)+1)))),"",INDEX(parametros!$F$2:$F$6,(MIN(MATCH($C78,{"C0","C1","C2","C3","C4"},0)-1,COUNT(parametros!$F$2:$F$6)-1))+1)/INDEX(parametros!$F$2:$F$6,($O78)+1))),"")</f>
        <v/>
      </c>
      <c r="J78" s="107" t="str">
        <f t="shared" si="7"/>
        <v/>
      </c>
      <c r="K78" s="105"/>
      <c r="L78" s="85" t="str">
        <f t="shared" si="8"/>
        <v/>
      </c>
      <c r="M78" s="483" t="str">
        <f>IF(A78="","",IF(COUNTIF(itens_Remanesc!$A$2:$A$200,A78)=0,"NOVO ITEM NAO CADASTRADO - CADASTRAR EM itens_Remanesc: ITEM + VU_ORIGINAL (QTD_BASE_ORIGINAL sera 0 automaticamente); depois a data e a quantidade aqui.",IF(COUNTIF(itens_Remanesc!$A$2:$A$200,A78)&gt;1,"ALERTA: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TIPO_INVALIDO",IF(AND(ISNUMBER(SEARCH("NOVO",D78)),OR(INDEX(posicao_contratual!$C$2:$C$200,MATCH(A78,posicao_contratual!$A$2:$A$200,0))&lt;&gt;0,F78="",COUNTIFS($A$2:$A$200,A78,$B$2:$B$200,"&lt;"&amp;B78,$L$2:$L$200,"&gt;0")&gt;0)),"ALERTA: NOVO ITEM INVALIDO - use Acrescimo se o item ja existia; novo item exige QTD_BASE_ORIGINAL 0, VU_ORIGINAL e ser o 1o acrescimo do item.",IF(AND(ISNUMBER(SEARCH("NOVO",D78)),OR(N78="",ISERROR(MATCH(N78,{"C0","C1","C2","C3","C4"},0)))),"ALERTA: BASE_VU_OBRIGATORIA",IF(AND(NOT(ISNUMBER(SEARCH("NOVO",D78))),N78&lt;&gt;""),"ALERTA: BASE_VU_NAO_APLICAVEL",IF(AND(UPPER(H78)="SIM",NOT(ISNUMBER(I78))),"ALERTA: BASE_VU_INVALIDA_OU_POSTERIOR_AO_FATOR_ALVO","OK"))))))))))</f>
        <v/>
      </c>
      <c r="N78" s="485"/>
      <c r="O78" s="487" t="str">
        <f>IFERROR(IF((COUNTIFS($A$2:$A$200,$A78,$D$2:$D$200,"*novo*",$N$2:$N$200,"C0")+COUNTIFS($A$2:$A$200,$A78,$D$2:$D$200,"*novo*",$N$2:$N$200,"C1")+COUNTIFS($A$2:$A$200,$A78,$D$2:$D$200,"*novo*",$N$2:$N$200,"C2")+COUNTIFS($A$2:$A$200,$A78,$D$2:$D$200,"*novo*",$N$2:$N$200,"C3")+COUNTIFS($A$2:$A$200,$A78,$D$2:$D$200,"*novo*",$N$2:$N$200,"C4"))=1,IF(COUNTIFS($A$2:$A$200,$A78,$D$2:$D$200,"*novo*",$N$2:$N$200,"C4")&gt;0,4,IF(COUNTIFS($A$2:$A$200,$A78,$D$2:$D$200,"*novo*",$N$2:$N$200,"C3")&gt;0,3,IF(COUNTIFS($A$2:$A$200,$A78,$D$2:$D$200,"*novo*",$N$2:$N$200,"C2")&gt;0,2,IF(COUNTIFS($A$2:$A$200,$A78,$D$2:$D$200,"*novo*",$N$2:$N$200,"C1")&gt;0,1,IF(COUNTIFS($A$2:$A$200,$A78,$D$2:$D$200,"*novo*",$N$2:$N$200,"C0")&gt;0,0,""))))),IF(AND((COUNTIFS($A$2:$A$200,$A78,$D$2:$D$200,"*novo*",$N$2:$N$200,"C0")+COUNTIFS($A$2:$A$200,$A78,$D$2:$D$200,"*novo*",$N$2:$N$200,"C1")+COUNTIFS($A$2:$A$200,$A78,$D$2:$D$200,"*novo*",$N$2:$N$200,"C2")+COUNTIFS($A$2:$A$200,$A78,$D$2:$D$200,"*novo*",$N$2:$N$200,"C3")+COUNTIFS($A$2:$A$200,$A78,$D$2:$D$200,"*novo*",$N$2:$N$200,"C4"))=0,INDEX(posicao_contratual!$Y$2:$Y$200,MATCH($A78,posicao_contratual!$A$2:$A$200,0))=0),0,"")),"")</f>
        <v/>
      </c>
    </row>
    <row r="79" spans="1:15" ht="45" customHeight="1" x14ac:dyDescent="0.35">
      <c r="A79" s="105"/>
      <c r="B79" s="189"/>
      <c r="C79" s="99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05"/>
      <c r="E79" s="106"/>
      <c r="F79" s="107" t="str">
        <f>IF(A79="","",IFERROR(VLOOKUP(A79,itens_Remanesc!$A:$C,3,0),""))</f>
        <v/>
      </c>
      <c r="G79" s="107" t="str">
        <f t="shared" si="6"/>
        <v/>
      </c>
      <c r="H79" s="105"/>
      <c r="I79" s="64" t="str">
        <f>IFERROR(IF(OR($A79="",$C79=""),"",IF(OR(($O79)="",($O79)&gt;(MIN(MATCH($C79,{"C0","C1","C2","C3","C4"},0)-1,COUNT(parametros!$F$2:$F$6)-1)),NOT(ISNUMBER(INDEX(parametros!$F$2:$F$6,(MIN(MATCH($C79,{"C0","C1","C2","C3","C4"},0)-1,COUNT(parametros!$F$2:$F$6)-1))+1))),NOT(ISNUMBER(INDEX(parametros!$F$2:$F$6,($O79)+1)))),"",INDEX(parametros!$F$2:$F$6,(MIN(MATCH($C79,{"C0","C1","C2","C3","C4"},0)-1,COUNT(parametros!$F$2:$F$6)-1))+1)/INDEX(parametros!$F$2:$F$6,($O79)+1))),"")</f>
        <v/>
      </c>
      <c r="J79" s="107" t="str">
        <f t="shared" si="7"/>
        <v/>
      </c>
      <c r="K79" s="105"/>
      <c r="L79" s="85" t="str">
        <f t="shared" si="8"/>
        <v/>
      </c>
      <c r="M79" s="483" t="str">
        <f>IF(A79="","",IF(COUNTIF(itens_Remanesc!$A$2:$A$200,A79)=0,"NOVO ITEM NAO CADASTRADO - CADASTRAR EM itens_Remanesc: ITEM + VU_ORIGINAL (QTD_BASE_ORIGINAL sera 0 automaticamente); depois a data e a quantidade aqui.",IF(COUNTIF(itens_Remanesc!$A$2:$A$200,A79)&gt;1,"ALERTA: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TIPO_INVALIDO",IF(AND(ISNUMBER(SEARCH("NOVO",D79)),OR(INDEX(posicao_contratual!$C$2:$C$200,MATCH(A79,posicao_contratual!$A$2:$A$200,0))&lt;&gt;0,F79="",COUNTIFS($A$2:$A$200,A79,$B$2:$B$200,"&lt;"&amp;B79,$L$2:$L$200,"&gt;0")&gt;0)),"ALERTA: NOVO ITEM INVALIDO - use Acrescimo se o item ja existia; novo item exige QTD_BASE_ORIGINAL 0, VU_ORIGINAL e ser o 1o acrescimo do item.",IF(AND(ISNUMBER(SEARCH("NOVO",D79)),OR(N79="",ISERROR(MATCH(N79,{"C0","C1","C2","C3","C4"},0)))),"ALERTA: BASE_VU_OBRIGATORIA",IF(AND(NOT(ISNUMBER(SEARCH("NOVO",D79))),N79&lt;&gt;""),"ALERTA: BASE_VU_NAO_APLICAVEL",IF(AND(UPPER(H79)="SIM",NOT(ISNUMBER(I79))),"ALERTA: BASE_VU_INVALIDA_OU_POSTERIOR_AO_FATOR_ALVO","OK"))))))))))</f>
        <v/>
      </c>
      <c r="N79" s="485"/>
      <c r="O79" s="487" t="str">
        <f>IFERROR(IF((COUNTIFS($A$2:$A$200,$A79,$D$2:$D$200,"*novo*",$N$2:$N$200,"C0")+COUNTIFS($A$2:$A$200,$A79,$D$2:$D$200,"*novo*",$N$2:$N$200,"C1")+COUNTIFS($A$2:$A$200,$A79,$D$2:$D$200,"*novo*",$N$2:$N$200,"C2")+COUNTIFS($A$2:$A$200,$A79,$D$2:$D$200,"*novo*",$N$2:$N$200,"C3")+COUNTIFS($A$2:$A$200,$A79,$D$2:$D$200,"*novo*",$N$2:$N$200,"C4"))=1,IF(COUNTIFS($A$2:$A$200,$A79,$D$2:$D$200,"*novo*",$N$2:$N$200,"C4")&gt;0,4,IF(COUNTIFS($A$2:$A$200,$A79,$D$2:$D$200,"*novo*",$N$2:$N$200,"C3")&gt;0,3,IF(COUNTIFS($A$2:$A$200,$A79,$D$2:$D$200,"*novo*",$N$2:$N$200,"C2")&gt;0,2,IF(COUNTIFS($A$2:$A$200,$A79,$D$2:$D$200,"*novo*",$N$2:$N$200,"C1")&gt;0,1,IF(COUNTIFS($A$2:$A$200,$A79,$D$2:$D$200,"*novo*",$N$2:$N$200,"C0")&gt;0,0,""))))),IF(AND((COUNTIFS($A$2:$A$200,$A79,$D$2:$D$200,"*novo*",$N$2:$N$200,"C0")+COUNTIFS($A$2:$A$200,$A79,$D$2:$D$200,"*novo*",$N$2:$N$200,"C1")+COUNTIFS($A$2:$A$200,$A79,$D$2:$D$200,"*novo*",$N$2:$N$200,"C2")+COUNTIFS($A$2:$A$200,$A79,$D$2:$D$200,"*novo*",$N$2:$N$200,"C3")+COUNTIFS($A$2:$A$200,$A79,$D$2:$D$200,"*novo*",$N$2:$N$200,"C4"))=0,INDEX(posicao_contratual!$Y$2:$Y$200,MATCH($A79,posicao_contratual!$A$2:$A$200,0))=0),0,"")),"")</f>
        <v/>
      </c>
    </row>
    <row r="80" spans="1:15" ht="45" customHeight="1" x14ac:dyDescent="0.35">
      <c r="A80" s="105"/>
      <c r="B80" s="189"/>
      <c r="C80" s="99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05"/>
      <c r="E80" s="106"/>
      <c r="F80" s="107" t="str">
        <f>IF(A80="","",IFERROR(VLOOKUP(A80,itens_Remanesc!$A:$C,3,0),""))</f>
        <v/>
      </c>
      <c r="G80" s="107" t="str">
        <f t="shared" si="6"/>
        <v/>
      </c>
      <c r="H80" s="105"/>
      <c r="I80" s="64" t="str">
        <f>IFERROR(IF(OR($A80="",$C80=""),"",IF(OR(($O80)="",($O80)&gt;(MIN(MATCH($C80,{"C0","C1","C2","C3","C4"},0)-1,COUNT(parametros!$F$2:$F$6)-1)),NOT(ISNUMBER(INDEX(parametros!$F$2:$F$6,(MIN(MATCH($C80,{"C0","C1","C2","C3","C4"},0)-1,COUNT(parametros!$F$2:$F$6)-1))+1))),NOT(ISNUMBER(INDEX(parametros!$F$2:$F$6,($O80)+1)))),"",INDEX(parametros!$F$2:$F$6,(MIN(MATCH($C80,{"C0","C1","C2","C3","C4"},0)-1,COUNT(parametros!$F$2:$F$6)-1))+1)/INDEX(parametros!$F$2:$F$6,($O80)+1))),"")</f>
        <v/>
      </c>
      <c r="J80" s="107" t="str">
        <f t="shared" si="7"/>
        <v/>
      </c>
      <c r="K80" s="105"/>
      <c r="L80" s="85" t="str">
        <f t="shared" si="8"/>
        <v/>
      </c>
      <c r="M80" s="483" t="str">
        <f>IF(A80="","",IF(COUNTIF(itens_Remanesc!$A$2:$A$200,A80)=0,"NOVO ITEM NAO CADASTRADO - CADASTRAR EM itens_Remanesc: ITEM + VU_ORIGINAL (QTD_BASE_ORIGINAL sera 0 automaticamente); depois a data e a quantidade aqui.",IF(COUNTIF(itens_Remanesc!$A$2:$A$200,A80)&gt;1,"ALERTA: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TIPO_INVALIDO",IF(AND(ISNUMBER(SEARCH("NOVO",D80)),OR(INDEX(posicao_contratual!$C$2:$C$200,MATCH(A80,posicao_contratual!$A$2:$A$200,0))&lt;&gt;0,F80="",COUNTIFS($A$2:$A$200,A80,$B$2:$B$200,"&lt;"&amp;B80,$L$2:$L$200,"&gt;0")&gt;0)),"ALERTA: NOVO ITEM INVALIDO - use Acrescimo se o item ja existia; novo item exige QTD_BASE_ORIGINAL 0, VU_ORIGINAL e ser o 1o acrescimo do item.",IF(AND(ISNUMBER(SEARCH("NOVO",D80)),OR(N80="",ISERROR(MATCH(N80,{"C0","C1","C2","C3","C4"},0)))),"ALERTA: BASE_VU_OBRIGATORIA",IF(AND(NOT(ISNUMBER(SEARCH("NOVO",D80))),N80&lt;&gt;""),"ALERTA: BASE_VU_NAO_APLICAVEL",IF(AND(UPPER(H80)="SIM",NOT(ISNUMBER(I80))),"ALERTA: BASE_VU_INVALIDA_OU_POSTERIOR_AO_FATOR_ALVO","OK"))))))))))</f>
        <v/>
      </c>
      <c r="N80" s="485"/>
      <c r="O80" s="487" t="str">
        <f>IFERROR(IF((COUNTIFS($A$2:$A$200,$A80,$D$2:$D$200,"*novo*",$N$2:$N$200,"C0")+COUNTIFS($A$2:$A$200,$A80,$D$2:$D$200,"*novo*",$N$2:$N$200,"C1")+COUNTIFS($A$2:$A$200,$A80,$D$2:$D$200,"*novo*",$N$2:$N$200,"C2")+COUNTIFS($A$2:$A$200,$A80,$D$2:$D$200,"*novo*",$N$2:$N$200,"C3")+COUNTIFS($A$2:$A$200,$A80,$D$2:$D$200,"*novo*",$N$2:$N$200,"C4"))=1,IF(COUNTIFS($A$2:$A$200,$A80,$D$2:$D$200,"*novo*",$N$2:$N$200,"C4")&gt;0,4,IF(COUNTIFS($A$2:$A$200,$A80,$D$2:$D$200,"*novo*",$N$2:$N$200,"C3")&gt;0,3,IF(COUNTIFS($A$2:$A$200,$A80,$D$2:$D$200,"*novo*",$N$2:$N$200,"C2")&gt;0,2,IF(COUNTIFS($A$2:$A$200,$A80,$D$2:$D$200,"*novo*",$N$2:$N$200,"C1")&gt;0,1,IF(COUNTIFS($A$2:$A$200,$A80,$D$2:$D$200,"*novo*",$N$2:$N$200,"C0")&gt;0,0,""))))),IF(AND((COUNTIFS($A$2:$A$200,$A80,$D$2:$D$200,"*novo*",$N$2:$N$200,"C0")+COUNTIFS($A$2:$A$200,$A80,$D$2:$D$200,"*novo*",$N$2:$N$200,"C1")+COUNTIFS($A$2:$A$200,$A80,$D$2:$D$200,"*novo*",$N$2:$N$200,"C2")+COUNTIFS($A$2:$A$200,$A80,$D$2:$D$200,"*novo*",$N$2:$N$200,"C3")+COUNTIFS($A$2:$A$200,$A80,$D$2:$D$200,"*novo*",$N$2:$N$200,"C4"))=0,INDEX(posicao_contratual!$Y$2:$Y$200,MATCH($A80,posicao_contratual!$A$2:$A$200,0))=0),0,"")),"")</f>
        <v/>
      </c>
    </row>
    <row r="81" spans="1:15" ht="45" customHeight="1" x14ac:dyDescent="0.35">
      <c r="A81" s="105"/>
      <c r="B81" s="189"/>
      <c r="C81" s="99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05"/>
      <c r="E81" s="106"/>
      <c r="F81" s="107" t="str">
        <f>IF(A81="","",IFERROR(VLOOKUP(A81,itens_Remanesc!$A:$C,3,0),""))</f>
        <v/>
      </c>
      <c r="G81" s="107" t="str">
        <f t="shared" si="6"/>
        <v/>
      </c>
      <c r="H81" s="105"/>
      <c r="I81" s="64" t="str">
        <f>IFERROR(IF(OR($A81="",$C81=""),"",IF(OR(($O81)="",($O81)&gt;(MIN(MATCH($C81,{"C0","C1","C2","C3","C4"},0)-1,COUNT(parametros!$F$2:$F$6)-1)),NOT(ISNUMBER(INDEX(parametros!$F$2:$F$6,(MIN(MATCH($C81,{"C0","C1","C2","C3","C4"},0)-1,COUNT(parametros!$F$2:$F$6)-1))+1))),NOT(ISNUMBER(INDEX(parametros!$F$2:$F$6,($O81)+1)))),"",INDEX(parametros!$F$2:$F$6,(MIN(MATCH($C81,{"C0","C1","C2","C3","C4"},0)-1,COUNT(parametros!$F$2:$F$6)-1))+1)/INDEX(parametros!$F$2:$F$6,($O81)+1))),"")</f>
        <v/>
      </c>
      <c r="J81" s="107" t="str">
        <f t="shared" si="7"/>
        <v/>
      </c>
      <c r="K81" s="105"/>
      <c r="L81" s="85" t="str">
        <f t="shared" si="8"/>
        <v/>
      </c>
      <c r="M81" s="483" t="str">
        <f>IF(A81="","",IF(COUNTIF(itens_Remanesc!$A$2:$A$200,A81)=0,"NOVO ITEM NAO CADASTRADO - CADASTRAR EM itens_Remanesc: ITEM + VU_ORIGINAL (QTD_BASE_ORIGINAL sera 0 automaticamente); depois a data e a quantidade aqui.",IF(COUNTIF(itens_Remanesc!$A$2:$A$200,A81)&gt;1,"ALERTA: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TIPO_INVALIDO",IF(AND(ISNUMBER(SEARCH("NOVO",D81)),OR(INDEX(posicao_contratual!$C$2:$C$200,MATCH(A81,posicao_contratual!$A$2:$A$200,0))&lt;&gt;0,F81="",COUNTIFS($A$2:$A$200,A81,$B$2:$B$200,"&lt;"&amp;B81,$L$2:$L$200,"&gt;0")&gt;0)),"ALERTA: NOVO ITEM INVALIDO - use Acrescimo se o item ja existia; novo item exige QTD_BASE_ORIGINAL 0, VU_ORIGINAL e ser o 1o acrescimo do item.",IF(AND(ISNUMBER(SEARCH("NOVO",D81)),OR(N81="",ISERROR(MATCH(N81,{"C0","C1","C2","C3","C4"},0)))),"ALERTA: BASE_VU_OBRIGATORIA",IF(AND(NOT(ISNUMBER(SEARCH("NOVO",D81))),N81&lt;&gt;""),"ALERTA: BASE_VU_NAO_APLICAVEL",IF(AND(UPPER(H81)="SIM",NOT(ISNUMBER(I81))),"ALERTA: BASE_VU_INVALIDA_OU_POSTERIOR_AO_FATOR_ALVO","OK"))))))))))</f>
        <v/>
      </c>
      <c r="N81" s="485"/>
      <c r="O81" s="487" t="str">
        <f>IFERROR(IF((COUNTIFS($A$2:$A$200,$A81,$D$2:$D$200,"*novo*",$N$2:$N$200,"C0")+COUNTIFS($A$2:$A$200,$A81,$D$2:$D$200,"*novo*",$N$2:$N$200,"C1")+COUNTIFS($A$2:$A$200,$A81,$D$2:$D$200,"*novo*",$N$2:$N$200,"C2")+COUNTIFS($A$2:$A$200,$A81,$D$2:$D$200,"*novo*",$N$2:$N$200,"C3")+COUNTIFS($A$2:$A$200,$A81,$D$2:$D$200,"*novo*",$N$2:$N$200,"C4"))=1,IF(COUNTIFS($A$2:$A$200,$A81,$D$2:$D$200,"*novo*",$N$2:$N$200,"C4")&gt;0,4,IF(COUNTIFS($A$2:$A$200,$A81,$D$2:$D$200,"*novo*",$N$2:$N$200,"C3")&gt;0,3,IF(COUNTIFS($A$2:$A$200,$A81,$D$2:$D$200,"*novo*",$N$2:$N$200,"C2")&gt;0,2,IF(COUNTIFS($A$2:$A$200,$A81,$D$2:$D$200,"*novo*",$N$2:$N$200,"C1")&gt;0,1,IF(COUNTIFS($A$2:$A$200,$A81,$D$2:$D$200,"*novo*",$N$2:$N$200,"C0")&gt;0,0,""))))),IF(AND((COUNTIFS($A$2:$A$200,$A81,$D$2:$D$200,"*novo*",$N$2:$N$200,"C0")+COUNTIFS($A$2:$A$200,$A81,$D$2:$D$200,"*novo*",$N$2:$N$200,"C1")+COUNTIFS($A$2:$A$200,$A81,$D$2:$D$200,"*novo*",$N$2:$N$200,"C2")+COUNTIFS($A$2:$A$200,$A81,$D$2:$D$200,"*novo*",$N$2:$N$200,"C3")+COUNTIFS($A$2:$A$200,$A81,$D$2:$D$200,"*novo*",$N$2:$N$200,"C4"))=0,INDEX(posicao_contratual!$Y$2:$Y$200,MATCH($A81,posicao_contratual!$A$2:$A$200,0))=0),0,"")),"")</f>
        <v/>
      </c>
    </row>
    <row r="82" spans="1:15" ht="45" customHeight="1" x14ac:dyDescent="0.35">
      <c r="A82" s="105"/>
      <c r="B82" s="189"/>
      <c r="C82" s="99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05"/>
      <c r="E82" s="106"/>
      <c r="F82" s="107" t="str">
        <f>IF(A82="","",IFERROR(VLOOKUP(A82,itens_Remanesc!$A:$C,3,0),""))</f>
        <v/>
      </c>
      <c r="G82" s="107" t="str">
        <f t="shared" si="6"/>
        <v/>
      </c>
      <c r="H82" s="105"/>
      <c r="I82" s="64" t="str">
        <f>IFERROR(IF(OR($A82="",$C82=""),"",IF(OR(($O82)="",($O82)&gt;(MIN(MATCH($C82,{"C0","C1","C2","C3","C4"},0)-1,COUNT(parametros!$F$2:$F$6)-1)),NOT(ISNUMBER(INDEX(parametros!$F$2:$F$6,(MIN(MATCH($C82,{"C0","C1","C2","C3","C4"},0)-1,COUNT(parametros!$F$2:$F$6)-1))+1))),NOT(ISNUMBER(INDEX(parametros!$F$2:$F$6,($O82)+1)))),"",INDEX(parametros!$F$2:$F$6,(MIN(MATCH($C82,{"C0","C1","C2","C3","C4"},0)-1,COUNT(parametros!$F$2:$F$6)-1))+1)/INDEX(parametros!$F$2:$F$6,($O82)+1))),"")</f>
        <v/>
      </c>
      <c r="J82" s="107" t="str">
        <f t="shared" si="7"/>
        <v/>
      </c>
      <c r="K82" s="105"/>
      <c r="L82" s="85" t="str">
        <f t="shared" si="8"/>
        <v/>
      </c>
      <c r="M82" s="483" t="str">
        <f>IF(A82="","",IF(COUNTIF(itens_Remanesc!$A$2:$A$200,A82)=0,"NOVO ITEM NAO CADASTRADO - CADASTRAR EM itens_Remanesc: ITEM + VU_ORIGINAL (QTD_BASE_ORIGINAL sera 0 automaticamente); depois a data e a quantidade aqui.",IF(COUNTIF(itens_Remanesc!$A$2:$A$200,A82)&gt;1,"ALERTA: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TIPO_INVALIDO",IF(AND(ISNUMBER(SEARCH("NOVO",D82)),OR(INDEX(posicao_contratual!$C$2:$C$200,MATCH(A82,posicao_contratual!$A$2:$A$200,0))&lt;&gt;0,F82="",COUNTIFS($A$2:$A$200,A82,$B$2:$B$200,"&lt;"&amp;B82,$L$2:$L$200,"&gt;0")&gt;0)),"ALERTA: NOVO ITEM INVALIDO - use Acrescimo se o item ja existia; novo item exige QTD_BASE_ORIGINAL 0, VU_ORIGINAL e ser o 1o acrescimo do item.",IF(AND(ISNUMBER(SEARCH("NOVO",D82)),OR(N82="",ISERROR(MATCH(N82,{"C0","C1","C2","C3","C4"},0)))),"ALERTA: BASE_VU_OBRIGATORIA",IF(AND(NOT(ISNUMBER(SEARCH("NOVO",D82))),N82&lt;&gt;""),"ALERTA: BASE_VU_NAO_APLICAVEL",IF(AND(UPPER(H82)="SIM",NOT(ISNUMBER(I82))),"ALERTA: BASE_VU_INVALIDA_OU_POSTERIOR_AO_FATOR_ALVO","OK"))))))))))</f>
        <v/>
      </c>
      <c r="N82" s="485"/>
      <c r="O82" s="487" t="str">
        <f>IFERROR(IF((COUNTIFS($A$2:$A$200,$A82,$D$2:$D$200,"*novo*",$N$2:$N$200,"C0")+COUNTIFS($A$2:$A$200,$A82,$D$2:$D$200,"*novo*",$N$2:$N$200,"C1")+COUNTIFS($A$2:$A$200,$A82,$D$2:$D$200,"*novo*",$N$2:$N$200,"C2")+COUNTIFS($A$2:$A$200,$A82,$D$2:$D$200,"*novo*",$N$2:$N$200,"C3")+COUNTIFS($A$2:$A$200,$A82,$D$2:$D$200,"*novo*",$N$2:$N$200,"C4"))=1,IF(COUNTIFS($A$2:$A$200,$A82,$D$2:$D$200,"*novo*",$N$2:$N$200,"C4")&gt;0,4,IF(COUNTIFS($A$2:$A$200,$A82,$D$2:$D$200,"*novo*",$N$2:$N$200,"C3")&gt;0,3,IF(COUNTIFS($A$2:$A$200,$A82,$D$2:$D$200,"*novo*",$N$2:$N$200,"C2")&gt;0,2,IF(COUNTIFS($A$2:$A$200,$A82,$D$2:$D$200,"*novo*",$N$2:$N$200,"C1")&gt;0,1,IF(COUNTIFS($A$2:$A$200,$A82,$D$2:$D$200,"*novo*",$N$2:$N$200,"C0")&gt;0,0,""))))),IF(AND((COUNTIFS($A$2:$A$200,$A82,$D$2:$D$200,"*novo*",$N$2:$N$200,"C0")+COUNTIFS($A$2:$A$200,$A82,$D$2:$D$200,"*novo*",$N$2:$N$200,"C1")+COUNTIFS($A$2:$A$200,$A82,$D$2:$D$200,"*novo*",$N$2:$N$200,"C2")+COUNTIFS($A$2:$A$200,$A82,$D$2:$D$200,"*novo*",$N$2:$N$200,"C3")+COUNTIFS($A$2:$A$200,$A82,$D$2:$D$200,"*novo*",$N$2:$N$200,"C4"))=0,INDEX(posicao_contratual!$Y$2:$Y$200,MATCH($A82,posicao_contratual!$A$2:$A$200,0))=0),0,"")),"")</f>
        <v/>
      </c>
    </row>
    <row r="83" spans="1:15" ht="45" customHeight="1" x14ac:dyDescent="0.35">
      <c r="A83" s="105"/>
      <c r="B83" s="189"/>
      <c r="C83" s="99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05"/>
      <c r="E83" s="106"/>
      <c r="F83" s="107" t="str">
        <f>IF(A83="","",IFERROR(VLOOKUP(A83,itens_Remanesc!$A:$C,3,0),""))</f>
        <v/>
      </c>
      <c r="G83" s="107" t="str">
        <f t="shared" si="6"/>
        <v/>
      </c>
      <c r="H83" s="105"/>
      <c r="I83" s="64" t="str">
        <f>IFERROR(IF(OR($A83="",$C83=""),"",IF(OR(($O83)="",($O83)&gt;(MIN(MATCH($C83,{"C0","C1","C2","C3","C4"},0)-1,COUNT(parametros!$F$2:$F$6)-1)),NOT(ISNUMBER(INDEX(parametros!$F$2:$F$6,(MIN(MATCH($C83,{"C0","C1","C2","C3","C4"},0)-1,COUNT(parametros!$F$2:$F$6)-1))+1))),NOT(ISNUMBER(INDEX(parametros!$F$2:$F$6,($O83)+1)))),"",INDEX(parametros!$F$2:$F$6,(MIN(MATCH($C83,{"C0","C1","C2","C3","C4"},0)-1,COUNT(parametros!$F$2:$F$6)-1))+1)/INDEX(parametros!$F$2:$F$6,($O83)+1))),"")</f>
        <v/>
      </c>
      <c r="J83" s="107" t="str">
        <f t="shared" si="7"/>
        <v/>
      </c>
      <c r="K83" s="105"/>
      <c r="L83" s="85" t="str">
        <f t="shared" si="8"/>
        <v/>
      </c>
      <c r="M83" s="483" t="str">
        <f>IF(A83="","",IF(COUNTIF(itens_Remanesc!$A$2:$A$200,A83)=0,"NOVO ITEM NAO CADASTRADO - CADASTRAR EM itens_Remanesc: ITEM + VU_ORIGINAL (QTD_BASE_ORIGINAL sera 0 automaticamente); depois a data e a quantidade aqui.",IF(COUNTIF(itens_Remanesc!$A$2:$A$200,A83)&gt;1,"ALERTA: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TIPO_INVALIDO",IF(AND(ISNUMBER(SEARCH("NOVO",D83)),OR(INDEX(posicao_contratual!$C$2:$C$200,MATCH(A83,posicao_contratual!$A$2:$A$200,0))&lt;&gt;0,F83="",COUNTIFS($A$2:$A$200,A83,$B$2:$B$200,"&lt;"&amp;B83,$L$2:$L$200,"&gt;0")&gt;0)),"ALERTA: NOVO ITEM INVALIDO - use Acrescimo se o item ja existia; novo item exige QTD_BASE_ORIGINAL 0, VU_ORIGINAL e ser o 1o acrescimo do item.",IF(AND(ISNUMBER(SEARCH("NOVO",D83)),OR(N83="",ISERROR(MATCH(N83,{"C0","C1","C2","C3","C4"},0)))),"ALERTA: BASE_VU_OBRIGATORIA",IF(AND(NOT(ISNUMBER(SEARCH("NOVO",D83))),N83&lt;&gt;""),"ALERTA: BASE_VU_NAO_APLICAVEL",IF(AND(UPPER(H83)="SIM",NOT(ISNUMBER(I83))),"ALERTA: BASE_VU_INVALIDA_OU_POSTERIOR_AO_FATOR_ALVO","OK"))))))))))</f>
        <v/>
      </c>
      <c r="N83" s="485"/>
      <c r="O83" s="487" t="str">
        <f>IFERROR(IF((COUNTIFS($A$2:$A$200,$A83,$D$2:$D$200,"*novo*",$N$2:$N$200,"C0")+COUNTIFS($A$2:$A$200,$A83,$D$2:$D$200,"*novo*",$N$2:$N$200,"C1")+COUNTIFS($A$2:$A$200,$A83,$D$2:$D$200,"*novo*",$N$2:$N$200,"C2")+COUNTIFS($A$2:$A$200,$A83,$D$2:$D$200,"*novo*",$N$2:$N$200,"C3")+COUNTIFS($A$2:$A$200,$A83,$D$2:$D$200,"*novo*",$N$2:$N$200,"C4"))=1,IF(COUNTIFS($A$2:$A$200,$A83,$D$2:$D$200,"*novo*",$N$2:$N$200,"C4")&gt;0,4,IF(COUNTIFS($A$2:$A$200,$A83,$D$2:$D$200,"*novo*",$N$2:$N$200,"C3")&gt;0,3,IF(COUNTIFS($A$2:$A$200,$A83,$D$2:$D$200,"*novo*",$N$2:$N$200,"C2")&gt;0,2,IF(COUNTIFS($A$2:$A$200,$A83,$D$2:$D$200,"*novo*",$N$2:$N$200,"C1")&gt;0,1,IF(COUNTIFS($A$2:$A$200,$A83,$D$2:$D$200,"*novo*",$N$2:$N$200,"C0")&gt;0,0,""))))),IF(AND((COUNTIFS($A$2:$A$200,$A83,$D$2:$D$200,"*novo*",$N$2:$N$200,"C0")+COUNTIFS($A$2:$A$200,$A83,$D$2:$D$200,"*novo*",$N$2:$N$200,"C1")+COUNTIFS($A$2:$A$200,$A83,$D$2:$D$200,"*novo*",$N$2:$N$200,"C2")+COUNTIFS($A$2:$A$200,$A83,$D$2:$D$200,"*novo*",$N$2:$N$200,"C3")+COUNTIFS($A$2:$A$200,$A83,$D$2:$D$200,"*novo*",$N$2:$N$200,"C4"))=0,INDEX(posicao_contratual!$Y$2:$Y$200,MATCH($A83,posicao_contratual!$A$2:$A$200,0))=0),0,"")),"")</f>
        <v/>
      </c>
    </row>
    <row r="84" spans="1:15" ht="45" customHeight="1" x14ac:dyDescent="0.35">
      <c r="A84" s="105"/>
      <c r="B84" s="189"/>
      <c r="C84" s="99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05"/>
      <c r="E84" s="106"/>
      <c r="F84" s="107" t="str">
        <f>IF(A84="","",IFERROR(VLOOKUP(A84,itens_Remanesc!$A:$C,3,0),""))</f>
        <v/>
      </c>
      <c r="G84" s="107" t="str">
        <f t="shared" si="6"/>
        <v/>
      </c>
      <c r="H84" s="105"/>
      <c r="I84" s="64" t="str">
        <f>IFERROR(IF(OR($A84="",$C84=""),"",IF(OR(($O84)="",($O84)&gt;(MIN(MATCH($C84,{"C0","C1","C2","C3","C4"},0)-1,COUNT(parametros!$F$2:$F$6)-1)),NOT(ISNUMBER(INDEX(parametros!$F$2:$F$6,(MIN(MATCH($C84,{"C0","C1","C2","C3","C4"},0)-1,COUNT(parametros!$F$2:$F$6)-1))+1))),NOT(ISNUMBER(INDEX(parametros!$F$2:$F$6,($O84)+1)))),"",INDEX(parametros!$F$2:$F$6,(MIN(MATCH($C84,{"C0","C1","C2","C3","C4"},0)-1,COUNT(parametros!$F$2:$F$6)-1))+1)/INDEX(parametros!$F$2:$F$6,($O84)+1))),"")</f>
        <v/>
      </c>
      <c r="J84" s="107" t="str">
        <f t="shared" si="7"/>
        <v/>
      </c>
      <c r="K84" s="105"/>
      <c r="L84" s="85" t="str">
        <f t="shared" si="8"/>
        <v/>
      </c>
      <c r="M84" s="483" t="str">
        <f>IF(A84="","",IF(COUNTIF(itens_Remanesc!$A$2:$A$200,A84)=0,"NOVO ITEM NAO CADASTRADO - CADASTRAR EM itens_Remanesc: ITEM + VU_ORIGINAL (QTD_BASE_ORIGINAL sera 0 automaticamente); depois a data e a quantidade aqui.",IF(COUNTIF(itens_Remanesc!$A$2:$A$200,A84)&gt;1,"ALERTA: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TIPO_INVALIDO",IF(AND(ISNUMBER(SEARCH("NOVO",D84)),OR(INDEX(posicao_contratual!$C$2:$C$200,MATCH(A84,posicao_contratual!$A$2:$A$200,0))&lt;&gt;0,F84="",COUNTIFS($A$2:$A$200,A84,$B$2:$B$200,"&lt;"&amp;B84,$L$2:$L$200,"&gt;0")&gt;0)),"ALERTA: NOVO ITEM INVALIDO - use Acrescimo se o item ja existia; novo item exige QTD_BASE_ORIGINAL 0, VU_ORIGINAL e ser o 1o acrescimo do item.",IF(AND(ISNUMBER(SEARCH("NOVO",D84)),OR(N84="",ISERROR(MATCH(N84,{"C0","C1","C2","C3","C4"},0)))),"ALERTA: BASE_VU_OBRIGATORIA",IF(AND(NOT(ISNUMBER(SEARCH("NOVO",D84))),N84&lt;&gt;""),"ALERTA: BASE_VU_NAO_APLICAVEL",IF(AND(UPPER(H84)="SIM",NOT(ISNUMBER(I84))),"ALERTA: BASE_VU_INVALIDA_OU_POSTERIOR_AO_FATOR_ALVO","OK"))))))))))</f>
        <v/>
      </c>
      <c r="N84" s="485"/>
      <c r="O84" s="487" t="str">
        <f>IFERROR(IF((COUNTIFS($A$2:$A$200,$A84,$D$2:$D$200,"*novo*",$N$2:$N$200,"C0")+COUNTIFS($A$2:$A$200,$A84,$D$2:$D$200,"*novo*",$N$2:$N$200,"C1")+COUNTIFS($A$2:$A$200,$A84,$D$2:$D$200,"*novo*",$N$2:$N$200,"C2")+COUNTIFS($A$2:$A$200,$A84,$D$2:$D$200,"*novo*",$N$2:$N$200,"C3")+COUNTIFS($A$2:$A$200,$A84,$D$2:$D$200,"*novo*",$N$2:$N$200,"C4"))=1,IF(COUNTIFS($A$2:$A$200,$A84,$D$2:$D$200,"*novo*",$N$2:$N$200,"C4")&gt;0,4,IF(COUNTIFS($A$2:$A$200,$A84,$D$2:$D$200,"*novo*",$N$2:$N$200,"C3")&gt;0,3,IF(COUNTIFS($A$2:$A$200,$A84,$D$2:$D$200,"*novo*",$N$2:$N$200,"C2")&gt;0,2,IF(COUNTIFS($A$2:$A$200,$A84,$D$2:$D$200,"*novo*",$N$2:$N$200,"C1")&gt;0,1,IF(COUNTIFS($A$2:$A$200,$A84,$D$2:$D$200,"*novo*",$N$2:$N$200,"C0")&gt;0,0,""))))),IF(AND((COUNTIFS($A$2:$A$200,$A84,$D$2:$D$200,"*novo*",$N$2:$N$200,"C0")+COUNTIFS($A$2:$A$200,$A84,$D$2:$D$200,"*novo*",$N$2:$N$200,"C1")+COUNTIFS($A$2:$A$200,$A84,$D$2:$D$200,"*novo*",$N$2:$N$200,"C2")+COUNTIFS($A$2:$A$200,$A84,$D$2:$D$200,"*novo*",$N$2:$N$200,"C3")+COUNTIFS($A$2:$A$200,$A84,$D$2:$D$200,"*novo*",$N$2:$N$200,"C4"))=0,INDEX(posicao_contratual!$Y$2:$Y$200,MATCH($A84,posicao_contratual!$A$2:$A$200,0))=0),0,"")),"")</f>
        <v/>
      </c>
    </row>
    <row r="85" spans="1:15" ht="45" customHeight="1" x14ac:dyDescent="0.35">
      <c r="A85" s="105"/>
      <c r="B85" s="189"/>
      <c r="C85" s="99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05"/>
      <c r="E85" s="106"/>
      <c r="F85" s="107" t="str">
        <f>IF(A85="","",IFERROR(VLOOKUP(A85,itens_Remanesc!$A:$C,3,0),""))</f>
        <v/>
      </c>
      <c r="G85" s="107" t="str">
        <f t="shared" si="6"/>
        <v/>
      </c>
      <c r="H85" s="105"/>
      <c r="I85" s="64" t="str">
        <f>IFERROR(IF(OR($A85="",$C85=""),"",IF(OR(($O85)="",($O85)&gt;(MIN(MATCH($C85,{"C0","C1","C2","C3","C4"},0)-1,COUNT(parametros!$F$2:$F$6)-1)),NOT(ISNUMBER(INDEX(parametros!$F$2:$F$6,(MIN(MATCH($C85,{"C0","C1","C2","C3","C4"},0)-1,COUNT(parametros!$F$2:$F$6)-1))+1))),NOT(ISNUMBER(INDEX(parametros!$F$2:$F$6,($O85)+1)))),"",INDEX(parametros!$F$2:$F$6,(MIN(MATCH($C85,{"C0","C1","C2","C3","C4"},0)-1,COUNT(parametros!$F$2:$F$6)-1))+1)/INDEX(parametros!$F$2:$F$6,($O85)+1))),"")</f>
        <v/>
      </c>
      <c r="J85" s="107" t="str">
        <f t="shared" si="7"/>
        <v/>
      </c>
      <c r="K85" s="105"/>
      <c r="L85" s="85" t="str">
        <f t="shared" si="8"/>
        <v/>
      </c>
      <c r="M85" s="483" t="str">
        <f>IF(A85="","",IF(COUNTIF(itens_Remanesc!$A$2:$A$200,A85)=0,"NOVO ITEM NAO CADASTRADO - CADASTRAR EM itens_Remanesc: ITEM + VU_ORIGINAL (QTD_BASE_ORIGINAL sera 0 automaticamente); depois a data e a quantidade aqui.",IF(COUNTIF(itens_Remanesc!$A$2:$A$200,A85)&gt;1,"ALERTA: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TIPO_INVALIDO",IF(AND(ISNUMBER(SEARCH("NOVO",D85)),OR(INDEX(posicao_contratual!$C$2:$C$200,MATCH(A85,posicao_contratual!$A$2:$A$200,0))&lt;&gt;0,F85="",COUNTIFS($A$2:$A$200,A85,$B$2:$B$200,"&lt;"&amp;B85,$L$2:$L$200,"&gt;0")&gt;0)),"ALERTA: NOVO ITEM INVALIDO - use Acrescimo se o item ja existia; novo item exige QTD_BASE_ORIGINAL 0, VU_ORIGINAL e ser o 1o acrescimo do item.",IF(AND(ISNUMBER(SEARCH("NOVO",D85)),OR(N85="",ISERROR(MATCH(N85,{"C0","C1","C2","C3","C4"},0)))),"ALERTA: BASE_VU_OBRIGATORIA",IF(AND(NOT(ISNUMBER(SEARCH("NOVO",D85))),N85&lt;&gt;""),"ALERTA: BASE_VU_NAO_APLICAVEL",IF(AND(UPPER(H85)="SIM",NOT(ISNUMBER(I85))),"ALERTA: BASE_VU_INVALIDA_OU_POSTERIOR_AO_FATOR_ALVO","OK"))))))))))</f>
        <v/>
      </c>
      <c r="N85" s="485"/>
      <c r="O85" s="487" t="str">
        <f>IFERROR(IF((COUNTIFS($A$2:$A$200,$A85,$D$2:$D$200,"*novo*",$N$2:$N$200,"C0")+COUNTIFS($A$2:$A$200,$A85,$D$2:$D$200,"*novo*",$N$2:$N$200,"C1")+COUNTIFS($A$2:$A$200,$A85,$D$2:$D$200,"*novo*",$N$2:$N$200,"C2")+COUNTIFS($A$2:$A$200,$A85,$D$2:$D$200,"*novo*",$N$2:$N$200,"C3")+COUNTIFS($A$2:$A$200,$A85,$D$2:$D$200,"*novo*",$N$2:$N$200,"C4"))=1,IF(COUNTIFS($A$2:$A$200,$A85,$D$2:$D$200,"*novo*",$N$2:$N$200,"C4")&gt;0,4,IF(COUNTIFS($A$2:$A$200,$A85,$D$2:$D$200,"*novo*",$N$2:$N$200,"C3")&gt;0,3,IF(COUNTIFS($A$2:$A$200,$A85,$D$2:$D$200,"*novo*",$N$2:$N$200,"C2")&gt;0,2,IF(COUNTIFS($A$2:$A$200,$A85,$D$2:$D$200,"*novo*",$N$2:$N$200,"C1")&gt;0,1,IF(COUNTIFS($A$2:$A$200,$A85,$D$2:$D$200,"*novo*",$N$2:$N$200,"C0")&gt;0,0,""))))),IF(AND((COUNTIFS($A$2:$A$200,$A85,$D$2:$D$200,"*novo*",$N$2:$N$200,"C0")+COUNTIFS($A$2:$A$200,$A85,$D$2:$D$200,"*novo*",$N$2:$N$200,"C1")+COUNTIFS($A$2:$A$200,$A85,$D$2:$D$200,"*novo*",$N$2:$N$200,"C2")+COUNTIFS($A$2:$A$200,$A85,$D$2:$D$200,"*novo*",$N$2:$N$200,"C3")+COUNTIFS($A$2:$A$200,$A85,$D$2:$D$200,"*novo*",$N$2:$N$200,"C4"))=0,INDEX(posicao_contratual!$Y$2:$Y$200,MATCH($A85,posicao_contratual!$A$2:$A$200,0))=0),0,"")),"")</f>
        <v/>
      </c>
    </row>
    <row r="86" spans="1:15" ht="45" customHeight="1" x14ac:dyDescent="0.35">
      <c r="A86" s="105"/>
      <c r="B86" s="189"/>
      <c r="C86" s="99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05"/>
      <c r="E86" s="106"/>
      <c r="F86" s="107" t="str">
        <f>IF(A86="","",IFERROR(VLOOKUP(A86,itens_Remanesc!$A:$C,3,0),""))</f>
        <v/>
      </c>
      <c r="G86" s="107" t="str">
        <f t="shared" si="6"/>
        <v/>
      </c>
      <c r="H86" s="105"/>
      <c r="I86" s="64" t="str">
        <f>IFERROR(IF(OR($A86="",$C86=""),"",IF(OR(($O86)="",($O86)&gt;(MIN(MATCH($C86,{"C0","C1","C2","C3","C4"},0)-1,COUNT(parametros!$F$2:$F$6)-1)),NOT(ISNUMBER(INDEX(parametros!$F$2:$F$6,(MIN(MATCH($C86,{"C0","C1","C2","C3","C4"},0)-1,COUNT(parametros!$F$2:$F$6)-1))+1))),NOT(ISNUMBER(INDEX(parametros!$F$2:$F$6,($O86)+1)))),"",INDEX(parametros!$F$2:$F$6,(MIN(MATCH($C86,{"C0","C1","C2","C3","C4"},0)-1,COUNT(parametros!$F$2:$F$6)-1))+1)/INDEX(parametros!$F$2:$F$6,($O86)+1))),"")</f>
        <v/>
      </c>
      <c r="J86" s="107" t="str">
        <f t="shared" si="7"/>
        <v/>
      </c>
      <c r="K86" s="105"/>
      <c r="L86" s="85" t="str">
        <f t="shared" si="8"/>
        <v/>
      </c>
      <c r="M86" s="483" t="str">
        <f>IF(A86="","",IF(COUNTIF(itens_Remanesc!$A$2:$A$200,A86)=0,"NOVO ITEM NAO CADASTRADO - CADASTRAR EM itens_Remanesc: ITEM + VU_ORIGINAL (QTD_BASE_ORIGINAL sera 0 automaticamente); depois a data e a quantidade aqui.",IF(COUNTIF(itens_Remanesc!$A$2:$A$200,A86)&gt;1,"ALERTA: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TIPO_INVALIDO",IF(AND(ISNUMBER(SEARCH("NOVO",D86)),OR(INDEX(posicao_contratual!$C$2:$C$200,MATCH(A86,posicao_contratual!$A$2:$A$200,0))&lt;&gt;0,F86="",COUNTIFS($A$2:$A$200,A86,$B$2:$B$200,"&lt;"&amp;B86,$L$2:$L$200,"&gt;0")&gt;0)),"ALERTA: NOVO ITEM INVALIDO - use Acrescimo se o item ja existia; novo item exige QTD_BASE_ORIGINAL 0, VU_ORIGINAL e ser o 1o acrescimo do item.",IF(AND(ISNUMBER(SEARCH("NOVO",D86)),OR(N86="",ISERROR(MATCH(N86,{"C0","C1","C2","C3","C4"},0)))),"ALERTA: BASE_VU_OBRIGATORIA",IF(AND(NOT(ISNUMBER(SEARCH("NOVO",D86))),N86&lt;&gt;""),"ALERTA: BASE_VU_NAO_APLICAVEL",IF(AND(UPPER(H86)="SIM",NOT(ISNUMBER(I86))),"ALERTA: BASE_VU_INVALIDA_OU_POSTERIOR_AO_FATOR_ALVO","OK"))))))))))</f>
        <v/>
      </c>
      <c r="N86" s="485"/>
      <c r="O86" s="487" t="str">
        <f>IFERROR(IF((COUNTIFS($A$2:$A$200,$A86,$D$2:$D$200,"*novo*",$N$2:$N$200,"C0")+COUNTIFS($A$2:$A$200,$A86,$D$2:$D$200,"*novo*",$N$2:$N$200,"C1")+COUNTIFS($A$2:$A$200,$A86,$D$2:$D$200,"*novo*",$N$2:$N$200,"C2")+COUNTIFS($A$2:$A$200,$A86,$D$2:$D$200,"*novo*",$N$2:$N$200,"C3")+COUNTIFS($A$2:$A$200,$A86,$D$2:$D$200,"*novo*",$N$2:$N$200,"C4"))=1,IF(COUNTIFS($A$2:$A$200,$A86,$D$2:$D$200,"*novo*",$N$2:$N$200,"C4")&gt;0,4,IF(COUNTIFS($A$2:$A$200,$A86,$D$2:$D$200,"*novo*",$N$2:$N$200,"C3")&gt;0,3,IF(COUNTIFS($A$2:$A$200,$A86,$D$2:$D$200,"*novo*",$N$2:$N$200,"C2")&gt;0,2,IF(COUNTIFS($A$2:$A$200,$A86,$D$2:$D$200,"*novo*",$N$2:$N$200,"C1")&gt;0,1,IF(COUNTIFS($A$2:$A$200,$A86,$D$2:$D$200,"*novo*",$N$2:$N$200,"C0")&gt;0,0,""))))),IF(AND((COUNTIFS($A$2:$A$200,$A86,$D$2:$D$200,"*novo*",$N$2:$N$200,"C0")+COUNTIFS($A$2:$A$200,$A86,$D$2:$D$200,"*novo*",$N$2:$N$200,"C1")+COUNTIFS($A$2:$A$200,$A86,$D$2:$D$200,"*novo*",$N$2:$N$200,"C2")+COUNTIFS($A$2:$A$200,$A86,$D$2:$D$200,"*novo*",$N$2:$N$200,"C3")+COUNTIFS($A$2:$A$200,$A86,$D$2:$D$200,"*novo*",$N$2:$N$200,"C4"))=0,INDEX(posicao_contratual!$Y$2:$Y$200,MATCH($A86,posicao_contratual!$A$2:$A$200,0))=0),0,"")),"")</f>
        <v/>
      </c>
    </row>
    <row r="87" spans="1:15" ht="45" customHeight="1" x14ac:dyDescent="0.35">
      <c r="A87" s="105"/>
      <c r="B87" s="189"/>
      <c r="C87" s="99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05"/>
      <c r="E87" s="106"/>
      <c r="F87" s="107" t="str">
        <f>IF(A87="","",IFERROR(VLOOKUP(A87,itens_Remanesc!$A:$C,3,0),""))</f>
        <v/>
      </c>
      <c r="G87" s="107" t="str">
        <f t="shared" si="6"/>
        <v/>
      </c>
      <c r="H87" s="105"/>
      <c r="I87" s="64" t="str">
        <f>IFERROR(IF(OR($A87="",$C87=""),"",IF(OR(($O87)="",($O87)&gt;(MIN(MATCH($C87,{"C0","C1","C2","C3","C4"},0)-1,COUNT(parametros!$F$2:$F$6)-1)),NOT(ISNUMBER(INDEX(parametros!$F$2:$F$6,(MIN(MATCH($C87,{"C0","C1","C2","C3","C4"},0)-1,COUNT(parametros!$F$2:$F$6)-1))+1))),NOT(ISNUMBER(INDEX(parametros!$F$2:$F$6,($O87)+1)))),"",INDEX(parametros!$F$2:$F$6,(MIN(MATCH($C87,{"C0","C1","C2","C3","C4"},0)-1,COUNT(parametros!$F$2:$F$6)-1))+1)/INDEX(parametros!$F$2:$F$6,($O87)+1))),"")</f>
        <v/>
      </c>
      <c r="J87" s="107" t="str">
        <f t="shared" si="7"/>
        <v/>
      </c>
      <c r="K87" s="105"/>
      <c r="L87" s="85" t="str">
        <f t="shared" si="8"/>
        <v/>
      </c>
      <c r="M87" s="483" t="str">
        <f>IF(A87="","",IF(COUNTIF(itens_Remanesc!$A$2:$A$200,A87)=0,"NOVO ITEM NAO CADASTRADO - CADASTRAR EM itens_Remanesc: ITEM + VU_ORIGINAL (QTD_BASE_ORIGINAL sera 0 automaticamente); depois a data e a quantidade aqui.",IF(COUNTIF(itens_Remanesc!$A$2:$A$200,A87)&gt;1,"ALERTA: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TIPO_INVALIDO",IF(AND(ISNUMBER(SEARCH("NOVO",D87)),OR(INDEX(posicao_contratual!$C$2:$C$200,MATCH(A87,posicao_contratual!$A$2:$A$200,0))&lt;&gt;0,F87="",COUNTIFS($A$2:$A$200,A87,$B$2:$B$200,"&lt;"&amp;B87,$L$2:$L$200,"&gt;0")&gt;0)),"ALERTA: NOVO ITEM INVALIDO - use Acrescimo se o item ja existia; novo item exige QTD_BASE_ORIGINAL 0, VU_ORIGINAL e ser o 1o acrescimo do item.",IF(AND(ISNUMBER(SEARCH("NOVO",D87)),OR(N87="",ISERROR(MATCH(N87,{"C0","C1","C2","C3","C4"},0)))),"ALERTA: BASE_VU_OBRIGATORIA",IF(AND(NOT(ISNUMBER(SEARCH("NOVO",D87))),N87&lt;&gt;""),"ALERTA: BASE_VU_NAO_APLICAVEL",IF(AND(UPPER(H87)="SIM",NOT(ISNUMBER(I87))),"ALERTA: BASE_VU_INVALIDA_OU_POSTERIOR_AO_FATOR_ALVO","OK"))))))))))</f>
        <v/>
      </c>
      <c r="N87" s="485"/>
      <c r="O87" s="487" t="str">
        <f>IFERROR(IF((COUNTIFS($A$2:$A$200,$A87,$D$2:$D$200,"*novo*",$N$2:$N$200,"C0")+COUNTIFS($A$2:$A$200,$A87,$D$2:$D$200,"*novo*",$N$2:$N$200,"C1")+COUNTIFS($A$2:$A$200,$A87,$D$2:$D$200,"*novo*",$N$2:$N$200,"C2")+COUNTIFS($A$2:$A$200,$A87,$D$2:$D$200,"*novo*",$N$2:$N$200,"C3")+COUNTIFS($A$2:$A$200,$A87,$D$2:$D$200,"*novo*",$N$2:$N$200,"C4"))=1,IF(COUNTIFS($A$2:$A$200,$A87,$D$2:$D$200,"*novo*",$N$2:$N$200,"C4")&gt;0,4,IF(COUNTIFS($A$2:$A$200,$A87,$D$2:$D$200,"*novo*",$N$2:$N$200,"C3")&gt;0,3,IF(COUNTIFS($A$2:$A$200,$A87,$D$2:$D$200,"*novo*",$N$2:$N$200,"C2")&gt;0,2,IF(COUNTIFS($A$2:$A$200,$A87,$D$2:$D$200,"*novo*",$N$2:$N$200,"C1")&gt;0,1,IF(COUNTIFS($A$2:$A$200,$A87,$D$2:$D$200,"*novo*",$N$2:$N$200,"C0")&gt;0,0,""))))),IF(AND((COUNTIFS($A$2:$A$200,$A87,$D$2:$D$200,"*novo*",$N$2:$N$200,"C0")+COUNTIFS($A$2:$A$200,$A87,$D$2:$D$200,"*novo*",$N$2:$N$200,"C1")+COUNTIFS($A$2:$A$200,$A87,$D$2:$D$200,"*novo*",$N$2:$N$200,"C2")+COUNTIFS($A$2:$A$200,$A87,$D$2:$D$200,"*novo*",$N$2:$N$200,"C3")+COUNTIFS($A$2:$A$200,$A87,$D$2:$D$200,"*novo*",$N$2:$N$200,"C4"))=0,INDEX(posicao_contratual!$Y$2:$Y$200,MATCH($A87,posicao_contratual!$A$2:$A$200,0))=0),0,"")),"")</f>
        <v/>
      </c>
    </row>
    <row r="88" spans="1:15" ht="45" customHeight="1" x14ac:dyDescent="0.35">
      <c r="A88" s="105"/>
      <c r="B88" s="189"/>
      <c r="C88" s="99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05"/>
      <c r="E88" s="106"/>
      <c r="F88" s="107" t="str">
        <f>IF(A88="","",IFERROR(VLOOKUP(A88,itens_Remanesc!$A:$C,3,0),""))</f>
        <v/>
      </c>
      <c r="G88" s="107" t="str">
        <f t="shared" si="6"/>
        <v/>
      </c>
      <c r="H88" s="105"/>
      <c r="I88" s="64" t="str">
        <f>IFERROR(IF(OR($A88="",$C88=""),"",IF(OR(($O88)="",($O88)&gt;(MIN(MATCH($C88,{"C0","C1","C2","C3","C4"},0)-1,COUNT(parametros!$F$2:$F$6)-1)),NOT(ISNUMBER(INDEX(parametros!$F$2:$F$6,(MIN(MATCH($C88,{"C0","C1","C2","C3","C4"},0)-1,COUNT(parametros!$F$2:$F$6)-1))+1))),NOT(ISNUMBER(INDEX(parametros!$F$2:$F$6,($O88)+1)))),"",INDEX(parametros!$F$2:$F$6,(MIN(MATCH($C88,{"C0","C1","C2","C3","C4"},0)-1,COUNT(parametros!$F$2:$F$6)-1))+1)/INDEX(parametros!$F$2:$F$6,($O88)+1))),"")</f>
        <v/>
      </c>
      <c r="J88" s="107" t="str">
        <f t="shared" si="7"/>
        <v/>
      </c>
      <c r="K88" s="105"/>
      <c r="L88" s="85" t="str">
        <f t="shared" si="8"/>
        <v/>
      </c>
      <c r="M88" s="483" t="str">
        <f>IF(A88="","",IF(COUNTIF(itens_Remanesc!$A$2:$A$200,A88)=0,"NOVO ITEM NAO CADASTRADO - CADASTRAR EM itens_Remanesc: ITEM + VU_ORIGINAL (QTD_BASE_ORIGINAL sera 0 automaticamente); depois a data e a quantidade aqui.",IF(COUNTIF(itens_Remanesc!$A$2:$A$200,A88)&gt;1,"ALERTA: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TIPO_INVALIDO",IF(AND(ISNUMBER(SEARCH("NOVO",D88)),OR(INDEX(posicao_contratual!$C$2:$C$200,MATCH(A88,posicao_contratual!$A$2:$A$200,0))&lt;&gt;0,F88="",COUNTIFS($A$2:$A$200,A88,$B$2:$B$200,"&lt;"&amp;B88,$L$2:$L$200,"&gt;0")&gt;0)),"ALERTA: NOVO ITEM INVALIDO - use Acrescimo se o item ja existia; novo item exige QTD_BASE_ORIGINAL 0, VU_ORIGINAL e ser o 1o acrescimo do item.",IF(AND(ISNUMBER(SEARCH("NOVO",D88)),OR(N88="",ISERROR(MATCH(N88,{"C0","C1","C2","C3","C4"},0)))),"ALERTA: BASE_VU_OBRIGATORIA",IF(AND(NOT(ISNUMBER(SEARCH("NOVO",D88))),N88&lt;&gt;""),"ALERTA: BASE_VU_NAO_APLICAVEL",IF(AND(UPPER(H88)="SIM",NOT(ISNUMBER(I88))),"ALERTA: BASE_VU_INVALIDA_OU_POSTERIOR_AO_FATOR_ALVO","OK"))))))))))</f>
        <v/>
      </c>
      <c r="N88" s="485"/>
      <c r="O88" s="487" t="str">
        <f>IFERROR(IF((COUNTIFS($A$2:$A$200,$A88,$D$2:$D$200,"*novo*",$N$2:$N$200,"C0")+COUNTIFS($A$2:$A$200,$A88,$D$2:$D$200,"*novo*",$N$2:$N$200,"C1")+COUNTIFS($A$2:$A$200,$A88,$D$2:$D$200,"*novo*",$N$2:$N$200,"C2")+COUNTIFS($A$2:$A$200,$A88,$D$2:$D$200,"*novo*",$N$2:$N$200,"C3")+COUNTIFS($A$2:$A$200,$A88,$D$2:$D$200,"*novo*",$N$2:$N$200,"C4"))=1,IF(COUNTIFS($A$2:$A$200,$A88,$D$2:$D$200,"*novo*",$N$2:$N$200,"C4")&gt;0,4,IF(COUNTIFS($A$2:$A$200,$A88,$D$2:$D$200,"*novo*",$N$2:$N$200,"C3")&gt;0,3,IF(COUNTIFS($A$2:$A$200,$A88,$D$2:$D$200,"*novo*",$N$2:$N$200,"C2")&gt;0,2,IF(COUNTIFS($A$2:$A$200,$A88,$D$2:$D$200,"*novo*",$N$2:$N$200,"C1")&gt;0,1,IF(COUNTIFS($A$2:$A$200,$A88,$D$2:$D$200,"*novo*",$N$2:$N$200,"C0")&gt;0,0,""))))),IF(AND((COUNTIFS($A$2:$A$200,$A88,$D$2:$D$200,"*novo*",$N$2:$N$200,"C0")+COUNTIFS($A$2:$A$200,$A88,$D$2:$D$200,"*novo*",$N$2:$N$200,"C1")+COUNTIFS($A$2:$A$200,$A88,$D$2:$D$200,"*novo*",$N$2:$N$200,"C2")+COUNTIFS($A$2:$A$200,$A88,$D$2:$D$200,"*novo*",$N$2:$N$200,"C3")+COUNTIFS($A$2:$A$200,$A88,$D$2:$D$200,"*novo*",$N$2:$N$200,"C4"))=0,INDEX(posicao_contratual!$Y$2:$Y$200,MATCH($A88,posicao_contratual!$A$2:$A$200,0))=0),0,"")),"")</f>
        <v/>
      </c>
    </row>
    <row r="89" spans="1:15" ht="45" customHeight="1" x14ac:dyDescent="0.35">
      <c r="A89" s="105"/>
      <c r="B89" s="189"/>
      <c r="C89" s="99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05"/>
      <c r="E89" s="106"/>
      <c r="F89" s="107" t="str">
        <f>IF(A89="","",IFERROR(VLOOKUP(A89,itens_Remanesc!$A:$C,3,0),""))</f>
        <v/>
      </c>
      <c r="G89" s="107" t="str">
        <f t="shared" si="6"/>
        <v/>
      </c>
      <c r="H89" s="105"/>
      <c r="I89" s="64" t="str">
        <f>IFERROR(IF(OR($A89="",$C89=""),"",IF(OR(($O89)="",($O89)&gt;(MIN(MATCH($C89,{"C0","C1","C2","C3","C4"},0)-1,COUNT(parametros!$F$2:$F$6)-1)),NOT(ISNUMBER(INDEX(parametros!$F$2:$F$6,(MIN(MATCH($C89,{"C0","C1","C2","C3","C4"},0)-1,COUNT(parametros!$F$2:$F$6)-1))+1))),NOT(ISNUMBER(INDEX(parametros!$F$2:$F$6,($O89)+1)))),"",INDEX(parametros!$F$2:$F$6,(MIN(MATCH($C89,{"C0","C1","C2","C3","C4"},0)-1,COUNT(parametros!$F$2:$F$6)-1))+1)/INDEX(parametros!$F$2:$F$6,($O89)+1))),"")</f>
        <v/>
      </c>
      <c r="J89" s="107" t="str">
        <f t="shared" si="7"/>
        <v/>
      </c>
      <c r="K89" s="105"/>
      <c r="L89" s="85" t="str">
        <f t="shared" si="8"/>
        <v/>
      </c>
      <c r="M89" s="483" t="str">
        <f>IF(A89="","",IF(COUNTIF(itens_Remanesc!$A$2:$A$200,A89)=0,"NOVO ITEM NAO CADASTRADO - CADASTRAR EM itens_Remanesc: ITEM + VU_ORIGINAL (QTD_BASE_ORIGINAL sera 0 automaticamente); depois a data e a quantidade aqui.",IF(COUNTIF(itens_Remanesc!$A$2:$A$200,A89)&gt;1,"ALERTA: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TIPO_INVALIDO",IF(AND(ISNUMBER(SEARCH("NOVO",D89)),OR(INDEX(posicao_contratual!$C$2:$C$200,MATCH(A89,posicao_contratual!$A$2:$A$200,0))&lt;&gt;0,F89="",COUNTIFS($A$2:$A$200,A89,$B$2:$B$200,"&lt;"&amp;B89,$L$2:$L$200,"&gt;0")&gt;0)),"ALERTA: NOVO ITEM INVALIDO - use Acrescimo se o item ja existia; novo item exige QTD_BASE_ORIGINAL 0, VU_ORIGINAL e ser o 1o acrescimo do item.",IF(AND(ISNUMBER(SEARCH("NOVO",D89)),OR(N89="",ISERROR(MATCH(N89,{"C0","C1","C2","C3","C4"},0)))),"ALERTA: BASE_VU_OBRIGATORIA",IF(AND(NOT(ISNUMBER(SEARCH("NOVO",D89))),N89&lt;&gt;""),"ALERTA: BASE_VU_NAO_APLICAVEL",IF(AND(UPPER(H89)="SIM",NOT(ISNUMBER(I89))),"ALERTA: BASE_VU_INVALIDA_OU_POSTERIOR_AO_FATOR_ALVO","OK"))))))))))</f>
        <v/>
      </c>
      <c r="N89" s="485"/>
      <c r="O89" s="487" t="str">
        <f>IFERROR(IF((COUNTIFS($A$2:$A$200,$A89,$D$2:$D$200,"*novo*",$N$2:$N$200,"C0")+COUNTIFS($A$2:$A$200,$A89,$D$2:$D$200,"*novo*",$N$2:$N$200,"C1")+COUNTIFS($A$2:$A$200,$A89,$D$2:$D$200,"*novo*",$N$2:$N$200,"C2")+COUNTIFS($A$2:$A$200,$A89,$D$2:$D$200,"*novo*",$N$2:$N$200,"C3")+COUNTIFS($A$2:$A$200,$A89,$D$2:$D$200,"*novo*",$N$2:$N$200,"C4"))=1,IF(COUNTIFS($A$2:$A$200,$A89,$D$2:$D$200,"*novo*",$N$2:$N$200,"C4")&gt;0,4,IF(COUNTIFS($A$2:$A$200,$A89,$D$2:$D$200,"*novo*",$N$2:$N$200,"C3")&gt;0,3,IF(COUNTIFS($A$2:$A$200,$A89,$D$2:$D$200,"*novo*",$N$2:$N$200,"C2")&gt;0,2,IF(COUNTIFS($A$2:$A$200,$A89,$D$2:$D$200,"*novo*",$N$2:$N$200,"C1")&gt;0,1,IF(COUNTIFS($A$2:$A$200,$A89,$D$2:$D$200,"*novo*",$N$2:$N$200,"C0")&gt;0,0,""))))),IF(AND((COUNTIFS($A$2:$A$200,$A89,$D$2:$D$200,"*novo*",$N$2:$N$200,"C0")+COUNTIFS($A$2:$A$200,$A89,$D$2:$D$200,"*novo*",$N$2:$N$200,"C1")+COUNTIFS($A$2:$A$200,$A89,$D$2:$D$200,"*novo*",$N$2:$N$200,"C2")+COUNTIFS($A$2:$A$200,$A89,$D$2:$D$200,"*novo*",$N$2:$N$200,"C3")+COUNTIFS($A$2:$A$200,$A89,$D$2:$D$200,"*novo*",$N$2:$N$200,"C4"))=0,INDEX(posicao_contratual!$Y$2:$Y$200,MATCH($A89,posicao_contratual!$A$2:$A$200,0))=0),0,"")),"")</f>
        <v/>
      </c>
    </row>
    <row r="90" spans="1:15" ht="45" customHeight="1" x14ac:dyDescent="0.35">
      <c r="A90" s="105"/>
      <c r="B90" s="189"/>
      <c r="C90" s="99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05"/>
      <c r="E90" s="106"/>
      <c r="F90" s="107" t="str">
        <f>IF(A90="","",IFERROR(VLOOKUP(A90,itens_Remanesc!$A:$C,3,0),""))</f>
        <v/>
      </c>
      <c r="G90" s="107" t="str">
        <f t="shared" si="6"/>
        <v/>
      </c>
      <c r="H90" s="105"/>
      <c r="I90" s="64" t="str">
        <f>IFERROR(IF(OR($A90="",$C90=""),"",IF(OR(($O90)="",($O90)&gt;(MIN(MATCH($C90,{"C0","C1","C2","C3","C4"},0)-1,COUNT(parametros!$F$2:$F$6)-1)),NOT(ISNUMBER(INDEX(parametros!$F$2:$F$6,(MIN(MATCH($C90,{"C0","C1","C2","C3","C4"},0)-1,COUNT(parametros!$F$2:$F$6)-1))+1))),NOT(ISNUMBER(INDEX(parametros!$F$2:$F$6,($O90)+1)))),"",INDEX(parametros!$F$2:$F$6,(MIN(MATCH($C90,{"C0","C1","C2","C3","C4"},0)-1,COUNT(parametros!$F$2:$F$6)-1))+1)/INDEX(parametros!$F$2:$F$6,($O90)+1))),"")</f>
        <v/>
      </c>
      <c r="J90" s="107" t="str">
        <f t="shared" si="7"/>
        <v/>
      </c>
      <c r="K90" s="105"/>
      <c r="L90" s="85" t="str">
        <f t="shared" si="8"/>
        <v/>
      </c>
      <c r="M90" s="483" t="str">
        <f>IF(A90="","",IF(COUNTIF(itens_Remanesc!$A$2:$A$200,A90)=0,"NOVO ITEM NAO CADASTRADO - CADASTRAR EM itens_Remanesc: ITEM + VU_ORIGINAL (QTD_BASE_ORIGINAL sera 0 automaticamente); depois a data e a quantidade aqui.",IF(COUNTIF(itens_Remanesc!$A$2:$A$200,A90)&gt;1,"ALERTA: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TIPO_INVALIDO",IF(AND(ISNUMBER(SEARCH("NOVO",D90)),OR(INDEX(posicao_contratual!$C$2:$C$200,MATCH(A90,posicao_contratual!$A$2:$A$200,0))&lt;&gt;0,F90="",COUNTIFS($A$2:$A$200,A90,$B$2:$B$200,"&lt;"&amp;B90,$L$2:$L$200,"&gt;0")&gt;0)),"ALERTA: NOVO ITEM INVALIDO - use Acrescimo se o item ja existia; novo item exige QTD_BASE_ORIGINAL 0, VU_ORIGINAL e ser o 1o acrescimo do item.",IF(AND(ISNUMBER(SEARCH("NOVO",D90)),OR(N90="",ISERROR(MATCH(N90,{"C0","C1","C2","C3","C4"},0)))),"ALERTA: BASE_VU_OBRIGATORIA",IF(AND(NOT(ISNUMBER(SEARCH("NOVO",D90))),N90&lt;&gt;""),"ALERTA: BASE_VU_NAO_APLICAVEL",IF(AND(UPPER(H90)="SIM",NOT(ISNUMBER(I90))),"ALERTA: BASE_VU_INVALIDA_OU_POSTERIOR_AO_FATOR_ALVO","OK"))))))))))</f>
        <v/>
      </c>
      <c r="N90" s="485"/>
      <c r="O90" s="487" t="str">
        <f>IFERROR(IF((COUNTIFS($A$2:$A$200,$A90,$D$2:$D$200,"*novo*",$N$2:$N$200,"C0")+COUNTIFS($A$2:$A$200,$A90,$D$2:$D$200,"*novo*",$N$2:$N$200,"C1")+COUNTIFS($A$2:$A$200,$A90,$D$2:$D$200,"*novo*",$N$2:$N$200,"C2")+COUNTIFS($A$2:$A$200,$A90,$D$2:$D$200,"*novo*",$N$2:$N$200,"C3")+COUNTIFS($A$2:$A$200,$A90,$D$2:$D$200,"*novo*",$N$2:$N$200,"C4"))=1,IF(COUNTIFS($A$2:$A$200,$A90,$D$2:$D$200,"*novo*",$N$2:$N$200,"C4")&gt;0,4,IF(COUNTIFS($A$2:$A$200,$A90,$D$2:$D$200,"*novo*",$N$2:$N$200,"C3")&gt;0,3,IF(COUNTIFS($A$2:$A$200,$A90,$D$2:$D$200,"*novo*",$N$2:$N$200,"C2")&gt;0,2,IF(COUNTIFS($A$2:$A$200,$A90,$D$2:$D$200,"*novo*",$N$2:$N$200,"C1")&gt;0,1,IF(COUNTIFS($A$2:$A$200,$A90,$D$2:$D$200,"*novo*",$N$2:$N$200,"C0")&gt;0,0,""))))),IF(AND((COUNTIFS($A$2:$A$200,$A90,$D$2:$D$200,"*novo*",$N$2:$N$200,"C0")+COUNTIFS($A$2:$A$200,$A90,$D$2:$D$200,"*novo*",$N$2:$N$200,"C1")+COUNTIFS($A$2:$A$200,$A90,$D$2:$D$200,"*novo*",$N$2:$N$200,"C2")+COUNTIFS($A$2:$A$200,$A90,$D$2:$D$200,"*novo*",$N$2:$N$200,"C3")+COUNTIFS($A$2:$A$200,$A90,$D$2:$D$200,"*novo*",$N$2:$N$200,"C4"))=0,INDEX(posicao_contratual!$Y$2:$Y$200,MATCH($A90,posicao_contratual!$A$2:$A$200,0))=0),0,"")),"")</f>
        <v/>
      </c>
    </row>
    <row r="91" spans="1:15" ht="45" customHeight="1" x14ac:dyDescent="0.35">
      <c r="A91" s="105"/>
      <c r="B91" s="189"/>
      <c r="C91" s="99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05"/>
      <c r="E91" s="106"/>
      <c r="F91" s="107" t="str">
        <f>IF(A91="","",IFERROR(VLOOKUP(A91,itens_Remanesc!$A:$C,3,0),""))</f>
        <v/>
      </c>
      <c r="G91" s="107" t="str">
        <f t="shared" si="6"/>
        <v/>
      </c>
      <c r="H91" s="105"/>
      <c r="I91" s="64" t="str">
        <f>IFERROR(IF(OR($A91="",$C91=""),"",IF(OR(($O91)="",($O91)&gt;(MIN(MATCH($C91,{"C0","C1","C2","C3","C4"},0)-1,COUNT(parametros!$F$2:$F$6)-1)),NOT(ISNUMBER(INDEX(parametros!$F$2:$F$6,(MIN(MATCH($C91,{"C0","C1","C2","C3","C4"},0)-1,COUNT(parametros!$F$2:$F$6)-1))+1))),NOT(ISNUMBER(INDEX(parametros!$F$2:$F$6,($O91)+1)))),"",INDEX(parametros!$F$2:$F$6,(MIN(MATCH($C91,{"C0","C1","C2","C3","C4"},0)-1,COUNT(parametros!$F$2:$F$6)-1))+1)/INDEX(parametros!$F$2:$F$6,($O91)+1))),"")</f>
        <v/>
      </c>
      <c r="J91" s="107" t="str">
        <f t="shared" si="7"/>
        <v/>
      </c>
      <c r="K91" s="105"/>
      <c r="L91" s="85" t="str">
        <f t="shared" si="8"/>
        <v/>
      </c>
      <c r="M91" s="483" t="str">
        <f>IF(A91="","",IF(COUNTIF(itens_Remanesc!$A$2:$A$200,A91)=0,"NOVO ITEM NAO CADASTRADO - CADASTRAR EM itens_Remanesc: ITEM + VU_ORIGINAL (QTD_BASE_ORIGINAL sera 0 automaticamente); depois a data e a quantidade aqui.",IF(COUNTIF(itens_Remanesc!$A$2:$A$200,A91)&gt;1,"ALERTA: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TIPO_INVALIDO",IF(AND(ISNUMBER(SEARCH("NOVO",D91)),OR(INDEX(posicao_contratual!$C$2:$C$200,MATCH(A91,posicao_contratual!$A$2:$A$200,0))&lt;&gt;0,F91="",COUNTIFS($A$2:$A$200,A91,$B$2:$B$200,"&lt;"&amp;B91,$L$2:$L$200,"&gt;0")&gt;0)),"ALERTA: NOVO ITEM INVALIDO - use Acrescimo se o item ja existia; novo item exige QTD_BASE_ORIGINAL 0, VU_ORIGINAL e ser o 1o acrescimo do item.",IF(AND(ISNUMBER(SEARCH("NOVO",D91)),OR(N91="",ISERROR(MATCH(N91,{"C0","C1","C2","C3","C4"},0)))),"ALERTA: BASE_VU_OBRIGATORIA",IF(AND(NOT(ISNUMBER(SEARCH("NOVO",D91))),N91&lt;&gt;""),"ALERTA: BASE_VU_NAO_APLICAVEL",IF(AND(UPPER(H91)="SIM",NOT(ISNUMBER(I91))),"ALERTA: BASE_VU_INVALIDA_OU_POSTERIOR_AO_FATOR_ALVO","OK"))))))))))</f>
        <v/>
      </c>
      <c r="N91" s="485"/>
      <c r="O91" s="487" t="str">
        <f>IFERROR(IF((COUNTIFS($A$2:$A$200,$A91,$D$2:$D$200,"*novo*",$N$2:$N$200,"C0")+COUNTIFS($A$2:$A$200,$A91,$D$2:$D$200,"*novo*",$N$2:$N$200,"C1")+COUNTIFS($A$2:$A$200,$A91,$D$2:$D$200,"*novo*",$N$2:$N$200,"C2")+COUNTIFS($A$2:$A$200,$A91,$D$2:$D$200,"*novo*",$N$2:$N$200,"C3")+COUNTIFS($A$2:$A$200,$A91,$D$2:$D$200,"*novo*",$N$2:$N$200,"C4"))=1,IF(COUNTIFS($A$2:$A$200,$A91,$D$2:$D$200,"*novo*",$N$2:$N$200,"C4")&gt;0,4,IF(COUNTIFS($A$2:$A$200,$A91,$D$2:$D$200,"*novo*",$N$2:$N$200,"C3")&gt;0,3,IF(COUNTIFS($A$2:$A$200,$A91,$D$2:$D$200,"*novo*",$N$2:$N$200,"C2")&gt;0,2,IF(COUNTIFS($A$2:$A$200,$A91,$D$2:$D$200,"*novo*",$N$2:$N$200,"C1")&gt;0,1,IF(COUNTIFS($A$2:$A$200,$A91,$D$2:$D$200,"*novo*",$N$2:$N$200,"C0")&gt;0,0,""))))),IF(AND((COUNTIFS($A$2:$A$200,$A91,$D$2:$D$200,"*novo*",$N$2:$N$200,"C0")+COUNTIFS($A$2:$A$200,$A91,$D$2:$D$200,"*novo*",$N$2:$N$200,"C1")+COUNTIFS($A$2:$A$200,$A91,$D$2:$D$200,"*novo*",$N$2:$N$200,"C2")+COUNTIFS($A$2:$A$200,$A91,$D$2:$D$200,"*novo*",$N$2:$N$200,"C3")+COUNTIFS($A$2:$A$200,$A91,$D$2:$D$200,"*novo*",$N$2:$N$200,"C4"))=0,INDEX(posicao_contratual!$Y$2:$Y$200,MATCH($A91,posicao_contratual!$A$2:$A$200,0))=0),0,"")),"")</f>
        <v/>
      </c>
    </row>
    <row r="92" spans="1:15" ht="45" customHeight="1" x14ac:dyDescent="0.35">
      <c r="A92" s="105"/>
      <c r="B92" s="189"/>
      <c r="C92" s="99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05"/>
      <c r="E92" s="106"/>
      <c r="F92" s="107" t="str">
        <f>IF(A92="","",IFERROR(VLOOKUP(A92,itens_Remanesc!$A:$C,3,0),""))</f>
        <v/>
      </c>
      <c r="G92" s="107" t="str">
        <f t="shared" si="6"/>
        <v/>
      </c>
      <c r="H92" s="105"/>
      <c r="I92" s="64" t="str">
        <f>IFERROR(IF(OR($A92="",$C92=""),"",IF(OR(($O92)="",($O92)&gt;(MIN(MATCH($C92,{"C0","C1","C2","C3","C4"},0)-1,COUNT(parametros!$F$2:$F$6)-1)),NOT(ISNUMBER(INDEX(parametros!$F$2:$F$6,(MIN(MATCH($C92,{"C0","C1","C2","C3","C4"},0)-1,COUNT(parametros!$F$2:$F$6)-1))+1))),NOT(ISNUMBER(INDEX(parametros!$F$2:$F$6,($O92)+1)))),"",INDEX(parametros!$F$2:$F$6,(MIN(MATCH($C92,{"C0","C1","C2","C3","C4"},0)-1,COUNT(parametros!$F$2:$F$6)-1))+1)/INDEX(parametros!$F$2:$F$6,($O92)+1))),"")</f>
        <v/>
      </c>
      <c r="J92" s="107" t="str">
        <f t="shared" si="7"/>
        <v/>
      </c>
      <c r="K92" s="105"/>
      <c r="L92" s="85" t="str">
        <f t="shared" si="8"/>
        <v/>
      </c>
      <c r="M92" s="483" t="str">
        <f>IF(A92="","",IF(COUNTIF(itens_Remanesc!$A$2:$A$200,A92)=0,"NOVO ITEM NAO CADASTRADO - CADASTRAR EM itens_Remanesc: ITEM + VU_ORIGINAL (QTD_BASE_ORIGINAL sera 0 automaticamente); depois a data e a quantidade aqui.",IF(COUNTIF(itens_Remanesc!$A$2:$A$200,A92)&gt;1,"ALERTA: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TIPO_INVALIDO",IF(AND(ISNUMBER(SEARCH("NOVO",D92)),OR(INDEX(posicao_contratual!$C$2:$C$200,MATCH(A92,posicao_contratual!$A$2:$A$200,0))&lt;&gt;0,F92="",COUNTIFS($A$2:$A$200,A92,$B$2:$B$200,"&lt;"&amp;B92,$L$2:$L$200,"&gt;0")&gt;0)),"ALERTA: NOVO ITEM INVALIDO - use Acrescimo se o item ja existia; novo item exige QTD_BASE_ORIGINAL 0, VU_ORIGINAL e ser o 1o acrescimo do item.",IF(AND(ISNUMBER(SEARCH("NOVO",D92)),OR(N92="",ISERROR(MATCH(N92,{"C0","C1","C2","C3","C4"},0)))),"ALERTA: BASE_VU_OBRIGATORIA",IF(AND(NOT(ISNUMBER(SEARCH("NOVO",D92))),N92&lt;&gt;""),"ALERTA: BASE_VU_NAO_APLICAVEL",IF(AND(UPPER(H92)="SIM",NOT(ISNUMBER(I92))),"ALERTA: BASE_VU_INVALIDA_OU_POSTERIOR_AO_FATOR_ALVO","OK"))))))))))</f>
        <v/>
      </c>
      <c r="N92" s="485"/>
      <c r="O92" s="487" t="str">
        <f>IFERROR(IF((COUNTIFS($A$2:$A$200,$A92,$D$2:$D$200,"*novo*",$N$2:$N$200,"C0")+COUNTIFS($A$2:$A$200,$A92,$D$2:$D$200,"*novo*",$N$2:$N$200,"C1")+COUNTIFS($A$2:$A$200,$A92,$D$2:$D$200,"*novo*",$N$2:$N$200,"C2")+COUNTIFS($A$2:$A$200,$A92,$D$2:$D$200,"*novo*",$N$2:$N$200,"C3")+COUNTIFS($A$2:$A$200,$A92,$D$2:$D$200,"*novo*",$N$2:$N$200,"C4"))=1,IF(COUNTIFS($A$2:$A$200,$A92,$D$2:$D$200,"*novo*",$N$2:$N$200,"C4")&gt;0,4,IF(COUNTIFS($A$2:$A$200,$A92,$D$2:$D$200,"*novo*",$N$2:$N$200,"C3")&gt;0,3,IF(COUNTIFS($A$2:$A$200,$A92,$D$2:$D$200,"*novo*",$N$2:$N$200,"C2")&gt;0,2,IF(COUNTIFS($A$2:$A$200,$A92,$D$2:$D$200,"*novo*",$N$2:$N$200,"C1")&gt;0,1,IF(COUNTIFS($A$2:$A$200,$A92,$D$2:$D$200,"*novo*",$N$2:$N$200,"C0")&gt;0,0,""))))),IF(AND((COUNTIFS($A$2:$A$200,$A92,$D$2:$D$200,"*novo*",$N$2:$N$200,"C0")+COUNTIFS($A$2:$A$200,$A92,$D$2:$D$200,"*novo*",$N$2:$N$200,"C1")+COUNTIFS($A$2:$A$200,$A92,$D$2:$D$200,"*novo*",$N$2:$N$200,"C2")+COUNTIFS($A$2:$A$200,$A92,$D$2:$D$200,"*novo*",$N$2:$N$200,"C3")+COUNTIFS($A$2:$A$200,$A92,$D$2:$D$200,"*novo*",$N$2:$N$200,"C4"))=0,INDEX(posicao_contratual!$Y$2:$Y$200,MATCH($A92,posicao_contratual!$A$2:$A$200,0))=0),0,"")),"")</f>
        <v/>
      </c>
    </row>
    <row r="93" spans="1:15" ht="45" customHeight="1" x14ac:dyDescent="0.35">
      <c r="A93" s="105"/>
      <c r="B93" s="189"/>
      <c r="C93" s="99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05"/>
      <c r="E93" s="106"/>
      <c r="F93" s="107" t="str">
        <f>IF(A93="","",IFERROR(VLOOKUP(A93,itens_Remanesc!$A:$C,3,0),""))</f>
        <v/>
      </c>
      <c r="G93" s="107" t="str">
        <f t="shared" si="6"/>
        <v/>
      </c>
      <c r="H93" s="105"/>
      <c r="I93" s="64" t="str">
        <f>IFERROR(IF(OR($A93="",$C93=""),"",IF(OR(($O93)="",($O93)&gt;(MIN(MATCH($C93,{"C0","C1","C2","C3","C4"},0)-1,COUNT(parametros!$F$2:$F$6)-1)),NOT(ISNUMBER(INDEX(parametros!$F$2:$F$6,(MIN(MATCH($C93,{"C0","C1","C2","C3","C4"},0)-1,COUNT(parametros!$F$2:$F$6)-1))+1))),NOT(ISNUMBER(INDEX(parametros!$F$2:$F$6,($O93)+1)))),"",INDEX(parametros!$F$2:$F$6,(MIN(MATCH($C93,{"C0","C1","C2","C3","C4"},0)-1,COUNT(parametros!$F$2:$F$6)-1))+1)/INDEX(parametros!$F$2:$F$6,($O93)+1))),"")</f>
        <v/>
      </c>
      <c r="J93" s="107" t="str">
        <f t="shared" si="7"/>
        <v/>
      </c>
      <c r="K93" s="105"/>
      <c r="L93" s="85" t="str">
        <f t="shared" si="8"/>
        <v/>
      </c>
      <c r="M93" s="483" t="str">
        <f>IF(A93="","",IF(COUNTIF(itens_Remanesc!$A$2:$A$200,A93)=0,"NOVO ITEM NAO CADASTRADO - CADASTRAR EM itens_Remanesc: ITEM + VU_ORIGINAL (QTD_BASE_ORIGINAL sera 0 automaticamente); depois a data e a quantidade aqui.",IF(COUNTIF(itens_Remanesc!$A$2:$A$200,A93)&gt;1,"ALERTA: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TIPO_INVALIDO",IF(AND(ISNUMBER(SEARCH("NOVO",D93)),OR(INDEX(posicao_contratual!$C$2:$C$200,MATCH(A93,posicao_contratual!$A$2:$A$200,0))&lt;&gt;0,F93="",COUNTIFS($A$2:$A$200,A93,$B$2:$B$200,"&lt;"&amp;B93,$L$2:$L$200,"&gt;0")&gt;0)),"ALERTA: NOVO ITEM INVALIDO - use Acrescimo se o item ja existia; novo item exige QTD_BASE_ORIGINAL 0, VU_ORIGINAL e ser o 1o acrescimo do item.",IF(AND(ISNUMBER(SEARCH("NOVO",D93)),OR(N93="",ISERROR(MATCH(N93,{"C0","C1","C2","C3","C4"},0)))),"ALERTA: BASE_VU_OBRIGATORIA",IF(AND(NOT(ISNUMBER(SEARCH("NOVO",D93))),N93&lt;&gt;""),"ALERTA: BASE_VU_NAO_APLICAVEL",IF(AND(UPPER(H93)="SIM",NOT(ISNUMBER(I93))),"ALERTA: BASE_VU_INVALIDA_OU_POSTERIOR_AO_FATOR_ALVO","OK"))))))))))</f>
        <v/>
      </c>
      <c r="N93" s="485"/>
      <c r="O93" s="487" t="str">
        <f>IFERROR(IF((COUNTIFS($A$2:$A$200,$A93,$D$2:$D$200,"*novo*",$N$2:$N$200,"C0")+COUNTIFS($A$2:$A$200,$A93,$D$2:$D$200,"*novo*",$N$2:$N$200,"C1")+COUNTIFS($A$2:$A$200,$A93,$D$2:$D$200,"*novo*",$N$2:$N$200,"C2")+COUNTIFS($A$2:$A$200,$A93,$D$2:$D$200,"*novo*",$N$2:$N$200,"C3")+COUNTIFS($A$2:$A$200,$A93,$D$2:$D$200,"*novo*",$N$2:$N$200,"C4"))=1,IF(COUNTIFS($A$2:$A$200,$A93,$D$2:$D$200,"*novo*",$N$2:$N$200,"C4")&gt;0,4,IF(COUNTIFS($A$2:$A$200,$A93,$D$2:$D$200,"*novo*",$N$2:$N$200,"C3")&gt;0,3,IF(COUNTIFS($A$2:$A$200,$A93,$D$2:$D$200,"*novo*",$N$2:$N$200,"C2")&gt;0,2,IF(COUNTIFS($A$2:$A$200,$A93,$D$2:$D$200,"*novo*",$N$2:$N$200,"C1")&gt;0,1,IF(COUNTIFS($A$2:$A$200,$A93,$D$2:$D$200,"*novo*",$N$2:$N$200,"C0")&gt;0,0,""))))),IF(AND((COUNTIFS($A$2:$A$200,$A93,$D$2:$D$200,"*novo*",$N$2:$N$200,"C0")+COUNTIFS($A$2:$A$200,$A93,$D$2:$D$200,"*novo*",$N$2:$N$200,"C1")+COUNTIFS($A$2:$A$200,$A93,$D$2:$D$200,"*novo*",$N$2:$N$200,"C2")+COUNTIFS($A$2:$A$200,$A93,$D$2:$D$200,"*novo*",$N$2:$N$200,"C3")+COUNTIFS($A$2:$A$200,$A93,$D$2:$D$200,"*novo*",$N$2:$N$200,"C4"))=0,INDEX(posicao_contratual!$Y$2:$Y$200,MATCH($A93,posicao_contratual!$A$2:$A$200,0))=0),0,"")),"")</f>
        <v/>
      </c>
    </row>
    <row r="94" spans="1:15" ht="45" customHeight="1" x14ac:dyDescent="0.35">
      <c r="A94" s="105"/>
      <c r="B94" s="189"/>
      <c r="C94" s="99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05"/>
      <c r="E94" s="106"/>
      <c r="F94" s="107" t="str">
        <f>IF(A94="","",IFERROR(VLOOKUP(A94,itens_Remanesc!$A:$C,3,0),""))</f>
        <v/>
      </c>
      <c r="G94" s="107" t="str">
        <f t="shared" si="6"/>
        <v/>
      </c>
      <c r="H94" s="105"/>
      <c r="I94" s="64" t="str">
        <f>IFERROR(IF(OR($A94="",$C94=""),"",IF(OR(($O94)="",($O94)&gt;(MIN(MATCH($C94,{"C0","C1","C2","C3","C4"},0)-1,COUNT(parametros!$F$2:$F$6)-1)),NOT(ISNUMBER(INDEX(parametros!$F$2:$F$6,(MIN(MATCH($C94,{"C0","C1","C2","C3","C4"},0)-1,COUNT(parametros!$F$2:$F$6)-1))+1))),NOT(ISNUMBER(INDEX(parametros!$F$2:$F$6,($O94)+1)))),"",INDEX(parametros!$F$2:$F$6,(MIN(MATCH($C94,{"C0","C1","C2","C3","C4"},0)-1,COUNT(parametros!$F$2:$F$6)-1))+1)/INDEX(parametros!$F$2:$F$6,($O94)+1))),"")</f>
        <v/>
      </c>
      <c r="J94" s="107" t="str">
        <f t="shared" si="7"/>
        <v/>
      </c>
      <c r="K94" s="105"/>
      <c r="L94" s="85" t="str">
        <f t="shared" si="8"/>
        <v/>
      </c>
      <c r="M94" s="483" t="str">
        <f>IF(A94="","",IF(COUNTIF(itens_Remanesc!$A$2:$A$200,A94)=0,"NOVO ITEM NAO CADASTRADO - CADASTRAR EM itens_Remanesc: ITEM + VU_ORIGINAL (QTD_BASE_ORIGINAL sera 0 automaticamente); depois a data e a quantidade aqui.",IF(COUNTIF(itens_Remanesc!$A$2:$A$200,A94)&gt;1,"ALERTA: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TIPO_INVALIDO",IF(AND(ISNUMBER(SEARCH("NOVO",D94)),OR(INDEX(posicao_contratual!$C$2:$C$200,MATCH(A94,posicao_contratual!$A$2:$A$200,0))&lt;&gt;0,F94="",COUNTIFS($A$2:$A$200,A94,$B$2:$B$200,"&lt;"&amp;B94,$L$2:$L$200,"&gt;0")&gt;0)),"ALERTA: NOVO ITEM INVALIDO - use Acrescimo se o item ja existia; novo item exige QTD_BASE_ORIGINAL 0, VU_ORIGINAL e ser o 1o acrescimo do item.",IF(AND(ISNUMBER(SEARCH("NOVO",D94)),OR(N94="",ISERROR(MATCH(N94,{"C0","C1","C2","C3","C4"},0)))),"ALERTA: BASE_VU_OBRIGATORIA",IF(AND(NOT(ISNUMBER(SEARCH("NOVO",D94))),N94&lt;&gt;""),"ALERTA: BASE_VU_NAO_APLICAVEL",IF(AND(UPPER(H94)="SIM",NOT(ISNUMBER(I94))),"ALERTA: BASE_VU_INVALIDA_OU_POSTERIOR_AO_FATOR_ALVO","OK"))))))))))</f>
        <v/>
      </c>
      <c r="N94" s="485"/>
      <c r="O94" s="487" t="str">
        <f>IFERROR(IF((COUNTIFS($A$2:$A$200,$A94,$D$2:$D$200,"*novo*",$N$2:$N$200,"C0")+COUNTIFS($A$2:$A$200,$A94,$D$2:$D$200,"*novo*",$N$2:$N$200,"C1")+COUNTIFS($A$2:$A$200,$A94,$D$2:$D$200,"*novo*",$N$2:$N$200,"C2")+COUNTIFS($A$2:$A$200,$A94,$D$2:$D$200,"*novo*",$N$2:$N$200,"C3")+COUNTIFS($A$2:$A$200,$A94,$D$2:$D$200,"*novo*",$N$2:$N$200,"C4"))=1,IF(COUNTIFS($A$2:$A$200,$A94,$D$2:$D$200,"*novo*",$N$2:$N$200,"C4")&gt;0,4,IF(COUNTIFS($A$2:$A$200,$A94,$D$2:$D$200,"*novo*",$N$2:$N$200,"C3")&gt;0,3,IF(COUNTIFS($A$2:$A$200,$A94,$D$2:$D$200,"*novo*",$N$2:$N$200,"C2")&gt;0,2,IF(COUNTIFS($A$2:$A$200,$A94,$D$2:$D$200,"*novo*",$N$2:$N$200,"C1")&gt;0,1,IF(COUNTIFS($A$2:$A$200,$A94,$D$2:$D$200,"*novo*",$N$2:$N$200,"C0")&gt;0,0,""))))),IF(AND((COUNTIFS($A$2:$A$200,$A94,$D$2:$D$200,"*novo*",$N$2:$N$200,"C0")+COUNTIFS($A$2:$A$200,$A94,$D$2:$D$200,"*novo*",$N$2:$N$200,"C1")+COUNTIFS($A$2:$A$200,$A94,$D$2:$D$200,"*novo*",$N$2:$N$200,"C2")+COUNTIFS($A$2:$A$200,$A94,$D$2:$D$200,"*novo*",$N$2:$N$200,"C3")+COUNTIFS($A$2:$A$200,$A94,$D$2:$D$200,"*novo*",$N$2:$N$200,"C4"))=0,INDEX(posicao_contratual!$Y$2:$Y$200,MATCH($A94,posicao_contratual!$A$2:$A$200,0))=0),0,"")),"")</f>
        <v/>
      </c>
    </row>
    <row r="95" spans="1:15" ht="45" customHeight="1" x14ac:dyDescent="0.35">
      <c r="A95" s="105"/>
      <c r="B95" s="189"/>
      <c r="C95" s="99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05"/>
      <c r="E95" s="106"/>
      <c r="F95" s="107" t="str">
        <f>IF(A95="","",IFERROR(VLOOKUP(A95,itens_Remanesc!$A:$C,3,0),""))</f>
        <v/>
      </c>
      <c r="G95" s="107" t="str">
        <f t="shared" si="6"/>
        <v/>
      </c>
      <c r="H95" s="105"/>
      <c r="I95" s="64" t="str">
        <f>IFERROR(IF(OR($A95="",$C95=""),"",IF(OR(($O95)="",($O95)&gt;(MIN(MATCH($C95,{"C0","C1","C2","C3","C4"},0)-1,COUNT(parametros!$F$2:$F$6)-1)),NOT(ISNUMBER(INDEX(parametros!$F$2:$F$6,(MIN(MATCH($C95,{"C0","C1","C2","C3","C4"},0)-1,COUNT(parametros!$F$2:$F$6)-1))+1))),NOT(ISNUMBER(INDEX(parametros!$F$2:$F$6,($O95)+1)))),"",INDEX(parametros!$F$2:$F$6,(MIN(MATCH($C95,{"C0","C1","C2","C3","C4"},0)-1,COUNT(parametros!$F$2:$F$6)-1))+1)/INDEX(parametros!$F$2:$F$6,($O95)+1))),"")</f>
        <v/>
      </c>
      <c r="J95" s="107" t="str">
        <f t="shared" si="7"/>
        <v/>
      </c>
      <c r="K95" s="105"/>
      <c r="L95" s="85" t="str">
        <f t="shared" si="8"/>
        <v/>
      </c>
      <c r="M95" s="483" t="str">
        <f>IF(A95="","",IF(COUNTIF(itens_Remanesc!$A$2:$A$200,A95)=0,"NOVO ITEM NAO CADASTRADO - CADASTRAR EM itens_Remanesc: ITEM + VU_ORIGINAL (QTD_BASE_ORIGINAL sera 0 automaticamente); depois a data e a quantidade aqui.",IF(COUNTIF(itens_Remanesc!$A$2:$A$200,A95)&gt;1,"ALERTA: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TIPO_INVALIDO",IF(AND(ISNUMBER(SEARCH("NOVO",D95)),OR(INDEX(posicao_contratual!$C$2:$C$200,MATCH(A95,posicao_contratual!$A$2:$A$200,0))&lt;&gt;0,F95="",COUNTIFS($A$2:$A$200,A95,$B$2:$B$200,"&lt;"&amp;B95,$L$2:$L$200,"&gt;0")&gt;0)),"ALERTA: NOVO ITEM INVALIDO - use Acrescimo se o item ja existia; novo item exige QTD_BASE_ORIGINAL 0, VU_ORIGINAL e ser o 1o acrescimo do item.",IF(AND(ISNUMBER(SEARCH("NOVO",D95)),OR(N95="",ISERROR(MATCH(N95,{"C0","C1","C2","C3","C4"},0)))),"ALERTA: BASE_VU_OBRIGATORIA",IF(AND(NOT(ISNUMBER(SEARCH("NOVO",D95))),N95&lt;&gt;""),"ALERTA: BASE_VU_NAO_APLICAVEL",IF(AND(UPPER(H95)="SIM",NOT(ISNUMBER(I95))),"ALERTA: BASE_VU_INVALIDA_OU_POSTERIOR_AO_FATOR_ALVO","OK"))))))))))</f>
        <v/>
      </c>
      <c r="N95" s="485"/>
      <c r="O95" s="487" t="str">
        <f>IFERROR(IF((COUNTIFS($A$2:$A$200,$A95,$D$2:$D$200,"*novo*",$N$2:$N$200,"C0")+COUNTIFS($A$2:$A$200,$A95,$D$2:$D$200,"*novo*",$N$2:$N$200,"C1")+COUNTIFS($A$2:$A$200,$A95,$D$2:$D$200,"*novo*",$N$2:$N$200,"C2")+COUNTIFS($A$2:$A$200,$A95,$D$2:$D$200,"*novo*",$N$2:$N$200,"C3")+COUNTIFS($A$2:$A$200,$A95,$D$2:$D$200,"*novo*",$N$2:$N$200,"C4"))=1,IF(COUNTIFS($A$2:$A$200,$A95,$D$2:$D$200,"*novo*",$N$2:$N$200,"C4")&gt;0,4,IF(COUNTIFS($A$2:$A$200,$A95,$D$2:$D$200,"*novo*",$N$2:$N$200,"C3")&gt;0,3,IF(COUNTIFS($A$2:$A$200,$A95,$D$2:$D$200,"*novo*",$N$2:$N$200,"C2")&gt;0,2,IF(COUNTIFS($A$2:$A$200,$A95,$D$2:$D$200,"*novo*",$N$2:$N$200,"C1")&gt;0,1,IF(COUNTIFS($A$2:$A$200,$A95,$D$2:$D$200,"*novo*",$N$2:$N$200,"C0")&gt;0,0,""))))),IF(AND((COUNTIFS($A$2:$A$200,$A95,$D$2:$D$200,"*novo*",$N$2:$N$200,"C0")+COUNTIFS($A$2:$A$200,$A95,$D$2:$D$200,"*novo*",$N$2:$N$200,"C1")+COUNTIFS($A$2:$A$200,$A95,$D$2:$D$200,"*novo*",$N$2:$N$200,"C2")+COUNTIFS($A$2:$A$200,$A95,$D$2:$D$200,"*novo*",$N$2:$N$200,"C3")+COUNTIFS($A$2:$A$200,$A95,$D$2:$D$200,"*novo*",$N$2:$N$200,"C4"))=0,INDEX(posicao_contratual!$Y$2:$Y$200,MATCH($A95,posicao_contratual!$A$2:$A$200,0))=0),0,"")),"")</f>
        <v/>
      </c>
    </row>
    <row r="96" spans="1:15" ht="45" customHeight="1" x14ac:dyDescent="0.35">
      <c r="A96" s="105"/>
      <c r="B96" s="189"/>
      <c r="C96" s="99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05"/>
      <c r="E96" s="106"/>
      <c r="F96" s="107" t="str">
        <f>IF(A96="","",IFERROR(VLOOKUP(A96,itens_Remanesc!$A:$C,3,0),""))</f>
        <v/>
      </c>
      <c r="G96" s="107" t="str">
        <f t="shared" si="6"/>
        <v/>
      </c>
      <c r="H96" s="105"/>
      <c r="I96" s="64" t="str">
        <f>IFERROR(IF(OR($A96="",$C96=""),"",IF(OR(($O96)="",($O96)&gt;(MIN(MATCH($C96,{"C0","C1","C2","C3","C4"},0)-1,COUNT(parametros!$F$2:$F$6)-1)),NOT(ISNUMBER(INDEX(parametros!$F$2:$F$6,(MIN(MATCH($C96,{"C0","C1","C2","C3","C4"},0)-1,COUNT(parametros!$F$2:$F$6)-1))+1))),NOT(ISNUMBER(INDEX(parametros!$F$2:$F$6,($O96)+1)))),"",INDEX(parametros!$F$2:$F$6,(MIN(MATCH($C96,{"C0","C1","C2","C3","C4"},0)-1,COUNT(parametros!$F$2:$F$6)-1))+1)/INDEX(parametros!$F$2:$F$6,($O96)+1))),"")</f>
        <v/>
      </c>
      <c r="J96" s="107" t="str">
        <f t="shared" si="7"/>
        <v/>
      </c>
      <c r="K96" s="105"/>
      <c r="L96" s="85" t="str">
        <f t="shared" si="8"/>
        <v/>
      </c>
      <c r="M96" s="483" t="str">
        <f>IF(A96="","",IF(COUNTIF(itens_Remanesc!$A$2:$A$200,A96)=0,"NOVO ITEM NAO CADASTRADO - CADASTRAR EM itens_Remanesc: ITEM + VU_ORIGINAL (QTD_BASE_ORIGINAL sera 0 automaticamente); depois a data e a quantidade aqui.",IF(COUNTIF(itens_Remanesc!$A$2:$A$200,A96)&gt;1,"ALERTA: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TIPO_INVALIDO",IF(AND(ISNUMBER(SEARCH("NOVO",D96)),OR(INDEX(posicao_contratual!$C$2:$C$200,MATCH(A96,posicao_contratual!$A$2:$A$200,0))&lt;&gt;0,F96="",COUNTIFS($A$2:$A$200,A96,$B$2:$B$200,"&lt;"&amp;B96,$L$2:$L$200,"&gt;0")&gt;0)),"ALERTA: NOVO ITEM INVALIDO - use Acrescimo se o item ja existia; novo item exige QTD_BASE_ORIGINAL 0, VU_ORIGINAL e ser o 1o acrescimo do item.",IF(AND(ISNUMBER(SEARCH("NOVO",D96)),OR(N96="",ISERROR(MATCH(N96,{"C0","C1","C2","C3","C4"},0)))),"ALERTA: BASE_VU_OBRIGATORIA",IF(AND(NOT(ISNUMBER(SEARCH("NOVO",D96))),N96&lt;&gt;""),"ALERTA: BASE_VU_NAO_APLICAVEL",IF(AND(UPPER(H96)="SIM",NOT(ISNUMBER(I96))),"ALERTA: BASE_VU_INVALIDA_OU_POSTERIOR_AO_FATOR_ALVO","OK"))))))))))</f>
        <v/>
      </c>
      <c r="N96" s="485"/>
      <c r="O96" s="487" t="str">
        <f>IFERROR(IF((COUNTIFS($A$2:$A$200,$A96,$D$2:$D$200,"*novo*",$N$2:$N$200,"C0")+COUNTIFS($A$2:$A$200,$A96,$D$2:$D$200,"*novo*",$N$2:$N$200,"C1")+COUNTIFS($A$2:$A$200,$A96,$D$2:$D$200,"*novo*",$N$2:$N$200,"C2")+COUNTIFS($A$2:$A$200,$A96,$D$2:$D$200,"*novo*",$N$2:$N$200,"C3")+COUNTIFS($A$2:$A$200,$A96,$D$2:$D$200,"*novo*",$N$2:$N$200,"C4"))=1,IF(COUNTIFS($A$2:$A$200,$A96,$D$2:$D$200,"*novo*",$N$2:$N$200,"C4")&gt;0,4,IF(COUNTIFS($A$2:$A$200,$A96,$D$2:$D$200,"*novo*",$N$2:$N$200,"C3")&gt;0,3,IF(COUNTIFS($A$2:$A$200,$A96,$D$2:$D$200,"*novo*",$N$2:$N$200,"C2")&gt;0,2,IF(COUNTIFS($A$2:$A$200,$A96,$D$2:$D$200,"*novo*",$N$2:$N$200,"C1")&gt;0,1,IF(COUNTIFS($A$2:$A$200,$A96,$D$2:$D$200,"*novo*",$N$2:$N$200,"C0")&gt;0,0,""))))),IF(AND((COUNTIFS($A$2:$A$200,$A96,$D$2:$D$200,"*novo*",$N$2:$N$200,"C0")+COUNTIFS($A$2:$A$200,$A96,$D$2:$D$200,"*novo*",$N$2:$N$200,"C1")+COUNTIFS($A$2:$A$200,$A96,$D$2:$D$200,"*novo*",$N$2:$N$200,"C2")+COUNTIFS($A$2:$A$200,$A96,$D$2:$D$200,"*novo*",$N$2:$N$200,"C3")+COUNTIFS($A$2:$A$200,$A96,$D$2:$D$200,"*novo*",$N$2:$N$200,"C4"))=0,INDEX(posicao_contratual!$Y$2:$Y$200,MATCH($A96,posicao_contratual!$A$2:$A$200,0))=0),0,"")),"")</f>
        <v/>
      </c>
    </row>
    <row r="97" spans="1:15" ht="45" customHeight="1" x14ac:dyDescent="0.35">
      <c r="A97" s="105"/>
      <c r="B97" s="189"/>
      <c r="C97" s="99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05"/>
      <c r="E97" s="106"/>
      <c r="F97" s="107" t="str">
        <f>IF(A97="","",IFERROR(VLOOKUP(A97,itens_Remanesc!$A:$C,3,0),""))</f>
        <v/>
      </c>
      <c r="G97" s="107" t="str">
        <f t="shared" si="6"/>
        <v/>
      </c>
      <c r="H97" s="105"/>
      <c r="I97" s="64" t="str">
        <f>IFERROR(IF(OR($A97="",$C97=""),"",IF(OR(($O97)="",($O97)&gt;(MIN(MATCH($C97,{"C0","C1","C2","C3","C4"},0)-1,COUNT(parametros!$F$2:$F$6)-1)),NOT(ISNUMBER(INDEX(parametros!$F$2:$F$6,(MIN(MATCH($C97,{"C0","C1","C2","C3","C4"},0)-1,COUNT(parametros!$F$2:$F$6)-1))+1))),NOT(ISNUMBER(INDEX(parametros!$F$2:$F$6,($O97)+1)))),"",INDEX(parametros!$F$2:$F$6,(MIN(MATCH($C97,{"C0","C1","C2","C3","C4"},0)-1,COUNT(parametros!$F$2:$F$6)-1))+1)/INDEX(parametros!$F$2:$F$6,($O97)+1))),"")</f>
        <v/>
      </c>
      <c r="J97" s="107" t="str">
        <f t="shared" si="7"/>
        <v/>
      </c>
      <c r="K97" s="105"/>
      <c r="L97" s="85" t="str">
        <f t="shared" si="8"/>
        <v/>
      </c>
      <c r="M97" s="483" t="str">
        <f>IF(A97="","",IF(COUNTIF(itens_Remanesc!$A$2:$A$200,A97)=0,"NOVO ITEM NAO CADASTRADO - CADASTRAR EM itens_Remanesc: ITEM + VU_ORIGINAL (QTD_BASE_ORIGINAL sera 0 automaticamente); depois a data e a quantidade aqui.",IF(COUNTIF(itens_Remanesc!$A$2:$A$200,A97)&gt;1,"ALERTA: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TIPO_INVALIDO",IF(AND(ISNUMBER(SEARCH("NOVO",D97)),OR(INDEX(posicao_contratual!$C$2:$C$200,MATCH(A97,posicao_contratual!$A$2:$A$200,0))&lt;&gt;0,F97="",COUNTIFS($A$2:$A$200,A97,$B$2:$B$200,"&lt;"&amp;B97,$L$2:$L$200,"&gt;0")&gt;0)),"ALERTA: NOVO ITEM INVALIDO - use Acrescimo se o item ja existia; novo item exige QTD_BASE_ORIGINAL 0, VU_ORIGINAL e ser o 1o acrescimo do item.",IF(AND(ISNUMBER(SEARCH("NOVO",D97)),OR(N97="",ISERROR(MATCH(N97,{"C0","C1","C2","C3","C4"},0)))),"ALERTA: BASE_VU_OBRIGATORIA",IF(AND(NOT(ISNUMBER(SEARCH("NOVO",D97))),N97&lt;&gt;""),"ALERTA: BASE_VU_NAO_APLICAVEL",IF(AND(UPPER(H97)="SIM",NOT(ISNUMBER(I97))),"ALERTA: BASE_VU_INVALIDA_OU_POSTERIOR_AO_FATOR_ALVO","OK"))))))))))</f>
        <v/>
      </c>
      <c r="N97" s="485"/>
      <c r="O97" s="487" t="str">
        <f>IFERROR(IF((COUNTIFS($A$2:$A$200,$A97,$D$2:$D$200,"*novo*",$N$2:$N$200,"C0")+COUNTIFS($A$2:$A$200,$A97,$D$2:$D$200,"*novo*",$N$2:$N$200,"C1")+COUNTIFS($A$2:$A$200,$A97,$D$2:$D$200,"*novo*",$N$2:$N$200,"C2")+COUNTIFS($A$2:$A$200,$A97,$D$2:$D$200,"*novo*",$N$2:$N$200,"C3")+COUNTIFS($A$2:$A$200,$A97,$D$2:$D$200,"*novo*",$N$2:$N$200,"C4"))=1,IF(COUNTIFS($A$2:$A$200,$A97,$D$2:$D$200,"*novo*",$N$2:$N$200,"C4")&gt;0,4,IF(COUNTIFS($A$2:$A$200,$A97,$D$2:$D$200,"*novo*",$N$2:$N$200,"C3")&gt;0,3,IF(COUNTIFS($A$2:$A$200,$A97,$D$2:$D$200,"*novo*",$N$2:$N$200,"C2")&gt;0,2,IF(COUNTIFS($A$2:$A$200,$A97,$D$2:$D$200,"*novo*",$N$2:$N$200,"C1")&gt;0,1,IF(COUNTIFS($A$2:$A$200,$A97,$D$2:$D$200,"*novo*",$N$2:$N$200,"C0")&gt;0,0,""))))),IF(AND((COUNTIFS($A$2:$A$200,$A97,$D$2:$D$200,"*novo*",$N$2:$N$200,"C0")+COUNTIFS($A$2:$A$200,$A97,$D$2:$D$200,"*novo*",$N$2:$N$200,"C1")+COUNTIFS($A$2:$A$200,$A97,$D$2:$D$200,"*novo*",$N$2:$N$200,"C2")+COUNTIFS($A$2:$A$200,$A97,$D$2:$D$200,"*novo*",$N$2:$N$200,"C3")+COUNTIFS($A$2:$A$200,$A97,$D$2:$D$200,"*novo*",$N$2:$N$200,"C4"))=0,INDEX(posicao_contratual!$Y$2:$Y$200,MATCH($A97,posicao_contratual!$A$2:$A$200,0))=0),0,"")),"")</f>
        <v/>
      </c>
    </row>
    <row r="98" spans="1:15" ht="45" customHeight="1" x14ac:dyDescent="0.35">
      <c r="A98" s="105"/>
      <c r="B98" s="189"/>
      <c r="C98" s="99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05"/>
      <c r="E98" s="106"/>
      <c r="F98" s="107" t="str">
        <f>IF(A98="","",IFERROR(VLOOKUP(A98,itens_Remanesc!$A:$C,3,0),""))</f>
        <v/>
      </c>
      <c r="G98" s="107" t="str">
        <f t="shared" ref="G98:G129" si="9">IF(OR(E98="",F98=""),"",ROUND(E98*F98,2))</f>
        <v/>
      </c>
      <c r="H98" s="105"/>
      <c r="I98" s="64" t="str">
        <f>IFERROR(IF(OR($A98="",$C98=""),"",IF(OR(($O98)="",($O98)&gt;(MIN(MATCH($C98,{"C0","C1","C2","C3","C4"},0)-1,COUNT(parametros!$F$2:$F$6)-1)),NOT(ISNUMBER(INDEX(parametros!$F$2:$F$6,(MIN(MATCH($C98,{"C0","C1","C2","C3","C4"},0)-1,COUNT(parametros!$F$2:$F$6)-1))+1))),NOT(ISNUMBER(INDEX(parametros!$F$2:$F$6,($O98)+1)))),"",INDEX(parametros!$F$2:$F$6,(MIN(MATCH($C98,{"C0","C1","C2","C3","C4"},0)-1,COUNT(parametros!$F$2:$F$6)-1))+1)/INDEX(parametros!$F$2:$F$6,($O98)+1))),"")</f>
        <v/>
      </c>
      <c r="J98" s="107" t="str">
        <f t="shared" ref="J98:J129" si="10">IF(OR(L98="",F98=""),"",IF(UPPER(H98)="SIM",IF(ISNUMBER(I98),ROUND(L98*ROUND(F98*I98,2),2),""),ROUND(L98*F98,2)))</f>
        <v/>
      </c>
      <c r="K98" s="105"/>
      <c r="L98" s="85" t="str">
        <f t="shared" ref="L98:L129" si="11">IF(OR(A98="",C98="",D98="",NOT(ISNUMBER(E98))),"",IF(LEFT(UPPER(D98),3)="ACR",ROUND(ABS(E98),2),IF(OR(LEFT(UPPER(D98),4)="SUPR",LEFT(UPPER(D98),4)="DECR"),ROUND(-ABS(E98),2),"")))</f>
        <v/>
      </c>
      <c r="M98" s="483" t="str">
        <f>IF(A98="","",IF(COUNTIF(itens_Remanesc!$A$2:$A$200,A98)=0,"NOVO ITEM NAO CADASTRADO - CADASTRAR EM itens_Remanesc: ITEM + VU_ORIGINAL (QTD_BASE_ORIGINAL sera 0 automaticamente); depois a data e a quantidade aqui.",IF(COUNTIF(itens_Remanesc!$A$2:$A$200,A98)&gt;1,"ALERTA: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TIPO_INVALIDO",IF(AND(ISNUMBER(SEARCH("NOVO",D98)),OR(INDEX(posicao_contratual!$C$2:$C$200,MATCH(A98,posicao_contratual!$A$2:$A$200,0))&lt;&gt;0,F98="",COUNTIFS($A$2:$A$200,A98,$B$2:$B$200,"&lt;"&amp;B98,$L$2:$L$200,"&gt;0")&gt;0)),"ALERTA: NOVO ITEM INVALIDO - use Acrescimo se o item ja existia; novo item exige QTD_BASE_ORIGINAL 0, VU_ORIGINAL e ser o 1o acrescimo do item.",IF(AND(ISNUMBER(SEARCH("NOVO",D98)),OR(N98="",ISERROR(MATCH(N98,{"C0","C1","C2","C3","C4"},0)))),"ALERTA: BASE_VU_OBRIGATORIA",IF(AND(NOT(ISNUMBER(SEARCH("NOVO",D98))),N98&lt;&gt;""),"ALERTA: BASE_VU_NAO_APLICAVEL",IF(AND(UPPER(H98)="SIM",NOT(ISNUMBER(I98))),"ALERTA: BASE_VU_INVALIDA_OU_POSTERIOR_AO_FATOR_ALVO","OK"))))))))))</f>
        <v/>
      </c>
      <c r="N98" s="485"/>
      <c r="O98" s="487" t="str">
        <f>IFERROR(IF((COUNTIFS($A$2:$A$200,$A98,$D$2:$D$200,"*novo*",$N$2:$N$200,"C0")+COUNTIFS($A$2:$A$200,$A98,$D$2:$D$200,"*novo*",$N$2:$N$200,"C1")+COUNTIFS($A$2:$A$200,$A98,$D$2:$D$200,"*novo*",$N$2:$N$200,"C2")+COUNTIFS($A$2:$A$200,$A98,$D$2:$D$200,"*novo*",$N$2:$N$200,"C3")+COUNTIFS($A$2:$A$200,$A98,$D$2:$D$200,"*novo*",$N$2:$N$200,"C4"))=1,IF(COUNTIFS($A$2:$A$200,$A98,$D$2:$D$200,"*novo*",$N$2:$N$200,"C4")&gt;0,4,IF(COUNTIFS($A$2:$A$200,$A98,$D$2:$D$200,"*novo*",$N$2:$N$200,"C3")&gt;0,3,IF(COUNTIFS($A$2:$A$200,$A98,$D$2:$D$200,"*novo*",$N$2:$N$200,"C2")&gt;0,2,IF(COUNTIFS($A$2:$A$200,$A98,$D$2:$D$200,"*novo*",$N$2:$N$200,"C1")&gt;0,1,IF(COUNTIFS($A$2:$A$200,$A98,$D$2:$D$200,"*novo*",$N$2:$N$200,"C0")&gt;0,0,""))))),IF(AND((COUNTIFS($A$2:$A$200,$A98,$D$2:$D$200,"*novo*",$N$2:$N$200,"C0")+COUNTIFS($A$2:$A$200,$A98,$D$2:$D$200,"*novo*",$N$2:$N$200,"C1")+COUNTIFS($A$2:$A$200,$A98,$D$2:$D$200,"*novo*",$N$2:$N$200,"C2")+COUNTIFS($A$2:$A$200,$A98,$D$2:$D$200,"*novo*",$N$2:$N$200,"C3")+COUNTIFS($A$2:$A$200,$A98,$D$2:$D$200,"*novo*",$N$2:$N$200,"C4"))=0,INDEX(posicao_contratual!$Y$2:$Y$200,MATCH($A98,posicao_contratual!$A$2:$A$200,0))=0),0,"")),"")</f>
        <v/>
      </c>
    </row>
    <row r="99" spans="1:15" ht="45" customHeight="1" x14ac:dyDescent="0.35">
      <c r="A99" s="105"/>
      <c r="B99" s="189"/>
      <c r="C99" s="99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05"/>
      <c r="E99" s="106"/>
      <c r="F99" s="107" t="str">
        <f>IF(A99="","",IFERROR(VLOOKUP(A99,itens_Remanesc!$A:$C,3,0),""))</f>
        <v/>
      </c>
      <c r="G99" s="107" t="str">
        <f t="shared" si="9"/>
        <v/>
      </c>
      <c r="H99" s="105"/>
      <c r="I99" s="64" t="str">
        <f>IFERROR(IF(OR($A99="",$C99=""),"",IF(OR(($O99)="",($O99)&gt;(MIN(MATCH($C99,{"C0","C1","C2","C3","C4"},0)-1,COUNT(parametros!$F$2:$F$6)-1)),NOT(ISNUMBER(INDEX(parametros!$F$2:$F$6,(MIN(MATCH($C99,{"C0","C1","C2","C3","C4"},0)-1,COUNT(parametros!$F$2:$F$6)-1))+1))),NOT(ISNUMBER(INDEX(parametros!$F$2:$F$6,($O99)+1)))),"",INDEX(parametros!$F$2:$F$6,(MIN(MATCH($C99,{"C0","C1","C2","C3","C4"},0)-1,COUNT(parametros!$F$2:$F$6)-1))+1)/INDEX(parametros!$F$2:$F$6,($O99)+1))),"")</f>
        <v/>
      </c>
      <c r="J99" s="107" t="str">
        <f t="shared" si="10"/>
        <v/>
      </c>
      <c r="K99" s="105"/>
      <c r="L99" s="85" t="str">
        <f t="shared" si="11"/>
        <v/>
      </c>
      <c r="M99" s="483" t="str">
        <f>IF(A99="","",IF(COUNTIF(itens_Remanesc!$A$2:$A$200,A99)=0,"NOVO ITEM NAO CADASTRADO - CADASTRAR EM itens_Remanesc: ITEM + VU_ORIGINAL (QTD_BASE_ORIGINAL sera 0 automaticamente); depois a data e a quantidade aqui.",IF(COUNTIF(itens_Remanesc!$A$2:$A$200,A99)&gt;1,"ALERTA: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TIPO_INVALIDO",IF(AND(ISNUMBER(SEARCH("NOVO",D99)),OR(INDEX(posicao_contratual!$C$2:$C$200,MATCH(A99,posicao_contratual!$A$2:$A$200,0))&lt;&gt;0,F99="",COUNTIFS($A$2:$A$200,A99,$B$2:$B$200,"&lt;"&amp;B99,$L$2:$L$200,"&gt;0")&gt;0)),"ALERTA: NOVO ITEM INVALIDO - use Acrescimo se o item ja existia; novo item exige QTD_BASE_ORIGINAL 0, VU_ORIGINAL e ser o 1o acrescimo do item.",IF(AND(ISNUMBER(SEARCH("NOVO",D99)),OR(N99="",ISERROR(MATCH(N99,{"C0","C1","C2","C3","C4"},0)))),"ALERTA: BASE_VU_OBRIGATORIA",IF(AND(NOT(ISNUMBER(SEARCH("NOVO",D99))),N99&lt;&gt;""),"ALERTA: BASE_VU_NAO_APLICAVEL",IF(AND(UPPER(H99)="SIM",NOT(ISNUMBER(I99))),"ALERTA: BASE_VU_INVALIDA_OU_POSTERIOR_AO_FATOR_ALVO","OK"))))))))))</f>
        <v/>
      </c>
      <c r="N99" s="485"/>
      <c r="O99" s="487" t="str">
        <f>IFERROR(IF((COUNTIFS($A$2:$A$200,$A99,$D$2:$D$200,"*novo*",$N$2:$N$200,"C0")+COUNTIFS($A$2:$A$200,$A99,$D$2:$D$200,"*novo*",$N$2:$N$200,"C1")+COUNTIFS($A$2:$A$200,$A99,$D$2:$D$200,"*novo*",$N$2:$N$200,"C2")+COUNTIFS($A$2:$A$200,$A99,$D$2:$D$200,"*novo*",$N$2:$N$200,"C3")+COUNTIFS($A$2:$A$200,$A99,$D$2:$D$200,"*novo*",$N$2:$N$200,"C4"))=1,IF(COUNTIFS($A$2:$A$200,$A99,$D$2:$D$200,"*novo*",$N$2:$N$200,"C4")&gt;0,4,IF(COUNTIFS($A$2:$A$200,$A99,$D$2:$D$200,"*novo*",$N$2:$N$200,"C3")&gt;0,3,IF(COUNTIFS($A$2:$A$200,$A99,$D$2:$D$200,"*novo*",$N$2:$N$200,"C2")&gt;0,2,IF(COUNTIFS($A$2:$A$200,$A99,$D$2:$D$200,"*novo*",$N$2:$N$200,"C1")&gt;0,1,IF(COUNTIFS($A$2:$A$200,$A99,$D$2:$D$200,"*novo*",$N$2:$N$200,"C0")&gt;0,0,""))))),IF(AND((COUNTIFS($A$2:$A$200,$A99,$D$2:$D$200,"*novo*",$N$2:$N$200,"C0")+COUNTIFS($A$2:$A$200,$A99,$D$2:$D$200,"*novo*",$N$2:$N$200,"C1")+COUNTIFS($A$2:$A$200,$A99,$D$2:$D$200,"*novo*",$N$2:$N$200,"C2")+COUNTIFS($A$2:$A$200,$A99,$D$2:$D$200,"*novo*",$N$2:$N$200,"C3")+COUNTIFS($A$2:$A$200,$A99,$D$2:$D$200,"*novo*",$N$2:$N$200,"C4"))=0,INDEX(posicao_contratual!$Y$2:$Y$200,MATCH($A99,posicao_contratual!$A$2:$A$200,0))=0),0,"")),"")</f>
        <v/>
      </c>
    </row>
    <row r="100" spans="1:15" ht="45" customHeight="1" x14ac:dyDescent="0.35">
      <c r="A100" s="105"/>
      <c r="B100" s="189"/>
      <c r="C100" s="99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05"/>
      <c r="E100" s="106"/>
      <c r="F100" s="107" t="str">
        <f>IF(A100="","",IFERROR(VLOOKUP(A100,itens_Remanesc!$A:$C,3,0),""))</f>
        <v/>
      </c>
      <c r="G100" s="107" t="str">
        <f t="shared" si="9"/>
        <v/>
      </c>
      <c r="H100" s="105"/>
      <c r="I100" s="64" t="str">
        <f>IFERROR(IF(OR($A100="",$C100=""),"",IF(OR(($O100)="",($O100)&gt;(MIN(MATCH($C100,{"C0","C1","C2","C3","C4"},0)-1,COUNT(parametros!$F$2:$F$6)-1)),NOT(ISNUMBER(INDEX(parametros!$F$2:$F$6,(MIN(MATCH($C100,{"C0","C1","C2","C3","C4"},0)-1,COUNT(parametros!$F$2:$F$6)-1))+1))),NOT(ISNUMBER(INDEX(parametros!$F$2:$F$6,($O100)+1)))),"",INDEX(parametros!$F$2:$F$6,(MIN(MATCH($C100,{"C0","C1","C2","C3","C4"},0)-1,COUNT(parametros!$F$2:$F$6)-1))+1)/INDEX(parametros!$F$2:$F$6,($O100)+1))),"")</f>
        <v/>
      </c>
      <c r="J100" s="107" t="str">
        <f t="shared" si="10"/>
        <v/>
      </c>
      <c r="K100" s="105"/>
      <c r="L100" s="85" t="str">
        <f t="shared" si="11"/>
        <v/>
      </c>
      <c r="M100" s="483" t="str">
        <f>IF(A100="","",IF(COUNTIF(itens_Remanesc!$A$2:$A$200,A100)=0,"NOVO ITEM NAO CADASTRADO - CADASTRAR EM itens_Remanesc: ITEM + VU_ORIGINAL (QTD_BASE_ORIGINAL sera 0 automaticamente); depois a data e a quantidade aqui.",IF(COUNTIF(itens_Remanesc!$A$2:$A$200,A100)&gt;1,"ALERTA: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TIPO_INVALIDO",IF(AND(ISNUMBER(SEARCH("NOVO",D100)),OR(INDEX(posicao_contratual!$C$2:$C$200,MATCH(A100,posicao_contratual!$A$2:$A$200,0))&lt;&gt;0,F100="",COUNTIFS($A$2:$A$200,A100,$B$2:$B$200,"&lt;"&amp;B100,$L$2:$L$200,"&gt;0")&gt;0)),"ALERTA: NOVO ITEM INVALIDO - use Acrescimo se o item ja existia; novo item exige QTD_BASE_ORIGINAL 0, VU_ORIGINAL e ser o 1o acrescimo do item.",IF(AND(ISNUMBER(SEARCH("NOVO",D100)),OR(N100="",ISERROR(MATCH(N100,{"C0","C1","C2","C3","C4"},0)))),"ALERTA: BASE_VU_OBRIGATORIA",IF(AND(NOT(ISNUMBER(SEARCH("NOVO",D100))),N100&lt;&gt;""),"ALERTA: BASE_VU_NAO_APLICAVEL",IF(AND(UPPER(H100)="SIM",NOT(ISNUMBER(I100))),"ALERTA: BASE_VU_INVALIDA_OU_POSTERIOR_AO_FATOR_ALVO","OK"))))))))))</f>
        <v/>
      </c>
      <c r="N100" s="485"/>
      <c r="O100" s="487" t="str">
        <f>IFERROR(IF((COUNTIFS($A$2:$A$200,$A100,$D$2:$D$200,"*novo*",$N$2:$N$200,"C0")+COUNTIFS($A$2:$A$200,$A100,$D$2:$D$200,"*novo*",$N$2:$N$200,"C1")+COUNTIFS($A$2:$A$200,$A100,$D$2:$D$200,"*novo*",$N$2:$N$200,"C2")+COUNTIFS($A$2:$A$200,$A100,$D$2:$D$200,"*novo*",$N$2:$N$200,"C3")+COUNTIFS($A$2:$A$200,$A100,$D$2:$D$200,"*novo*",$N$2:$N$200,"C4"))=1,IF(COUNTIFS($A$2:$A$200,$A100,$D$2:$D$200,"*novo*",$N$2:$N$200,"C4")&gt;0,4,IF(COUNTIFS($A$2:$A$200,$A100,$D$2:$D$200,"*novo*",$N$2:$N$200,"C3")&gt;0,3,IF(COUNTIFS($A$2:$A$200,$A100,$D$2:$D$200,"*novo*",$N$2:$N$200,"C2")&gt;0,2,IF(COUNTIFS($A$2:$A$200,$A100,$D$2:$D$200,"*novo*",$N$2:$N$200,"C1")&gt;0,1,IF(COUNTIFS($A$2:$A$200,$A100,$D$2:$D$200,"*novo*",$N$2:$N$200,"C0")&gt;0,0,""))))),IF(AND((COUNTIFS($A$2:$A$200,$A100,$D$2:$D$200,"*novo*",$N$2:$N$200,"C0")+COUNTIFS($A$2:$A$200,$A100,$D$2:$D$200,"*novo*",$N$2:$N$200,"C1")+COUNTIFS($A$2:$A$200,$A100,$D$2:$D$200,"*novo*",$N$2:$N$200,"C2")+COUNTIFS($A$2:$A$200,$A100,$D$2:$D$200,"*novo*",$N$2:$N$200,"C3")+COUNTIFS($A$2:$A$200,$A100,$D$2:$D$200,"*novo*",$N$2:$N$200,"C4"))=0,INDEX(posicao_contratual!$Y$2:$Y$200,MATCH($A100,posicao_contratual!$A$2:$A$200,0))=0),0,"")),"")</f>
        <v/>
      </c>
    </row>
    <row r="101" spans="1:15" ht="45" customHeight="1" x14ac:dyDescent="0.35">
      <c r="A101" s="105"/>
      <c r="B101" s="189"/>
      <c r="C101" s="99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05"/>
      <c r="E101" s="106"/>
      <c r="F101" s="107" t="str">
        <f>IF(A101="","",IFERROR(VLOOKUP(A101,itens_Remanesc!$A:$C,3,0),""))</f>
        <v/>
      </c>
      <c r="G101" s="107" t="str">
        <f t="shared" si="9"/>
        <v/>
      </c>
      <c r="H101" s="105"/>
      <c r="I101" s="64" t="str">
        <f>IFERROR(IF(OR($A101="",$C101=""),"",IF(OR(($O101)="",($O101)&gt;(MIN(MATCH($C101,{"C0","C1","C2","C3","C4"},0)-1,COUNT(parametros!$F$2:$F$6)-1)),NOT(ISNUMBER(INDEX(parametros!$F$2:$F$6,(MIN(MATCH($C101,{"C0","C1","C2","C3","C4"},0)-1,COUNT(parametros!$F$2:$F$6)-1))+1))),NOT(ISNUMBER(INDEX(parametros!$F$2:$F$6,($O101)+1)))),"",INDEX(parametros!$F$2:$F$6,(MIN(MATCH($C101,{"C0","C1","C2","C3","C4"},0)-1,COUNT(parametros!$F$2:$F$6)-1))+1)/INDEX(parametros!$F$2:$F$6,($O101)+1))),"")</f>
        <v/>
      </c>
      <c r="J101" s="107" t="str">
        <f t="shared" si="10"/>
        <v/>
      </c>
      <c r="K101" s="105"/>
      <c r="L101" s="85" t="str">
        <f t="shared" si="11"/>
        <v/>
      </c>
      <c r="M101" s="483" t="str">
        <f>IF(A101="","",IF(COUNTIF(itens_Remanesc!$A$2:$A$200,A101)=0,"NOVO ITEM NAO CADASTRADO - CADASTRAR EM itens_Remanesc: ITEM + VU_ORIGINAL (QTD_BASE_ORIGINAL sera 0 automaticamente); depois a data e a quantidade aqui.",IF(COUNTIF(itens_Remanesc!$A$2:$A$200,A101)&gt;1,"ALERTA: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TIPO_INVALIDO",IF(AND(ISNUMBER(SEARCH("NOVO",D101)),OR(INDEX(posicao_contratual!$C$2:$C$200,MATCH(A101,posicao_contratual!$A$2:$A$200,0))&lt;&gt;0,F101="",COUNTIFS($A$2:$A$200,A101,$B$2:$B$200,"&lt;"&amp;B101,$L$2:$L$200,"&gt;0")&gt;0)),"ALERTA: NOVO ITEM INVALIDO - use Acrescimo se o item ja existia; novo item exige QTD_BASE_ORIGINAL 0, VU_ORIGINAL e ser o 1o acrescimo do item.",IF(AND(ISNUMBER(SEARCH("NOVO",D101)),OR(N101="",ISERROR(MATCH(N101,{"C0","C1","C2","C3","C4"},0)))),"ALERTA: BASE_VU_OBRIGATORIA",IF(AND(NOT(ISNUMBER(SEARCH("NOVO",D101))),N101&lt;&gt;""),"ALERTA: BASE_VU_NAO_APLICAVEL",IF(AND(UPPER(H101)="SIM",NOT(ISNUMBER(I101))),"ALERTA: BASE_VU_INVALIDA_OU_POSTERIOR_AO_FATOR_ALVO","OK"))))))))))</f>
        <v/>
      </c>
      <c r="N101" s="485"/>
      <c r="O101" s="487" t="str">
        <f>IFERROR(IF((COUNTIFS($A$2:$A$200,$A101,$D$2:$D$200,"*novo*",$N$2:$N$200,"C0")+COUNTIFS($A$2:$A$200,$A101,$D$2:$D$200,"*novo*",$N$2:$N$200,"C1")+COUNTIFS($A$2:$A$200,$A101,$D$2:$D$200,"*novo*",$N$2:$N$200,"C2")+COUNTIFS($A$2:$A$200,$A101,$D$2:$D$200,"*novo*",$N$2:$N$200,"C3")+COUNTIFS($A$2:$A$200,$A101,$D$2:$D$200,"*novo*",$N$2:$N$200,"C4"))=1,IF(COUNTIFS($A$2:$A$200,$A101,$D$2:$D$200,"*novo*",$N$2:$N$200,"C4")&gt;0,4,IF(COUNTIFS($A$2:$A$200,$A101,$D$2:$D$200,"*novo*",$N$2:$N$200,"C3")&gt;0,3,IF(COUNTIFS($A$2:$A$200,$A101,$D$2:$D$200,"*novo*",$N$2:$N$200,"C2")&gt;0,2,IF(COUNTIFS($A$2:$A$200,$A101,$D$2:$D$200,"*novo*",$N$2:$N$200,"C1")&gt;0,1,IF(COUNTIFS($A$2:$A$200,$A101,$D$2:$D$200,"*novo*",$N$2:$N$200,"C0")&gt;0,0,""))))),IF(AND((COUNTIFS($A$2:$A$200,$A101,$D$2:$D$200,"*novo*",$N$2:$N$200,"C0")+COUNTIFS($A$2:$A$200,$A101,$D$2:$D$200,"*novo*",$N$2:$N$200,"C1")+COUNTIFS($A$2:$A$200,$A101,$D$2:$D$200,"*novo*",$N$2:$N$200,"C2")+COUNTIFS($A$2:$A$200,$A101,$D$2:$D$200,"*novo*",$N$2:$N$200,"C3")+COUNTIFS($A$2:$A$200,$A101,$D$2:$D$200,"*novo*",$N$2:$N$200,"C4"))=0,INDEX(posicao_contratual!$Y$2:$Y$200,MATCH($A101,posicao_contratual!$A$2:$A$200,0))=0),0,"")),"")</f>
        <v/>
      </c>
    </row>
    <row r="102" spans="1:15" ht="45" customHeight="1" x14ac:dyDescent="0.35">
      <c r="A102" s="105"/>
      <c r="B102" s="189"/>
      <c r="C102" s="99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05"/>
      <c r="E102" s="106"/>
      <c r="F102" s="107" t="str">
        <f>IF(A102="","",IFERROR(VLOOKUP(A102,itens_Remanesc!$A:$C,3,0),""))</f>
        <v/>
      </c>
      <c r="G102" s="107" t="str">
        <f t="shared" si="9"/>
        <v/>
      </c>
      <c r="H102" s="105"/>
      <c r="I102" s="64" t="str">
        <f>IFERROR(IF(OR($A102="",$C102=""),"",IF(OR(($O102)="",($O102)&gt;(MIN(MATCH($C102,{"C0","C1","C2","C3","C4"},0)-1,COUNT(parametros!$F$2:$F$6)-1)),NOT(ISNUMBER(INDEX(parametros!$F$2:$F$6,(MIN(MATCH($C102,{"C0","C1","C2","C3","C4"},0)-1,COUNT(parametros!$F$2:$F$6)-1))+1))),NOT(ISNUMBER(INDEX(parametros!$F$2:$F$6,($O102)+1)))),"",INDEX(parametros!$F$2:$F$6,(MIN(MATCH($C102,{"C0","C1","C2","C3","C4"},0)-1,COUNT(parametros!$F$2:$F$6)-1))+1)/INDEX(parametros!$F$2:$F$6,($O102)+1))),"")</f>
        <v/>
      </c>
      <c r="J102" s="107" t="str">
        <f t="shared" si="10"/>
        <v/>
      </c>
      <c r="K102" s="105"/>
      <c r="L102" s="85" t="str">
        <f t="shared" si="11"/>
        <v/>
      </c>
      <c r="M102" s="483" t="str">
        <f>IF(A102="","",IF(COUNTIF(itens_Remanesc!$A$2:$A$200,A102)=0,"NOVO ITEM NAO CADASTRADO - CADASTRAR EM itens_Remanesc: ITEM + VU_ORIGINAL (QTD_BASE_ORIGINAL sera 0 automaticamente); depois a data e a quantidade aqui.",IF(COUNTIF(itens_Remanesc!$A$2:$A$200,A102)&gt;1,"ALERTA: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TIPO_INVALIDO",IF(AND(ISNUMBER(SEARCH("NOVO",D102)),OR(INDEX(posicao_contratual!$C$2:$C$200,MATCH(A102,posicao_contratual!$A$2:$A$200,0))&lt;&gt;0,F102="",COUNTIFS($A$2:$A$200,A102,$B$2:$B$200,"&lt;"&amp;B102,$L$2:$L$200,"&gt;0")&gt;0)),"ALERTA: NOVO ITEM INVALIDO - use Acrescimo se o item ja existia; novo item exige QTD_BASE_ORIGINAL 0, VU_ORIGINAL e ser o 1o acrescimo do item.",IF(AND(ISNUMBER(SEARCH("NOVO",D102)),OR(N102="",ISERROR(MATCH(N102,{"C0","C1","C2","C3","C4"},0)))),"ALERTA: BASE_VU_OBRIGATORIA",IF(AND(NOT(ISNUMBER(SEARCH("NOVO",D102))),N102&lt;&gt;""),"ALERTA: BASE_VU_NAO_APLICAVEL",IF(AND(UPPER(H102)="SIM",NOT(ISNUMBER(I102))),"ALERTA: BASE_VU_INVALIDA_OU_POSTERIOR_AO_FATOR_ALVO","OK"))))))))))</f>
        <v/>
      </c>
      <c r="N102" s="485"/>
      <c r="O102" s="487" t="str">
        <f>IFERROR(IF((COUNTIFS($A$2:$A$200,$A102,$D$2:$D$200,"*novo*",$N$2:$N$200,"C0")+COUNTIFS($A$2:$A$200,$A102,$D$2:$D$200,"*novo*",$N$2:$N$200,"C1")+COUNTIFS($A$2:$A$200,$A102,$D$2:$D$200,"*novo*",$N$2:$N$200,"C2")+COUNTIFS($A$2:$A$200,$A102,$D$2:$D$200,"*novo*",$N$2:$N$200,"C3")+COUNTIFS($A$2:$A$200,$A102,$D$2:$D$200,"*novo*",$N$2:$N$200,"C4"))=1,IF(COUNTIFS($A$2:$A$200,$A102,$D$2:$D$200,"*novo*",$N$2:$N$200,"C4")&gt;0,4,IF(COUNTIFS($A$2:$A$200,$A102,$D$2:$D$200,"*novo*",$N$2:$N$200,"C3")&gt;0,3,IF(COUNTIFS($A$2:$A$200,$A102,$D$2:$D$200,"*novo*",$N$2:$N$200,"C2")&gt;0,2,IF(COUNTIFS($A$2:$A$200,$A102,$D$2:$D$200,"*novo*",$N$2:$N$200,"C1")&gt;0,1,IF(COUNTIFS($A$2:$A$200,$A102,$D$2:$D$200,"*novo*",$N$2:$N$200,"C0")&gt;0,0,""))))),IF(AND((COUNTIFS($A$2:$A$200,$A102,$D$2:$D$200,"*novo*",$N$2:$N$200,"C0")+COUNTIFS($A$2:$A$200,$A102,$D$2:$D$200,"*novo*",$N$2:$N$200,"C1")+COUNTIFS($A$2:$A$200,$A102,$D$2:$D$200,"*novo*",$N$2:$N$200,"C2")+COUNTIFS($A$2:$A$200,$A102,$D$2:$D$200,"*novo*",$N$2:$N$200,"C3")+COUNTIFS($A$2:$A$200,$A102,$D$2:$D$200,"*novo*",$N$2:$N$200,"C4"))=0,INDEX(posicao_contratual!$Y$2:$Y$200,MATCH($A102,posicao_contratual!$A$2:$A$200,0))=0),0,"")),"")</f>
        <v/>
      </c>
    </row>
    <row r="103" spans="1:15" ht="45" customHeight="1" x14ac:dyDescent="0.35">
      <c r="A103" s="105"/>
      <c r="B103" s="189"/>
      <c r="C103" s="99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05"/>
      <c r="E103" s="106"/>
      <c r="F103" s="107" t="str">
        <f>IF(A103="","",IFERROR(VLOOKUP(A103,itens_Remanesc!$A:$C,3,0),""))</f>
        <v/>
      </c>
      <c r="G103" s="107" t="str">
        <f t="shared" si="9"/>
        <v/>
      </c>
      <c r="H103" s="105"/>
      <c r="I103" s="64" t="str">
        <f>IFERROR(IF(OR($A103="",$C103=""),"",IF(OR(($O103)="",($O103)&gt;(MIN(MATCH($C103,{"C0","C1","C2","C3","C4"},0)-1,COUNT(parametros!$F$2:$F$6)-1)),NOT(ISNUMBER(INDEX(parametros!$F$2:$F$6,(MIN(MATCH($C103,{"C0","C1","C2","C3","C4"},0)-1,COUNT(parametros!$F$2:$F$6)-1))+1))),NOT(ISNUMBER(INDEX(parametros!$F$2:$F$6,($O103)+1)))),"",INDEX(parametros!$F$2:$F$6,(MIN(MATCH($C103,{"C0","C1","C2","C3","C4"},0)-1,COUNT(parametros!$F$2:$F$6)-1))+1)/INDEX(parametros!$F$2:$F$6,($O103)+1))),"")</f>
        <v/>
      </c>
      <c r="J103" s="107" t="str">
        <f t="shared" si="10"/>
        <v/>
      </c>
      <c r="K103" s="105"/>
      <c r="L103" s="85" t="str">
        <f t="shared" si="11"/>
        <v/>
      </c>
      <c r="M103" s="483" t="str">
        <f>IF(A103="","",IF(COUNTIF(itens_Remanesc!$A$2:$A$200,A103)=0,"NOVO ITEM NAO CADASTRADO - CADASTRAR EM itens_Remanesc: ITEM + VU_ORIGINAL (QTD_BASE_ORIGINAL sera 0 automaticamente); depois a data e a quantidade aqui.",IF(COUNTIF(itens_Remanesc!$A$2:$A$200,A103)&gt;1,"ALERTA: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TIPO_INVALIDO",IF(AND(ISNUMBER(SEARCH("NOVO",D103)),OR(INDEX(posicao_contratual!$C$2:$C$200,MATCH(A103,posicao_contratual!$A$2:$A$200,0))&lt;&gt;0,F103="",COUNTIFS($A$2:$A$200,A103,$B$2:$B$200,"&lt;"&amp;B103,$L$2:$L$200,"&gt;0")&gt;0)),"ALERTA: NOVO ITEM INVALIDO - use Acrescimo se o item ja existia; novo item exige QTD_BASE_ORIGINAL 0, VU_ORIGINAL e ser o 1o acrescimo do item.",IF(AND(ISNUMBER(SEARCH("NOVO",D103)),OR(N103="",ISERROR(MATCH(N103,{"C0","C1","C2","C3","C4"},0)))),"ALERTA: BASE_VU_OBRIGATORIA",IF(AND(NOT(ISNUMBER(SEARCH("NOVO",D103))),N103&lt;&gt;""),"ALERTA: BASE_VU_NAO_APLICAVEL",IF(AND(UPPER(H103)="SIM",NOT(ISNUMBER(I103))),"ALERTA: BASE_VU_INVALIDA_OU_POSTERIOR_AO_FATOR_ALVO","OK"))))))))))</f>
        <v/>
      </c>
      <c r="N103" s="485"/>
      <c r="O103" s="487" t="str">
        <f>IFERROR(IF((COUNTIFS($A$2:$A$200,$A103,$D$2:$D$200,"*novo*",$N$2:$N$200,"C0")+COUNTIFS($A$2:$A$200,$A103,$D$2:$D$200,"*novo*",$N$2:$N$200,"C1")+COUNTIFS($A$2:$A$200,$A103,$D$2:$D$200,"*novo*",$N$2:$N$200,"C2")+COUNTIFS($A$2:$A$200,$A103,$D$2:$D$200,"*novo*",$N$2:$N$200,"C3")+COUNTIFS($A$2:$A$200,$A103,$D$2:$D$200,"*novo*",$N$2:$N$200,"C4"))=1,IF(COUNTIFS($A$2:$A$200,$A103,$D$2:$D$200,"*novo*",$N$2:$N$200,"C4")&gt;0,4,IF(COUNTIFS($A$2:$A$200,$A103,$D$2:$D$200,"*novo*",$N$2:$N$200,"C3")&gt;0,3,IF(COUNTIFS($A$2:$A$200,$A103,$D$2:$D$200,"*novo*",$N$2:$N$200,"C2")&gt;0,2,IF(COUNTIFS($A$2:$A$200,$A103,$D$2:$D$200,"*novo*",$N$2:$N$200,"C1")&gt;0,1,IF(COUNTIFS($A$2:$A$200,$A103,$D$2:$D$200,"*novo*",$N$2:$N$200,"C0")&gt;0,0,""))))),IF(AND((COUNTIFS($A$2:$A$200,$A103,$D$2:$D$200,"*novo*",$N$2:$N$200,"C0")+COUNTIFS($A$2:$A$200,$A103,$D$2:$D$200,"*novo*",$N$2:$N$200,"C1")+COUNTIFS($A$2:$A$200,$A103,$D$2:$D$200,"*novo*",$N$2:$N$200,"C2")+COUNTIFS($A$2:$A$200,$A103,$D$2:$D$200,"*novo*",$N$2:$N$200,"C3")+COUNTIFS($A$2:$A$200,$A103,$D$2:$D$200,"*novo*",$N$2:$N$200,"C4"))=0,INDEX(posicao_contratual!$Y$2:$Y$200,MATCH($A103,posicao_contratual!$A$2:$A$200,0))=0),0,"")),"")</f>
        <v/>
      </c>
    </row>
    <row r="104" spans="1:15" ht="45" customHeight="1" x14ac:dyDescent="0.35">
      <c r="A104" s="105"/>
      <c r="B104" s="189"/>
      <c r="C104" s="99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05"/>
      <c r="E104" s="106"/>
      <c r="F104" s="107" t="str">
        <f>IF(A104="","",IFERROR(VLOOKUP(A104,itens_Remanesc!$A:$C,3,0),""))</f>
        <v/>
      </c>
      <c r="G104" s="107" t="str">
        <f t="shared" si="9"/>
        <v/>
      </c>
      <c r="H104" s="105"/>
      <c r="I104" s="64" t="str">
        <f>IFERROR(IF(OR($A104="",$C104=""),"",IF(OR(($O104)="",($O104)&gt;(MIN(MATCH($C104,{"C0","C1","C2","C3","C4"},0)-1,COUNT(parametros!$F$2:$F$6)-1)),NOT(ISNUMBER(INDEX(parametros!$F$2:$F$6,(MIN(MATCH($C104,{"C0","C1","C2","C3","C4"},0)-1,COUNT(parametros!$F$2:$F$6)-1))+1))),NOT(ISNUMBER(INDEX(parametros!$F$2:$F$6,($O104)+1)))),"",INDEX(parametros!$F$2:$F$6,(MIN(MATCH($C104,{"C0","C1","C2","C3","C4"},0)-1,COUNT(parametros!$F$2:$F$6)-1))+1)/INDEX(parametros!$F$2:$F$6,($O104)+1))),"")</f>
        <v/>
      </c>
      <c r="J104" s="107" t="str">
        <f t="shared" si="10"/>
        <v/>
      </c>
      <c r="K104" s="105"/>
      <c r="L104" s="85" t="str">
        <f t="shared" si="11"/>
        <v/>
      </c>
      <c r="M104" s="483" t="str">
        <f>IF(A104="","",IF(COUNTIF(itens_Remanesc!$A$2:$A$200,A104)=0,"NOVO ITEM NAO CADASTRADO - CADASTRAR EM itens_Remanesc: ITEM + VU_ORIGINAL (QTD_BASE_ORIGINAL sera 0 automaticamente); depois a data e a quantidade aqui.",IF(COUNTIF(itens_Remanesc!$A$2:$A$200,A104)&gt;1,"ALERTA: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TIPO_INVALIDO",IF(AND(ISNUMBER(SEARCH("NOVO",D104)),OR(INDEX(posicao_contratual!$C$2:$C$200,MATCH(A104,posicao_contratual!$A$2:$A$200,0))&lt;&gt;0,F104="",COUNTIFS($A$2:$A$200,A104,$B$2:$B$200,"&lt;"&amp;B104,$L$2:$L$200,"&gt;0")&gt;0)),"ALERTA: NOVO ITEM INVALIDO - use Acrescimo se o item ja existia; novo item exige QTD_BASE_ORIGINAL 0, VU_ORIGINAL e ser o 1o acrescimo do item.",IF(AND(ISNUMBER(SEARCH("NOVO",D104)),OR(N104="",ISERROR(MATCH(N104,{"C0","C1","C2","C3","C4"},0)))),"ALERTA: BASE_VU_OBRIGATORIA",IF(AND(NOT(ISNUMBER(SEARCH("NOVO",D104))),N104&lt;&gt;""),"ALERTA: BASE_VU_NAO_APLICAVEL",IF(AND(UPPER(H104)="SIM",NOT(ISNUMBER(I104))),"ALERTA: BASE_VU_INVALIDA_OU_POSTERIOR_AO_FATOR_ALVO","OK"))))))))))</f>
        <v/>
      </c>
      <c r="N104" s="485"/>
      <c r="O104" s="487" t="str">
        <f>IFERROR(IF((COUNTIFS($A$2:$A$200,$A104,$D$2:$D$200,"*novo*",$N$2:$N$200,"C0")+COUNTIFS($A$2:$A$200,$A104,$D$2:$D$200,"*novo*",$N$2:$N$200,"C1")+COUNTIFS($A$2:$A$200,$A104,$D$2:$D$200,"*novo*",$N$2:$N$200,"C2")+COUNTIFS($A$2:$A$200,$A104,$D$2:$D$200,"*novo*",$N$2:$N$200,"C3")+COUNTIFS($A$2:$A$200,$A104,$D$2:$D$200,"*novo*",$N$2:$N$200,"C4"))=1,IF(COUNTIFS($A$2:$A$200,$A104,$D$2:$D$200,"*novo*",$N$2:$N$200,"C4")&gt;0,4,IF(COUNTIFS($A$2:$A$200,$A104,$D$2:$D$200,"*novo*",$N$2:$N$200,"C3")&gt;0,3,IF(COUNTIFS($A$2:$A$200,$A104,$D$2:$D$200,"*novo*",$N$2:$N$200,"C2")&gt;0,2,IF(COUNTIFS($A$2:$A$200,$A104,$D$2:$D$200,"*novo*",$N$2:$N$200,"C1")&gt;0,1,IF(COUNTIFS($A$2:$A$200,$A104,$D$2:$D$200,"*novo*",$N$2:$N$200,"C0")&gt;0,0,""))))),IF(AND((COUNTIFS($A$2:$A$200,$A104,$D$2:$D$200,"*novo*",$N$2:$N$200,"C0")+COUNTIFS($A$2:$A$200,$A104,$D$2:$D$200,"*novo*",$N$2:$N$200,"C1")+COUNTIFS($A$2:$A$200,$A104,$D$2:$D$200,"*novo*",$N$2:$N$200,"C2")+COUNTIFS($A$2:$A$200,$A104,$D$2:$D$200,"*novo*",$N$2:$N$200,"C3")+COUNTIFS($A$2:$A$200,$A104,$D$2:$D$200,"*novo*",$N$2:$N$200,"C4"))=0,INDEX(posicao_contratual!$Y$2:$Y$200,MATCH($A104,posicao_contratual!$A$2:$A$200,0))=0),0,"")),"")</f>
        <v/>
      </c>
    </row>
    <row r="105" spans="1:15" ht="45" customHeight="1" x14ac:dyDescent="0.35">
      <c r="A105" s="105"/>
      <c r="B105" s="189"/>
      <c r="C105" s="99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05"/>
      <c r="E105" s="106"/>
      <c r="F105" s="107" t="str">
        <f>IF(A105="","",IFERROR(VLOOKUP(A105,itens_Remanesc!$A:$C,3,0),""))</f>
        <v/>
      </c>
      <c r="G105" s="107" t="str">
        <f t="shared" si="9"/>
        <v/>
      </c>
      <c r="H105" s="105"/>
      <c r="I105" s="64" t="str">
        <f>IFERROR(IF(OR($A105="",$C105=""),"",IF(OR(($O105)="",($O105)&gt;(MIN(MATCH($C105,{"C0","C1","C2","C3","C4"},0)-1,COUNT(parametros!$F$2:$F$6)-1)),NOT(ISNUMBER(INDEX(parametros!$F$2:$F$6,(MIN(MATCH($C105,{"C0","C1","C2","C3","C4"},0)-1,COUNT(parametros!$F$2:$F$6)-1))+1))),NOT(ISNUMBER(INDEX(parametros!$F$2:$F$6,($O105)+1)))),"",INDEX(parametros!$F$2:$F$6,(MIN(MATCH($C105,{"C0","C1","C2","C3","C4"},0)-1,COUNT(parametros!$F$2:$F$6)-1))+1)/INDEX(parametros!$F$2:$F$6,($O105)+1))),"")</f>
        <v/>
      </c>
      <c r="J105" s="107" t="str">
        <f t="shared" si="10"/>
        <v/>
      </c>
      <c r="K105" s="105"/>
      <c r="L105" s="85" t="str">
        <f t="shared" si="11"/>
        <v/>
      </c>
      <c r="M105" s="483" t="str">
        <f>IF(A105="","",IF(COUNTIF(itens_Remanesc!$A$2:$A$200,A105)=0,"NOVO ITEM NAO CADASTRADO - CADASTRAR EM itens_Remanesc: ITEM + VU_ORIGINAL (QTD_BASE_ORIGINAL sera 0 automaticamente); depois a data e a quantidade aqui.",IF(COUNTIF(itens_Remanesc!$A$2:$A$200,A105)&gt;1,"ALERTA: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TIPO_INVALIDO",IF(AND(ISNUMBER(SEARCH("NOVO",D105)),OR(INDEX(posicao_contratual!$C$2:$C$200,MATCH(A105,posicao_contratual!$A$2:$A$200,0))&lt;&gt;0,F105="",COUNTIFS($A$2:$A$200,A105,$B$2:$B$200,"&lt;"&amp;B105,$L$2:$L$200,"&gt;0")&gt;0)),"ALERTA: NOVO ITEM INVALIDO - use Acrescimo se o item ja existia; novo item exige QTD_BASE_ORIGINAL 0, VU_ORIGINAL e ser o 1o acrescimo do item.",IF(AND(ISNUMBER(SEARCH("NOVO",D105)),OR(N105="",ISERROR(MATCH(N105,{"C0","C1","C2","C3","C4"},0)))),"ALERTA: BASE_VU_OBRIGATORIA",IF(AND(NOT(ISNUMBER(SEARCH("NOVO",D105))),N105&lt;&gt;""),"ALERTA: BASE_VU_NAO_APLICAVEL",IF(AND(UPPER(H105)="SIM",NOT(ISNUMBER(I105))),"ALERTA: BASE_VU_INVALIDA_OU_POSTERIOR_AO_FATOR_ALVO","OK"))))))))))</f>
        <v/>
      </c>
      <c r="N105" s="485"/>
      <c r="O105" s="487" t="str">
        <f>IFERROR(IF((COUNTIFS($A$2:$A$200,$A105,$D$2:$D$200,"*novo*",$N$2:$N$200,"C0")+COUNTIFS($A$2:$A$200,$A105,$D$2:$D$200,"*novo*",$N$2:$N$200,"C1")+COUNTIFS($A$2:$A$200,$A105,$D$2:$D$200,"*novo*",$N$2:$N$200,"C2")+COUNTIFS($A$2:$A$200,$A105,$D$2:$D$200,"*novo*",$N$2:$N$200,"C3")+COUNTIFS($A$2:$A$200,$A105,$D$2:$D$200,"*novo*",$N$2:$N$200,"C4"))=1,IF(COUNTIFS($A$2:$A$200,$A105,$D$2:$D$200,"*novo*",$N$2:$N$200,"C4")&gt;0,4,IF(COUNTIFS($A$2:$A$200,$A105,$D$2:$D$200,"*novo*",$N$2:$N$200,"C3")&gt;0,3,IF(COUNTIFS($A$2:$A$200,$A105,$D$2:$D$200,"*novo*",$N$2:$N$200,"C2")&gt;0,2,IF(COUNTIFS($A$2:$A$200,$A105,$D$2:$D$200,"*novo*",$N$2:$N$200,"C1")&gt;0,1,IF(COUNTIFS($A$2:$A$200,$A105,$D$2:$D$200,"*novo*",$N$2:$N$200,"C0")&gt;0,0,""))))),IF(AND((COUNTIFS($A$2:$A$200,$A105,$D$2:$D$200,"*novo*",$N$2:$N$200,"C0")+COUNTIFS($A$2:$A$200,$A105,$D$2:$D$200,"*novo*",$N$2:$N$200,"C1")+COUNTIFS($A$2:$A$200,$A105,$D$2:$D$200,"*novo*",$N$2:$N$200,"C2")+COUNTIFS($A$2:$A$200,$A105,$D$2:$D$200,"*novo*",$N$2:$N$200,"C3")+COUNTIFS($A$2:$A$200,$A105,$D$2:$D$200,"*novo*",$N$2:$N$200,"C4"))=0,INDEX(posicao_contratual!$Y$2:$Y$200,MATCH($A105,posicao_contratual!$A$2:$A$200,0))=0),0,"")),"")</f>
        <v/>
      </c>
    </row>
    <row r="106" spans="1:15" ht="45" customHeight="1" x14ac:dyDescent="0.35">
      <c r="A106" s="105"/>
      <c r="B106" s="189"/>
      <c r="C106" s="99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05"/>
      <c r="E106" s="106"/>
      <c r="F106" s="107" t="str">
        <f>IF(A106="","",IFERROR(VLOOKUP(A106,itens_Remanesc!$A:$C,3,0),""))</f>
        <v/>
      </c>
      <c r="G106" s="107" t="str">
        <f t="shared" si="9"/>
        <v/>
      </c>
      <c r="H106" s="105"/>
      <c r="I106" s="64" t="str">
        <f>IFERROR(IF(OR($A106="",$C106=""),"",IF(OR(($O106)="",($O106)&gt;(MIN(MATCH($C106,{"C0","C1","C2","C3","C4"},0)-1,COUNT(parametros!$F$2:$F$6)-1)),NOT(ISNUMBER(INDEX(parametros!$F$2:$F$6,(MIN(MATCH($C106,{"C0","C1","C2","C3","C4"},0)-1,COUNT(parametros!$F$2:$F$6)-1))+1))),NOT(ISNUMBER(INDEX(parametros!$F$2:$F$6,($O106)+1)))),"",INDEX(parametros!$F$2:$F$6,(MIN(MATCH($C106,{"C0","C1","C2","C3","C4"},0)-1,COUNT(parametros!$F$2:$F$6)-1))+1)/INDEX(parametros!$F$2:$F$6,($O106)+1))),"")</f>
        <v/>
      </c>
      <c r="J106" s="107" t="str">
        <f t="shared" si="10"/>
        <v/>
      </c>
      <c r="K106" s="105"/>
      <c r="L106" s="85" t="str">
        <f t="shared" si="11"/>
        <v/>
      </c>
      <c r="M106" s="483" t="str">
        <f>IF(A106="","",IF(COUNTIF(itens_Remanesc!$A$2:$A$200,A106)=0,"NOVO ITEM NAO CADASTRADO - CADASTRAR EM itens_Remanesc: ITEM + VU_ORIGINAL (QTD_BASE_ORIGINAL sera 0 automaticamente); depois a data e a quantidade aqui.",IF(COUNTIF(itens_Remanesc!$A$2:$A$200,A106)&gt;1,"ALERTA: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TIPO_INVALIDO",IF(AND(ISNUMBER(SEARCH("NOVO",D106)),OR(INDEX(posicao_contratual!$C$2:$C$200,MATCH(A106,posicao_contratual!$A$2:$A$200,0))&lt;&gt;0,F106="",COUNTIFS($A$2:$A$200,A106,$B$2:$B$200,"&lt;"&amp;B106,$L$2:$L$200,"&gt;0")&gt;0)),"ALERTA: NOVO ITEM INVALIDO - use Acrescimo se o item ja existia; novo item exige QTD_BASE_ORIGINAL 0, VU_ORIGINAL e ser o 1o acrescimo do item.",IF(AND(ISNUMBER(SEARCH("NOVO",D106)),OR(N106="",ISERROR(MATCH(N106,{"C0","C1","C2","C3","C4"},0)))),"ALERTA: BASE_VU_OBRIGATORIA",IF(AND(NOT(ISNUMBER(SEARCH("NOVO",D106))),N106&lt;&gt;""),"ALERTA: BASE_VU_NAO_APLICAVEL",IF(AND(UPPER(H106)="SIM",NOT(ISNUMBER(I106))),"ALERTA: BASE_VU_INVALIDA_OU_POSTERIOR_AO_FATOR_ALVO","OK"))))))))))</f>
        <v/>
      </c>
      <c r="N106" s="485"/>
      <c r="O106" s="487" t="str">
        <f>IFERROR(IF((COUNTIFS($A$2:$A$200,$A106,$D$2:$D$200,"*novo*",$N$2:$N$200,"C0")+COUNTIFS($A$2:$A$200,$A106,$D$2:$D$200,"*novo*",$N$2:$N$200,"C1")+COUNTIFS($A$2:$A$200,$A106,$D$2:$D$200,"*novo*",$N$2:$N$200,"C2")+COUNTIFS($A$2:$A$200,$A106,$D$2:$D$200,"*novo*",$N$2:$N$200,"C3")+COUNTIFS($A$2:$A$200,$A106,$D$2:$D$200,"*novo*",$N$2:$N$200,"C4"))=1,IF(COUNTIFS($A$2:$A$200,$A106,$D$2:$D$200,"*novo*",$N$2:$N$200,"C4")&gt;0,4,IF(COUNTIFS($A$2:$A$200,$A106,$D$2:$D$200,"*novo*",$N$2:$N$200,"C3")&gt;0,3,IF(COUNTIFS($A$2:$A$200,$A106,$D$2:$D$200,"*novo*",$N$2:$N$200,"C2")&gt;0,2,IF(COUNTIFS($A$2:$A$200,$A106,$D$2:$D$200,"*novo*",$N$2:$N$200,"C1")&gt;0,1,IF(COUNTIFS($A$2:$A$200,$A106,$D$2:$D$200,"*novo*",$N$2:$N$200,"C0")&gt;0,0,""))))),IF(AND((COUNTIFS($A$2:$A$200,$A106,$D$2:$D$200,"*novo*",$N$2:$N$200,"C0")+COUNTIFS($A$2:$A$200,$A106,$D$2:$D$200,"*novo*",$N$2:$N$200,"C1")+COUNTIFS($A$2:$A$200,$A106,$D$2:$D$200,"*novo*",$N$2:$N$200,"C2")+COUNTIFS($A$2:$A$200,$A106,$D$2:$D$200,"*novo*",$N$2:$N$200,"C3")+COUNTIFS($A$2:$A$200,$A106,$D$2:$D$200,"*novo*",$N$2:$N$200,"C4"))=0,INDEX(posicao_contratual!$Y$2:$Y$200,MATCH($A106,posicao_contratual!$A$2:$A$200,0))=0),0,"")),"")</f>
        <v/>
      </c>
    </row>
    <row r="107" spans="1:15" ht="45" customHeight="1" x14ac:dyDescent="0.35">
      <c r="A107" s="105"/>
      <c r="B107" s="189"/>
      <c r="C107" s="99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05"/>
      <c r="E107" s="106"/>
      <c r="F107" s="107" t="str">
        <f>IF(A107="","",IFERROR(VLOOKUP(A107,itens_Remanesc!$A:$C,3,0),""))</f>
        <v/>
      </c>
      <c r="G107" s="107" t="str">
        <f t="shared" si="9"/>
        <v/>
      </c>
      <c r="H107" s="105"/>
      <c r="I107" s="64" t="str">
        <f>IFERROR(IF(OR($A107="",$C107=""),"",IF(OR(($O107)="",($O107)&gt;(MIN(MATCH($C107,{"C0","C1","C2","C3","C4"},0)-1,COUNT(parametros!$F$2:$F$6)-1)),NOT(ISNUMBER(INDEX(parametros!$F$2:$F$6,(MIN(MATCH($C107,{"C0","C1","C2","C3","C4"},0)-1,COUNT(parametros!$F$2:$F$6)-1))+1))),NOT(ISNUMBER(INDEX(parametros!$F$2:$F$6,($O107)+1)))),"",INDEX(parametros!$F$2:$F$6,(MIN(MATCH($C107,{"C0","C1","C2","C3","C4"},0)-1,COUNT(parametros!$F$2:$F$6)-1))+1)/INDEX(parametros!$F$2:$F$6,($O107)+1))),"")</f>
        <v/>
      </c>
      <c r="J107" s="107" t="str">
        <f t="shared" si="10"/>
        <v/>
      </c>
      <c r="K107" s="105"/>
      <c r="L107" s="85" t="str">
        <f t="shared" si="11"/>
        <v/>
      </c>
      <c r="M107" s="483" t="str">
        <f>IF(A107="","",IF(COUNTIF(itens_Remanesc!$A$2:$A$200,A107)=0,"NOVO ITEM NAO CADASTRADO - CADASTRAR EM itens_Remanesc: ITEM + VU_ORIGINAL (QTD_BASE_ORIGINAL sera 0 automaticamente); depois a data e a quantidade aqui.",IF(COUNTIF(itens_Remanesc!$A$2:$A$200,A107)&gt;1,"ALERTA: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TIPO_INVALIDO",IF(AND(ISNUMBER(SEARCH("NOVO",D107)),OR(INDEX(posicao_contratual!$C$2:$C$200,MATCH(A107,posicao_contratual!$A$2:$A$200,0))&lt;&gt;0,F107="",COUNTIFS($A$2:$A$200,A107,$B$2:$B$200,"&lt;"&amp;B107,$L$2:$L$200,"&gt;0")&gt;0)),"ALERTA: NOVO ITEM INVALIDO - use Acrescimo se o item ja existia; novo item exige QTD_BASE_ORIGINAL 0, VU_ORIGINAL e ser o 1o acrescimo do item.",IF(AND(ISNUMBER(SEARCH("NOVO",D107)),OR(N107="",ISERROR(MATCH(N107,{"C0","C1","C2","C3","C4"},0)))),"ALERTA: BASE_VU_OBRIGATORIA",IF(AND(NOT(ISNUMBER(SEARCH("NOVO",D107))),N107&lt;&gt;""),"ALERTA: BASE_VU_NAO_APLICAVEL",IF(AND(UPPER(H107)="SIM",NOT(ISNUMBER(I107))),"ALERTA: BASE_VU_INVALIDA_OU_POSTERIOR_AO_FATOR_ALVO","OK"))))))))))</f>
        <v/>
      </c>
      <c r="N107" s="485"/>
      <c r="O107" s="487" t="str">
        <f>IFERROR(IF((COUNTIFS($A$2:$A$200,$A107,$D$2:$D$200,"*novo*",$N$2:$N$200,"C0")+COUNTIFS($A$2:$A$200,$A107,$D$2:$D$200,"*novo*",$N$2:$N$200,"C1")+COUNTIFS($A$2:$A$200,$A107,$D$2:$D$200,"*novo*",$N$2:$N$200,"C2")+COUNTIFS($A$2:$A$200,$A107,$D$2:$D$200,"*novo*",$N$2:$N$200,"C3")+COUNTIFS($A$2:$A$200,$A107,$D$2:$D$200,"*novo*",$N$2:$N$200,"C4"))=1,IF(COUNTIFS($A$2:$A$200,$A107,$D$2:$D$200,"*novo*",$N$2:$N$200,"C4")&gt;0,4,IF(COUNTIFS($A$2:$A$200,$A107,$D$2:$D$200,"*novo*",$N$2:$N$200,"C3")&gt;0,3,IF(COUNTIFS($A$2:$A$200,$A107,$D$2:$D$200,"*novo*",$N$2:$N$200,"C2")&gt;0,2,IF(COUNTIFS($A$2:$A$200,$A107,$D$2:$D$200,"*novo*",$N$2:$N$200,"C1")&gt;0,1,IF(COUNTIFS($A$2:$A$200,$A107,$D$2:$D$200,"*novo*",$N$2:$N$200,"C0")&gt;0,0,""))))),IF(AND((COUNTIFS($A$2:$A$200,$A107,$D$2:$D$200,"*novo*",$N$2:$N$200,"C0")+COUNTIFS($A$2:$A$200,$A107,$D$2:$D$200,"*novo*",$N$2:$N$200,"C1")+COUNTIFS($A$2:$A$200,$A107,$D$2:$D$200,"*novo*",$N$2:$N$200,"C2")+COUNTIFS($A$2:$A$200,$A107,$D$2:$D$200,"*novo*",$N$2:$N$200,"C3")+COUNTIFS($A$2:$A$200,$A107,$D$2:$D$200,"*novo*",$N$2:$N$200,"C4"))=0,INDEX(posicao_contratual!$Y$2:$Y$200,MATCH($A107,posicao_contratual!$A$2:$A$200,0))=0),0,"")),"")</f>
        <v/>
      </c>
    </row>
    <row r="108" spans="1:15" ht="45" customHeight="1" x14ac:dyDescent="0.35">
      <c r="A108" s="105"/>
      <c r="B108" s="189"/>
      <c r="C108" s="99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05"/>
      <c r="E108" s="106"/>
      <c r="F108" s="107" t="str">
        <f>IF(A108="","",IFERROR(VLOOKUP(A108,itens_Remanesc!$A:$C,3,0),""))</f>
        <v/>
      </c>
      <c r="G108" s="107" t="str">
        <f t="shared" si="9"/>
        <v/>
      </c>
      <c r="H108" s="105"/>
      <c r="I108" s="64" t="str">
        <f>IFERROR(IF(OR($A108="",$C108=""),"",IF(OR(($O108)="",($O108)&gt;(MIN(MATCH($C108,{"C0","C1","C2","C3","C4"},0)-1,COUNT(parametros!$F$2:$F$6)-1)),NOT(ISNUMBER(INDEX(parametros!$F$2:$F$6,(MIN(MATCH($C108,{"C0","C1","C2","C3","C4"},0)-1,COUNT(parametros!$F$2:$F$6)-1))+1))),NOT(ISNUMBER(INDEX(parametros!$F$2:$F$6,($O108)+1)))),"",INDEX(parametros!$F$2:$F$6,(MIN(MATCH($C108,{"C0","C1","C2","C3","C4"},0)-1,COUNT(parametros!$F$2:$F$6)-1))+1)/INDEX(parametros!$F$2:$F$6,($O108)+1))),"")</f>
        <v/>
      </c>
      <c r="J108" s="107" t="str">
        <f t="shared" si="10"/>
        <v/>
      </c>
      <c r="K108" s="105"/>
      <c r="L108" s="85" t="str">
        <f t="shared" si="11"/>
        <v/>
      </c>
      <c r="M108" s="483" t="str">
        <f>IF(A108="","",IF(COUNTIF(itens_Remanesc!$A$2:$A$200,A108)=0,"NOVO ITEM NAO CADASTRADO - CADASTRAR EM itens_Remanesc: ITEM + VU_ORIGINAL (QTD_BASE_ORIGINAL sera 0 automaticamente); depois a data e a quantidade aqui.",IF(COUNTIF(itens_Remanesc!$A$2:$A$200,A108)&gt;1,"ALERTA: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TIPO_INVALIDO",IF(AND(ISNUMBER(SEARCH("NOVO",D108)),OR(INDEX(posicao_contratual!$C$2:$C$200,MATCH(A108,posicao_contratual!$A$2:$A$200,0))&lt;&gt;0,F108="",COUNTIFS($A$2:$A$200,A108,$B$2:$B$200,"&lt;"&amp;B108,$L$2:$L$200,"&gt;0")&gt;0)),"ALERTA: NOVO ITEM INVALIDO - use Acrescimo se o item ja existia; novo item exige QTD_BASE_ORIGINAL 0, VU_ORIGINAL e ser o 1o acrescimo do item.",IF(AND(ISNUMBER(SEARCH("NOVO",D108)),OR(N108="",ISERROR(MATCH(N108,{"C0","C1","C2","C3","C4"},0)))),"ALERTA: BASE_VU_OBRIGATORIA",IF(AND(NOT(ISNUMBER(SEARCH("NOVO",D108))),N108&lt;&gt;""),"ALERTA: BASE_VU_NAO_APLICAVEL",IF(AND(UPPER(H108)="SIM",NOT(ISNUMBER(I108))),"ALERTA: BASE_VU_INVALIDA_OU_POSTERIOR_AO_FATOR_ALVO","OK"))))))))))</f>
        <v/>
      </c>
      <c r="N108" s="485"/>
      <c r="O108" s="487" t="str">
        <f>IFERROR(IF((COUNTIFS($A$2:$A$200,$A108,$D$2:$D$200,"*novo*",$N$2:$N$200,"C0")+COUNTIFS($A$2:$A$200,$A108,$D$2:$D$200,"*novo*",$N$2:$N$200,"C1")+COUNTIFS($A$2:$A$200,$A108,$D$2:$D$200,"*novo*",$N$2:$N$200,"C2")+COUNTIFS($A$2:$A$200,$A108,$D$2:$D$200,"*novo*",$N$2:$N$200,"C3")+COUNTIFS($A$2:$A$200,$A108,$D$2:$D$200,"*novo*",$N$2:$N$200,"C4"))=1,IF(COUNTIFS($A$2:$A$200,$A108,$D$2:$D$200,"*novo*",$N$2:$N$200,"C4")&gt;0,4,IF(COUNTIFS($A$2:$A$200,$A108,$D$2:$D$200,"*novo*",$N$2:$N$200,"C3")&gt;0,3,IF(COUNTIFS($A$2:$A$200,$A108,$D$2:$D$200,"*novo*",$N$2:$N$200,"C2")&gt;0,2,IF(COUNTIFS($A$2:$A$200,$A108,$D$2:$D$200,"*novo*",$N$2:$N$200,"C1")&gt;0,1,IF(COUNTIFS($A$2:$A$200,$A108,$D$2:$D$200,"*novo*",$N$2:$N$200,"C0")&gt;0,0,""))))),IF(AND((COUNTIFS($A$2:$A$200,$A108,$D$2:$D$200,"*novo*",$N$2:$N$200,"C0")+COUNTIFS($A$2:$A$200,$A108,$D$2:$D$200,"*novo*",$N$2:$N$200,"C1")+COUNTIFS($A$2:$A$200,$A108,$D$2:$D$200,"*novo*",$N$2:$N$200,"C2")+COUNTIFS($A$2:$A$200,$A108,$D$2:$D$200,"*novo*",$N$2:$N$200,"C3")+COUNTIFS($A$2:$A$200,$A108,$D$2:$D$200,"*novo*",$N$2:$N$200,"C4"))=0,INDEX(posicao_contratual!$Y$2:$Y$200,MATCH($A108,posicao_contratual!$A$2:$A$200,0))=0),0,"")),"")</f>
        <v/>
      </c>
    </row>
    <row r="109" spans="1:15" ht="45" customHeight="1" x14ac:dyDescent="0.35">
      <c r="A109" s="105"/>
      <c r="B109" s="189"/>
      <c r="C109" s="99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05"/>
      <c r="E109" s="106"/>
      <c r="F109" s="107" t="str">
        <f>IF(A109="","",IFERROR(VLOOKUP(A109,itens_Remanesc!$A:$C,3,0),""))</f>
        <v/>
      </c>
      <c r="G109" s="107" t="str">
        <f t="shared" si="9"/>
        <v/>
      </c>
      <c r="H109" s="105"/>
      <c r="I109" s="64" t="str">
        <f>IFERROR(IF(OR($A109="",$C109=""),"",IF(OR(($O109)="",($O109)&gt;(MIN(MATCH($C109,{"C0","C1","C2","C3","C4"},0)-1,COUNT(parametros!$F$2:$F$6)-1)),NOT(ISNUMBER(INDEX(parametros!$F$2:$F$6,(MIN(MATCH($C109,{"C0","C1","C2","C3","C4"},0)-1,COUNT(parametros!$F$2:$F$6)-1))+1))),NOT(ISNUMBER(INDEX(parametros!$F$2:$F$6,($O109)+1)))),"",INDEX(parametros!$F$2:$F$6,(MIN(MATCH($C109,{"C0","C1","C2","C3","C4"},0)-1,COUNT(parametros!$F$2:$F$6)-1))+1)/INDEX(parametros!$F$2:$F$6,($O109)+1))),"")</f>
        <v/>
      </c>
      <c r="J109" s="107" t="str">
        <f t="shared" si="10"/>
        <v/>
      </c>
      <c r="K109" s="105"/>
      <c r="L109" s="85" t="str">
        <f t="shared" si="11"/>
        <v/>
      </c>
      <c r="M109" s="483" t="str">
        <f>IF(A109="","",IF(COUNTIF(itens_Remanesc!$A$2:$A$200,A109)=0,"NOVO ITEM NAO CADASTRADO - CADASTRAR EM itens_Remanesc: ITEM + VU_ORIGINAL (QTD_BASE_ORIGINAL sera 0 automaticamente); depois a data e a quantidade aqui.",IF(COUNTIF(itens_Remanesc!$A$2:$A$200,A109)&gt;1,"ALERTA: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TIPO_INVALIDO",IF(AND(ISNUMBER(SEARCH("NOVO",D109)),OR(INDEX(posicao_contratual!$C$2:$C$200,MATCH(A109,posicao_contratual!$A$2:$A$200,0))&lt;&gt;0,F109="",COUNTIFS($A$2:$A$200,A109,$B$2:$B$200,"&lt;"&amp;B109,$L$2:$L$200,"&gt;0")&gt;0)),"ALERTA: NOVO ITEM INVALIDO - use Acrescimo se o item ja existia; novo item exige QTD_BASE_ORIGINAL 0, VU_ORIGINAL e ser o 1o acrescimo do item.",IF(AND(ISNUMBER(SEARCH("NOVO",D109)),OR(N109="",ISERROR(MATCH(N109,{"C0","C1","C2","C3","C4"},0)))),"ALERTA: BASE_VU_OBRIGATORIA",IF(AND(NOT(ISNUMBER(SEARCH("NOVO",D109))),N109&lt;&gt;""),"ALERTA: BASE_VU_NAO_APLICAVEL",IF(AND(UPPER(H109)="SIM",NOT(ISNUMBER(I109))),"ALERTA: BASE_VU_INVALIDA_OU_POSTERIOR_AO_FATOR_ALVO","OK"))))))))))</f>
        <v/>
      </c>
      <c r="N109" s="485"/>
      <c r="O109" s="487" t="str">
        <f>IFERROR(IF((COUNTIFS($A$2:$A$200,$A109,$D$2:$D$200,"*novo*",$N$2:$N$200,"C0")+COUNTIFS($A$2:$A$200,$A109,$D$2:$D$200,"*novo*",$N$2:$N$200,"C1")+COUNTIFS($A$2:$A$200,$A109,$D$2:$D$200,"*novo*",$N$2:$N$200,"C2")+COUNTIFS($A$2:$A$200,$A109,$D$2:$D$200,"*novo*",$N$2:$N$200,"C3")+COUNTIFS($A$2:$A$200,$A109,$D$2:$D$200,"*novo*",$N$2:$N$200,"C4"))=1,IF(COUNTIFS($A$2:$A$200,$A109,$D$2:$D$200,"*novo*",$N$2:$N$200,"C4")&gt;0,4,IF(COUNTIFS($A$2:$A$200,$A109,$D$2:$D$200,"*novo*",$N$2:$N$200,"C3")&gt;0,3,IF(COUNTIFS($A$2:$A$200,$A109,$D$2:$D$200,"*novo*",$N$2:$N$200,"C2")&gt;0,2,IF(COUNTIFS($A$2:$A$200,$A109,$D$2:$D$200,"*novo*",$N$2:$N$200,"C1")&gt;0,1,IF(COUNTIFS($A$2:$A$200,$A109,$D$2:$D$200,"*novo*",$N$2:$N$200,"C0")&gt;0,0,""))))),IF(AND((COUNTIFS($A$2:$A$200,$A109,$D$2:$D$200,"*novo*",$N$2:$N$200,"C0")+COUNTIFS($A$2:$A$200,$A109,$D$2:$D$200,"*novo*",$N$2:$N$200,"C1")+COUNTIFS($A$2:$A$200,$A109,$D$2:$D$200,"*novo*",$N$2:$N$200,"C2")+COUNTIFS($A$2:$A$200,$A109,$D$2:$D$200,"*novo*",$N$2:$N$200,"C3")+COUNTIFS($A$2:$A$200,$A109,$D$2:$D$200,"*novo*",$N$2:$N$200,"C4"))=0,INDEX(posicao_contratual!$Y$2:$Y$200,MATCH($A109,posicao_contratual!$A$2:$A$200,0))=0),0,"")),"")</f>
        <v/>
      </c>
    </row>
    <row r="110" spans="1:15" ht="45" customHeight="1" x14ac:dyDescent="0.35">
      <c r="A110" s="105"/>
      <c r="B110" s="189"/>
      <c r="C110" s="99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05"/>
      <c r="E110" s="106"/>
      <c r="F110" s="107" t="str">
        <f>IF(A110="","",IFERROR(VLOOKUP(A110,itens_Remanesc!$A:$C,3,0),""))</f>
        <v/>
      </c>
      <c r="G110" s="107" t="str">
        <f t="shared" si="9"/>
        <v/>
      </c>
      <c r="H110" s="105"/>
      <c r="I110" s="64" t="str">
        <f>IFERROR(IF(OR($A110="",$C110=""),"",IF(OR(($O110)="",($O110)&gt;(MIN(MATCH($C110,{"C0","C1","C2","C3","C4"},0)-1,COUNT(parametros!$F$2:$F$6)-1)),NOT(ISNUMBER(INDEX(parametros!$F$2:$F$6,(MIN(MATCH($C110,{"C0","C1","C2","C3","C4"},0)-1,COUNT(parametros!$F$2:$F$6)-1))+1))),NOT(ISNUMBER(INDEX(parametros!$F$2:$F$6,($O110)+1)))),"",INDEX(parametros!$F$2:$F$6,(MIN(MATCH($C110,{"C0","C1","C2","C3","C4"},0)-1,COUNT(parametros!$F$2:$F$6)-1))+1)/INDEX(parametros!$F$2:$F$6,($O110)+1))),"")</f>
        <v/>
      </c>
      <c r="J110" s="107" t="str">
        <f t="shared" si="10"/>
        <v/>
      </c>
      <c r="K110" s="105"/>
      <c r="L110" s="85" t="str">
        <f t="shared" si="11"/>
        <v/>
      </c>
      <c r="M110" s="483" t="str">
        <f>IF(A110="","",IF(COUNTIF(itens_Remanesc!$A$2:$A$200,A110)=0,"NOVO ITEM NAO CADASTRADO - CADASTRAR EM itens_Remanesc: ITEM + VU_ORIGINAL (QTD_BASE_ORIGINAL sera 0 automaticamente); depois a data e a quantidade aqui.",IF(COUNTIF(itens_Remanesc!$A$2:$A$200,A110)&gt;1,"ALERTA: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TIPO_INVALIDO",IF(AND(ISNUMBER(SEARCH("NOVO",D110)),OR(INDEX(posicao_contratual!$C$2:$C$200,MATCH(A110,posicao_contratual!$A$2:$A$200,0))&lt;&gt;0,F110="",COUNTIFS($A$2:$A$200,A110,$B$2:$B$200,"&lt;"&amp;B110,$L$2:$L$200,"&gt;0")&gt;0)),"ALERTA: NOVO ITEM INVALIDO - use Acrescimo se o item ja existia; novo item exige QTD_BASE_ORIGINAL 0, VU_ORIGINAL e ser o 1o acrescimo do item.",IF(AND(ISNUMBER(SEARCH("NOVO",D110)),OR(N110="",ISERROR(MATCH(N110,{"C0","C1","C2","C3","C4"},0)))),"ALERTA: BASE_VU_OBRIGATORIA",IF(AND(NOT(ISNUMBER(SEARCH("NOVO",D110))),N110&lt;&gt;""),"ALERTA: BASE_VU_NAO_APLICAVEL",IF(AND(UPPER(H110)="SIM",NOT(ISNUMBER(I110))),"ALERTA: BASE_VU_INVALIDA_OU_POSTERIOR_AO_FATOR_ALVO","OK"))))))))))</f>
        <v/>
      </c>
      <c r="N110" s="485"/>
      <c r="O110" s="487" t="str">
        <f>IFERROR(IF((COUNTIFS($A$2:$A$200,$A110,$D$2:$D$200,"*novo*",$N$2:$N$200,"C0")+COUNTIFS($A$2:$A$200,$A110,$D$2:$D$200,"*novo*",$N$2:$N$200,"C1")+COUNTIFS($A$2:$A$200,$A110,$D$2:$D$200,"*novo*",$N$2:$N$200,"C2")+COUNTIFS($A$2:$A$200,$A110,$D$2:$D$200,"*novo*",$N$2:$N$200,"C3")+COUNTIFS($A$2:$A$200,$A110,$D$2:$D$200,"*novo*",$N$2:$N$200,"C4"))=1,IF(COUNTIFS($A$2:$A$200,$A110,$D$2:$D$200,"*novo*",$N$2:$N$200,"C4")&gt;0,4,IF(COUNTIFS($A$2:$A$200,$A110,$D$2:$D$200,"*novo*",$N$2:$N$200,"C3")&gt;0,3,IF(COUNTIFS($A$2:$A$200,$A110,$D$2:$D$200,"*novo*",$N$2:$N$200,"C2")&gt;0,2,IF(COUNTIFS($A$2:$A$200,$A110,$D$2:$D$200,"*novo*",$N$2:$N$200,"C1")&gt;0,1,IF(COUNTIFS($A$2:$A$200,$A110,$D$2:$D$200,"*novo*",$N$2:$N$200,"C0")&gt;0,0,""))))),IF(AND((COUNTIFS($A$2:$A$200,$A110,$D$2:$D$200,"*novo*",$N$2:$N$200,"C0")+COUNTIFS($A$2:$A$200,$A110,$D$2:$D$200,"*novo*",$N$2:$N$200,"C1")+COUNTIFS($A$2:$A$200,$A110,$D$2:$D$200,"*novo*",$N$2:$N$200,"C2")+COUNTIFS($A$2:$A$200,$A110,$D$2:$D$200,"*novo*",$N$2:$N$200,"C3")+COUNTIFS($A$2:$A$200,$A110,$D$2:$D$200,"*novo*",$N$2:$N$200,"C4"))=0,INDEX(posicao_contratual!$Y$2:$Y$200,MATCH($A110,posicao_contratual!$A$2:$A$200,0))=0),0,"")),"")</f>
        <v/>
      </c>
    </row>
    <row r="111" spans="1:15" ht="45" customHeight="1" x14ac:dyDescent="0.35">
      <c r="A111" s="105"/>
      <c r="B111" s="189"/>
      <c r="C111" s="99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05"/>
      <c r="E111" s="106"/>
      <c r="F111" s="107" t="str">
        <f>IF(A111="","",IFERROR(VLOOKUP(A111,itens_Remanesc!$A:$C,3,0),""))</f>
        <v/>
      </c>
      <c r="G111" s="107" t="str">
        <f t="shared" si="9"/>
        <v/>
      </c>
      <c r="H111" s="105"/>
      <c r="I111" s="64" t="str">
        <f>IFERROR(IF(OR($A111="",$C111=""),"",IF(OR(($O111)="",($O111)&gt;(MIN(MATCH($C111,{"C0","C1","C2","C3","C4"},0)-1,COUNT(parametros!$F$2:$F$6)-1)),NOT(ISNUMBER(INDEX(parametros!$F$2:$F$6,(MIN(MATCH($C111,{"C0","C1","C2","C3","C4"},0)-1,COUNT(parametros!$F$2:$F$6)-1))+1))),NOT(ISNUMBER(INDEX(parametros!$F$2:$F$6,($O111)+1)))),"",INDEX(parametros!$F$2:$F$6,(MIN(MATCH($C111,{"C0","C1","C2","C3","C4"},0)-1,COUNT(parametros!$F$2:$F$6)-1))+1)/INDEX(parametros!$F$2:$F$6,($O111)+1))),"")</f>
        <v/>
      </c>
      <c r="J111" s="107" t="str">
        <f t="shared" si="10"/>
        <v/>
      </c>
      <c r="K111" s="105"/>
      <c r="L111" s="85" t="str">
        <f t="shared" si="11"/>
        <v/>
      </c>
      <c r="M111" s="483" t="str">
        <f>IF(A111="","",IF(COUNTIF(itens_Remanesc!$A$2:$A$200,A111)=0,"NOVO ITEM NAO CADASTRADO - CADASTRAR EM itens_Remanesc: ITEM + VU_ORIGINAL (QTD_BASE_ORIGINAL sera 0 automaticamente); depois a data e a quantidade aqui.",IF(COUNTIF(itens_Remanesc!$A$2:$A$200,A111)&gt;1,"ALERTA: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TIPO_INVALIDO",IF(AND(ISNUMBER(SEARCH("NOVO",D111)),OR(INDEX(posicao_contratual!$C$2:$C$200,MATCH(A111,posicao_contratual!$A$2:$A$200,0))&lt;&gt;0,F111="",COUNTIFS($A$2:$A$200,A111,$B$2:$B$200,"&lt;"&amp;B111,$L$2:$L$200,"&gt;0")&gt;0)),"ALERTA: NOVO ITEM INVALIDO - use Acrescimo se o item ja existia; novo item exige QTD_BASE_ORIGINAL 0, VU_ORIGINAL e ser o 1o acrescimo do item.",IF(AND(ISNUMBER(SEARCH("NOVO",D111)),OR(N111="",ISERROR(MATCH(N111,{"C0","C1","C2","C3","C4"},0)))),"ALERTA: BASE_VU_OBRIGATORIA",IF(AND(NOT(ISNUMBER(SEARCH("NOVO",D111))),N111&lt;&gt;""),"ALERTA: BASE_VU_NAO_APLICAVEL",IF(AND(UPPER(H111)="SIM",NOT(ISNUMBER(I111))),"ALERTA: BASE_VU_INVALIDA_OU_POSTERIOR_AO_FATOR_ALVO","OK"))))))))))</f>
        <v/>
      </c>
      <c r="N111" s="485"/>
      <c r="O111" s="487" t="str">
        <f>IFERROR(IF((COUNTIFS($A$2:$A$200,$A111,$D$2:$D$200,"*novo*",$N$2:$N$200,"C0")+COUNTIFS($A$2:$A$200,$A111,$D$2:$D$200,"*novo*",$N$2:$N$200,"C1")+COUNTIFS($A$2:$A$200,$A111,$D$2:$D$200,"*novo*",$N$2:$N$200,"C2")+COUNTIFS($A$2:$A$200,$A111,$D$2:$D$200,"*novo*",$N$2:$N$200,"C3")+COUNTIFS($A$2:$A$200,$A111,$D$2:$D$200,"*novo*",$N$2:$N$200,"C4"))=1,IF(COUNTIFS($A$2:$A$200,$A111,$D$2:$D$200,"*novo*",$N$2:$N$200,"C4")&gt;0,4,IF(COUNTIFS($A$2:$A$200,$A111,$D$2:$D$200,"*novo*",$N$2:$N$200,"C3")&gt;0,3,IF(COUNTIFS($A$2:$A$200,$A111,$D$2:$D$200,"*novo*",$N$2:$N$200,"C2")&gt;0,2,IF(COUNTIFS($A$2:$A$200,$A111,$D$2:$D$200,"*novo*",$N$2:$N$200,"C1")&gt;0,1,IF(COUNTIFS($A$2:$A$200,$A111,$D$2:$D$200,"*novo*",$N$2:$N$200,"C0")&gt;0,0,""))))),IF(AND((COUNTIFS($A$2:$A$200,$A111,$D$2:$D$200,"*novo*",$N$2:$N$200,"C0")+COUNTIFS($A$2:$A$200,$A111,$D$2:$D$200,"*novo*",$N$2:$N$200,"C1")+COUNTIFS($A$2:$A$200,$A111,$D$2:$D$200,"*novo*",$N$2:$N$200,"C2")+COUNTIFS($A$2:$A$200,$A111,$D$2:$D$200,"*novo*",$N$2:$N$200,"C3")+COUNTIFS($A$2:$A$200,$A111,$D$2:$D$200,"*novo*",$N$2:$N$200,"C4"))=0,INDEX(posicao_contratual!$Y$2:$Y$200,MATCH($A111,posicao_contratual!$A$2:$A$200,0))=0),0,"")),"")</f>
        <v/>
      </c>
    </row>
    <row r="112" spans="1:15" ht="45" customHeight="1" x14ac:dyDescent="0.35">
      <c r="A112" s="105"/>
      <c r="B112" s="189"/>
      <c r="C112" s="99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05"/>
      <c r="E112" s="106"/>
      <c r="F112" s="107" t="str">
        <f>IF(A112="","",IFERROR(VLOOKUP(A112,itens_Remanesc!$A:$C,3,0),""))</f>
        <v/>
      </c>
      <c r="G112" s="107" t="str">
        <f t="shared" si="9"/>
        <v/>
      </c>
      <c r="H112" s="105"/>
      <c r="I112" s="64" t="str">
        <f>IFERROR(IF(OR($A112="",$C112=""),"",IF(OR(($O112)="",($O112)&gt;(MIN(MATCH($C112,{"C0","C1","C2","C3","C4"},0)-1,COUNT(parametros!$F$2:$F$6)-1)),NOT(ISNUMBER(INDEX(parametros!$F$2:$F$6,(MIN(MATCH($C112,{"C0","C1","C2","C3","C4"},0)-1,COUNT(parametros!$F$2:$F$6)-1))+1))),NOT(ISNUMBER(INDEX(parametros!$F$2:$F$6,($O112)+1)))),"",INDEX(parametros!$F$2:$F$6,(MIN(MATCH($C112,{"C0","C1","C2","C3","C4"},0)-1,COUNT(parametros!$F$2:$F$6)-1))+1)/INDEX(parametros!$F$2:$F$6,($O112)+1))),"")</f>
        <v/>
      </c>
      <c r="J112" s="107" t="str">
        <f t="shared" si="10"/>
        <v/>
      </c>
      <c r="K112" s="105"/>
      <c r="L112" s="85" t="str">
        <f t="shared" si="11"/>
        <v/>
      </c>
      <c r="M112" s="483" t="str">
        <f>IF(A112="","",IF(COUNTIF(itens_Remanesc!$A$2:$A$200,A112)=0,"NOVO ITEM NAO CADASTRADO - CADASTRAR EM itens_Remanesc: ITEM + VU_ORIGINAL (QTD_BASE_ORIGINAL sera 0 automaticamente); depois a data e a quantidade aqui.",IF(COUNTIF(itens_Remanesc!$A$2:$A$200,A112)&gt;1,"ALERTA: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TIPO_INVALIDO",IF(AND(ISNUMBER(SEARCH("NOVO",D112)),OR(INDEX(posicao_contratual!$C$2:$C$200,MATCH(A112,posicao_contratual!$A$2:$A$200,0))&lt;&gt;0,F112="",COUNTIFS($A$2:$A$200,A112,$B$2:$B$200,"&lt;"&amp;B112,$L$2:$L$200,"&gt;0")&gt;0)),"ALERTA: NOVO ITEM INVALIDO - use Acrescimo se o item ja existia; novo item exige QTD_BASE_ORIGINAL 0, VU_ORIGINAL e ser o 1o acrescimo do item.",IF(AND(ISNUMBER(SEARCH("NOVO",D112)),OR(N112="",ISERROR(MATCH(N112,{"C0","C1","C2","C3","C4"},0)))),"ALERTA: BASE_VU_OBRIGATORIA",IF(AND(NOT(ISNUMBER(SEARCH("NOVO",D112))),N112&lt;&gt;""),"ALERTA: BASE_VU_NAO_APLICAVEL",IF(AND(UPPER(H112)="SIM",NOT(ISNUMBER(I112))),"ALERTA: BASE_VU_INVALIDA_OU_POSTERIOR_AO_FATOR_ALVO","OK"))))))))))</f>
        <v/>
      </c>
      <c r="N112" s="485"/>
      <c r="O112" s="487" t="str">
        <f>IFERROR(IF((COUNTIFS($A$2:$A$200,$A112,$D$2:$D$200,"*novo*",$N$2:$N$200,"C0")+COUNTIFS($A$2:$A$200,$A112,$D$2:$D$200,"*novo*",$N$2:$N$200,"C1")+COUNTIFS($A$2:$A$200,$A112,$D$2:$D$200,"*novo*",$N$2:$N$200,"C2")+COUNTIFS($A$2:$A$200,$A112,$D$2:$D$200,"*novo*",$N$2:$N$200,"C3")+COUNTIFS($A$2:$A$200,$A112,$D$2:$D$200,"*novo*",$N$2:$N$200,"C4"))=1,IF(COUNTIFS($A$2:$A$200,$A112,$D$2:$D$200,"*novo*",$N$2:$N$200,"C4")&gt;0,4,IF(COUNTIFS($A$2:$A$200,$A112,$D$2:$D$200,"*novo*",$N$2:$N$200,"C3")&gt;0,3,IF(COUNTIFS($A$2:$A$200,$A112,$D$2:$D$200,"*novo*",$N$2:$N$200,"C2")&gt;0,2,IF(COUNTIFS($A$2:$A$200,$A112,$D$2:$D$200,"*novo*",$N$2:$N$200,"C1")&gt;0,1,IF(COUNTIFS($A$2:$A$200,$A112,$D$2:$D$200,"*novo*",$N$2:$N$200,"C0")&gt;0,0,""))))),IF(AND((COUNTIFS($A$2:$A$200,$A112,$D$2:$D$200,"*novo*",$N$2:$N$200,"C0")+COUNTIFS($A$2:$A$200,$A112,$D$2:$D$200,"*novo*",$N$2:$N$200,"C1")+COUNTIFS($A$2:$A$200,$A112,$D$2:$D$200,"*novo*",$N$2:$N$200,"C2")+COUNTIFS($A$2:$A$200,$A112,$D$2:$D$200,"*novo*",$N$2:$N$200,"C3")+COUNTIFS($A$2:$A$200,$A112,$D$2:$D$200,"*novo*",$N$2:$N$200,"C4"))=0,INDEX(posicao_contratual!$Y$2:$Y$200,MATCH($A112,posicao_contratual!$A$2:$A$200,0))=0),0,"")),"")</f>
        <v/>
      </c>
    </row>
    <row r="113" spans="1:15" ht="45" customHeight="1" x14ac:dyDescent="0.35">
      <c r="A113" s="105"/>
      <c r="B113" s="189"/>
      <c r="C113" s="99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05"/>
      <c r="E113" s="106"/>
      <c r="F113" s="107" t="str">
        <f>IF(A113="","",IFERROR(VLOOKUP(A113,itens_Remanesc!$A:$C,3,0),""))</f>
        <v/>
      </c>
      <c r="G113" s="107" t="str">
        <f t="shared" si="9"/>
        <v/>
      </c>
      <c r="H113" s="105"/>
      <c r="I113" s="64" t="str">
        <f>IFERROR(IF(OR($A113="",$C113=""),"",IF(OR(($O113)="",($O113)&gt;(MIN(MATCH($C113,{"C0","C1","C2","C3","C4"},0)-1,COUNT(parametros!$F$2:$F$6)-1)),NOT(ISNUMBER(INDEX(parametros!$F$2:$F$6,(MIN(MATCH($C113,{"C0","C1","C2","C3","C4"},0)-1,COUNT(parametros!$F$2:$F$6)-1))+1))),NOT(ISNUMBER(INDEX(parametros!$F$2:$F$6,($O113)+1)))),"",INDEX(parametros!$F$2:$F$6,(MIN(MATCH($C113,{"C0","C1","C2","C3","C4"},0)-1,COUNT(parametros!$F$2:$F$6)-1))+1)/INDEX(parametros!$F$2:$F$6,($O113)+1))),"")</f>
        <v/>
      </c>
      <c r="J113" s="107" t="str">
        <f t="shared" si="10"/>
        <v/>
      </c>
      <c r="K113" s="105"/>
      <c r="L113" s="85" t="str">
        <f t="shared" si="11"/>
        <v/>
      </c>
      <c r="M113" s="483" t="str">
        <f>IF(A113="","",IF(COUNTIF(itens_Remanesc!$A$2:$A$200,A113)=0,"NOVO ITEM NAO CADASTRADO - CADASTRAR EM itens_Remanesc: ITEM + VU_ORIGINAL (QTD_BASE_ORIGINAL sera 0 automaticamente); depois a data e a quantidade aqui.",IF(COUNTIF(itens_Remanesc!$A$2:$A$200,A113)&gt;1,"ALERTA: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TIPO_INVALIDO",IF(AND(ISNUMBER(SEARCH("NOVO",D113)),OR(INDEX(posicao_contratual!$C$2:$C$200,MATCH(A113,posicao_contratual!$A$2:$A$200,0))&lt;&gt;0,F113="",COUNTIFS($A$2:$A$200,A113,$B$2:$B$200,"&lt;"&amp;B113,$L$2:$L$200,"&gt;0")&gt;0)),"ALERTA: NOVO ITEM INVALIDO - use Acrescimo se o item ja existia; novo item exige QTD_BASE_ORIGINAL 0, VU_ORIGINAL e ser o 1o acrescimo do item.",IF(AND(ISNUMBER(SEARCH("NOVO",D113)),OR(N113="",ISERROR(MATCH(N113,{"C0","C1","C2","C3","C4"},0)))),"ALERTA: BASE_VU_OBRIGATORIA",IF(AND(NOT(ISNUMBER(SEARCH("NOVO",D113))),N113&lt;&gt;""),"ALERTA: BASE_VU_NAO_APLICAVEL",IF(AND(UPPER(H113)="SIM",NOT(ISNUMBER(I113))),"ALERTA: BASE_VU_INVALIDA_OU_POSTERIOR_AO_FATOR_ALVO","OK"))))))))))</f>
        <v/>
      </c>
      <c r="N113" s="485"/>
      <c r="O113" s="487" t="str">
        <f>IFERROR(IF((COUNTIFS($A$2:$A$200,$A113,$D$2:$D$200,"*novo*",$N$2:$N$200,"C0")+COUNTIFS($A$2:$A$200,$A113,$D$2:$D$200,"*novo*",$N$2:$N$200,"C1")+COUNTIFS($A$2:$A$200,$A113,$D$2:$D$200,"*novo*",$N$2:$N$200,"C2")+COUNTIFS($A$2:$A$200,$A113,$D$2:$D$200,"*novo*",$N$2:$N$200,"C3")+COUNTIFS($A$2:$A$200,$A113,$D$2:$D$200,"*novo*",$N$2:$N$200,"C4"))=1,IF(COUNTIFS($A$2:$A$200,$A113,$D$2:$D$200,"*novo*",$N$2:$N$200,"C4")&gt;0,4,IF(COUNTIFS($A$2:$A$200,$A113,$D$2:$D$200,"*novo*",$N$2:$N$200,"C3")&gt;0,3,IF(COUNTIFS($A$2:$A$200,$A113,$D$2:$D$200,"*novo*",$N$2:$N$200,"C2")&gt;0,2,IF(COUNTIFS($A$2:$A$200,$A113,$D$2:$D$200,"*novo*",$N$2:$N$200,"C1")&gt;0,1,IF(COUNTIFS($A$2:$A$200,$A113,$D$2:$D$200,"*novo*",$N$2:$N$200,"C0")&gt;0,0,""))))),IF(AND((COUNTIFS($A$2:$A$200,$A113,$D$2:$D$200,"*novo*",$N$2:$N$200,"C0")+COUNTIFS($A$2:$A$200,$A113,$D$2:$D$200,"*novo*",$N$2:$N$200,"C1")+COUNTIFS($A$2:$A$200,$A113,$D$2:$D$200,"*novo*",$N$2:$N$200,"C2")+COUNTIFS($A$2:$A$200,$A113,$D$2:$D$200,"*novo*",$N$2:$N$200,"C3")+COUNTIFS($A$2:$A$200,$A113,$D$2:$D$200,"*novo*",$N$2:$N$200,"C4"))=0,INDEX(posicao_contratual!$Y$2:$Y$200,MATCH($A113,posicao_contratual!$A$2:$A$200,0))=0),0,"")),"")</f>
        <v/>
      </c>
    </row>
    <row r="114" spans="1:15" ht="45" customHeight="1" x14ac:dyDescent="0.35">
      <c r="A114" s="105"/>
      <c r="B114" s="189"/>
      <c r="C114" s="99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05"/>
      <c r="E114" s="106"/>
      <c r="F114" s="107" t="str">
        <f>IF(A114="","",IFERROR(VLOOKUP(A114,itens_Remanesc!$A:$C,3,0),""))</f>
        <v/>
      </c>
      <c r="G114" s="107" t="str">
        <f t="shared" si="9"/>
        <v/>
      </c>
      <c r="H114" s="105"/>
      <c r="I114" s="64" t="str">
        <f>IFERROR(IF(OR($A114="",$C114=""),"",IF(OR(($O114)="",($O114)&gt;(MIN(MATCH($C114,{"C0","C1","C2","C3","C4"},0)-1,COUNT(parametros!$F$2:$F$6)-1)),NOT(ISNUMBER(INDEX(parametros!$F$2:$F$6,(MIN(MATCH($C114,{"C0","C1","C2","C3","C4"},0)-1,COUNT(parametros!$F$2:$F$6)-1))+1))),NOT(ISNUMBER(INDEX(parametros!$F$2:$F$6,($O114)+1)))),"",INDEX(parametros!$F$2:$F$6,(MIN(MATCH($C114,{"C0","C1","C2","C3","C4"},0)-1,COUNT(parametros!$F$2:$F$6)-1))+1)/INDEX(parametros!$F$2:$F$6,($O114)+1))),"")</f>
        <v/>
      </c>
      <c r="J114" s="107" t="str">
        <f t="shared" si="10"/>
        <v/>
      </c>
      <c r="K114" s="105"/>
      <c r="L114" s="85" t="str">
        <f t="shared" si="11"/>
        <v/>
      </c>
      <c r="M114" s="483" t="str">
        <f>IF(A114="","",IF(COUNTIF(itens_Remanesc!$A$2:$A$200,A114)=0,"NOVO ITEM NAO CADASTRADO - CADASTRAR EM itens_Remanesc: ITEM + VU_ORIGINAL (QTD_BASE_ORIGINAL sera 0 automaticamente); depois a data e a quantidade aqui.",IF(COUNTIF(itens_Remanesc!$A$2:$A$200,A114)&gt;1,"ALERTA: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TIPO_INVALIDO",IF(AND(ISNUMBER(SEARCH("NOVO",D114)),OR(INDEX(posicao_contratual!$C$2:$C$200,MATCH(A114,posicao_contratual!$A$2:$A$200,0))&lt;&gt;0,F114="",COUNTIFS($A$2:$A$200,A114,$B$2:$B$200,"&lt;"&amp;B114,$L$2:$L$200,"&gt;0")&gt;0)),"ALERTA: NOVO ITEM INVALIDO - use Acrescimo se o item ja existia; novo item exige QTD_BASE_ORIGINAL 0, VU_ORIGINAL e ser o 1o acrescimo do item.",IF(AND(ISNUMBER(SEARCH("NOVO",D114)),OR(N114="",ISERROR(MATCH(N114,{"C0","C1","C2","C3","C4"},0)))),"ALERTA: BASE_VU_OBRIGATORIA",IF(AND(NOT(ISNUMBER(SEARCH("NOVO",D114))),N114&lt;&gt;""),"ALERTA: BASE_VU_NAO_APLICAVEL",IF(AND(UPPER(H114)="SIM",NOT(ISNUMBER(I114))),"ALERTA: BASE_VU_INVALIDA_OU_POSTERIOR_AO_FATOR_ALVO","OK"))))))))))</f>
        <v/>
      </c>
      <c r="N114" s="485"/>
      <c r="O114" s="487" t="str">
        <f>IFERROR(IF((COUNTIFS($A$2:$A$200,$A114,$D$2:$D$200,"*novo*",$N$2:$N$200,"C0")+COUNTIFS($A$2:$A$200,$A114,$D$2:$D$200,"*novo*",$N$2:$N$200,"C1")+COUNTIFS($A$2:$A$200,$A114,$D$2:$D$200,"*novo*",$N$2:$N$200,"C2")+COUNTIFS($A$2:$A$200,$A114,$D$2:$D$200,"*novo*",$N$2:$N$200,"C3")+COUNTIFS($A$2:$A$200,$A114,$D$2:$D$200,"*novo*",$N$2:$N$200,"C4"))=1,IF(COUNTIFS($A$2:$A$200,$A114,$D$2:$D$200,"*novo*",$N$2:$N$200,"C4")&gt;0,4,IF(COUNTIFS($A$2:$A$200,$A114,$D$2:$D$200,"*novo*",$N$2:$N$200,"C3")&gt;0,3,IF(COUNTIFS($A$2:$A$200,$A114,$D$2:$D$200,"*novo*",$N$2:$N$200,"C2")&gt;0,2,IF(COUNTIFS($A$2:$A$200,$A114,$D$2:$D$200,"*novo*",$N$2:$N$200,"C1")&gt;0,1,IF(COUNTIFS($A$2:$A$200,$A114,$D$2:$D$200,"*novo*",$N$2:$N$200,"C0")&gt;0,0,""))))),IF(AND((COUNTIFS($A$2:$A$200,$A114,$D$2:$D$200,"*novo*",$N$2:$N$200,"C0")+COUNTIFS($A$2:$A$200,$A114,$D$2:$D$200,"*novo*",$N$2:$N$200,"C1")+COUNTIFS($A$2:$A$200,$A114,$D$2:$D$200,"*novo*",$N$2:$N$200,"C2")+COUNTIFS($A$2:$A$200,$A114,$D$2:$D$200,"*novo*",$N$2:$N$200,"C3")+COUNTIFS($A$2:$A$200,$A114,$D$2:$D$200,"*novo*",$N$2:$N$200,"C4"))=0,INDEX(posicao_contratual!$Y$2:$Y$200,MATCH($A114,posicao_contratual!$A$2:$A$200,0))=0),0,"")),"")</f>
        <v/>
      </c>
    </row>
    <row r="115" spans="1:15" ht="45" customHeight="1" x14ac:dyDescent="0.35">
      <c r="A115" s="105"/>
      <c r="B115" s="189"/>
      <c r="C115" s="99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05"/>
      <c r="E115" s="106"/>
      <c r="F115" s="107" t="str">
        <f>IF(A115="","",IFERROR(VLOOKUP(A115,itens_Remanesc!$A:$C,3,0),""))</f>
        <v/>
      </c>
      <c r="G115" s="107" t="str">
        <f t="shared" si="9"/>
        <v/>
      </c>
      <c r="H115" s="105"/>
      <c r="I115" s="64" t="str">
        <f>IFERROR(IF(OR($A115="",$C115=""),"",IF(OR(($O115)="",($O115)&gt;(MIN(MATCH($C115,{"C0","C1","C2","C3","C4"},0)-1,COUNT(parametros!$F$2:$F$6)-1)),NOT(ISNUMBER(INDEX(parametros!$F$2:$F$6,(MIN(MATCH($C115,{"C0","C1","C2","C3","C4"},0)-1,COUNT(parametros!$F$2:$F$6)-1))+1))),NOT(ISNUMBER(INDEX(parametros!$F$2:$F$6,($O115)+1)))),"",INDEX(parametros!$F$2:$F$6,(MIN(MATCH($C115,{"C0","C1","C2","C3","C4"},0)-1,COUNT(parametros!$F$2:$F$6)-1))+1)/INDEX(parametros!$F$2:$F$6,($O115)+1))),"")</f>
        <v/>
      </c>
      <c r="J115" s="107" t="str">
        <f t="shared" si="10"/>
        <v/>
      </c>
      <c r="K115" s="105"/>
      <c r="L115" s="85" t="str">
        <f t="shared" si="11"/>
        <v/>
      </c>
      <c r="M115" s="483" t="str">
        <f>IF(A115="","",IF(COUNTIF(itens_Remanesc!$A$2:$A$200,A115)=0,"NOVO ITEM NAO CADASTRADO - CADASTRAR EM itens_Remanesc: ITEM + VU_ORIGINAL (QTD_BASE_ORIGINAL sera 0 automaticamente); depois a data e a quantidade aqui.",IF(COUNTIF(itens_Remanesc!$A$2:$A$200,A115)&gt;1,"ALERTA: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TIPO_INVALIDO",IF(AND(ISNUMBER(SEARCH("NOVO",D115)),OR(INDEX(posicao_contratual!$C$2:$C$200,MATCH(A115,posicao_contratual!$A$2:$A$200,0))&lt;&gt;0,F115="",COUNTIFS($A$2:$A$200,A115,$B$2:$B$200,"&lt;"&amp;B115,$L$2:$L$200,"&gt;0")&gt;0)),"ALERTA: NOVO ITEM INVALIDO - use Acrescimo se o item ja existia; novo item exige QTD_BASE_ORIGINAL 0, VU_ORIGINAL e ser o 1o acrescimo do item.",IF(AND(ISNUMBER(SEARCH("NOVO",D115)),OR(N115="",ISERROR(MATCH(N115,{"C0","C1","C2","C3","C4"},0)))),"ALERTA: BASE_VU_OBRIGATORIA",IF(AND(NOT(ISNUMBER(SEARCH("NOVO",D115))),N115&lt;&gt;""),"ALERTA: BASE_VU_NAO_APLICAVEL",IF(AND(UPPER(H115)="SIM",NOT(ISNUMBER(I115))),"ALERTA: BASE_VU_INVALIDA_OU_POSTERIOR_AO_FATOR_ALVO","OK"))))))))))</f>
        <v/>
      </c>
      <c r="N115" s="485"/>
      <c r="O115" s="487" t="str">
        <f>IFERROR(IF((COUNTIFS($A$2:$A$200,$A115,$D$2:$D$200,"*novo*",$N$2:$N$200,"C0")+COUNTIFS($A$2:$A$200,$A115,$D$2:$D$200,"*novo*",$N$2:$N$200,"C1")+COUNTIFS($A$2:$A$200,$A115,$D$2:$D$200,"*novo*",$N$2:$N$200,"C2")+COUNTIFS($A$2:$A$200,$A115,$D$2:$D$200,"*novo*",$N$2:$N$200,"C3")+COUNTIFS($A$2:$A$200,$A115,$D$2:$D$200,"*novo*",$N$2:$N$200,"C4"))=1,IF(COUNTIFS($A$2:$A$200,$A115,$D$2:$D$200,"*novo*",$N$2:$N$200,"C4")&gt;0,4,IF(COUNTIFS($A$2:$A$200,$A115,$D$2:$D$200,"*novo*",$N$2:$N$200,"C3")&gt;0,3,IF(COUNTIFS($A$2:$A$200,$A115,$D$2:$D$200,"*novo*",$N$2:$N$200,"C2")&gt;0,2,IF(COUNTIFS($A$2:$A$200,$A115,$D$2:$D$200,"*novo*",$N$2:$N$200,"C1")&gt;0,1,IF(COUNTIFS($A$2:$A$200,$A115,$D$2:$D$200,"*novo*",$N$2:$N$200,"C0")&gt;0,0,""))))),IF(AND((COUNTIFS($A$2:$A$200,$A115,$D$2:$D$200,"*novo*",$N$2:$N$200,"C0")+COUNTIFS($A$2:$A$200,$A115,$D$2:$D$200,"*novo*",$N$2:$N$200,"C1")+COUNTIFS($A$2:$A$200,$A115,$D$2:$D$200,"*novo*",$N$2:$N$200,"C2")+COUNTIFS($A$2:$A$200,$A115,$D$2:$D$200,"*novo*",$N$2:$N$200,"C3")+COUNTIFS($A$2:$A$200,$A115,$D$2:$D$200,"*novo*",$N$2:$N$200,"C4"))=0,INDEX(posicao_contratual!$Y$2:$Y$200,MATCH($A115,posicao_contratual!$A$2:$A$200,0))=0),0,"")),"")</f>
        <v/>
      </c>
    </row>
    <row r="116" spans="1:15" ht="45" customHeight="1" x14ac:dyDescent="0.35">
      <c r="A116" s="105"/>
      <c r="B116" s="189"/>
      <c r="C116" s="99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05"/>
      <c r="E116" s="106"/>
      <c r="F116" s="107" t="str">
        <f>IF(A116="","",IFERROR(VLOOKUP(A116,itens_Remanesc!$A:$C,3,0),""))</f>
        <v/>
      </c>
      <c r="G116" s="107" t="str">
        <f t="shared" si="9"/>
        <v/>
      </c>
      <c r="H116" s="105"/>
      <c r="I116" s="64" t="str">
        <f>IFERROR(IF(OR($A116="",$C116=""),"",IF(OR(($O116)="",($O116)&gt;(MIN(MATCH($C116,{"C0","C1","C2","C3","C4"},0)-1,COUNT(parametros!$F$2:$F$6)-1)),NOT(ISNUMBER(INDEX(parametros!$F$2:$F$6,(MIN(MATCH($C116,{"C0","C1","C2","C3","C4"},0)-1,COUNT(parametros!$F$2:$F$6)-1))+1))),NOT(ISNUMBER(INDEX(parametros!$F$2:$F$6,($O116)+1)))),"",INDEX(parametros!$F$2:$F$6,(MIN(MATCH($C116,{"C0","C1","C2","C3","C4"},0)-1,COUNT(parametros!$F$2:$F$6)-1))+1)/INDEX(parametros!$F$2:$F$6,($O116)+1))),"")</f>
        <v/>
      </c>
      <c r="J116" s="107" t="str">
        <f t="shared" si="10"/>
        <v/>
      </c>
      <c r="K116" s="105"/>
      <c r="L116" s="85" t="str">
        <f t="shared" si="11"/>
        <v/>
      </c>
      <c r="M116" s="483" t="str">
        <f>IF(A116="","",IF(COUNTIF(itens_Remanesc!$A$2:$A$200,A116)=0,"NOVO ITEM NAO CADASTRADO - CADASTRAR EM itens_Remanesc: ITEM + VU_ORIGINAL (QTD_BASE_ORIGINAL sera 0 automaticamente); depois a data e a quantidade aqui.",IF(COUNTIF(itens_Remanesc!$A$2:$A$200,A116)&gt;1,"ALERTA: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TIPO_INVALIDO",IF(AND(ISNUMBER(SEARCH("NOVO",D116)),OR(INDEX(posicao_contratual!$C$2:$C$200,MATCH(A116,posicao_contratual!$A$2:$A$200,0))&lt;&gt;0,F116="",COUNTIFS($A$2:$A$200,A116,$B$2:$B$200,"&lt;"&amp;B116,$L$2:$L$200,"&gt;0")&gt;0)),"ALERTA: NOVO ITEM INVALIDO - use Acrescimo se o item ja existia; novo item exige QTD_BASE_ORIGINAL 0, VU_ORIGINAL e ser o 1o acrescimo do item.",IF(AND(ISNUMBER(SEARCH("NOVO",D116)),OR(N116="",ISERROR(MATCH(N116,{"C0","C1","C2","C3","C4"},0)))),"ALERTA: BASE_VU_OBRIGATORIA",IF(AND(NOT(ISNUMBER(SEARCH("NOVO",D116))),N116&lt;&gt;""),"ALERTA: BASE_VU_NAO_APLICAVEL",IF(AND(UPPER(H116)="SIM",NOT(ISNUMBER(I116))),"ALERTA: BASE_VU_INVALIDA_OU_POSTERIOR_AO_FATOR_ALVO","OK"))))))))))</f>
        <v/>
      </c>
      <c r="N116" s="485"/>
      <c r="O116" s="487" t="str">
        <f>IFERROR(IF((COUNTIFS($A$2:$A$200,$A116,$D$2:$D$200,"*novo*",$N$2:$N$200,"C0")+COUNTIFS($A$2:$A$200,$A116,$D$2:$D$200,"*novo*",$N$2:$N$200,"C1")+COUNTIFS($A$2:$A$200,$A116,$D$2:$D$200,"*novo*",$N$2:$N$200,"C2")+COUNTIFS($A$2:$A$200,$A116,$D$2:$D$200,"*novo*",$N$2:$N$200,"C3")+COUNTIFS($A$2:$A$200,$A116,$D$2:$D$200,"*novo*",$N$2:$N$200,"C4"))=1,IF(COUNTIFS($A$2:$A$200,$A116,$D$2:$D$200,"*novo*",$N$2:$N$200,"C4")&gt;0,4,IF(COUNTIFS($A$2:$A$200,$A116,$D$2:$D$200,"*novo*",$N$2:$N$200,"C3")&gt;0,3,IF(COUNTIFS($A$2:$A$200,$A116,$D$2:$D$200,"*novo*",$N$2:$N$200,"C2")&gt;0,2,IF(COUNTIFS($A$2:$A$200,$A116,$D$2:$D$200,"*novo*",$N$2:$N$200,"C1")&gt;0,1,IF(COUNTIFS($A$2:$A$200,$A116,$D$2:$D$200,"*novo*",$N$2:$N$200,"C0")&gt;0,0,""))))),IF(AND((COUNTIFS($A$2:$A$200,$A116,$D$2:$D$200,"*novo*",$N$2:$N$200,"C0")+COUNTIFS($A$2:$A$200,$A116,$D$2:$D$200,"*novo*",$N$2:$N$200,"C1")+COUNTIFS($A$2:$A$200,$A116,$D$2:$D$200,"*novo*",$N$2:$N$200,"C2")+COUNTIFS($A$2:$A$200,$A116,$D$2:$D$200,"*novo*",$N$2:$N$200,"C3")+COUNTIFS($A$2:$A$200,$A116,$D$2:$D$200,"*novo*",$N$2:$N$200,"C4"))=0,INDEX(posicao_contratual!$Y$2:$Y$200,MATCH($A116,posicao_contratual!$A$2:$A$200,0))=0),0,"")),"")</f>
        <v/>
      </c>
    </row>
    <row r="117" spans="1:15" ht="45" customHeight="1" x14ac:dyDescent="0.35">
      <c r="A117" s="105"/>
      <c r="B117" s="189"/>
      <c r="C117" s="99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05"/>
      <c r="E117" s="106"/>
      <c r="F117" s="107" t="str">
        <f>IF(A117="","",IFERROR(VLOOKUP(A117,itens_Remanesc!$A:$C,3,0),""))</f>
        <v/>
      </c>
      <c r="G117" s="107" t="str">
        <f t="shared" si="9"/>
        <v/>
      </c>
      <c r="H117" s="105"/>
      <c r="I117" s="64" t="str">
        <f>IFERROR(IF(OR($A117="",$C117=""),"",IF(OR(($O117)="",($O117)&gt;(MIN(MATCH($C117,{"C0","C1","C2","C3","C4"},0)-1,COUNT(parametros!$F$2:$F$6)-1)),NOT(ISNUMBER(INDEX(parametros!$F$2:$F$6,(MIN(MATCH($C117,{"C0","C1","C2","C3","C4"},0)-1,COUNT(parametros!$F$2:$F$6)-1))+1))),NOT(ISNUMBER(INDEX(parametros!$F$2:$F$6,($O117)+1)))),"",INDEX(parametros!$F$2:$F$6,(MIN(MATCH($C117,{"C0","C1","C2","C3","C4"},0)-1,COUNT(parametros!$F$2:$F$6)-1))+1)/INDEX(parametros!$F$2:$F$6,($O117)+1))),"")</f>
        <v/>
      </c>
      <c r="J117" s="107" t="str">
        <f t="shared" si="10"/>
        <v/>
      </c>
      <c r="K117" s="105"/>
      <c r="L117" s="85" t="str">
        <f t="shared" si="11"/>
        <v/>
      </c>
      <c r="M117" s="483" t="str">
        <f>IF(A117="","",IF(COUNTIF(itens_Remanesc!$A$2:$A$200,A117)=0,"NOVO ITEM NAO CADASTRADO - CADASTRAR EM itens_Remanesc: ITEM + VU_ORIGINAL (QTD_BASE_ORIGINAL sera 0 automaticamente); depois a data e a quantidade aqui.",IF(COUNTIF(itens_Remanesc!$A$2:$A$200,A117)&gt;1,"ALERTA: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TIPO_INVALIDO",IF(AND(ISNUMBER(SEARCH("NOVO",D117)),OR(INDEX(posicao_contratual!$C$2:$C$200,MATCH(A117,posicao_contratual!$A$2:$A$200,0))&lt;&gt;0,F117="",COUNTIFS($A$2:$A$200,A117,$B$2:$B$200,"&lt;"&amp;B117,$L$2:$L$200,"&gt;0")&gt;0)),"ALERTA: NOVO ITEM INVALIDO - use Acrescimo se o item ja existia; novo item exige QTD_BASE_ORIGINAL 0, VU_ORIGINAL e ser o 1o acrescimo do item.",IF(AND(ISNUMBER(SEARCH("NOVO",D117)),OR(N117="",ISERROR(MATCH(N117,{"C0","C1","C2","C3","C4"},0)))),"ALERTA: BASE_VU_OBRIGATORIA",IF(AND(NOT(ISNUMBER(SEARCH("NOVO",D117))),N117&lt;&gt;""),"ALERTA: BASE_VU_NAO_APLICAVEL",IF(AND(UPPER(H117)="SIM",NOT(ISNUMBER(I117))),"ALERTA: BASE_VU_INVALIDA_OU_POSTERIOR_AO_FATOR_ALVO","OK"))))))))))</f>
        <v/>
      </c>
      <c r="N117" s="485"/>
      <c r="O117" s="487" t="str">
        <f>IFERROR(IF((COUNTIFS($A$2:$A$200,$A117,$D$2:$D$200,"*novo*",$N$2:$N$200,"C0")+COUNTIFS($A$2:$A$200,$A117,$D$2:$D$200,"*novo*",$N$2:$N$200,"C1")+COUNTIFS($A$2:$A$200,$A117,$D$2:$D$200,"*novo*",$N$2:$N$200,"C2")+COUNTIFS($A$2:$A$200,$A117,$D$2:$D$200,"*novo*",$N$2:$N$200,"C3")+COUNTIFS($A$2:$A$200,$A117,$D$2:$D$200,"*novo*",$N$2:$N$200,"C4"))=1,IF(COUNTIFS($A$2:$A$200,$A117,$D$2:$D$200,"*novo*",$N$2:$N$200,"C4")&gt;0,4,IF(COUNTIFS($A$2:$A$200,$A117,$D$2:$D$200,"*novo*",$N$2:$N$200,"C3")&gt;0,3,IF(COUNTIFS($A$2:$A$200,$A117,$D$2:$D$200,"*novo*",$N$2:$N$200,"C2")&gt;0,2,IF(COUNTIFS($A$2:$A$200,$A117,$D$2:$D$200,"*novo*",$N$2:$N$200,"C1")&gt;0,1,IF(COUNTIFS($A$2:$A$200,$A117,$D$2:$D$200,"*novo*",$N$2:$N$200,"C0")&gt;0,0,""))))),IF(AND((COUNTIFS($A$2:$A$200,$A117,$D$2:$D$200,"*novo*",$N$2:$N$200,"C0")+COUNTIFS($A$2:$A$200,$A117,$D$2:$D$200,"*novo*",$N$2:$N$200,"C1")+COUNTIFS($A$2:$A$200,$A117,$D$2:$D$200,"*novo*",$N$2:$N$200,"C2")+COUNTIFS($A$2:$A$200,$A117,$D$2:$D$200,"*novo*",$N$2:$N$200,"C3")+COUNTIFS($A$2:$A$200,$A117,$D$2:$D$200,"*novo*",$N$2:$N$200,"C4"))=0,INDEX(posicao_contratual!$Y$2:$Y$200,MATCH($A117,posicao_contratual!$A$2:$A$200,0))=0),0,"")),"")</f>
        <v/>
      </c>
    </row>
    <row r="118" spans="1:15" ht="45" customHeight="1" x14ac:dyDescent="0.35">
      <c r="A118" s="105"/>
      <c r="B118" s="189"/>
      <c r="C118" s="99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05"/>
      <c r="E118" s="106"/>
      <c r="F118" s="107" t="str">
        <f>IF(A118="","",IFERROR(VLOOKUP(A118,itens_Remanesc!$A:$C,3,0),""))</f>
        <v/>
      </c>
      <c r="G118" s="107" t="str">
        <f t="shared" si="9"/>
        <v/>
      </c>
      <c r="H118" s="105"/>
      <c r="I118" s="64" t="str">
        <f>IFERROR(IF(OR($A118="",$C118=""),"",IF(OR(($O118)="",($O118)&gt;(MIN(MATCH($C118,{"C0","C1","C2","C3","C4"},0)-1,COUNT(parametros!$F$2:$F$6)-1)),NOT(ISNUMBER(INDEX(parametros!$F$2:$F$6,(MIN(MATCH($C118,{"C0","C1","C2","C3","C4"},0)-1,COUNT(parametros!$F$2:$F$6)-1))+1))),NOT(ISNUMBER(INDEX(parametros!$F$2:$F$6,($O118)+1)))),"",INDEX(parametros!$F$2:$F$6,(MIN(MATCH($C118,{"C0","C1","C2","C3","C4"},0)-1,COUNT(parametros!$F$2:$F$6)-1))+1)/INDEX(parametros!$F$2:$F$6,($O118)+1))),"")</f>
        <v/>
      </c>
      <c r="J118" s="107" t="str">
        <f t="shared" si="10"/>
        <v/>
      </c>
      <c r="K118" s="105"/>
      <c r="L118" s="85" t="str">
        <f t="shared" si="11"/>
        <v/>
      </c>
      <c r="M118" s="483" t="str">
        <f>IF(A118="","",IF(COUNTIF(itens_Remanesc!$A$2:$A$200,A118)=0,"NOVO ITEM NAO CADASTRADO - CADASTRAR EM itens_Remanesc: ITEM + VU_ORIGINAL (QTD_BASE_ORIGINAL sera 0 automaticamente); depois a data e a quantidade aqui.",IF(COUNTIF(itens_Remanesc!$A$2:$A$200,A118)&gt;1,"ALERTA: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TIPO_INVALIDO",IF(AND(ISNUMBER(SEARCH("NOVO",D118)),OR(INDEX(posicao_contratual!$C$2:$C$200,MATCH(A118,posicao_contratual!$A$2:$A$200,0))&lt;&gt;0,F118="",COUNTIFS($A$2:$A$200,A118,$B$2:$B$200,"&lt;"&amp;B118,$L$2:$L$200,"&gt;0")&gt;0)),"ALERTA: NOVO ITEM INVALIDO - use Acrescimo se o item ja existia; novo item exige QTD_BASE_ORIGINAL 0, VU_ORIGINAL e ser o 1o acrescimo do item.",IF(AND(ISNUMBER(SEARCH("NOVO",D118)),OR(N118="",ISERROR(MATCH(N118,{"C0","C1","C2","C3","C4"},0)))),"ALERTA: BASE_VU_OBRIGATORIA",IF(AND(NOT(ISNUMBER(SEARCH("NOVO",D118))),N118&lt;&gt;""),"ALERTA: BASE_VU_NAO_APLICAVEL",IF(AND(UPPER(H118)="SIM",NOT(ISNUMBER(I118))),"ALERTA: BASE_VU_INVALIDA_OU_POSTERIOR_AO_FATOR_ALVO","OK"))))))))))</f>
        <v/>
      </c>
      <c r="N118" s="485"/>
      <c r="O118" s="487" t="str">
        <f>IFERROR(IF((COUNTIFS($A$2:$A$200,$A118,$D$2:$D$200,"*novo*",$N$2:$N$200,"C0")+COUNTIFS($A$2:$A$200,$A118,$D$2:$D$200,"*novo*",$N$2:$N$200,"C1")+COUNTIFS($A$2:$A$200,$A118,$D$2:$D$200,"*novo*",$N$2:$N$200,"C2")+COUNTIFS($A$2:$A$200,$A118,$D$2:$D$200,"*novo*",$N$2:$N$200,"C3")+COUNTIFS($A$2:$A$200,$A118,$D$2:$D$200,"*novo*",$N$2:$N$200,"C4"))=1,IF(COUNTIFS($A$2:$A$200,$A118,$D$2:$D$200,"*novo*",$N$2:$N$200,"C4")&gt;0,4,IF(COUNTIFS($A$2:$A$200,$A118,$D$2:$D$200,"*novo*",$N$2:$N$200,"C3")&gt;0,3,IF(COUNTIFS($A$2:$A$200,$A118,$D$2:$D$200,"*novo*",$N$2:$N$200,"C2")&gt;0,2,IF(COUNTIFS($A$2:$A$200,$A118,$D$2:$D$200,"*novo*",$N$2:$N$200,"C1")&gt;0,1,IF(COUNTIFS($A$2:$A$200,$A118,$D$2:$D$200,"*novo*",$N$2:$N$200,"C0")&gt;0,0,""))))),IF(AND((COUNTIFS($A$2:$A$200,$A118,$D$2:$D$200,"*novo*",$N$2:$N$200,"C0")+COUNTIFS($A$2:$A$200,$A118,$D$2:$D$200,"*novo*",$N$2:$N$200,"C1")+COUNTIFS($A$2:$A$200,$A118,$D$2:$D$200,"*novo*",$N$2:$N$200,"C2")+COUNTIFS($A$2:$A$200,$A118,$D$2:$D$200,"*novo*",$N$2:$N$200,"C3")+COUNTIFS($A$2:$A$200,$A118,$D$2:$D$200,"*novo*",$N$2:$N$200,"C4"))=0,INDEX(posicao_contratual!$Y$2:$Y$200,MATCH($A118,posicao_contratual!$A$2:$A$200,0))=0),0,"")),"")</f>
        <v/>
      </c>
    </row>
    <row r="119" spans="1:15" ht="45" customHeight="1" x14ac:dyDescent="0.35">
      <c r="A119" s="105"/>
      <c r="B119" s="189"/>
      <c r="C119" s="99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05"/>
      <c r="E119" s="106"/>
      <c r="F119" s="107" t="str">
        <f>IF(A119="","",IFERROR(VLOOKUP(A119,itens_Remanesc!$A:$C,3,0),""))</f>
        <v/>
      </c>
      <c r="G119" s="107" t="str">
        <f t="shared" si="9"/>
        <v/>
      </c>
      <c r="H119" s="105"/>
      <c r="I119" s="64" t="str">
        <f>IFERROR(IF(OR($A119="",$C119=""),"",IF(OR(($O119)="",($O119)&gt;(MIN(MATCH($C119,{"C0","C1","C2","C3","C4"},0)-1,COUNT(parametros!$F$2:$F$6)-1)),NOT(ISNUMBER(INDEX(parametros!$F$2:$F$6,(MIN(MATCH($C119,{"C0","C1","C2","C3","C4"},0)-1,COUNT(parametros!$F$2:$F$6)-1))+1))),NOT(ISNUMBER(INDEX(parametros!$F$2:$F$6,($O119)+1)))),"",INDEX(parametros!$F$2:$F$6,(MIN(MATCH($C119,{"C0","C1","C2","C3","C4"},0)-1,COUNT(parametros!$F$2:$F$6)-1))+1)/INDEX(parametros!$F$2:$F$6,($O119)+1))),"")</f>
        <v/>
      </c>
      <c r="J119" s="107" t="str">
        <f t="shared" si="10"/>
        <v/>
      </c>
      <c r="K119" s="105"/>
      <c r="L119" s="85" t="str">
        <f t="shared" si="11"/>
        <v/>
      </c>
      <c r="M119" s="483" t="str">
        <f>IF(A119="","",IF(COUNTIF(itens_Remanesc!$A$2:$A$200,A119)=0,"NOVO ITEM NAO CADASTRADO - CADASTRAR EM itens_Remanesc: ITEM + VU_ORIGINAL (QTD_BASE_ORIGINAL sera 0 automaticamente); depois a data e a quantidade aqui.",IF(COUNTIF(itens_Remanesc!$A$2:$A$200,A119)&gt;1,"ALERTA: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TIPO_INVALIDO",IF(AND(ISNUMBER(SEARCH("NOVO",D119)),OR(INDEX(posicao_contratual!$C$2:$C$200,MATCH(A119,posicao_contratual!$A$2:$A$200,0))&lt;&gt;0,F119="",COUNTIFS($A$2:$A$200,A119,$B$2:$B$200,"&lt;"&amp;B119,$L$2:$L$200,"&gt;0")&gt;0)),"ALERTA: NOVO ITEM INVALIDO - use Acrescimo se o item ja existia; novo item exige QTD_BASE_ORIGINAL 0, VU_ORIGINAL e ser o 1o acrescimo do item.",IF(AND(ISNUMBER(SEARCH("NOVO",D119)),OR(N119="",ISERROR(MATCH(N119,{"C0","C1","C2","C3","C4"},0)))),"ALERTA: BASE_VU_OBRIGATORIA",IF(AND(NOT(ISNUMBER(SEARCH("NOVO",D119))),N119&lt;&gt;""),"ALERTA: BASE_VU_NAO_APLICAVEL",IF(AND(UPPER(H119)="SIM",NOT(ISNUMBER(I119))),"ALERTA: BASE_VU_INVALIDA_OU_POSTERIOR_AO_FATOR_ALVO","OK"))))))))))</f>
        <v/>
      </c>
      <c r="N119" s="485"/>
      <c r="O119" s="487" t="str">
        <f>IFERROR(IF((COUNTIFS($A$2:$A$200,$A119,$D$2:$D$200,"*novo*",$N$2:$N$200,"C0")+COUNTIFS($A$2:$A$200,$A119,$D$2:$D$200,"*novo*",$N$2:$N$200,"C1")+COUNTIFS($A$2:$A$200,$A119,$D$2:$D$200,"*novo*",$N$2:$N$200,"C2")+COUNTIFS($A$2:$A$200,$A119,$D$2:$D$200,"*novo*",$N$2:$N$200,"C3")+COUNTIFS($A$2:$A$200,$A119,$D$2:$D$200,"*novo*",$N$2:$N$200,"C4"))=1,IF(COUNTIFS($A$2:$A$200,$A119,$D$2:$D$200,"*novo*",$N$2:$N$200,"C4")&gt;0,4,IF(COUNTIFS($A$2:$A$200,$A119,$D$2:$D$200,"*novo*",$N$2:$N$200,"C3")&gt;0,3,IF(COUNTIFS($A$2:$A$200,$A119,$D$2:$D$200,"*novo*",$N$2:$N$200,"C2")&gt;0,2,IF(COUNTIFS($A$2:$A$200,$A119,$D$2:$D$200,"*novo*",$N$2:$N$200,"C1")&gt;0,1,IF(COUNTIFS($A$2:$A$200,$A119,$D$2:$D$200,"*novo*",$N$2:$N$200,"C0")&gt;0,0,""))))),IF(AND((COUNTIFS($A$2:$A$200,$A119,$D$2:$D$200,"*novo*",$N$2:$N$200,"C0")+COUNTIFS($A$2:$A$200,$A119,$D$2:$D$200,"*novo*",$N$2:$N$200,"C1")+COUNTIFS($A$2:$A$200,$A119,$D$2:$D$200,"*novo*",$N$2:$N$200,"C2")+COUNTIFS($A$2:$A$200,$A119,$D$2:$D$200,"*novo*",$N$2:$N$200,"C3")+COUNTIFS($A$2:$A$200,$A119,$D$2:$D$200,"*novo*",$N$2:$N$200,"C4"))=0,INDEX(posicao_contratual!$Y$2:$Y$200,MATCH($A119,posicao_contratual!$A$2:$A$200,0))=0),0,"")),"")</f>
        <v/>
      </c>
    </row>
    <row r="120" spans="1:15" ht="45" customHeight="1" x14ac:dyDescent="0.35">
      <c r="A120" s="105"/>
      <c r="B120" s="189"/>
      <c r="C120" s="99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05"/>
      <c r="E120" s="106"/>
      <c r="F120" s="107" t="str">
        <f>IF(A120="","",IFERROR(VLOOKUP(A120,itens_Remanesc!$A:$C,3,0),""))</f>
        <v/>
      </c>
      <c r="G120" s="107" t="str">
        <f t="shared" si="9"/>
        <v/>
      </c>
      <c r="H120" s="105"/>
      <c r="I120" s="64" t="str">
        <f>IFERROR(IF(OR($A120="",$C120=""),"",IF(OR(($O120)="",($O120)&gt;(MIN(MATCH($C120,{"C0","C1","C2","C3","C4"},0)-1,COUNT(parametros!$F$2:$F$6)-1)),NOT(ISNUMBER(INDEX(parametros!$F$2:$F$6,(MIN(MATCH($C120,{"C0","C1","C2","C3","C4"},0)-1,COUNT(parametros!$F$2:$F$6)-1))+1))),NOT(ISNUMBER(INDEX(parametros!$F$2:$F$6,($O120)+1)))),"",INDEX(parametros!$F$2:$F$6,(MIN(MATCH($C120,{"C0","C1","C2","C3","C4"},0)-1,COUNT(parametros!$F$2:$F$6)-1))+1)/INDEX(parametros!$F$2:$F$6,($O120)+1))),"")</f>
        <v/>
      </c>
      <c r="J120" s="107" t="str">
        <f t="shared" si="10"/>
        <v/>
      </c>
      <c r="K120" s="105"/>
      <c r="L120" s="85" t="str">
        <f t="shared" si="11"/>
        <v/>
      </c>
      <c r="M120" s="483" t="str">
        <f>IF(A120="","",IF(COUNTIF(itens_Remanesc!$A$2:$A$200,A120)=0,"NOVO ITEM NAO CADASTRADO - CADASTRAR EM itens_Remanesc: ITEM + VU_ORIGINAL (QTD_BASE_ORIGINAL sera 0 automaticamente); depois a data e a quantidade aqui.",IF(COUNTIF(itens_Remanesc!$A$2:$A$200,A120)&gt;1,"ALERTA: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TIPO_INVALIDO",IF(AND(ISNUMBER(SEARCH("NOVO",D120)),OR(INDEX(posicao_contratual!$C$2:$C$200,MATCH(A120,posicao_contratual!$A$2:$A$200,0))&lt;&gt;0,F120="",COUNTIFS($A$2:$A$200,A120,$B$2:$B$200,"&lt;"&amp;B120,$L$2:$L$200,"&gt;0")&gt;0)),"ALERTA: NOVO ITEM INVALIDO - use Acrescimo se o item ja existia; novo item exige QTD_BASE_ORIGINAL 0, VU_ORIGINAL e ser o 1o acrescimo do item.",IF(AND(ISNUMBER(SEARCH("NOVO",D120)),OR(N120="",ISERROR(MATCH(N120,{"C0","C1","C2","C3","C4"},0)))),"ALERTA: BASE_VU_OBRIGATORIA",IF(AND(NOT(ISNUMBER(SEARCH("NOVO",D120))),N120&lt;&gt;""),"ALERTA: BASE_VU_NAO_APLICAVEL",IF(AND(UPPER(H120)="SIM",NOT(ISNUMBER(I120))),"ALERTA: BASE_VU_INVALIDA_OU_POSTERIOR_AO_FATOR_ALVO","OK"))))))))))</f>
        <v/>
      </c>
      <c r="N120" s="485"/>
      <c r="O120" s="487" t="str">
        <f>IFERROR(IF((COUNTIFS($A$2:$A$200,$A120,$D$2:$D$200,"*novo*",$N$2:$N$200,"C0")+COUNTIFS($A$2:$A$200,$A120,$D$2:$D$200,"*novo*",$N$2:$N$200,"C1")+COUNTIFS($A$2:$A$200,$A120,$D$2:$D$200,"*novo*",$N$2:$N$200,"C2")+COUNTIFS($A$2:$A$200,$A120,$D$2:$D$200,"*novo*",$N$2:$N$200,"C3")+COUNTIFS($A$2:$A$200,$A120,$D$2:$D$200,"*novo*",$N$2:$N$200,"C4"))=1,IF(COUNTIFS($A$2:$A$200,$A120,$D$2:$D$200,"*novo*",$N$2:$N$200,"C4")&gt;0,4,IF(COUNTIFS($A$2:$A$200,$A120,$D$2:$D$200,"*novo*",$N$2:$N$200,"C3")&gt;0,3,IF(COUNTIFS($A$2:$A$200,$A120,$D$2:$D$200,"*novo*",$N$2:$N$200,"C2")&gt;0,2,IF(COUNTIFS($A$2:$A$200,$A120,$D$2:$D$200,"*novo*",$N$2:$N$200,"C1")&gt;0,1,IF(COUNTIFS($A$2:$A$200,$A120,$D$2:$D$200,"*novo*",$N$2:$N$200,"C0")&gt;0,0,""))))),IF(AND((COUNTIFS($A$2:$A$200,$A120,$D$2:$D$200,"*novo*",$N$2:$N$200,"C0")+COUNTIFS($A$2:$A$200,$A120,$D$2:$D$200,"*novo*",$N$2:$N$200,"C1")+COUNTIFS($A$2:$A$200,$A120,$D$2:$D$200,"*novo*",$N$2:$N$200,"C2")+COUNTIFS($A$2:$A$200,$A120,$D$2:$D$200,"*novo*",$N$2:$N$200,"C3")+COUNTIFS($A$2:$A$200,$A120,$D$2:$D$200,"*novo*",$N$2:$N$200,"C4"))=0,INDEX(posicao_contratual!$Y$2:$Y$200,MATCH($A120,posicao_contratual!$A$2:$A$200,0))=0),0,"")),"")</f>
        <v/>
      </c>
    </row>
    <row r="121" spans="1:15" ht="45" customHeight="1" x14ac:dyDescent="0.35">
      <c r="A121" s="105"/>
      <c r="B121" s="189"/>
      <c r="C121" s="99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05"/>
      <c r="E121" s="106"/>
      <c r="F121" s="107" t="str">
        <f>IF(A121="","",IFERROR(VLOOKUP(A121,itens_Remanesc!$A:$C,3,0),""))</f>
        <v/>
      </c>
      <c r="G121" s="107" t="str">
        <f t="shared" si="9"/>
        <v/>
      </c>
      <c r="H121" s="105"/>
      <c r="I121" s="64" t="str">
        <f>IFERROR(IF(OR($A121="",$C121=""),"",IF(OR(($O121)="",($O121)&gt;(MIN(MATCH($C121,{"C0","C1","C2","C3","C4"},0)-1,COUNT(parametros!$F$2:$F$6)-1)),NOT(ISNUMBER(INDEX(parametros!$F$2:$F$6,(MIN(MATCH($C121,{"C0","C1","C2","C3","C4"},0)-1,COUNT(parametros!$F$2:$F$6)-1))+1))),NOT(ISNUMBER(INDEX(parametros!$F$2:$F$6,($O121)+1)))),"",INDEX(parametros!$F$2:$F$6,(MIN(MATCH($C121,{"C0","C1","C2","C3","C4"},0)-1,COUNT(parametros!$F$2:$F$6)-1))+1)/INDEX(parametros!$F$2:$F$6,($O121)+1))),"")</f>
        <v/>
      </c>
      <c r="J121" s="107" t="str">
        <f t="shared" si="10"/>
        <v/>
      </c>
      <c r="K121" s="105"/>
      <c r="L121" s="85" t="str">
        <f t="shared" si="11"/>
        <v/>
      </c>
      <c r="M121" s="483" t="str">
        <f>IF(A121="","",IF(COUNTIF(itens_Remanesc!$A$2:$A$200,A121)=0,"NOVO ITEM NAO CADASTRADO - CADASTRAR EM itens_Remanesc: ITEM + VU_ORIGINAL (QTD_BASE_ORIGINAL sera 0 automaticamente); depois a data e a quantidade aqui.",IF(COUNTIF(itens_Remanesc!$A$2:$A$200,A121)&gt;1,"ALERTA: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TIPO_INVALIDO",IF(AND(ISNUMBER(SEARCH("NOVO",D121)),OR(INDEX(posicao_contratual!$C$2:$C$200,MATCH(A121,posicao_contratual!$A$2:$A$200,0))&lt;&gt;0,F121="",COUNTIFS($A$2:$A$200,A121,$B$2:$B$200,"&lt;"&amp;B121,$L$2:$L$200,"&gt;0")&gt;0)),"ALERTA: NOVO ITEM INVALIDO - use Acrescimo se o item ja existia; novo item exige QTD_BASE_ORIGINAL 0, VU_ORIGINAL e ser o 1o acrescimo do item.",IF(AND(ISNUMBER(SEARCH("NOVO",D121)),OR(N121="",ISERROR(MATCH(N121,{"C0","C1","C2","C3","C4"},0)))),"ALERTA: BASE_VU_OBRIGATORIA",IF(AND(NOT(ISNUMBER(SEARCH("NOVO",D121))),N121&lt;&gt;""),"ALERTA: BASE_VU_NAO_APLICAVEL",IF(AND(UPPER(H121)="SIM",NOT(ISNUMBER(I121))),"ALERTA: BASE_VU_INVALIDA_OU_POSTERIOR_AO_FATOR_ALVO","OK"))))))))))</f>
        <v/>
      </c>
      <c r="N121" s="485"/>
      <c r="O121" s="487" t="str">
        <f>IFERROR(IF((COUNTIFS($A$2:$A$200,$A121,$D$2:$D$200,"*novo*",$N$2:$N$200,"C0")+COUNTIFS($A$2:$A$200,$A121,$D$2:$D$200,"*novo*",$N$2:$N$200,"C1")+COUNTIFS($A$2:$A$200,$A121,$D$2:$D$200,"*novo*",$N$2:$N$200,"C2")+COUNTIFS($A$2:$A$200,$A121,$D$2:$D$200,"*novo*",$N$2:$N$200,"C3")+COUNTIFS($A$2:$A$200,$A121,$D$2:$D$200,"*novo*",$N$2:$N$200,"C4"))=1,IF(COUNTIFS($A$2:$A$200,$A121,$D$2:$D$200,"*novo*",$N$2:$N$200,"C4")&gt;0,4,IF(COUNTIFS($A$2:$A$200,$A121,$D$2:$D$200,"*novo*",$N$2:$N$200,"C3")&gt;0,3,IF(COUNTIFS($A$2:$A$200,$A121,$D$2:$D$200,"*novo*",$N$2:$N$200,"C2")&gt;0,2,IF(COUNTIFS($A$2:$A$200,$A121,$D$2:$D$200,"*novo*",$N$2:$N$200,"C1")&gt;0,1,IF(COUNTIFS($A$2:$A$200,$A121,$D$2:$D$200,"*novo*",$N$2:$N$200,"C0")&gt;0,0,""))))),IF(AND((COUNTIFS($A$2:$A$200,$A121,$D$2:$D$200,"*novo*",$N$2:$N$200,"C0")+COUNTIFS($A$2:$A$200,$A121,$D$2:$D$200,"*novo*",$N$2:$N$200,"C1")+COUNTIFS($A$2:$A$200,$A121,$D$2:$D$200,"*novo*",$N$2:$N$200,"C2")+COUNTIFS($A$2:$A$200,$A121,$D$2:$D$200,"*novo*",$N$2:$N$200,"C3")+COUNTIFS($A$2:$A$200,$A121,$D$2:$D$200,"*novo*",$N$2:$N$200,"C4"))=0,INDEX(posicao_contratual!$Y$2:$Y$200,MATCH($A121,posicao_contratual!$A$2:$A$200,0))=0),0,"")),"")</f>
        <v/>
      </c>
    </row>
    <row r="122" spans="1:15" ht="45" customHeight="1" x14ac:dyDescent="0.35">
      <c r="A122" s="105"/>
      <c r="B122" s="189"/>
      <c r="C122" s="99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05"/>
      <c r="E122" s="106"/>
      <c r="F122" s="107" t="str">
        <f>IF(A122="","",IFERROR(VLOOKUP(A122,itens_Remanesc!$A:$C,3,0),""))</f>
        <v/>
      </c>
      <c r="G122" s="107" t="str">
        <f t="shared" si="9"/>
        <v/>
      </c>
      <c r="H122" s="105"/>
      <c r="I122" s="64" t="str">
        <f>IFERROR(IF(OR($A122="",$C122=""),"",IF(OR(($O122)="",($O122)&gt;(MIN(MATCH($C122,{"C0","C1","C2","C3","C4"},0)-1,COUNT(parametros!$F$2:$F$6)-1)),NOT(ISNUMBER(INDEX(parametros!$F$2:$F$6,(MIN(MATCH($C122,{"C0","C1","C2","C3","C4"},0)-1,COUNT(parametros!$F$2:$F$6)-1))+1))),NOT(ISNUMBER(INDEX(parametros!$F$2:$F$6,($O122)+1)))),"",INDEX(parametros!$F$2:$F$6,(MIN(MATCH($C122,{"C0","C1","C2","C3","C4"},0)-1,COUNT(parametros!$F$2:$F$6)-1))+1)/INDEX(parametros!$F$2:$F$6,($O122)+1))),"")</f>
        <v/>
      </c>
      <c r="J122" s="107" t="str">
        <f t="shared" si="10"/>
        <v/>
      </c>
      <c r="K122" s="105"/>
      <c r="L122" s="85" t="str">
        <f t="shared" si="11"/>
        <v/>
      </c>
      <c r="M122" s="483" t="str">
        <f>IF(A122="","",IF(COUNTIF(itens_Remanesc!$A$2:$A$200,A122)=0,"NOVO ITEM NAO CADASTRADO - CADASTRAR EM itens_Remanesc: ITEM + VU_ORIGINAL (QTD_BASE_ORIGINAL sera 0 automaticamente); depois a data e a quantidade aqui.",IF(COUNTIF(itens_Remanesc!$A$2:$A$200,A122)&gt;1,"ALERTA: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TIPO_INVALIDO",IF(AND(ISNUMBER(SEARCH("NOVO",D122)),OR(INDEX(posicao_contratual!$C$2:$C$200,MATCH(A122,posicao_contratual!$A$2:$A$200,0))&lt;&gt;0,F122="",COUNTIFS($A$2:$A$200,A122,$B$2:$B$200,"&lt;"&amp;B122,$L$2:$L$200,"&gt;0")&gt;0)),"ALERTA: NOVO ITEM INVALIDO - use Acrescimo se o item ja existia; novo item exige QTD_BASE_ORIGINAL 0, VU_ORIGINAL e ser o 1o acrescimo do item.",IF(AND(ISNUMBER(SEARCH("NOVO",D122)),OR(N122="",ISERROR(MATCH(N122,{"C0","C1","C2","C3","C4"},0)))),"ALERTA: BASE_VU_OBRIGATORIA",IF(AND(NOT(ISNUMBER(SEARCH("NOVO",D122))),N122&lt;&gt;""),"ALERTA: BASE_VU_NAO_APLICAVEL",IF(AND(UPPER(H122)="SIM",NOT(ISNUMBER(I122))),"ALERTA: BASE_VU_INVALIDA_OU_POSTERIOR_AO_FATOR_ALVO","OK"))))))))))</f>
        <v/>
      </c>
      <c r="N122" s="485"/>
      <c r="O122" s="487" t="str">
        <f>IFERROR(IF((COUNTIFS($A$2:$A$200,$A122,$D$2:$D$200,"*novo*",$N$2:$N$200,"C0")+COUNTIFS($A$2:$A$200,$A122,$D$2:$D$200,"*novo*",$N$2:$N$200,"C1")+COUNTIFS($A$2:$A$200,$A122,$D$2:$D$200,"*novo*",$N$2:$N$200,"C2")+COUNTIFS($A$2:$A$200,$A122,$D$2:$D$200,"*novo*",$N$2:$N$200,"C3")+COUNTIFS($A$2:$A$200,$A122,$D$2:$D$200,"*novo*",$N$2:$N$200,"C4"))=1,IF(COUNTIFS($A$2:$A$200,$A122,$D$2:$D$200,"*novo*",$N$2:$N$200,"C4")&gt;0,4,IF(COUNTIFS($A$2:$A$200,$A122,$D$2:$D$200,"*novo*",$N$2:$N$200,"C3")&gt;0,3,IF(COUNTIFS($A$2:$A$200,$A122,$D$2:$D$200,"*novo*",$N$2:$N$200,"C2")&gt;0,2,IF(COUNTIFS($A$2:$A$200,$A122,$D$2:$D$200,"*novo*",$N$2:$N$200,"C1")&gt;0,1,IF(COUNTIFS($A$2:$A$200,$A122,$D$2:$D$200,"*novo*",$N$2:$N$200,"C0")&gt;0,0,""))))),IF(AND((COUNTIFS($A$2:$A$200,$A122,$D$2:$D$200,"*novo*",$N$2:$N$200,"C0")+COUNTIFS($A$2:$A$200,$A122,$D$2:$D$200,"*novo*",$N$2:$N$200,"C1")+COUNTIFS($A$2:$A$200,$A122,$D$2:$D$200,"*novo*",$N$2:$N$200,"C2")+COUNTIFS($A$2:$A$200,$A122,$D$2:$D$200,"*novo*",$N$2:$N$200,"C3")+COUNTIFS($A$2:$A$200,$A122,$D$2:$D$200,"*novo*",$N$2:$N$200,"C4"))=0,INDEX(posicao_contratual!$Y$2:$Y$200,MATCH($A122,posicao_contratual!$A$2:$A$200,0))=0),0,"")),"")</f>
        <v/>
      </c>
    </row>
    <row r="123" spans="1:15" ht="45" customHeight="1" x14ac:dyDescent="0.35">
      <c r="A123" s="105"/>
      <c r="B123" s="189"/>
      <c r="C123" s="99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05"/>
      <c r="E123" s="106"/>
      <c r="F123" s="107" t="str">
        <f>IF(A123="","",IFERROR(VLOOKUP(A123,itens_Remanesc!$A:$C,3,0),""))</f>
        <v/>
      </c>
      <c r="G123" s="107" t="str">
        <f t="shared" si="9"/>
        <v/>
      </c>
      <c r="H123" s="105"/>
      <c r="I123" s="64" t="str">
        <f>IFERROR(IF(OR($A123="",$C123=""),"",IF(OR(($O123)="",($O123)&gt;(MIN(MATCH($C123,{"C0","C1","C2","C3","C4"},0)-1,COUNT(parametros!$F$2:$F$6)-1)),NOT(ISNUMBER(INDEX(parametros!$F$2:$F$6,(MIN(MATCH($C123,{"C0","C1","C2","C3","C4"},0)-1,COUNT(parametros!$F$2:$F$6)-1))+1))),NOT(ISNUMBER(INDEX(parametros!$F$2:$F$6,($O123)+1)))),"",INDEX(parametros!$F$2:$F$6,(MIN(MATCH($C123,{"C0","C1","C2","C3","C4"},0)-1,COUNT(parametros!$F$2:$F$6)-1))+1)/INDEX(parametros!$F$2:$F$6,($O123)+1))),"")</f>
        <v/>
      </c>
      <c r="J123" s="107" t="str">
        <f t="shared" si="10"/>
        <v/>
      </c>
      <c r="K123" s="105"/>
      <c r="L123" s="85" t="str">
        <f t="shared" si="11"/>
        <v/>
      </c>
      <c r="M123" s="483" t="str">
        <f>IF(A123="","",IF(COUNTIF(itens_Remanesc!$A$2:$A$200,A123)=0,"NOVO ITEM NAO CADASTRADO - CADASTRAR EM itens_Remanesc: ITEM + VU_ORIGINAL (QTD_BASE_ORIGINAL sera 0 automaticamente); depois a data e a quantidade aqui.",IF(COUNTIF(itens_Remanesc!$A$2:$A$200,A123)&gt;1,"ALERTA: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TIPO_INVALIDO",IF(AND(ISNUMBER(SEARCH("NOVO",D123)),OR(INDEX(posicao_contratual!$C$2:$C$200,MATCH(A123,posicao_contratual!$A$2:$A$200,0))&lt;&gt;0,F123="",COUNTIFS($A$2:$A$200,A123,$B$2:$B$200,"&lt;"&amp;B123,$L$2:$L$200,"&gt;0")&gt;0)),"ALERTA: NOVO ITEM INVALIDO - use Acrescimo se o item ja existia; novo item exige QTD_BASE_ORIGINAL 0, VU_ORIGINAL e ser o 1o acrescimo do item.",IF(AND(ISNUMBER(SEARCH("NOVO",D123)),OR(N123="",ISERROR(MATCH(N123,{"C0","C1","C2","C3","C4"},0)))),"ALERTA: BASE_VU_OBRIGATORIA",IF(AND(NOT(ISNUMBER(SEARCH("NOVO",D123))),N123&lt;&gt;""),"ALERTA: BASE_VU_NAO_APLICAVEL",IF(AND(UPPER(H123)="SIM",NOT(ISNUMBER(I123))),"ALERTA: BASE_VU_INVALIDA_OU_POSTERIOR_AO_FATOR_ALVO","OK"))))))))))</f>
        <v/>
      </c>
      <c r="N123" s="485"/>
      <c r="O123" s="487" t="str">
        <f>IFERROR(IF((COUNTIFS($A$2:$A$200,$A123,$D$2:$D$200,"*novo*",$N$2:$N$200,"C0")+COUNTIFS($A$2:$A$200,$A123,$D$2:$D$200,"*novo*",$N$2:$N$200,"C1")+COUNTIFS($A$2:$A$200,$A123,$D$2:$D$200,"*novo*",$N$2:$N$200,"C2")+COUNTIFS($A$2:$A$200,$A123,$D$2:$D$200,"*novo*",$N$2:$N$200,"C3")+COUNTIFS($A$2:$A$200,$A123,$D$2:$D$200,"*novo*",$N$2:$N$200,"C4"))=1,IF(COUNTIFS($A$2:$A$200,$A123,$D$2:$D$200,"*novo*",$N$2:$N$200,"C4")&gt;0,4,IF(COUNTIFS($A$2:$A$200,$A123,$D$2:$D$200,"*novo*",$N$2:$N$200,"C3")&gt;0,3,IF(COUNTIFS($A$2:$A$200,$A123,$D$2:$D$200,"*novo*",$N$2:$N$200,"C2")&gt;0,2,IF(COUNTIFS($A$2:$A$200,$A123,$D$2:$D$200,"*novo*",$N$2:$N$200,"C1")&gt;0,1,IF(COUNTIFS($A$2:$A$200,$A123,$D$2:$D$200,"*novo*",$N$2:$N$200,"C0")&gt;0,0,""))))),IF(AND((COUNTIFS($A$2:$A$200,$A123,$D$2:$D$200,"*novo*",$N$2:$N$200,"C0")+COUNTIFS($A$2:$A$200,$A123,$D$2:$D$200,"*novo*",$N$2:$N$200,"C1")+COUNTIFS($A$2:$A$200,$A123,$D$2:$D$200,"*novo*",$N$2:$N$200,"C2")+COUNTIFS($A$2:$A$200,$A123,$D$2:$D$200,"*novo*",$N$2:$N$200,"C3")+COUNTIFS($A$2:$A$200,$A123,$D$2:$D$200,"*novo*",$N$2:$N$200,"C4"))=0,INDEX(posicao_contratual!$Y$2:$Y$200,MATCH($A123,posicao_contratual!$A$2:$A$200,0))=0),0,"")),"")</f>
        <v/>
      </c>
    </row>
    <row r="124" spans="1:15" ht="45" customHeight="1" x14ac:dyDescent="0.35">
      <c r="A124" s="105"/>
      <c r="B124" s="189"/>
      <c r="C124" s="99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05"/>
      <c r="E124" s="106"/>
      <c r="F124" s="107" t="str">
        <f>IF(A124="","",IFERROR(VLOOKUP(A124,itens_Remanesc!$A:$C,3,0),""))</f>
        <v/>
      </c>
      <c r="G124" s="107" t="str">
        <f t="shared" si="9"/>
        <v/>
      </c>
      <c r="H124" s="105"/>
      <c r="I124" s="64" t="str">
        <f>IFERROR(IF(OR($A124="",$C124=""),"",IF(OR(($O124)="",($O124)&gt;(MIN(MATCH($C124,{"C0","C1","C2","C3","C4"},0)-1,COUNT(parametros!$F$2:$F$6)-1)),NOT(ISNUMBER(INDEX(parametros!$F$2:$F$6,(MIN(MATCH($C124,{"C0","C1","C2","C3","C4"},0)-1,COUNT(parametros!$F$2:$F$6)-1))+1))),NOT(ISNUMBER(INDEX(parametros!$F$2:$F$6,($O124)+1)))),"",INDEX(parametros!$F$2:$F$6,(MIN(MATCH($C124,{"C0","C1","C2","C3","C4"},0)-1,COUNT(parametros!$F$2:$F$6)-1))+1)/INDEX(parametros!$F$2:$F$6,($O124)+1))),"")</f>
        <v/>
      </c>
      <c r="J124" s="107" t="str">
        <f t="shared" si="10"/>
        <v/>
      </c>
      <c r="K124" s="105"/>
      <c r="L124" s="85" t="str">
        <f t="shared" si="11"/>
        <v/>
      </c>
      <c r="M124" s="483" t="str">
        <f>IF(A124="","",IF(COUNTIF(itens_Remanesc!$A$2:$A$200,A124)=0,"NOVO ITEM NAO CADASTRADO - CADASTRAR EM itens_Remanesc: ITEM + VU_ORIGINAL (QTD_BASE_ORIGINAL sera 0 automaticamente); depois a data e a quantidade aqui.",IF(COUNTIF(itens_Remanesc!$A$2:$A$200,A124)&gt;1,"ALERTA: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TIPO_INVALIDO",IF(AND(ISNUMBER(SEARCH("NOVO",D124)),OR(INDEX(posicao_contratual!$C$2:$C$200,MATCH(A124,posicao_contratual!$A$2:$A$200,0))&lt;&gt;0,F124="",COUNTIFS($A$2:$A$200,A124,$B$2:$B$200,"&lt;"&amp;B124,$L$2:$L$200,"&gt;0")&gt;0)),"ALERTA: NOVO ITEM INVALIDO - use Acrescimo se o item ja existia; novo item exige QTD_BASE_ORIGINAL 0, VU_ORIGINAL e ser o 1o acrescimo do item.",IF(AND(ISNUMBER(SEARCH("NOVO",D124)),OR(N124="",ISERROR(MATCH(N124,{"C0","C1","C2","C3","C4"},0)))),"ALERTA: BASE_VU_OBRIGATORIA",IF(AND(NOT(ISNUMBER(SEARCH("NOVO",D124))),N124&lt;&gt;""),"ALERTA: BASE_VU_NAO_APLICAVEL",IF(AND(UPPER(H124)="SIM",NOT(ISNUMBER(I124))),"ALERTA: BASE_VU_INVALIDA_OU_POSTERIOR_AO_FATOR_ALVO","OK"))))))))))</f>
        <v/>
      </c>
      <c r="N124" s="485"/>
      <c r="O124" s="487" t="str">
        <f>IFERROR(IF((COUNTIFS($A$2:$A$200,$A124,$D$2:$D$200,"*novo*",$N$2:$N$200,"C0")+COUNTIFS($A$2:$A$200,$A124,$D$2:$D$200,"*novo*",$N$2:$N$200,"C1")+COUNTIFS($A$2:$A$200,$A124,$D$2:$D$200,"*novo*",$N$2:$N$200,"C2")+COUNTIFS($A$2:$A$200,$A124,$D$2:$D$200,"*novo*",$N$2:$N$200,"C3")+COUNTIFS($A$2:$A$200,$A124,$D$2:$D$200,"*novo*",$N$2:$N$200,"C4"))=1,IF(COUNTIFS($A$2:$A$200,$A124,$D$2:$D$200,"*novo*",$N$2:$N$200,"C4")&gt;0,4,IF(COUNTIFS($A$2:$A$200,$A124,$D$2:$D$200,"*novo*",$N$2:$N$200,"C3")&gt;0,3,IF(COUNTIFS($A$2:$A$200,$A124,$D$2:$D$200,"*novo*",$N$2:$N$200,"C2")&gt;0,2,IF(COUNTIFS($A$2:$A$200,$A124,$D$2:$D$200,"*novo*",$N$2:$N$200,"C1")&gt;0,1,IF(COUNTIFS($A$2:$A$200,$A124,$D$2:$D$200,"*novo*",$N$2:$N$200,"C0")&gt;0,0,""))))),IF(AND((COUNTIFS($A$2:$A$200,$A124,$D$2:$D$200,"*novo*",$N$2:$N$200,"C0")+COUNTIFS($A$2:$A$200,$A124,$D$2:$D$200,"*novo*",$N$2:$N$200,"C1")+COUNTIFS($A$2:$A$200,$A124,$D$2:$D$200,"*novo*",$N$2:$N$200,"C2")+COUNTIFS($A$2:$A$200,$A124,$D$2:$D$200,"*novo*",$N$2:$N$200,"C3")+COUNTIFS($A$2:$A$200,$A124,$D$2:$D$200,"*novo*",$N$2:$N$200,"C4"))=0,INDEX(posicao_contratual!$Y$2:$Y$200,MATCH($A124,posicao_contratual!$A$2:$A$200,0))=0),0,"")),"")</f>
        <v/>
      </c>
    </row>
    <row r="125" spans="1:15" ht="45" customHeight="1" x14ac:dyDescent="0.35">
      <c r="A125" s="105"/>
      <c r="B125" s="189"/>
      <c r="C125" s="99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05"/>
      <c r="E125" s="106"/>
      <c r="F125" s="107" t="str">
        <f>IF(A125="","",IFERROR(VLOOKUP(A125,itens_Remanesc!$A:$C,3,0),""))</f>
        <v/>
      </c>
      <c r="G125" s="107" t="str">
        <f t="shared" si="9"/>
        <v/>
      </c>
      <c r="H125" s="105"/>
      <c r="I125" s="64" t="str">
        <f>IFERROR(IF(OR($A125="",$C125=""),"",IF(OR(($O125)="",($O125)&gt;(MIN(MATCH($C125,{"C0","C1","C2","C3","C4"},0)-1,COUNT(parametros!$F$2:$F$6)-1)),NOT(ISNUMBER(INDEX(parametros!$F$2:$F$6,(MIN(MATCH($C125,{"C0","C1","C2","C3","C4"},0)-1,COUNT(parametros!$F$2:$F$6)-1))+1))),NOT(ISNUMBER(INDEX(parametros!$F$2:$F$6,($O125)+1)))),"",INDEX(parametros!$F$2:$F$6,(MIN(MATCH($C125,{"C0","C1","C2","C3","C4"},0)-1,COUNT(parametros!$F$2:$F$6)-1))+1)/INDEX(parametros!$F$2:$F$6,($O125)+1))),"")</f>
        <v/>
      </c>
      <c r="J125" s="107" t="str">
        <f t="shared" si="10"/>
        <v/>
      </c>
      <c r="K125" s="105"/>
      <c r="L125" s="85" t="str">
        <f t="shared" si="11"/>
        <v/>
      </c>
      <c r="M125" s="483" t="str">
        <f>IF(A125="","",IF(COUNTIF(itens_Remanesc!$A$2:$A$200,A125)=0,"NOVO ITEM NAO CADASTRADO - CADASTRAR EM itens_Remanesc: ITEM + VU_ORIGINAL (QTD_BASE_ORIGINAL sera 0 automaticamente); depois a data e a quantidade aqui.",IF(COUNTIF(itens_Remanesc!$A$2:$A$200,A125)&gt;1,"ALERTA: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TIPO_INVALIDO",IF(AND(ISNUMBER(SEARCH("NOVO",D125)),OR(INDEX(posicao_contratual!$C$2:$C$200,MATCH(A125,posicao_contratual!$A$2:$A$200,0))&lt;&gt;0,F125="",COUNTIFS($A$2:$A$200,A125,$B$2:$B$200,"&lt;"&amp;B125,$L$2:$L$200,"&gt;0")&gt;0)),"ALERTA: NOVO ITEM INVALIDO - use Acrescimo se o item ja existia; novo item exige QTD_BASE_ORIGINAL 0, VU_ORIGINAL e ser o 1o acrescimo do item.",IF(AND(ISNUMBER(SEARCH("NOVO",D125)),OR(N125="",ISERROR(MATCH(N125,{"C0","C1","C2","C3","C4"},0)))),"ALERTA: BASE_VU_OBRIGATORIA",IF(AND(NOT(ISNUMBER(SEARCH("NOVO",D125))),N125&lt;&gt;""),"ALERTA: BASE_VU_NAO_APLICAVEL",IF(AND(UPPER(H125)="SIM",NOT(ISNUMBER(I125))),"ALERTA: BASE_VU_INVALIDA_OU_POSTERIOR_AO_FATOR_ALVO","OK"))))))))))</f>
        <v/>
      </c>
      <c r="N125" s="485"/>
      <c r="O125" s="487" t="str">
        <f>IFERROR(IF((COUNTIFS($A$2:$A$200,$A125,$D$2:$D$200,"*novo*",$N$2:$N$200,"C0")+COUNTIFS($A$2:$A$200,$A125,$D$2:$D$200,"*novo*",$N$2:$N$200,"C1")+COUNTIFS($A$2:$A$200,$A125,$D$2:$D$200,"*novo*",$N$2:$N$200,"C2")+COUNTIFS($A$2:$A$200,$A125,$D$2:$D$200,"*novo*",$N$2:$N$200,"C3")+COUNTIFS($A$2:$A$200,$A125,$D$2:$D$200,"*novo*",$N$2:$N$200,"C4"))=1,IF(COUNTIFS($A$2:$A$200,$A125,$D$2:$D$200,"*novo*",$N$2:$N$200,"C4")&gt;0,4,IF(COUNTIFS($A$2:$A$200,$A125,$D$2:$D$200,"*novo*",$N$2:$N$200,"C3")&gt;0,3,IF(COUNTIFS($A$2:$A$200,$A125,$D$2:$D$200,"*novo*",$N$2:$N$200,"C2")&gt;0,2,IF(COUNTIFS($A$2:$A$200,$A125,$D$2:$D$200,"*novo*",$N$2:$N$200,"C1")&gt;0,1,IF(COUNTIFS($A$2:$A$200,$A125,$D$2:$D$200,"*novo*",$N$2:$N$200,"C0")&gt;0,0,""))))),IF(AND((COUNTIFS($A$2:$A$200,$A125,$D$2:$D$200,"*novo*",$N$2:$N$200,"C0")+COUNTIFS($A$2:$A$200,$A125,$D$2:$D$200,"*novo*",$N$2:$N$200,"C1")+COUNTIFS($A$2:$A$200,$A125,$D$2:$D$200,"*novo*",$N$2:$N$200,"C2")+COUNTIFS($A$2:$A$200,$A125,$D$2:$D$200,"*novo*",$N$2:$N$200,"C3")+COUNTIFS($A$2:$A$200,$A125,$D$2:$D$200,"*novo*",$N$2:$N$200,"C4"))=0,INDEX(posicao_contratual!$Y$2:$Y$200,MATCH($A125,posicao_contratual!$A$2:$A$200,0))=0),0,"")),"")</f>
        <v/>
      </c>
    </row>
    <row r="126" spans="1:15" ht="45" customHeight="1" x14ac:dyDescent="0.35">
      <c r="A126" s="105"/>
      <c r="B126" s="189"/>
      <c r="C126" s="99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05"/>
      <c r="E126" s="106"/>
      <c r="F126" s="107" t="str">
        <f>IF(A126="","",IFERROR(VLOOKUP(A126,itens_Remanesc!$A:$C,3,0),""))</f>
        <v/>
      </c>
      <c r="G126" s="107" t="str">
        <f t="shared" si="9"/>
        <v/>
      </c>
      <c r="H126" s="105"/>
      <c r="I126" s="64" t="str">
        <f>IFERROR(IF(OR($A126="",$C126=""),"",IF(OR(($O126)="",($O126)&gt;(MIN(MATCH($C126,{"C0","C1","C2","C3","C4"},0)-1,COUNT(parametros!$F$2:$F$6)-1)),NOT(ISNUMBER(INDEX(parametros!$F$2:$F$6,(MIN(MATCH($C126,{"C0","C1","C2","C3","C4"},0)-1,COUNT(parametros!$F$2:$F$6)-1))+1))),NOT(ISNUMBER(INDEX(parametros!$F$2:$F$6,($O126)+1)))),"",INDEX(parametros!$F$2:$F$6,(MIN(MATCH($C126,{"C0","C1","C2","C3","C4"},0)-1,COUNT(parametros!$F$2:$F$6)-1))+1)/INDEX(parametros!$F$2:$F$6,($O126)+1))),"")</f>
        <v/>
      </c>
      <c r="J126" s="107" t="str">
        <f t="shared" si="10"/>
        <v/>
      </c>
      <c r="K126" s="105"/>
      <c r="L126" s="85" t="str">
        <f t="shared" si="11"/>
        <v/>
      </c>
      <c r="M126" s="483" t="str">
        <f>IF(A126="","",IF(COUNTIF(itens_Remanesc!$A$2:$A$200,A126)=0,"NOVO ITEM NAO CADASTRADO - CADASTRAR EM itens_Remanesc: ITEM + VU_ORIGINAL (QTD_BASE_ORIGINAL sera 0 automaticamente); depois a data e a quantidade aqui.",IF(COUNTIF(itens_Remanesc!$A$2:$A$200,A126)&gt;1,"ALERTA: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TIPO_INVALIDO",IF(AND(ISNUMBER(SEARCH("NOVO",D126)),OR(INDEX(posicao_contratual!$C$2:$C$200,MATCH(A126,posicao_contratual!$A$2:$A$200,0))&lt;&gt;0,F126="",COUNTIFS($A$2:$A$200,A126,$B$2:$B$200,"&lt;"&amp;B126,$L$2:$L$200,"&gt;0")&gt;0)),"ALERTA: NOVO ITEM INVALIDO - use Acrescimo se o item ja existia; novo item exige QTD_BASE_ORIGINAL 0, VU_ORIGINAL e ser o 1o acrescimo do item.",IF(AND(ISNUMBER(SEARCH("NOVO",D126)),OR(N126="",ISERROR(MATCH(N126,{"C0","C1","C2","C3","C4"},0)))),"ALERTA: BASE_VU_OBRIGATORIA",IF(AND(NOT(ISNUMBER(SEARCH("NOVO",D126))),N126&lt;&gt;""),"ALERTA: BASE_VU_NAO_APLICAVEL",IF(AND(UPPER(H126)="SIM",NOT(ISNUMBER(I126))),"ALERTA: BASE_VU_INVALIDA_OU_POSTERIOR_AO_FATOR_ALVO","OK"))))))))))</f>
        <v/>
      </c>
      <c r="N126" s="485"/>
      <c r="O126" s="487" t="str">
        <f>IFERROR(IF((COUNTIFS($A$2:$A$200,$A126,$D$2:$D$200,"*novo*",$N$2:$N$200,"C0")+COUNTIFS($A$2:$A$200,$A126,$D$2:$D$200,"*novo*",$N$2:$N$200,"C1")+COUNTIFS($A$2:$A$200,$A126,$D$2:$D$200,"*novo*",$N$2:$N$200,"C2")+COUNTIFS($A$2:$A$200,$A126,$D$2:$D$200,"*novo*",$N$2:$N$200,"C3")+COUNTIFS($A$2:$A$200,$A126,$D$2:$D$200,"*novo*",$N$2:$N$200,"C4"))=1,IF(COUNTIFS($A$2:$A$200,$A126,$D$2:$D$200,"*novo*",$N$2:$N$200,"C4")&gt;0,4,IF(COUNTIFS($A$2:$A$200,$A126,$D$2:$D$200,"*novo*",$N$2:$N$200,"C3")&gt;0,3,IF(COUNTIFS($A$2:$A$200,$A126,$D$2:$D$200,"*novo*",$N$2:$N$200,"C2")&gt;0,2,IF(COUNTIFS($A$2:$A$200,$A126,$D$2:$D$200,"*novo*",$N$2:$N$200,"C1")&gt;0,1,IF(COUNTIFS($A$2:$A$200,$A126,$D$2:$D$200,"*novo*",$N$2:$N$200,"C0")&gt;0,0,""))))),IF(AND((COUNTIFS($A$2:$A$200,$A126,$D$2:$D$200,"*novo*",$N$2:$N$200,"C0")+COUNTIFS($A$2:$A$200,$A126,$D$2:$D$200,"*novo*",$N$2:$N$200,"C1")+COUNTIFS($A$2:$A$200,$A126,$D$2:$D$200,"*novo*",$N$2:$N$200,"C2")+COUNTIFS($A$2:$A$200,$A126,$D$2:$D$200,"*novo*",$N$2:$N$200,"C3")+COUNTIFS($A$2:$A$200,$A126,$D$2:$D$200,"*novo*",$N$2:$N$200,"C4"))=0,INDEX(posicao_contratual!$Y$2:$Y$200,MATCH($A126,posicao_contratual!$A$2:$A$200,0))=0),0,"")),"")</f>
        <v/>
      </c>
    </row>
    <row r="127" spans="1:15" ht="45" customHeight="1" x14ac:dyDescent="0.35">
      <c r="A127" s="105"/>
      <c r="B127" s="189"/>
      <c r="C127" s="99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05"/>
      <c r="E127" s="106"/>
      <c r="F127" s="107" t="str">
        <f>IF(A127="","",IFERROR(VLOOKUP(A127,itens_Remanesc!$A:$C,3,0),""))</f>
        <v/>
      </c>
      <c r="G127" s="107" t="str">
        <f t="shared" si="9"/>
        <v/>
      </c>
      <c r="H127" s="105"/>
      <c r="I127" s="64" t="str">
        <f>IFERROR(IF(OR($A127="",$C127=""),"",IF(OR(($O127)="",($O127)&gt;(MIN(MATCH($C127,{"C0","C1","C2","C3","C4"},0)-1,COUNT(parametros!$F$2:$F$6)-1)),NOT(ISNUMBER(INDEX(parametros!$F$2:$F$6,(MIN(MATCH($C127,{"C0","C1","C2","C3","C4"},0)-1,COUNT(parametros!$F$2:$F$6)-1))+1))),NOT(ISNUMBER(INDEX(parametros!$F$2:$F$6,($O127)+1)))),"",INDEX(parametros!$F$2:$F$6,(MIN(MATCH($C127,{"C0","C1","C2","C3","C4"},0)-1,COUNT(parametros!$F$2:$F$6)-1))+1)/INDEX(parametros!$F$2:$F$6,($O127)+1))),"")</f>
        <v/>
      </c>
      <c r="J127" s="107" t="str">
        <f t="shared" si="10"/>
        <v/>
      </c>
      <c r="K127" s="105"/>
      <c r="L127" s="85" t="str">
        <f t="shared" si="11"/>
        <v/>
      </c>
      <c r="M127" s="483" t="str">
        <f>IF(A127="","",IF(COUNTIF(itens_Remanesc!$A$2:$A$200,A127)=0,"NOVO ITEM NAO CADASTRADO - CADASTRAR EM itens_Remanesc: ITEM + VU_ORIGINAL (QTD_BASE_ORIGINAL sera 0 automaticamente); depois a data e a quantidade aqui.",IF(COUNTIF(itens_Remanesc!$A$2:$A$200,A127)&gt;1,"ALERTA: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TIPO_INVALIDO",IF(AND(ISNUMBER(SEARCH("NOVO",D127)),OR(INDEX(posicao_contratual!$C$2:$C$200,MATCH(A127,posicao_contratual!$A$2:$A$200,0))&lt;&gt;0,F127="",COUNTIFS($A$2:$A$200,A127,$B$2:$B$200,"&lt;"&amp;B127,$L$2:$L$200,"&gt;0")&gt;0)),"ALERTA: NOVO ITEM INVALIDO - use Acrescimo se o item ja existia; novo item exige QTD_BASE_ORIGINAL 0, VU_ORIGINAL e ser o 1o acrescimo do item.",IF(AND(ISNUMBER(SEARCH("NOVO",D127)),OR(N127="",ISERROR(MATCH(N127,{"C0","C1","C2","C3","C4"},0)))),"ALERTA: BASE_VU_OBRIGATORIA",IF(AND(NOT(ISNUMBER(SEARCH("NOVO",D127))),N127&lt;&gt;""),"ALERTA: BASE_VU_NAO_APLICAVEL",IF(AND(UPPER(H127)="SIM",NOT(ISNUMBER(I127))),"ALERTA: BASE_VU_INVALIDA_OU_POSTERIOR_AO_FATOR_ALVO","OK"))))))))))</f>
        <v/>
      </c>
      <c r="N127" s="485"/>
      <c r="O127" s="487" t="str">
        <f>IFERROR(IF((COUNTIFS($A$2:$A$200,$A127,$D$2:$D$200,"*novo*",$N$2:$N$200,"C0")+COUNTIFS($A$2:$A$200,$A127,$D$2:$D$200,"*novo*",$N$2:$N$200,"C1")+COUNTIFS($A$2:$A$200,$A127,$D$2:$D$200,"*novo*",$N$2:$N$200,"C2")+COUNTIFS($A$2:$A$200,$A127,$D$2:$D$200,"*novo*",$N$2:$N$200,"C3")+COUNTIFS($A$2:$A$200,$A127,$D$2:$D$200,"*novo*",$N$2:$N$200,"C4"))=1,IF(COUNTIFS($A$2:$A$200,$A127,$D$2:$D$200,"*novo*",$N$2:$N$200,"C4")&gt;0,4,IF(COUNTIFS($A$2:$A$200,$A127,$D$2:$D$200,"*novo*",$N$2:$N$200,"C3")&gt;0,3,IF(COUNTIFS($A$2:$A$200,$A127,$D$2:$D$200,"*novo*",$N$2:$N$200,"C2")&gt;0,2,IF(COUNTIFS($A$2:$A$200,$A127,$D$2:$D$200,"*novo*",$N$2:$N$200,"C1")&gt;0,1,IF(COUNTIFS($A$2:$A$200,$A127,$D$2:$D$200,"*novo*",$N$2:$N$200,"C0")&gt;0,0,""))))),IF(AND((COUNTIFS($A$2:$A$200,$A127,$D$2:$D$200,"*novo*",$N$2:$N$200,"C0")+COUNTIFS($A$2:$A$200,$A127,$D$2:$D$200,"*novo*",$N$2:$N$200,"C1")+COUNTIFS($A$2:$A$200,$A127,$D$2:$D$200,"*novo*",$N$2:$N$200,"C2")+COUNTIFS($A$2:$A$200,$A127,$D$2:$D$200,"*novo*",$N$2:$N$200,"C3")+COUNTIFS($A$2:$A$200,$A127,$D$2:$D$200,"*novo*",$N$2:$N$200,"C4"))=0,INDEX(posicao_contratual!$Y$2:$Y$200,MATCH($A127,posicao_contratual!$A$2:$A$200,0))=0),0,"")),"")</f>
        <v/>
      </c>
    </row>
    <row r="128" spans="1:15" ht="45" customHeight="1" x14ac:dyDescent="0.35">
      <c r="A128" s="105"/>
      <c r="B128" s="189"/>
      <c r="C128" s="99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05"/>
      <c r="E128" s="106"/>
      <c r="F128" s="107" t="str">
        <f>IF(A128="","",IFERROR(VLOOKUP(A128,itens_Remanesc!$A:$C,3,0),""))</f>
        <v/>
      </c>
      <c r="G128" s="107" t="str">
        <f t="shared" si="9"/>
        <v/>
      </c>
      <c r="H128" s="105"/>
      <c r="I128" s="64" t="str">
        <f>IFERROR(IF(OR($A128="",$C128=""),"",IF(OR(($O128)="",($O128)&gt;(MIN(MATCH($C128,{"C0","C1","C2","C3","C4"},0)-1,COUNT(parametros!$F$2:$F$6)-1)),NOT(ISNUMBER(INDEX(parametros!$F$2:$F$6,(MIN(MATCH($C128,{"C0","C1","C2","C3","C4"},0)-1,COUNT(parametros!$F$2:$F$6)-1))+1))),NOT(ISNUMBER(INDEX(parametros!$F$2:$F$6,($O128)+1)))),"",INDEX(parametros!$F$2:$F$6,(MIN(MATCH($C128,{"C0","C1","C2","C3","C4"},0)-1,COUNT(parametros!$F$2:$F$6)-1))+1)/INDEX(parametros!$F$2:$F$6,($O128)+1))),"")</f>
        <v/>
      </c>
      <c r="J128" s="107" t="str">
        <f t="shared" si="10"/>
        <v/>
      </c>
      <c r="K128" s="105"/>
      <c r="L128" s="85" t="str">
        <f t="shared" si="11"/>
        <v/>
      </c>
      <c r="M128" s="483" t="str">
        <f>IF(A128="","",IF(COUNTIF(itens_Remanesc!$A$2:$A$200,A128)=0,"NOVO ITEM NAO CADASTRADO - CADASTRAR EM itens_Remanesc: ITEM + VU_ORIGINAL (QTD_BASE_ORIGINAL sera 0 automaticamente); depois a data e a quantidade aqui.",IF(COUNTIF(itens_Remanesc!$A$2:$A$200,A128)&gt;1,"ALERTA: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TIPO_INVALIDO",IF(AND(ISNUMBER(SEARCH("NOVO",D128)),OR(INDEX(posicao_contratual!$C$2:$C$200,MATCH(A128,posicao_contratual!$A$2:$A$200,0))&lt;&gt;0,F128="",COUNTIFS($A$2:$A$200,A128,$B$2:$B$200,"&lt;"&amp;B128,$L$2:$L$200,"&gt;0")&gt;0)),"ALERTA: NOVO ITEM INVALIDO - use Acrescimo se o item ja existia; novo item exige QTD_BASE_ORIGINAL 0, VU_ORIGINAL e ser o 1o acrescimo do item.",IF(AND(ISNUMBER(SEARCH("NOVO",D128)),OR(N128="",ISERROR(MATCH(N128,{"C0","C1","C2","C3","C4"},0)))),"ALERTA: BASE_VU_OBRIGATORIA",IF(AND(NOT(ISNUMBER(SEARCH("NOVO",D128))),N128&lt;&gt;""),"ALERTA: BASE_VU_NAO_APLICAVEL",IF(AND(UPPER(H128)="SIM",NOT(ISNUMBER(I128))),"ALERTA: BASE_VU_INVALIDA_OU_POSTERIOR_AO_FATOR_ALVO","OK"))))))))))</f>
        <v/>
      </c>
      <c r="N128" s="485"/>
      <c r="O128" s="487" t="str">
        <f>IFERROR(IF((COUNTIFS($A$2:$A$200,$A128,$D$2:$D$200,"*novo*",$N$2:$N$200,"C0")+COUNTIFS($A$2:$A$200,$A128,$D$2:$D$200,"*novo*",$N$2:$N$200,"C1")+COUNTIFS($A$2:$A$200,$A128,$D$2:$D$200,"*novo*",$N$2:$N$200,"C2")+COUNTIFS($A$2:$A$200,$A128,$D$2:$D$200,"*novo*",$N$2:$N$200,"C3")+COUNTIFS($A$2:$A$200,$A128,$D$2:$D$200,"*novo*",$N$2:$N$200,"C4"))=1,IF(COUNTIFS($A$2:$A$200,$A128,$D$2:$D$200,"*novo*",$N$2:$N$200,"C4")&gt;0,4,IF(COUNTIFS($A$2:$A$200,$A128,$D$2:$D$200,"*novo*",$N$2:$N$200,"C3")&gt;0,3,IF(COUNTIFS($A$2:$A$200,$A128,$D$2:$D$200,"*novo*",$N$2:$N$200,"C2")&gt;0,2,IF(COUNTIFS($A$2:$A$200,$A128,$D$2:$D$200,"*novo*",$N$2:$N$200,"C1")&gt;0,1,IF(COUNTIFS($A$2:$A$200,$A128,$D$2:$D$200,"*novo*",$N$2:$N$200,"C0")&gt;0,0,""))))),IF(AND((COUNTIFS($A$2:$A$200,$A128,$D$2:$D$200,"*novo*",$N$2:$N$200,"C0")+COUNTIFS($A$2:$A$200,$A128,$D$2:$D$200,"*novo*",$N$2:$N$200,"C1")+COUNTIFS($A$2:$A$200,$A128,$D$2:$D$200,"*novo*",$N$2:$N$200,"C2")+COUNTIFS($A$2:$A$200,$A128,$D$2:$D$200,"*novo*",$N$2:$N$200,"C3")+COUNTIFS($A$2:$A$200,$A128,$D$2:$D$200,"*novo*",$N$2:$N$200,"C4"))=0,INDEX(posicao_contratual!$Y$2:$Y$200,MATCH($A128,posicao_contratual!$A$2:$A$200,0))=0),0,"")),"")</f>
        <v/>
      </c>
    </row>
    <row r="129" spans="1:15" ht="45" customHeight="1" x14ac:dyDescent="0.35">
      <c r="A129" s="105"/>
      <c r="B129" s="189"/>
      <c r="C129" s="99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05"/>
      <c r="E129" s="106"/>
      <c r="F129" s="107" t="str">
        <f>IF(A129="","",IFERROR(VLOOKUP(A129,itens_Remanesc!$A:$C,3,0),""))</f>
        <v/>
      </c>
      <c r="G129" s="107" t="str">
        <f t="shared" si="9"/>
        <v/>
      </c>
      <c r="H129" s="105"/>
      <c r="I129" s="64" t="str">
        <f>IFERROR(IF(OR($A129="",$C129=""),"",IF(OR(($O129)="",($O129)&gt;(MIN(MATCH($C129,{"C0","C1","C2","C3","C4"},0)-1,COUNT(parametros!$F$2:$F$6)-1)),NOT(ISNUMBER(INDEX(parametros!$F$2:$F$6,(MIN(MATCH($C129,{"C0","C1","C2","C3","C4"},0)-1,COUNT(parametros!$F$2:$F$6)-1))+1))),NOT(ISNUMBER(INDEX(parametros!$F$2:$F$6,($O129)+1)))),"",INDEX(parametros!$F$2:$F$6,(MIN(MATCH($C129,{"C0","C1","C2","C3","C4"},0)-1,COUNT(parametros!$F$2:$F$6)-1))+1)/INDEX(parametros!$F$2:$F$6,($O129)+1))),"")</f>
        <v/>
      </c>
      <c r="J129" s="107" t="str">
        <f t="shared" si="10"/>
        <v/>
      </c>
      <c r="K129" s="105"/>
      <c r="L129" s="85" t="str">
        <f t="shared" si="11"/>
        <v/>
      </c>
      <c r="M129" s="483" t="str">
        <f>IF(A129="","",IF(COUNTIF(itens_Remanesc!$A$2:$A$200,A129)=0,"NOVO ITEM NAO CADASTRADO - CADASTRAR EM itens_Remanesc: ITEM + VU_ORIGINAL (QTD_BASE_ORIGINAL sera 0 automaticamente); depois a data e a quantidade aqui.",IF(COUNTIF(itens_Remanesc!$A$2:$A$200,A129)&gt;1,"ALERTA: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TIPO_INVALIDO",IF(AND(ISNUMBER(SEARCH("NOVO",D129)),OR(INDEX(posicao_contratual!$C$2:$C$200,MATCH(A129,posicao_contratual!$A$2:$A$200,0))&lt;&gt;0,F129="",COUNTIFS($A$2:$A$200,A129,$B$2:$B$200,"&lt;"&amp;B129,$L$2:$L$200,"&gt;0")&gt;0)),"ALERTA: NOVO ITEM INVALIDO - use Acrescimo se o item ja existia; novo item exige QTD_BASE_ORIGINAL 0, VU_ORIGINAL e ser o 1o acrescimo do item.",IF(AND(ISNUMBER(SEARCH("NOVO",D129)),OR(N129="",ISERROR(MATCH(N129,{"C0","C1","C2","C3","C4"},0)))),"ALERTA: BASE_VU_OBRIGATORIA",IF(AND(NOT(ISNUMBER(SEARCH("NOVO",D129))),N129&lt;&gt;""),"ALERTA: BASE_VU_NAO_APLICAVEL",IF(AND(UPPER(H129)="SIM",NOT(ISNUMBER(I129))),"ALERTA: BASE_VU_INVALIDA_OU_POSTERIOR_AO_FATOR_ALVO","OK"))))))))))</f>
        <v/>
      </c>
      <c r="N129" s="485"/>
      <c r="O129" s="487" t="str">
        <f>IFERROR(IF((COUNTIFS($A$2:$A$200,$A129,$D$2:$D$200,"*novo*",$N$2:$N$200,"C0")+COUNTIFS($A$2:$A$200,$A129,$D$2:$D$200,"*novo*",$N$2:$N$200,"C1")+COUNTIFS($A$2:$A$200,$A129,$D$2:$D$200,"*novo*",$N$2:$N$200,"C2")+COUNTIFS($A$2:$A$200,$A129,$D$2:$D$200,"*novo*",$N$2:$N$200,"C3")+COUNTIFS($A$2:$A$200,$A129,$D$2:$D$200,"*novo*",$N$2:$N$200,"C4"))=1,IF(COUNTIFS($A$2:$A$200,$A129,$D$2:$D$200,"*novo*",$N$2:$N$200,"C4")&gt;0,4,IF(COUNTIFS($A$2:$A$200,$A129,$D$2:$D$200,"*novo*",$N$2:$N$200,"C3")&gt;0,3,IF(COUNTIFS($A$2:$A$200,$A129,$D$2:$D$200,"*novo*",$N$2:$N$200,"C2")&gt;0,2,IF(COUNTIFS($A$2:$A$200,$A129,$D$2:$D$200,"*novo*",$N$2:$N$200,"C1")&gt;0,1,IF(COUNTIFS($A$2:$A$200,$A129,$D$2:$D$200,"*novo*",$N$2:$N$200,"C0")&gt;0,0,""))))),IF(AND((COUNTIFS($A$2:$A$200,$A129,$D$2:$D$200,"*novo*",$N$2:$N$200,"C0")+COUNTIFS($A$2:$A$200,$A129,$D$2:$D$200,"*novo*",$N$2:$N$200,"C1")+COUNTIFS($A$2:$A$200,$A129,$D$2:$D$200,"*novo*",$N$2:$N$200,"C2")+COUNTIFS($A$2:$A$200,$A129,$D$2:$D$200,"*novo*",$N$2:$N$200,"C3")+COUNTIFS($A$2:$A$200,$A129,$D$2:$D$200,"*novo*",$N$2:$N$200,"C4"))=0,INDEX(posicao_contratual!$Y$2:$Y$200,MATCH($A129,posicao_contratual!$A$2:$A$200,0))=0),0,"")),"")</f>
        <v/>
      </c>
    </row>
    <row r="130" spans="1:15" ht="45" customHeight="1" x14ac:dyDescent="0.35">
      <c r="A130" s="105"/>
      <c r="B130" s="189"/>
      <c r="C130" s="99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05"/>
      <c r="E130" s="106"/>
      <c r="F130" s="107" t="str">
        <f>IF(A130="","",IFERROR(VLOOKUP(A130,itens_Remanesc!$A:$C,3,0),""))</f>
        <v/>
      </c>
      <c r="G130" s="107" t="str">
        <f t="shared" ref="G130:G161" si="12">IF(OR(E130="",F130=""),"",ROUND(E130*F130,2))</f>
        <v/>
      </c>
      <c r="H130" s="105"/>
      <c r="I130" s="64" t="str">
        <f>IFERROR(IF(OR($A130="",$C130=""),"",IF(OR(($O130)="",($O130)&gt;(MIN(MATCH($C130,{"C0","C1","C2","C3","C4"},0)-1,COUNT(parametros!$F$2:$F$6)-1)),NOT(ISNUMBER(INDEX(parametros!$F$2:$F$6,(MIN(MATCH($C130,{"C0","C1","C2","C3","C4"},0)-1,COUNT(parametros!$F$2:$F$6)-1))+1))),NOT(ISNUMBER(INDEX(parametros!$F$2:$F$6,($O130)+1)))),"",INDEX(parametros!$F$2:$F$6,(MIN(MATCH($C130,{"C0","C1","C2","C3","C4"},0)-1,COUNT(parametros!$F$2:$F$6)-1))+1)/INDEX(parametros!$F$2:$F$6,($O130)+1))),"")</f>
        <v/>
      </c>
      <c r="J130" s="107" t="str">
        <f t="shared" ref="J130:J161" si="13">IF(OR(L130="",F130=""),"",IF(UPPER(H130)="SIM",IF(ISNUMBER(I130),ROUND(L130*ROUND(F130*I130,2),2),""),ROUND(L130*F130,2)))</f>
        <v/>
      </c>
      <c r="K130" s="105"/>
      <c r="L130" s="85" t="str">
        <f t="shared" ref="L130:L161" si="14">IF(OR(A130="",C130="",D130="",NOT(ISNUMBER(E130))),"",IF(LEFT(UPPER(D130),3)="ACR",ROUND(ABS(E130),2),IF(OR(LEFT(UPPER(D130),4)="SUPR",LEFT(UPPER(D130),4)="DECR"),ROUND(-ABS(E130),2),"")))</f>
        <v/>
      </c>
      <c r="M130" s="483" t="str">
        <f>IF(A130="","",IF(COUNTIF(itens_Remanesc!$A$2:$A$200,A130)=0,"NOVO ITEM NAO CADASTRADO - CADASTRAR EM itens_Remanesc: ITEM + VU_ORIGINAL (QTD_BASE_ORIGINAL sera 0 automaticamente); depois a data e a quantidade aqui.",IF(COUNTIF(itens_Remanesc!$A$2:$A$200,A130)&gt;1,"ALERTA: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TIPO_INVALIDO",IF(AND(ISNUMBER(SEARCH("NOVO",D130)),OR(INDEX(posicao_contratual!$C$2:$C$200,MATCH(A130,posicao_contratual!$A$2:$A$200,0))&lt;&gt;0,F130="",COUNTIFS($A$2:$A$200,A130,$B$2:$B$200,"&lt;"&amp;B130,$L$2:$L$200,"&gt;0")&gt;0)),"ALERTA: NOVO ITEM INVALIDO - use Acrescimo se o item ja existia; novo item exige QTD_BASE_ORIGINAL 0, VU_ORIGINAL e ser o 1o acrescimo do item.",IF(AND(ISNUMBER(SEARCH("NOVO",D130)),OR(N130="",ISERROR(MATCH(N130,{"C0","C1","C2","C3","C4"},0)))),"ALERTA: BASE_VU_OBRIGATORIA",IF(AND(NOT(ISNUMBER(SEARCH("NOVO",D130))),N130&lt;&gt;""),"ALERTA: BASE_VU_NAO_APLICAVEL",IF(AND(UPPER(H130)="SIM",NOT(ISNUMBER(I130))),"ALERTA: BASE_VU_INVALIDA_OU_POSTERIOR_AO_FATOR_ALVO","OK"))))))))))</f>
        <v/>
      </c>
      <c r="N130" s="485"/>
      <c r="O130" s="487" t="str">
        <f>IFERROR(IF((COUNTIFS($A$2:$A$200,$A130,$D$2:$D$200,"*novo*",$N$2:$N$200,"C0")+COUNTIFS($A$2:$A$200,$A130,$D$2:$D$200,"*novo*",$N$2:$N$200,"C1")+COUNTIFS($A$2:$A$200,$A130,$D$2:$D$200,"*novo*",$N$2:$N$200,"C2")+COUNTIFS($A$2:$A$200,$A130,$D$2:$D$200,"*novo*",$N$2:$N$200,"C3")+COUNTIFS($A$2:$A$200,$A130,$D$2:$D$200,"*novo*",$N$2:$N$200,"C4"))=1,IF(COUNTIFS($A$2:$A$200,$A130,$D$2:$D$200,"*novo*",$N$2:$N$200,"C4")&gt;0,4,IF(COUNTIFS($A$2:$A$200,$A130,$D$2:$D$200,"*novo*",$N$2:$N$200,"C3")&gt;0,3,IF(COUNTIFS($A$2:$A$200,$A130,$D$2:$D$200,"*novo*",$N$2:$N$200,"C2")&gt;0,2,IF(COUNTIFS($A$2:$A$200,$A130,$D$2:$D$200,"*novo*",$N$2:$N$200,"C1")&gt;0,1,IF(COUNTIFS($A$2:$A$200,$A130,$D$2:$D$200,"*novo*",$N$2:$N$200,"C0")&gt;0,0,""))))),IF(AND((COUNTIFS($A$2:$A$200,$A130,$D$2:$D$200,"*novo*",$N$2:$N$200,"C0")+COUNTIFS($A$2:$A$200,$A130,$D$2:$D$200,"*novo*",$N$2:$N$200,"C1")+COUNTIFS($A$2:$A$200,$A130,$D$2:$D$200,"*novo*",$N$2:$N$200,"C2")+COUNTIFS($A$2:$A$200,$A130,$D$2:$D$200,"*novo*",$N$2:$N$200,"C3")+COUNTIFS($A$2:$A$200,$A130,$D$2:$D$200,"*novo*",$N$2:$N$200,"C4"))=0,INDEX(posicao_contratual!$Y$2:$Y$200,MATCH($A130,posicao_contratual!$A$2:$A$200,0))=0),0,"")),"")</f>
        <v/>
      </c>
    </row>
    <row r="131" spans="1:15" ht="45" customHeight="1" x14ac:dyDescent="0.35">
      <c r="A131" s="105"/>
      <c r="B131" s="189"/>
      <c r="C131" s="99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05"/>
      <c r="E131" s="106"/>
      <c r="F131" s="107" t="str">
        <f>IF(A131="","",IFERROR(VLOOKUP(A131,itens_Remanesc!$A:$C,3,0),""))</f>
        <v/>
      </c>
      <c r="G131" s="107" t="str">
        <f t="shared" si="12"/>
        <v/>
      </c>
      <c r="H131" s="105"/>
      <c r="I131" s="64" t="str">
        <f>IFERROR(IF(OR($A131="",$C131=""),"",IF(OR(($O131)="",($O131)&gt;(MIN(MATCH($C131,{"C0","C1","C2","C3","C4"},0)-1,COUNT(parametros!$F$2:$F$6)-1)),NOT(ISNUMBER(INDEX(parametros!$F$2:$F$6,(MIN(MATCH($C131,{"C0","C1","C2","C3","C4"},0)-1,COUNT(parametros!$F$2:$F$6)-1))+1))),NOT(ISNUMBER(INDEX(parametros!$F$2:$F$6,($O131)+1)))),"",INDEX(parametros!$F$2:$F$6,(MIN(MATCH($C131,{"C0","C1","C2","C3","C4"},0)-1,COUNT(parametros!$F$2:$F$6)-1))+1)/INDEX(parametros!$F$2:$F$6,($O131)+1))),"")</f>
        <v/>
      </c>
      <c r="J131" s="107" t="str">
        <f t="shared" si="13"/>
        <v/>
      </c>
      <c r="K131" s="105"/>
      <c r="L131" s="85" t="str">
        <f t="shared" si="14"/>
        <v/>
      </c>
      <c r="M131" s="483" t="str">
        <f>IF(A131="","",IF(COUNTIF(itens_Remanesc!$A$2:$A$200,A131)=0,"NOVO ITEM NAO CADASTRADO - CADASTRAR EM itens_Remanesc: ITEM + VU_ORIGINAL (QTD_BASE_ORIGINAL sera 0 automaticamente); depois a data e a quantidade aqui.",IF(COUNTIF(itens_Remanesc!$A$2:$A$200,A131)&gt;1,"ALERTA: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TIPO_INVALIDO",IF(AND(ISNUMBER(SEARCH("NOVO",D131)),OR(INDEX(posicao_contratual!$C$2:$C$200,MATCH(A131,posicao_contratual!$A$2:$A$200,0))&lt;&gt;0,F131="",COUNTIFS($A$2:$A$200,A131,$B$2:$B$200,"&lt;"&amp;B131,$L$2:$L$200,"&gt;0")&gt;0)),"ALERTA: NOVO ITEM INVALIDO - use Acrescimo se o item ja existia; novo item exige QTD_BASE_ORIGINAL 0, VU_ORIGINAL e ser o 1o acrescimo do item.",IF(AND(ISNUMBER(SEARCH("NOVO",D131)),OR(N131="",ISERROR(MATCH(N131,{"C0","C1","C2","C3","C4"},0)))),"ALERTA: BASE_VU_OBRIGATORIA",IF(AND(NOT(ISNUMBER(SEARCH("NOVO",D131))),N131&lt;&gt;""),"ALERTA: BASE_VU_NAO_APLICAVEL",IF(AND(UPPER(H131)="SIM",NOT(ISNUMBER(I131))),"ALERTA: BASE_VU_INVALIDA_OU_POSTERIOR_AO_FATOR_ALVO","OK"))))))))))</f>
        <v/>
      </c>
      <c r="N131" s="485"/>
      <c r="O131" s="487" t="str">
        <f>IFERROR(IF((COUNTIFS($A$2:$A$200,$A131,$D$2:$D$200,"*novo*",$N$2:$N$200,"C0")+COUNTIFS($A$2:$A$200,$A131,$D$2:$D$200,"*novo*",$N$2:$N$200,"C1")+COUNTIFS($A$2:$A$200,$A131,$D$2:$D$200,"*novo*",$N$2:$N$200,"C2")+COUNTIFS($A$2:$A$200,$A131,$D$2:$D$200,"*novo*",$N$2:$N$200,"C3")+COUNTIFS($A$2:$A$200,$A131,$D$2:$D$200,"*novo*",$N$2:$N$200,"C4"))=1,IF(COUNTIFS($A$2:$A$200,$A131,$D$2:$D$200,"*novo*",$N$2:$N$200,"C4")&gt;0,4,IF(COUNTIFS($A$2:$A$200,$A131,$D$2:$D$200,"*novo*",$N$2:$N$200,"C3")&gt;0,3,IF(COUNTIFS($A$2:$A$200,$A131,$D$2:$D$200,"*novo*",$N$2:$N$200,"C2")&gt;0,2,IF(COUNTIFS($A$2:$A$200,$A131,$D$2:$D$200,"*novo*",$N$2:$N$200,"C1")&gt;0,1,IF(COUNTIFS($A$2:$A$200,$A131,$D$2:$D$200,"*novo*",$N$2:$N$200,"C0")&gt;0,0,""))))),IF(AND((COUNTIFS($A$2:$A$200,$A131,$D$2:$D$200,"*novo*",$N$2:$N$200,"C0")+COUNTIFS($A$2:$A$200,$A131,$D$2:$D$200,"*novo*",$N$2:$N$200,"C1")+COUNTIFS($A$2:$A$200,$A131,$D$2:$D$200,"*novo*",$N$2:$N$200,"C2")+COUNTIFS($A$2:$A$200,$A131,$D$2:$D$200,"*novo*",$N$2:$N$200,"C3")+COUNTIFS($A$2:$A$200,$A131,$D$2:$D$200,"*novo*",$N$2:$N$200,"C4"))=0,INDEX(posicao_contratual!$Y$2:$Y$200,MATCH($A131,posicao_contratual!$A$2:$A$200,0))=0),0,"")),"")</f>
        <v/>
      </c>
    </row>
    <row r="132" spans="1:15" ht="45" customHeight="1" x14ac:dyDescent="0.35">
      <c r="A132" s="105"/>
      <c r="B132" s="189"/>
      <c r="C132" s="99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05"/>
      <c r="E132" s="106"/>
      <c r="F132" s="107" t="str">
        <f>IF(A132="","",IFERROR(VLOOKUP(A132,itens_Remanesc!$A:$C,3,0),""))</f>
        <v/>
      </c>
      <c r="G132" s="107" t="str">
        <f t="shared" si="12"/>
        <v/>
      </c>
      <c r="H132" s="105"/>
      <c r="I132" s="64" t="str">
        <f>IFERROR(IF(OR($A132="",$C132=""),"",IF(OR(($O132)="",($O132)&gt;(MIN(MATCH($C132,{"C0","C1","C2","C3","C4"},0)-1,COUNT(parametros!$F$2:$F$6)-1)),NOT(ISNUMBER(INDEX(parametros!$F$2:$F$6,(MIN(MATCH($C132,{"C0","C1","C2","C3","C4"},0)-1,COUNT(parametros!$F$2:$F$6)-1))+1))),NOT(ISNUMBER(INDEX(parametros!$F$2:$F$6,($O132)+1)))),"",INDEX(parametros!$F$2:$F$6,(MIN(MATCH($C132,{"C0","C1","C2","C3","C4"},0)-1,COUNT(parametros!$F$2:$F$6)-1))+1)/INDEX(parametros!$F$2:$F$6,($O132)+1))),"")</f>
        <v/>
      </c>
      <c r="J132" s="107" t="str">
        <f t="shared" si="13"/>
        <v/>
      </c>
      <c r="K132" s="105"/>
      <c r="L132" s="85" t="str">
        <f t="shared" si="14"/>
        <v/>
      </c>
      <c r="M132" s="483" t="str">
        <f>IF(A132="","",IF(COUNTIF(itens_Remanesc!$A$2:$A$200,A132)=0,"NOVO ITEM NAO CADASTRADO - CADASTRAR EM itens_Remanesc: ITEM + VU_ORIGINAL (QTD_BASE_ORIGINAL sera 0 automaticamente); depois a data e a quantidade aqui.",IF(COUNTIF(itens_Remanesc!$A$2:$A$200,A132)&gt;1,"ALERTA: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TIPO_INVALIDO",IF(AND(ISNUMBER(SEARCH("NOVO",D132)),OR(INDEX(posicao_contratual!$C$2:$C$200,MATCH(A132,posicao_contratual!$A$2:$A$200,0))&lt;&gt;0,F132="",COUNTIFS($A$2:$A$200,A132,$B$2:$B$200,"&lt;"&amp;B132,$L$2:$L$200,"&gt;0")&gt;0)),"ALERTA: NOVO ITEM INVALIDO - use Acrescimo se o item ja existia; novo item exige QTD_BASE_ORIGINAL 0, VU_ORIGINAL e ser o 1o acrescimo do item.",IF(AND(ISNUMBER(SEARCH("NOVO",D132)),OR(N132="",ISERROR(MATCH(N132,{"C0","C1","C2","C3","C4"},0)))),"ALERTA: BASE_VU_OBRIGATORIA",IF(AND(NOT(ISNUMBER(SEARCH("NOVO",D132))),N132&lt;&gt;""),"ALERTA: BASE_VU_NAO_APLICAVEL",IF(AND(UPPER(H132)="SIM",NOT(ISNUMBER(I132))),"ALERTA: BASE_VU_INVALIDA_OU_POSTERIOR_AO_FATOR_ALVO","OK"))))))))))</f>
        <v/>
      </c>
      <c r="N132" s="485"/>
      <c r="O132" s="487" t="str">
        <f>IFERROR(IF((COUNTIFS($A$2:$A$200,$A132,$D$2:$D$200,"*novo*",$N$2:$N$200,"C0")+COUNTIFS($A$2:$A$200,$A132,$D$2:$D$200,"*novo*",$N$2:$N$200,"C1")+COUNTIFS($A$2:$A$200,$A132,$D$2:$D$200,"*novo*",$N$2:$N$200,"C2")+COUNTIFS($A$2:$A$200,$A132,$D$2:$D$200,"*novo*",$N$2:$N$200,"C3")+COUNTIFS($A$2:$A$200,$A132,$D$2:$D$200,"*novo*",$N$2:$N$200,"C4"))=1,IF(COUNTIFS($A$2:$A$200,$A132,$D$2:$D$200,"*novo*",$N$2:$N$200,"C4")&gt;0,4,IF(COUNTIFS($A$2:$A$200,$A132,$D$2:$D$200,"*novo*",$N$2:$N$200,"C3")&gt;0,3,IF(COUNTIFS($A$2:$A$200,$A132,$D$2:$D$200,"*novo*",$N$2:$N$200,"C2")&gt;0,2,IF(COUNTIFS($A$2:$A$200,$A132,$D$2:$D$200,"*novo*",$N$2:$N$200,"C1")&gt;0,1,IF(COUNTIFS($A$2:$A$200,$A132,$D$2:$D$200,"*novo*",$N$2:$N$200,"C0")&gt;0,0,""))))),IF(AND((COUNTIFS($A$2:$A$200,$A132,$D$2:$D$200,"*novo*",$N$2:$N$200,"C0")+COUNTIFS($A$2:$A$200,$A132,$D$2:$D$200,"*novo*",$N$2:$N$200,"C1")+COUNTIFS($A$2:$A$200,$A132,$D$2:$D$200,"*novo*",$N$2:$N$200,"C2")+COUNTIFS($A$2:$A$200,$A132,$D$2:$D$200,"*novo*",$N$2:$N$200,"C3")+COUNTIFS($A$2:$A$200,$A132,$D$2:$D$200,"*novo*",$N$2:$N$200,"C4"))=0,INDEX(posicao_contratual!$Y$2:$Y$200,MATCH($A132,posicao_contratual!$A$2:$A$200,0))=0),0,"")),"")</f>
        <v/>
      </c>
    </row>
    <row r="133" spans="1:15" ht="45" customHeight="1" x14ac:dyDescent="0.35">
      <c r="A133" s="105"/>
      <c r="B133" s="189"/>
      <c r="C133" s="99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05"/>
      <c r="E133" s="106"/>
      <c r="F133" s="107" t="str">
        <f>IF(A133="","",IFERROR(VLOOKUP(A133,itens_Remanesc!$A:$C,3,0),""))</f>
        <v/>
      </c>
      <c r="G133" s="107" t="str">
        <f t="shared" si="12"/>
        <v/>
      </c>
      <c r="H133" s="105"/>
      <c r="I133" s="64" t="str">
        <f>IFERROR(IF(OR($A133="",$C133=""),"",IF(OR(($O133)="",($O133)&gt;(MIN(MATCH($C133,{"C0","C1","C2","C3","C4"},0)-1,COUNT(parametros!$F$2:$F$6)-1)),NOT(ISNUMBER(INDEX(parametros!$F$2:$F$6,(MIN(MATCH($C133,{"C0","C1","C2","C3","C4"},0)-1,COUNT(parametros!$F$2:$F$6)-1))+1))),NOT(ISNUMBER(INDEX(parametros!$F$2:$F$6,($O133)+1)))),"",INDEX(parametros!$F$2:$F$6,(MIN(MATCH($C133,{"C0","C1","C2","C3","C4"},0)-1,COUNT(parametros!$F$2:$F$6)-1))+1)/INDEX(parametros!$F$2:$F$6,($O133)+1))),"")</f>
        <v/>
      </c>
      <c r="J133" s="107" t="str">
        <f t="shared" si="13"/>
        <v/>
      </c>
      <c r="K133" s="105"/>
      <c r="L133" s="85" t="str">
        <f t="shared" si="14"/>
        <v/>
      </c>
      <c r="M133" s="483" t="str">
        <f>IF(A133="","",IF(COUNTIF(itens_Remanesc!$A$2:$A$200,A133)=0,"NOVO ITEM NAO CADASTRADO - CADASTRAR EM itens_Remanesc: ITEM + VU_ORIGINAL (QTD_BASE_ORIGINAL sera 0 automaticamente); depois a data e a quantidade aqui.",IF(COUNTIF(itens_Remanesc!$A$2:$A$200,A133)&gt;1,"ALERTA: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TIPO_INVALIDO",IF(AND(ISNUMBER(SEARCH("NOVO",D133)),OR(INDEX(posicao_contratual!$C$2:$C$200,MATCH(A133,posicao_contratual!$A$2:$A$200,0))&lt;&gt;0,F133="",COUNTIFS($A$2:$A$200,A133,$B$2:$B$200,"&lt;"&amp;B133,$L$2:$L$200,"&gt;0")&gt;0)),"ALERTA: NOVO ITEM INVALIDO - use Acrescimo se o item ja existia; novo item exige QTD_BASE_ORIGINAL 0, VU_ORIGINAL e ser o 1o acrescimo do item.",IF(AND(ISNUMBER(SEARCH("NOVO",D133)),OR(N133="",ISERROR(MATCH(N133,{"C0","C1","C2","C3","C4"},0)))),"ALERTA: BASE_VU_OBRIGATORIA",IF(AND(NOT(ISNUMBER(SEARCH("NOVO",D133))),N133&lt;&gt;""),"ALERTA: BASE_VU_NAO_APLICAVEL",IF(AND(UPPER(H133)="SIM",NOT(ISNUMBER(I133))),"ALERTA: BASE_VU_INVALIDA_OU_POSTERIOR_AO_FATOR_ALVO","OK"))))))))))</f>
        <v/>
      </c>
      <c r="N133" s="485"/>
      <c r="O133" s="487" t="str">
        <f>IFERROR(IF((COUNTIFS($A$2:$A$200,$A133,$D$2:$D$200,"*novo*",$N$2:$N$200,"C0")+COUNTIFS($A$2:$A$200,$A133,$D$2:$D$200,"*novo*",$N$2:$N$200,"C1")+COUNTIFS($A$2:$A$200,$A133,$D$2:$D$200,"*novo*",$N$2:$N$200,"C2")+COUNTIFS($A$2:$A$200,$A133,$D$2:$D$200,"*novo*",$N$2:$N$200,"C3")+COUNTIFS($A$2:$A$200,$A133,$D$2:$D$200,"*novo*",$N$2:$N$200,"C4"))=1,IF(COUNTIFS($A$2:$A$200,$A133,$D$2:$D$200,"*novo*",$N$2:$N$200,"C4")&gt;0,4,IF(COUNTIFS($A$2:$A$200,$A133,$D$2:$D$200,"*novo*",$N$2:$N$200,"C3")&gt;0,3,IF(COUNTIFS($A$2:$A$200,$A133,$D$2:$D$200,"*novo*",$N$2:$N$200,"C2")&gt;0,2,IF(COUNTIFS($A$2:$A$200,$A133,$D$2:$D$200,"*novo*",$N$2:$N$200,"C1")&gt;0,1,IF(COUNTIFS($A$2:$A$200,$A133,$D$2:$D$200,"*novo*",$N$2:$N$200,"C0")&gt;0,0,""))))),IF(AND((COUNTIFS($A$2:$A$200,$A133,$D$2:$D$200,"*novo*",$N$2:$N$200,"C0")+COUNTIFS($A$2:$A$200,$A133,$D$2:$D$200,"*novo*",$N$2:$N$200,"C1")+COUNTIFS($A$2:$A$200,$A133,$D$2:$D$200,"*novo*",$N$2:$N$200,"C2")+COUNTIFS($A$2:$A$200,$A133,$D$2:$D$200,"*novo*",$N$2:$N$200,"C3")+COUNTIFS($A$2:$A$200,$A133,$D$2:$D$200,"*novo*",$N$2:$N$200,"C4"))=0,INDEX(posicao_contratual!$Y$2:$Y$200,MATCH($A133,posicao_contratual!$A$2:$A$200,0))=0),0,"")),"")</f>
        <v/>
      </c>
    </row>
    <row r="134" spans="1:15" ht="45" customHeight="1" x14ac:dyDescent="0.35">
      <c r="A134" s="105"/>
      <c r="B134" s="189"/>
      <c r="C134" s="99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05"/>
      <c r="E134" s="106"/>
      <c r="F134" s="107" t="str">
        <f>IF(A134="","",IFERROR(VLOOKUP(A134,itens_Remanesc!$A:$C,3,0),""))</f>
        <v/>
      </c>
      <c r="G134" s="107" t="str">
        <f t="shared" si="12"/>
        <v/>
      </c>
      <c r="H134" s="105"/>
      <c r="I134" s="64" t="str">
        <f>IFERROR(IF(OR($A134="",$C134=""),"",IF(OR(($O134)="",($O134)&gt;(MIN(MATCH($C134,{"C0","C1","C2","C3","C4"},0)-1,COUNT(parametros!$F$2:$F$6)-1)),NOT(ISNUMBER(INDEX(parametros!$F$2:$F$6,(MIN(MATCH($C134,{"C0","C1","C2","C3","C4"},0)-1,COUNT(parametros!$F$2:$F$6)-1))+1))),NOT(ISNUMBER(INDEX(parametros!$F$2:$F$6,($O134)+1)))),"",INDEX(parametros!$F$2:$F$6,(MIN(MATCH($C134,{"C0","C1","C2","C3","C4"},0)-1,COUNT(parametros!$F$2:$F$6)-1))+1)/INDEX(parametros!$F$2:$F$6,($O134)+1))),"")</f>
        <v/>
      </c>
      <c r="J134" s="107" t="str">
        <f t="shared" si="13"/>
        <v/>
      </c>
      <c r="K134" s="105"/>
      <c r="L134" s="85" t="str">
        <f t="shared" si="14"/>
        <v/>
      </c>
      <c r="M134" s="483" t="str">
        <f>IF(A134="","",IF(COUNTIF(itens_Remanesc!$A$2:$A$200,A134)=0,"NOVO ITEM NAO CADASTRADO - CADASTRAR EM itens_Remanesc: ITEM + VU_ORIGINAL (QTD_BASE_ORIGINAL sera 0 automaticamente); depois a data e a quantidade aqui.",IF(COUNTIF(itens_Remanesc!$A$2:$A$200,A134)&gt;1,"ALERTA: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TIPO_INVALIDO",IF(AND(ISNUMBER(SEARCH("NOVO",D134)),OR(INDEX(posicao_contratual!$C$2:$C$200,MATCH(A134,posicao_contratual!$A$2:$A$200,0))&lt;&gt;0,F134="",COUNTIFS($A$2:$A$200,A134,$B$2:$B$200,"&lt;"&amp;B134,$L$2:$L$200,"&gt;0")&gt;0)),"ALERTA: NOVO ITEM INVALIDO - use Acrescimo se o item ja existia; novo item exige QTD_BASE_ORIGINAL 0, VU_ORIGINAL e ser o 1o acrescimo do item.",IF(AND(ISNUMBER(SEARCH("NOVO",D134)),OR(N134="",ISERROR(MATCH(N134,{"C0","C1","C2","C3","C4"},0)))),"ALERTA: BASE_VU_OBRIGATORIA",IF(AND(NOT(ISNUMBER(SEARCH("NOVO",D134))),N134&lt;&gt;""),"ALERTA: BASE_VU_NAO_APLICAVEL",IF(AND(UPPER(H134)="SIM",NOT(ISNUMBER(I134))),"ALERTA: BASE_VU_INVALIDA_OU_POSTERIOR_AO_FATOR_ALVO","OK"))))))))))</f>
        <v/>
      </c>
      <c r="N134" s="485"/>
      <c r="O134" s="487" t="str">
        <f>IFERROR(IF((COUNTIFS($A$2:$A$200,$A134,$D$2:$D$200,"*novo*",$N$2:$N$200,"C0")+COUNTIFS($A$2:$A$200,$A134,$D$2:$D$200,"*novo*",$N$2:$N$200,"C1")+COUNTIFS($A$2:$A$200,$A134,$D$2:$D$200,"*novo*",$N$2:$N$200,"C2")+COUNTIFS($A$2:$A$200,$A134,$D$2:$D$200,"*novo*",$N$2:$N$200,"C3")+COUNTIFS($A$2:$A$200,$A134,$D$2:$D$200,"*novo*",$N$2:$N$200,"C4"))=1,IF(COUNTIFS($A$2:$A$200,$A134,$D$2:$D$200,"*novo*",$N$2:$N$200,"C4")&gt;0,4,IF(COUNTIFS($A$2:$A$200,$A134,$D$2:$D$200,"*novo*",$N$2:$N$200,"C3")&gt;0,3,IF(COUNTIFS($A$2:$A$200,$A134,$D$2:$D$200,"*novo*",$N$2:$N$200,"C2")&gt;0,2,IF(COUNTIFS($A$2:$A$200,$A134,$D$2:$D$200,"*novo*",$N$2:$N$200,"C1")&gt;0,1,IF(COUNTIFS($A$2:$A$200,$A134,$D$2:$D$200,"*novo*",$N$2:$N$200,"C0")&gt;0,0,""))))),IF(AND((COUNTIFS($A$2:$A$200,$A134,$D$2:$D$200,"*novo*",$N$2:$N$200,"C0")+COUNTIFS($A$2:$A$200,$A134,$D$2:$D$200,"*novo*",$N$2:$N$200,"C1")+COUNTIFS($A$2:$A$200,$A134,$D$2:$D$200,"*novo*",$N$2:$N$200,"C2")+COUNTIFS($A$2:$A$200,$A134,$D$2:$D$200,"*novo*",$N$2:$N$200,"C3")+COUNTIFS($A$2:$A$200,$A134,$D$2:$D$200,"*novo*",$N$2:$N$200,"C4"))=0,INDEX(posicao_contratual!$Y$2:$Y$200,MATCH($A134,posicao_contratual!$A$2:$A$200,0))=0),0,"")),"")</f>
        <v/>
      </c>
    </row>
    <row r="135" spans="1:15" ht="45" customHeight="1" x14ac:dyDescent="0.35">
      <c r="A135" s="105"/>
      <c r="B135" s="189"/>
      <c r="C135" s="99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05"/>
      <c r="E135" s="106"/>
      <c r="F135" s="107" t="str">
        <f>IF(A135="","",IFERROR(VLOOKUP(A135,itens_Remanesc!$A:$C,3,0),""))</f>
        <v/>
      </c>
      <c r="G135" s="107" t="str">
        <f t="shared" si="12"/>
        <v/>
      </c>
      <c r="H135" s="105"/>
      <c r="I135" s="64" t="str">
        <f>IFERROR(IF(OR($A135="",$C135=""),"",IF(OR(($O135)="",($O135)&gt;(MIN(MATCH($C135,{"C0","C1","C2","C3","C4"},0)-1,COUNT(parametros!$F$2:$F$6)-1)),NOT(ISNUMBER(INDEX(parametros!$F$2:$F$6,(MIN(MATCH($C135,{"C0","C1","C2","C3","C4"},0)-1,COUNT(parametros!$F$2:$F$6)-1))+1))),NOT(ISNUMBER(INDEX(parametros!$F$2:$F$6,($O135)+1)))),"",INDEX(parametros!$F$2:$F$6,(MIN(MATCH($C135,{"C0","C1","C2","C3","C4"},0)-1,COUNT(parametros!$F$2:$F$6)-1))+1)/INDEX(parametros!$F$2:$F$6,($O135)+1))),"")</f>
        <v/>
      </c>
      <c r="J135" s="107" t="str">
        <f t="shared" si="13"/>
        <v/>
      </c>
      <c r="K135" s="105"/>
      <c r="L135" s="85" t="str">
        <f t="shared" si="14"/>
        <v/>
      </c>
      <c r="M135" s="483" t="str">
        <f>IF(A135="","",IF(COUNTIF(itens_Remanesc!$A$2:$A$200,A135)=0,"NOVO ITEM NAO CADASTRADO - CADASTRAR EM itens_Remanesc: ITEM + VU_ORIGINAL (QTD_BASE_ORIGINAL sera 0 automaticamente); depois a data e a quantidade aqui.",IF(COUNTIF(itens_Remanesc!$A$2:$A$200,A135)&gt;1,"ALERTA: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TIPO_INVALIDO",IF(AND(ISNUMBER(SEARCH("NOVO",D135)),OR(INDEX(posicao_contratual!$C$2:$C$200,MATCH(A135,posicao_contratual!$A$2:$A$200,0))&lt;&gt;0,F135="",COUNTIFS($A$2:$A$200,A135,$B$2:$B$200,"&lt;"&amp;B135,$L$2:$L$200,"&gt;0")&gt;0)),"ALERTA: NOVO ITEM INVALIDO - use Acrescimo se o item ja existia; novo item exige QTD_BASE_ORIGINAL 0, VU_ORIGINAL e ser o 1o acrescimo do item.",IF(AND(ISNUMBER(SEARCH("NOVO",D135)),OR(N135="",ISERROR(MATCH(N135,{"C0","C1","C2","C3","C4"},0)))),"ALERTA: BASE_VU_OBRIGATORIA",IF(AND(NOT(ISNUMBER(SEARCH("NOVO",D135))),N135&lt;&gt;""),"ALERTA: BASE_VU_NAO_APLICAVEL",IF(AND(UPPER(H135)="SIM",NOT(ISNUMBER(I135))),"ALERTA: BASE_VU_INVALIDA_OU_POSTERIOR_AO_FATOR_ALVO","OK"))))))))))</f>
        <v/>
      </c>
      <c r="N135" s="485"/>
      <c r="O135" s="487" t="str">
        <f>IFERROR(IF((COUNTIFS($A$2:$A$200,$A135,$D$2:$D$200,"*novo*",$N$2:$N$200,"C0")+COUNTIFS($A$2:$A$200,$A135,$D$2:$D$200,"*novo*",$N$2:$N$200,"C1")+COUNTIFS($A$2:$A$200,$A135,$D$2:$D$200,"*novo*",$N$2:$N$200,"C2")+COUNTIFS($A$2:$A$200,$A135,$D$2:$D$200,"*novo*",$N$2:$N$200,"C3")+COUNTIFS($A$2:$A$200,$A135,$D$2:$D$200,"*novo*",$N$2:$N$200,"C4"))=1,IF(COUNTIFS($A$2:$A$200,$A135,$D$2:$D$200,"*novo*",$N$2:$N$200,"C4")&gt;0,4,IF(COUNTIFS($A$2:$A$200,$A135,$D$2:$D$200,"*novo*",$N$2:$N$200,"C3")&gt;0,3,IF(COUNTIFS($A$2:$A$200,$A135,$D$2:$D$200,"*novo*",$N$2:$N$200,"C2")&gt;0,2,IF(COUNTIFS($A$2:$A$200,$A135,$D$2:$D$200,"*novo*",$N$2:$N$200,"C1")&gt;0,1,IF(COUNTIFS($A$2:$A$200,$A135,$D$2:$D$200,"*novo*",$N$2:$N$200,"C0")&gt;0,0,""))))),IF(AND((COUNTIFS($A$2:$A$200,$A135,$D$2:$D$200,"*novo*",$N$2:$N$200,"C0")+COUNTIFS($A$2:$A$200,$A135,$D$2:$D$200,"*novo*",$N$2:$N$200,"C1")+COUNTIFS($A$2:$A$200,$A135,$D$2:$D$200,"*novo*",$N$2:$N$200,"C2")+COUNTIFS($A$2:$A$200,$A135,$D$2:$D$200,"*novo*",$N$2:$N$200,"C3")+COUNTIFS($A$2:$A$200,$A135,$D$2:$D$200,"*novo*",$N$2:$N$200,"C4"))=0,INDEX(posicao_contratual!$Y$2:$Y$200,MATCH($A135,posicao_contratual!$A$2:$A$200,0))=0),0,"")),"")</f>
        <v/>
      </c>
    </row>
    <row r="136" spans="1:15" ht="45" customHeight="1" x14ac:dyDescent="0.35">
      <c r="A136" s="105"/>
      <c r="B136" s="189"/>
      <c r="C136" s="99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05"/>
      <c r="E136" s="106"/>
      <c r="F136" s="107" t="str">
        <f>IF(A136="","",IFERROR(VLOOKUP(A136,itens_Remanesc!$A:$C,3,0),""))</f>
        <v/>
      </c>
      <c r="G136" s="107" t="str">
        <f t="shared" si="12"/>
        <v/>
      </c>
      <c r="H136" s="105"/>
      <c r="I136" s="64" t="str">
        <f>IFERROR(IF(OR($A136="",$C136=""),"",IF(OR(($O136)="",($O136)&gt;(MIN(MATCH($C136,{"C0","C1","C2","C3","C4"},0)-1,COUNT(parametros!$F$2:$F$6)-1)),NOT(ISNUMBER(INDEX(parametros!$F$2:$F$6,(MIN(MATCH($C136,{"C0","C1","C2","C3","C4"},0)-1,COUNT(parametros!$F$2:$F$6)-1))+1))),NOT(ISNUMBER(INDEX(parametros!$F$2:$F$6,($O136)+1)))),"",INDEX(parametros!$F$2:$F$6,(MIN(MATCH($C136,{"C0","C1","C2","C3","C4"},0)-1,COUNT(parametros!$F$2:$F$6)-1))+1)/INDEX(parametros!$F$2:$F$6,($O136)+1))),"")</f>
        <v/>
      </c>
      <c r="J136" s="107" t="str">
        <f t="shared" si="13"/>
        <v/>
      </c>
      <c r="K136" s="105"/>
      <c r="L136" s="85" t="str">
        <f t="shared" si="14"/>
        <v/>
      </c>
      <c r="M136" s="483" t="str">
        <f>IF(A136="","",IF(COUNTIF(itens_Remanesc!$A$2:$A$200,A136)=0,"NOVO ITEM NAO CADASTRADO - CADASTRAR EM itens_Remanesc: ITEM + VU_ORIGINAL (QTD_BASE_ORIGINAL sera 0 automaticamente); depois a data e a quantidade aqui.",IF(COUNTIF(itens_Remanesc!$A$2:$A$200,A136)&gt;1,"ALERTA: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TIPO_INVALIDO",IF(AND(ISNUMBER(SEARCH("NOVO",D136)),OR(INDEX(posicao_contratual!$C$2:$C$200,MATCH(A136,posicao_contratual!$A$2:$A$200,0))&lt;&gt;0,F136="",COUNTIFS($A$2:$A$200,A136,$B$2:$B$200,"&lt;"&amp;B136,$L$2:$L$200,"&gt;0")&gt;0)),"ALERTA: NOVO ITEM INVALIDO - use Acrescimo se o item ja existia; novo item exige QTD_BASE_ORIGINAL 0, VU_ORIGINAL e ser o 1o acrescimo do item.",IF(AND(ISNUMBER(SEARCH("NOVO",D136)),OR(N136="",ISERROR(MATCH(N136,{"C0","C1","C2","C3","C4"},0)))),"ALERTA: BASE_VU_OBRIGATORIA",IF(AND(NOT(ISNUMBER(SEARCH("NOVO",D136))),N136&lt;&gt;""),"ALERTA: BASE_VU_NAO_APLICAVEL",IF(AND(UPPER(H136)="SIM",NOT(ISNUMBER(I136))),"ALERTA: BASE_VU_INVALIDA_OU_POSTERIOR_AO_FATOR_ALVO","OK"))))))))))</f>
        <v/>
      </c>
      <c r="N136" s="485"/>
      <c r="O136" s="487" t="str">
        <f>IFERROR(IF((COUNTIFS($A$2:$A$200,$A136,$D$2:$D$200,"*novo*",$N$2:$N$200,"C0")+COUNTIFS($A$2:$A$200,$A136,$D$2:$D$200,"*novo*",$N$2:$N$200,"C1")+COUNTIFS($A$2:$A$200,$A136,$D$2:$D$200,"*novo*",$N$2:$N$200,"C2")+COUNTIFS($A$2:$A$200,$A136,$D$2:$D$200,"*novo*",$N$2:$N$200,"C3")+COUNTIFS($A$2:$A$200,$A136,$D$2:$D$200,"*novo*",$N$2:$N$200,"C4"))=1,IF(COUNTIFS($A$2:$A$200,$A136,$D$2:$D$200,"*novo*",$N$2:$N$200,"C4")&gt;0,4,IF(COUNTIFS($A$2:$A$200,$A136,$D$2:$D$200,"*novo*",$N$2:$N$200,"C3")&gt;0,3,IF(COUNTIFS($A$2:$A$200,$A136,$D$2:$D$200,"*novo*",$N$2:$N$200,"C2")&gt;0,2,IF(COUNTIFS($A$2:$A$200,$A136,$D$2:$D$200,"*novo*",$N$2:$N$200,"C1")&gt;0,1,IF(COUNTIFS($A$2:$A$200,$A136,$D$2:$D$200,"*novo*",$N$2:$N$200,"C0")&gt;0,0,""))))),IF(AND((COUNTIFS($A$2:$A$200,$A136,$D$2:$D$200,"*novo*",$N$2:$N$200,"C0")+COUNTIFS($A$2:$A$200,$A136,$D$2:$D$200,"*novo*",$N$2:$N$200,"C1")+COUNTIFS($A$2:$A$200,$A136,$D$2:$D$200,"*novo*",$N$2:$N$200,"C2")+COUNTIFS($A$2:$A$200,$A136,$D$2:$D$200,"*novo*",$N$2:$N$200,"C3")+COUNTIFS($A$2:$A$200,$A136,$D$2:$D$200,"*novo*",$N$2:$N$200,"C4"))=0,INDEX(posicao_contratual!$Y$2:$Y$200,MATCH($A136,posicao_contratual!$A$2:$A$200,0))=0),0,"")),"")</f>
        <v/>
      </c>
    </row>
    <row r="137" spans="1:15" ht="45" customHeight="1" x14ac:dyDescent="0.35">
      <c r="A137" s="105"/>
      <c r="B137" s="189"/>
      <c r="C137" s="99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05"/>
      <c r="E137" s="106"/>
      <c r="F137" s="107" t="str">
        <f>IF(A137="","",IFERROR(VLOOKUP(A137,itens_Remanesc!$A:$C,3,0),""))</f>
        <v/>
      </c>
      <c r="G137" s="107" t="str">
        <f t="shared" si="12"/>
        <v/>
      </c>
      <c r="H137" s="105"/>
      <c r="I137" s="64" t="str">
        <f>IFERROR(IF(OR($A137="",$C137=""),"",IF(OR(($O137)="",($O137)&gt;(MIN(MATCH($C137,{"C0","C1","C2","C3","C4"},0)-1,COUNT(parametros!$F$2:$F$6)-1)),NOT(ISNUMBER(INDEX(parametros!$F$2:$F$6,(MIN(MATCH($C137,{"C0","C1","C2","C3","C4"},0)-1,COUNT(parametros!$F$2:$F$6)-1))+1))),NOT(ISNUMBER(INDEX(parametros!$F$2:$F$6,($O137)+1)))),"",INDEX(parametros!$F$2:$F$6,(MIN(MATCH($C137,{"C0","C1","C2","C3","C4"},0)-1,COUNT(parametros!$F$2:$F$6)-1))+1)/INDEX(parametros!$F$2:$F$6,($O137)+1))),"")</f>
        <v/>
      </c>
      <c r="J137" s="107" t="str">
        <f t="shared" si="13"/>
        <v/>
      </c>
      <c r="K137" s="105"/>
      <c r="L137" s="85" t="str">
        <f t="shared" si="14"/>
        <v/>
      </c>
      <c r="M137" s="483" t="str">
        <f>IF(A137="","",IF(COUNTIF(itens_Remanesc!$A$2:$A$200,A137)=0,"NOVO ITEM NAO CADASTRADO - CADASTRAR EM itens_Remanesc: ITEM + VU_ORIGINAL (QTD_BASE_ORIGINAL sera 0 automaticamente); depois a data e a quantidade aqui.",IF(COUNTIF(itens_Remanesc!$A$2:$A$200,A137)&gt;1,"ALERTA: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TIPO_INVALIDO",IF(AND(ISNUMBER(SEARCH("NOVO",D137)),OR(INDEX(posicao_contratual!$C$2:$C$200,MATCH(A137,posicao_contratual!$A$2:$A$200,0))&lt;&gt;0,F137="",COUNTIFS($A$2:$A$200,A137,$B$2:$B$200,"&lt;"&amp;B137,$L$2:$L$200,"&gt;0")&gt;0)),"ALERTA: NOVO ITEM INVALIDO - use Acrescimo se o item ja existia; novo item exige QTD_BASE_ORIGINAL 0, VU_ORIGINAL e ser o 1o acrescimo do item.",IF(AND(ISNUMBER(SEARCH("NOVO",D137)),OR(N137="",ISERROR(MATCH(N137,{"C0","C1","C2","C3","C4"},0)))),"ALERTA: BASE_VU_OBRIGATORIA",IF(AND(NOT(ISNUMBER(SEARCH("NOVO",D137))),N137&lt;&gt;""),"ALERTA: BASE_VU_NAO_APLICAVEL",IF(AND(UPPER(H137)="SIM",NOT(ISNUMBER(I137))),"ALERTA: BASE_VU_INVALIDA_OU_POSTERIOR_AO_FATOR_ALVO","OK"))))))))))</f>
        <v/>
      </c>
      <c r="N137" s="485"/>
      <c r="O137" s="487" t="str">
        <f>IFERROR(IF((COUNTIFS($A$2:$A$200,$A137,$D$2:$D$200,"*novo*",$N$2:$N$200,"C0")+COUNTIFS($A$2:$A$200,$A137,$D$2:$D$200,"*novo*",$N$2:$N$200,"C1")+COUNTIFS($A$2:$A$200,$A137,$D$2:$D$200,"*novo*",$N$2:$N$200,"C2")+COUNTIFS($A$2:$A$200,$A137,$D$2:$D$200,"*novo*",$N$2:$N$200,"C3")+COUNTIFS($A$2:$A$200,$A137,$D$2:$D$200,"*novo*",$N$2:$N$200,"C4"))=1,IF(COUNTIFS($A$2:$A$200,$A137,$D$2:$D$200,"*novo*",$N$2:$N$200,"C4")&gt;0,4,IF(COUNTIFS($A$2:$A$200,$A137,$D$2:$D$200,"*novo*",$N$2:$N$200,"C3")&gt;0,3,IF(COUNTIFS($A$2:$A$200,$A137,$D$2:$D$200,"*novo*",$N$2:$N$200,"C2")&gt;0,2,IF(COUNTIFS($A$2:$A$200,$A137,$D$2:$D$200,"*novo*",$N$2:$N$200,"C1")&gt;0,1,IF(COUNTIFS($A$2:$A$200,$A137,$D$2:$D$200,"*novo*",$N$2:$N$200,"C0")&gt;0,0,""))))),IF(AND((COUNTIFS($A$2:$A$200,$A137,$D$2:$D$200,"*novo*",$N$2:$N$200,"C0")+COUNTIFS($A$2:$A$200,$A137,$D$2:$D$200,"*novo*",$N$2:$N$200,"C1")+COUNTIFS($A$2:$A$200,$A137,$D$2:$D$200,"*novo*",$N$2:$N$200,"C2")+COUNTIFS($A$2:$A$200,$A137,$D$2:$D$200,"*novo*",$N$2:$N$200,"C3")+COUNTIFS($A$2:$A$200,$A137,$D$2:$D$200,"*novo*",$N$2:$N$200,"C4"))=0,INDEX(posicao_contratual!$Y$2:$Y$200,MATCH($A137,posicao_contratual!$A$2:$A$200,0))=0),0,"")),"")</f>
        <v/>
      </c>
    </row>
    <row r="138" spans="1:15" ht="45" customHeight="1" x14ac:dyDescent="0.35">
      <c r="A138" s="105"/>
      <c r="B138" s="189"/>
      <c r="C138" s="99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05"/>
      <c r="E138" s="106"/>
      <c r="F138" s="107" t="str">
        <f>IF(A138="","",IFERROR(VLOOKUP(A138,itens_Remanesc!$A:$C,3,0),""))</f>
        <v/>
      </c>
      <c r="G138" s="107" t="str">
        <f t="shared" si="12"/>
        <v/>
      </c>
      <c r="H138" s="105"/>
      <c r="I138" s="64" t="str">
        <f>IFERROR(IF(OR($A138="",$C138=""),"",IF(OR(($O138)="",($O138)&gt;(MIN(MATCH($C138,{"C0","C1","C2","C3","C4"},0)-1,COUNT(parametros!$F$2:$F$6)-1)),NOT(ISNUMBER(INDEX(parametros!$F$2:$F$6,(MIN(MATCH($C138,{"C0","C1","C2","C3","C4"},0)-1,COUNT(parametros!$F$2:$F$6)-1))+1))),NOT(ISNUMBER(INDEX(parametros!$F$2:$F$6,($O138)+1)))),"",INDEX(parametros!$F$2:$F$6,(MIN(MATCH($C138,{"C0","C1","C2","C3","C4"},0)-1,COUNT(parametros!$F$2:$F$6)-1))+1)/INDEX(parametros!$F$2:$F$6,($O138)+1))),"")</f>
        <v/>
      </c>
      <c r="J138" s="107" t="str">
        <f t="shared" si="13"/>
        <v/>
      </c>
      <c r="K138" s="105"/>
      <c r="L138" s="85" t="str">
        <f t="shared" si="14"/>
        <v/>
      </c>
      <c r="M138" s="483" t="str">
        <f>IF(A138="","",IF(COUNTIF(itens_Remanesc!$A$2:$A$200,A138)=0,"NOVO ITEM NAO CADASTRADO - CADASTRAR EM itens_Remanesc: ITEM + VU_ORIGINAL (QTD_BASE_ORIGINAL sera 0 automaticamente); depois a data e a quantidade aqui.",IF(COUNTIF(itens_Remanesc!$A$2:$A$200,A138)&gt;1,"ALERTA: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TIPO_INVALIDO",IF(AND(ISNUMBER(SEARCH("NOVO",D138)),OR(INDEX(posicao_contratual!$C$2:$C$200,MATCH(A138,posicao_contratual!$A$2:$A$200,0))&lt;&gt;0,F138="",COUNTIFS($A$2:$A$200,A138,$B$2:$B$200,"&lt;"&amp;B138,$L$2:$L$200,"&gt;0")&gt;0)),"ALERTA: NOVO ITEM INVALIDO - use Acrescimo se o item ja existia; novo item exige QTD_BASE_ORIGINAL 0, VU_ORIGINAL e ser o 1o acrescimo do item.",IF(AND(ISNUMBER(SEARCH("NOVO",D138)),OR(N138="",ISERROR(MATCH(N138,{"C0","C1","C2","C3","C4"},0)))),"ALERTA: BASE_VU_OBRIGATORIA",IF(AND(NOT(ISNUMBER(SEARCH("NOVO",D138))),N138&lt;&gt;""),"ALERTA: BASE_VU_NAO_APLICAVEL",IF(AND(UPPER(H138)="SIM",NOT(ISNUMBER(I138))),"ALERTA: BASE_VU_INVALIDA_OU_POSTERIOR_AO_FATOR_ALVO","OK"))))))))))</f>
        <v/>
      </c>
      <c r="N138" s="485"/>
      <c r="O138" s="487" t="str">
        <f>IFERROR(IF((COUNTIFS($A$2:$A$200,$A138,$D$2:$D$200,"*novo*",$N$2:$N$200,"C0")+COUNTIFS($A$2:$A$200,$A138,$D$2:$D$200,"*novo*",$N$2:$N$200,"C1")+COUNTIFS($A$2:$A$200,$A138,$D$2:$D$200,"*novo*",$N$2:$N$200,"C2")+COUNTIFS($A$2:$A$200,$A138,$D$2:$D$200,"*novo*",$N$2:$N$200,"C3")+COUNTIFS($A$2:$A$200,$A138,$D$2:$D$200,"*novo*",$N$2:$N$200,"C4"))=1,IF(COUNTIFS($A$2:$A$200,$A138,$D$2:$D$200,"*novo*",$N$2:$N$200,"C4")&gt;0,4,IF(COUNTIFS($A$2:$A$200,$A138,$D$2:$D$200,"*novo*",$N$2:$N$200,"C3")&gt;0,3,IF(COUNTIFS($A$2:$A$200,$A138,$D$2:$D$200,"*novo*",$N$2:$N$200,"C2")&gt;0,2,IF(COUNTIFS($A$2:$A$200,$A138,$D$2:$D$200,"*novo*",$N$2:$N$200,"C1")&gt;0,1,IF(COUNTIFS($A$2:$A$200,$A138,$D$2:$D$200,"*novo*",$N$2:$N$200,"C0")&gt;0,0,""))))),IF(AND((COUNTIFS($A$2:$A$200,$A138,$D$2:$D$200,"*novo*",$N$2:$N$200,"C0")+COUNTIFS($A$2:$A$200,$A138,$D$2:$D$200,"*novo*",$N$2:$N$200,"C1")+COUNTIFS($A$2:$A$200,$A138,$D$2:$D$200,"*novo*",$N$2:$N$200,"C2")+COUNTIFS($A$2:$A$200,$A138,$D$2:$D$200,"*novo*",$N$2:$N$200,"C3")+COUNTIFS($A$2:$A$200,$A138,$D$2:$D$200,"*novo*",$N$2:$N$200,"C4"))=0,INDEX(posicao_contratual!$Y$2:$Y$200,MATCH($A138,posicao_contratual!$A$2:$A$200,0))=0),0,"")),"")</f>
        <v/>
      </c>
    </row>
    <row r="139" spans="1:15" ht="45" customHeight="1" x14ac:dyDescent="0.35">
      <c r="A139" s="105"/>
      <c r="B139" s="189"/>
      <c r="C139" s="99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05"/>
      <c r="E139" s="106"/>
      <c r="F139" s="107" t="str">
        <f>IF(A139="","",IFERROR(VLOOKUP(A139,itens_Remanesc!$A:$C,3,0),""))</f>
        <v/>
      </c>
      <c r="G139" s="107" t="str">
        <f t="shared" si="12"/>
        <v/>
      </c>
      <c r="H139" s="105"/>
      <c r="I139" s="64" t="str">
        <f>IFERROR(IF(OR($A139="",$C139=""),"",IF(OR(($O139)="",($O139)&gt;(MIN(MATCH($C139,{"C0","C1","C2","C3","C4"},0)-1,COUNT(parametros!$F$2:$F$6)-1)),NOT(ISNUMBER(INDEX(parametros!$F$2:$F$6,(MIN(MATCH($C139,{"C0","C1","C2","C3","C4"},0)-1,COUNT(parametros!$F$2:$F$6)-1))+1))),NOT(ISNUMBER(INDEX(parametros!$F$2:$F$6,($O139)+1)))),"",INDEX(parametros!$F$2:$F$6,(MIN(MATCH($C139,{"C0","C1","C2","C3","C4"},0)-1,COUNT(parametros!$F$2:$F$6)-1))+1)/INDEX(parametros!$F$2:$F$6,($O139)+1))),"")</f>
        <v/>
      </c>
      <c r="J139" s="107" t="str">
        <f t="shared" si="13"/>
        <v/>
      </c>
      <c r="K139" s="105"/>
      <c r="L139" s="85" t="str">
        <f t="shared" si="14"/>
        <v/>
      </c>
      <c r="M139" s="483" t="str">
        <f>IF(A139="","",IF(COUNTIF(itens_Remanesc!$A$2:$A$200,A139)=0,"NOVO ITEM NAO CADASTRADO - CADASTRAR EM itens_Remanesc: ITEM + VU_ORIGINAL (QTD_BASE_ORIGINAL sera 0 automaticamente); depois a data e a quantidade aqui.",IF(COUNTIF(itens_Remanesc!$A$2:$A$200,A139)&gt;1,"ALERTA: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TIPO_INVALIDO",IF(AND(ISNUMBER(SEARCH("NOVO",D139)),OR(INDEX(posicao_contratual!$C$2:$C$200,MATCH(A139,posicao_contratual!$A$2:$A$200,0))&lt;&gt;0,F139="",COUNTIFS($A$2:$A$200,A139,$B$2:$B$200,"&lt;"&amp;B139,$L$2:$L$200,"&gt;0")&gt;0)),"ALERTA: NOVO ITEM INVALIDO - use Acrescimo se o item ja existia; novo item exige QTD_BASE_ORIGINAL 0, VU_ORIGINAL e ser o 1o acrescimo do item.",IF(AND(ISNUMBER(SEARCH("NOVO",D139)),OR(N139="",ISERROR(MATCH(N139,{"C0","C1","C2","C3","C4"},0)))),"ALERTA: BASE_VU_OBRIGATORIA",IF(AND(NOT(ISNUMBER(SEARCH("NOVO",D139))),N139&lt;&gt;""),"ALERTA: BASE_VU_NAO_APLICAVEL",IF(AND(UPPER(H139)="SIM",NOT(ISNUMBER(I139))),"ALERTA: BASE_VU_INVALIDA_OU_POSTERIOR_AO_FATOR_ALVO","OK"))))))))))</f>
        <v/>
      </c>
      <c r="N139" s="485"/>
      <c r="O139" s="487" t="str">
        <f>IFERROR(IF((COUNTIFS($A$2:$A$200,$A139,$D$2:$D$200,"*novo*",$N$2:$N$200,"C0")+COUNTIFS($A$2:$A$200,$A139,$D$2:$D$200,"*novo*",$N$2:$N$200,"C1")+COUNTIFS($A$2:$A$200,$A139,$D$2:$D$200,"*novo*",$N$2:$N$200,"C2")+COUNTIFS($A$2:$A$200,$A139,$D$2:$D$200,"*novo*",$N$2:$N$200,"C3")+COUNTIFS($A$2:$A$200,$A139,$D$2:$D$200,"*novo*",$N$2:$N$200,"C4"))=1,IF(COUNTIFS($A$2:$A$200,$A139,$D$2:$D$200,"*novo*",$N$2:$N$200,"C4")&gt;0,4,IF(COUNTIFS($A$2:$A$200,$A139,$D$2:$D$200,"*novo*",$N$2:$N$200,"C3")&gt;0,3,IF(COUNTIFS($A$2:$A$200,$A139,$D$2:$D$200,"*novo*",$N$2:$N$200,"C2")&gt;0,2,IF(COUNTIFS($A$2:$A$200,$A139,$D$2:$D$200,"*novo*",$N$2:$N$200,"C1")&gt;0,1,IF(COUNTIFS($A$2:$A$200,$A139,$D$2:$D$200,"*novo*",$N$2:$N$200,"C0")&gt;0,0,""))))),IF(AND((COUNTIFS($A$2:$A$200,$A139,$D$2:$D$200,"*novo*",$N$2:$N$200,"C0")+COUNTIFS($A$2:$A$200,$A139,$D$2:$D$200,"*novo*",$N$2:$N$200,"C1")+COUNTIFS($A$2:$A$200,$A139,$D$2:$D$200,"*novo*",$N$2:$N$200,"C2")+COUNTIFS($A$2:$A$200,$A139,$D$2:$D$200,"*novo*",$N$2:$N$200,"C3")+COUNTIFS($A$2:$A$200,$A139,$D$2:$D$200,"*novo*",$N$2:$N$200,"C4"))=0,INDEX(posicao_contratual!$Y$2:$Y$200,MATCH($A139,posicao_contratual!$A$2:$A$200,0))=0),0,"")),"")</f>
        <v/>
      </c>
    </row>
    <row r="140" spans="1:15" ht="45" customHeight="1" x14ac:dyDescent="0.35">
      <c r="A140" s="105"/>
      <c r="B140" s="189"/>
      <c r="C140" s="99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05"/>
      <c r="E140" s="106"/>
      <c r="F140" s="107" t="str">
        <f>IF(A140="","",IFERROR(VLOOKUP(A140,itens_Remanesc!$A:$C,3,0),""))</f>
        <v/>
      </c>
      <c r="G140" s="107" t="str">
        <f t="shared" si="12"/>
        <v/>
      </c>
      <c r="H140" s="105"/>
      <c r="I140" s="64" t="str">
        <f>IFERROR(IF(OR($A140="",$C140=""),"",IF(OR(($O140)="",($O140)&gt;(MIN(MATCH($C140,{"C0","C1","C2","C3","C4"},0)-1,COUNT(parametros!$F$2:$F$6)-1)),NOT(ISNUMBER(INDEX(parametros!$F$2:$F$6,(MIN(MATCH($C140,{"C0","C1","C2","C3","C4"},0)-1,COUNT(parametros!$F$2:$F$6)-1))+1))),NOT(ISNUMBER(INDEX(parametros!$F$2:$F$6,($O140)+1)))),"",INDEX(parametros!$F$2:$F$6,(MIN(MATCH($C140,{"C0","C1","C2","C3","C4"},0)-1,COUNT(parametros!$F$2:$F$6)-1))+1)/INDEX(parametros!$F$2:$F$6,($O140)+1))),"")</f>
        <v/>
      </c>
      <c r="J140" s="107" t="str">
        <f t="shared" si="13"/>
        <v/>
      </c>
      <c r="K140" s="105"/>
      <c r="L140" s="85" t="str">
        <f t="shared" si="14"/>
        <v/>
      </c>
      <c r="M140" s="483" t="str">
        <f>IF(A140="","",IF(COUNTIF(itens_Remanesc!$A$2:$A$200,A140)=0,"NOVO ITEM NAO CADASTRADO - CADASTRAR EM itens_Remanesc: ITEM + VU_ORIGINAL (QTD_BASE_ORIGINAL sera 0 automaticamente); depois a data e a quantidade aqui.",IF(COUNTIF(itens_Remanesc!$A$2:$A$200,A140)&gt;1,"ALERTA: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TIPO_INVALIDO",IF(AND(ISNUMBER(SEARCH("NOVO",D140)),OR(INDEX(posicao_contratual!$C$2:$C$200,MATCH(A140,posicao_contratual!$A$2:$A$200,0))&lt;&gt;0,F140="",COUNTIFS($A$2:$A$200,A140,$B$2:$B$200,"&lt;"&amp;B140,$L$2:$L$200,"&gt;0")&gt;0)),"ALERTA: NOVO ITEM INVALIDO - use Acrescimo se o item ja existia; novo item exige QTD_BASE_ORIGINAL 0, VU_ORIGINAL e ser o 1o acrescimo do item.",IF(AND(ISNUMBER(SEARCH("NOVO",D140)),OR(N140="",ISERROR(MATCH(N140,{"C0","C1","C2","C3","C4"},0)))),"ALERTA: BASE_VU_OBRIGATORIA",IF(AND(NOT(ISNUMBER(SEARCH("NOVO",D140))),N140&lt;&gt;""),"ALERTA: BASE_VU_NAO_APLICAVEL",IF(AND(UPPER(H140)="SIM",NOT(ISNUMBER(I140))),"ALERTA: BASE_VU_INVALIDA_OU_POSTERIOR_AO_FATOR_ALVO","OK"))))))))))</f>
        <v/>
      </c>
      <c r="N140" s="485"/>
      <c r="O140" s="487" t="str">
        <f>IFERROR(IF((COUNTIFS($A$2:$A$200,$A140,$D$2:$D$200,"*novo*",$N$2:$N$200,"C0")+COUNTIFS($A$2:$A$200,$A140,$D$2:$D$200,"*novo*",$N$2:$N$200,"C1")+COUNTIFS($A$2:$A$200,$A140,$D$2:$D$200,"*novo*",$N$2:$N$200,"C2")+COUNTIFS($A$2:$A$200,$A140,$D$2:$D$200,"*novo*",$N$2:$N$200,"C3")+COUNTIFS($A$2:$A$200,$A140,$D$2:$D$200,"*novo*",$N$2:$N$200,"C4"))=1,IF(COUNTIFS($A$2:$A$200,$A140,$D$2:$D$200,"*novo*",$N$2:$N$200,"C4")&gt;0,4,IF(COUNTIFS($A$2:$A$200,$A140,$D$2:$D$200,"*novo*",$N$2:$N$200,"C3")&gt;0,3,IF(COUNTIFS($A$2:$A$200,$A140,$D$2:$D$200,"*novo*",$N$2:$N$200,"C2")&gt;0,2,IF(COUNTIFS($A$2:$A$200,$A140,$D$2:$D$200,"*novo*",$N$2:$N$200,"C1")&gt;0,1,IF(COUNTIFS($A$2:$A$200,$A140,$D$2:$D$200,"*novo*",$N$2:$N$200,"C0")&gt;0,0,""))))),IF(AND((COUNTIFS($A$2:$A$200,$A140,$D$2:$D$200,"*novo*",$N$2:$N$200,"C0")+COUNTIFS($A$2:$A$200,$A140,$D$2:$D$200,"*novo*",$N$2:$N$200,"C1")+COUNTIFS($A$2:$A$200,$A140,$D$2:$D$200,"*novo*",$N$2:$N$200,"C2")+COUNTIFS($A$2:$A$200,$A140,$D$2:$D$200,"*novo*",$N$2:$N$200,"C3")+COUNTIFS($A$2:$A$200,$A140,$D$2:$D$200,"*novo*",$N$2:$N$200,"C4"))=0,INDEX(posicao_contratual!$Y$2:$Y$200,MATCH($A140,posicao_contratual!$A$2:$A$200,0))=0),0,"")),"")</f>
        <v/>
      </c>
    </row>
    <row r="141" spans="1:15" ht="45" customHeight="1" x14ac:dyDescent="0.35">
      <c r="A141" s="105"/>
      <c r="B141" s="189"/>
      <c r="C141" s="99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05"/>
      <c r="E141" s="106"/>
      <c r="F141" s="107" t="str">
        <f>IF(A141="","",IFERROR(VLOOKUP(A141,itens_Remanesc!$A:$C,3,0),""))</f>
        <v/>
      </c>
      <c r="G141" s="107" t="str">
        <f t="shared" si="12"/>
        <v/>
      </c>
      <c r="H141" s="105"/>
      <c r="I141" s="64" t="str">
        <f>IFERROR(IF(OR($A141="",$C141=""),"",IF(OR(($O141)="",($O141)&gt;(MIN(MATCH($C141,{"C0","C1","C2","C3","C4"},0)-1,COUNT(parametros!$F$2:$F$6)-1)),NOT(ISNUMBER(INDEX(parametros!$F$2:$F$6,(MIN(MATCH($C141,{"C0","C1","C2","C3","C4"},0)-1,COUNT(parametros!$F$2:$F$6)-1))+1))),NOT(ISNUMBER(INDEX(parametros!$F$2:$F$6,($O141)+1)))),"",INDEX(parametros!$F$2:$F$6,(MIN(MATCH($C141,{"C0","C1","C2","C3","C4"},0)-1,COUNT(parametros!$F$2:$F$6)-1))+1)/INDEX(parametros!$F$2:$F$6,($O141)+1))),"")</f>
        <v/>
      </c>
      <c r="J141" s="107" t="str">
        <f t="shared" si="13"/>
        <v/>
      </c>
      <c r="K141" s="105"/>
      <c r="L141" s="85" t="str">
        <f t="shared" si="14"/>
        <v/>
      </c>
      <c r="M141" s="483" t="str">
        <f>IF(A141="","",IF(COUNTIF(itens_Remanesc!$A$2:$A$200,A141)=0,"NOVO ITEM NAO CADASTRADO - CADASTRAR EM itens_Remanesc: ITEM + VU_ORIGINAL (QTD_BASE_ORIGINAL sera 0 automaticamente); depois a data e a quantidade aqui.",IF(COUNTIF(itens_Remanesc!$A$2:$A$200,A141)&gt;1,"ALERTA: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TIPO_INVALIDO",IF(AND(ISNUMBER(SEARCH("NOVO",D141)),OR(INDEX(posicao_contratual!$C$2:$C$200,MATCH(A141,posicao_contratual!$A$2:$A$200,0))&lt;&gt;0,F141="",COUNTIFS($A$2:$A$200,A141,$B$2:$B$200,"&lt;"&amp;B141,$L$2:$L$200,"&gt;0")&gt;0)),"ALERTA: NOVO ITEM INVALIDO - use Acrescimo se o item ja existia; novo item exige QTD_BASE_ORIGINAL 0, VU_ORIGINAL e ser o 1o acrescimo do item.",IF(AND(ISNUMBER(SEARCH("NOVO",D141)),OR(N141="",ISERROR(MATCH(N141,{"C0","C1","C2","C3","C4"},0)))),"ALERTA: BASE_VU_OBRIGATORIA",IF(AND(NOT(ISNUMBER(SEARCH("NOVO",D141))),N141&lt;&gt;""),"ALERTA: BASE_VU_NAO_APLICAVEL",IF(AND(UPPER(H141)="SIM",NOT(ISNUMBER(I141))),"ALERTA: BASE_VU_INVALIDA_OU_POSTERIOR_AO_FATOR_ALVO","OK"))))))))))</f>
        <v/>
      </c>
      <c r="N141" s="485"/>
      <c r="O141" s="487" t="str">
        <f>IFERROR(IF((COUNTIFS($A$2:$A$200,$A141,$D$2:$D$200,"*novo*",$N$2:$N$200,"C0")+COUNTIFS($A$2:$A$200,$A141,$D$2:$D$200,"*novo*",$N$2:$N$200,"C1")+COUNTIFS($A$2:$A$200,$A141,$D$2:$D$200,"*novo*",$N$2:$N$200,"C2")+COUNTIFS($A$2:$A$200,$A141,$D$2:$D$200,"*novo*",$N$2:$N$200,"C3")+COUNTIFS($A$2:$A$200,$A141,$D$2:$D$200,"*novo*",$N$2:$N$200,"C4"))=1,IF(COUNTIFS($A$2:$A$200,$A141,$D$2:$D$200,"*novo*",$N$2:$N$200,"C4")&gt;0,4,IF(COUNTIFS($A$2:$A$200,$A141,$D$2:$D$200,"*novo*",$N$2:$N$200,"C3")&gt;0,3,IF(COUNTIFS($A$2:$A$200,$A141,$D$2:$D$200,"*novo*",$N$2:$N$200,"C2")&gt;0,2,IF(COUNTIFS($A$2:$A$200,$A141,$D$2:$D$200,"*novo*",$N$2:$N$200,"C1")&gt;0,1,IF(COUNTIFS($A$2:$A$200,$A141,$D$2:$D$200,"*novo*",$N$2:$N$200,"C0")&gt;0,0,""))))),IF(AND((COUNTIFS($A$2:$A$200,$A141,$D$2:$D$200,"*novo*",$N$2:$N$200,"C0")+COUNTIFS($A$2:$A$200,$A141,$D$2:$D$200,"*novo*",$N$2:$N$200,"C1")+COUNTIFS($A$2:$A$200,$A141,$D$2:$D$200,"*novo*",$N$2:$N$200,"C2")+COUNTIFS($A$2:$A$200,$A141,$D$2:$D$200,"*novo*",$N$2:$N$200,"C3")+COUNTIFS($A$2:$A$200,$A141,$D$2:$D$200,"*novo*",$N$2:$N$200,"C4"))=0,INDEX(posicao_contratual!$Y$2:$Y$200,MATCH($A141,posicao_contratual!$A$2:$A$200,0))=0),0,"")),"")</f>
        <v/>
      </c>
    </row>
    <row r="142" spans="1:15" ht="45" customHeight="1" x14ac:dyDescent="0.35">
      <c r="A142" s="105"/>
      <c r="B142" s="189"/>
      <c r="C142" s="99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05"/>
      <c r="E142" s="106"/>
      <c r="F142" s="107" t="str">
        <f>IF(A142="","",IFERROR(VLOOKUP(A142,itens_Remanesc!$A:$C,3,0),""))</f>
        <v/>
      </c>
      <c r="G142" s="107" t="str">
        <f t="shared" si="12"/>
        <v/>
      </c>
      <c r="H142" s="105"/>
      <c r="I142" s="64" t="str">
        <f>IFERROR(IF(OR($A142="",$C142=""),"",IF(OR(($O142)="",($O142)&gt;(MIN(MATCH($C142,{"C0","C1","C2","C3","C4"},0)-1,COUNT(parametros!$F$2:$F$6)-1)),NOT(ISNUMBER(INDEX(parametros!$F$2:$F$6,(MIN(MATCH($C142,{"C0","C1","C2","C3","C4"},0)-1,COUNT(parametros!$F$2:$F$6)-1))+1))),NOT(ISNUMBER(INDEX(parametros!$F$2:$F$6,($O142)+1)))),"",INDEX(parametros!$F$2:$F$6,(MIN(MATCH($C142,{"C0","C1","C2","C3","C4"},0)-1,COUNT(parametros!$F$2:$F$6)-1))+1)/INDEX(parametros!$F$2:$F$6,($O142)+1))),"")</f>
        <v/>
      </c>
      <c r="J142" s="107" t="str">
        <f t="shared" si="13"/>
        <v/>
      </c>
      <c r="K142" s="105"/>
      <c r="L142" s="85" t="str">
        <f t="shared" si="14"/>
        <v/>
      </c>
      <c r="M142" s="483" t="str">
        <f>IF(A142="","",IF(COUNTIF(itens_Remanesc!$A$2:$A$200,A142)=0,"NOVO ITEM NAO CADASTRADO - CADASTRAR EM itens_Remanesc: ITEM + VU_ORIGINAL (QTD_BASE_ORIGINAL sera 0 automaticamente); depois a data e a quantidade aqui.",IF(COUNTIF(itens_Remanesc!$A$2:$A$200,A142)&gt;1,"ALERTA: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TIPO_INVALIDO",IF(AND(ISNUMBER(SEARCH("NOVO",D142)),OR(INDEX(posicao_contratual!$C$2:$C$200,MATCH(A142,posicao_contratual!$A$2:$A$200,0))&lt;&gt;0,F142="",COUNTIFS($A$2:$A$200,A142,$B$2:$B$200,"&lt;"&amp;B142,$L$2:$L$200,"&gt;0")&gt;0)),"ALERTA: NOVO ITEM INVALIDO - use Acrescimo se o item ja existia; novo item exige QTD_BASE_ORIGINAL 0, VU_ORIGINAL e ser o 1o acrescimo do item.",IF(AND(ISNUMBER(SEARCH("NOVO",D142)),OR(N142="",ISERROR(MATCH(N142,{"C0","C1","C2","C3","C4"},0)))),"ALERTA: BASE_VU_OBRIGATORIA",IF(AND(NOT(ISNUMBER(SEARCH("NOVO",D142))),N142&lt;&gt;""),"ALERTA: BASE_VU_NAO_APLICAVEL",IF(AND(UPPER(H142)="SIM",NOT(ISNUMBER(I142))),"ALERTA: BASE_VU_INVALIDA_OU_POSTERIOR_AO_FATOR_ALVO","OK"))))))))))</f>
        <v/>
      </c>
      <c r="N142" s="485"/>
      <c r="O142" s="487" t="str">
        <f>IFERROR(IF((COUNTIFS($A$2:$A$200,$A142,$D$2:$D$200,"*novo*",$N$2:$N$200,"C0")+COUNTIFS($A$2:$A$200,$A142,$D$2:$D$200,"*novo*",$N$2:$N$200,"C1")+COUNTIFS($A$2:$A$200,$A142,$D$2:$D$200,"*novo*",$N$2:$N$200,"C2")+COUNTIFS($A$2:$A$200,$A142,$D$2:$D$200,"*novo*",$N$2:$N$200,"C3")+COUNTIFS($A$2:$A$200,$A142,$D$2:$D$200,"*novo*",$N$2:$N$200,"C4"))=1,IF(COUNTIFS($A$2:$A$200,$A142,$D$2:$D$200,"*novo*",$N$2:$N$200,"C4")&gt;0,4,IF(COUNTIFS($A$2:$A$200,$A142,$D$2:$D$200,"*novo*",$N$2:$N$200,"C3")&gt;0,3,IF(COUNTIFS($A$2:$A$200,$A142,$D$2:$D$200,"*novo*",$N$2:$N$200,"C2")&gt;0,2,IF(COUNTIFS($A$2:$A$200,$A142,$D$2:$D$200,"*novo*",$N$2:$N$200,"C1")&gt;0,1,IF(COUNTIFS($A$2:$A$200,$A142,$D$2:$D$200,"*novo*",$N$2:$N$200,"C0")&gt;0,0,""))))),IF(AND((COUNTIFS($A$2:$A$200,$A142,$D$2:$D$200,"*novo*",$N$2:$N$200,"C0")+COUNTIFS($A$2:$A$200,$A142,$D$2:$D$200,"*novo*",$N$2:$N$200,"C1")+COUNTIFS($A$2:$A$200,$A142,$D$2:$D$200,"*novo*",$N$2:$N$200,"C2")+COUNTIFS($A$2:$A$200,$A142,$D$2:$D$200,"*novo*",$N$2:$N$200,"C3")+COUNTIFS($A$2:$A$200,$A142,$D$2:$D$200,"*novo*",$N$2:$N$200,"C4"))=0,INDEX(posicao_contratual!$Y$2:$Y$200,MATCH($A142,posicao_contratual!$A$2:$A$200,0))=0),0,"")),"")</f>
        <v/>
      </c>
    </row>
    <row r="143" spans="1:15" ht="45" customHeight="1" x14ac:dyDescent="0.35">
      <c r="A143" s="105"/>
      <c r="B143" s="189"/>
      <c r="C143" s="99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05"/>
      <c r="E143" s="106"/>
      <c r="F143" s="107" t="str">
        <f>IF(A143="","",IFERROR(VLOOKUP(A143,itens_Remanesc!$A:$C,3,0),""))</f>
        <v/>
      </c>
      <c r="G143" s="107" t="str">
        <f t="shared" si="12"/>
        <v/>
      </c>
      <c r="H143" s="105"/>
      <c r="I143" s="64" t="str">
        <f>IFERROR(IF(OR($A143="",$C143=""),"",IF(OR(($O143)="",($O143)&gt;(MIN(MATCH($C143,{"C0","C1","C2","C3","C4"},0)-1,COUNT(parametros!$F$2:$F$6)-1)),NOT(ISNUMBER(INDEX(parametros!$F$2:$F$6,(MIN(MATCH($C143,{"C0","C1","C2","C3","C4"},0)-1,COUNT(parametros!$F$2:$F$6)-1))+1))),NOT(ISNUMBER(INDEX(parametros!$F$2:$F$6,($O143)+1)))),"",INDEX(parametros!$F$2:$F$6,(MIN(MATCH($C143,{"C0","C1","C2","C3","C4"},0)-1,COUNT(parametros!$F$2:$F$6)-1))+1)/INDEX(parametros!$F$2:$F$6,($O143)+1))),"")</f>
        <v/>
      </c>
      <c r="J143" s="107" t="str">
        <f t="shared" si="13"/>
        <v/>
      </c>
      <c r="K143" s="105"/>
      <c r="L143" s="85" t="str">
        <f t="shared" si="14"/>
        <v/>
      </c>
      <c r="M143" s="483" t="str">
        <f>IF(A143="","",IF(COUNTIF(itens_Remanesc!$A$2:$A$200,A143)=0,"NOVO ITEM NAO CADASTRADO - CADASTRAR EM itens_Remanesc: ITEM + VU_ORIGINAL (QTD_BASE_ORIGINAL sera 0 automaticamente); depois a data e a quantidade aqui.",IF(COUNTIF(itens_Remanesc!$A$2:$A$200,A143)&gt;1,"ALERTA: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TIPO_INVALIDO",IF(AND(ISNUMBER(SEARCH("NOVO",D143)),OR(INDEX(posicao_contratual!$C$2:$C$200,MATCH(A143,posicao_contratual!$A$2:$A$200,0))&lt;&gt;0,F143="",COUNTIFS($A$2:$A$200,A143,$B$2:$B$200,"&lt;"&amp;B143,$L$2:$L$200,"&gt;0")&gt;0)),"ALERTA: NOVO ITEM INVALIDO - use Acrescimo se o item ja existia; novo item exige QTD_BASE_ORIGINAL 0, VU_ORIGINAL e ser o 1o acrescimo do item.",IF(AND(ISNUMBER(SEARCH("NOVO",D143)),OR(N143="",ISERROR(MATCH(N143,{"C0","C1","C2","C3","C4"},0)))),"ALERTA: BASE_VU_OBRIGATORIA",IF(AND(NOT(ISNUMBER(SEARCH("NOVO",D143))),N143&lt;&gt;""),"ALERTA: BASE_VU_NAO_APLICAVEL",IF(AND(UPPER(H143)="SIM",NOT(ISNUMBER(I143))),"ALERTA: BASE_VU_INVALIDA_OU_POSTERIOR_AO_FATOR_ALVO","OK"))))))))))</f>
        <v/>
      </c>
      <c r="N143" s="485"/>
      <c r="O143" s="487" t="str">
        <f>IFERROR(IF((COUNTIFS($A$2:$A$200,$A143,$D$2:$D$200,"*novo*",$N$2:$N$200,"C0")+COUNTIFS($A$2:$A$200,$A143,$D$2:$D$200,"*novo*",$N$2:$N$200,"C1")+COUNTIFS($A$2:$A$200,$A143,$D$2:$D$200,"*novo*",$N$2:$N$200,"C2")+COUNTIFS($A$2:$A$200,$A143,$D$2:$D$200,"*novo*",$N$2:$N$200,"C3")+COUNTIFS($A$2:$A$200,$A143,$D$2:$D$200,"*novo*",$N$2:$N$200,"C4"))=1,IF(COUNTIFS($A$2:$A$200,$A143,$D$2:$D$200,"*novo*",$N$2:$N$200,"C4")&gt;0,4,IF(COUNTIFS($A$2:$A$200,$A143,$D$2:$D$200,"*novo*",$N$2:$N$200,"C3")&gt;0,3,IF(COUNTIFS($A$2:$A$200,$A143,$D$2:$D$200,"*novo*",$N$2:$N$200,"C2")&gt;0,2,IF(COUNTIFS($A$2:$A$200,$A143,$D$2:$D$200,"*novo*",$N$2:$N$200,"C1")&gt;0,1,IF(COUNTIFS($A$2:$A$200,$A143,$D$2:$D$200,"*novo*",$N$2:$N$200,"C0")&gt;0,0,""))))),IF(AND((COUNTIFS($A$2:$A$200,$A143,$D$2:$D$200,"*novo*",$N$2:$N$200,"C0")+COUNTIFS($A$2:$A$200,$A143,$D$2:$D$200,"*novo*",$N$2:$N$200,"C1")+COUNTIFS($A$2:$A$200,$A143,$D$2:$D$200,"*novo*",$N$2:$N$200,"C2")+COUNTIFS($A$2:$A$200,$A143,$D$2:$D$200,"*novo*",$N$2:$N$200,"C3")+COUNTIFS($A$2:$A$200,$A143,$D$2:$D$200,"*novo*",$N$2:$N$200,"C4"))=0,INDEX(posicao_contratual!$Y$2:$Y$200,MATCH($A143,posicao_contratual!$A$2:$A$200,0))=0),0,"")),"")</f>
        <v/>
      </c>
    </row>
    <row r="144" spans="1:15" ht="45" customHeight="1" x14ac:dyDescent="0.35">
      <c r="A144" s="105"/>
      <c r="B144" s="189"/>
      <c r="C144" s="99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05"/>
      <c r="E144" s="106"/>
      <c r="F144" s="107" t="str">
        <f>IF(A144="","",IFERROR(VLOOKUP(A144,itens_Remanesc!$A:$C,3,0),""))</f>
        <v/>
      </c>
      <c r="G144" s="107" t="str">
        <f t="shared" si="12"/>
        <v/>
      </c>
      <c r="H144" s="105"/>
      <c r="I144" s="64" t="str">
        <f>IFERROR(IF(OR($A144="",$C144=""),"",IF(OR(($O144)="",($O144)&gt;(MIN(MATCH($C144,{"C0","C1","C2","C3","C4"},0)-1,COUNT(parametros!$F$2:$F$6)-1)),NOT(ISNUMBER(INDEX(parametros!$F$2:$F$6,(MIN(MATCH($C144,{"C0","C1","C2","C3","C4"},0)-1,COUNT(parametros!$F$2:$F$6)-1))+1))),NOT(ISNUMBER(INDEX(parametros!$F$2:$F$6,($O144)+1)))),"",INDEX(parametros!$F$2:$F$6,(MIN(MATCH($C144,{"C0","C1","C2","C3","C4"},0)-1,COUNT(parametros!$F$2:$F$6)-1))+1)/INDEX(parametros!$F$2:$F$6,($O144)+1))),"")</f>
        <v/>
      </c>
      <c r="J144" s="107" t="str">
        <f t="shared" si="13"/>
        <v/>
      </c>
      <c r="K144" s="105"/>
      <c r="L144" s="85" t="str">
        <f t="shared" si="14"/>
        <v/>
      </c>
      <c r="M144" s="483" t="str">
        <f>IF(A144="","",IF(COUNTIF(itens_Remanesc!$A$2:$A$200,A144)=0,"NOVO ITEM NAO CADASTRADO - CADASTRAR EM itens_Remanesc: ITEM + VU_ORIGINAL (QTD_BASE_ORIGINAL sera 0 automaticamente); depois a data e a quantidade aqui.",IF(COUNTIF(itens_Remanesc!$A$2:$A$200,A144)&gt;1,"ALERTA: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TIPO_INVALIDO",IF(AND(ISNUMBER(SEARCH("NOVO",D144)),OR(INDEX(posicao_contratual!$C$2:$C$200,MATCH(A144,posicao_contratual!$A$2:$A$200,0))&lt;&gt;0,F144="",COUNTIFS($A$2:$A$200,A144,$B$2:$B$200,"&lt;"&amp;B144,$L$2:$L$200,"&gt;0")&gt;0)),"ALERTA: NOVO ITEM INVALIDO - use Acrescimo se o item ja existia; novo item exige QTD_BASE_ORIGINAL 0, VU_ORIGINAL e ser o 1o acrescimo do item.",IF(AND(ISNUMBER(SEARCH("NOVO",D144)),OR(N144="",ISERROR(MATCH(N144,{"C0","C1","C2","C3","C4"},0)))),"ALERTA: BASE_VU_OBRIGATORIA",IF(AND(NOT(ISNUMBER(SEARCH("NOVO",D144))),N144&lt;&gt;""),"ALERTA: BASE_VU_NAO_APLICAVEL",IF(AND(UPPER(H144)="SIM",NOT(ISNUMBER(I144))),"ALERTA: BASE_VU_INVALIDA_OU_POSTERIOR_AO_FATOR_ALVO","OK"))))))))))</f>
        <v/>
      </c>
      <c r="N144" s="485"/>
      <c r="O144" s="487" t="str">
        <f>IFERROR(IF((COUNTIFS($A$2:$A$200,$A144,$D$2:$D$200,"*novo*",$N$2:$N$200,"C0")+COUNTIFS($A$2:$A$200,$A144,$D$2:$D$200,"*novo*",$N$2:$N$200,"C1")+COUNTIFS($A$2:$A$200,$A144,$D$2:$D$200,"*novo*",$N$2:$N$200,"C2")+COUNTIFS($A$2:$A$200,$A144,$D$2:$D$200,"*novo*",$N$2:$N$200,"C3")+COUNTIFS($A$2:$A$200,$A144,$D$2:$D$200,"*novo*",$N$2:$N$200,"C4"))=1,IF(COUNTIFS($A$2:$A$200,$A144,$D$2:$D$200,"*novo*",$N$2:$N$200,"C4")&gt;0,4,IF(COUNTIFS($A$2:$A$200,$A144,$D$2:$D$200,"*novo*",$N$2:$N$200,"C3")&gt;0,3,IF(COUNTIFS($A$2:$A$200,$A144,$D$2:$D$200,"*novo*",$N$2:$N$200,"C2")&gt;0,2,IF(COUNTIFS($A$2:$A$200,$A144,$D$2:$D$200,"*novo*",$N$2:$N$200,"C1")&gt;0,1,IF(COUNTIFS($A$2:$A$200,$A144,$D$2:$D$200,"*novo*",$N$2:$N$200,"C0")&gt;0,0,""))))),IF(AND((COUNTIFS($A$2:$A$200,$A144,$D$2:$D$200,"*novo*",$N$2:$N$200,"C0")+COUNTIFS($A$2:$A$200,$A144,$D$2:$D$200,"*novo*",$N$2:$N$200,"C1")+COUNTIFS($A$2:$A$200,$A144,$D$2:$D$200,"*novo*",$N$2:$N$200,"C2")+COUNTIFS($A$2:$A$200,$A144,$D$2:$D$200,"*novo*",$N$2:$N$200,"C3")+COUNTIFS($A$2:$A$200,$A144,$D$2:$D$200,"*novo*",$N$2:$N$200,"C4"))=0,INDEX(posicao_contratual!$Y$2:$Y$200,MATCH($A144,posicao_contratual!$A$2:$A$200,0))=0),0,"")),"")</f>
        <v/>
      </c>
    </row>
    <row r="145" spans="1:15" ht="45" customHeight="1" x14ac:dyDescent="0.35">
      <c r="A145" s="105"/>
      <c r="B145" s="189"/>
      <c r="C145" s="99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05"/>
      <c r="E145" s="106"/>
      <c r="F145" s="107" t="str">
        <f>IF(A145="","",IFERROR(VLOOKUP(A145,itens_Remanesc!$A:$C,3,0),""))</f>
        <v/>
      </c>
      <c r="G145" s="107" t="str">
        <f t="shared" si="12"/>
        <v/>
      </c>
      <c r="H145" s="105"/>
      <c r="I145" s="64" t="str">
        <f>IFERROR(IF(OR($A145="",$C145=""),"",IF(OR(($O145)="",($O145)&gt;(MIN(MATCH($C145,{"C0","C1","C2","C3","C4"},0)-1,COUNT(parametros!$F$2:$F$6)-1)),NOT(ISNUMBER(INDEX(parametros!$F$2:$F$6,(MIN(MATCH($C145,{"C0","C1","C2","C3","C4"},0)-1,COUNT(parametros!$F$2:$F$6)-1))+1))),NOT(ISNUMBER(INDEX(parametros!$F$2:$F$6,($O145)+1)))),"",INDEX(parametros!$F$2:$F$6,(MIN(MATCH($C145,{"C0","C1","C2","C3","C4"},0)-1,COUNT(parametros!$F$2:$F$6)-1))+1)/INDEX(parametros!$F$2:$F$6,($O145)+1))),"")</f>
        <v/>
      </c>
      <c r="J145" s="107" t="str">
        <f t="shared" si="13"/>
        <v/>
      </c>
      <c r="K145" s="105"/>
      <c r="L145" s="85" t="str">
        <f t="shared" si="14"/>
        <v/>
      </c>
      <c r="M145" s="483" t="str">
        <f>IF(A145="","",IF(COUNTIF(itens_Remanesc!$A$2:$A$200,A145)=0,"NOVO ITEM NAO CADASTRADO - CADASTRAR EM itens_Remanesc: ITEM + VU_ORIGINAL (QTD_BASE_ORIGINAL sera 0 automaticamente); depois a data e a quantidade aqui.",IF(COUNTIF(itens_Remanesc!$A$2:$A$200,A145)&gt;1,"ALERTA: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TIPO_INVALIDO",IF(AND(ISNUMBER(SEARCH("NOVO",D145)),OR(INDEX(posicao_contratual!$C$2:$C$200,MATCH(A145,posicao_contratual!$A$2:$A$200,0))&lt;&gt;0,F145="",COUNTIFS($A$2:$A$200,A145,$B$2:$B$200,"&lt;"&amp;B145,$L$2:$L$200,"&gt;0")&gt;0)),"ALERTA: NOVO ITEM INVALIDO - use Acrescimo se o item ja existia; novo item exige QTD_BASE_ORIGINAL 0, VU_ORIGINAL e ser o 1o acrescimo do item.",IF(AND(ISNUMBER(SEARCH("NOVO",D145)),OR(N145="",ISERROR(MATCH(N145,{"C0","C1","C2","C3","C4"},0)))),"ALERTA: BASE_VU_OBRIGATORIA",IF(AND(NOT(ISNUMBER(SEARCH("NOVO",D145))),N145&lt;&gt;""),"ALERTA: BASE_VU_NAO_APLICAVEL",IF(AND(UPPER(H145)="SIM",NOT(ISNUMBER(I145))),"ALERTA: BASE_VU_INVALIDA_OU_POSTERIOR_AO_FATOR_ALVO","OK"))))))))))</f>
        <v/>
      </c>
      <c r="N145" s="485"/>
      <c r="O145" s="487" t="str">
        <f>IFERROR(IF((COUNTIFS($A$2:$A$200,$A145,$D$2:$D$200,"*novo*",$N$2:$N$200,"C0")+COUNTIFS($A$2:$A$200,$A145,$D$2:$D$200,"*novo*",$N$2:$N$200,"C1")+COUNTIFS($A$2:$A$200,$A145,$D$2:$D$200,"*novo*",$N$2:$N$200,"C2")+COUNTIFS($A$2:$A$200,$A145,$D$2:$D$200,"*novo*",$N$2:$N$200,"C3")+COUNTIFS($A$2:$A$200,$A145,$D$2:$D$200,"*novo*",$N$2:$N$200,"C4"))=1,IF(COUNTIFS($A$2:$A$200,$A145,$D$2:$D$200,"*novo*",$N$2:$N$200,"C4")&gt;0,4,IF(COUNTIFS($A$2:$A$200,$A145,$D$2:$D$200,"*novo*",$N$2:$N$200,"C3")&gt;0,3,IF(COUNTIFS($A$2:$A$200,$A145,$D$2:$D$200,"*novo*",$N$2:$N$200,"C2")&gt;0,2,IF(COUNTIFS($A$2:$A$200,$A145,$D$2:$D$200,"*novo*",$N$2:$N$200,"C1")&gt;0,1,IF(COUNTIFS($A$2:$A$200,$A145,$D$2:$D$200,"*novo*",$N$2:$N$200,"C0")&gt;0,0,""))))),IF(AND((COUNTIFS($A$2:$A$200,$A145,$D$2:$D$200,"*novo*",$N$2:$N$200,"C0")+COUNTIFS($A$2:$A$200,$A145,$D$2:$D$200,"*novo*",$N$2:$N$200,"C1")+COUNTIFS($A$2:$A$200,$A145,$D$2:$D$200,"*novo*",$N$2:$N$200,"C2")+COUNTIFS($A$2:$A$200,$A145,$D$2:$D$200,"*novo*",$N$2:$N$200,"C3")+COUNTIFS($A$2:$A$200,$A145,$D$2:$D$200,"*novo*",$N$2:$N$200,"C4"))=0,INDEX(posicao_contratual!$Y$2:$Y$200,MATCH($A145,posicao_contratual!$A$2:$A$200,0))=0),0,"")),"")</f>
        <v/>
      </c>
    </row>
    <row r="146" spans="1:15" ht="45" customHeight="1" x14ac:dyDescent="0.35">
      <c r="A146" s="105"/>
      <c r="B146" s="189"/>
      <c r="C146" s="99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05"/>
      <c r="E146" s="106"/>
      <c r="F146" s="107" t="str">
        <f>IF(A146="","",IFERROR(VLOOKUP(A146,itens_Remanesc!$A:$C,3,0),""))</f>
        <v/>
      </c>
      <c r="G146" s="107" t="str">
        <f t="shared" si="12"/>
        <v/>
      </c>
      <c r="H146" s="105"/>
      <c r="I146" s="64" t="str">
        <f>IFERROR(IF(OR($A146="",$C146=""),"",IF(OR(($O146)="",($O146)&gt;(MIN(MATCH($C146,{"C0","C1","C2","C3","C4"},0)-1,COUNT(parametros!$F$2:$F$6)-1)),NOT(ISNUMBER(INDEX(parametros!$F$2:$F$6,(MIN(MATCH($C146,{"C0","C1","C2","C3","C4"},0)-1,COUNT(parametros!$F$2:$F$6)-1))+1))),NOT(ISNUMBER(INDEX(parametros!$F$2:$F$6,($O146)+1)))),"",INDEX(parametros!$F$2:$F$6,(MIN(MATCH($C146,{"C0","C1","C2","C3","C4"},0)-1,COUNT(parametros!$F$2:$F$6)-1))+1)/INDEX(parametros!$F$2:$F$6,($O146)+1))),"")</f>
        <v/>
      </c>
      <c r="J146" s="107" t="str">
        <f t="shared" si="13"/>
        <v/>
      </c>
      <c r="K146" s="105"/>
      <c r="L146" s="85" t="str">
        <f t="shared" si="14"/>
        <v/>
      </c>
      <c r="M146" s="483" t="str">
        <f>IF(A146="","",IF(COUNTIF(itens_Remanesc!$A$2:$A$200,A146)=0,"NOVO ITEM NAO CADASTRADO - CADASTRAR EM itens_Remanesc: ITEM + VU_ORIGINAL (QTD_BASE_ORIGINAL sera 0 automaticamente); depois a data e a quantidade aqui.",IF(COUNTIF(itens_Remanesc!$A$2:$A$200,A146)&gt;1,"ALERTA: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TIPO_INVALIDO",IF(AND(ISNUMBER(SEARCH("NOVO",D146)),OR(INDEX(posicao_contratual!$C$2:$C$200,MATCH(A146,posicao_contratual!$A$2:$A$200,0))&lt;&gt;0,F146="",COUNTIFS($A$2:$A$200,A146,$B$2:$B$200,"&lt;"&amp;B146,$L$2:$L$200,"&gt;0")&gt;0)),"ALERTA: NOVO ITEM INVALIDO - use Acrescimo se o item ja existia; novo item exige QTD_BASE_ORIGINAL 0, VU_ORIGINAL e ser o 1o acrescimo do item.",IF(AND(ISNUMBER(SEARCH("NOVO",D146)),OR(N146="",ISERROR(MATCH(N146,{"C0","C1","C2","C3","C4"},0)))),"ALERTA: BASE_VU_OBRIGATORIA",IF(AND(NOT(ISNUMBER(SEARCH("NOVO",D146))),N146&lt;&gt;""),"ALERTA: BASE_VU_NAO_APLICAVEL",IF(AND(UPPER(H146)="SIM",NOT(ISNUMBER(I146))),"ALERTA: BASE_VU_INVALIDA_OU_POSTERIOR_AO_FATOR_ALVO","OK"))))))))))</f>
        <v/>
      </c>
      <c r="N146" s="485"/>
      <c r="O146" s="487" t="str">
        <f>IFERROR(IF((COUNTIFS($A$2:$A$200,$A146,$D$2:$D$200,"*novo*",$N$2:$N$200,"C0")+COUNTIFS($A$2:$A$200,$A146,$D$2:$D$200,"*novo*",$N$2:$N$200,"C1")+COUNTIFS($A$2:$A$200,$A146,$D$2:$D$200,"*novo*",$N$2:$N$200,"C2")+COUNTIFS($A$2:$A$200,$A146,$D$2:$D$200,"*novo*",$N$2:$N$200,"C3")+COUNTIFS($A$2:$A$200,$A146,$D$2:$D$200,"*novo*",$N$2:$N$200,"C4"))=1,IF(COUNTIFS($A$2:$A$200,$A146,$D$2:$D$200,"*novo*",$N$2:$N$200,"C4")&gt;0,4,IF(COUNTIFS($A$2:$A$200,$A146,$D$2:$D$200,"*novo*",$N$2:$N$200,"C3")&gt;0,3,IF(COUNTIFS($A$2:$A$200,$A146,$D$2:$D$200,"*novo*",$N$2:$N$200,"C2")&gt;0,2,IF(COUNTIFS($A$2:$A$200,$A146,$D$2:$D$200,"*novo*",$N$2:$N$200,"C1")&gt;0,1,IF(COUNTIFS($A$2:$A$200,$A146,$D$2:$D$200,"*novo*",$N$2:$N$200,"C0")&gt;0,0,""))))),IF(AND((COUNTIFS($A$2:$A$200,$A146,$D$2:$D$200,"*novo*",$N$2:$N$200,"C0")+COUNTIFS($A$2:$A$200,$A146,$D$2:$D$200,"*novo*",$N$2:$N$200,"C1")+COUNTIFS($A$2:$A$200,$A146,$D$2:$D$200,"*novo*",$N$2:$N$200,"C2")+COUNTIFS($A$2:$A$200,$A146,$D$2:$D$200,"*novo*",$N$2:$N$200,"C3")+COUNTIFS($A$2:$A$200,$A146,$D$2:$D$200,"*novo*",$N$2:$N$200,"C4"))=0,INDEX(posicao_contratual!$Y$2:$Y$200,MATCH($A146,posicao_contratual!$A$2:$A$200,0))=0),0,"")),"")</f>
        <v/>
      </c>
    </row>
    <row r="147" spans="1:15" ht="45" customHeight="1" x14ac:dyDescent="0.35">
      <c r="A147" s="105"/>
      <c r="B147" s="189"/>
      <c r="C147" s="99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05"/>
      <c r="E147" s="106"/>
      <c r="F147" s="107" t="str">
        <f>IF(A147="","",IFERROR(VLOOKUP(A147,itens_Remanesc!$A:$C,3,0),""))</f>
        <v/>
      </c>
      <c r="G147" s="107" t="str">
        <f t="shared" si="12"/>
        <v/>
      </c>
      <c r="H147" s="105"/>
      <c r="I147" s="64" t="str">
        <f>IFERROR(IF(OR($A147="",$C147=""),"",IF(OR(($O147)="",($O147)&gt;(MIN(MATCH($C147,{"C0","C1","C2","C3","C4"},0)-1,COUNT(parametros!$F$2:$F$6)-1)),NOT(ISNUMBER(INDEX(parametros!$F$2:$F$6,(MIN(MATCH($C147,{"C0","C1","C2","C3","C4"},0)-1,COUNT(parametros!$F$2:$F$6)-1))+1))),NOT(ISNUMBER(INDEX(parametros!$F$2:$F$6,($O147)+1)))),"",INDEX(parametros!$F$2:$F$6,(MIN(MATCH($C147,{"C0","C1","C2","C3","C4"},0)-1,COUNT(parametros!$F$2:$F$6)-1))+1)/INDEX(parametros!$F$2:$F$6,($O147)+1))),"")</f>
        <v/>
      </c>
      <c r="J147" s="107" t="str">
        <f t="shared" si="13"/>
        <v/>
      </c>
      <c r="K147" s="105"/>
      <c r="L147" s="85" t="str">
        <f t="shared" si="14"/>
        <v/>
      </c>
      <c r="M147" s="483" t="str">
        <f>IF(A147="","",IF(COUNTIF(itens_Remanesc!$A$2:$A$200,A147)=0,"NOVO ITEM NAO CADASTRADO - CADASTRAR EM itens_Remanesc: ITEM + VU_ORIGINAL (QTD_BASE_ORIGINAL sera 0 automaticamente); depois a data e a quantidade aqui.",IF(COUNTIF(itens_Remanesc!$A$2:$A$200,A147)&gt;1,"ALERTA: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TIPO_INVALIDO",IF(AND(ISNUMBER(SEARCH("NOVO",D147)),OR(INDEX(posicao_contratual!$C$2:$C$200,MATCH(A147,posicao_contratual!$A$2:$A$200,0))&lt;&gt;0,F147="",COUNTIFS($A$2:$A$200,A147,$B$2:$B$200,"&lt;"&amp;B147,$L$2:$L$200,"&gt;0")&gt;0)),"ALERTA: NOVO ITEM INVALIDO - use Acrescimo se o item ja existia; novo item exige QTD_BASE_ORIGINAL 0, VU_ORIGINAL e ser o 1o acrescimo do item.",IF(AND(ISNUMBER(SEARCH("NOVO",D147)),OR(N147="",ISERROR(MATCH(N147,{"C0","C1","C2","C3","C4"},0)))),"ALERTA: BASE_VU_OBRIGATORIA",IF(AND(NOT(ISNUMBER(SEARCH("NOVO",D147))),N147&lt;&gt;""),"ALERTA: BASE_VU_NAO_APLICAVEL",IF(AND(UPPER(H147)="SIM",NOT(ISNUMBER(I147))),"ALERTA: BASE_VU_INVALIDA_OU_POSTERIOR_AO_FATOR_ALVO","OK"))))))))))</f>
        <v/>
      </c>
      <c r="N147" s="485"/>
      <c r="O147" s="487" t="str">
        <f>IFERROR(IF((COUNTIFS($A$2:$A$200,$A147,$D$2:$D$200,"*novo*",$N$2:$N$200,"C0")+COUNTIFS($A$2:$A$200,$A147,$D$2:$D$200,"*novo*",$N$2:$N$200,"C1")+COUNTIFS($A$2:$A$200,$A147,$D$2:$D$200,"*novo*",$N$2:$N$200,"C2")+COUNTIFS($A$2:$A$200,$A147,$D$2:$D$200,"*novo*",$N$2:$N$200,"C3")+COUNTIFS($A$2:$A$200,$A147,$D$2:$D$200,"*novo*",$N$2:$N$200,"C4"))=1,IF(COUNTIFS($A$2:$A$200,$A147,$D$2:$D$200,"*novo*",$N$2:$N$200,"C4")&gt;0,4,IF(COUNTIFS($A$2:$A$200,$A147,$D$2:$D$200,"*novo*",$N$2:$N$200,"C3")&gt;0,3,IF(COUNTIFS($A$2:$A$200,$A147,$D$2:$D$200,"*novo*",$N$2:$N$200,"C2")&gt;0,2,IF(COUNTIFS($A$2:$A$200,$A147,$D$2:$D$200,"*novo*",$N$2:$N$200,"C1")&gt;0,1,IF(COUNTIFS($A$2:$A$200,$A147,$D$2:$D$200,"*novo*",$N$2:$N$200,"C0")&gt;0,0,""))))),IF(AND((COUNTIFS($A$2:$A$200,$A147,$D$2:$D$200,"*novo*",$N$2:$N$200,"C0")+COUNTIFS($A$2:$A$200,$A147,$D$2:$D$200,"*novo*",$N$2:$N$200,"C1")+COUNTIFS($A$2:$A$200,$A147,$D$2:$D$200,"*novo*",$N$2:$N$200,"C2")+COUNTIFS($A$2:$A$200,$A147,$D$2:$D$200,"*novo*",$N$2:$N$200,"C3")+COUNTIFS($A$2:$A$200,$A147,$D$2:$D$200,"*novo*",$N$2:$N$200,"C4"))=0,INDEX(posicao_contratual!$Y$2:$Y$200,MATCH($A147,posicao_contratual!$A$2:$A$200,0))=0),0,"")),"")</f>
        <v/>
      </c>
    </row>
    <row r="148" spans="1:15" ht="45" customHeight="1" x14ac:dyDescent="0.35">
      <c r="A148" s="105"/>
      <c r="B148" s="189"/>
      <c r="C148" s="99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05"/>
      <c r="E148" s="106"/>
      <c r="F148" s="107" t="str">
        <f>IF(A148="","",IFERROR(VLOOKUP(A148,itens_Remanesc!$A:$C,3,0),""))</f>
        <v/>
      </c>
      <c r="G148" s="107" t="str">
        <f t="shared" si="12"/>
        <v/>
      </c>
      <c r="H148" s="105"/>
      <c r="I148" s="64" t="str">
        <f>IFERROR(IF(OR($A148="",$C148=""),"",IF(OR(($O148)="",($O148)&gt;(MIN(MATCH($C148,{"C0","C1","C2","C3","C4"},0)-1,COUNT(parametros!$F$2:$F$6)-1)),NOT(ISNUMBER(INDEX(parametros!$F$2:$F$6,(MIN(MATCH($C148,{"C0","C1","C2","C3","C4"},0)-1,COUNT(parametros!$F$2:$F$6)-1))+1))),NOT(ISNUMBER(INDEX(parametros!$F$2:$F$6,($O148)+1)))),"",INDEX(parametros!$F$2:$F$6,(MIN(MATCH($C148,{"C0","C1","C2","C3","C4"},0)-1,COUNT(parametros!$F$2:$F$6)-1))+1)/INDEX(parametros!$F$2:$F$6,($O148)+1))),"")</f>
        <v/>
      </c>
      <c r="J148" s="107" t="str">
        <f t="shared" si="13"/>
        <v/>
      </c>
      <c r="K148" s="105"/>
      <c r="L148" s="85" t="str">
        <f t="shared" si="14"/>
        <v/>
      </c>
      <c r="M148" s="483" t="str">
        <f>IF(A148="","",IF(COUNTIF(itens_Remanesc!$A$2:$A$200,A148)=0,"NOVO ITEM NAO CADASTRADO - CADASTRAR EM itens_Remanesc: ITEM + VU_ORIGINAL (QTD_BASE_ORIGINAL sera 0 automaticamente); depois a data e a quantidade aqui.",IF(COUNTIF(itens_Remanesc!$A$2:$A$200,A148)&gt;1,"ALERTA: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TIPO_INVALIDO",IF(AND(ISNUMBER(SEARCH("NOVO",D148)),OR(INDEX(posicao_contratual!$C$2:$C$200,MATCH(A148,posicao_contratual!$A$2:$A$200,0))&lt;&gt;0,F148="",COUNTIFS($A$2:$A$200,A148,$B$2:$B$200,"&lt;"&amp;B148,$L$2:$L$200,"&gt;0")&gt;0)),"ALERTA: NOVO ITEM INVALIDO - use Acrescimo se o item ja existia; novo item exige QTD_BASE_ORIGINAL 0, VU_ORIGINAL e ser o 1o acrescimo do item.",IF(AND(ISNUMBER(SEARCH("NOVO",D148)),OR(N148="",ISERROR(MATCH(N148,{"C0","C1","C2","C3","C4"},0)))),"ALERTA: BASE_VU_OBRIGATORIA",IF(AND(NOT(ISNUMBER(SEARCH("NOVO",D148))),N148&lt;&gt;""),"ALERTA: BASE_VU_NAO_APLICAVEL",IF(AND(UPPER(H148)="SIM",NOT(ISNUMBER(I148))),"ALERTA: BASE_VU_INVALIDA_OU_POSTERIOR_AO_FATOR_ALVO","OK"))))))))))</f>
        <v/>
      </c>
      <c r="N148" s="485"/>
      <c r="O148" s="487" t="str">
        <f>IFERROR(IF((COUNTIFS($A$2:$A$200,$A148,$D$2:$D$200,"*novo*",$N$2:$N$200,"C0")+COUNTIFS($A$2:$A$200,$A148,$D$2:$D$200,"*novo*",$N$2:$N$200,"C1")+COUNTIFS($A$2:$A$200,$A148,$D$2:$D$200,"*novo*",$N$2:$N$200,"C2")+COUNTIFS($A$2:$A$200,$A148,$D$2:$D$200,"*novo*",$N$2:$N$200,"C3")+COUNTIFS($A$2:$A$200,$A148,$D$2:$D$200,"*novo*",$N$2:$N$200,"C4"))=1,IF(COUNTIFS($A$2:$A$200,$A148,$D$2:$D$200,"*novo*",$N$2:$N$200,"C4")&gt;0,4,IF(COUNTIFS($A$2:$A$200,$A148,$D$2:$D$200,"*novo*",$N$2:$N$200,"C3")&gt;0,3,IF(COUNTIFS($A$2:$A$200,$A148,$D$2:$D$200,"*novo*",$N$2:$N$200,"C2")&gt;0,2,IF(COUNTIFS($A$2:$A$200,$A148,$D$2:$D$200,"*novo*",$N$2:$N$200,"C1")&gt;0,1,IF(COUNTIFS($A$2:$A$200,$A148,$D$2:$D$200,"*novo*",$N$2:$N$200,"C0")&gt;0,0,""))))),IF(AND((COUNTIFS($A$2:$A$200,$A148,$D$2:$D$200,"*novo*",$N$2:$N$200,"C0")+COUNTIFS($A$2:$A$200,$A148,$D$2:$D$200,"*novo*",$N$2:$N$200,"C1")+COUNTIFS($A$2:$A$200,$A148,$D$2:$D$200,"*novo*",$N$2:$N$200,"C2")+COUNTIFS($A$2:$A$200,$A148,$D$2:$D$200,"*novo*",$N$2:$N$200,"C3")+COUNTIFS($A$2:$A$200,$A148,$D$2:$D$200,"*novo*",$N$2:$N$200,"C4"))=0,INDEX(posicao_contratual!$Y$2:$Y$200,MATCH($A148,posicao_contratual!$A$2:$A$200,0))=0),0,"")),"")</f>
        <v/>
      </c>
    </row>
    <row r="149" spans="1:15" ht="45" customHeight="1" x14ac:dyDescent="0.35">
      <c r="A149" s="105"/>
      <c r="B149" s="189"/>
      <c r="C149" s="99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05"/>
      <c r="E149" s="106"/>
      <c r="F149" s="107" t="str">
        <f>IF(A149="","",IFERROR(VLOOKUP(A149,itens_Remanesc!$A:$C,3,0),""))</f>
        <v/>
      </c>
      <c r="G149" s="107" t="str">
        <f t="shared" si="12"/>
        <v/>
      </c>
      <c r="H149" s="105"/>
      <c r="I149" s="64" t="str">
        <f>IFERROR(IF(OR($A149="",$C149=""),"",IF(OR(($O149)="",($O149)&gt;(MIN(MATCH($C149,{"C0","C1","C2","C3","C4"},0)-1,COUNT(parametros!$F$2:$F$6)-1)),NOT(ISNUMBER(INDEX(parametros!$F$2:$F$6,(MIN(MATCH($C149,{"C0","C1","C2","C3","C4"},0)-1,COUNT(parametros!$F$2:$F$6)-1))+1))),NOT(ISNUMBER(INDEX(parametros!$F$2:$F$6,($O149)+1)))),"",INDEX(parametros!$F$2:$F$6,(MIN(MATCH($C149,{"C0","C1","C2","C3","C4"},0)-1,COUNT(parametros!$F$2:$F$6)-1))+1)/INDEX(parametros!$F$2:$F$6,($O149)+1))),"")</f>
        <v/>
      </c>
      <c r="J149" s="107" t="str">
        <f t="shared" si="13"/>
        <v/>
      </c>
      <c r="K149" s="105"/>
      <c r="L149" s="85" t="str">
        <f t="shared" si="14"/>
        <v/>
      </c>
      <c r="M149" s="483" t="str">
        <f>IF(A149="","",IF(COUNTIF(itens_Remanesc!$A$2:$A$200,A149)=0,"NOVO ITEM NAO CADASTRADO - CADASTRAR EM itens_Remanesc: ITEM + VU_ORIGINAL (QTD_BASE_ORIGINAL sera 0 automaticamente); depois a data e a quantidade aqui.",IF(COUNTIF(itens_Remanesc!$A$2:$A$200,A149)&gt;1,"ALERTA: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TIPO_INVALIDO",IF(AND(ISNUMBER(SEARCH("NOVO",D149)),OR(INDEX(posicao_contratual!$C$2:$C$200,MATCH(A149,posicao_contratual!$A$2:$A$200,0))&lt;&gt;0,F149="",COUNTIFS($A$2:$A$200,A149,$B$2:$B$200,"&lt;"&amp;B149,$L$2:$L$200,"&gt;0")&gt;0)),"ALERTA: NOVO ITEM INVALIDO - use Acrescimo se o item ja existia; novo item exige QTD_BASE_ORIGINAL 0, VU_ORIGINAL e ser o 1o acrescimo do item.",IF(AND(ISNUMBER(SEARCH("NOVO",D149)),OR(N149="",ISERROR(MATCH(N149,{"C0","C1","C2","C3","C4"},0)))),"ALERTA: BASE_VU_OBRIGATORIA",IF(AND(NOT(ISNUMBER(SEARCH("NOVO",D149))),N149&lt;&gt;""),"ALERTA: BASE_VU_NAO_APLICAVEL",IF(AND(UPPER(H149)="SIM",NOT(ISNUMBER(I149))),"ALERTA: BASE_VU_INVALIDA_OU_POSTERIOR_AO_FATOR_ALVO","OK"))))))))))</f>
        <v/>
      </c>
      <c r="N149" s="485"/>
      <c r="O149" s="487" t="str">
        <f>IFERROR(IF((COUNTIFS($A$2:$A$200,$A149,$D$2:$D$200,"*novo*",$N$2:$N$200,"C0")+COUNTIFS($A$2:$A$200,$A149,$D$2:$D$200,"*novo*",$N$2:$N$200,"C1")+COUNTIFS($A$2:$A$200,$A149,$D$2:$D$200,"*novo*",$N$2:$N$200,"C2")+COUNTIFS($A$2:$A$200,$A149,$D$2:$D$200,"*novo*",$N$2:$N$200,"C3")+COUNTIFS($A$2:$A$200,$A149,$D$2:$D$200,"*novo*",$N$2:$N$200,"C4"))=1,IF(COUNTIFS($A$2:$A$200,$A149,$D$2:$D$200,"*novo*",$N$2:$N$200,"C4")&gt;0,4,IF(COUNTIFS($A$2:$A$200,$A149,$D$2:$D$200,"*novo*",$N$2:$N$200,"C3")&gt;0,3,IF(COUNTIFS($A$2:$A$200,$A149,$D$2:$D$200,"*novo*",$N$2:$N$200,"C2")&gt;0,2,IF(COUNTIFS($A$2:$A$200,$A149,$D$2:$D$200,"*novo*",$N$2:$N$200,"C1")&gt;0,1,IF(COUNTIFS($A$2:$A$200,$A149,$D$2:$D$200,"*novo*",$N$2:$N$200,"C0")&gt;0,0,""))))),IF(AND((COUNTIFS($A$2:$A$200,$A149,$D$2:$D$200,"*novo*",$N$2:$N$200,"C0")+COUNTIFS($A$2:$A$200,$A149,$D$2:$D$200,"*novo*",$N$2:$N$200,"C1")+COUNTIFS($A$2:$A$200,$A149,$D$2:$D$200,"*novo*",$N$2:$N$200,"C2")+COUNTIFS($A$2:$A$200,$A149,$D$2:$D$200,"*novo*",$N$2:$N$200,"C3")+COUNTIFS($A$2:$A$200,$A149,$D$2:$D$200,"*novo*",$N$2:$N$200,"C4"))=0,INDEX(posicao_contratual!$Y$2:$Y$200,MATCH($A149,posicao_contratual!$A$2:$A$200,0))=0),0,"")),"")</f>
        <v/>
      </c>
    </row>
    <row r="150" spans="1:15" ht="45" customHeight="1" x14ac:dyDescent="0.35">
      <c r="A150" s="105"/>
      <c r="B150" s="189"/>
      <c r="C150" s="99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05"/>
      <c r="E150" s="106"/>
      <c r="F150" s="107" t="str">
        <f>IF(A150="","",IFERROR(VLOOKUP(A150,itens_Remanesc!$A:$C,3,0),""))</f>
        <v/>
      </c>
      <c r="G150" s="107" t="str">
        <f t="shared" si="12"/>
        <v/>
      </c>
      <c r="H150" s="105"/>
      <c r="I150" s="64" t="str">
        <f>IFERROR(IF(OR($A150="",$C150=""),"",IF(OR(($O150)="",($O150)&gt;(MIN(MATCH($C150,{"C0","C1","C2","C3","C4"},0)-1,COUNT(parametros!$F$2:$F$6)-1)),NOT(ISNUMBER(INDEX(parametros!$F$2:$F$6,(MIN(MATCH($C150,{"C0","C1","C2","C3","C4"},0)-1,COUNT(parametros!$F$2:$F$6)-1))+1))),NOT(ISNUMBER(INDEX(parametros!$F$2:$F$6,($O150)+1)))),"",INDEX(parametros!$F$2:$F$6,(MIN(MATCH($C150,{"C0","C1","C2","C3","C4"},0)-1,COUNT(parametros!$F$2:$F$6)-1))+1)/INDEX(parametros!$F$2:$F$6,($O150)+1))),"")</f>
        <v/>
      </c>
      <c r="J150" s="107" t="str">
        <f t="shared" si="13"/>
        <v/>
      </c>
      <c r="K150" s="105"/>
      <c r="L150" s="85" t="str">
        <f t="shared" si="14"/>
        <v/>
      </c>
      <c r="M150" s="483" t="str">
        <f>IF(A150="","",IF(COUNTIF(itens_Remanesc!$A$2:$A$200,A150)=0,"NOVO ITEM NAO CADASTRADO - CADASTRAR EM itens_Remanesc: ITEM + VU_ORIGINAL (QTD_BASE_ORIGINAL sera 0 automaticamente); depois a data e a quantidade aqui.",IF(COUNTIF(itens_Remanesc!$A$2:$A$200,A150)&gt;1,"ALERTA: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TIPO_INVALIDO",IF(AND(ISNUMBER(SEARCH("NOVO",D150)),OR(INDEX(posicao_contratual!$C$2:$C$200,MATCH(A150,posicao_contratual!$A$2:$A$200,0))&lt;&gt;0,F150="",COUNTIFS($A$2:$A$200,A150,$B$2:$B$200,"&lt;"&amp;B150,$L$2:$L$200,"&gt;0")&gt;0)),"ALERTA: NOVO ITEM INVALIDO - use Acrescimo se o item ja existia; novo item exige QTD_BASE_ORIGINAL 0, VU_ORIGINAL e ser o 1o acrescimo do item.",IF(AND(ISNUMBER(SEARCH("NOVO",D150)),OR(N150="",ISERROR(MATCH(N150,{"C0","C1","C2","C3","C4"},0)))),"ALERTA: BASE_VU_OBRIGATORIA",IF(AND(NOT(ISNUMBER(SEARCH("NOVO",D150))),N150&lt;&gt;""),"ALERTA: BASE_VU_NAO_APLICAVEL",IF(AND(UPPER(H150)="SIM",NOT(ISNUMBER(I150))),"ALERTA: BASE_VU_INVALIDA_OU_POSTERIOR_AO_FATOR_ALVO","OK"))))))))))</f>
        <v/>
      </c>
      <c r="N150" s="485"/>
      <c r="O150" s="487" t="str">
        <f>IFERROR(IF((COUNTIFS($A$2:$A$200,$A150,$D$2:$D$200,"*novo*",$N$2:$N$200,"C0")+COUNTIFS($A$2:$A$200,$A150,$D$2:$D$200,"*novo*",$N$2:$N$200,"C1")+COUNTIFS($A$2:$A$200,$A150,$D$2:$D$200,"*novo*",$N$2:$N$200,"C2")+COUNTIFS($A$2:$A$200,$A150,$D$2:$D$200,"*novo*",$N$2:$N$200,"C3")+COUNTIFS($A$2:$A$200,$A150,$D$2:$D$200,"*novo*",$N$2:$N$200,"C4"))=1,IF(COUNTIFS($A$2:$A$200,$A150,$D$2:$D$200,"*novo*",$N$2:$N$200,"C4")&gt;0,4,IF(COUNTIFS($A$2:$A$200,$A150,$D$2:$D$200,"*novo*",$N$2:$N$200,"C3")&gt;0,3,IF(COUNTIFS($A$2:$A$200,$A150,$D$2:$D$200,"*novo*",$N$2:$N$200,"C2")&gt;0,2,IF(COUNTIFS($A$2:$A$200,$A150,$D$2:$D$200,"*novo*",$N$2:$N$200,"C1")&gt;0,1,IF(COUNTIFS($A$2:$A$200,$A150,$D$2:$D$200,"*novo*",$N$2:$N$200,"C0")&gt;0,0,""))))),IF(AND((COUNTIFS($A$2:$A$200,$A150,$D$2:$D$200,"*novo*",$N$2:$N$200,"C0")+COUNTIFS($A$2:$A$200,$A150,$D$2:$D$200,"*novo*",$N$2:$N$200,"C1")+COUNTIFS($A$2:$A$200,$A150,$D$2:$D$200,"*novo*",$N$2:$N$200,"C2")+COUNTIFS($A$2:$A$200,$A150,$D$2:$D$200,"*novo*",$N$2:$N$200,"C3")+COUNTIFS($A$2:$A$200,$A150,$D$2:$D$200,"*novo*",$N$2:$N$200,"C4"))=0,INDEX(posicao_contratual!$Y$2:$Y$200,MATCH($A150,posicao_contratual!$A$2:$A$200,0))=0),0,"")),"")</f>
        <v/>
      </c>
    </row>
    <row r="151" spans="1:15" ht="45" customHeight="1" x14ac:dyDescent="0.35">
      <c r="A151" s="105"/>
      <c r="B151" s="189"/>
      <c r="C151" s="99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05"/>
      <c r="E151" s="106"/>
      <c r="F151" s="107" t="str">
        <f>IF(A151="","",IFERROR(VLOOKUP(A151,itens_Remanesc!$A:$C,3,0),""))</f>
        <v/>
      </c>
      <c r="G151" s="107" t="str">
        <f t="shared" si="12"/>
        <v/>
      </c>
      <c r="H151" s="105"/>
      <c r="I151" s="64" t="str">
        <f>IFERROR(IF(OR($A151="",$C151=""),"",IF(OR(($O151)="",($O151)&gt;(MIN(MATCH($C151,{"C0","C1","C2","C3","C4"},0)-1,COUNT(parametros!$F$2:$F$6)-1)),NOT(ISNUMBER(INDEX(parametros!$F$2:$F$6,(MIN(MATCH($C151,{"C0","C1","C2","C3","C4"},0)-1,COUNT(parametros!$F$2:$F$6)-1))+1))),NOT(ISNUMBER(INDEX(parametros!$F$2:$F$6,($O151)+1)))),"",INDEX(parametros!$F$2:$F$6,(MIN(MATCH($C151,{"C0","C1","C2","C3","C4"},0)-1,COUNT(parametros!$F$2:$F$6)-1))+1)/INDEX(parametros!$F$2:$F$6,($O151)+1))),"")</f>
        <v/>
      </c>
      <c r="J151" s="107" t="str">
        <f t="shared" si="13"/>
        <v/>
      </c>
      <c r="K151" s="105"/>
      <c r="L151" s="85" t="str">
        <f t="shared" si="14"/>
        <v/>
      </c>
      <c r="M151" s="483" t="str">
        <f>IF(A151="","",IF(COUNTIF(itens_Remanesc!$A$2:$A$200,A151)=0,"NOVO ITEM NAO CADASTRADO - CADASTRAR EM itens_Remanesc: ITEM + VU_ORIGINAL (QTD_BASE_ORIGINAL sera 0 automaticamente); depois a data e a quantidade aqui.",IF(COUNTIF(itens_Remanesc!$A$2:$A$200,A151)&gt;1,"ALERTA: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TIPO_INVALIDO",IF(AND(ISNUMBER(SEARCH("NOVO",D151)),OR(INDEX(posicao_contratual!$C$2:$C$200,MATCH(A151,posicao_contratual!$A$2:$A$200,0))&lt;&gt;0,F151="",COUNTIFS($A$2:$A$200,A151,$B$2:$B$200,"&lt;"&amp;B151,$L$2:$L$200,"&gt;0")&gt;0)),"ALERTA: NOVO ITEM INVALIDO - use Acrescimo se o item ja existia; novo item exige QTD_BASE_ORIGINAL 0, VU_ORIGINAL e ser o 1o acrescimo do item.",IF(AND(ISNUMBER(SEARCH("NOVO",D151)),OR(N151="",ISERROR(MATCH(N151,{"C0","C1","C2","C3","C4"},0)))),"ALERTA: BASE_VU_OBRIGATORIA",IF(AND(NOT(ISNUMBER(SEARCH("NOVO",D151))),N151&lt;&gt;""),"ALERTA: BASE_VU_NAO_APLICAVEL",IF(AND(UPPER(H151)="SIM",NOT(ISNUMBER(I151))),"ALERTA: BASE_VU_INVALIDA_OU_POSTERIOR_AO_FATOR_ALVO","OK"))))))))))</f>
        <v/>
      </c>
      <c r="N151" s="485"/>
      <c r="O151" s="487" t="str">
        <f>IFERROR(IF((COUNTIFS($A$2:$A$200,$A151,$D$2:$D$200,"*novo*",$N$2:$N$200,"C0")+COUNTIFS($A$2:$A$200,$A151,$D$2:$D$200,"*novo*",$N$2:$N$200,"C1")+COUNTIFS($A$2:$A$200,$A151,$D$2:$D$200,"*novo*",$N$2:$N$200,"C2")+COUNTIFS($A$2:$A$200,$A151,$D$2:$D$200,"*novo*",$N$2:$N$200,"C3")+COUNTIFS($A$2:$A$200,$A151,$D$2:$D$200,"*novo*",$N$2:$N$200,"C4"))=1,IF(COUNTIFS($A$2:$A$200,$A151,$D$2:$D$200,"*novo*",$N$2:$N$200,"C4")&gt;0,4,IF(COUNTIFS($A$2:$A$200,$A151,$D$2:$D$200,"*novo*",$N$2:$N$200,"C3")&gt;0,3,IF(COUNTIFS($A$2:$A$200,$A151,$D$2:$D$200,"*novo*",$N$2:$N$200,"C2")&gt;0,2,IF(COUNTIFS($A$2:$A$200,$A151,$D$2:$D$200,"*novo*",$N$2:$N$200,"C1")&gt;0,1,IF(COUNTIFS($A$2:$A$200,$A151,$D$2:$D$200,"*novo*",$N$2:$N$200,"C0")&gt;0,0,""))))),IF(AND((COUNTIFS($A$2:$A$200,$A151,$D$2:$D$200,"*novo*",$N$2:$N$200,"C0")+COUNTIFS($A$2:$A$200,$A151,$D$2:$D$200,"*novo*",$N$2:$N$200,"C1")+COUNTIFS($A$2:$A$200,$A151,$D$2:$D$200,"*novo*",$N$2:$N$200,"C2")+COUNTIFS($A$2:$A$200,$A151,$D$2:$D$200,"*novo*",$N$2:$N$200,"C3")+COUNTIFS($A$2:$A$200,$A151,$D$2:$D$200,"*novo*",$N$2:$N$200,"C4"))=0,INDEX(posicao_contratual!$Y$2:$Y$200,MATCH($A151,posicao_contratual!$A$2:$A$200,0))=0),0,"")),"")</f>
        <v/>
      </c>
    </row>
    <row r="152" spans="1:15" ht="45" customHeight="1" x14ac:dyDescent="0.35">
      <c r="A152" s="105"/>
      <c r="B152" s="189"/>
      <c r="C152" s="99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05"/>
      <c r="E152" s="106"/>
      <c r="F152" s="107" t="str">
        <f>IF(A152="","",IFERROR(VLOOKUP(A152,itens_Remanesc!$A:$C,3,0),""))</f>
        <v/>
      </c>
      <c r="G152" s="107" t="str">
        <f t="shared" si="12"/>
        <v/>
      </c>
      <c r="H152" s="105"/>
      <c r="I152" s="64" t="str">
        <f>IFERROR(IF(OR($A152="",$C152=""),"",IF(OR(($O152)="",($O152)&gt;(MIN(MATCH($C152,{"C0","C1","C2","C3","C4"},0)-1,COUNT(parametros!$F$2:$F$6)-1)),NOT(ISNUMBER(INDEX(parametros!$F$2:$F$6,(MIN(MATCH($C152,{"C0","C1","C2","C3","C4"},0)-1,COUNT(parametros!$F$2:$F$6)-1))+1))),NOT(ISNUMBER(INDEX(parametros!$F$2:$F$6,($O152)+1)))),"",INDEX(parametros!$F$2:$F$6,(MIN(MATCH($C152,{"C0","C1","C2","C3","C4"},0)-1,COUNT(parametros!$F$2:$F$6)-1))+1)/INDEX(parametros!$F$2:$F$6,($O152)+1))),"")</f>
        <v/>
      </c>
      <c r="J152" s="107" t="str">
        <f t="shared" si="13"/>
        <v/>
      </c>
      <c r="K152" s="105"/>
      <c r="L152" s="85" t="str">
        <f t="shared" si="14"/>
        <v/>
      </c>
      <c r="M152" s="483" t="str">
        <f>IF(A152="","",IF(COUNTIF(itens_Remanesc!$A$2:$A$200,A152)=0,"NOVO ITEM NAO CADASTRADO - CADASTRAR EM itens_Remanesc: ITEM + VU_ORIGINAL (QTD_BASE_ORIGINAL sera 0 automaticamente); depois a data e a quantidade aqui.",IF(COUNTIF(itens_Remanesc!$A$2:$A$200,A152)&gt;1,"ALERTA: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TIPO_INVALIDO",IF(AND(ISNUMBER(SEARCH("NOVO",D152)),OR(INDEX(posicao_contratual!$C$2:$C$200,MATCH(A152,posicao_contratual!$A$2:$A$200,0))&lt;&gt;0,F152="",COUNTIFS($A$2:$A$200,A152,$B$2:$B$200,"&lt;"&amp;B152,$L$2:$L$200,"&gt;0")&gt;0)),"ALERTA: NOVO ITEM INVALIDO - use Acrescimo se o item ja existia; novo item exige QTD_BASE_ORIGINAL 0, VU_ORIGINAL e ser o 1o acrescimo do item.",IF(AND(ISNUMBER(SEARCH("NOVO",D152)),OR(N152="",ISERROR(MATCH(N152,{"C0","C1","C2","C3","C4"},0)))),"ALERTA: BASE_VU_OBRIGATORIA",IF(AND(NOT(ISNUMBER(SEARCH("NOVO",D152))),N152&lt;&gt;""),"ALERTA: BASE_VU_NAO_APLICAVEL",IF(AND(UPPER(H152)="SIM",NOT(ISNUMBER(I152))),"ALERTA: BASE_VU_INVALIDA_OU_POSTERIOR_AO_FATOR_ALVO","OK"))))))))))</f>
        <v/>
      </c>
      <c r="N152" s="485"/>
      <c r="O152" s="487" t="str">
        <f>IFERROR(IF((COUNTIFS($A$2:$A$200,$A152,$D$2:$D$200,"*novo*",$N$2:$N$200,"C0")+COUNTIFS($A$2:$A$200,$A152,$D$2:$D$200,"*novo*",$N$2:$N$200,"C1")+COUNTIFS($A$2:$A$200,$A152,$D$2:$D$200,"*novo*",$N$2:$N$200,"C2")+COUNTIFS($A$2:$A$200,$A152,$D$2:$D$200,"*novo*",$N$2:$N$200,"C3")+COUNTIFS($A$2:$A$200,$A152,$D$2:$D$200,"*novo*",$N$2:$N$200,"C4"))=1,IF(COUNTIFS($A$2:$A$200,$A152,$D$2:$D$200,"*novo*",$N$2:$N$200,"C4")&gt;0,4,IF(COUNTIFS($A$2:$A$200,$A152,$D$2:$D$200,"*novo*",$N$2:$N$200,"C3")&gt;0,3,IF(COUNTIFS($A$2:$A$200,$A152,$D$2:$D$200,"*novo*",$N$2:$N$200,"C2")&gt;0,2,IF(COUNTIFS($A$2:$A$200,$A152,$D$2:$D$200,"*novo*",$N$2:$N$200,"C1")&gt;0,1,IF(COUNTIFS($A$2:$A$200,$A152,$D$2:$D$200,"*novo*",$N$2:$N$200,"C0")&gt;0,0,""))))),IF(AND((COUNTIFS($A$2:$A$200,$A152,$D$2:$D$200,"*novo*",$N$2:$N$200,"C0")+COUNTIFS($A$2:$A$200,$A152,$D$2:$D$200,"*novo*",$N$2:$N$200,"C1")+COUNTIFS($A$2:$A$200,$A152,$D$2:$D$200,"*novo*",$N$2:$N$200,"C2")+COUNTIFS($A$2:$A$200,$A152,$D$2:$D$200,"*novo*",$N$2:$N$200,"C3")+COUNTIFS($A$2:$A$200,$A152,$D$2:$D$200,"*novo*",$N$2:$N$200,"C4"))=0,INDEX(posicao_contratual!$Y$2:$Y$200,MATCH($A152,posicao_contratual!$A$2:$A$200,0))=0),0,"")),"")</f>
        <v/>
      </c>
    </row>
    <row r="153" spans="1:15" ht="45" customHeight="1" x14ac:dyDescent="0.35">
      <c r="A153" s="105"/>
      <c r="B153" s="189"/>
      <c r="C153" s="99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05"/>
      <c r="E153" s="106"/>
      <c r="F153" s="107" t="str">
        <f>IF(A153="","",IFERROR(VLOOKUP(A153,itens_Remanesc!$A:$C,3,0),""))</f>
        <v/>
      </c>
      <c r="G153" s="107" t="str">
        <f t="shared" si="12"/>
        <v/>
      </c>
      <c r="H153" s="105"/>
      <c r="I153" s="64" t="str">
        <f>IFERROR(IF(OR($A153="",$C153=""),"",IF(OR(($O153)="",($O153)&gt;(MIN(MATCH($C153,{"C0","C1","C2","C3","C4"},0)-1,COUNT(parametros!$F$2:$F$6)-1)),NOT(ISNUMBER(INDEX(parametros!$F$2:$F$6,(MIN(MATCH($C153,{"C0","C1","C2","C3","C4"},0)-1,COUNT(parametros!$F$2:$F$6)-1))+1))),NOT(ISNUMBER(INDEX(parametros!$F$2:$F$6,($O153)+1)))),"",INDEX(parametros!$F$2:$F$6,(MIN(MATCH($C153,{"C0","C1","C2","C3","C4"},0)-1,COUNT(parametros!$F$2:$F$6)-1))+1)/INDEX(parametros!$F$2:$F$6,($O153)+1))),"")</f>
        <v/>
      </c>
      <c r="J153" s="107" t="str">
        <f t="shared" si="13"/>
        <v/>
      </c>
      <c r="K153" s="105"/>
      <c r="L153" s="85" t="str">
        <f t="shared" si="14"/>
        <v/>
      </c>
      <c r="M153" s="483" t="str">
        <f>IF(A153="","",IF(COUNTIF(itens_Remanesc!$A$2:$A$200,A153)=0,"NOVO ITEM NAO CADASTRADO - CADASTRAR EM itens_Remanesc: ITEM + VU_ORIGINAL (QTD_BASE_ORIGINAL sera 0 automaticamente); depois a data e a quantidade aqui.",IF(COUNTIF(itens_Remanesc!$A$2:$A$200,A153)&gt;1,"ALERTA: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TIPO_INVALIDO",IF(AND(ISNUMBER(SEARCH("NOVO",D153)),OR(INDEX(posicao_contratual!$C$2:$C$200,MATCH(A153,posicao_contratual!$A$2:$A$200,0))&lt;&gt;0,F153="",COUNTIFS($A$2:$A$200,A153,$B$2:$B$200,"&lt;"&amp;B153,$L$2:$L$200,"&gt;0")&gt;0)),"ALERTA: NOVO ITEM INVALIDO - use Acrescimo se o item ja existia; novo item exige QTD_BASE_ORIGINAL 0, VU_ORIGINAL e ser o 1o acrescimo do item.",IF(AND(ISNUMBER(SEARCH("NOVO",D153)),OR(N153="",ISERROR(MATCH(N153,{"C0","C1","C2","C3","C4"},0)))),"ALERTA: BASE_VU_OBRIGATORIA",IF(AND(NOT(ISNUMBER(SEARCH("NOVO",D153))),N153&lt;&gt;""),"ALERTA: BASE_VU_NAO_APLICAVEL",IF(AND(UPPER(H153)="SIM",NOT(ISNUMBER(I153))),"ALERTA: BASE_VU_INVALIDA_OU_POSTERIOR_AO_FATOR_ALVO","OK"))))))))))</f>
        <v/>
      </c>
      <c r="N153" s="485"/>
      <c r="O153" s="487" t="str">
        <f>IFERROR(IF((COUNTIFS($A$2:$A$200,$A153,$D$2:$D$200,"*novo*",$N$2:$N$200,"C0")+COUNTIFS($A$2:$A$200,$A153,$D$2:$D$200,"*novo*",$N$2:$N$200,"C1")+COUNTIFS($A$2:$A$200,$A153,$D$2:$D$200,"*novo*",$N$2:$N$200,"C2")+COUNTIFS($A$2:$A$200,$A153,$D$2:$D$200,"*novo*",$N$2:$N$200,"C3")+COUNTIFS($A$2:$A$200,$A153,$D$2:$D$200,"*novo*",$N$2:$N$200,"C4"))=1,IF(COUNTIFS($A$2:$A$200,$A153,$D$2:$D$200,"*novo*",$N$2:$N$200,"C4")&gt;0,4,IF(COUNTIFS($A$2:$A$200,$A153,$D$2:$D$200,"*novo*",$N$2:$N$200,"C3")&gt;0,3,IF(COUNTIFS($A$2:$A$200,$A153,$D$2:$D$200,"*novo*",$N$2:$N$200,"C2")&gt;0,2,IF(COUNTIFS($A$2:$A$200,$A153,$D$2:$D$200,"*novo*",$N$2:$N$200,"C1")&gt;0,1,IF(COUNTIFS($A$2:$A$200,$A153,$D$2:$D$200,"*novo*",$N$2:$N$200,"C0")&gt;0,0,""))))),IF(AND((COUNTIFS($A$2:$A$200,$A153,$D$2:$D$200,"*novo*",$N$2:$N$200,"C0")+COUNTIFS($A$2:$A$200,$A153,$D$2:$D$200,"*novo*",$N$2:$N$200,"C1")+COUNTIFS($A$2:$A$200,$A153,$D$2:$D$200,"*novo*",$N$2:$N$200,"C2")+COUNTIFS($A$2:$A$200,$A153,$D$2:$D$200,"*novo*",$N$2:$N$200,"C3")+COUNTIFS($A$2:$A$200,$A153,$D$2:$D$200,"*novo*",$N$2:$N$200,"C4"))=0,INDEX(posicao_contratual!$Y$2:$Y$200,MATCH($A153,posicao_contratual!$A$2:$A$200,0))=0),0,"")),"")</f>
        <v/>
      </c>
    </row>
    <row r="154" spans="1:15" ht="45" customHeight="1" x14ac:dyDescent="0.35">
      <c r="A154" s="105"/>
      <c r="B154" s="189"/>
      <c r="C154" s="99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05"/>
      <c r="E154" s="106"/>
      <c r="F154" s="107" t="str">
        <f>IF(A154="","",IFERROR(VLOOKUP(A154,itens_Remanesc!$A:$C,3,0),""))</f>
        <v/>
      </c>
      <c r="G154" s="107" t="str">
        <f t="shared" si="12"/>
        <v/>
      </c>
      <c r="H154" s="105"/>
      <c r="I154" s="64" t="str">
        <f>IFERROR(IF(OR($A154="",$C154=""),"",IF(OR(($O154)="",($O154)&gt;(MIN(MATCH($C154,{"C0","C1","C2","C3","C4"},0)-1,COUNT(parametros!$F$2:$F$6)-1)),NOT(ISNUMBER(INDEX(parametros!$F$2:$F$6,(MIN(MATCH($C154,{"C0","C1","C2","C3","C4"},0)-1,COUNT(parametros!$F$2:$F$6)-1))+1))),NOT(ISNUMBER(INDEX(parametros!$F$2:$F$6,($O154)+1)))),"",INDEX(parametros!$F$2:$F$6,(MIN(MATCH($C154,{"C0","C1","C2","C3","C4"},0)-1,COUNT(parametros!$F$2:$F$6)-1))+1)/INDEX(parametros!$F$2:$F$6,($O154)+1))),"")</f>
        <v/>
      </c>
      <c r="J154" s="107" t="str">
        <f t="shared" si="13"/>
        <v/>
      </c>
      <c r="K154" s="105"/>
      <c r="L154" s="85" t="str">
        <f t="shared" si="14"/>
        <v/>
      </c>
      <c r="M154" s="483" t="str">
        <f>IF(A154="","",IF(COUNTIF(itens_Remanesc!$A$2:$A$200,A154)=0,"NOVO ITEM NAO CADASTRADO - CADASTRAR EM itens_Remanesc: ITEM + VU_ORIGINAL (QTD_BASE_ORIGINAL sera 0 automaticamente); depois a data e a quantidade aqui.",IF(COUNTIF(itens_Remanesc!$A$2:$A$200,A154)&gt;1,"ALERTA: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TIPO_INVALIDO",IF(AND(ISNUMBER(SEARCH("NOVO",D154)),OR(INDEX(posicao_contratual!$C$2:$C$200,MATCH(A154,posicao_contratual!$A$2:$A$200,0))&lt;&gt;0,F154="",COUNTIFS($A$2:$A$200,A154,$B$2:$B$200,"&lt;"&amp;B154,$L$2:$L$200,"&gt;0")&gt;0)),"ALERTA: NOVO ITEM INVALIDO - use Acrescimo se o item ja existia; novo item exige QTD_BASE_ORIGINAL 0, VU_ORIGINAL e ser o 1o acrescimo do item.",IF(AND(ISNUMBER(SEARCH("NOVO",D154)),OR(N154="",ISERROR(MATCH(N154,{"C0","C1","C2","C3","C4"},0)))),"ALERTA: BASE_VU_OBRIGATORIA",IF(AND(NOT(ISNUMBER(SEARCH("NOVO",D154))),N154&lt;&gt;""),"ALERTA: BASE_VU_NAO_APLICAVEL",IF(AND(UPPER(H154)="SIM",NOT(ISNUMBER(I154))),"ALERTA: BASE_VU_INVALIDA_OU_POSTERIOR_AO_FATOR_ALVO","OK"))))))))))</f>
        <v/>
      </c>
      <c r="N154" s="485"/>
      <c r="O154" s="487" t="str">
        <f>IFERROR(IF((COUNTIFS($A$2:$A$200,$A154,$D$2:$D$200,"*novo*",$N$2:$N$200,"C0")+COUNTIFS($A$2:$A$200,$A154,$D$2:$D$200,"*novo*",$N$2:$N$200,"C1")+COUNTIFS($A$2:$A$200,$A154,$D$2:$D$200,"*novo*",$N$2:$N$200,"C2")+COUNTIFS($A$2:$A$200,$A154,$D$2:$D$200,"*novo*",$N$2:$N$200,"C3")+COUNTIFS($A$2:$A$200,$A154,$D$2:$D$200,"*novo*",$N$2:$N$200,"C4"))=1,IF(COUNTIFS($A$2:$A$200,$A154,$D$2:$D$200,"*novo*",$N$2:$N$200,"C4")&gt;0,4,IF(COUNTIFS($A$2:$A$200,$A154,$D$2:$D$200,"*novo*",$N$2:$N$200,"C3")&gt;0,3,IF(COUNTIFS($A$2:$A$200,$A154,$D$2:$D$200,"*novo*",$N$2:$N$200,"C2")&gt;0,2,IF(COUNTIFS($A$2:$A$200,$A154,$D$2:$D$200,"*novo*",$N$2:$N$200,"C1")&gt;0,1,IF(COUNTIFS($A$2:$A$200,$A154,$D$2:$D$200,"*novo*",$N$2:$N$200,"C0")&gt;0,0,""))))),IF(AND((COUNTIFS($A$2:$A$200,$A154,$D$2:$D$200,"*novo*",$N$2:$N$200,"C0")+COUNTIFS($A$2:$A$200,$A154,$D$2:$D$200,"*novo*",$N$2:$N$200,"C1")+COUNTIFS($A$2:$A$200,$A154,$D$2:$D$200,"*novo*",$N$2:$N$200,"C2")+COUNTIFS($A$2:$A$200,$A154,$D$2:$D$200,"*novo*",$N$2:$N$200,"C3")+COUNTIFS($A$2:$A$200,$A154,$D$2:$D$200,"*novo*",$N$2:$N$200,"C4"))=0,INDEX(posicao_contratual!$Y$2:$Y$200,MATCH($A154,posicao_contratual!$A$2:$A$200,0))=0),0,"")),"")</f>
        <v/>
      </c>
    </row>
    <row r="155" spans="1:15" ht="45" customHeight="1" x14ac:dyDescent="0.35">
      <c r="A155" s="105"/>
      <c r="B155" s="189"/>
      <c r="C155" s="99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05"/>
      <c r="E155" s="106"/>
      <c r="F155" s="107" t="str">
        <f>IF(A155="","",IFERROR(VLOOKUP(A155,itens_Remanesc!$A:$C,3,0),""))</f>
        <v/>
      </c>
      <c r="G155" s="107" t="str">
        <f t="shared" si="12"/>
        <v/>
      </c>
      <c r="H155" s="105"/>
      <c r="I155" s="64" t="str">
        <f>IFERROR(IF(OR($A155="",$C155=""),"",IF(OR(($O155)="",($O155)&gt;(MIN(MATCH($C155,{"C0","C1","C2","C3","C4"},0)-1,COUNT(parametros!$F$2:$F$6)-1)),NOT(ISNUMBER(INDEX(parametros!$F$2:$F$6,(MIN(MATCH($C155,{"C0","C1","C2","C3","C4"},0)-1,COUNT(parametros!$F$2:$F$6)-1))+1))),NOT(ISNUMBER(INDEX(parametros!$F$2:$F$6,($O155)+1)))),"",INDEX(parametros!$F$2:$F$6,(MIN(MATCH($C155,{"C0","C1","C2","C3","C4"},0)-1,COUNT(parametros!$F$2:$F$6)-1))+1)/INDEX(parametros!$F$2:$F$6,($O155)+1))),"")</f>
        <v/>
      </c>
      <c r="J155" s="107" t="str">
        <f t="shared" si="13"/>
        <v/>
      </c>
      <c r="K155" s="105"/>
      <c r="L155" s="85" t="str">
        <f t="shared" si="14"/>
        <v/>
      </c>
      <c r="M155" s="483" t="str">
        <f>IF(A155="","",IF(COUNTIF(itens_Remanesc!$A$2:$A$200,A155)=0,"NOVO ITEM NAO CADASTRADO - CADASTRAR EM itens_Remanesc: ITEM + VU_ORIGINAL (QTD_BASE_ORIGINAL sera 0 automaticamente); depois a data e a quantidade aqui.",IF(COUNTIF(itens_Remanesc!$A$2:$A$200,A155)&gt;1,"ALERTA: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TIPO_INVALIDO",IF(AND(ISNUMBER(SEARCH("NOVO",D155)),OR(INDEX(posicao_contratual!$C$2:$C$200,MATCH(A155,posicao_contratual!$A$2:$A$200,0))&lt;&gt;0,F155="",COUNTIFS($A$2:$A$200,A155,$B$2:$B$200,"&lt;"&amp;B155,$L$2:$L$200,"&gt;0")&gt;0)),"ALERTA: NOVO ITEM INVALIDO - use Acrescimo se o item ja existia; novo item exige QTD_BASE_ORIGINAL 0, VU_ORIGINAL e ser o 1o acrescimo do item.",IF(AND(ISNUMBER(SEARCH("NOVO",D155)),OR(N155="",ISERROR(MATCH(N155,{"C0","C1","C2","C3","C4"},0)))),"ALERTA: BASE_VU_OBRIGATORIA",IF(AND(NOT(ISNUMBER(SEARCH("NOVO",D155))),N155&lt;&gt;""),"ALERTA: BASE_VU_NAO_APLICAVEL",IF(AND(UPPER(H155)="SIM",NOT(ISNUMBER(I155))),"ALERTA: BASE_VU_INVALIDA_OU_POSTERIOR_AO_FATOR_ALVO","OK"))))))))))</f>
        <v/>
      </c>
      <c r="N155" s="485"/>
      <c r="O155" s="487" t="str">
        <f>IFERROR(IF((COUNTIFS($A$2:$A$200,$A155,$D$2:$D$200,"*novo*",$N$2:$N$200,"C0")+COUNTIFS($A$2:$A$200,$A155,$D$2:$D$200,"*novo*",$N$2:$N$200,"C1")+COUNTIFS($A$2:$A$200,$A155,$D$2:$D$200,"*novo*",$N$2:$N$200,"C2")+COUNTIFS($A$2:$A$200,$A155,$D$2:$D$200,"*novo*",$N$2:$N$200,"C3")+COUNTIFS($A$2:$A$200,$A155,$D$2:$D$200,"*novo*",$N$2:$N$200,"C4"))=1,IF(COUNTIFS($A$2:$A$200,$A155,$D$2:$D$200,"*novo*",$N$2:$N$200,"C4")&gt;0,4,IF(COUNTIFS($A$2:$A$200,$A155,$D$2:$D$200,"*novo*",$N$2:$N$200,"C3")&gt;0,3,IF(COUNTIFS($A$2:$A$200,$A155,$D$2:$D$200,"*novo*",$N$2:$N$200,"C2")&gt;0,2,IF(COUNTIFS($A$2:$A$200,$A155,$D$2:$D$200,"*novo*",$N$2:$N$200,"C1")&gt;0,1,IF(COUNTIFS($A$2:$A$200,$A155,$D$2:$D$200,"*novo*",$N$2:$N$200,"C0")&gt;0,0,""))))),IF(AND((COUNTIFS($A$2:$A$200,$A155,$D$2:$D$200,"*novo*",$N$2:$N$200,"C0")+COUNTIFS($A$2:$A$200,$A155,$D$2:$D$200,"*novo*",$N$2:$N$200,"C1")+COUNTIFS($A$2:$A$200,$A155,$D$2:$D$200,"*novo*",$N$2:$N$200,"C2")+COUNTIFS($A$2:$A$200,$A155,$D$2:$D$200,"*novo*",$N$2:$N$200,"C3")+COUNTIFS($A$2:$A$200,$A155,$D$2:$D$200,"*novo*",$N$2:$N$200,"C4"))=0,INDEX(posicao_contratual!$Y$2:$Y$200,MATCH($A155,posicao_contratual!$A$2:$A$200,0))=0),0,"")),"")</f>
        <v/>
      </c>
    </row>
    <row r="156" spans="1:15" ht="45" customHeight="1" x14ac:dyDescent="0.35">
      <c r="A156" s="105"/>
      <c r="B156" s="189"/>
      <c r="C156" s="99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05"/>
      <c r="E156" s="106"/>
      <c r="F156" s="107" t="str">
        <f>IF(A156="","",IFERROR(VLOOKUP(A156,itens_Remanesc!$A:$C,3,0),""))</f>
        <v/>
      </c>
      <c r="G156" s="107" t="str">
        <f t="shared" si="12"/>
        <v/>
      </c>
      <c r="H156" s="105"/>
      <c r="I156" s="64" t="str">
        <f>IFERROR(IF(OR($A156="",$C156=""),"",IF(OR(($O156)="",($O156)&gt;(MIN(MATCH($C156,{"C0","C1","C2","C3","C4"},0)-1,COUNT(parametros!$F$2:$F$6)-1)),NOT(ISNUMBER(INDEX(parametros!$F$2:$F$6,(MIN(MATCH($C156,{"C0","C1","C2","C3","C4"},0)-1,COUNT(parametros!$F$2:$F$6)-1))+1))),NOT(ISNUMBER(INDEX(parametros!$F$2:$F$6,($O156)+1)))),"",INDEX(parametros!$F$2:$F$6,(MIN(MATCH($C156,{"C0","C1","C2","C3","C4"},0)-1,COUNT(parametros!$F$2:$F$6)-1))+1)/INDEX(parametros!$F$2:$F$6,($O156)+1))),"")</f>
        <v/>
      </c>
      <c r="J156" s="107" t="str">
        <f t="shared" si="13"/>
        <v/>
      </c>
      <c r="K156" s="105"/>
      <c r="L156" s="85" t="str">
        <f t="shared" si="14"/>
        <v/>
      </c>
      <c r="M156" s="483" t="str">
        <f>IF(A156="","",IF(COUNTIF(itens_Remanesc!$A$2:$A$200,A156)=0,"NOVO ITEM NAO CADASTRADO - CADASTRAR EM itens_Remanesc: ITEM + VU_ORIGINAL (QTD_BASE_ORIGINAL sera 0 automaticamente); depois a data e a quantidade aqui.",IF(COUNTIF(itens_Remanesc!$A$2:$A$200,A156)&gt;1,"ALERTA: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TIPO_INVALIDO",IF(AND(ISNUMBER(SEARCH("NOVO",D156)),OR(INDEX(posicao_contratual!$C$2:$C$200,MATCH(A156,posicao_contratual!$A$2:$A$200,0))&lt;&gt;0,F156="",COUNTIFS($A$2:$A$200,A156,$B$2:$B$200,"&lt;"&amp;B156,$L$2:$L$200,"&gt;0")&gt;0)),"ALERTA: NOVO ITEM INVALIDO - use Acrescimo se o item ja existia; novo item exige QTD_BASE_ORIGINAL 0, VU_ORIGINAL e ser o 1o acrescimo do item.",IF(AND(ISNUMBER(SEARCH("NOVO",D156)),OR(N156="",ISERROR(MATCH(N156,{"C0","C1","C2","C3","C4"},0)))),"ALERTA: BASE_VU_OBRIGATORIA",IF(AND(NOT(ISNUMBER(SEARCH("NOVO",D156))),N156&lt;&gt;""),"ALERTA: BASE_VU_NAO_APLICAVEL",IF(AND(UPPER(H156)="SIM",NOT(ISNUMBER(I156))),"ALERTA: BASE_VU_INVALIDA_OU_POSTERIOR_AO_FATOR_ALVO","OK"))))))))))</f>
        <v/>
      </c>
      <c r="N156" s="485"/>
      <c r="O156" s="487" t="str">
        <f>IFERROR(IF((COUNTIFS($A$2:$A$200,$A156,$D$2:$D$200,"*novo*",$N$2:$N$200,"C0")+COUNTIFS($A$2:$A$200,$A156,$D$2:$D$200,"*novo*",$N$2:$N$200,"C1")+COUNTIFS($A$2:$A$200,$A156,$D$2:$D$200,"*novo*",$N$2:$N$200,"C2")+COUNTIFS($A$2:$A$200,$A156,$D$2:$D$200,"*novo*",$N$2:$N$200,"C3")+COUNTIFS($A$2:$A$200,$A156,$D$2:$D$200,"*novo*",$N$2:$N$200,"C4"))=1,IF(COUNTIFS($A$2:$A$200,$A156,$D$2:$D$200,"*novo*",$N$2:$N$200,"C4")&gt;0,4,IF(COUNTIFS($A$2:$A$200,$A156,$D$2:$D$200,"*novo*",$N$2:$N$200,"C3")&gt;0,3,IF(COUNTIFS($A$2:$A$200,$A156,$D$2:$D$200,"*novo*",$N$2:$N$200,"C2")&gt;0,2,IF(COUNTIFS($A$2:$A$200,$A156,$D$2:$D$200,"*novo*",$N$2:$N$200,"C1")&gt;0,1,IF(COUNTIFS($A$2:$A$200,$A156,$D$2:$D$200,"*novo*",$N$2:$N$200,"C0")&gt;0,0,""))))),IF(AND((COUNTIFS($A$2:$A$200,$A156,$D$2:$D$200,"*novo*",$N$2:$N$200,"C0")+COUNTIFS($A$2:$A$200,$A156,$D$2:$D$200,"*novo*",$N$2:$N$200,"C1")+COUNTIFS($A$2:$A$200,$A156,$D$2:$D$200,"*novo*",$N$2:$N$200,"C2")+COUNTIFS($A$2:$A$200,$A156,$D$2:$D$200,"*novo*",$N$2:$N$200,"C3")+COUNTIFS($A$2:$A$200,$A156,$D$2:$D$200,"*novo*",$N$2:$N$200,"C4"))=0,INDEX(posicao_contratual!$Y$2:$Y$200,MATCH($A156,posicao_contratual!$A$2:$A$200,0))=0),0,"")),"")</f>
        <v/>
      </c>
    </row>
    <row r="157" spans="1:15" ht="45" customHeight="1" x14ac:dyDescent="0.35">
      <c r="A157" s="105"/>
      <c r="B157" s="189"/>
      <c r="C157" s="99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05"/>
      <c r="E157" s="106"/>
      <c r="F157" s="107" t="str">
        <f>IF(A157="","",IFERROR(VLOOKUP(A157,itens_Remanesc!$A:$C,3,0),""))</f>
        <v/>
      </c>
      <c r="G157" s="107" t="str">
        <f t="shared" si="12"/>
        <v/>
      </c>
      <c r="H157" s="105"/>
      <c r="I157" s="64" t="str">
        <f>IFERROR(IF(OR($A157="",$C157=""),"",IF(OR(($O157)="",($O157)&gt;(MIN(MATCH($C157,{"C0","C1","C2","C3","C4"},0)-1,COUNT(parametros!$F$2:$F$6)-1)),NOT(ISNUMBER(INDEX(parametros!$F$2:$F$6,(MIN(MATCH($C157,{"C0","C1","C2","C3","C4"},0)-1,COUNT(parametros!$F$2:$F$6)-1))+1))),NOT(ISNUMBER(INDEX(parametros!$F$2:$F$6,($O157)+1)))),"",INDEX(parametros!$F$2:$F$6,(MIN(MATCH($C157,{"C0","C1","C2","C3","C4"},0)-1,COUNT(parametros!$F$2:$F$6)-1))+1)/INDEX(parametros!$F$2:$F$6,($O157)+1))),"")</f>
        <v/>
      </c>
      <c r="J157" s="107" t="str">
        <f t="shared" si="13"/>
        <v/>
      </c>
      <c r="K157" s="105"/>
      <c r="L157" s="85" t="str">
        <f t="shared" si="14"/>
        <v/>
      </c>
      <c r="M157" s="483" t="str">
        <f>IF(A157="","",IF(COUNTIF(itens_Remanesc!$A$2:$A$200,A157)=0,"NOVO ITEM NAO CADASTRADO - CADASTRAR EM itens_Remanesc: ITEM + VU_ORIGINAL (QTD_BASE_ORIGINAL sera 0 automaticamente); depois a data e a quantidade aqui.",IF(COUNTIF(itens_Remanesc!$A$2:$A$200,A157)&gt;1,"ALERTA: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TIPO_INVALIDO",IF(AND(ISNUMBER(SEARCH("NOVO",D157)),OR(INDEX(posicao_contratual!$C$2:$C$200,MATCH(A157,posicao_contratual!$A$2:$A$200,0))&lt;&gt;0,F157="",COUNTIFS($A$2:$A$200,A157,$B$2:$B$200,"&lt;"&amp;B157,$L$2:$L$200,"&gt;0")&gt;0)),"ALERTA: NOVO ITEM INVALIDO - use Acrescimo se o item ja existia; novo item exige QTD_BASE_ORIGINAL 0, VU_ORIGINAL e ser o 1o acrescimo do item.",IF(AND(ISNUMBER(SEARCH("NOVO",D157)),OR(N157="",ISERROR(MATCH(N157,{"C0","C1","C2","C3","C4"},0)))),"ALERTA: BASE_VU_OBRIGATORIA",IF(AND(NOT(ISNUMBER(SEARCH("NOVO",D157))),N157&lt;&gt;""),"ALERTA: BASE_VU_NAO_APLICAVEL",IF(AND(UPPER(H157)="SIM",NOT(ISNUMBER(I157))),"ALERTA: BASE_VU_INVALIDA_OU_POSTERIOR_AO_FATOR_ALVO","OK"))))))))))</f>
        <v/>
      </c>
      <c r="N157" s="485"/>
      <c r="O157" s="487" t="str">
        <f>IFERROR(IF((COUNTIFS($A$2:$A$200,$A157,$D$2:$D$200,"*novo*",$N$2:$N$200,"C0")+COUNTIFS($A$2:$A$200,$A157,$D$2:$D$200,"*novo*",$N$2:$N$200,"C1")+COUNTIFS($A$2:$A$200,$A157,$D$2:$D$200,"*novo*",$N$2:$N$200,"C2")+COUNTIFS($A$2:$A$200,$A157,$D$2:$D$200,"*novo*",$N$2:$N$200,"C3")+COUNTIFS($A$2:$A$200,$A157,$D$2:$D$200,"*novo*",$N$2:$N$200,"C4"))=1,IF(COUNTIFS($A$2:$A$200,$A157,$D$2:$D$200,"*novo*",$N$2:$N$200,"C4")&gt;0,4,IF(COUNTIFS($A$2:$A$200,$A157,$D$2:$D$200,"*novo*",$N$2:$N$200,"C3")&gt;0,3,IF(COUNTIFS($A$2:$A$200,$A157,$D$2:$D$200,"*novo*",$N$2:$N$200,"C2")&gt;0,2,IF(COUNTIFS($A$2:$A$200,$A157,$D$2:$D$200,"*novo*",$N$2:$N$200,"C1")&gt;0,1,IF(COUNTIFS($A$2:$A$200,$A157,$D$2:$D$200,"*novo*",$N$2:$N$200,"C0")&gt;0,0,""))))),IF(AND((COUNTIFS($A$2:$A$200,$A157,$D$2:$D$200,"*novo*",$N$2:$N$200,"C0")+COUNTIFS($A$2:$A$200,$A157,$D$2:$D$200,"*novo*",$N$2:$N$200,"C1")+COUNTIFS($A$2:$A$200,$A157,$D$2:$D$200,"*novo*",$N$2:$N$200,"C2")+COUNTIFS($A$2:$A$200,$A157,$D$2:$D$200,"*novo*",$N$2:$N$200,"C3")+COUNTIFS($A$2:$A$200,$A157,$D$2:$D$200,"*novo*",$N$2:$N$200,"C4"))=0,INDEX(posicao_contratual!$Y$2:$Y$200,MATCH($A157,posicao_contratual!$A$2:$A$200,0))=0),0,"")),"")</f>
        <v/>
      </c>
    </row>
    <row r="158" spans="1:15" ht="45" customHeight="1" x14ac:dyDescent="0.35">
      <c r="A158" s="105"/>
      <c r="B158" s="189"/>
      <c r="C158" s="99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05"/>
      <c r="E158" s="106"/>
      <c r="F158" s="107" t="str">
        <f>IF(A158="","",IFERROR(VLOOKUP(A158,itens_Remanesc!$A:$C,3,0),""))</f>
        <v/>
      </c>
      <c r="G158" s="107" t="str">
        <f t="shared" si="12"/>
        <v/>
      </c>
      <c r="H158" s="105"/>
      <c r="I158" s="64" t="str">
        <f>IFERROR(IF(OR($A158="",$C158=""),"",IF(OR(($O158)="",($O158)&gt;(MIN(MATCH($C158,{"C0","C1","C2","C3","C4"},0)-1,COUNT(parametros!$F$2:$F$6)-1)),NOT(ISNUMBER(INDEX(parametros!$F$2:$F$6,(MIN(MATCH($C158,{"C0","C1","C2","C3","C4"},0)-1,COUNT(parametros!$F$2:$F$6)-1))+1))),NOT(ISNUMBER(INDEX(parametros!$F$2:$F$6,($O158)+1)))),"",INDEX(parametros!$F$2:$F$6,(MIN(MATCH($C158,{"C0","C1","C2","C3","C4"},0)-1,COUNT(parametros!$F$2:$F$6)-1))+1)/INDEX(parametros!$F$2:$F$6,($O158)+1))),"")</f>
        <v/>
      </c>
      <c r="J158" s="107" t="str">
        <f t="shared" si="13"/>
        <v/>
      </c>
      <c r="K158" s="105"/>
      <c r="L158" s="85" t="str">
        <f t="shared" si="14"/>
        <v/>
      </c>
      <c r="M158" s="483" t="str">
        <f>IF(A158="","",IF(COUNTIF(itens_Remanesc!$A$2:$A$200,A158)=0,"NOVO ITEM NAO CADASTRADO - CADASTRAR EM itens_Remanesc: ITEM + VU_ORIGINAL (QTD_BASE_ORIGINAL sera 0 automaticamente); depois a data e a quantidade aqui.",IF(COUNTIF(itens_Remanesc!$A$2:$A$200,A158)&gt;1,"ALERTA: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TIPO_INVALIDO",IF(AND(ISNUMBER(SEARCH("NOVO",D158)),OR(INDEX(posicao_contratual!$C$2:$C$200,MATCH(A158,posicao_contratual!$A$2:$A$200,0))&lt;&gt;0,F158="",COUNTIFS($A$2:$A$200,A158,$B$2:$B$200,"&lt;"&amp;B158,$L$2:$L$200,"&gt;0")&gt;0)),"ALERTA: NOVO ITEM INVALIDO - use Acrescimo se o item ja existia; novo item exige QTD_BASE_ORIGINAL 0, VU_ORIGINAL e ser o 1o acrescimo do item.",IF(AND(ISNUMBER(SEARCH("NOVO",D158)),OR(N158="",ISERROR(MATCH(N158,{"C0","C1","C2","C3","C4"},0)))),"ALERTA: BASE_VU_OBRIGATORIA",IF(AND(NOT(ISNUMBER(SEARCH("NOVO",D158))),N158&lt;&gt;""),"ALERTA: BASE_VU_NAO_APLICAVEL",IF(AND(UPPER(H158)="SIM",NOT(ISNUMBER(I158))),"ALERTA: BASE_VU_INVALIDA_OU_POSTERIOR_AO_FATOR_ALVO","OK"))))))))))</f>
        <v/>
      </c>
      <c r="N158" s="485"/>
      <c r="O158" s="487" t="str">
        <f>IFERROR(IF((COUNTIFS($A$2:$A$200,$A158,$D$2:$D$200,"*novo*",$N$2:$N$200,"C0")+COUNTIFS($A$2:$A$200,$A158,$D$2:$D$200,"*novo*",$N$2:$N$200,"C1")+COUNTIFS($A$2:$A$200,$A158,$D$2:$D$200,"*novo*",$N$2:$N$200,"C2")+COUNTIFS($A$2:$A$200,$A158,$D$2:$D$200,"*novo*",$N$2:$N$200,"C3")+COUNTIFS($A$2:$A$200,$A158,$D$2:$D$200,"*novo*",$N$2:$N$200,"C4"))=1,IF(COUNTIFS($A$2:$A$200,$A158,$D$2:$D$200,"*novo*",$N$2:$N$200,"C4")&gt;0,4,IF(COUNTIFS($A$2:$A$200,$A158,$D$2:$D$200,"*novo*",$N$2:$N$200,"C3")&gt;0,3,IF(COUNTIFS($A$2:$A$200,$A158,$D$2:$D$200,"*novo*",$N$2:$N$200,"C2")&gt;0,2,IF(COUNTIFS($A$2:$A$200,$A158,$D$2:$D$200,"*novo*",$N$2:$N$200,"C1")&gt;0,1,IF(COUNTIFS($A$2:$A$200,$A158,$D$2:$D$200,"*novo*",$N$2:$N$200,"C0")&gt;0,0,""))))),IF(AND((COUNTIFS($A$2:$A$200,$A158,$D$2:$D$200,"*novo*",$N$2:$N$200,"C0")+COUNTIFS($A$2:$A$200,$A158,$D$2:$D$200,"*novo*",$N$2:$N$200,"C1")+COUNTIFS($A$2:$A$200,$A158,$D$2:$D$200,"*novo*",$N$2:$N$200,"C2")+COUNTIFS($A$2:$A$200,$A158,$D$2:$D$200,"*novo*",$N$2:$N$200,"C3")+COUNTIFS($A$2:$A$200,$A158,$D$2:$D$200,"*novo*",$N$2:$N$200,"C4"))=0,INDEX(posicao_contratual!$Y$2:$Y$200,MATCH($A158,posicao_contratual!$A$2:$A$200,0))=0),0,"")),"")</f>
        <v/>
      </c>
    </row>
    <row r="159" spans="1:15" ht="45" customHeight="1" x14ac:dyDescent="0.35">
      <c r="A159" s="105"/>
      <c r="B159" s="189"/>
      <c r="C159" s="99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05"/>
      <c r="E159" s="106"/>
      <c r="F159" s="107" t="str">
        <f>IF(A159="","",IFERROR(VLOOKUP(A159,itens_Remanesc!$A:$C,3,0),""))</f>
        <v/>
      </c>
      <c r="G159" s="107" t="str">
        <f t="shared" si="12"/>
        <v/>
      </c>
      <c r="H159" s="105"/>
      <c r="I159" s="64" t="str">
        <f>IFERROR(IF(OR($A159="",$C159=""),"",IF(OR(($O159)="",($O159)&gt;(MIN(MATCH($C159,{"C0","C1","C2","C3","C4"},0)-1,COUNT(parametros!$F$2:$F$6)-1)),NOT(ISNUMBER(INDEX(parametros!$F$2:$F$6,(MIN(MATCH($C159,{"C0","C1","C2","C3","C4"},0)-1,COUNT(parametros!$F$2:$F$6)-1))+1))),NOT(ISNUMBER(INDEX(parametros!$F$2:$F$6,($O159)+1)))),"",INDEX(parametros!$F$2:$F$6,(MIN(MATCH($C159,{"C0","C1","C2","C3","C4"},0)-1,COUNT(parametros!$F$2:$F$6)-1))+1)/INDEX(parametros!$F$2:$F$6,($O159)+1))),"")</f>
        <v/>
      </c>
      <c r="J159" s="107" t="str">
        <f t="shared" si="13"/>
        <v/>
      </c>
      <c r="K159" s="105"/>
      <c r="L159" s="85" t="str">
        <f t="shared" si="14"/>
        <v/>
      </c>
      <c r="M159" s="483" t="str">
        <f>IF(A159="","",IF(COUNTIF(itens_Remanesc!$A$2:$A$200,A159)=0,"NOVO ITEM NAO CADASTRADO - CADASTRAR EM itens_Remanesc: ITEM + VU_ORIGINAL (QTD_BASE_ORIGINAL sera 0 automaticamente); depois a data e a quantidade aqui.",IF(COUNTIF(itens_Remanesc!$A$2:$A$200,A159)&gt;1,"ALERTA: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TIPO_INVALIDO",IF(AND(ISNUMBER(SEARCH("NOVO",D159)),OR(INDEX(posicao_contratual!$C$2:$C$200,MATCH(A159,posicao_contratual!$A$2:$A$200,0))&lt;&gt;0,F159="",COUNTIFS($A$2:$A$200,A159,$B$2:$B$200,"&lt;"&amp;B159,$L$2:$L$200,"&gt;0")&gt;0)),"ALERTA: NOVO ITEM INVALIDO - use Acrescimo se o item ja existia; novo item exige QTD_BASE_ORIGINAL 0, VU_ORIGINAL e ser o 1o acrescimo do item.",IF(AND(ISNUMBER(SEARCH("NOVO",D159)),OR(N159="",ISERROR(MATCH(N159,{"C0","C1","C2","C3","C4"},0)))),"ALERTA: BASE_VU_OBRIGATORIA",IF(AND(NOT(ISNUMBER(SEARCH("NOVO",D159))),N159&lt;&gt;""),"ALERTA: BASE_VU_NAO_APLICAVEL",IF(AND(UPPER(H159)="SIM",NOT(ISNUMBER(I159))),"ALERTA: BASE_VU_INVALIDA_OU_POSTERIOR_AO_FATOR_ALVO","OK"))))))))))</f>
        <v/>
      </c>
      <c r="N159" s="485"/>
      <c r="O159" s="487" t="str">
        <f>IFERROR(IF((COUNTIFS($A$2:$A$200,$A159,$D$2:$D$200,"*novo*",$N$2:$N$200,"C0")+COUNTIFS($A$2:$A$200,$A159,$D$2:$D$200,"*novo*",$N$2:$N$200,"C1")+COUNTIFS($A$2:$A$200,$A159,$D$2:$D$200,"*novo*",$N$2:$N$200,"C2")+COUNTIFS($A$2:$A$200,$A159,$D$2:$D$200,"*novo*",$N$2:$N$200,"C3")+COUNTIFS($A$2:$A$200,$A159,$D$2:$D$200,"*novo*",$N$2:$N$200,"C4"))=1,IF(COUNTIFS($A$2:$A$200,$A159,$D$2:$D$200,"*novo*",$N$2:$N$200,"C4")&gt;0,4,IF(COUNTIFS($A$2:$A$200,$A159,$D$2:$D$200,"*novo*",$N$2:$N$200,"C3")&gt;0,3,IF(COUNTIFS($A$2:$A$200,$A159,$D$2:$D$200,"*novo*",$N$2:$N$200,"C2")&gt;0,2,IF(COUNTIFS($A$2:$A$200,$A159,$D$2:$D$200,"*novo*",$N$2:$N$200,"C1")&gt;0,1,IF(COUNTIFS($A$2:$A$200,$A159,$D$2:$D$200,"*novo*",$N$2:$N$200,"C0")&gt;0,0,""))))),IF(AND((COUNTIFS($A$2:$A$200,$A159,$D$2:$D$200,"*novo*",$N$2:$N$200,"C0")+COUNTIFS($A$2:$A$200,$A159,$D$2:$D$200,"*novo*",$N$2:$N$200,"C1")+COUNTIFS($A$2:$A$200,$A159,$D$2:$D$200,"*novo*",$N$2:$N$200,"C2")+COUNTIFS($A$2:$A$200,$A159,$D$2:$D$200,"*novo*",$N$2:$N$200,"C3")+COUNTIFS($A$2:$A$200,$A159,$D$2:$D$200,"*novo*",$N$2:$N$200,"C4"))=0,INDEX(posicao_contratual!$Y$2:$Y$200,MATCH($A159,posicao_contratual!$A$2:$A$200,0))=0),0,"")),"")</f>
        <v/>
      </c>
    </row>
    <row r="160" spans="1:15" ht="45" customHeight="1" x14ac:dyDescent="0.35">
      <c r="A160" s="105"/>
      <c r="B160" s="189"/>
      <c r="C160" s="99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05"/>
      <c r="E160" s="106"/>
      <c r="F160" s="107" t="str">
        <f>IF(A160="","",IFERROR(VLOOKUP(A160,itens_Remanesc!$A:$C,3,0),""))</f>
        <v/>
      </c>
      <c r="G160" s="107" t="str">
        <f t="shared" si="12"/>
        <v/>
      </c>
      <c r="H160" s="105"/>
      <c r="I160" s="64" t="str">
        <f>IFERROR(IF(OR($A160="",$C160=""),"",IF(OR(($O160)="",($O160)&gt;(MIN(MATCH($C160,{"C0","C1","C2","C3","C4"},0)-1,COUNT(parametros!$F$2:$F$6)-1)),NOT(ISNUMBER(INDEX(parametros!$F$2:$F$6,(MIN(MATCH($C160,{"C0","C1","C2","C3","C4"},0)-1,COUNT(parametros!$F$2:$F$6)-1))+1))),NOT(ISNUMBER(INDEX(parametros!$F$2:$F$6,($O160)+1)))),"",INDEX(parametros!$F$2:$F$6,(MIN(MATCH($C160,{"C0","C1","C2","C3","C4"},0)-1,COUNT(parametros!$F$2:$F$6)-1))+1)/INDEX(parametros!$F$2:$F$6,($O160)+1))),"")</f>
        <v/>
      </c>
      <c r="J160" s="107" t="str">
        <f t="shared" si="13"/>
        <v/>
      </c>
      <c r="K160" s="105"/>
      <c r="L160" s="85" t="str">
        <f t="shared" si="14"/>
        <v/>
      </c>
      <c r="M160" s="483" t="str">
        <f>IF(A160="","",IF(COUNTIF(itens_Remanesc!$A$2:$A$200,A160)=0,"NOVO ITEM NAO CADASTRADO - CADASTRAR EM itens_Remanesc: ITEM + VU_ORIGINAL (QTD_BASE_ORIGINAL sera 0 automaticamente); depois a data e a quantidade aqui.",IF(COUNTIF(itens_Remanesc!$A$2:$A$200,A160)&gt;1,"ALERTA: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TIPO_INVALIDO",IF(AND(ISNUMBER(SEARCH("NOVO",D160)),OR(INDEX(posicao_contratual!$C$2:$C$200,MATCH(A160,posicao_contratual!$A$2:$A$200,0))&lt;&gt;0,F160="",COUNTIFS($A$2:$A$200,A160,$B$2:$B$200,"&lt;"&amp;B160,$L$2:$L$200,"&gt;0")&gt;0)),"ALERTA: NOVO ITEM INVALIDO - use Acrescimo se o item ja existia; novo item exige QTD_BASE_ORIGINAL 0, VU_ORIGINAL e ser o 1o acrescimo do item.",IF(AND(ISNUMBER(SEARCH("NOVO",D160)),OR(N160="",ISERROR(MATCH(N160,{"C0","C1","C2","C3","C4"},0)))),"ALERTA: BASE_VU_OBRIGATORIA",IF(AND(NOT(ISNUMBER(SEARCH("NOVO",D160))),N160&lt;&gt;""),"ALERTA: BASE_VU_NAO_APLICAVEL",IF(AND(UPPER(H160)="SIM",NOT(ISNUMBER(I160))),"ALERTA: BASE_VU_INVALIDA_OU_POSTERIOR_AO_FATOR_ALVO","OK"))))))))))</f>
        <v/>
      </c>
      <c r="N160" s="485"/>
      <c r="O160" s="487" t="str">
        <f>IFERROR(IF((COUNTIFS($A$2:$A$200,$A160,$D$2:$D$200,"*novo*",$N$2:$N$200,"C0")+COUNTIFS($A$2:$A$200,$A160,$D$2:$D$200,"*novo*",$N$2:$N$200,"C1")+COUNTIFS($A$2:$A$200,$A160,$D$2:$D$200,"*novo*",$N$2:$N$200,"C2")+COUNTIFS($A$2:$A$200,$A160,$D$2:$D$200,"*novo*",$N$2:$N$200,"C3")+COUNTIFS($A$2:$A$200,$A160,$D$2:$D$200,"*novo*",$N$2:$N$200,"C4"))=1,IF(COUNTIFS($A$2:$A$200,$A160,$D$2:$D$200,"*novo*",$N$2:$N$200,"C4")&gt;0,4,IF(COUNTIFS($A$2:$A$200,$A160,$D$2:$D$200,"*novo*",$N$2:$N$200,"C3")&gt;0,3,IF(COUNTIFS($A$2:$A$200,$A160,$D$2:$D$200,"*novo*",$N$2:$N$200,"C2")&gt;0,2,IF(COUNTIFS($A$2:$A$200,$A160,$D$2:$D$200,"*novo*",$N$2:$N$200,"C1")&gt;0,1,IF(COUNTIFS($A$2:$A$200,$A160,$D$2:$D$200,"*novo*",$N$2:$N$200,"C0")&gt;0,0,""))))),IF(AND((COUNTIFS($A$2:$A$200,$A160,$D$2:$D$200,"*novo*",$N$2:$N$200,"C0")+COUNTIFS($A$2:$A$200,$A160,$D$2:$D$200,"*novo*",$N$2:$N$200,"C1")+COUNTIFS($A$2:$A$200,$A160,$D$2:$D$200,"*novo*",$N$2:$N$200,"C2")+COUNTIFS($A$2:$A$200,$A160,$D$2:$D$200,"*novo*",$N$2:$N$200,"C3")+COUNTIFS($A$2:$A$200,$A160,$D$2:$D$200,"*novo*",$N$2:$N$200,"C4"))=0,INDEX(posicao_contratual!$Y$2:$Y$200,MATCH($A160,posicao_contratual!$A$2:$A$200,0))=0),0,"")),"")</f>
        <v/>
      </c>
    </row>
    <row r="161" spans="1:15" ht="45" customHeight="1" x14ac:dyDescent="0.35">
      <c r="A161" s="105"/>
      <c r="B161" s="189"/>
      <c r="C161" s="99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05"/>
      <c r="E161" s="106"/>
      <c r="F161" s="107" t="str">
        <f>IF(A161="","",IFERROR(VLOOKUP(A161,itens_Remanesc!$A:$C,3,0),""))</f>
        <v/>
      </c>
      <c r="G161" s="107" t="str">
        <f t="shared" si="12"/>
        <v/>
      </c>
      <c r="H161" s="105"/>
      <c r="I161" s="64" t="str">
        <f>IFERROR(IF(OR($A161="",$C161=""),"",IF(OR(($O161)="",($O161)&gt;(MIN(MATCH($C161,{"C0","C1","C2","C3","C4"},0)-1,COUNT(parametros!$F$2:$F$6)-1)),NOT(ISNUMBER(INDEX(parametros!$F$2:$F$6,(MIN(MATCH($C161,{"C0","C1","C2","C3","C4"},0)-1,COUNT(parametros!$F$2:$F$6)-1))+1))),NOT(ISNUMBER(INDEX(parametros!$F$2:$F$6,($O161)+1)))),"",INDEX(parametros!$F$2:$F$6,(MIN(MATCH($C161,{"C0","C1","C2","C3","C4"},0)-1,COUNT(parametros!$F$2:$F$6)-1))+1)/INDEX(parametros!$F$2:$F$6,($O161)+1))),"")</f>
        <v/>
      </c>
      <c r="J161" s="107" t="str">
        <f t="shared" si="13"/>
        <v/>
      </c>
      <c r="K161" s="105"/>
      <c r="L161" s="85" t="str">
        <f t="shared" si="14"/>
        <v/>
      </c>
      <c r="M161" s="483" t="str">
        <f>IF(A161="","",IF(COUNTIF(itens_Remanesc!$A$2:$A$200,A161)=0,"NOVO ITEM NAO CADASTRADO - CADASTRAR EM itens_Remanesc: ITEM + VU_ORIGINAL (QTD_BASE_ORIGINAL sera 0 automaticamente); depois a data e a quantidade aqui.",IF(COUNTIF(itens_Remanesc!$A$2:$A$200,A161)&gt;1,"ALERTA: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TIPO_INVALIDO",IF(AND(ISNUMBER(SEARCH("NOVO",D161)),OR(INDEX(posicao_contratual!$C$2:$C$200,MATCH(A161,posicao_contratual!$A$2:$A$200,0))&lt;&gt;0,F161="",COUNTIFS($A$2:$A$200,A161,$B$2:$B$200,"&lt;"&amp;B161,$L$2:$L$200,"&gt;0")&gt;0)),"ALERTA: NOVO ITEM INVALIDO - use Acrescimo se o item ja existia; novo item exige QTD_BASE_ORIGINAL 0, VU_ORIGINAL e ser o 1o acrescimo do item.",IF(AND(ISNUMBER(SEARCH("NOVO",D161)),OR(N161="",ISERROR(MATCH(N161,{"C0","C1","C2","C3","C4"},0)))),"ALERTA: BASE_VU_OBRIGATORIA",IF(AND(NOT(ISNUMBER(SEARCH("NOVO",D161))),N161&lt;&gt;""),"ALERTA: BASE_VU_NAO_APLICAVEL",IF(AND(UPPER(H161)="SIM",NOT(ISNUMBER(I161))),"ALERTA: BASE_VU_INVALIDA_OU_POSTERIOR_AO_FATOR_ALVO","OK"))))))))))</f>
        <v/>
      </c>
      <c r="N161" s="485"/>
      <c r="O161" s="487" t="str">
        <f>IFERROR(IF((COUNTIFS($A$2:$A$200,$A161,$D$2:$D$200,"*novo*",$N$2:$N$200,"C0")+COUNTIFS($A$2:$A$200,$A161,$D$2:$D$200,"*novo*",$N$2:$N$200,"C1")+COUNTIFS($A$2:$A$200,$A161,$D$2:$D$200,"*novo*",$N$2:$N$200,"C2")+COUNTIFS($A$2:$A$200,$A161,$D$2:$D$200,"*novo*",$N$2:$N$200,"C3")+COUNTIFS($A$2:$A$200,$A161,$D$2:$D$200,"*novo*",$N$2:$N$200,"C4"))=1,IF(COUNTIFS($A$2:$A$200,$A161,$D$2:$D$200,"*novo*",$N$2:$N$200,"C4")&gt;0,4,IF(COUNTIFS($A$2:$A$200,$A161,$D$2:$D$200,"*novo*",$N$2:$N$200,"C3")&gt;0,3,IF(COUNTIFS($A$2:$A$200,$A161,$D$2:$D$200,"*novo*",$N$2:$N$200,"C2")&gt;0,2,IF(COUNTIFS($A$2:$A$200,$A161,$D$2:$D$200,"*novo*",$N$2:$N$200,"C1")&gt;0,1,IF(COUNTIFS($A$2:$A$200,$A161,$D$2:$D$200,"*novo*",$N$2:$N$200,"C0")&gt;0,0,""))))),IF(AND((COUNTIFS($A$2:$A$200,$A161,$D$2:$D$200,"*novo*",$N$2:$N$200,"C0")+COUNTIFS($A$2:$A$200,$A161,$D$2:$D$200,"*novo*",$N$2:$N$200,"C1")+COUNTIFS($A$2:$A$200,$A161,$D$2:$D$200,"*novo*",$N$2:$N$200,"C2")+COUNTIFS($A$2:$A$200,$A161,$D$2:$D$200,"*novo*",$N$2:$N$200,"C3")+COUNTIFS($A$2:$A$200,$A161,$D$2:$D$200,"*novo*",$N$2:$N$200,"C4"))=0,INDEX(posicao_contratual!$Y$2:$Y$200,MATCH($A161,posicao_contratual!$A$2:$A$200,0))=0),0,"")),"")</f>
        <v/>
      </c>
    </row>
    <row r="162" spans="1:15" ht="45" customHeight="1" x14ac:dyDescent="0.35">
      <c r="A162" s="105"/>
      <c r="B162" s="189"/>
      <c r="C162" s="99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05"/>
      <c r="E162" s="106"/>
      <c r="F162" s="107" t="str">
        <f>IF(A162="","",IFERROR(VLOOKUP(A162,itens_Remanesc!$A:$C,3,0),""))</f>
        <v/>
      </c>
      <c r="G162" s="107" t="str">
        <f t="shared" ref="G162:G193" si="15">IF(OR(E162="",F162=""),"",ROUND(E162*F162,2))</f>
        <v/>
      </c>
      <c r="H162" s="105"/>
      <c r="I162" s="64" t="str">
        <f>IFERROR(IF(OR($A162="",$C162=""),"",IF(OR(($O162)="",($O162)&gt;(MIN(MATCH($C162,{"C0","C1","C2","C3","C4"},0)-1,COUNT(parametros!$F$2:$F$6)-1)),NOT(ISNUMBER(INDEX(parametros!$F$2:$F$6,(MIN(MATCH($C162,{"C0","C1","C2","C3","C4"},0)-1,COUNT(parametros!$F$2:$F$6)-1))+1))),NOT(ISNUMBER(INDEX(parametros!$F$2:$F$6,($O162)+1)))),"",INDEX(parametros!$F$2:$F$6,(MIN(MATCH($C162,{"C0","C1","C2","C3","C4"},0)-1,COUNT(parametros!$F$2:$F$6)-1))+1)/INDEX(parametros!$F$2:$F$6,($O162)+1))),"")</f>
        <v/>
      </c>
      <c r="J162" s="107" t="str">
        <f t="shared" ref="J162:J193" si="16">IF(OR(L162="",F162=""),"",IF(UPPER(H162)="SIM",IF(ISNUMBER(I162),ROUND(L162*ROUND(F162*I162,2),2),""),ROUND(L162*F162,2)))</f>
        <v/>
      </c>
      <c r="K162" s="105"/>
      <c r="L162" s="85" t="str">
        <f t="shared" ref="L162:L193" si="17">IF(OR(A162="",C162="",D162="",NOT(ISNUMBER(E162))),"",IF(LEFT(UPPER(D162),3)="ACR",ROUND(ABS(E162),2),IF(OR(LEFT(UPPER(D162),4)="SUPR",LEFT(UPPER(D162),4)="DECR"),ROUND(-ABS(E162),2),"")))</f>
        <v/>
      </c>
      <c r="M162" s="483" t="str">
        <f>IF(A162="","",IF(COUNTIF(itens_Remanesc!$A$2:$A$200,A162)=0,"NOVO ITEM NAO CADASTRADO - CADASTRAR EM itens_Remanesc: ITEM + VU_ORIGINAL (QTD_BASE_ORIGINAL sera 0 automaticamente); depois a data e a quantidade aqui.",IF(COUNTIF(itens_Remanesc!$A$2:$A$200,A162)&gt;1,"ALERTA: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TIPO_INVALIDO",IF(AND(ISNUMBER(SEARCH("NOVO",D162)),OR(INDEX(posicao_contratual!$C$2:$C$200,MATCH(A162,posicao_contratual!$A$2:$A$200,0))&lt;&gt;0,F162="",COUNTIFS($A$2:$A$200,A162,$B$2:$B$200,"&lt;"&amp;B162,$L$2:$L$200,"&gt;0")&gt;0)),"ALERTA: NOVO ITEM INVALIDO - use Acrescimo se o item ja existia; novo item exige QTD_BASE_ORIGINAL 0, VU_ORIGINAL e ser o 1o acrescimo do item.",IF(AND(ISNUMBER(SEARCH("NOVO",D162)),OR(N162="",ISERROR(MATCH(N162,{"C0","C1","C2","C3","C4"},0)))),"ALERTA: BASE_VU_OBRIGATORIA",IF(AND(NOT(ISNUMBER(SEARCH("NOVO",D162))),N162&lt;&gt;""),"ALERTA: BASE_VU_NAO_APLICAVEL",IF(AND(UPPER(H162)="SIM",NOT(ISNUMBER(I162))),"ALERTA: BASE_VU_INVALIDA_OU_POSTERIOR_AO_FATOR_ALVO","OK"))))))))))</f>
        <v/>
      </c>
      <c r="N162" s="485"/>
      <c r="O162" s="487" t="str">
        <f>IFERROR(IF((COUNTIFS($A$2:$A$200,$A162,$D$2:$D$200,"*novo*",$N$2:$N$200,"C0")+COUNTIFS($A$2:$A$200,$A162,$D$2:$D$200,"*novo*",$N$2:$N$200,"C1")+COUNTIFS($A$2:$A$200,$A162,$D$2:$D$200,"*novo*",$N$2:$N$200,"C2")+COUNTIFS($A$2:$A$200,$A162,$D$2:$D$200,"*novo*",$N$2:$N$200,"C3")+COUNTIFS($A$2:$A$200,$A162,$D$2:$D$200,"*novo*",$N$2:$N$200,"C4"))=1,IF(COUNTIFS($A$2:$A$200,$A162,$D$2:$D$200,"*novo*",$N$2:$N$200,"C4")&gt;0,4,IF(COUNTIFS($A$2:$A$200,$A162,$D$2:$D$200,"*novo*",$N$2:$N$200,"C3")&gt;0,3,IF(COUNTIFS($A$2:$A$200,$A162,$D$2:$D$200,"*novo*",$N$2:$N$200,"C2")&gt;0,2,IF(COUNTIFS($A$2:$A$200,$A162,$D$2:$D$200,"*novo*",$N$2:$N$200,"C1")&gt;0,1,IF(COUNTIFS($A$2:$A$200,$A162,$D$2:$D$200,"*novo*",$N$2:$N$200,"C0")&gt;0,0,""))))),IF(AND((COUNTIFS($A$2:$A$200,$A162,$D$2:$D$200,"*novo*",$N$2:$N$200,"C0")+COUNTIFS($A$2:$A$200,$A162,$D$2:$D$200,"*novo*",$N$2:$N$200,"C1")+COUNTIFS($A$2:$A$200,$A162,$D$2:$D$200,"*novo*",$N$2:$N$200,"C2")+COUNTIFS($A$2:$A$200,$A162,$D$2:$D$200,"*novo*",$N$2:$N$200,"C3")+COUNTIFS($A$2:$A$200,$A162,$D$2:$D$200,"*novo*",$N$2:$N$200,"C4"))=0,INDEX(posicao_contratual!$Y$2:$Y$200,MATCH($A162,posicao_contratual!$A$2:$A$200,0))=0),0,"")),"")</f>
        <v/>
      </c>
    </row>
    <row r="163" spans="1:15" ht="45" customHeight="1" x14ac:dyDescent="0.35">
      <c r="A163" s="105"/>
      <c r="B163" s="189"/>
      <c r="C163" s="99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05"/>
      <c r="E163" s="106"/>
      <c r="F163" s="107" t="str">
        <f>IF(A163="","",IFERROR(VLOOKUP(A163,itens_Remanesc!$A:$C,3,0),""))</f>
        <v/>
      </c>
      <c r="G163" s="107" t="str">
        <f t="shared" si="15"/>
        <v/>
      </c>
      <c r="H163" s="105"/>
      <c r="I163" s="64" t="str">
        <f>IFERROR(IF(OR($A163="",$C163=""),"",IF(OR(($O163)="",($O163)&gt;(MIN(MATCH($C163,{"C0","C1","C2","C3","C4"},0)-1,COUNT(parametros!$F$2:$F$6)-1)),NOT(ISNUMBER(INDEX(parametros!$F$2:$F$6,(MIN(MATCH($C163,{"C0","C1","C2","C3","C4"},0)-1,COUNT(parametros!$F$2:$F$6)-1))+1))),NOT(ISNUMBER(INDEX(parametros!$F$2:$F$6,($O163)+1)))),"",INDEX(parametros!$F$2:$F$6,(MIN(MATCH($C163,{"C0","C1","C2","C3","C4"},0)-1,COUNT(parametros!$F$2:$F$6)-1))+1)/INDEX(parametros!$F$2:$F$6,($O163)+1))),"")</f>
        <v/>
      </c>
      <c r="J163" s="107" t="str">
        <f t="shared" si="16"/>
        <v/>
      </c>
      <c r="K163" s="105"/>
      <c r="L163" s="85" t="str">
        <f t="shared" si="17"/>
        <v/>
      </c>
      <c r="M163" s="483" t="str">
        <f>IF(A163="","",IF(COUNTIF(itens_Remanesc!$A$2:$A$200,A163)=0,"NOVO ITEM NAO CADASTRADO - CADASTRAR EM itens_Remanesc: ITEM + VU_ORIGINAL (QTD_BASE_ORIGINAL sera 0 automaticamente); depois a data e a quantidade aqui.",IF(COUNTIF(itens_Remanesc!$A$2:$A$200,A163)&gt;1,"ALERTA: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TIPO_INVALIDO",IF(AND(ISNUMBER(SEARCH("NOVO",D163)),OR(INDEX(posicao_contratual!$C$2:$C$200,MATCH(A163,posicao_contratual!$A$2:$A$200,0))&lt;&gt;0,F163="",COUNTIFS($A$2:$A$200,A163,$B$2:$B$200,"&lt;"&amp;B163,$L$2:$L$200,"&gt;0")&gt;0)),"ALERTA: NOVO ITEM INVALIDO - use Acrescimo se o item ja existia; novo item exige QTD_BASE_ORIGINAL 0, VU_ORIGINAL e ser o 1o acrescimo do item.",IF(AND(ISNUMBER(SEARCH("NOVO",D163)),OR(N163="",ISERROR(MATCH(N163,{"C0","C1","C2","C3","C4"},0)))),"ALERTA: BASE_VU_OBRIGATORIA",IF(AND(NOT(ISNUMBER(SEARCH("NOVO",D163))),N163&lt;&gt;""),"ALERTA: BASE_VU_NAO_APLICAVEL",IF(AND(UPPER(H163)="SIM",NOT(ISNUMBER(I163))),"ALERTA: BASE_VU_INVALIDA_OU_POSTERIOR_AO_FATOR_ALVO","OK"))))))))))</f>
        <v/>
      </c>
      <c r="N163" s="485"/>
      <c r="O163" s="487" t="str">
        <f>IFERROR(IF((COUNTIFS($A$2:$A$200,$A163,$D$2:$D$200,"*novo*",$N$2:$N$200,"C0")+COUNTIFS($A$2:$A$200,$A163,$D$2:$D$200,"*novo*",$N$2:$N$200,"C1")+COUNTIFS($A$2:$A$200,$A163,$D$2:$D$200,"*novo*",$N$2:$N$200,"C2")+COUNTIFS($A$2:$A$200,$A163,$D$2:$D$200,"*novo*",$N$2:$N$200,"C3")+COUNTIFS($A$2:$A$200,$A163,$D$2:$D$200,"*novo*",$N$2:$N$200,"C4"))=1,IF(COUNTIFS($A$2:$A$200,$A163,$D$2:$D$200,"*novo*",$N$2:$N$200,"C4")&gt;0,4,IF(COUNTIFS($A$2:$A$200,$A163,$D$2:$D$200,"*novo*",$N$2:$N$200,"C3")&gt;0,3,IF(COUNTIFS($A$2:$A$200,$A163,$D$2:$D$200,"*novo*",$N$2:$N$200,"C2")&gt;0,2,IF(COUNTIFS($A$2:$A$200,$A163,$D$2:$D$200,"*novo*",$N$2:$N$200,"C1")&gt;0,1,IF(COUNTIFS($A$2:$A$200,$A163,$D$2:$D$200,"*novo*",$N$2:$N$200,"C0")&gt;0,0,""))))),IF(AND((COUNTIFS($A$2:$A$200,$A163,$D$2:$D$200,"*novo*",$N$2:$N$200,"C0")+COUNTIFS($A$2:$A$200,$A163,$D$2:$D$200,"*novo*",$N$2:$N$200,"C1")+COUNTIFS($A$2:$A$200,$A163,$D$2:$D$200,"*novo*",$N$2:$N$200,"C2")+COUNTIFS($A$2:$A$200,$A163,$D$2:$D$200,"*novo*",$N$2:$N$200,"C3")+COUNTIFS($A$2:$A$200,$A163,$D$2:$D$200,"*novo*",$N$2:$N$200,"C4"))=0,INDEX(posicao_contratual!$Y$2:$Y$200,MATCH($A163,posicao_contratual!$A$2:$A$200,0))=0),0,"")),"")</f>
        <v/>
      </c>
    </row>
    <row r="164" spans="1:15" ht="45" customHeight="1" x14ac:dyDescent="0.35">
      <c r="A164" s="105"/>
      <c r="B164" s="189"/>
      <c r="C164" s="99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05"/>
      <c r="E164" s="106"/>
      <c r="F164" s="107" t="str">
        <f>IF(A164="","",IFERROR(VLOOKUP(A164,itens_Remanesc!$A:$C,3,0),""))</f>
        <v/>
      </c>
      <c r="G164" s="107" t="str">
        <f t="shared" si="15"/>
        <v/>
      </c>
      <c r="H164" s="105"/>
      <c r="I164" s="64" t="str">
        <f>IFERROR(IF(OR($A164="",$C164=""),"",IF(OR(($O164)="",($O164)&gt;(MIN(MATCH($C164,{"C0","C1","C2","C3","C4"},0)-1,COUNT(parametros!$F$2:$F$6)-1)),NOT(ISNUMBER(INDEX(parametros!$F$2:$F$6,(MIN(MATCH($C164,{"C0","C1","C2","C3","C4"},0)-1,COUNT(parametros!$F$2:$F$6)-1))+1))),NOT(ISNUMBER(INDEX(parametros!$F$2:$F$6,($O164)+1)))),"",INDEX(parametros!$F$2:$F$6,(MIN(MATCH($C164,{"C0","C1","C2","C3","C4"},0)-1,COUNT(parametros!$F$2:$F$6)-1))+1)/INDEX(parametros!$F$2:$F$6,($O164)+1))),"")</f>
        <v/>
      </c>
      <c r="J164" s="107" t="str">
        <f t="shared" si="16"/>
        <v/>
      </c>
      <c r="K164" s="105"/>
      <c r="L164" s="85" t="str">
        <f t="shared" si="17"/>
        <v/>
      </c>
      <c r="M164" s="483" t="str">
        <f>IF(A164="","",IF(COUNTIF(itens_Remanesc!$A$2:$A$200,A164)=0,"NOVO ITEM NAO CADASTRADO - CADASTRAR EM itens_Remanesc: ITEM + VU_ORIGINAL (QTD_BASE_ORIGINAL sera 0 automaticamente); depois a data e a quantidade aqui.",IF(COUNTIF(itens_Remanesc!$A$2:$A$200,A164)&gt;1,"ALERTA: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TIPO_INVALIDO",IF(AND(ISNUMBER(SEARCH("NOVO",D164)),OR(INDEX(posicao_contratual!$C$2:$C$200,MATCH(A164,posicao_contratual!$A$2:$A$200,0))&lt;&gt;0,F164="",COUNTIFS($A$2:$A$200,A164,$B$2:$B$200,"&lt;"&amp;B164,$L$2:$L$200,"&gt;0")&gt;0)),"ALERTA: NOVO ITEM INVALIDO - use Acrescimo se o item ja existia; novo item exige QTD_BASE_ORIGINAL 0, VU_ORIGINAL e ser o 1o acrescimo do item.",IF(AND(ISNUMBER(SEARCH("NOVO",D164)),OR(N164="",ISERROR(MATCH(N164,{"C0","C1","C2","C3","C4"},0)))),"ALERTA: BASE_VU_OBRIGATORIA",IF(AND(NOT(ISNUMBER(SEARCH("NOVO",D164))),N164&lt;&gt;""),"ALERTA: BASE_VU_NAO_APLICAVEL",IF(AND(UPPER(H164)="SIM",NOT(ISNUMBER(I164))),"ALERTA: BASE_VU_INVALIDA_OU_POSTERIOR_AO_FATOR_ALVO","OK"))))))))))</f>
        <v/>
      </c>
      <c r="N164" s="485"/>
      <c r="O164" s="487" t="str">
        <f>IFERROR(IF((COUNTIFS($A$2:$A$200,$A164,$D$2:$D$200,"*novo*",$N$2:$N$200,"C0")+COUNTIFS($A$2:$A$200,$A164,$D$2:$D$200,"*novo*",$N$2:$N$200,"C1")+COUNTIFS($A$2:$A$200,$A164,$D$2:$D$200,"*novo*",$N$2:$N$200,"C2")+COUNTIFS($A$2:$A$200,$A164,$D$2:$D$200,"*novo*",$N$2:$N$200,"C3")+COUNTIFS($A$2:$A$200,$A164,$D$2:$D$200,"*novo*",$N$2:$N$200,"C4"))=1,IF(COUNTIFS($A$2:$A$200,$A164,$D$2:$D$200,"*novo*",$N$2:$N$200,"C4")&gt;0,4,IF(COUNTIFS($A$2:$A$200,$A164,$D$2:$D$200,"*novo*",$N$2:$N$200,"C3")&gt;0,3,IF(COUNTIFS($A$2:$A$200,$A164,$D$2:$D$200,"*novo*",$N$2:$N$200,"C2")&gt;0,2,IF(COUNTIFS($A$2:$A$200,$A164,$D$2:$D$200,"*novo*",$N$2:$N$200,"C1")&gt;0,1,IF(COUNTIFS($A$2:$A$200,$A164,$D$2:$D$200,"*novo*",$N$2:$N$200,"C0")&gt;0,0,""))))),IF(AND((COUNTIFS($A$2:$A$200,$A164,$D$2:$D$200,"*novo*",$N$2:$N$200,"C0")+COUNTIFS($A$2:$A$200,$A164,$D$2:$D$200,"*novo*",$N$2:$N$200,"C1")+COUNTIFS($A$2:$A$200,$A164,$D$2:$D$200,"*novo*",$N$2:$N$200,"C2")+COUNTIFS($A$2:$A$200,$A164,$D$2:$D$200,"*novo*",$N$2:$N$200,"C3")+COUNTIFS($A$2:$A$200,$A164,$D$2:$D$200,"*novo*",$N$2:$N$200,"C4"))=0,INDEX(posicao_contratual!$Y$2:$Y$200,MATCH($A164,posicao_contratual!$A$2:$A$200,0))=0),0,"")),"")</f>
        <v/>
      </c>
    </row>
    <row r="165" spans="1:15" ht="45" customHeight="1" x14ac:dyDescent="0.35">
      <c r="A165" s="105"/>
      <c r="B165" s="189"/>
      <c r="C165" s="99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05"/>
      <c r="E165" s="106"/>
      <c r="F165" s="107" t="str">
        <f>IF(A165="","",IFERROR(VLOOKUP(A165,itens_Remanesc!$A:$C,3,0),""))</f>
        <v/>
      </c>
      <c r="G165" s="107" t="str">
        <f t="shared" si="15"/>
        <v/>
      </c>
      <c r="H165" s="105"/>
      <c r="I165" s="64" t="str">
        <f>IFERROR(IF(OR($A165="",$C165=""),"",IF(OR(($O165)="",($O165)&gt;(MIN(MATCH($C165,{"C0","C1","C2","C3","C4"},0)-1,COUNT(parametros!$F$2:$F$6)-1)),NOT(ISNUMBER(INDEX(parametros!$F$2:$F$6,(MIN(MATCH($C165,{"C0","C1","C2","C3","C4"},0)-1,COUNT(parametros!$F$2:$F$6)-1))+1))),NOT(ISNUMBER(INDEX(parametros!$F$2:$F$6,($O165)+1)))),"",INDEX(parametros!$F$2:$F$6,(MIN(MATCH($C165,{"C0","C1","C2","C3","C4"},0)-1,COUNT(parametros!$F$2:$F$6)-1))+1)/INDEX(parametros!$F$2:$F$6,($O165)+1))),"")</f>
        <v/>
      </c>
      <c r="J165" s="107" t="str">
        <f t="shared" si="16"/>
        <v/>
      </c>
      <c r="K165" s="105"/>
      <c r="L165" s="85" t="str">
        <f t="shared" si="17"/>
        <v/>
      </c>
      <c r="M165" s="483" t="str">
        <f>IF(A165="","",IF(COUNTIF(itens_Remanesc!$A$2:$A$200,A165)=0,"NOVO ITEM NAO CADASTRADO - CADASTRAR EM itens_Remanesc: ITEM + VU_ORIGINAL (QTD_BASE_ORIGINAL sera 0 automaticamente); depois a data e a quantidade aqui.",IF(COUNTIF(itens_Remanesc!$A$2:$A$200,A165)&gt;1,"ALERTA: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TIPO_INVALIDO",IF(AND(ISNUMBER(SEARCH("NOVO",D165)),OR(INDEX(posicao_contratual!$C$2:$C$200,MATCH(A165,posicao_contratual!$A$2:$A$200,0))&lt;&gt;0,F165="",COUNTIFS($A$2:$A$200,A165,$B$2:$B$200,"&lt;"&amp;B165,$L$2:$L$200,"&gt;0")&gt;0)),"ALERTA: NOVO ITEM INVALIDO - use Acrescimo se o item ja existia; novo item exige QTD_BASE_ORIGINAL 0, VU_ORIGINAL e ser o 1o acrescimo do item.",IF(AND(ISNUMBER(SEARCH("NOVO",D165)),OR(N165="",ISERROR(MATCH(N165,{"C0","C1","C2","C3","C4"},0)))),"ALERTA: BASE_VU_OBRIGATORIA",IF(AND(NOT(ISNUMBER(SEARCH("NOVO",D165))),N165&lt;&gt;""),"ALERTA: BASE_VU_NAO_APLICAVEL",IF(AND(UPPER(H165)="SIM",NOT(ISNUMBER(I165))),"ALERTA: BASE_VU_INVALIDA_OU_POSTERIOR_AO_FATOR_ALVO","OK"))))))))))</f>
        <v/>
      </c>
      <c r="N165" s="485"/>
      <c r="O165" s="487" t="str">
        <f>IFERROR(IF((COUNTIFS($A$2:$A$200,$A165,$D$2:$D$200,"*novo*",$N$2:$N$200,"C0")+COUNTIFS($A$2:$A$200,$A165,$D$2:$D$200,"*novo*",$N$2:$N$200,"C1")+COUNTIFS($A$2:$A$200,$A165,$D$2:$D$200,"*novo*",$N$2:$N$200,"C2")+COUNTIFS($A$2:$A$200,$A165,$D$2:$D$200,"*novo*",$N$2:$N$200,"C3")+COUNTIFS($A$2:$A$200,$A165,$D$2:$D$200,"*novo*",$N$2:$N$200,"C4"))=1,IF(COUNTIFS($A$2:$A$200,$A165,$D$2:$D$200,"*novo*",$N$2:$N$200,"C4")&gt;0,4,IF(COUNTIFS($A$2:$A$200,$A165,$D$2:$D$200,"*novo*",$N$2:$N$200,"C3")&gt;0,3,IF(COUNTIFS($A$2:$A$200,$A165,$D$2:$D$200,"*novo*",$N$2:$N$200,"C2")&gt;0,2,IF(COUNTIFS($A$2:$A$200,$A165,$D$2:$D$200,"*novo*",$N$2:$N$200,"C1")&gt;0,1,IF(COUNTIFS($A$2:$A$200,$A165,$D$2:$D$200,"*novo*",$N$2:$N$200,"C0")&gt;0,0,""))))),IF(AND((COUNTIFS($A$2:$A$200,$A165,$D$2:$D$200,"*novo*",$N$2:$N$200,"C0")+COUNTIFS($A$2:$A$200,$A165,$D$2:$D$200,"*novo*",$N$2:$N$200,"C1")+COUNTIFS($A$2:$A$200,$A165,$D$2:$D$200,"*novo*",$N$2:$N$200,"C2")+COUNTIFS($A$2:$A$200,$A165,$D$2:$D$200,"*novo*",$N$2:$N$200,"C3")+COUNTIFS($A$2:$A$200,$A165,$D$2:$D$200,"*novo*",$N$2:$N$200,"C4"))=0,INDEX(posicao_contratual!$Y$2:$Y$200,MATCH($A165,posicao_contratual!$A$2:$A$200,0))=0),0,"")),"")</f>
        <v/>
      </c>
    </row>
    <row r="166" spans="1:15" ht="45" customHeight="1" x14ac:dyDescent="0.35">
      <c r="A166" s="105"/>
      <c r="B166" s="189"/>
      <c r="C166" s="99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05"/>
      <c r="E166" s="106"/>
      <c r="F166" s="107" t="str">
        <f>IF(A166="","",IFERROR(VLOOKUP(A166,itens_Remanesc!$A:$C,3,0),""))</f>
        <v/>
      </c>
      <c r="G166" s="107" t="str">
        <f t="shared" si="15"/>
        <v/>
      </c>
      <c r="H166" s="105"/>
      <c r="I166" s="64" t="str">
        <f>IFERROR(IF(OR($A166="",$C166=""),"",IF(OR(($O166)="",($O166)&gt;(MIN(MATCH($C166,{"C0","C1","C2","C3","C4"},0)-1,COUNT(parametros!$F$2:$F$6)-1)),NOT(ISNUMBER(INDEX(parametros!$F$2:$F$6,(MIN(MATCH($C166,{"C0","C1","C2","C3","C4"},0)-1,COUNT(parametros!$F$2:$F$6)-1))+1))),NOT(ISNUMBER(INDEX(parametros!$F$2:$F$6,($O166)+1)))),"",INDEX(parametros!$F$2:$F$6,(MIN(MATCH($C166,{"C0","C1","C2","C3","C4"},0)-1,COUNT(parametros!$F$2:$F$6)-1))+1)/INDEX(parametros!$F$2:$F$6,($O166)+1))),"")</f>
        <v/>
      </c>
      <c r="J166" s="107" t="str">
        <f t="shared" si="16"/>
        <v/>
      </c>
      <c r="K166" s="105"/>
      <c r="L166" s="85" t="str">
        <f t="shared" si="17"/>
        <v/>
      </c>
      <c r="M166" s="483" t="str">
        <f>IF(A166="","",IF(COUNTIF(itens_Remanesc!$A$2:$A$200,A166)=0,"NOVO ITEM NAO CADASTRADO - CADASTRAR EM itens_Remanesc: ITEM + VU_ORIGINAL (QTD_BASE_ORIGINAL sera 0 automaticamente); depois a data e a quantidade aqui.",IF(COUNTIF(itens_Remanesc!$A$2:$A$200,A166)&gt;1,"ALERTA: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TIPO_INVALIDO",IF(AND(ISNUMBER(SEARCH("NOVO",D166)),OR(INDEX(posicao_contratual!$C$2:$C$200,MATCH(A166,posicao_contratual!$A$2:$A$200,0))&lt;&gt;0,F166="",COUNTIFS($A$2:$A$200,A166,$B$2:$B$200,"&lt;"&amp;B166,$L$2:$L$200,"&gt;0")&gt;0)),"ALERTA: NOVO ITEM INVALIDO - use Acrescimo se o item ja existia; novo item exige QTD_BASE_ORIGINAL 0, VU_ORIGINAL e ser o 1o acrescimo do item.",IF(AND(ISNUMBER(SEARCH("NOVO",D166)),OR(N166="",ISERROR(MATCH(N166,{"C0","C1","C2","C3","C4"},0)))),"ALERTA: BASE_VU_OBRIGATORIA",IF(AND(NOT(ISNUMBER(SEARCH("NOVO",D166))),N166&lt;&gt;""),"ALERTA: BASE_VU_NAO_APLICAVEL",IF(AND(UPPER(H166)="SIM",NOT(ISNUMBER(I166))),"ALERTA: BASE_VU_INVALIDA_OU_POSTERIOR_AO_FATOR_ALVO","OK"))))))))))</f>
        <v/>
      </c>
      <c r="N166" s="485"/>
      <c r="O166" s="487" t="str">
        <f>IFERROR(IF((COUNTIFS($A$2:$A$200,$A166,$D$2:$D$200,"*novo*",$N$2:$N$200,"C0")+COUNTIFS($A$2:$A$200,$A166,$D$2:$D$200,"*novo*",$N$2:$N$200,"C1")+COUNTIFS($A$2:$A$200,$A166,$D$2:$D$200,"*novo*",$N$2:$N$200,"C2")+COUNTIFS($A$2:$A$200,$A166,$D$2:$D$200,"*novo*",$N$2:$N$200,"C3")+COUNTIFS($A$2:$A$200,$A166,$D$2:$D$200,"*novo*",$N$2:$N$200,"C4"))=1,IF(COUNTIFS($A$2:$A$200,$A166,$D$2:$D$200,"*novo*",$N$2:$N$200,"C4")&gt;0,4,IF(COUNTIFS($A$2:$A$200,$A166,$D$2:$D$200,"*novo*",$N$2:$N$200,"C3")&gt;0,3,IF(COUNTIFS($A$2:$A$200,$A166,$D$2:$D$200,"*novo*",$N$2:$N$200,"C2")&gt;0,2,IF(COUNTIFS($A$2:$A$200,$A166,$D$2:$D$200,"*novo*",$N$2:$N$200,"C1")&gt;0,1,IF(COUNTIFS($A$2:$A$200,$A166,$D$2:$D$200,"*novo*",$N$2:$N$200,"C0")&gt;0,0,""))))),IF(AND((COUNTIFS($A$2:$A$200,$A166,$D$2:$D$200,"*novo*",$N$2:$N$200,"C0")+COUNTIFS($A$2:$A$200,$A166,$D$2:$D$200,"*novo*",$N$2:$N$200,"C1")+COUNTIFS($A$2:$A$200,$A166,$D$2:$D$200,"*novo*",$N$2:$N$200,"C2")+COUNTIFS($A$2:$A$200,$A166,$D$2:$D$200,"*novo*",$N$2:$N$200,"C3")+COUNTIFS($A$2:$A$200,$A166,$D$2:$D$200,"*novo*",$N$2:$N$200,"C4"))=0,INDEX(posicao_contratual!$Y$2:$Y$200,MATCH($A166,posicao_contratual!$A$2:$A$200,0))=0),0,"")),"")</f>
        <v/>
      </c>
    </row>
    <row r="167" spans="1:15" ht="45" customHeight="1" x14ac:dyDescent="0.35">
      <c r="A167" s="105"/>
      <c r="B167" s="189"/>
      <c r="C167" s="99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05"/>
      <c r="E167" s="106"/>
      <c r="F167" s="107" t="str">
        <f>IF(A167="","",IFERROR(VLOOKUP(A167,itens_Remanesc!$A:$C,3,0),""))</f>
        <v/>
      </c>
      <c r="G167" s="107" t="str">
        <f t="shared" si="15"/>
        <v/>
      </c>
      <c r="H167" s="105"/>
      <c r="I167" s="64" t="str">
        <f>IFERROR(IF(OR($A167="",$C167=""),"",IF(OR(($O167)="",($O167)&gt;(MIN(MATCH($C167,{"C0","C1","C2","C3","C4"},0)-1,COUNT(parametros!$F$2:$F$6)-1)),NOT(ISNUMBER(INDEX(parametros!$F$2:$F$6,(MIN(MATCH($C167,{"C0","C1","C2","C3","C4"},0)-1,COUNT(parametros!$F$2:$F$6)-1))+1))),NOT(ISNUMBER(INDEX(parametros!$F$2:$F$6,($O167)+1)))),"",INDEX(parametros!$F$2:$F$6,(MIN(MATCH($C167,{"C0","C1","C2","C3","C4"},0)-1,COUNT(parametros!$F$2:$F$6)-1))+1)/INDEX(parametros!$F$2:$F$6,($O167)+1))),"")</f>
        <v/>
      </c>
      <c r="J167" s="107" t="str">
        <f t="shared" si="16"/>
        <v/>
      </c>
      <c r="K167" s="105"/>
      <c r="L167" s="85" t="str">
        <f t="shared" si="17"/>
        <v/>
      </c>
      <c r="M167" s="483" t="str">
        <f>IF(A167="","",IF(COUNTIF(itens_Remanesc!$A$2:$A$200,A167)=0,"NOVO ITEM NAO CADASTRADO - CADASTRAR EM itens_Remanesc: ITEM + VU_ORIGINAL (QTD_BASE_ORIGINAL sera 0 automaticamente); depois a data e a quantidade aqui.",IF(COUNTIF(itens_Remanesc!$A$2:$A$200,A167)&gt;1,"ALERTA: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TIPO_INVALIDO",IF(AND(ISNUMBER(SEARCH("NOVO",D167)),OR(INDEX(posicao_contratual!$C$2:$C$200,MATCH(A167,posicao_contratual!$A$2:$A$200,0))&lt;&gt;0,F167="",COUNTIFS($A$2:$A$200,A167,$B$2:$B$200,"&lt;"&amp;B167,$L$2:$L$200,"&gt;0")&gt;0)),"ALERTA: NOVO ITEM INVALIDO - use Acrescimo se o item ja existia; novo item exige QTD_BASE_ORIGINAL 0, VU_ORIGINAL e ser o 1o acrescimo do item.",IF(AND(ISNUMBER(SEARCH("NOVO",D167)),OR(N167="",ISERROR(MATCH(N167,{"C0","C1","C2","C3","C4"},0)))),"ALERTA: BASE_VU_OBRIGATORIA",IF(AND(NOT(ISNUMBER(SEARCH("NOVO",D167))),N167&lt;&gt;""),"ALERTA: BASE_VU_NAO_APLICAVEL",IF(AND(UPPER(H167)="SIM",NOT(ISNUMBER(I167))),"ALERTA: BASE_VU_INVALIDA_OU_POSTERIOR_AO_FATOR_ALVO","OK"))))))))))</f>
        <v/>
      </c>
      <c r="N167" s="485"/>
      <c r="O167" s="487" t="str">
        <f>IFERROR(IF((COUNTIFS($A$2:$A$200,$A167,$D$2:$D$200,"*novo*",$N$2:$N$200,"C0")+COUNTIFS($A$2:$A$200,$A167,$D$2:$D$200,"*novo*",$N$2:$N$200,"C1")+COUNTIFS($A$2:$A$200,$A167,$D$2:$D$200,"*novo*",$N$2:$N$200,"C2")+COUNTIFS($A$2:$A$200,$A167,$D$2:$D$200,"*novo*",$N$2:$N$200,"C3")+COUNTIFS($A$2:$A$200,$A167,$D$2:$D$200,"*novo*",$N$2:$N$200,"C4"))=1,IF(COUNTIFS($A$2:$A$200,$A167,$D$2:$D$200,"*novo*",$N$2:$N$200,"C4")&gt;0,4,IF(COUNTIFS($A$2:$A$200,$A167,$D$2:$D$200,"*novo*",$N$2:$N$200,"C3")&gt;0,3,IF(COUNTIFS($A$2:$A$200,$A167,$D$2:$D$200,"*novo*",$N$2:$N$200,"C2")&gt;0,2,IF(COUNTIFS($A$2:$A$200,$A167,$D$2:$D$200,"*novo*",$N$2:$N$200,"C1")&gt;0,1,IF(COUNTIFS($A$2:$A$200,$A167,$D$2:$D$200,"*novo*",$N$2:$N$200,"C0")&gt;0,0,""))))),IF(AND((COUNTIFS($A$2:$A$200,$A167,$D$2:$D$200,"*novo*",$N$2:$N$200,"C0")+COUNTIFS($A$2:$A$200,$A167,$D$2:$D$200,"*novo*",$N$2:$N$200,"C1")+COUNTIFS($A$2:$A$200,$A167,$D$2:$D$200,"*novo*",$N$2:$N$200,"C2")+COUNTIFS($A$2:$A$200,$A167,$D$2:$D$200,"*novo*",$N$2:$N$200,"C3")+COUNTIFS($A$2:$A$200,$A167,$D$2:$D$200,"*novo*",$N$2:$N$200,"C4"))=0,INDEX(posicao_contratual!$Y$2:$Y$200,MATCH($A167,posicao_contratual!$A$2:$A$200,0))=0),0,"")),"")</f>
        <v/>
      </c>
    </row>
    <row r="168" spans="1:15" ht="45" customHeight="1" x14ac:dyDescent="0.35">
      <c r="A168" s="105"/>
      <c r="B168" s="189"/>
      <c r="C168" s="99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05"/>
      <c r="E168" s="106"/>
      <c r="F168" s="107" t="str">
        <f>IF(A168="","",IFERROR(VLOOKUP(A168,itens_Remanesc!$A:$C,3,0),""))</f>
        <v/>
      </c>
      <c r="G168" s="107" t="str">
        <f t="shared" si="15"/>
        <v/>
      </c>
      <c r="H168" s="105"/>
      <c r="I168" s="64" t="str">
        <f>IFERROR(IF(OR($A168="",$C168=""),"",IF(OR(($O168)="",($O168)&gt;(MIN(MATCH($C168,{"C0","C1","C2","C3","C4"},0)-1,COUNT(parametros!$F$2:$F$6)-1)),NOT(ISNUMBER(INDEX(parametros!$F$2:$F$6,(MIN(MATCH($C168,{"C0","C1","C2","C3","C4"},0)-1,COUNT(parametros!$F$2:$F$6)-1))+1))),NOT(ISNUMBER(INDEX(parametros!$F$2:$F$6,($O168)+1)))),"",INDEX(parametros!$F$2:$F$6,(MIN(MATCH($C168,{"C0","C1","C2","C3","C4"},0)-1,COUNT(parametros!$F$2:$F$6)-1))+1)/INDEX(parametros!$F$2:$F$6,($O168)+1))),"")</f>
        <v/>
      </c>
      <c r="J168" s="107" t="str">
        <f t="shared" si="16"/>
        <v/>
      </c>
      <c r="K168" s="105"/>
      <c r="L168" s="85" t="str">
        <f t="shared" si="17"/>
        <v/>
      </c>
      <c r="M168" s="483" t="str">
        <f>IF(A168="","",IF(COUNTIF(itens_Remanesc!$A$2:$A$200,A168)=0,"NOVO ITEM NAO CADASTRADO - CADASTRAR EM itens_Remanesc: ITEM + VU_ORIGINAL (QTD_BASE_ORIGINAL sera 0 automaticamente); depois a data e a quantidade aqui.",IF(COUNTIF(itens_Remanesc!$A$2:$A$200,A168)&gt;1,"ALERTA: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TIPO_INVALIDO",IF(AND(ISNUMBER(SEARCH("NOVO",D168)),OR(INDEX(posicao_contratual!$C$2:$C$200,MATCH(A168,posicao_contratual!$A$2:$A$200,0))&lt;&gt;0,F168="",COUNTIFS($A$2:$A$200,A168,$B$2:$B$200,"&lt;"&amp;B168,$L$2:$L$200,"&gt;0")&gt;0)),"ALERTA: NOVO ITEM INVALIDO - use Acrescimo se o item ja existia; novo item exige QTD_BASE_ORIGINAL 0, VU_ORIGINAL e ser o 1o acrescimo do item.",IF(AND(ISNUMBER(SEARCH("NOVO",D168)),OR(N168="",ISERROR(MATCH(N168,{"C0","C1","C2","C3","C4"},0)))),"ALERTA: BASE_VU_OBRIGATORIA",IF(AND(NOT(ISNUMBER(SEARCH("NOVO",D168))),N168&lt;&gt;""),"ALERTA: BASE_VU_NAO_APLICAVEL",IF(AND(UPPER(H168)="SIM",NOT(ISNUMBER(I168))),"ALERTA: BASE_VU_INVALIDA_OU_POSTERIOR_AO_FATOR_ALVO","OK"))))))))))</f>
        <v/>
      </c>
      <c r="N168" s="485"/>
      <c r="O168" s="487" t="str">
        <f>IFERROR(IF((COUNTIFS($A$2:$A$200,$A168,$D$2:$D$200,"*novo*",$N$2:$N$200,"C0")+COUNTIFS($A$2:$A$200,$A168,$D$2:$D$200,"*novo*",$N$2:$N$200,"C1")+COUNTIFS($A$2:$A$200,$A168,$D$2:$D$200,"*novo*",$N$2:$N$200,"C2")+COUNTIFS($A$2:$A$200,$A168,$D$2:$D$200,"*novo*",$N$2:$N$200,"C3")+COUNTIFS($A$2:$A$200,$A168,$D$2:$D$200,"*novo*",$N$2:$N$200,"C4"))=1,IF(COUNTIFS($A$2:$A$200,$A168,$D$2:$D$200,"*novo*",$N$2:$N$200,"C4")&gt;0,4,IF(COUNTIFS($A$2:$A$200,$A168,$D$2:$D$200,"*novo*",$N$2:$N$200,"C3")&gt;0,3,IF(COUNTIFS($A$2:$A$200,$A168,$D$2:$D$200,"*novo*",$N$2:$N$200,"C2")&gt;0,2,IF(COUNTIFS($A$2:$A$200,$A168,$D$2:$D$200,"*novo*",$N$2:$N$200,"C1")&gt;0,1,IF(COUNTIFS($A$2:$A$200,$A168,$D$2:$D$200,"*novo*",$N$2:$N$200,"C0")&gt;0,0,""))))),IF(AND((COUNTIFS($A$2:$A$200,$A168,$D$2:$D$200,"*novo*",$N$2:$N$200,"C0")+COUNTIFS($A$2:$A$200,$A168,$D$2:$D$200,"*novo*",$N$2:$N$200,"C1")+COUNTIFS($A$2:$A$200,$A168,$D$2:$D$200,"*novo*",$N$2:$N$200,"C2")+COUNTIFS($A$2:$A$200,$A168,$D$2:$D$200,"*novo*",$N$2:$N$200,"C3")+COUNTIFS($A$2:$A$200,$A168,$D$2:$D$200,"*novo*",$N$2:$N$200,"C4"))=0,INDEX(posicao_contratual!$Y$2:$Y$200,MATCH($A168,posicao_contratual!$A$2:$A$200,0))=0),0,"")),"")</f>
        <v/>
      </c>
    </row>
    <row r="169" spans="1:15" ht="45" customHeight="1" x14ac:dyDescent="0.35">
      <c r="A169" s="105"/>
      <c r="B169" s="189"/>
      <c r="C169" s="99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05"/>
      <c r="E169" s="106"/>
      <c r="F169" s="107" t="str">
        <f>IF(A169="","",IFERROR(VLOOKUP(A169,itens_Remanesc!$A:$C,3,0),""))</f>
        <v/>
      </c>
      <c r="G169" s="107" t="str">
        <f t="shared" si="15"/>
        <v/>
      </c>
      <c r="H169" s="105"/>
      <c r="I169" s="64" t="str">
        <f>IFERROR(IF(OR($A169="",$C169=""),"",IF(OR(($O169)="",($O169)&gt;(MIN(MATCH($C169,{"C0","C1","C2","C3","C4"},0)-1,COUNT(parametros!$F$2:$F$6)-1)),NOT(ISNUMBER(INDEX(parametros!$F$2:$F$6,(MIN(MATCH($C169,{"C0","C1","C2","C3","C4"},0)-1,COUNT(parametros!$F$2:$F$6)-1))+1))),NOT(ISNUMBER(INDEX(parametros!$F$2:$F$6,($O169)+1)))),"",INDEX(parametros!$F$2:$F$6,(MIN(MATCH($C169,{"C0","C1","C2","C3","C4"},0)-1,COUNT(parametros!$F$2:$F$6)-1))+1)/INDEX(parametros!$F$2:$F$6,($O169)+1))),"")</f>
        <v/>
      </c>
      <c r="J169" s="107" t="str">
        <f t="shared" si="16"/>
        <v/>
      </c>
      <c r="K169" s="105"/>
      <c r="L169" s="85" t="str">
        <f t="shared" si="17"/>
        <v/>
      </c>
      <c r="M169" s="483" t="str">
        <f>IF(A169="","",IF(COUNTIF(itens_Remanesc!$A$2:$A$200,A169)=0,"NOVO ITEM NAO CADASTRADO - CADASTRAR EM itens_Remanesc: ITEM + VU_ORIGINAL (QTD_BASE_ORIGINAL sera 0 automaticamente); depois a data e a quantidade aqui.",IF(COUNTIF(itens_Remanesc!$A$2:$A$200,A169)&gt;1,"ALERTA: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TIPO_INVALIDO",IF(AND(ISNUMBER(SEARCH("NOVO",D169)),OR(INDEX(posicao_contratual!$C$2:$C$200,MATCH(A169,posicao_contratual!$A$2:$A$200,0))&lt;&gt;0,F169="",COUNTIFS($A$2:$A$200,A169,$B$2:$B$200,"&lt;"&amp;B169,$L$2:$L$200,"&gt;0")&gt;0)),"ALERTA: NOVO ITEM INVALIDO - use Acrescimo se o item ja existia; novo item exige QTD_BASE_ORIGINAL 0, VU_ORIGINAL e ser o 1o acrescimo do item.",IF(AND(ISNUMBER(SEARCH("NOVO",D169)),OR(N169="",ISERROR(MATCH(N169,{"C0","C1","C2","C3","C4"},0)))),"ALERTA: BASE_VU_OBRIGATORIA",IF(AND(NOT(ISNUMBER(SEARCH("NOVO",D169))),N169&lt;&gt;""),"ALERTA: BASE_VU_NAO_APLICAVEL",IF(AND(UPPER(H169)="SIM",NOT(ISNUMBER(I169))),"ALERTA: BASE_VU_INVALIDA_OU_POSTERIOR_AO_FATOR_ALVO","OK"))))))))))</f>
        <v/>
      </c>
      <c r="N169" s="485"/>
      <c r="O169" s="487" t="str">
        <f>IFERROR(IF((COUNTIFS($A$2:$A$200,$A169,$D$2:$D$200,"*novo*",$N$2:$N$200,"C0")+COUNTIFS($A$2:$A$200,$A169,$D$2:$D$200,"*novo*",$N$2:$N$200,"C1")+COUNTIFS($A$2:$A$200,$A169,$D$2:$D$200,"*novo*",$N$2:$N$200,"C2")+COUNTIFS($A$2:$A$200,$A169,$D$2:$D$200,"*novo*",$N$2:$N$200,"C3")+COUNTIFS($A$2:$A$200,$A169,$D$2:$D$200,"*novo*",$N$2:$N$200,"C4"))=1,IF(COUNTIFS($A$2:$A$200,$A169,$D$2:$D$200,"*novo*",$N$2:$N$200,"C4")&gt;0,4,IF(COUNTIFS($A$2:$A$200,$A169,$D$2:$D$200,"*novo*",$N$2:$N$200,"C3")&gt;0,3,IF(COUNTIFS($A$2:$A$200,$A169,$D$2:$D$200,"*novo*",$N$2:$N$200,"C2")&gt;0,2,IF(COUNTIFS($A$2:$A$200,$A169,$D$2:$D$200,"*novo*",$N$2:$N$200,"C1")&gt;0,1,IF(COUNTIFS($A$2:$A$200,$A169,$D$2:$D$200,"*novo*",$N$2:$N$200,"C0")&gt;0,0,""))))),IF(AND((COUNTIFS($A$2:$A$200,$A169,$D$2:$D$200,"*novo*",$N$2:$N$200,"C0")+COUNTIFS($A$2:$A$200,$A169,$D$2:$D$200,"*novo*",$N$2:$N$200,"C1")+COUNTIFS($A$2:$A$200,$A169,$D$2:$D$200,"*novo*",$N$2:$N$200,"C2")+COUNTIFS($A$2:$A$200,$A169,$D$2:$D$200,"*novo*",$N$2:$N$200,"C3")+COUNTIFS($A$2:$A$200,$A169,$D$2:$D$200,"*novo*",$N$2:$N$200,"C4"))=0,INDEX(posicao_contratual!$Y$2:$Y$200,MATCH($A169,posicao_contratual!$A$2:$A$200,0))=0),0,"")),"")</f>
        <v/>
      </c>
    </row>
    <row r="170" spans="1:15" ht="45" customHeight="1" x14ac:dyDescent="0.35">
      <c r="A170" s="105"/>
      <c r="B170" s="189"/>
      <c r="C170" s="99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05"/>
      <c r="E170" s="106"/>
      <c r="F170" s="107" t="str">
        <f>IF(A170="","",IFERROR(VLOOKUP(A170,itens_Remanesc!$A:$C,3,0),""))</f>
        <v/>
      </c>
      <c r="G170" s="107" t="str">
        <f t="shared" si="15"/>
        <v/>
      </c>
      <c r="H170" s="105"/>
      <c r="I170" s="64" t="str">
        <f>IFERROR(IF(OR($A170="",$C170=""),"",IF(OR(($O170)="",($O170)&gt;(MIN(MATCH($C170,{"C0","C1","C2","C3","C4"},0)-1,COUNT(parametros!$F$2:$F$6)-1)),NOT(ISNUMBER(INDEX(parametros!$F$2:$F$6,(MIN(MATCH($C170,{"C0","C1","C2","C3","C4"},0)-1,COUNT(parametros!$F$2:$F$6)-1))+1))),NOT(ISNUMBER(INDEX(parametros!$F$2:$F$6,($O170)+1)))),"",INDEX(parametros!$F$2:$F$6,(MIN(MATCH($C170,{"C0","C1","C2","C3","C4"},0)-1,COUNT(parametros!$F$2:$F$6)-1))+1)/INDEX(parametros!$F$2:$F$6,($O170)+1))),"")</f>
        <v/>
      </c>
      <c r="J170" s="107" t="str">
        <f t="shared" si="16"/>
        <v/>
      </c>
      <c r="K170" s="105"/>
      <c r="L170" s="85" t="str">
        <f t="shared" si="17"/>
        <v/>
      </c>
      <c r="M170" s="483" t="str">
        <f>IF(A170="","",IF(COUNTIF(itens_Remanesc!$A$2:$A$200,A170)=0,"NOVO ITEM NAO CADASTRADO - CADASTRAR EM itens_Remanesc: ITEM + VU_ORIGINAL (QTD_BASE_ORIGINAL sera 0 automaticamente); depois a data e a quantidade aqui.",IF(COUNTIF(itens_Remanesc!$A$2:$A$200,A170)&gt;1,"ALERTA: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TIPO_INVALIDO",IF(AND(ISNUMBER(SEARCH("NOVO",D170)),OR(INDEX(posicao_contratual!$C$2:$C$200,MATCH(A170,posicao_contratual!$A$2:$A$200,0))&lt;&gt;0,F170="",COUNTIFS($A$2:$A$200,A170,$B$2:$B$200,"&lt;"&amp;B170,$L$2:$L$200,"&gt;0")&gt;0)),"ALERTA: NOVO ITEM INVALIDO - use Acrescimo se o item ja existia; novo item exige QTD_BASE_ORIGINAL 0, VU_ORIGINAL e ser o 1o acrescimo do item.",IF(AND(ISNUMBER(SEARCH("NOVO",D170)),OR(N170="",ISERROR(MATCH(N170,{"C0","C1","C2","C3","C4"},0)))),"ALERTA: BASE_VU_OBRIGATORIA",IF(AND(NOT(ISNUMBER(SEARCH("NOVO",D170))),N170&lt;&gt;""),"ALERTA: BASE_VU_NAO_APLICAVEL",IF(AND(UPPER(H170)="SIM",NOT(ISNUMBER(I170))),"ALERTA: BASE_VU_INVALIDA_OU_POSTERIOR_AO_FATOR_ALVO","OK"))))))))))</f>
        <v/>
      </c>
      <c r="N170" s="485"/>
      <c r="O170" s="487" t="str">
        <f>IFERROR(IF((COUNTIFS($A$2:$A$200,$A170,$D$2:$D$200,"*novo*",$N$2:$N$200,"C0")+COUNTIFS($A$2:$A$200,$A170,$D$2:$D$200,"*novo*",$N$2:$N$200,"C1")+COUNTIFS($A$2:$A$200,$A170,$D$2:$D$200,"*novo*",$N$2:$N$200,"C2")+COUNTIFS($A$2:$A$200,$A170,$D$2:$D$200,"*novo*",$N$2:$N$200,"C3")+COUNTIFS($A$2:$A$200,$A170,$D$2:$D$200,"*novo*",$N$2:$N$200,"C4"))=1,IF(COUNTIFS($A$2:$A$200,$A170,$D$2:$D$200,"*novo*",$N$2:$N$200,"C4")&gt;0,4,IF(COUNTIFS($A$2:$A$200,$A170,$D$2:$D$200,"*novo*",$N$2:$N$200,"C3")&gt;0,3,IF(COUNTIFS($A$2:$A$200,$A170,$D$2:$D$200,"*novo*",$N$2:$N$200,"C2")&gt;0,2,IF(COUNTIFS($A$2:$A$200,$A170,$D$2:$D$200,"*novo*",$N$2:$N$200,"C1")&gt;0,1,IF(COUNTIFS($A$2:$A$200,$A170,$D$2:$D$200,"*novo*",$N$2:$N$200,"C0")&gt;0,0,""))))),IF(AND((COUNTIFS($A$2:$A$200,$A170,$D$2:$D$200,"*novo*",$N$2:$N$200,"C0")+COUNTIFS($A$2:$A$200,$A170,$D$2:$D$200,"*novo*",$N$2:$N$200,"C1")+COUNTIFS($A$2:$A$200,$A170,$D$2:$D$200,"*novo*",$N$2:$N$200,"C2")+COUNTIFS($A$2:$A$200,$A170,$D$2:$D$200,"*novo*",$N$2:$N$200,"C3")+COUNTIFS($A$2:$A$200,$A170,$D$2:$D$200,"*novo*",$N$2:$N$200,"C4"))=0,INDEX(posicao_contratual!$Y$2:$Y$200,MATCH($A170,posicao_contratual!$A$2:$A$200,0))=0),0,"")),"")</f>
        <v/>
      </c>
    </row>
    <row r="171" spans="1:15" ht="45" customHeight="1" x14ac:dyDescent="0.35">
      <c r="A171" s="105"/>
      <c r="B171" s="189"/>
      <c r="C171" s="99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05"/>
      <c r="E171" s="106"/>
      <c r="F171" s="107" t="str">
        <f>IF(A171="","",IFERROR(VLOOKUP(A171,itens_Remanesc!$A:$C,3,0),""))</f>
        <v/>
      </c>
      <c r="G171" s="107" t="str">
        <f t="shared" si="15"/>
        <v/>
      </c>
      <c r="H171" s="105"/>
      <c r="I171" s="64" t="str">
        <f>IFERROR(IF(OR($A171="",$C171=""),"",IF(OR(($O171)="",($O171)&gt;(MIN(MATCH($C171,{"C0","C1","C2","C3","C4"},0)-1,COUNT(parametros!$F$2:$F$6)-1)),NOT(ISNUMBER(INDEX(parametros!$F$2:$F$6,(MIN(MATCH($C171,{"C0","C1","C2","C3","C4"},0)-1,COUNT(parametros!$F$2:$F$6)-1))+1))),NOT(ISNUMBER(INDEX(parametros!$F$2:$F$6,($O171)+1)))),"",INDEX(parametros!$F$2:$F$6,(MIN(MATCH($C171,{"C0","C1","C2","C3","C4"},0)-1,COUNT(parametros!$F$2:$F$6)-1))+1)/INDEX(parametros!$F$2:$F$6,($O171)+1))),"")</f>
        <v/>
      </c>
      <c r="J171" s="107" t="str">
        <f t="shared" si="16"/>
        <v/>
      </c>
      <c r="K171" s="105"/>
      <c r="L171" s="85" t="str">
        <f t="shared" si="17"/>
        <v/>
      </c>
      <c r="M171" s="483" t="str">
        <f>IF(A171="","",IF(COUNTIF(itens_Remanesc!$A$2:$A$200,A171)=0,"NOVO ITEM NAO CADASTRADO - CADASTRAR EM itens_Remanesc: ITEM + VU_ORIGINAL (QTD_BASE_ORIGINAL sera 0 automaticamente); depois a data e a quantidade aqui.",IF(COUNTIF(itens_Remanesc!$A$2:$A$200,A171)&gt;1,"ALERTA: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TIPO_INVALIDO",IF(AND(ISNUMBER(SEARCH("NOVO",D171)),OR(INDEX(posicao_contratual!$C$2:$C$200,MATCH(A171,posicao_contratual!$A$2:$A$200,0))&lt;&gt;0,F171="",COUNTIFS($A$2:$A$200,A171,$B$2:$B$200,"&lt;"&amp;B171,$L$2:$L$200,"&gt;0")&gt;0)),"ALERTA: NOVO ITEM INVALIDO - use Acrescimo se o item ja existia; novo item exige QTD_BASE_ORIGINAL 0, VU_ORIGINAL e ser o 1o acrescimo do item.",IF(AND(ISNUMBER(SEARCH("NOVO",D171)),OR(N171="",ISERROR(MATCH(N171,{"C0","C1","C2","C3","C4"},0)))),"ALERTA: BASE_VU_OBRIGATORIA",IF(AND(NOT(ISNUMBER(SEARCH("NOVO",D171))),N171&lt;&gt;""),"ALERTA: BASE_VU_NAO_APLICAVEL",IF(AND(UPPER(H171)="SIM",NOT(ISNUMBER(I171))),"ALERTA: BASE_VU_INVALIDA_OU_POSTERIOR_AO_FATOR_ALVO","OK"))))))))))</f>
        <v/>
      </c>
      <c r="N171" s="485"/>
      <c r="O171" s="487" t="str">
        <f>IFERROR(IF((COUNTIFS($A$2:$A$200,$A171,$D$2:$D$200,"*novo*",$N$2:$N$200,"C0")+COUNTIFS($A$2:$A$200,$A171,$D$2:$D$200,"*novo*",$N$2:$N$200,"C1")+COUNTIFS($A$2:$A$200,$A171,$D$2:$D$200,"*novo*",$N$2:$N$200,"C2")+COUNTIFS($A$2:$A$200,$A171,$D$2:$D$200,"*novo*",$N$2:$N$200,"C3")+COUNTIFS($A$2:$A$200,$A171,$D$2:$D$200,"*novo*",$N$2:$N$200,"C4"))=1,IF(COUNTIFS($A$2:$A$200,$A171,$D$2:$D$200,"*novo*",$N$2:$N$200,"C4")&gt;0,4,IF(COUNTIFS($A$2:$A$200,$A171,$D$2:$D$200,"*novo*",$N$2:$N$200,"C3")&gt;0,3,IF(COUNTIFS($A$2:$A$200,$A171,$D$2:$D$200,"*novo*",$N$2:$N$200,"C2")&gt;0,2,IF(COUNTIFS($A$2:$A$200,$A171,$D$2:$D$200,"*novo*",$N$2:$N$200,"C1")&gt;0,1,IF(COUNTIFS($A$2:$A$200,$A171,$D$2:$D$200,"*novo*",$N$2:$N$200,"C0")&gt;0,0,""))))),IF(AND((COUNTIFS($A$2:$A$200,$A171,$D$2:$D$200,"*novo*",$N$2:$N$200,"C0")+COUNTIFS($A$2:$A$200,$A171,$D$2:$D$200,"*novo*",$N$2:$N$200,"C1")+COUNTIFS($A$2:$A$200,$A171,$D$2:$D$200,"*novo*",$N$2:$N$200,"C2")+COUNTIFS($A$2:$A$200,$A171,$D$2:$D$200,"*novo*",$N$2:$N$200,"C3")+COUNTIFS($A$2:$A$200,$A171,$D$2:$D$200,"*novo*",$N$2:$N$200,"C4"))=0,INDEX(posicao_contratual!$Y$2:$Y$200,MATCH($A171,posicao_contratual!$A$2:$A$200,0))=0),0,"")),"")</f>
        <v/>
      </c>
    </row>
    <row r="172" spans="1:15" ht="45" customHeight="1" x14ac:dyDescent="0.35">
      <c r="A172" s="105"/>
      <c r="B172" s="189"/>
      <c r="C172" s="99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05"/>
      <c r="E172" s="106"/>
      <c r="F172" s="107" t="str">
        <f>IF(A172="","",IFERROR(VLOOKUP(A172,itens_Remanesc!$A:$C,3,0),""))</f>
        <v/>
      </c>
      <c r="G172" s="107" t="str">
        <f t="shared" si="15"/>
        <v/>
      </c>
      <c r="H172" s="105"/>
      <c r="I172" s="64" t="str">
        <f>IFERROR(IF(OR($A172="",$C172=""),"",IF(OR(($O172)="",($O172)&gt;(MIN(MATCH($C172,{"C0","C1","C2","C3","C4"},0)-1,COUNT(parametros!$F$2:$F$6)-1)),NOT(ISNUMBER(INDEX(parametros!$F$2:$F$6,(MIN(MATCH($C172,{"C0","C1","C2","C3","C4"},0)-1,COUNT(parametros!$F$2:$F$6)-1))+1))),NOT(ISNUMBER(INDEX(parametros!$F$2:$F$6,($O172)+1)))),"",INDEX(parametros!$F$2:$F$6,(MIN(MATCH($C172,{"C0","C1","C2","C3","C4"},0)-1,COUNT(parametros!$F$2:$F$6)-1))+1)/INDEX(parametros!$F$2:$F$6,($O172)+1))),"")</f>
        <v/>
      </c>
      <c r="J172" s="107" t="str">
        <f t="shared" si="16"/>
        <v/>
      </c>
      <c r="K172" s="105"/>
      <c r="L172" s="85" t="str">
        <f t="shared" si="17"/>
        <v/>
      </c>
      <c r="M172" s="483" t="str">
        <f>IF(A172="","",IF(COUNTIF(itens_Remanesc!$A$2:$A$200,A172)=0,"NOVO ITEM NAO CADASTRADO - CADASTRAR EM itens_Remanesc: ITEM + VU_ORIGINAL (QTD_BASE_ORIGINAL sera 0 automaticamente); depois a data e a quantidade aqui.",IF(COUNTIF(itens_Remanesc!$A$2:$A$200,A172)&gt;1,"ALERTA: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TIPO_INVALIDO",IF(AND(ISNUMBER(SEARCH("NOVO",D172)),OR(INDEX(posicao_contratual!$C$2:$C$200,MATCH(A172,posicao_contratual!$A$2:$A$200,0))&lt;&gt;0,F172="",COUNTIFS($A$2:$A$200,A172,$B$2:$B$200,"&lt;"&amp;B172,$L$2:$L$200,"&gt;0")&gt;0)),"ALERTA: NOVO ITEM INVALIDO - use Acrescimo se o item ja existia; novo item exige QTD_BASE_ORIGINAL 0, VU_ORIGINAL e ser o 1o acrescimo do item.",IF(AND(ISNUMBER(SEARCH("NOVO",D172)),OR(N172="",ISERROR(MATCH(N172,{"C0","C1","C2","C3","C4"},0)))),"ALERTA: BASE_VU_OBRIGATORIA",IF(AND(NOT(ISNUMBER(SEARCH("NOVO",D172))),N172&lt;&gt;""),"ALERTA: BASE_VU_NAO_APLICAVEL",IF(AND(UPPER(H172)="SIM",NOT(ISNUMBER(I172))),"ALERTA: BASE_VU_INVALIDA_OU_POSTERIOR_AO_FATOR_ALVO","OK"))))))))))</f>
        <v/>
      </c>
      <c r="N172" s="485"/>
      <c r="O172" s="487" t="str">
        <f>IFERROR(IF((COUNTIFS($A$2:$A$200,$A172,$D$2:$D$200,"*novo*",$N$2:$N$200,"C0")+COUNTIFS($A$2:$A$200,$A172,$D$2:$D$200,"*novo*",$N$2:$N$200,"C1")+COUNTIFS($A$2:$A$200,$A172,$D$2:$D$200,"*novo*",$N$2:$N$200,"C2")+COUNTIFS($A$2:$A$200,$A172,$D$2:$D$200,"*novo*",$N$2:$N$200,"C3")+COUNTIFS($A$2:$A$200,$A172,$D$2:$D$200,"*novo*",$N$2:$N$200,"C4"))=1,IF(COUNTIFS($A$2:$A$200,$A172,$D$2:$D$200,"*novo*",$N$2:$N$200,"C4")&gt;0,4,IF(COUNTIFS($A$2:$A$200,$A172,$D$2:$D$200,"*novo*",$N$2:$N$200,"C3")&gt;0,3,IF(COUNTIFS($A$2:$A$200,$A172,$D$2:$D$200,"*novo*",$N$2:$N$200,"C2")&gt;0,2,IF(COUNTIFS($A$2:$A$200,$A172,$D$2:$D$200,"*novo*",$N$2:$N$200,"C1")&gt;0,1,IF(COUNTIFS($A$2:$A$200,$A172,$D$2:$D$200,"*novo*",$N$2:$N$200,"C0")&gt;0,0,""))))),IF(AND((COUNTIFS($A$2:$A$200,$A172,$D$2:$D$200,"*novo*",$N$2:$N$200,"C0")+COUNTIFS($A$2:$A$200,$A172,$D$2:$D$200,"*novo*",$N$2:$N$200,"C1")+COUNTIFS($A$2:$A$200,$A172,$D$2:$D$200,"*novo*",$N$2:$N$200,"C2")+COUNTIFS($A$2:$A$200,$A172,$D$2:$D$200,"*novo*",$N$2:$N$200,"C3")+COUNTIFS($A$2:$A$200,$A172,$D$2:$D$200,"*novo*",$N$2:$N$200,"C4"))=0,INDEX(posicao_contratual!$Y$2:$Y$200,MATCH($A172,posicao_contratual!$A$2:$A$200,0))=0),0,"")),"")</f>
        <v/>
      </c>
    </row>
    <row r="173" spans="1:15" ht="45" customHeight="1" x14ac:dyDescent="0.35">
      <c r="A173" s="105"/>
      <c r="B173" s="189"/>
      <c r="C173" s="99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05"/>
      <c r="E173" s="106"/>
      <c r="F173" s="107" t="str">
        <f>IF(A173="","",IFERROR(VLOOKUP(A173,itens_Remanesc!$A:$C,3,0),""))</f>
        <v/>
      </c>
      <c r="G173" s="107" t="str">
        <f t="shared" si="15"/>
        <v/>
      </c>
      <c r="H173" s="105"/>
      <c r="I173" s="64" t="str">
        <f>IFERROR(IF(OR($A173="",$C173=""),"",IF(OR(($O173)="",($O173)&gt;(MIN(MATCH($C173,{"C0","C1","C2","C3","C4"},0)-1,COUNT(parametros!$F$2:$F$6)-1)),NOT(ISNUMBER(INDEX(parametros!$F$2:$F$6,(MIN(MATCH($C173,{"C0","C1","C2","C3","C4"},0)-1,COUNT(parametros!$F$2:$F$6)-1))+1))),NOT(ISNUMBER(INDEX(parametros!$F$2:$F$6,($O173)+1)))),"",INDEX(parametros!$F$2:$F$6,(MIN(MATCH($C173,{"C0","C1","C2","C3","C4"},0)-1,COUNT(parametros!$F$2:$F$6)-1))+1)/INDEX(parametros!$F$2:$F$6,($O173)+1))),"")</f>
        <v/>
      </c>
      <c r="J173" s="107" t="str">
        <f t="shared" si="16"/>
        <v/>
      </c>
      <c r="K173" s="105"/>
      <c r="L173" s="85" t="str">
        <f t="shared" si="17"/>
        <v/>
      </c>
      <c r="M173" s="483" t="str">
        <f>IF(A173="","",IF(COUNTIF(itens_Remanesc!$A$2:$A$200,A173)=0,"NOVO ITEM NAO CADASTRADO - CADASTRAR EM itens_Remanesc: ITEM + VU_ORIGINAL (QTD_BASE_ORIGINAL sera 0 automaticamente); depois a data e a quantidade aqui.",IF(COUNTIF(itens_Remanesc!$A$2:$A$200,A173)&gt;1,"ALERTA: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TIPO_INVALIDO",IF(AND(ISNUMBER(SEARCH("NOVO",D173)),OR(INDEX(posicao_contratual!$C$2:$C$200,MATCH(A173,posicao_contratual!$A$2:$A$200,0))&lt;&gt;0,F173="",COUNTIFS($A$2:$A$200,A173,$B$2:$B$200,"&lt;"&amp;B173,$L$2:$L$200,"&gt;0")&gt;0)),"ALERTA: NOVO ITEM INVALIDO - use Acrescimo se o item ja existia; novo item exige QTD_BASE_ORIGINAL 0, VU_ORIGINAL e ser o 1o acrescimo do item.",IF(AND(ISNUMBER(SEARCH("NOVO",D173)),OR(N173="",ISERROR(MATCH(N173,{"C0","C1","C2","C3","C4"},0)))),"ALERTA: BASE_VU_OBRIGATORIA",IF(AND(NOT(ISNUMBER(SEARCH("NOVO",D173))),N173&lt;&gt;""),"ALERTA: BASE_VU_NAO_APLICAVEL",IF(AND(UPPER(H173)="SIM",NOT(ISNUMBER(I173))),"ALERTA: BASE_VU_INVALIDA_OU_POSTERIOR_AO_FATOR_ALVO","OK"))))))))))</f>
        <v/>
      </c>
      <c r="N173" s="485"/>
      <c r="O173" s="487" t="str">
        <f>IFERROR(IF((COUNTIFS($A$2:$A$200,$A173,$D$2:$D$200,"*novo*",$N$2:$N$200,"C0")+COUNTIFS($A$2:$A$200,$A173,$D$2:$D$200,"*novo*",$N$2:$N$200,"C1")+COUNTIFS($A$2:$A$200,$A173,$D$2:$D$200,"*novo*",$N$2:$N$200,"C2")+COUNTIFS($A$2:$A$200,$A173,$D$2:$D$200,"*novo*",$N$2:$N$200,"C3")+COUNTIFS($A$2:$A$200,$A173,$D$2:$D$200,"*novo*",$N$2:$N$200,"C4"))=1,IF(COUNTIFS($A$2:$A$200,$A173,$D$2:$D$200,"*novo*",$N$2:$N$200,"C4")&gt;0,4,IF(COUNTIFS($A$2:$A$200,$A173,$D$2:$D$200,"*novo*",$N$2:$N$200,"C3")&gt;0,3,IF(COUNTIFS($A$2:$A$200,$A173,$D$2:$D$200,"*novo*",$N$2:$N$200,"C2")&gt;0,2,IF(COUNTIFS($A$2:$A$200,$A173,$D$2:$D$200,"*novo*",$N$2:$N$200,"C1")&gt;0,1,IF(COUNTIFS($A$2:$A$200,$A173,$D$2:$D$200,"*novo*",$N$2:$N$200,"C0")&gt;0,0,""))))),IF(AND((COUNTIFS($A$2:$A$200,$A173,$D$2:$D$200,"*novo*",$N$2:$N$200,"C0")+COUNTIFS($A$2:$A$200,$A173,$D$2:$D$200,"*novo*",$N$2:$N$200,"C1")+COUNTIFS($A$2:$A$200,$A173,$D$2:$D$200,"*novo*",$N$2:$N$200,"C2")+COUNTIFS($A$2:$A$200,$A173,$D$2:$D$200,"*novo*",$N$2:$N$200,"C3")+COUNTIFS($A$2:$A$200,$A173,$D$2:$D$200,"*novo*",$N$2:$N$200,"C4"))=0,INDEX(posicao_contratual!$Y$2:$Y$200,MATCH($A173,posicao_contratual!$A$2:$A$200,0))=0),0,"")),"")</f>
        <v/>
      </c>
    </row>
    <row r="174" spans="1:15" ht="45" customHeight="1" x14ac:dyDescent="0.35">
      <c r="A174" s="105"/>
      <c r="B174" s="189"/>
      <c r="C174" s="99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05"/>
      <c r="E174" s="106"/>
      <c r="F174" s="107" t="str">
        <f>IF(A174="","",IFERROR(VLOOKUP(A174,itens_Remanesc!$A:$C,3,0),""))</f>
        <v/>
      </c>
      <c r="G174" s="107" t="str">
        <f t="shared" si="15"/>
        <v/>
      </c>
      <c r="H174" s="105"/>
      <c r="I174" s="64" t="str">
        <f>IFERROR(IF(OR($A174="",$C174=""),"",IF(OR(($O174)="",($O174)&gt;(MIN(MATCH($C174,{"C0","C1","C2","C3","C4"},0)-1,COUNT(parametros!$F$2:$F$6)-1)),NOT(ISNUMBER(INDEX(parametros!$F$2:$F$6,(MIN(MATCH($C174,{"C0","C1","C2","C3","C4"},0)-1,COUNT(parametros!$F$2:$F$6)-1))+1))),NOT(ISNUMBER(INDEX(parametros!$F$2:$F$6,($O174)+1)))),"",INDEX(parametros!$F$2:$F$6,(MIN(MATCH($C174,{"C0","C1","C2","C3","C4"},0)-1,COUNT(parametros!$F$2:$F$6)-1))+1)/INDEX(parametros!$F$2:$F$6,($O174)+1))),"")</f>
        <v/>
      </c>
      <c r="J174" s="107" t="str">
        <f t="shared" si="16"/>
        <v/>
      </c>
      <c r="K174" s="105"/>
      <c r="L174" s="85" t="str">
        <f t="shared" si="17"/>
        <v/>
      </c>
      <c r="M174" s="483" t="str">
        <f>IF(A174="","",IF(COUNTIF(itens_Remanesc!$A$2:$A$200,A174)=0,"NOVO ITEM NAO CADASTRADO - CADASTRAR EM itens_Remanesc: ITEM + VU_ORIGINAL (QTD_BASE_ORIGINAL sera 0 automaticamente); depois a data e a quantidade aqui.",IF(COUNTIF(itens_Remanesc!$A$2:$A$200,A174)&gt;1,"ALERTA: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TIPO_INVALIDO",IF(AND(ISNUMBER(SEARCH("NOVO",D174)),OR(INDEX(posicao_contratual!$C$2:$C$200,MATCH(A174,posicao_contratual!$A$2:$A$200,0))&lt;&gt;0,F174="",COUNTIFS($A$2:$A$200,A174,$B$2:$B$200,"&lt;"&amp;B174,$L$2:$L$200,"&gt;0")&gt;0)),"ALERTA: NOVO ITEM INVALIDO - use Acrescimo se o item ja existia; novo item exige QTD_BASE_ORIGINAL 0, VU_ORIGINAL e ser o 1o acrescimo do item.",IF(AND(ISNUMBER(SEARCH("NOVO",D174)),OR(N174="",ISERROR(MATCH(N174,{"C0","C1","C2","C3","C4"},0)))),"ALERTA: BASE_VU_OBRIGATORIA",IF(AND(NOT(ISNUMBER(SEARCH("NOVO",D174))),N174&lt;&gt;""),"ALERTA: BASE_VU_NAO_APLICAVEL",IF(AND(UPPER(H174)="SIM",NOT(ISNUMBER(I174))),"ALERTA: BASE_VU_INVALIDA_OU_POSTERIOR_AO_FATOR_ALVO","OK"))))))))))</f>
        <v/>
      </c>
      <c r="N174" s="485"/>
      <c r="O174" s="487" t="str">
        <f>IFERROR(IF((COUNTIFS($A$2:$A$200,$A174,$D$2:$D$200,"*novo*",$N$2:$N$200,"C0")+COUNTIFS($A$2:$A$200,$A174,$D$2:$D$200,"*novo*",$N$2:$N$200,"C1")+COUNTIFS($A$2:$A$200,$A174,$D$2:$D$200,"*novo*",$N$2:$N$200,"C2")+COUNTIFS($A$2:$A$200,$A174,$D$2:$D$200,"*novo*",$N$2:$N$200,"C3")+COUNTIFS($A$2:$A$200,$A174,$D$2:$D$200,"*novo*",$N$2:$N$200,"C4"))=1,IF(COUNTIFS($A$2:$A$200,$A174,$D$2:$D$200,"*novo*",$N$2:$N$200,"C4")&gt;0,4,IF(COUNTIFS($A$2:$A$200,$A174,$D$2:$D$200,"*novo*",$N$2:$N$200,"C3")&gt;0,3,IF(COUNTIFS($A$2:$A$200,$A174,$D$2:$D$200,"*novo*",$N$2:$N$200,"C2")&gt;0,2,IF(COUNTIFS($A$2:$A$200,$A174,$D$2:$D$200,"*novo*",$N$2:$N$200,"C1")&gt;0,1,IF(COUNTIFS($A$2:$A$200,$A174,$D$2:$D$200,"*novo*",$N$2:$N$200,"C0")&gt;0,0,""))))),IF(AND((COUNTIFS($A$2:$A$200,$A174,$D$2:$D$200,"*novo*",$N$2:$N$200,"C0")+COUNTIFS($A$2:$A$200,$A174,$D$2:$D$200,"*novo*",$N$2:$N$200,"C1")+COUNTIFS($A$2:$A$200,$A174,$D$2:$D$200,"*novo*",$N$2:$N$200,"C2")+COUNTIFS($A$2:$A$200,$A174,$D$2:$D$200,"*novo*",$N$2:$N$200,"C3")+COUNTIFS($A$2:$A$200,$A174,$D$2:$D$200,"*novo*",$N$2:$N$200,"C4"))=0,INDEX(posicao_contratual!$Y$2:$Y$200,MATCH($A174,posicao_contratual!$A$2:$A$200,0))=0),0,"")),"")</f>
        <v/>
      </c>
    </row>
    <row r="175" spans="1:15" ht="45" customHeight="1" x14ac:dyDescent="0.35">
      <c r="A175" s="105"/>
      <c r="B175" s="189"/>
      <c r="C175" s="99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05"/>
      <c r="E175" s="106"/>
      <c r="F175" s="107" t="str">
        <f>IF(A175="","",IFERROR(VLOOKUP(A175,itens_Remanesc!$A:$C,3,0),""))</f>
        <v/>
      </c>
      <c r="G175" s="107" t="str">
        <f t="shared" si="15"/>
        <v/>
      </c>
      <c r="H175" s="105"/>
      <c r="I175" s="64" t="str">
        <f>IFERROR(IF(OR($A175="",$C175=""),"",IF(OR(($O175)="",($O175)&gt;(MIN(MATCH($C175,{"C0","C1","C2","C3","C4"},0)-1,COUNT(parametros!$F$2:$F$6)-1)),NOT(ISNUMBER(INDEX(parametros!$F$2:$F$6,(MIN(MATCH($C175,{"C0","C1","C2","C3","C4"},0)-1,COUNT(parametros!$F$2:$F$6)-1))+1))),NOT(ISNUMBER(INDEX(parametros!$F$2:$F$6,($O175)+1)))),"",INDEX(parametros!$F$2:$F$6,(MIN(MATCH($C175,{"C0","C1","C2","C3","C4"},0)-1,COUNT(parametros!$F$2:$F$6)-1))+1)/INDEX(parametros!$F$2:$F$6,($O175)+1))),"")</f>
        <v/>
      </c>
      <c r="J175" s="107" t="str">
        <f t="shared" si="16"/>
        <v/>
      </c>
      <c r="K175" s="105"/>
      <c r="L175" s="85" t="str">
        <f t="shared" si="17"/>
        <v/>
      </c>
      <c r="M175" s="483" t="str">
        <f>IF(A175="","",IF(COUNTIF(itens_Remanesc!$A$2:$A$200,A175)=0,"NOVO ITEM NAO CADASTRADO - CADASTRAR EM itens_Remanesc: ITEM + VU_ORIGINAL (QTD_BASE_ORIGINAL sera 0 automaticamente); depois a data e a quantidade aqui.",IF(COUNTIF(itens_Remanesc!$A$2:$A$200,A175)&gt;1,"ALERTA: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TIPO_INVALIDO",IF(AND(ISNUMBER(SEARCH("NOVO",D175)),OR(INDEX(posicao_contratual!$C$2:$C$200,MATCH(A175,posicao_contratual!$A$2:$A$200,0))&lt;&gt;0,F175="",COUNTIFS($A$2:$A$200,A175,$B$2:$B$200,"&lt;"&amp;B175,$L$2:$L$200,"&gt;0")&gt;0)),"ALERTA: NOVO ITEM INVALIDO - use Acrescimo se o item ja existia; novo item exige QTD_BASE_ORIGINAL 0, VU_ORIGINAL e ser o 1o acrescimo do item.",IF(AND(ISNUMBER(SEARCH("NOVO",D175)),OR(N175="",ISERROR(MATCH(N175,{"C0","C1","C2","C3","C4"},0)))),"ALERTA: BASE_VU_OBRIGATORIA",IF(AND(NOT(ISNUMBER(SEARCH("NOVO",D175))),N175&lt;&gt;""),"ALERTA: BASE_VU_NAO_APLICAVEL",IF(AND(UPPER(H175)="SIM",NOT(ISNUMBER(I175))),"ALERTA: BASE_VU_INVALIDA_OU_POSTERIOR_AO_FATOR_ALVO","OK"))))))))))</f>
        <v/>
      </c>
      <c r="N175" s="485"/>
      <c r="O175" s="487" t="str">
        <f>IFERROR(IF((COUNTIFS($A$2:$A$200,$A175,$D$2:$D$200,"*novo*",$N$2:$N$200,"C0")+COUNTIFS($A$2:$A$200,$A175,$D$2:$D$200,"*novo*",$N$2:$N$200,"C1")+COUNTIFS($A$2:$A$200,$A175,$D$2:$D$200,"*novo*",$N$2:$N$200,"C2")+COUNTIFS($A$2:$A$200,$A175,$D$2:$D$200,"*novo*",$N$2:$N$200,"C3")+COUNTIFS($A$2:$A$200,$A175,$D$2:$D$200,"*novo*",$N$2:$N$200,"C4"))=1,IF(COUNTIFS($A$2:$A$200,$A175,$D$2:$D$200,"*novo*",$N$2:$N$200,"C4")&gt;0,4,IF(COUNTIFS($A$2:$A$200,$A175,$D$2:$D$200,"*novo*",$N$2:$N$200,"C3")&gt;0,3,IF(COUNTIFS($A$2:$A$200,$A175,$D$2:$D$200,"*novo*",$N$2:$N$200,"C2")&gt;0,2,IF(COUNTIFS($A$2:$A$200,$A175,$D$2:$D$200,"*novo*",$N$2:$N$200,"C1")&gt;0,1,IF(COUNTIFS($A$2:$A$200,$A175,$D$2:$D$200,"*novo*",$N$2:$N$200,"C0")&gt;0,0,""))))),IF(AND((COUNTIFS($A$2:$A$200,$A175,$D$2:$D$200,"*novo*",$N$2:$N$200,"C0")+COUNTIFS($A$2:$A$200,$A175,$D$2:$D$200,"*novo*",$N$2:$N$200,"C1")+COUNTIFS($A$2:$A$200,$A175,$D$2:$D$200,"*novo*",$N$2:$N$200,"C2")+COUNTIFS($A$2:$A$200,$A175,$D$2:$D$200,"*novo*",$N$2:$N$200,"C3")+COUNTIFS($A$2:$A$200,$A175,$D$2:$D$200,"*novo*",$N$2:$N$200,"C4"))=0,INDEX(posicao_contratual!$Y$2:$Y$200,MATCH($A175,posicao_contratual!$A$2:$A$200,0))=0),0,"")),"")</f>
        <v/>
      </c>
    </row>
    <row r="176" spans="1:15" ht="45" customHeight="1" x14ac:dyDescent="0.35">
      <c r="A176" s="105"/>
      <c r="B176" s="189"/>
      <c r="C176" s="99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05"/>
      <c r="E176" s="106"/>
      <c r="F176" s="107" t="str">
        <f>IF(A176="","",IFERROR(VLOOKUP(A176,itens_Remanesc!$A:$C,3,0),""))</f>
        <v/>
      </c>
      <c r="G176" s="107" t="str">
        <f t="shared" si="15"/>
        <v/>
      </c>
      <c r="H176" s="105"/>
      <c r="I176" s="64" t="str">
        <f>IFERROR(IF(OR($A176="",$C176=""),"",IF(OR(($O176)="",($O176)&gt;(MIN(MATCH($C176,{"C0","C1","C2","C3","C4"},0)-1,COUNT(parametros!$F$2:$F$6)-1)),NOT(ISNUMBER(INDEX(parametros!$F$2:$F$6,(MIN(MATCH($C176,{"C0","C1","C2","C3","C4"},0)-1,COUNT(parametros!$F$2:$F$6)-1))+1))),NOT(ISNUMBER(INDEX(parametros!$F$2:$F$6,($O176)+1)))),"",INDEX(parametros!$F$2:$F$6,(MIN(MATCH($C176,{"C0","C1","C2","C3","C4"},0)-1,COUNT(parametros!$F$2:$F$6)-1))+1)/INDEX(parametros!$F$2:$F$6,($O176)+1))),"")</f>
        <v/>
      </c>
      <c r="J176" s="107" t="str">
        <f t="shared" si="16"/>
        <v/>
      </c>
      <c r="K176" s="105"/>
      <c r="L176" s="85" t="str">
        <f t="shared" si="17"/>
        <v/>
      </c>
      <c r="M176" s="483" t="str">
        <f>IF(A176="","",IF(COUNTIF(itens_Remanesc!$A$2:$A$200,A176)=0,"NOVO ITEM NAO CADASTRADO - CADASTRAR EM itens_Remanesc: ITEM + VU_ORIGINAL (QTD_BASE_ORIGINAL sera 0 automaticamente); depois a data e a quantidade aqui.",IF(COUNTIF(itens_Remanesc!$A$2:$A$200,A176)&gt;1,"ALERTA: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TIPO_INVALIDO",IF(AND(ISNUMBER(SEARCH("NOVO",D176)),OR(INDEX(posicao_contratual!$C$2:$C$200,MATCH(A176,posicao_contratual!$A$2:$A$200,0))&lt;&gt;0,F176="",COUNTIFS($A$2:$A$200,A176,$B$2:$B$200,"&lt;"&amp;B176,$L$2:$L$200,"&gt;0")&gt;0)),"ALERTA: NOVO ITEM INVALIDO - use Acrescimo se o item ja existia; novo item exige QTD_BASE_ORIGINAL 0, VU_ORIGINAL e ser o 1o acrescimo do item.",IF(AND(ISNUMBER(SEARCH("NOVO",D176)),OR(N176="",ISERROR(MATCH(N176,{"C0","C1","C2","C3","C4"},0)))),"ALERTA: BASE_VU_OBRIGATORIA",IF(AND(NOT(ISNUMBER(SEARCH("NOVO",D176))),N176&lt;&gt;""),"ALERTA: BASE_VU_NAO_APLICAVEL",IF(AND(UPPER(H176)="SIM",NOT(ISNUMBER(I176))),"ALERTA: BASE_VU_INVALIDA_OU_POSTERIOR_AO_FATOR_ALVO","OK"))))))))))</f>
        <v/>
      </c>
      <c r="N176" s="485"/>
      <c r="O176" s="487" t="str">
        <f>IFERROR(IF((COUNTIFS($A$2:$A$200,$A176,$D$2:$D$200,"*novo*",$N$2:$N$200,"C0")+COUNTIFS($A$2:$A$200,$A176,$D$2:$D$200,"*novo*",$N$2:$N$200,"C1")+COUNTIFS($A$2:$A$200,$A176,$D$2:$D$200,"*novo*",$N$2:$N$200,"C2")+COUNTIFS($A$2:$A$200,$A176,$D$2:$D$200,"*novo*",$N$2:$N$200,"C3")+COUNTIFS($A$2:$A$200,$A176,$D$2:$D$200,"*novo*",$N$2:$N$200,"C4"))=1,IF(COUNTIFS($A$2:$A$200,$A176,$D$2:$D$200,"*novo*",$N$2:$N$200,"C4")&gt;0,4,IF(COUNTIFS($A$2:$A$200,$A176,$D$2:$D$200,"*novo*",$N$2:$N$200,"C3")&gt;0,3,IF(COUNTIFS($A$2:$A$200,$A176,$D$2:$D$200,"*novo*",$N$2:$N$200,"C2")&gt;0,2,IF(COUNTIFS($A$2:$A$200,$A176,$D$2:$D$200,"*novo*",$N$2:$N$200,"C1")&gt;0,1,IF(COUNTIFS($A$2:$A$200,$A176,$D$2:$D$200,"*novo*",$N$2:$N$200,"C0")&gt;0,0,""))))),IF(AND((COUNTIFS($A$2:$A$200,$A176,$D$2:$D$200,"*novo*",$N$2:$N$200,"C0")+COUNTIFS($A$2:$A$200,$A176,$D$2:$D$200,"*novo*",$N$2:$N$200,"C1")+COUNTIFS($A$2:$A$200,$A176,$D$2:$D$200,"*novo*",$N$2:$N$200,"C2")+COUNTIFS($A$2:$A$200,$A176,$D$2:$D$200,"*novo*",$N$2:$N$200,"C3")+COUNTIFS($A$2:$A$200,$A176,$D$2:$D$200,"*novo*",$N$2:$N$200,"C4"))=0,INDEX(posicao_contratual!$Y$2:$Y$200,MATCH($A176,posicao_contratual!$A$2:$A$200,0))=0),0,"")),"")</f>
        <v/>
      </c>
    </row>
    <row r="177" spans="1:15" ht="45" customHeight="1" x14ac:dyDescent="0.35">
      <c r="A177" s="105"/>
      <c r="B177" s="189"/>
      <c r="C177" s="99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05"/>
      <c r="E177" s="106"/>
      <c r="F177" s="107" t="str">
        <f>IF(A177="","",IFERROR(VLOOKUP(A177,itens_Remanesc!$A:$C,3,0),""))</f>
        <v/>
      </c>
      <c r="G177" s="107" t="str">
        <f t="shared" si="15"/>
        <v/>
      </c>
      <c r="H177" s="105"/>
      <c r="I177" s="64" t="str">
        <f>IFERROR(IF(OR($A177="",$C177=""),"",IF(OR(($O177)="",($O177)&gt;(MIN(MATCH($C177,{"C0","C1","C2","C3","C4"},0)-1,COUNT(parametros!$F$2:$F$6)-1)),NOT(ISNUMBER(INDEX(parametros!$F$2:$F$6,(MIN(MATCH($C177,{"C0","C1","C2","C3","C4"},0)-1,COUNT(parametros!$F$2:$F$6)-1))+1))),NOT(ISNUMBER(INDEX(parametros!$F$2:$F$6,($O177)+1)))),"",INDEX(parametros!$F$2:$F$6,(MIN(MATCH($C177,{"C0","C1","C2","C3","C4"},0)-1,COUNT(parametros!$F$2:$F$6)-1))+1)/INDEX(parametros!$F$2:$F$6,($O177)+1))),"")</f>
        <v/>
      </c>
      <c r="J177" s="107" t="str">
        <f t="shared" si="16"/>
        <v/>
      </c>
      <c r="K177" s="105"/>
      <c r="L177" s="85" t="str">
        <f t="shared" si="17"/>
        <v/>
      </c>
      <c r="M177" s="483" t="str">
        <f>IF(A177="","",IF(COUNTIF(itens_Remanesc!$A$2:$A$200,A177)=0,"NOVO ITEM NAO CADASTRADO - CADASTRAR EM itens_Remanesc: ITEM + VU_ORIGINAL (QTD_BASE_ORIGINAL sera 0 automaticamente); depois a data e a quantidade aqui.",IF(COUNTIF(itens_Remanesc!$A$2:$A$200,A177)&gt;1,"ALERTA: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TIPO_INVALIDO",IF(AND(ISNUMBER(SEARCH("NOVO",D177)),OR(INDEX(posicao_contratual!$C$2:$C$200,MATCH(A177,posicao_contratual!$A$2:$A$200,0))&lt;&gt;0,F177="",COUNTIFS($A$2:$A$200,A177,$B$2:$B$200,"&lt;"&amp;B177,$L$2:$L$200,"&gt;0")&gt;0)),"ALERTA: NOVO ITEM INVALIDO - use Acrescimo se o item ja existia; novo item exige QTD_BASE_ORIGINAL 0, VU_ORIGINAL e ser o 1o acrescimo do item.",IF(AND(ISNUMBER(SEARCH("NOVO",D177)),OR(N177="",ISERROR(MATCH(N177,{"C0","C1","C2","C3","C4"},0)))),"ALERTA: BASE_VU_OBRIGATORIA",IF(AND(NOT(ISNUMBER(SEARCH("NOVO",D177))),N177&lt;&gt;""),"ALERTA: BASE_VU_NAO_APLICAVEL",IF(AND(UPPER(H177)="SIM",NOT(ISNUMBER(I177))),"ALERTA: BASE_VU_INVALIDA_OU_POSTERIOR_AO_FATOR_ALVO","OK"))))))))))</f>
        <v/>
      </c>
      <c r="N177" s="485"/>
      <c r="O177" s="487" t="str">
        <f>IFERROR(IF((COUNTIFS($A$2:$A$200,$A177,$D$2:$D$200,"*novo*",$N$2:$N$200,"C0")+COUNTIFS($A$2:$A$200,$A177,$D$2:$D$200,"*novo*",$N$2:$N$200,"C1")+COUNTIFS($A$2:$A$200,$A177,$D$2:$D$200,"*novo*",$N$2:$N$200,"C2")+COUNTIFS($A$2:$A$200,$A177,$D$2:$D$200,"*novo*",$N$2:$N$200,"C3")+COUNTIFS($A$2:$A$200,$A177,$D$2:$D$200,"*novo*",$N$2:$N$200,"C4"))=1,IF(COUNTIFS($A$2:$A$200,$A177,$D$2:$D$200,"*novo*",$N$2:$N$200,"C4")&gt;0,4,IF(COUNTIFS($A$2:$A$200,$A177,$D$2:$D$200,"*novo*",$N$2:$N$200,"C3")&gt;0,3,IF(COUNTIFS($A$2:$A$200,$A177,$D$2:$D$200,"*novo*",$N$2:$N$200,"C2")&gt;0,2,IF(COUNTIFS($A$2:$A$200,$A177,$D$2:$D$200,"*novo*",$N$2:$N$200,"C1")&gt;0,1,IF(COUNTIFS($A$2:$A$200,$A177,$D$2:$D$200,"*novo*",$N$2:$N$200,"C0")&gt;0,0,""))))),IF(AND((COUNTIFS($A$2:$A$200,$A177,$D$2:$D$200,"*novo*",$N$2:$N$200,"C0")+COUNTIFS($A$2:$A$200,$A177,$D$2:$D$200,"*novo*",$N$2:$N$200,"C1")+COUNTIFS($A$2:$A$200,$A177,$D$2:$D$200,"*novo*",$N$2:$N$200,"C2")+COUNTIFS($A$2:$A$200,$A177,$D$2:$D$200,"*novo*",$N$2:$N$200,"C3")+COUNTIFS($A$2:$A$200,$A177,$D$2:$D$200,"*novo*",$N$2:$N$200,"C4"))=0,INDEX(posicao_contratual!$Y$2:$Y$200,MATCH($A177,posicao_contratual!$A$2:$A$200,0))=0),0,"")),"")</f>
        <v/>
      </c>
    </row>
    <row r="178" spans="1:15" ht="45" customHeight="1" x14ac:dyDescent="0.35">
      <c r="A178" s="105"/>
      <c r="B178" s="189"/>
      <c r="C178" s="99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05"/>
      <c r="E178" s="106"/>
      <c r="F178" s="107" t="str">
        <f>IF(A178="","",IFERROR(VLOOKUP(A178,itens_Remanesc!$A:$C,3,0),""))</f>
        <v/>
      </c>
      <c r="G178" s="107" t="str">
        <f t="shared" si="15"/>
        <v/>
      </c>
      <c r="H178" s="105"/>
      <c r="I178" s="64" t="str">
        <f>IFERROR(IF(OR($A178="",$C178=""),"",IF(OR(($O178)="",($O178)&gt;(MIN(MATCH($C178,{"C0","C1","C2","C3","C4"},0)-1,COUNT(parametros!$F$2:$F$6)-1)),NOT(ISNUMBER(INDEX(parametros!$F$2:$F$6,(MIN(MATCH($C178,{"C0","C1","C2","C3","C4"},0)-1,COUNT(parametros!$F$2:$F$6)-1))+1))),NOT(ISNUMBER(INDEX(parametros!$F$2:$F$6,($O178)+1)))),"",INDEX(parametros!$F$2:$F$6,(MIN(MATCH($C178,{"C0","C1","C2","C3","C4"},0)-1,COUNT(parametros!$F$2:$F$6)-1))+1)/INDEX(parametros!$F$2:$F$6,($O178)+1))),"")</f>
        <v/>
      </c>
      <c r="J178" s="107" t="str">
        <f t="shared" si="16"/>
        <v/>
      </c>
      <c r="K178" s="105"/>
      <c r="L178" s="85" t="str">
        <f t="shared" si="17"/>
        <v/>
      </c>
      <c r="M178" s="483" t="str">
        <f>IF(A178="","",IF(COUNTIF(itens_Remanesc!$A$2:$A$200,A178)=0,"NOVO ITEM NAO CADASTRADO - CADASTRAR EM itens_Remanesc: ITEM + VU_ORIGINAL (QTD_BASE_ORIGINAL sera 0 automaticamente); depois a data e a quantidade aqui.",IF(COUNTIF(itens_Remanesc!$A$2:$A$200,A178)&gt;1,"ALERTA: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TIPO_INVALIDO",IF(AND(ISNUMBER(SEARCH("NOVO",D178)),OR(INDEX(posicao_contratual!$C$2:$C$200,MATCH(A178,posicao_contratual!$A$2:$A$200,0))&lt;&gt;0,F178="",COUNTIFS($A$2:$A$200,A178,$B$2:$B$200,"&lt;"&amp;B178,$L$2:$L$200,"&gt;0")&gt;0)),"ALERTA: NOVO ITEM INVALIDO - use Acrescimo se o item ja existia; novo item exige QTD_BASE_ORIGINAL 0, VU_ORIGINAL e ser o 1o acrescimo do item.",IF(AND(ISNUMBER(SEARCH("NOVO",D178)),OR(N178="",ISERROR(MATCH(N178,{"C0","C1","C2","C3","C4"},0)))),"ALERTA: BASE_VU_OBRIGATORIA",IF(AND(NOT(ISNUMBER(SEARCH("NOVO",D178))),N178&lt;&gt;""),"ALERTA: BASE_VU_NAO_APLICAVEL",IF(AND(UPPER(H178)="SIM",NOT(ISNUMBER(I178))),"ALERTA: BASE_VU_INVALIDA_OU_POSTERIOR_AO_FATOR_ALVO","OK"))))))))))</f>
        <v/>
      </c>
      <c r="N178" s="485"/>
      <c r="O178" s="487" t="str">
        <f>IFERROR(IF((COUNTIFS($A$2:$A$200,$A178,$D$2:$D$200,"*novo*",$N$2:$N$200,"C0")+COUNTIFS($A$2:$A$200,$A178,$D$2:$D$200,"*novo*",$N$2:$N$200,"C1")+COUNTIFS($A$2:$A$200,$A178,$D$2:$D$200,"*novo*",$N$2:$N$200,"C2")+COUNTIFS($A$2:$A$200,$A178,$D$2:$D$200,"*novo*",$N$2:$N$200,"C3")+COUNTIFS($A$2:$A$200,$A178,$D$2:$D$200,"*novo*",$N$2:$N$200,"C4"))=1,IF(COUNTIFS($A$2:$A$200,$A178,$D$2:$D$200,"*novo*",$N$2:$N$200,"C4")&gt;0,4,IF(COUNTIFS($A$2:$A$200,$A178,$D$2:$D$200,"*novo*",$N$2:$N$200,"C3")&gt;0,3,IF(COUNTIFS($A$2:$A$200,$A178,$D$2:$D$200,"*novo*",$N$2:$N$200,"C2")&gt;0,2,IF(COUNTIFS($A$2:$A$200,$A178,$D$2:$D$200,"*novo*",$N$2:$N$200,"C1")&gt;0,1,IF(COUNTIFS($A$2:$A$200,$A178,$D$2:$D$200,"*novo*",$N$2:$N$200,"C0")&gt;0,0,""))))),IF(AND((COUNTIFS($A$2:$A$200,$A178,$D$2:$D$200,"*novo*",$N$2:$N$200,"C0")+COUNTIFS($A$2:$A$200,$A178,$D$2:$D$200,"*novo*",$N$2:$N$200,"C1")+COUNTIFS($A$2:$A$200,$A178,$D$2:$D$200,"*novo*",$N$2:$N$200,"C2")+COUNTIFS($A$2:$A$200,$A178,$D$2:$D$200,"*novo*",$N$2:$N$200,"C3")+COUNTIFS($A$2:$A$200,$A178,$D$2:$D$200,"*novo*",$N$2:$N$200,"C4"))=0,INDEX(posicao_contratual!$Y$2:$Y$200,MATCH($A178,posicao_contratual!$A$2:$A$200,0))=0),0,"")),"")</f>
        <v/>
      </c>
    </row>
    <row r="179" spans="1:15" ht="45" customHeight="1" x14ac:dyDescent="0.35">
      <c r="A179" s="105"/>
      <c r="B179" s="189"/>
      <c r="C179" s="99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05"/>
      <c r="E179" s="106"/>
      <c r="F179" s="107" t="str">
        <f>IF(A179="","",IFERROR(VLOOKUP(A179,itens_Remanesc!$A:$C,3,0),""))</f>
        <v/>
      </c>
      <c r="G179" s="107" t="str">
        <f t="shared" si="15"/>
        <v/>
      </c>
      <c r="H179" s="105"/>
      <c r="I179" s="64" t="str">
        <f>IFERROR(IF(OR($A179="",$C179=""),"",IF(OR(($O179)="",($O179)&gt;(MIN(MATCH($C179,{"C0","C1","C2","C3","C4"},0)-1,COUNT(parametros!$F$2:$F$6)-1)),NOT(ISNUMBER(INDEX(parametros!$F$2:$F$6,(MIN(MATCH($C179,{"C0","C1","C2","C3","C4"},0)-1,COUNT(parametros!$F$2:$F$6)-1))+1))),NOT(ISNUMBER(INDEX(parametros!$F$2:$F$6,($O179)+1)))),"",INDEX(parametros!$F$2:$F$6,(MIN(MATCH($C179,{"C0","C1","C2","C3","C4"},0)-1,COUNT(parametros!$F$2:$F$6)-1))+1)/INDEX(parametros!$F$2:$F$6,($O179)+1))),"")</f>
        <v/>
      </c>
      <c r="J179" s="107" t="str">
        <f t="shared" si="16"/>
        <v/>
      </c>
      <c r="K179" s="105"/>
      <c r="L179" s="85" t="str">
        <f t="shared" si="17"/>
        <v/>
      </c>
      <c r="M179" s="483" t="str">
        <f>IF(A179="","",IF(COUNTIF(itens_Remanesc!$A$2:$A$200,A179)=0,"NOVO ITEM NAO CADASTRADO - CADASTRAR EM itens_Remanesc: ITEM + VU_ORIGINAL (QTD_BASE_ORIGINAL sera 0 automaticamente); depois a data e a quantidade aqui.",IF(COUNTIF(itens_Remanesc!$A$2:$A$200,A179)&gt;1,"ALERTA: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TIPO_INVALIDO",IF(AND(ISNUMBER(SEARCH("NOVO",D179)),OR(INDEX(posicao_contratual!$C$2:$C$200,MATCH(A179,posicao_contratual!$A$2:$A$200,0))&lt;&gt;0,F179="",COUNTIFS($A$2:$A$200,A179,$B$2:$B$200,"&lt;"&amp;B179,$L$2:$L$200,"&gt;0")&gt;0)),"ALERTA: NOVO ITEM INVALIDO - use Acrescimo se o item ja existia; novo item exige QTD_BASE_ORIGINAL 0, VU_ORIGINAL e ser o 1o acrescimo do item.",IF(AND(ISNUMBER(SEARCH("NOVO",D179)),OR(N179="",ISERROR(MATCH(N179,{"C0","C1","C2","C3","C4"},0)))),"ALERTA: BASE_VU_OBRIGATORIA",IF(AND(NOT(ISNUMBER(SEARCH("NOVO",D179))),N179&lt;&gt;""),"ALERTA: BASE_VU_NAO_APLICAVEL",IF(AND(UPPER(H179)="SIM",NOT(ISNUMBER(I179))),"ALERTA: BASE_VU_INVALIDA_OU_POSTERIOR_AO_FATOR_ALVO","OK"))))))))))</f>
        <v/>
      </c>
      <c r="N179" s="485"/>
      <c r="O179" s="487" t="str">
        <f>IFERROR(IF((COUNTIFS($A$2:$A$200,$A179,$D$2:$D$200,"*novo*",$N$2:$N$200,"C0")+COUNTIFS($A$2:$A$200,$A179,$D$2:$D$200,"*novo*",$N$2:$N$200,"C1")+COUNTIFS($A$2:$A$200,$A179,$D$2:$D$200,"*novo*",$N$2:$N$200,"C2")+COUNTIFS($A$2:$A$200,$A179,$D$2:$D$200,"*novo*",$N$2:$N$200,"C3")+COUNTIFS($A$2:$A$200,$A179,$D$2:$D$200,"*novo*",$N$2:$N$200,"C4"))=1,IF(COUNTIFS($A$2:$A$200,$A179,$D$2:$D$200,"*novo*",$N$2:$N$200,"C4")&gt;0,4,IF(COUNTIFS($A$2:$A$200,$A179,$D$2:$D$200,"*novo*",$N$2:$N$200,"C3")&gt;0,3,IF(COUNTIFS($A$2:$A$200,$A179,$D$2:$D$200,"*novo*",$N$2:$N$200,"C2")&gt;0,2,IF(COUNTIFS($A$2:$A$200,$A179,$D$2:$D$200,"*novo*",$N$2:$N$200,"C1")&gt;0,1,IF(COUNTIFS($A$2:$A$200,$A179,$D$2:$D$200,"*novo*",$N$2:$N$200,"C0")&gt;0,0,""))))),IF(AND((COUNTIFS($A$2:$A$200,$A179,$D$2:$D$200,"*novo*",$N$2:$N$200,"C0")+COUNTIFS($A$2:$A$200,$A179,$D$2:$D$200,"*novo*",$N$2:$N$200,"C1")+COUNTIFS($A$2:$A$200,$A179,$D$2:$D$200,"*novo*",$N$2:$N$200,"C2")+COUNTIFS($A$2:$A$200,$A179,$D$2:$D$200,"*novo*",$N$2:$N$200,"C3")+COUNTIFS($A$2:$A$200,$A179,$D$2:$D$200,"*novo*",$N$2:$N$200,"C4"))=0,INDEX(posicao_contratual!$Y$2:$Y$200,MATCH($A179,posicao_contratual!$A$2:$A$200,0))=0),0,"")),"")</f>
        <v/>
      </c>
    </row>
    <row r="180" spans="1:15" ht="45" customHeight="1" x14ac:dyDescent="0.35">
      <c r="A180" s="105"/>
      <c r="B180" s="189"/>
      <c r="C180" s="99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05"/>
      <c r="E180" s="106"/>
      <c r="F180" s="107" t="str">
        <f>IF(A180="","",IFERROR(VLOOKUP(A180,itens_Remanesc!$A:$C,3,0),""))</f>
        <v/>
      </c>
      <c r="G180" s="107" t="str">
        <f t="shared" si="15"/>
        <v/>
      </c>
      <c r="H180" s="105"/>
      <c r="I180" s="64" t="str">
        <f>IFERROR(IF(OR($A180="",$C180=""),"",IF(OR(($O180)="",($O180)&gt;(MIN(MATCH($C180,{"C0","C1","C2","C3","C4"},0)-1,COUNT(parametros!$F$2:$F$6)-1)),NOT(ISNUMBER(INDEX(parametros!$F$2:$F$6,(MIN(MATCH($C180,{"C0","C1","C2","C3","C4"},0)-1,COUNT(parametros!$F$2:$F$6)-1))+1))),NOT(ISNUMBER(INDEX(parametros!$F$2:$F$6,($O180)+1)))),"",INDEX(parametros!$F$2:$F$6,(MIN(MATCH($C180,{"C0","C1","C2","C3","C4"},0)-1,COUNT(parametros!$F$2:$F$6)-1))+1)/INDEX(parametros!$F$2:$F$6,($O180)+1))),"")</f>
        <v/>
      </c>
      <c r="J180" s="107" t="str">
        <f t="shared" si="16"/>
        <v/>
      </c>
      <c r="K180" s="105"/>
      <c r="L180" s="85" t="str">
        <f t="shared" si="17"/>
        <v/>
      </c>
      <c r="M180" s="483" t="str">
        <f>IF(A180="","",IF(COUNTIF(itens_Remanesc!$A$2:$A$200,A180)=0,"NOVO ITEM NAO CADASTRADO - CADASTRAR EM itens_Remanesc: ITEM + VU_ORIGINAL (QTD_BASE_ORIGINAL sera 0 automaticamente); depois a data e a quantidade aqui.",IF(COUNTIF(itens_Remanesc!$A$2:$A$200,A180)&gt;1,"ALERTA: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TIPO_INVALIDO",IF(AND(ISNUMBER(SEARCH("NOVO",D180)),OR(INDEX(posicao_contratual!$C$2:$C$200,MATCH(A180,posicao_contratual!$A$2:$A$200,0))&lt;&gt;0,F180="",COUNTIFS($A$2:$A$200,A180,$B$2:$B$200,"&lt;"&amp;B180,$L$2:$L$200,"&gt;0")&gt;0)),"ALERTA: NOVO ITEM INVALIDO - use Acrescimo se o item ja existia; novo item exige QTD_BASE_ORIGINAL 0, VU_ORIGINAL e ser o 1o acrescimo do item.",IF(AND(ISNUMBER(SEARCH("NOVO",D180)),OR(N180="",ISERROR(MATCH(N180,{"C0","C1","C2","C3","C4"},0)))),"ALERTA: BASE_VU_OBRIGATORIA",IF(AND(NOT(ISNUMBER(SEARCH("NOVO",D180))),N180&lt;&gt;""),"ALERTA: BASE_VU_NAO_APLICAVEL",IF(AND(UPPER(H180)="SIM",NOT(ISNUMBER(I180))),"ALERTA: BASE_VU_INVALIDA_OU_POSTERIOR_AO_FATOR_ALVO","OK"))))))))))</f>
        <v/>
      </c>
      <c r="N180" s="485"/>
      <c r="O180" s="487" t="str">
        <f>IFERROR(IF((COUNTIFS($A$2:$A$200,$A180,$D$2:$D$200,"*novo*",$N$2:$N$200,"C0")+COUNTIFS($A$2:$A$200,$A180,$D$2:$D$200,"*novo*",$N$2:$N$200,"C1")+COUNTIFS($A$2:$A$200,$A180,$D$2:$D$200,"*novo*",$N$2:$N$200,"C2")+COUNTIFS($A$2:$A$200,$A180,$D$2:$D$200,"*novo*",$N$2:$N$200,"C3")+COUNTIFS($A$2:$A$200,$A180,$D$2:$D$200,"*novo*",$N$2:$N$200,"C4"))=1,IF(COUNTIFS($A$2:$A$200,$A180,$D$2:$D$200,"*novo*",$N$2:$N$200,"C4")&gt;0,4,IF(COUNTIFS($A$2:$A$200,$A180,$D$2:$D$200,"*novo*",$N$2:$N$200,"C3")&gt;0,3,IF(COUNTIFS($A$2:$A$200,$A180,$D$2:$D$200,"*novo*",$N$2:$N$200,"C2")&gt;0,2,IF(COUNTIFS($A$2:$A$200,$A180,$D$2:$D$200,"*novo*",$N$2:$N$200,"C1")&gt;0,1,IF(COUNTIFS($A$2:$A$200,$A180,$D$2:$D$200,"*novo*",$N$2:$N$200,"C0")&gt;0,0,""))))),IF(AND((COUNTIFS($A$2:$A$200,$A180,$D$2:$D$200,"*novo*",$N$2:$N$200,"C0")+COUNTIFS($A$2:$A$200,$A180,$D$2:$D$200,"*novo*",$N$2:$N$200,"C1")+COUNTIFS($A$2:$A$200,$A180,$D$2:$D$200,"*novo*",$N$2:$N$200,"C2")+COUNTIFS($A$2:$A$200,$A180,$D$2:$D$200,"*novo*",$N$2:$N$200,"C3")+COUNTIFS($A$2:$A$200,$A180,$D$2:$D$200,"*novo*",$N$2:$N$200,"C4"))=0,INDEX(posicao_contratual!$Y$2:$Y$200,MATCH($A180,posicao_contratual!$A$2:$A$200,0))=0),0,"")),"")</f>
        <v/>
      </c>
    </row>
    <row r="181" spans="1:15" ht="45" customHeight="1" x14ac:dyDescent="0.35">
      <c r="A181" s="105"/>
      <c r="B181" s="189"/>
      <c r="C181" s="99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05"/>
      <c r="E181" s="106"/>
      <c r="F181" s="107" t="str">
        <f>IF(A181="","",IFERROR(VLOOKUP(A181,itens_Remanesc!$A:$C,3,0),""))</f>
        <v/>
      </c>
      <c r="G181" s="107" t="str">
        <f t="shared" si="15"/>
        <v/>
      </c>
      <c r="H181" s="105"/>
      <c r="I181" s="64" t="str">
        <f>IFERROR(IF(OR($A181="",$C181=""),"",IF(OR(($O181)="",($O181)&gt;(MIN(MATCH($C181,{"C0","C1","C2","C3","C4"},0)-1,COUNT(parametros!$F$2:$F$6)-1)),NOT(ISNUMBER(INDEX(parametros!$F$2:$F$6,(MIN(MATCH($C181,{"C0","C1","C2","C3","C4"},0)-1,COUNT(parametros!$F$2:$F$6)-1))+1))),NOT(ISNUMBER(INDEX(parametros!$F$2:$F$6,($O181)+1)))),"",INDEX(parametros!$F$2:$F$6,(MIN(MATCH($C181,{"C0","C1","C2","C3","C4"},0)-1,COUNT(parametros!$F$2:$F$6)-1))+1)/INDEX(parametros!$F$2:$F$6,($O181)+1))),"")</f>
        <v/>
      </c>
      <c r="J181" s="107" t="str">
        <f t="shared" si="16"/>
        <v/>
      </c>
      <c r="K181" s="105"/>
      <c r="L181" s="85" t="str">
        <f t="shared" si="17"/>
        <v/>
      </c>
      <c r="M181" s="483" t="str">
        <f>IF(A181="","",IF(COUNTIF(itens_Remanesc!$A$2:$A$200,A181)=0,"NOVO ITEM NAO CADASTRADO - CADASTRAR EM itens_Remanesc: ITEM + VU_ORIGINAL (QTD_BASE_ORIGINAL sera 0 automaticamente); depois a data e a quantidade aqui.",IF(COUNTIF(itens_Remanesc!$A$2:$A$200,A181)&gt;1,"ALERTA: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TIPO_INVALIDO",IF(AND(ISNUMBER(SEARCH("NOVO",D181)),OR(INDEX(posicao_contratual!$C$2:$C$200,MATCH(A181,posicao_contratual!$A$2:$A$200,0))&lt;&gt;0,F181="",COUNTIFS($A$2:$A$200,A181,$B$2:$B$200,"&lt;"&amp;B181,$L$2:$L$200,"&gt;0")&gt;0)),"ALERTA: NOVO ITEM INVALIDO - use Acrescimo se o item ja existia; novo item exige QTD_BASE_ORIGINAL 0, VU_ORIGINAL e ser o 1o acrescimo do item.",IF(AND(ISNUMBER(SEARCH("NOVO",D181)),OR(N181="",ISERROR(MATCH(N181,{"C0","C1","C2","C3","C4"},0)))),"ALERTA: BASE_VU_OBRIGATORIA",IF(AND(NOT(ISNUMBER(SEARCH("NOVO",D181))),N181&lt;&gt;""),"ALERTA: BASE_VU_NAO_APLICAVEL",IF(AND(UPPER(H181)="SIM",NOT(ISNUMBER(I181))),"ALERTA: BASE_VU_INVALIDA_OU_POSTERIOR_AO_FATOR_ALVO","OK"))))))))))</f>
        <v/>
      </c>
      <c r="N181" s="485"/>
      <c r="O181" s="487" t="str">
        <f>IFERROR(IF((COUNTIFS($A$2:$A$200,$A181,$D$2:$D$200,"*novo*",$N$2:$N$200,"C0")+COUNTIFS($A$2:$A$200,$A181,$D$2:$D$200,"*novo*",$N$2:$N$200,"C1")+COUNTIFS($A$2:$A$200,$A181,$D$2:$D$200,"*novo*",$N$2:$N$200,"C2")+COUNTIFS($A$2:$A$200,$A181,$D$2:$D$200,"*novo*",$N$2:$N$200,"C3")+COUNTIFS($A$2:$A$200,$A181,$D$2:$D$200,"*novo*",$N$2:$N$200,"C4"))=1,IF(COUNTIFS($A$2:$A$200,$A181,$D$2:$D$200,"*novo*",$N$2:$N$200,"C4")&gt;0,4,IF(COUNTIFS($A$2:$A$200,$A181,$D$2:$D$200,"*novo*",$N$2:$N$200,"C3")&gt;0,3,IF(COUNTIFS($A$2:$A$200,$A181,$D$2:$D$200,"*novo*",$N$2:$N$200,"C2")&gt;0,2,IF(COUNTIFS($A$2:$A$200,$A181,$D$2:$D$200,"*novo*",$N$2:$N$200,"C1")&gt;0,1,IF(COUNTIFS($A$2:$A$200,$A181,$D$2:$D$200,"*novo*",$N$2:$N$200,"C0")&gt;0,0,""))))),IF(AND((COUNTIFS($A$2:$A$200,$A181,$D$2:$D$200,"*novo*",$N$2:$N$200,"C0")+COUNTIFS($A$2:$A$200,$A181,$D$2:$D$200,"*novo*",$N$2:$N$200,"C1")+COUNTIFS($A$2:$A$200,$A181,$D$2:$D$200,"*novo*",$N$2:$N$200,"C2")+COUNTIFS($A$2:$A$200,$A181,$D$2:$D$200,"*novo*",$N$2:$N$200,"C3")+COUNTIFS($A$2:$A$200,$A181,$D$2:$D$200,"*novo*",$N$2:$N$200,"C4"))=0,INDEX(posicao_contratual!$Y$2:$Y$200,MATCH($A181,posicao_contratual!$A$2:$A$200,0))=0),0,"")),"")</f>
        <v/>
      </c>
    </row>
    <row r="182" spans="1:15" ht="45" customHeight="1" x14ac:dyDescent="0.35">
      <c r="A182" s="105"/>
      <c r="B182" s="189"/>
      <c r="C182" s="99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05"/>
      <c r="E182" s="106"/>
      <c r="F182" s="107" t="str">
        <f>IF(A182="","",IFERROR(VLOOKUP(A182,itens_Remanesc!$A:$C,3,0),""))</f>
        <v/>
      </c>
      <c r="G182" s="107" t="str">
        <f t="shared" si="15"/>
        <v/>
      </c>
      <c r="H182" s="105"/>
      <c r="I182" s="64" t="str">
        <f>IFERROR(IF(OR($A182="",$C182=""),"",IF(OR(($O182)="",($O182)&gt;(MIN(MATCH($C182,{"C0","C1","C2","C3","C4"},0)-1,COUNT(parametros!$F$2:$F$6)-1)),NOT(ISNUMBER(INDEX(parametros!$F$2:$F$6,(MIN(MATCH($C182,{"C0","C1","C2","C3","C4"},0)-1,COUNT(parametros!$F$2:$F$6)-1))+1))),NOT(ISNUMBER(INDEX(parametros!$F$2:$F$6,($O182)+1)))),"",INDEX(parametros!$F$2:$F$6,(MIN(MATCH($C182,{"C0","C1","C2","C3","C4"},0)-1,COUNT(parametros!$F$2:$F$6)-1))+1)/INDEX(parametros!$F$2:$F$6,($O182)+1))),"")</f>
        <v/>
      </c>
      <c r="J182" s="107" t="str">
        <f t="shared" si="16"/>
        <v/>
      </c>
      <c r="K182" s="105"/>
      <c r="L182" s="85" t="str">
        <f t="shared" si="17"/>
        <v/>
      </c>
      <c r="M182" s="483" t="str">
        <f>IF(A182="","",IF(COUNTIF(itens_Remanesc!$A$2:$A$200,A182)=0,"NOVO ITEM NAO CADASTRADO - CADASTRAR EM itens_Remanesc: ITEM + VU_ORIGINAL (QTD_BASE_ORIGINAL sera 0 automaticamente); depois a data e a quantidade aqui.",IF(COUNTIF(itens_Remanesc!$A$2:$A$200,A182)&gt;1,"ALERTA: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TIPO_INVALIDO",IF(AND(ISNUMBER(SEARCH("NOVO",D182)),OR(INDEX(posicao_contratual!$C$2:$C$200,MATCH(A182,posicao_contratual!$A$2:$A$200,0))&lt;&gt;0,F182="",COUNTIFS($A$2:$A$200,A182,$B$2:$B$200,"&lt;"&amp;B182,$L$2:$L$200,"&gt;0")&gt;0)),"ALERTA: NOVO ITEM INVALIDO - use Acrescimo se o item ja existia; novo item exige QTD_BASE_ORIGINAL 0, VU_ORIGINAL e ser o 1o acrescimo do item.",IF(AND(ISNUMBER(SEARCH("NOVO",D182)),OR(N182="",ISERROR(MATCH(N182,{"C0","C1","C2","C3","C4"},0)))),"ALERTA: BASE_VU_OBRIGATORIA",IF(AND(NOT(ISNUMBER(SEARCH("NOVO",D182))),N182&lt;&gt;""),"ALERTA: BASE_VU_NAO_APLICAVEL",IF(AND(UPPER(H182)="SIM",NOT(ISNUMBER(I182))),"ALERTA: BASE_VU_INVALIDA_OU_POSTERIOR_AO_FATOR_ALVO","OK"))))))))))</f>
        <v/>
      </c>
      <c r="N182" s="485"/>
      <c r="O182" s="487" t="str">
        <f>IFERROR(IF((COUNTIFS($A$2:$A$200,$A182,$D$2:$D$200,"*novo*",$N$2:$N$200,"C0")+COUNTIFS($A$2:$A$200,$A182,$D$2:$D$200,"*novo*",$N$2:$N$200,"C1")+COUNTIFS($A$2:$A$200,$A182,$D$2:$D$200,"*novo*",$N$2:$N$200,"C2")+COUNTIFS($A$2:$A$200,$A182,$D$2:$D$200,"*novo*",$N$2:$N$200,"C3")+COUNTIFS($A$2:$A$200,$A182,$D$2:$D$200,"*novo*",$N$2:$N$200,"C4"))=1,IF(COUNTIFS($A$2:$A$200,$A182,$D$2:$D$200,"*novo*",$N$2:$N$200,"C4")&gt;0,4,IF(COUNTIFS($A$2:$A$200,$A182,$D$2:$D$200,"*novo*",$N$2:$N$200,"C3")&gt;0,3,IF(COUNTIFS($A$2:$A$200,$A182,$D$2:$D$200,"*novo*",$N$2:$N$200,"C2")&gt;0,2,IF(COUNTIFS($A$2:$A$200,$A182,$D$2:$D$200,"*novo*",$N$2:$N$200,"C1")&gt;0,1,IF(COUNTIFS($A$2:$A$200,$A182,$D$2:$D$200,"*novo*",$N$2:$N$200,"C0")&gt;0,0,""))))),IF(AND((COUNTIFS($A$2:$A$200,$A182,$D$2:$D$200,"*novo*",$N$2:$N$200,"C0")+COUNTIFS($A$2:$A$200,$A182,$D$2:$D$200,"*novo*",$N$2:$N$200,"C1")+COUNTIFS($A$2:$A$200,$A182,$D$2:$D$200,"*novo*",$N$2:$N$200,"C2")+COUNTIFS($A$2:$A$200,$A182,$D$2:$D$200,"*novo*",$N$2:$N$200,"C3")+COUNTIFS($A$2:$A$200,$A182,$D$2:$D$200,"*novo*",$N$2:$N$200,"C4"))=0,INDEX(posicao_contratual!$Y$2:$Y$200,MATCH($A182,posicao_contratual!$A$2:$A$200,0))=0),0,"")),"")</f>
        <v/>
      </c>
    </row>
    <row r="183" spans="1:15" ht="45" customHeight="1" x14ac:dyDescent="0.35">
      <c r="A183" s="105"/>
      <c r="B183" s="189"/>
      <c r="C183" s="99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05"/>
      <c r="E183" s="106"/>
      <c r="F183" s="107" t="str">
        <f>IF(A183="","",IFERROR(VLOOKUP(A183,itens_Remanesc!$A:$C,3,0),""))</f>
        <v/>
      </c>
      <c r="G183" s="107" t="str">
        <f t="shared" si="15"/>
        <v/>
      </c>
      <c r="H183" s="105"/>
      <c r="I183" s="64" t="str">
        <f>IFERROR(IF(OR($A183="",$C183=""),"",IF(OR(($O183)="",($O183)&gt;(MIN(MATCH($C183,{"C0","C1","C2","C3","C4"},0)-1,COUNT(parametros!$F$2:$F$6)-1)),NOT(ISNUMBER(INDEX(parametros!$F$2:$F$6,(MIN(MATCH($C183,{"C0","C1","C2","C3","C4"},0)-1,COUNT(parametros!$F$2:$F$6)-1))+1))),NOT(ISNUMBER(INDEX(parametros!$F$2:$F$6,($O183)+1)))),"",INDEX(parametros!$F$2:$F$6,(MIN(MATCH($C183,{"C0","C1","C2","C3","C4"},0)-1,COUNT(parametros!$F$2:$F$6)-1))+1)/INDEX(parametros!$F$2:$F$6,($O183)+1))),"")</f>
        <v/>
      </c>
      <c r="J183" s="107" t="str">
        <f t="shared" si="16"/>
        <v/>
      </c>
      <c r="K183" s="105"/>
      <c r="L183" s="85" t="str">
        <f t="shared" si="17"/>
        <v/>
      </c>
      <c r="M183" s="483" t="str">
        <f>IF(A183="","",IF(COUNTIF(itens_Remanesc!$A$2:$A$200,A183)=0,"NOVO ITEM NAO CADASTRADO - CADASTRAR EM itens_Remanesc: ITEM + VU_ORIGINAL (QTD_BASE_ORIGINAL sera 0 automaticamente); depois a data e a quantidade aqui.",IF(COUNTIF(itens_Remanesc!$A$2:$A$200,A183)&gt;1,"ALERTA: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TIPO_INVALIDO",IF(AND(ISNUMBER(SEARCH("NOVO",D183)),OR(INDEX(posicao_contratual!$C$2:$C$200,MATCH(A183,posicao_contratual!$A$2:$A$200,0))&lt;&gt;0,F183="",COUNTIFS($A$2:$A$200,A183,$B$2:$B$200,"&lt;"&amp;B183,$L$2:$L$200,"&gt;0")&gt;0)),"ALERTA: NOVO ITEM INVALIDO - use Acrescimo se o item ja existia; novo item exige QTD_BASE_ORIGINAL 0, VU_ORIGINAL e ser o 1o acrescimo do item.",IF(AND(ISNUMBER(SEARCH("NOVO",D183)),OR(N183="",ISERROR(MATCH(N183,{"C0","C1","C2","C3","C4"},0)))),"ALERTA: BASE_VU_OBRIGATORIA",IF(AND(NOT(ISNUMBER(SEARCH("NOVO",D183))),N183&lt;&gt;""),"ALERTA: BASE_VU_NAO_APLICAVEL",IF(AND(UPPER(H183)="SIM",NOT(ISNUMBER(I183))),"ALERTA: BASE_VU_INVALIDA_OU_POSTERIOR_AO_FATOR_ALVO","OK"))))))))))</f>
        <v/>
      </c>
      <c r="N183" s="485"/>
      <c r="O183" s="487" t="str">
        <f>IFERROR(IF((COUNTIFS($A$2:$A$200,$A183,$D$2:$D$200,"*novo*",$N$2:$N$200,"C0")+COUNTIFS($A$2:$A$200,$A183,$D$2:$D$200,"*novo*",$N$2:$N$200,"C1")+COUNTIFS($A$2:$A$200,$A183,$D$2:$D$200,"*novo*",$N$2:$N$200,"C2")+COUNTIFS($A$2:$A$200,$A183,$D$2:$D$200,"*novo*",$N$2:$N$200,"C3")+COUNTIFS($A$2:$A$200,$A183,$D$2:$D$200,"*novo*",$N$2:$N$200,"C4"))=1,IF(COUNTIFS($A$2:$A$200,$A183,$D$2:$D$200,"*novo*",$N$2:$N$200,"C4")&gt;0,4,IF(COUNTIFS($A$2:$A$200,$A183,$D$2:$D$200,"*novo*",$N$2:$N$200,"C3")&gt;0,3,IF(COUNTIFS($A$2:$A$200,$A183,$D$2:$D$200,"*novo*",$N$2:$N$200,"C2")&gt;0,2,IF(COUNTIFS($A$2:$A$200,$A183,$D$2:$D$200,"*novo*",$N$2:$N$200,"C1")&gt;0,1,IF(COUNTIFS($A$2:$A$200,$A183,$D$2:$D$200,"*novo*",$N$2:$N$200,"C0")&gt;0,0,""))))),IF(AND((COUNTIFS($A$2:$A$200,$A183,$D$2:$D$200,"*novo*",$N$2:$N$200,"C0")+COUNTIFS($A$2:$A$200,$A183,$D$2:$D$200,"*novo*",$N$2:$N$200,"C1")+COUNTIFS($A$2:$A$200,$A183,$D$2:$D$200,"*novo*",$N$2:$N$200,"C2")+COUNTIFS($A$2:$A$200,$A183,$D$2:$D$200,"*novo*",$N$2:$N$200,"C3")+COUNTIFS($A$2:$A$200,$A183,$D$2:$D$200,"*novo*",$N$2:$N$200,"C4"))=0,INDEX(posicao_contratual!$Y$2:$Y$200,MATCH($A183,posicao_contratual!$A$2:$A$200,0))=0),0,"")),"")</f>
        <v/>
      </c>
    </row>
    <row r="184" spans="1:15" ht="45" customHeight="1" x14ac:dyDescent="0.35">
      <c r="A184" s="105"/>
      <c r="B184" s="189"/>
      <c r="C184" s="99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05"/>
      <c r="E184" s="106"/>
      <c r="F184" s="107" t="str">
        <f>IF(A184="","",IFERROR(VLOOKUP(A184,itens_Remanesc!$A:$C,3,0),""))</f>
        <v/>
      </c>
      <c r="G184" s="107" t="str">
        <f t="shared" si="15"/>
        <v/>
      </c>
      <c r="H184" s="105"/>
      <c r="I184" s="64" t="str">
        <f>IFERROR(IF(OR($A184="",$C184=""),"",IF(OR(($O184)="",($O184)&gt;(MIN(MATCH($C184,{"C0","C1","C2","C3","C4"},0)-1,COUNT(parametros!$F$2:$F$6)-1)),NOT(ISNUMBER(INDEX(parametros!$F$2:$F$6,(MIN(MATCH($C184,{"C0","C1","C2","C3","C4"},0)-1,COUNT(parametros!$F$2:$F$6)-1))+1))),NOT(ISNUMBER(INDEX(parametros!$F$2:$F$6,($O184)+1)))),"",INDEX(parametros!$F$2:$F$6,(MIN(MATCH($C184,{"C0","C1","C2","C3","C4"},0)-1,COUNT(parametros!$F$2:$F$6)-1))+1)/INDEX(parametros!$F$2:$F$6,($O184)+1))),"")</f>
        <v/>
      </c>
      <c r="J184" s="107" t="str">
        <f t="shared" si="16"/>
        <v/>
      </c>
      <c r="K184" s="105"/>
      <c r="L184" s="85" t="str">
        <f t="shared" si="17"/>
        <v/>
      </c>
      <c r="M184" s="483" t="str">
        <f>IF(A184="","",IF(COUNTIF(itens_Remanesc!$A$2:$A$200,A184)=0,"NOVO ITEM NAO CADASTRADO - CADASTRAR EM itens_Remanesc: ITEM + VU_ORIGINAL (QTD_BASE_ORIGINAL sera 0 automaticamente); depois a data e a quantidade aqui.",IF(COUNTIF(itens_Remanesc!$A$2:$A$200,A184)&gt;1,"ALERTA: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TIPO_INVALIDO",IF(AND(ISNUMBER(SEARCH("NOVO",D184)),OR(INDEX(posicao_contratual!$C$2:$C$200,MATCH(A184,posicao_contratual!$A$2:$A$200,0))&lt;&gt;0,F184="",COUNTIFS($A$2:$A$200,A184,$B$2:$B$200,"&lt;"&amp;B184,$L$2:$L$200,"&gt;0")&gt;0)),"ALERTA: NOVO ITEM INVALIDO - use Acrescimo se o item ja existia; novo item exige QTD_BASE_ORIGINAL 0, VU_ORIGINAL e ser o 1o acrescimo do item.",IF(AND(ISNUMBER(SEARCH("NOVO",D184)),OR(N184="",ISERROR(MATCH(N184,{"C0","C1","C2","C3","C4"},0)))),"ALERTA: BASE_VU_OBRIGATORIA",IF(AND(NOT(ISNUMBER(SEARCH("NOVO",D184))),N184&lt;&gt;""),"ALERTA: BASE_VU_NAO_APLICAVEL",IF(AND(UPPER(H184)="SIM",NOT(ISNUMBER(I184))),"ALERTA: BASE_VU_INVALIDA_OU_POSTERIOR_AO_FATOR_ALVO","OK"))))))))))</f>
        <v/>
      </c>
      <c r="N184" s="485"/>
      <c r="O184" s="487" t="str">
        <f>IFERROR(IF((COUNTIFS($A$2:$A$200,$A184,$D$2:$D$200,"*novo*",$N$2:$N$200,"C0")+COUNTIFS($A$2:$A$200,$A184,$D$2:$D$200,"*novo*",$N$2:$N$200,"C1")+COUNTIFS($A$2:$A$200,$A184,$D$2:$D$200,"*novo*",$N$2:$N$200,"C2")+COUNTIFS($A$2:$A$200,$A184,$D$2:$D$200,"*novo*",$N$2:$N$200,"C3")+COUNTIFS($A$2:$A$200,$A184,$D$2:$D$200,"*novo*",$N$2:$N$200,"C4"))=1,IF(COUNTIFS($A$2:$A$200,$A184,$D$2:$D$200,"*novo*",$N$2:$N$200,"C4")&gt;0,4,IF(COUNTIFS($A$2:$A$200,$A184,$D$2:$D$200,"*novo*",$N$2:$N$200,"C3")&gt;0,3,IF(COUNTIFS($A$2:$A$200,$A184,$D$2:$D$200,"*novo*",$N$2:$N$200,"C2")&gt;0,2,IF(COUNTIFS($A$2:$A$200,$A184,$D$2:$D$200,"*novo*",$N$2:$N$200,"C1")&gt;0,1,IF(COUNTIFS($A$2:$A$200,$A184,$D$2:$D$200,"*novo*",$N$2:$N$200,"C0")&gt;0,0,""))))),IF(AND((COUNTIFS($A$2:$A$200,$A184,$D$2:$D$200,"*novo*",$N$2:$N$200,"C0")+COUNTIFS($A$2:$A$200,$A184,$D$2:$D$200,"*novo*",$N$2:$N$200,"C1")+COUNTIFS($A$2:$A$200,$A184,$D$2:$D$200,"*novo*",$N$2:$N$200,"C2")+COUNTIFS($A$2:$A$200,$A184,$D$2:$D$200,"*novo*",$N$2:$N$200,"C3")+COUNTIFS($A$2:$A$200,$A184,$D$2:$D$200,"*novo*",$N$2:$N$200,"C4"))=0,INDEX(posicao_contratual!$Y$2:$Y$200,MATCH($A184,posicao_contratual!$A$2:$A$200,0))=0),0,"")),"")</f>
        <v/>
      </c>
    </row>
    <row r="185" spans="1:15" ht="45" customHeight="1" x14ac:dyDescent="0.35">
      <c r="A185" s="105"/>
      <c r="B185" s="189"/>
      <c r="C185" s="99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05"/>
      <c r="E185" s="106"/>
      <c r="F185" s="107" t="str">
        <f>IF(A185="","",IFERROR(VLOOKUP(A185,itens_Remanesc!$A:$C,3,0),""))</f>
        <v/>
      </c>
      <c r="G185" s="107" t="str">
        <f t="shared" si="15"/>
        <v/>
      </c>
      <c r="H185" s="105"/>
      <c r="I185" s="64" t="str">
        <f>IFERROR(IF(OR($A185="",$C185=""),"",IF(OR(($O185)="",($O185)&gt;(MIN(MATCH($C185,{"C0","C1","C2","C3","C4"},0)-1,COUNT(parametros!$F$2:$F$6)-1)),NOT(ISNUMBER(INDEX(parametros!$F$2:$F$6,(MIN(MATCH($C185,{"C0","C1","C2","C3","C4"},0)-1,COUNT(parametros!$F$2:$F$6)-1))+1))),NOT(ISNUMBER(INDEX(parametros!$F$2:$F$6,($O185)+1)))),"",INDEX(parametros!$F$2:$F$6,(MIN(MATCH($C185,{"C0","C1","C2","C3","C4"},0)-1,COUNT(parametros!$F$2:$F$6)-1))+1)/INDEX(parametros!$F$2:$F$6,($O185)+1))),"")</f>
        <v/>
      </c>
      <c r="J185" s="107" t="str">
        <f t="shared" si="16"/>
        <v/>
      </c>
      <c r="K185" s="105"/>
      <c r="L185" s="85" t="str">
        <f t="shared" si="17"/>
        <v/>
      </c>
      <c r="M185" s="483" t="str">
        <f>IF(A185="","",IF(COUNTIF(itens_Remanesc!$A$2:$A$200,A185)=0,"NOVO ITEM NAO CADASTRADO - CADASTRAR EM itens_Remanesc: ITEM + VU_ORIGINAL (QTD_BASE_ORIGINAL sera 0 automaticamente); depois a data e a quantidade aqui.",IF(COUNTIF(itens_Remanesc!$A$2:$A$200,A185)&gt;1,"ALERTA: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TIPO_INVALIDO",IF(AND(ISNUMBER(SEARCH("NOVO",D185)),OR(INDEX(posicao_contratual!$C$2:$C$200,MATCH(A185,posicao_contratual!$A$2:$A$200,0))&lt;&gt;0,F185="",COUNTIFS($A$2:$A$200,A185,$B$2:$B$200,"&lt;"&amp;B185,$L$2:$L$200,"&gt;0")&gt;0)),"ALERTA: NOVO ITEM INVALIDO - use Acrescimo se o item ja existia; novo item exige QTD_BASE_ORIGINAL 0, VU_ORIGINAL e ser o 1o acrescimo do item.",IF(AND(ISNUMBER(SEARCH("NOVO",D185)),OR(N185="",ISERROR(MATCH(N185,{"C0","C1","C2","C3","C4"},0)))),"ALERTA: BASE_VU_OBRIGATORIA",IF(AND(NOT(ISNUMBER(SEARCH("NOVO",D185))),N185&lt;&gt;""),"ALERTA: BASE_VU_NAO_APLICAVEL",IF(AND(UPPER(H185)="SIM",NOT(ISNUMBER(I185))),"ALERTA: BASE_VU_INVALIDA_OU_POSTERIOR_AO_FATOR_ALVO","OK"))))))))))</f>
        <v/>
      </c>
      <c r="N185" s="485"/>
      <c r="O185" s="487" t="str">
        <f>IFERROR(IF((COUNTIFS($A$2:$A$200,$A185,$D$2:$D$200,"*novo*",$N$2:$N$200,"C0")+COUNTIFS($A$2:$A$200,$A185,$D$2:$D$200,"*novo*",$N$2:$N$200,"C1")+COUNTIFS($A$2:$A$200,$A185,$D$2:$D$200,"*novo*",$N$2:$N$200,"C2")+COUNTIFS($A$2:$A$200,$A185,$D$2:$D$200,"*novo*",$N$2:$N$200,"C3")+COUNTIFS($A$2:$A$200,$A185,$D$2:$D$200,"*novo*",$N$2:$N$200,"C4"))=1,IF(COUNTIFS($A$2:$A$200,$A185,$D$2:$D$200,"*novo*",$N$2:$N$200,"C4")&gt;0,4,IF(COUNTIFS($A$2:$A$200,$A185,$D$2:$D$200,"*novo*",$N$2:$N$200,"C3")&gt;0,3,IF(COUNTIFS($A$2:$A$200,$A185,$D$2:$D$200,"*novo*",$N$2:$N$200,"C2")&gt;0,2,IF(COUNTIFS($A$2:$A$200,$A185,$D$2:$D$200,"*novo*",$N$2:$N$200,"C1")&gt;0,1,IF(COUNTIFS($A$2:$A$200,$A185,$D$2:$D$200,"*novo*",$N$2:$N$200,"C0")&gt;0,0,""))))),IF(AND((COUNTIFS($A$2:$A$200,$A185,$D$2:$D$200,"*novo*",$N$2:$N$200,"C0")+COUNTIFS($A$2:$A$200,$A185,$D$2:$D$200,"*novo*",$N$2:$N$200,"C1")+COUNTIFS($A$2:$A$200,$A185,$D$2:$D$200,"*novo*",$N$2:$N$200,"C2")+COUNTIFS($A$2:$A$200,$A185,$D$2:$D$200,"*novo*",$N$2:$N$200,"C3")+COUNTIFS($A$2:$A$200,$A185,$D$2:$D$200,"*novo*",$N$2:$N$200,"C4"))=0,INDEX(posicao_contratual!$Y$2:$Y$200,MATCH($A185,posicao_contratual!$A$2:$A$200,0))=0),0,"")),"")</f>
        <v/>
      </c>
    </row>
    <row r="186" spans="1:15" ht="45" customHeight="1" x14ac:dyDescent="0.35">
      <c r="A186" s="105"/>
      <c r="B186" s="189"/>
      <c r="C186" s="99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05"/>
      <c r="E186" s="106"/>
      <c r="F186" s="107" t="str">
        <f>IF(A186="","",IFERROR(VLOOKUP(A186,itens_Remanesc!$A:$C,3,0),""))</f>
        <v/>
      </c>
      <c r="G186" s="107" t="str">
        <f t="shared" si="15"/>
        <v/>
      </c>
      <c r="H186" s="105"/>
      <c r="I186" s="64" t="str">
        <f>IFERROR(IF(OR($A186="",$C186=""),"",IF(OR(($O186)="",($O186)&gt;(MIN(MATCH($C186,{"C0","C1","C2","C3","C4"},0)-1,COUNT(parametros!$F$2:$F$6)-1)),NOT(ISNUMBER(INDEX(parametros!$F$2:$F$6,(MIN(MATCH($C186,{"C0","C1","C2","C3","C4"},0)-1,COUNT(parametros!$F$2:$F$6)-1))+1))),NOT(ISNUMBER(INDEX(parametros!$F$2:$F$6,($O186)+1)))),"",INDEX(parametros!$F$2:$F$6,(MIN(MATCH($C186,{"C0","C1","C2","C3","C4"},0)-1,COUNT(parametros!$F$2:$F$6)-1))+1)/INDEX(parametros!$F$2:$F$6,($O186)+1))),"")</f>
        <v/>
      </c>
      <c r="J186" s="107" t="str">
        <f t="shared" si="16"/>
        <v/>
      </c>
      <c r="K186" s="105"/>
      <c r="L186" s="85" t="str">
        <f t="shared" si="17"/>
        <v/>
      </c>
      <c r="M186" s="483" t="str">
        <f>IF(A186="","",IF(COUNTIF(itens_Remanesc!$A$2:$A$200,A186)=0,"NOVO ITEM NAO CADASTRADO - CADASTRAR EM itens_Remanesc: ITEM + VU_ORIGINAL (QTD_BASE_ORIGINAL sera 0 automaticamente); depois a data e a quantidade aqui.",IF(COUNTIF(itens_Remanesc!$A$2:$A$200,A186)&gt;1,"ALERTA: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TIPO_INVALIDO",IF(AND(ISNUMBER(SEARCH("NOVO",D186)),OR(INDEX(posicao_contratual!$C$2:$C$200,MATCH(A186,posicao_contratual!$A$2:$A$200,0))&lt;&gt;0,F186="",COUNTIFS($A$2:$A$200,A186,$B$2:$B$200,"&lt;"&amp;B186,$L$2:$L$200,"&gt;0")&gt;0)),"ALERTA: NOVO ITEM INVALIDO - use Acrescimo se o item ja existia; novo item exige QTD_BASE_ORIGINAL 0, VU_ORIGINAL e ser o 1o acrescimo do item.",IF(AND(ISNUMBER(SEARCH("NOVO",D186)),OR(N186="",ISERROR(MATCH(N186,{"C0","C1","C2","C3","C4"},0)))),"ALERTA: BASE_VU_OBRIGATORIA",IF(AND(NOT(ISNUMBER(SEARCH("NOVO",D186))),N186&lt;&gt;""),"ALERTA: BASE_VU_NAO_APLICAVEL",IF(AND(UPPER(H186)="SIM",NOT(ISNUMBER(I186))),"ALERTA: BASE_VU_INVALIDA_OU_POSTERIOR_AO_FATOR_ALVO","OK"))))))))))</f>
        <v/>
      </c>
      <c r="N186" s="485"/>
      <c r="O186" s="487" t="str">
        <f>IFERROR(IF((COUNTIFS($A$2:$A$200,$A186,$D$2:$D$200,"*novo*",$N$2:$N$200,"C0")+COUNTIFS($A$2:$A$200,$A186,$D$2:$D$200,"*novo*",$N$2:$N$200,"C1")+COUNTIFS($A$2:$A$200,$A186,$D$2:$D$200,"*novo*",$N$2:$N$200,"C2")+COUNTIFS($A$2:$A$200,$A186,$D$2:$D$200,"*novo*",$N$2:$N$200,"C3")+COUNTIFS($A$2:$A$200,$A186,$D$2:$D$200,"*novo*",$N$2:$N$200,"C4"))=1,IF(COUNTIFS($A$2:$A$200,$A186,$D$2:$D$200,"*novo*",$N$2:$N$200,"C4")&gt;0,4,IF(COUNTIFS($A$2:$A$200,$A186,$D$2:$D$200,"*novo*",$N$2:$N$200,"C3")&gt;0,3,IF(COUNTIFS($A$2:$A$200,$A186,$D$2:$D$200,"*novo*",$N$2:$N$200,"C2")&gt;0,2,IF(COUNTIFS($A$2:$A$200,$A186,$D$2:$D$200,"*novo*",$N$2:$N$200,"C1")&gt;0,1,IF(COUNTIFS($A$2:$A$200,$A186,$D$2:$D$200,"*novo*",$N$2:$N$200,"C0")&gt;0,0,""))))),IF(AND((COUNTIFS($A$2:$A$200,$A186,$D$2:$D$200,"*novo*",$N$2:$N$200,"C0")+COUNTIFS($A$2:$A$200,$A186,$D$2:$D$200,"*novo*",$N$2:$N$200,"C1")+COUNTIFS($A$2:$A$200,$A186,$D$2:$D$200,"*novo*",$N$2:$N$200,"C2")+COUNTIFS($A$2:$A$200,$A186,$D$2:$D$200,"*novo*",$N$2:$N$200,"C3")+COUNTIFS($A$2:$A$200,$A186,$D$2:$D$200,"*novo*",$N$2:$N$200,"C4"))=0,INDEX(posicao_contratual!$Y$2:$Y$200,MATCH($A186,posicao_contratual!$A$2:$A$200,0))=0),0,"")),"")</f>
        <v/>
      </c>
    </row>
    <row r="187" spans="1:15" ht="45" customHeight="1" x14ac:dyDescent="0.35">
      <c r="A187" s="105"/>
      <c r="B187" s="189"/>
      <c r="C187" s="99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05"/>
      <c r="E187" s="106"/>
      <c r="F187" s="107" t="str">
        <f>IF(A187="","",IFERROR(VLOOKUP(A187,itens_Remanesc!$A:$C,3,0),""))</f>
        <v/>
      </c>
      <c r="G187" s="107" t="str">
        <f t="shared" si="15"/>
        <v/>
      </c>
      <c r="H187" s="105"/>
      <c r="I187" s="64" t="str">
        <f>IFERROR(IF(OR($A187="",$C187=""),"",IF(OR(($O187)="",($O187)&gt;(MIN(MATCH($C187,{"C0","C1","C2","C3","C4"},0)-1,COUNT(parametros!$F$2:$F$6)-1)),NOT(ISNUMBER(INDEX(parametros!$F$2:$F$6,(MIN(MATCH($C187,{"C0","C1","C2","C3","C4"},0)-1,COUNT(parametros!$F$2:$F$6)-1))+1))),NOT(ISNUMBER(INDEX(parametros!$F$2:$F$6,($O187)+1)))),"",INDEX(parametros!$F$2:$F$6,(MIN(MATCH($C187,{"C0","C1","C2","C3","C4"},0)-1,COUNT(parametros!$F$2:$F$6)-1))+1)/INDEX(parametros!$F$2:$F$6,($O187)+1))),"")</f>
        <v/>
      </c>
      <c r="J187" s="107" t="str">
        <f t="shared" si="16"/>
        <v/>
      </c>
      <c r="K187" s="105"/>
      <c r="L187" s="85" t="str">
        <f t="shared" si="17"/>
        <v/>
      </c>
      <c r="M187" s="483" t="str">
        <f>IF(A187="","",IF(COUNTIF(itens_Remanesc!$A$2:$A$200,A187)=0,"NOVO ITEM NAO CADASTRADO - CADASTRAR EM itens_Remanesc: ITEM + VU_ORIGINAL (QTD_BASE_ORIGINAL sera 0 automaticamente); depois a data e a quantidade aqui.",IF(COUNTIF(itens_Remanesc!$A$2:$A$200,A187)&gt;1,"ALERTA: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TIPO_INVALIDO",IF(AND(ISNUMBER(SEARCH("NOVO",D187)),OR(INDEX(posicao_contratual!$C$2:$C$200,MATCH(A187,posicao_contratual!$A$2:$A$200,0))&lt;&gt;0,F187="",COUNTIFS($A$2:$A$200,A187,$B$2:$B$200,"&lt;"&amp;B187,$L$2:$L$200,"&gt;0")&gt;0)),"ALERTA: NOVO ITEM INVALIDO - use Acrescimo se o item ja existia; novo item exige QTD_BASE_ORIGINAL 0, VU_ORIGINAL e ser o 1o acrescimo do item.",IF(AND(ISNUMBER(SEARCH("NOVO",D187)),OR(N187="",ISERROR(MATCH(N187,{"C0","C1","C2","C3","C4"},0)))),"ALERTA: BASE_VU_OBRIGATORIA",IF(AND(NOT(ISNUMBER(SEARCH("NOVO",D187))),N187&lt;&gt;""),"ALERTA: BASE_VU_NAO_APLICAVEL",IF(AND(UPPER(H187)="SIM",NOT(ISNUMBER(I187))),"ALERTA: BASE_VU_INVALIDA_OU_POSTERIOR_AO_FATOR_ALVO","OK"))))))))))</f>
        <v/>
      </c>
      <c r="N187" s="485"/>
      <c r="O187" s="487" t="str">
        <f>IFERROR(IF((COUNTIFS($A$2:$A$200,$A187,$D$2:$D$200,"*novo*",$N$2:$N$200,"C0")+COUNTIFS($A$2:$A$200,$A187,$D$2:$D$200,"*novo*",$N$2:$N$200,"C1")+COUNTIFS($A$2:$A$200,$A187,$D$2:$D$200,"*novo*",$N$2:$N$200,"C2")+COUNTIFS($A$2:$A$200,$A187,$D$2:$D$200,"*novo*",$N$2:$N$200,"C3")+COUNTIFS($A$2:$A$200,$A187,$D$2:$D$200,"*novo*",$N$2:$N$200,"C4"))=1,IF(COUNTIFS($A$2:$A$200,$A187,$D$2:$D$200,"*novo*",$N$2:$N$200,"C4")&gt;0,4,IF(COUNTIFS($A$2:$A$200,$A187,$D$2:$D$200,"*novo*",$N$2:$N$200,"C3")&gt;0,3,IF(COUNTIFS($A$2:$A$200,$A187,$D$2:$D$200,"*novo*",$N$2:$N$200,"C2")&gt;0,2,IF(COUNTIFS($A$2:$A$200,$A187,$D$2:$D$200,"*novo*",$N$2:$N$200,"C1")&gt;0,1,IF(COUNTIFS($A$2:$A$200,$A187,$D$2:$D$200,"*novo*",$N$2:$N$200,"C0")&gt;0,0,""))))),IF(AND((COUNTIFS($A$2:$A$200,$A187,$D$2:$D$200,"*novo*",$N$2:$N$200,"C0")+COUNTIFS($A$2:$A$200,$A187,$D$2:$D$200,"*novo*",$N$2:$N$200,"C1")+COUNTIFS($A$2:$A$200,$A187,$D$2:$D$200,"*novo*",$N$2:$N$200,"C2")+COUNTIFS($A$2:$A$200,$A187,$D$2:$D$200,"*novo*",$N$2:$N$200,"C3")+COUNTIFS($A$2:$A$200,$A187,$D$2:$D$200,"*novo*",$N$2:$N$200,"C4"))=0,INDEX(posicao_contratual!$Y$2:$Y$200,MATCH($A187,posicao_contratual!$A$2:$A$200,0))=0),0,"")),"")</f>
        <v/>
      </c>
    </row>
    <row r="188" spans="1:15" ht="45" customHeight="1" x14ac:dyDescent="0.35">
      <c r="A188" s="105"/>
      <c r="B188" s="189"/>
      <c r="C188" s="99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05"/>
      <c r="E188" s="106"/>
      <c r="F188" s="107" t="str">
        <f>IF(A188="","",IFERROR(VLOOKUP(A188,itens_Remanesc!$A:$C,3,0),""))</f>
        <v/>
      </c>
      <c r="G188" s="107" t="str">
        <f t="shared" si="15"/>
        <v/>
      </c>
      <c r="H188" s="105"/>
      <c r="I188" s="64" t="str">
        <f>IFERROR(IF(OR($A188="",$C188=""),"",IF(OR(($O188)="",($O188)&gt;(MIN(MATCH($C188,{"C0","C1","C2","C3","C4"},0)-1,COUNT(parametros!$F$2:$F$6)-1)),NOT(ISNUMBER(INDEX(parametros!$F$2:$F$6,(MIN(MATCH($C188,{"C0","C1","C2","C3","C4"},0)-1,COUNT(parametros!$F$2:$F$6)-1))+1))),NOT(ISNUMBER(INDEX(parametros!$F$2:$F$6,($O188)+1)))),"",INDEX(parametros!$F$2:$F$6,(MIN(MATCH($C188,{"C0","C1","C2","C3","C4"},0)-1,COUNT(parametros!$F$2:$F$6)-1))+1)/INDEX(parametros!$F$2:$F$6,($O188)+1))),"")</f>
        <v/>
      </c>
      <c r="J188" s="107" t="str">
        <f t="shared" si="16"/>
        <v/>
      </c>
      <c r="K188" s="105"/>
      <c r="L188" s="85" t="str">
        <f t="shared" si="17"/>
        <v/>
      </c>
      <c r="M188" s="483" t="str">
        <f>IF(A188="","",IF(COUNTIF(itens_Remanesc!$A$2:$A$200,A188)=0,"NOVO ITEM NAO CADASTRADO - CADASTRAR EM itens_Remanesc: ITEM + VU_ORIGINAL (QTD_BASE_ORIGINAL sera 0 automaticamente); depois a data e a quantidade aqui.",IF(COUNTIF(itens_Remanesc!$A$2:$A$200,A188)&gt;1,"ALERTA: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TIPO_INVALIDO",IF(AND(ISNUMBER(SEARCH("NOVO",D188)),OR(INDEX(posicao_contratual!$C$2:$C$200,MATCH(A188,posicao_contratual!$A$2:$A$200,0))&lt;&gt;0,F188="",COUNTIFS($A$2:$A$200,A188,$B$2:$B$200,"&lt;"&amp;B188,$L$2:$L$200,"&gt;0")&gt;0)),"ALERTA: NOVO ITEM INVALIDO - use Acrescimo se o item ja existia; novo item exige QTD_BASE_ORIGINAL 0, VU_ORIGINAL e ser o 1o acrescimo do item.",IF(AND(ISNUMBER(SEARCH("NOVO",D188)),OR(N188="",ISERROR(MATCH(N188,{"C0","C1","C2","C3","C4"},0)))),"ALERTA: BASE_VU_OBRIGATORIA",IF(AND(NOT(ISNUMBER(SEARCH("NOVO",D188))),N188&lt;&gt;""),"ALERTA: BASE_VU_NAO_APLICAVEL",IF(AND(UPPER(H188)="SIM",NOT(ISNUMBER(I188))),"ALERTA: BASE_VU_INVALIDA_OU_POSTERIOR_AO_FATOR_ALVO","OK"))))))))))</f>
        <v/>
      </c>
      <c r="N188" s="485"/>
      <c r="O188" s="487" t="str">
        <f>IFERROR(IF((COUNTIFS($A$2:$A$200,$A188,$D$2:$D$200,"*novo*",$N$2:$N$200,"C0")+COUNTIFS($A$2:$A$200,$A188,$D$2:$D$200,"*novo*",$N$2:$N$200,"C1")+COUNTIFS($A$2:$A$200,$A188,$D$2:$D$200,"*novo*",$N$2:$N$200,"C2")+COUNTIFS($A$2:$A$200,$A188,$D$2:$D$200,"*novo*",$N$2:$N$200,"C3")+COUNTIFS($A$2:$A$200,$A188,$D$2:$D$200,"*novo*",$N$2:$N$200,"C4"))=1,IF(COUNTIFS($A$2:$A$200,$A188,$D$2:$D$200,"*novo*",$N$2:$N$200,"C4")&gt;0,4,IF(COUNTIFS($A$2:$A$200,$A188,$D$2:$D$200,"*novo*",$N$2:$N$200,"C3")&gt;0,3,IF(COUNTIFS($A$2:$A$200,$A188,$D$2:$D$200,"*novo*",$N$2:$N$200,"C2")&gt;0,2,IF(COUNTIFS($A$2:$A$200,$A188,$D$2:$D$200,"*novo*",$N$2:$N$200,"C1")&gt;0,1,IF(COUNTIFS($A$2:$A$200,$A188,$D$2:$D$200,"*novo*",$N$2:$N$200,"C0")&gt;0,0,""))))),IF(AND((COUNTIFS($A$2:$A$200,$A188,$D$2:$D$200,"*novo*",$N$2:$N$200,"C0")+COUNTIFS($A$2:$A$200,$A188,$D$2:$D$200,"*novo*",$N$2:$N$200,"C1")+COUNTIFS($A$2:$A$200,$A188,$D$2:$D$200,"*novo*",$N$2:$N$200,"C2")+COUNTIFS($A$2:$A$200,$A188,$D$2:$D$200,"*novo*",$N$2:$N$200,"C3")+COUNTIFS($A$2:$A$200,$A188,$D$2:$D$200,"*novo*",$N$2:$N$200,"C4"))=0,INDEX(posicao_contratual!$Y$2:$Y$200,MATCH($A188,posicao_contratual!$A$2:$A$200,0))=0),0,"")),"")</f>
        <v/>
      </c>
    </row>
    <row r="189" spans="1:15" ht="45" customHeight="1" x14ac:dyDescent="0.35">
      <c r="A189" s="105"/>
      <c r="B189" s="189"/>
      <c r="C189" s="99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05"/>
      <c r="E189" s="106"/>
      <c r="F189" s="107" t="str">
        <f>IF(A189="","",IFERROR(VLOOKUP(A189,itens_Remanesc!$A:$C,3,0),""))</f>
        <v/>
      </c>
      <c r="G189" s="107" t="str">
        <f t="shared" si="15"/>
        <v/>
      </c>
      <c r="H189" s="105"/>
      <c r="I189" s="64" t="str">
        <f>IFERROR(IF(OR($A189="",$C189=""),"",IF(OR(($O189)="",($O189)&gt;(MIN(MATCH($C189,{"C0","C1","C2","C3","C4"},0)-1,COUNT(parametros!$F$2:$F$6)-1)),NOT(ISNUMBER(INDEX(parametros!$F$2:$F$6,(MIN(MATCH($C189,{"C0","C1","C2","C3","C4"},0)-1,COUNT(parametros!$F$2:$F$6)-1))+1))),NOT(ISNUMBER(INDEX(parametros!$F$2:$F$6,($O189)+1)))),"",INDEX(parametros!$F$2:$F$6,(MIN(MATCH($C189,{"C0","C1","C2","C3","C4"},0)-1,COUNT(parametros!$F$2:$F$6)-1))+1)/INDEX(parametros!$F$2:$F$6,($O189)+1))),"")</f>
        <v/>
      </c>
      <c r="J189" s="107" t="str">
        <f t="shared" si="16"/>
        <v/>
      </c>
      <c r="K189" s="105"/>
      <c r="L189" s="85" t="str">
        <f t="shared" si="17"/>
        <v/>
      </c>
      <c r="M189" s="483" t="str">
        <f>IF(A189="","",IF(COUNTIF(itens_Remanesc!$A$2:$A$200,A189)=0,"NOVO ITEM NAO CADASTRADO - CADASTRAR EM itens_Remanesc: ITEM + VU_ORIGINAL (QTD_BASE_ORIGINAL sera 0 automaticamente); depois a data e a quantidade aqui.",IF(COUNTIF(itens_Remanesc!$A$2:$A$200,A189)&gt;1,"ALERTA: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TIPO_INVALIDO",IF(AND(ISNUMBER(SEARCH("NOVO",D189)),OR(INDEX(posicao_contratual!$C$2:$C$200,MATCH(A189,posicao_contratual!$A$2:$A$200,0))&lt;&gt;0,F189="",COUNTIFS($A$2:$A$200,A189,$B$2:$B$200,"&lt;"&amp;B189,$L$2:$L$200,"&gt;0")&gt;0)),"ALERTA: NOVO ITEM INVALIDO - use Acrescimo se o item ja existia; novo item exige QTD_BASE_ORIGINAL 0, VU_ORIGINAL e ser o 1o acrescimo do item.",IF(AND(ISNUMBER(SEARCH("NOVO",D189)),OR(N189="",ISERROR(MATCH(N189,{"C0","C1","C2","C3","C4"},0)))),"ALERTA: BASE_VU_OBRIGATORIA",IF(AND(NOT(ISNUMBER(SEARCH("NOVO",D189))),N189&lt;&gt;""),"ALERTA: BASE_VU_NAO_APLICAVEL",IF(AND(UPPER(H189)="SIM",NOT(ISNUMBER(I189))),"ALERTA: BASE_VU_INVALIDA_OU_POSTERIOR_AO_FATOR_ALVO","OK"))))))))))</f>
        <v/>
      </c>
      <c r="N189" s="485"/>
      <c r="O189" s="487" t="str">
        <f>IFERROR(IF((COUNTIFS($A$2:$A$200,$A189,$D$2:$D$200,"*novo*",$N$2:$N$200,"C0")+COUNTIFS($A$2:$A$200,$A189,$D$2:$D$200,"*novo*",$N$2:$N$200,"C1")+COUNTIFS($A$2:$A$200,$A189,$D$2:$D$200,"*novo*",$N$2:$N$200,"C2")+COUNTIFS($A$2:$A$200,$A189,$D$2:$D$200,"*novo*",$N$2:$N$200,"C3")+COUNTIFS($A$2:$A$200,$A189,$D$2:$D$200,"*novo*",$N$2:$N$200,"C4"))=1,IF(COUNTIFS($A$2:$A$200,$A189,$D$2:$D$200,"*novo*",$N$2:$N$200,"C4")&gt;0,4,IF(COUNTIFS($A$2:$A$200,$A189,$D$2:$D$200,"*novo*",$N$2:$N$200,"C3")&gt;0,3,IF(COUNTIFS($A$2:$A$200,$A189,$D$2:$D$200,"*novo*",$N$2:$N$200,"C2")&gt;0,2,IF(COUNTIFS($A$2:$A$200,$A189,$D$2:$D$200,"*novo*",$N$2:$N$200,"C1")&gt;0,1,IF(COUNTIFS($A$2:$A$200,$A189,$D$2:$D$200,"*novo*",$N$2:$N$200,"C0")&gt;0,0,""))))),IF(AND((COUNTIFS($A$2:$A$200,$A189,$D$2:$D$200,"*novo*",$N$2:$N$200,"C0")+COUNTIFS($A$2:$A$200,$A189,$D$2:$D$200,"*novo*",$N$2:$N$200,"C1")+COUNTIFS($A$2:$A$200,$A189,$D$2:$D$200,"*novo*",$N$2:$N$200,"C2")+COUNTIFS($A$2:$A$200,$A189,$D$2:$D$200,"*novo*",$N$2:$N$200,"C3")+COUNTIFS($A$2:$A$200,$A189,$D$2:$D$200,"*novo*",$N$2:$N$200,"C4"))=0,INDEX(posicao_contratual!$Y$2:$Y$200,MATCH($A189,posicao_contratual!$A$2:$A$200,0))=0),0,"")),"")</f>
        <v/>
      </c>
    </row>
    <row r="190" spans="1:15" ht="45" customHeight="1" x14ac:dyDescent="0.35">
      <c r="A190" s="105"/>
      <c r="B190" s="189"/>
      <c r="C190" s="99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05"/>
      <c r="E190" s="106"/>
      <c r="F190" s="107" t="str">
        <f>IF(A190="","",IFERROR(VLOOKUP(A190,itens_Remanesc!$A:$C,3,0),""))</f>
        <v/>
      </c>
      <c r="G190" s="107" t="str">
        <f t="shared" si="15"/>
        <v/>
      </c>
      <c r="H190" s="105"/>
      <c r="I190" s="64" t="str">
        <f>IFERROR(IF(OR($A190="",$C190=""),"",IF(OR(($O190)="",($O190)&gt;(MIN(MATCH($C190,{"C0","C1","C2","C3","C4"},0)-1,COUNT(parametros!$F$2:$F$6)-1)),NOT(ISNUMBER(INDEX(parametros!$F$2:$F$6,(MIN(MATCH($C190,{"C0","C1","C2","C3","C4"},0)-1,COUNT(parametros!$F$2:$F$6)-1))+1))),NOT(ISNUMBER(INDEX(parametros!$F$2:$F$6,($O190)+1)))),"",INDEX(parametros!$F$2:$F$6,(MIN(MATCH($C190,{"C0","C1","C2","C3","C4"},0)-1,COUNT(parametros!$F$2:$F$6)-1))+1)/INDEX(parametros!$F$2:$F$6,($O190)+1))),"")</f>
        <v/>
      </c>
      <c r="J190" s="107" t="str">
        <f t="shared" si="16"/>
        <v/>
      </c>
      <c r="K190" s="105"/>
      <c r="L190" s="85" t="str">
        <f t="shared" si="17"/>
        <v/>
      </c>
      <c r="M190" s="483" t="str">
        <f>IF(A190="","",IF(COUNTIF(itens_Remanesc!$A$2:$A$200,A190)=0,"NOVO ITEM NAO CADASTRADO - CADASTRAR EM itens_Remanesc: ITEM + VU_ORIGINAL (QTD_BASE_ORIGINAL sera 0 automaticamente); depois a data e a quantidade aqui.",IF(COUNTIF(itens_Remanesc!$A$2:$A$200,A190)&gt;1,"ALERTA: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TIPO_INVALIDO",IF(AND(ISNUMBER(SEARCH("NOVO",D190)),OR(INDEX(posicao_contratual!$C$2:$C$200,MATCH(A190,posicao_contratual!$A$2:$A$200,0))&lt;&gt;0,F190="",COUNTIFS($A$2:$A$200,A190,$B$2:$B$200,"&lt;"&amp;B190,$L$2:$L$200,"&gt;0")&gt;0)),"ALERTA: NOVO ITEM INVALIDO - use Acrescimo se o item ja existia; novo item exige QTD_BASE_ORIGINAL 0, VU_ORIGINAL e ser o 1o acrescimo do item.",IF(AND(ISNUMBER(SEARCH("NOVO",D190)),OR(N190="",ISERROR(MATCH(N190,{"C0","C1","C2","C3","C4"},0)))),"ALERTA: BASE_VU_OBRIGATORIA",IF(AND(NOT(ISNUMBER(SEARCH("NOVO",D190))),N190&lt;&gt;""),"ALERTA: BASE_VU_NAO_APLICAVEL",IF(AND(UPPER(H190)="SIM",NOT(ISNUMBER(I190))),"ALERTA: BASE_VU_INVALIDA_OU_POSTERIOR_AO_FATOR_ALVO","OK"))))))))))</f>
        <v/>
      </c>
      <c r="N190" s="485"/>
      <c r="O190" s="487" t="str">
        <f>IFERROR(IF((COUNTIFS($A$2:$A$200,$A190,$D$2:$D$200,"*novo*",$N$2:$N$200,"C0")+COUNTIFS($A$2:$A$200,$A190,$D$2:$D$200,"*novo*",$N$2:$N$200,"C1")+COUNTIFS($A$2:$A$200,$A190,$D$2:$D$200,"*novo*",$N$2:$N$200,"C2")+COUNTIFS($A$2:$A$200,$A190,$D$2:$D$200,"*novo*",$N$2:$N$200,"C3")+COUNTIFS($A$2:$A$200,$A190,$D$2:$D$200,"*novo*",$N$2:$N$200,"C4"))=1,IF(COUNTIFS($A$2:$A$200,$A190,$D$2:$D$200,"*novo*",$N$2:$N$200,"C4")&gt;0,4,IF(COUNTIFS($A$2:$A$200,$A190,$D$2:$D$200,"*novo*",$N$2:$N$200,"C3")&gt;0,3,IF(COUNTIFS($A$2:$A$200,$A190,$D$2:$D$200,"*novo*",$N$2:$N$200,"C2")&gt;0,2,IF(COUNTIFS($A$2:$A$200,$A190,$D$2:$D$200,"*novo*",$N$2:$N$200,"C1")&gt;0,1,IF(COUNTIFS($A$2:$A$200,$A190,$D$2:$D$200,"*novo*",$N$2:$N$200,"C0")&gt;0,0,""))))),IF(AND((COUNTIFS($A$2:$A$200,$A190,$D$2:$D$200,"*novo*",$N$2:$N$200,"C0")+COUNTIFS($A$2:$A$200,$A190,$D$2:$D$200,"*novo*",$N$2:$N$200,"C1")+COUNTIFS($A$2:$A$200,$A190,$D$2:$D$200,"*novo*",$N$2:$N$200,"C2")+COUNTIFS($A$2:$A$200,$A190,$D$2:$D$200,"*novo*",$N$2:$N$200,"C3")+COUNTIFS($A$2:$A$200,$A190,$D$2:$D$200,"*novo*",$N$2:$N$200,"C4"))=0,INDEX(posicao_contratual!$Y$2:$Y$200,MATCH($A190,posicao_contratual!$A$2:$A$200,0))=0),0,"")),"")</f>
        <v/>
      </c>
    </row>
    <row r="191" spans="1:15" ht="45" customHeight="1" x14ac:dyDescent="0.35">
      <c r="A191" s="105"/>
      <c r="B191" s="189"/>
      <c r="C191" s="99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05"/>
      <c r="E191" s="106"/>
      <c r="F191" s="107" t="str">
        <f>IF(A191="","",IFERROR(VLOOKUP(A191,itens_Remanesc!$A:$C,3,0),""))</f>
        <v/>
      </c>
      <c r="G191" s="107" t="str">
        <f t="shared" si="15"/>
        <v/>
      </c>
      <c r="H191" s="105"/>
      <c r="I191" s="64" t="str">
        <f>IFERROR(IF(OR($A191="",$C191=""),"",IF(OR(($O191)="",($O191)&gt;(MIN(MATCH($C191,{"C0","C1","C2","C3","C4"},0)-1,COUNT(parametros!$F$2:$F$6)-1)),NOT(ISNUMBER(INDEX(parametros!$F$2:$F$6,(MIN(MATCH($C191,{"C0","C1","C2","C3","C4"},0)-1,COUNT(parametros!$F$2:$F$6)-1))+1))),NOT(ISNUMBER(INDEX(parametros!$F$2:$F$6,($O191)+1)))),"",INDEX(parametros!$F$2:$F$6,(MIN(MATCH($C191,{"C0","C1","C2","C3","C4"},0)-1,COUNT(parametros!$F$2:$F$6)-1))+1)/INDEX(parametros!$F$2:$F$6,($O191)+1))),"")</f>
        <v/>
      </c>
      <c r="J191" s="107" t="str">
        <f t="shared" si="16"/>
        <v/>
      </c>
      <c r="K191" s="105"/>
      <c r="L191" s="85" t="str">
        <f t="shared" si="17"/>
        <v/>
      </c>
      <c r="M191" s="483" t="str">
        <f>IF(A191="","",IF(COUNTIF(itens_Remanesc!$A$2:$A$200,A191)=0,"NOVO ITEM NAO CADASTRADO - CADASTRAR EM itens_Remanesc: ITEM + VU_ORIGINAL (QTD_BASE_ORIGINAL sera 0 automaticamente); depois a data e a quantidade aqui.",IF(COUNTIF(itens_Remanesc!$A$2:$A$200,A191)&gt;1,"ALERTA: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TIPO_INVALIDO",IF(AND(ISNUMBER(SEARCH("NOVO",D191)),OR(INDEX(posicao_contratual!$C$2:$C$200,MATCH(A191,posicao_contratual!$A$2:$A$200,0))&lt;&gt;0,F191="",COUNTIFS($A$2:$A$200,A191,$B$2:$B$200,"&lt;"&amp;B191,$L$2:$L$200,"&gt;0")&gt;0)),"ALERTA: NOVO ITEM INVALIDO - use Acrescimo se o item ja existia; novo item exige QTD_BASE_ORIGINAL 0, VU_ORIGINAL e ser o 1o acrescimo do item.",IF(AND(ISNUMBER(SEARCH("NOVO",D191)),OR(N191="",ISERROR(MATCH(N191,{"C0","C1","C2","C3","C4"},0)))),"ALERTA: BASE_VU_OBRIGATORIA",IF(AND(NOT(ISNUMBER(SEARCH("NOVO",D191))),N191&lt;&gt;""),"ALERTA: BASE_VU_NAO_APLICAVEL",IF(AND(UPPER(H191)="SIM",NOT(ISNUMBER(I191))),"ALERTA: BASE_VU_INVALIDA_OU_POSTERIOR_AO_FATOR_ALVO","OK"))))))))))</f>
        <v/>
      </c>
      <c r="N191" s="485"/>
      <c r="O191" s="487" t="str">
        <f>IFERROR(IF((COUNTIFS($A$2:$A$200,$A191,$D$2:$D$200,"*novo*",$N$2:$N$200,"C0")+COUNTIFS($A$2:$A$200,$A191,$D$2:$D$200,"*novo*",$N$2:$N$200,"C1")+COUNTIFS($A$2:$A$200,$A191,$D$2:$D$200,"*novo*",$N$2:$N$200,"C2")+COUNTIFS($A$2:$A$200,$A191,$D$2:$D$200,"*novo*",$N$2:$N$200,"C3")+COUNTIFS($A$2:$A$200,$A191,$D$2:$D$200,"*novo*",$N$2:$N$200,"C4"))=1,IF(COUNTIFS($A$2:$A$200,$A191,$D$2:$D$200,"*novo*",$N$2:$N$200,"C4")&gt;0,4,IF(COUNTIFS($A$2:$A$200,$A191,$D$2:$D$200,"*novo*",$N$2:$N$200,"C3")&gt;0,3,IF(COUNTIFS($A$2:$A$200,$A191,$D$2:$D$200,"*novo*",$N$2:$N$200,"C2")&gt;0,2,IF(COUNTIFS($A$2:$A$200,$A191,$D$2:$D$200,"*novo*",$N$2:$N$200,"C1")&gt;0,1,IF(COUNTIFS($A$2:$A$200,$A191,$D$2:$D$200,"*novo*",$N$2:$N$200,"C0")&gt;0,0,""))))),IF(AND((COUNTIFS($A$2:$A$200,$A191,$D$2:$D$200,"*novo*",$N$2:$N$200,"C0")+COUNTIFS($A$2:$A$200,$A191,$D$2:$D$200,"*novo*",$N$2:$N$200,"C1")+COUNTIFS($A$2:$A$200,$A191,$D$2:$D$200,"*novo*",$N$2:$N$200,"C2")+COUNTIFS($A$2:$A$200,$A191,$D$2:$D$200,"*novo*",$N$2:$N$200,"C3")+COUNTIFS($A$2:$A$200,$A191,$D$2:$D$200,"*novo*",$N$2:$N$200,"C4"))=0,INDEX(posicao_contratual!$Y$2:$Y$200,MATCH($A191,posicao_contratual!$A$2:$A$200,0))=0),0,"")),"")</f>
        <v/>
      </c>
    </row>
    <row r="192" spans="1:15" ht="45" customHeight="1" x14ac:dyDescent="0.35">
      <c r="A192" s="105"/>
      <c r="B192" s="189"/>
      <c r="C192" s="99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05"/>
      <c r="E192" s="106"/>
      <c r="F192" s="107" t="str">
        <f>IF(A192="","",IFERROR(VLOOKUP(A192,itens_Remanesc!$A:$C,3,0),""))</f>
        <v/>
      </c>
      <c r="G192" s="107" t="str">
        <f t="shared" si="15"/>
        <v/>
      </c>
      <c r="H192" s="105"/>
      <c r="I192" s="64" t="str">
        <f>IFERROR(IF(OR($A192="",$C192=""),"",IF(OR(($O192)="",($O192)&gt;(MIN(MATCH($C192,{"C0","C1","C2","C3","C4"},0)-1,COUNT(parametros!$F$2:$F$6)-1)),NOT(ISNUMBER(INDEX(parametros!$F$2:$F$6,(MIN(MATCH($C192,{"C0","C1","C2","C3","C4"},0)-1,COUNT(parametros!$F$2:$F$6)-1))+1))),NOT(ISNUMBER(INDEX(parametros!$F$2:$F$6,($O192)+1)))),"",INDEX(parametros!$F$2:$F$6,(MIN(MATCH($C192,{"C0","C1","C2","C3","C4"},0)-1,COUNT(parametros!$F$2:$F$6)-1))+1)/INDEX(parametros!$F$2:$F$6,($O192)+1))),"")</f>
        <v/>
      </c>
      <c r="J192" s="107" t="str">
        <f t="shared" si="16"/>
        <v/>
      </c>
      <c r="K192" s="105"/>
      <c r="L192" s="85" t="str">
        <f t="shared" si="17"/>
        <v/>
      </c>
      <c r="M192" s="483" t="str">
        <f>IF(A192="","",IF(COUNTIF(itens_Remanesc!$A$2:$A$200,A192)=0,"NOVO ITEM NAO CADASTRADO - CADASTRAR EM itens_Remanesc: ITEM + VU_ORIGINAL (QTD_BASE_ORIGINAL sera 0 automaticamente); depois a data e a quantidade aqui.",IF(COUNTIF(itens_Remanesc!$A$2:$A$200,A192)&gt;1,"ALERTA: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TIPO_INVALIDO",IF(AND(ISNUMBER(SEARCH("NOVO",D192)),OR(INDEX(posicao_contratual!$C$2:$C$200,MATCH(A192,posicao_contratual!$A$2:$A$200,0))&lt;&gt;0,F192="",COUNTIFS($A$2:$A$200,A192,$B$2:$B$200,"&lt;"&amp;B192,$L$2:$L$200,"&gt;0")&gt;0)),"ALERTA: NOVO ITEM INVALIDO - use Acrescimo se o item ja existia; novo item exige QTD_BASE_ORIGINAL 0, VU_ORIGINAL e ser o 1o acrescimo do item.",IF(AND(ISNUMBER(SEARCH("NOVO",D192)),OR(N192="",ISERROR(MATCH(N192,{"C0","C1","C2","C3","C4"},0)))),"ALERTA: BASE_VU_OBRIGATORIA",IF(AND(NOT(ISNUMBER(SEARCH("NOVO",D192))),N192&lt;&gt;""),"ALERTA: BASE_VU_NAO_APLICAVEL",IF(AND(UPPER(H192)="SIM",NOT(ISNUMBER(I192))),"ALERTA: BASE_VU_INVALIDA_OU_POSTERIOR_AO_FATOR_ALVO","OK"))))))))))</f>
        <v/>
      </c>
      <c r="N192" s="485"/>
      <c r="O192" s="487" t="str">
        <f>IFERROR(IF((COUNTIFS($A$2:$A$200,$A192,$D$2:$D$200,"*novo*",$N$2:$N$200,"C0")+COUNTIFS($A$2:$A$200,$A192,$D$2:$D$200,"*novo*",$N$2:$N$200,"C1")+COUNTIFS($A$2:$A$200,$A192,$D$2:$D$200,"*novo*",$N$2:$N$200,"C2")+COUNTIFS($A$2:$A$200,$A192,$D$2:$D$200,"*novo*",$N$2:$N$200,"C3")+COUNTIFS($A$2:$A$200,$A192,$D$2:$D$200,"*novo*",$N$2:$N$200,"C4"))=1,IF(COUNTIFS($A$2:$A$200,$A192,$D$2:$D$200,"*novo*",$N$2:$N$200,"C4")&gt;0,4,IF(COUNTIFS($A$2:$A$200,$A192,$D$2:$D$200,"*novo*",$N$2:$N$200,"C3")&gt;0,3,IF(COUNTIFS($A$2:$A$200,$A192,$D$2:$D$200,"*novo*",$N$2:$N$200,"C2")&gt;0,2,IF(COUNTIFS($A$2:$A$200,$A192,$D$2:$D$200,"*novo*",$N$2:$N$200,"C1")&gt;0,1,IF(COUNTIFS($A$2:$A$200,$A192,$D$2:$D$200,"*novo*",$N$2:$N$200,"C0")&gt;0,0,""))))),IF(AND((COUNTIFS($A$2:$A$200,$A192,$D$2:$D$200,"*novo*",$N$2:$N$200,"C0")+COUNTIFS($A$2:$A$200,$A192,$D$2:$D$200,"*novo*",$N$2:$N$200,"C1")+COUNTIFS($A$2:$A$200,$A192,$D$2:$D$200,"*novo*",$N$2:$N$200,"C2")+COUNTIFS($A$2:$A$200,$A192,$D$2:$D$200,"*novo*",$N$2:$N$200,"C3")+COUNTIFS($A$2:$A$200,$A192,$D$2:$D$200,"*novo*",$N$2:$N$200,"C4"))=0,INDEX(posicao_contratual!$Y$2:$Y$200,MATCH($A192,posicao_contratual!$A$2:$A$200,0))=0),0,"")),"")</f>
        <v/>
      </c>
    </row>
    <row r="193" spans="1:15" ht="45" customHeight="1" x14ac:dyDescent="0.35">
      <c r="A193" s="105"/>
      <c r="B193" s="189"/>
      <c r="C193" s="99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05"/>
      <c r="E193" s="106"/>
      <c r="F193" s="107" t="str">
        <f>IF(A193="","",IFERROR(VLOOKUP(A193,itens_Remanesc!$A:$C,3,0),""))</f>
        <v/>
      </c>
      <c r="G193" s="107" t="str">
        <f t="shared" si="15"/>
        <v/>
      </c>
      <c r="H193" s="105"/>
      <c r="I193" s="64" t="str">
        <f>IFERROR(IF(OR($A193="",$C193=""),"",IF(OR(($O193)="",($O193)&gt;(MIN(MATCH($C193,{"C0","C1","C2","C3","C4"},0)-1,COUNT(parametros!$F$2:$F$6)-1)),NOT(ISNUMBER(INDEX(parametros!$F$2:$F$6,(MIN(MATCH($C193,{"C0","C1","C2","C3","C4"},0)-1,COUNT(parametros!$F$2:$F$6)-1))+1))),NOT(ISNUMBER(INDEX(parametros!$F$2:$F$6,($O193)+1)))),"",INDEX(parametros!$F$2:$F$6,(MIN(MATCH($C193,{"C0","C1","C2","C3","C4"},0)-1,COUNT(parametros!$F$2:$F$6)-1))+1)/INDEX(parametros!$F$2:$F$6,($O193)+1))),"")</f>
        <v/>
      </c>
      <c r="J193" s="107" t="str">
        <f t="shared" si="16"/>
        <v/>
      </c>
      <c r="K193" s="105"/>
      <c r="L193" s="85" t="str">
        <f t="shared" si="17"/>
        <v/>
      </c>
      <c r="M193" s="483" t="str">
        <f>IF(A193="","",IF(COUNTIF(itens_Remanesc!$A$2:$A$200,A193)=0,"NOVO ITEM NAO CADASTRADO - CADASTRAR EM itens_Remanesc: ITEM + VU_ORIGINAL (QTD_BASE_ORIGINAL sera 0 automaticamente); depois a data e a quantidade aqui.",IF(COUNTIF(itens_Remanesc!$A$2:$A$200,A193)&gt;1,"ALERTA: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TIPO_INVALIDO",IF(AND(ISNUMBER(SEARCH("NOVO",D193)),OR(INDEX(posicao_contratual!$C$2:$C$200,MATCH(A193,posicao_contratual!$A$2:$A$200,0))&lt;&gt;0,F193="",COUNTIFS($A$2:$A$200,A193,$B$2:$B$200,"&lt;"&amp;B193,$L$2:$L$200,"&gt;0")&gt;0)),"ALERTA: NOVO ITEM INVALIDO - use Acrescimo se o item ja existia; novo item exige QTD_BASE_ORIGINAL 0, VU_ORIGINAL e ser o 1o acrescimo do item.",IF(AND(ISNUMBER(SEARCH("NOVO",D193)),OR(N193="",ISERROR(MATCH(N193,{"C0","C1","C2","C3","C4"},0)))),"ALERTA: BASE_VU_OBRIGATORIA",IF(AND(NOT(ISNUMBER(SEARCH("NOVO",D193))),N193&lt;&gt;""),"ALERTA: BASE_VU_NAO_APLICAVEL",IF(AND(UPPER(H193)="SIM",NOT(ISNUMBER(I193))),"ALERTA: BASE_VU_INVALIDA_OU_POSTERIOR_AO_FATOR_ALVO","OK"))))))))))</f>
        <v/>
      </c>
      <c r="N193" s="485"/>
      <c r="O193" s="487" t="str">
        <f>IFERROR(IF((COUNTIFS($A$2:$A$200,$A193,$D$2:$D$200,"*novo*",$N$2:$N$200,"C0")+COUNTIFS($A$2:$A$200,$A193,$D$2:$D$200,"*novo*",$N$2:$N$200,"C1")+COUNTIFS($A$2:$A$200,$A193,$D$2:$D$200,"*novo*",$N$2:$N$200,"C2")+COUNTIFS($A$2:$A$200,$A193,$D$2:$D$200,"*novo*",$N$2:$N$200,"C3")+COUNTIFS($A$2:$A$200,$A193,$D$2:$D$200,"*novo*",$N$2:$N$200,"C4"))=1,IF(COUNTIFS($A$2:$A$200,$A193,$D$2:$D$200,"*novo*",$N$2:$N$200,"C4")&gt;0,4,IF(COUNTIFS($A$2:$A$200,$A193,$D$2:$D$200,"*novo*",$N$2:$N$200,"C3")&gt;0,3,IF(COUNTIFS($A$2:$A$200,$A193,$D$2:$D$200,"*novo*",$N$2:$N$200,"C2")&gt;0,2,IF(COUNTIFS($A$2:$A$200,$A193,$D$2:$D$200,"*novo*",$N$2:$N$200,"C1")&gt;0,1,IF(COUNTIFS($A$2:$A$200,$A193,$D$2:$D$200,"*novo*",$N$2:$N$200,"C0")&gt;0,0,""))))),IF(AND((COUNTIFS($A$2:$A$200,$A193,$D$2:$D$200,"*novo*",$N$2:$N$200,"C0")+COUNTIFS($A$2:$A$200,$A193,$D$2:$D$200,"*novo*",$N$2:$N$200,"C1")+COUNTIFS($A$2:$A$200,$A193,$D$2:$D$200,"*novo*",$N$2:$N$200,"C2")+COUNTIFS($A$2:$A$200,$A193,$D$2:$D$200,"*novo*",$N$2:$N$200,"C3")+COUNTIFS($A$2:$A$200,$A193,$D$2:$D$200,"*novo*",$N$2:$N$200,"C4"))=0,INDEX(posicao_contratual!$Y$2:$Y$200,MATCH($A193,posicao_contratual!$A$2:$A$200,0))=0),0,"")),"")</f>
        <v/>
      </c>
    </row>
    <row r="194" spans="1:15" ht="45" customHeight="1" x14ac:dyDescent="0.35">
      <c r="A194" s="105"/>
      <c r="B194" s="189"/>
      <c r="C194" s="99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05"/>
      <c r="E194" s="106"/>
      <c r="F194" s="107" t="str">
        <f>IF(A194="","",IFERROR(VLOOKUP(A194,itens_Remanesc!$A:$C,3,0),""))</f>
        <v/>
      </c>
      <c r="G194" s="107" t="str">
        <f t="shared" ref="G194:G200" si="18">IF(OR(E194="",F194=""),"",ROUND(E194*F194,2))</f>
        <v/>
      </c>
      <c r="H194" s="105"/>
      <c r="I194" s="64" t="str">
        <f>IFERROR(IF(OR($A194="",$C194=""),"",IF(OR(($O194)="",($O194)&gt;(MIN(MATCH($C194,{"C0","C1","C2","C3","C4"},0)-1,COUNT(parametros!$F$2:$F$6)-1)),NOT(ISNUMBER(INDEX(parametros!$F$2:$F$6,(MIN(MATCH($C194,{"C0","C1","C2","C3","C4"},0)-1,COUNT(parametros!$F$2:$F$6)-1))+1))),NOT(ISNUMBER(INDEX(parametros!$F$2:$F$6,($O194)+1)))),"",INDEX(parametros!$F$2:$F$6,(MIN(MATCH($C194,{"C0","C1","C2","C3","C4"},0)-1,COUNT(parametros!$F$2:$F$6)-1))+1)/INDEX(parametros!$F$2:$F$6,($O194)+1))),"")</f>
        <v/>
      </c>
      <c r="J194" s="107" t="str">
        <f t="shared" ref="J194:J225" si="19">IF(OR(L194="",F194=""),"",IF(UPPER(H194)="SIM",IF(ISNUMBER(I194),ROUND(L194*ROUND(F194*I194,2),2),""),ROUND(L194*F194,2)))</f>
        <v/>
      </c>
      <c r="K194" s="105"/>
      <c r="L194" s="85" t="str">
        <f t="shared" ref="L194:L200" si="20">IF(OR(A194="",C194="",D194="",NOT(ISNUMBER(E194))),"",IF(LEFT(UPPER(D194),3)="ACR",ROUND(ABS(E194),2),IF(OR(LEFT(UPPER(D194),4)="SUPR",LEFT(UPPER(D194),4)="DECR"),ROUND(-ABS(E194),2),"")))</f>
        <v/>
      </c>
      <c r="M194" s="483" t="str">
        <f>IF(A194="","",IF(COUNTIF(itens_Remanesc!$A$2:$A$200,A194)=0,"NOVO ITEM NAO CADASTRADO - CADASTRAR EM itens_Remanesc: ITEM + VU_ORIGINAL (QTD_BASE_ORIGINAL sera 0 automaticamente); depois a data e a quantidade aqui.",IF(COUNTIF(itens_Remanesc!$A$2:$A$200,A194)&gt;1,"ALERTA: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TIPO_INVALIDO",IF(AND(ISNUMBER(SEARCH("NOVO",D194)),OR(INDEX(posicao_contratual!$C$2:$C$200,MATCH(A194,posicao_contratual!$A$2:$A$200,0))&lt;&gt;0,F194="",COUNTIFS($A$2:$A$200,A194,$B$2:$B$200,"&lt;"&amp;B194,$L$2:$L$200,"&gt;0")&gt;0)),"ALERTA: NOVO ITEM INVALIDO - use Acrescimo se o item ja existia; novo item exige QTD_BASE_ORIGINAL 0, VU_ORIGINAL e ser o 1o acrescimo do item.",IF(AND(ISNUMBER(SEARCH("NOVO",D194)),OR(N194="",ISERROR(MATCH(N194,{"C0","C1","C2","C3","C4"},0)))),"ALERTA: BASE_VU_OBRIGATORIA",IF(AND(NOT(ISNUMBER(SEARCH("NOVO",D194))),N194&lt;&gt;""),"ALERTA: BASE_VU_NAO_APLICAVEL",IF(AND(UPPER(H194)="SIM",NOT(ISNUMBER(I194))),"ALERTA: BASE_VU_INVALIDA_OU_POSTERIOR_AO_FATOR_ALVO","OK"))))))))))</f>
        <v/>
      </c>
      <c r="N194" s="485"/>
      <c r="O194" s="487" t="str">
        <f>IFERROR(IF((COUNTIFS($A$2:$A$200,$A194,$D$2:$D$200,"*novo*",$N$2:$N$200,"C0")+COUNTIFS($A$2:$A$200,$A194,$D$2:$D$200,"*novo*",$N$2:$N$200,"C1")+COUNTIFS($A$2:$A$200,$A194,$D$2:$D$200,"*novo*",$N$2:$N$200,"C2")+COUNTIFS($A$2:$A$200,$A194,$D$2:$D$200,"*novo*",$N$2:$N$200,"C3")+COUNTIFS($A$2:$A$200,$A194,$D$2:$D$200,"*novo*",$N$2:$N$200,"C4"))=1,IF(COUNTIFS($A$2:$A$200,$A194,$D$2:$D$200,"*novo*",$N$2:$N$200,"C4")&gt;0,4,IF(COUNTIFS($A$2:$A$200,$A194,$D$2:$D$200,"*novo*",$N$2:$N$200,"C3")&gt;0,3,IF(COUNTIFS($A$2:$A$200,$A194,$D$2:$D$200,"*novo*",$N$2:$N$200,"C2")&gt;0,2,IF(COUNTIFS($A$2:$A$200,$A194,$D$2:$D$200,"*novo*",$N$2:$N$200,"C1")&gt;0,1,IF(COUNTIFS($A$2:$A$200,$A194,$D$2:$D$200,"*novo*",$N$2:$N$200,"C0")&gt;0,0,""))))),IF(AND((COUNTIFS($A$2:$A$200,$A194,$D$2:$D$200,"*novo*",$N$2:$N$200,"C0")+COUNTIFS($A$2:$A$200,$A194,$D$2:$D$200,"*novo*",$N$2:$N$200,"C1")+COUNTIFS($A$2:$A$200,$A194,$D$2:$D$200,"*novo*",$N$2:$N$200,"C2")+COUNTIFS($A$2:$A$200,$A194,$D$2:$D$200,"*novo*",$N$2:$N$200,"C3")+COUNTIFS($A$2:$A$200,$A194,$D$2:$D$200,"*novo*",$N$2:$N$200,"C4"))=0,INDEX(posicao_contratual!$Y$2:$Y$200,MATCH($A194,posicao_contratual!$A$2:$A$200,0))=0),0,"")),"")</f>
        <v/>
      </c>
    </row>
    <row r="195" spans="1:15" ht="45" customHeight="1" x14ac:dyDescent="0.35">
      <c r="A195" s="105"/>
      <c r="B195" s="189"/>
      <c r="C195" s="99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05"/>
      <c r="E195" s="106"/>
      <c r="F195" s="107" t="str">
        <f>IF(A195="","",IFERROR(VLOOKUP(A195,itens_Remanesc!$A:$C,3,0),""))</f>
        <v/>
      </c>
      <c r="G195" s="107" t="str">
        <f t="shared" si="18"/>
        <v/>
      </c>
      <c r="H195" s="105"/>
      <c r="I195" s="64" t="str">
        <f>IFERROR(IF(OR($A195="",$C195=""),"",IF(OR(($O195)="",($O195)&gt;(MIN(MATCH($C195,{"C0","C1","C2","C3","C4"},0)-1,COUNT(parametros!$F$2:$F$6)-1)),NOT(ISNUMBER(INDEX(parametros!$F$2:$F$6,(MIN(MATCH($C195,{"C0","C1","C2","C3","C4"},0)-1,COUNT(parametros!$F$2:$F$6)-1))+1))),NOT(ISNUMBER(INDEX(parametros!$F$2:$F$6,($O195)+1)))),"",INDEX(parametros!$F$2:$F$6,(MIN(MATCH($C195,{"C0","C1","C2","C3","C4"},0)-1,COUNT(parametros!$F$2:$F$6)-1))+1)/INDEX(parametros!$F$2:$F$6,($O195)+1))),"")</f>
        <v/>
      </c>
      <c r="J195" s="107" t="str">
        <f t="shared" si="19"/>
        <v/>
      </c>
      <c r="K195" s="105"/>
      <c r="L195" s="85" t="str">
        <f t="shared" si="20"/>
        <v/>
      </c>
      <c r="M195" s="483" t="str">
        <f>IF(A195="","",IF(COUNTIF(itens_Remanesc!$A$2:$A$200,A195)=0,"NOVO ITEM NAO CADASTRADO - CADASTRAR EM itens_Remanesc: ITEM + VU_ORIGINAL (QTD_BASE_ORIGINAL sera 0 automaticamente); depois a data e a quantidade aqui.",IF(COUNTIF(itens_Remanesc!$A$2:$A$200,A195)&gt;1,"ALERTA: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TIPO_INVALIDO",IF(AND(ISNUMBER(SEARCH("NOVO",D195)),OR(INDEX(posicao_contratual!$C$2:$C$200,MATCH(A195,posicao_contratual!$A$2:$A$200,0))&lt;&gt;0,F195="",COUNTIFS($A$2:$A$200,A195,$B$2:$B$200,"&lt;"&amp;B195,$L$2:$L$200,"&gt;0")&gt;0)),"ALERTA: NOVO ITEM INVALIDO - use Acrescimo se o item ja existia; novo item exige QTD_BASE_ORIGINAL 0, VU_ORIGINAL e ser o 1o acrescimo do item.",IF(AND(ISNUMBER(SEARCH("NOVO",D195)),OR(N195="",ISERROR(MATCH(N195,{"C0","C1","C2","C3","C4"},0)))),"ALERTA: BASE_VU_OBRIGATORIA",IF(AND(NOT(ISNUMBER(SEARCH("NOVO",D195))),N195&lt;&gt;""),"ALERTA: BASE_VU_NAO_APLICAVEL",IF(AND(UPPER(H195)="SIM",NOT(ISNUMBER(I195))),"ALERTA: BASE_VU_INVALIDA_OU_POSTERIOR_AO_FATOR_ALVO","OK"))))))))))</f>
        <v/>
      </c>
      <c r="N195" s="485"/>
      <c r="O195" s="487" t="str">
        <f>IFERROR(IF((COUNTIFS($A$2:$A$200,$A195,$D$2:$D$200,"*novo*",$N$2:$N$200,"C0")+COUNTIFS($A$2:$A$200,$A195,$D$2:$D$200,"*novo*",$N$2:$N$200,"C1")+COUNTIFS($A$2:$A$200,$A195,$D$2:$D$200,"*novo*",$N$2:$N$200,"C2")+COUNTIFS($A$2:$A$200,$A195,$D$2:$D$200,"*novo*",$N$2:$N$200,"C3")+COUNTIFS($A$2:$A$200,$A195,$D$2:$D$200,"*novo*",$N$2:$N$200,"C4"))=1,IF(COUNTIFS($A$2:$A$200,$A195,$D$2:$D$200,"*novo*",$N$2:$N$200,"C4")&gt;0,4,IF(COUNTIFS($A$2:$A$200,$A195,$D$2:$D$200,"*novo*",$N$2:$N$200,"C3")&gt;0,3,IF(COUNTIFS($A$2:$A$200,$A195,$D$2:$D$200,"*novo*",$N$2:$N$200,"C2")&gt;0,2,IF(COUNTIFS($A$2:$A$200,$A195,$D$2:$D$200,"*novo*",$N$2:$N$200,"C1")&gt;0,1,IF(COUNTIFS($A$2:$A$200,$A195,$D$2:$D$200,"*novo*",$N$2:$N$200,"C0")&gt;0,0,""))))),IF(AND((COUNTIFS($A$2:$A$200,$A195,$D$2:$D$200,"*novo*",$N$2:$N$200,"C0")+COUNTIFS($A$2:$A$200,$A195,$D$2:$D$200,"*novo*",$N$2:$N$200,"C1")+COUNTIFS($A$2:$A$200,$A195,$D$2:$D$200,"*novo*",$N$2:$N$200,"C2")+COUNTIFS($A$2:$A$200,$A195,$D$2:$D$200,"*novo*",$N$2:$N$200,"C3")+COUNTIFS($A$2:$A$200,$A195,$D$2:$D$200,"*novo*",$N$2:$N$200,"C4"))=0,INDEX(posicao_contratual!$Y$2:$Y$200,MATCH($A195,posicao_contratual!$A$2:$A$200,0))=0),0,"")),"")</f>
        <v/>
      </c>
    </row>
    <row r="196" spans="1:15" ht="45" customHeight="1" x14ac:dyDescent="0.35">
      <c r="A196" s="105"/>
      <c r="B196" s="189"/>
      <c r="C196" s="99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05"/>
      <c r="E196" s="106"/>
      <c r="F196" s="107" t="str">
        <f>IF(A196="","",IFERROR(VLOOKUP(A196,itens_Remanesc!$A:$C,3,0),""))</f>
        <v/>
      </c>
      <c r="G196" s="107" t="str">
        <f t="shared" si="18"/>
        <v/>
      </c>
      <c r="H196" s="105"/>
      <c r="I196" s="64" t="str">
        <f>IFERROR(IF(OR($A196="",$C196=""),"",IF(OR(($O196)="",($O196)&gt;(MIN(MATCH($C196,{"C0","C1","C2","C3","C4"},0)-1,COUNT(parametros!$F$2:$F$6)-1)),NOT(ISNUMBER(INDEX(parametros!$F$2:$F$6,(MIN(MATCH($C196,{"C0","C1","C2","C3","C4"},0)-1,COUNT(parametros!$F$2:$F$6)-1))+1))),NOT(ISNUMBER(INDEX(parametros!$F$2:$F$6,($O196)+1)))),"",INDEX(parametros!$F$2:$F$6,(MIN(MATCH($C196,{"C0","C1","C2","C3","C4"},0)-1,COUNT(parametros!$F$2:$F$6)-1))+1)/INDEX(parametros!$F$2:$F$6,($O196)+1))),"")</f>
        <v/>
      </c>
      <c r="J196" s="107" t="str">
        <f t="shared" si="19"/>
        <v/>
      </c>
      <c r="K196" s="105"/>
      <c r="L196" s="85" t="str">
        <f t="shared" si="20"/>
        <v/>
      </c>
      <c r="M196" s="483" t="str">
        <f>IF(A196="","",IF(COUNTIF(itens_Remanesc!$A$2:$A$200,A196)=0,"NOVO ITEM NAO CADASTRADO - CADASTRAR EM itens_Remanesc: ITEM + VU_ORIGINAL (QTD_BASE_ORIGINAL sera 0 automaticamente); depois a data e a quantidade aqui.",IF(COUNTIF(itens_Remanesc!$A$2:$A$200,A196)&gt;1,"ALERTA: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TIPO_INVALIDO",IF(AND(ISNUMBER(SEARCH("NOVO",D196)),OR(INDEX(posicao_contratual!$C$2:$C$200,MATCH(A196,posicao_contratual!$A$2:$A$200,0))&lt;&gt;0,F196="",COUNTIFS($A$2:$A$200,A196,$B$2:$B$200,"&lt;"&amp;B196,$L$2:$L$200,"&gt;0")&gt;0)),"ALERTA: NOVO ITEM INVALIDO - use Acrescimo se o item ja existia; novo item exige QTD_BASE_ORIGINAL 0, VU_ORIGINAL e ser o 1o acrescimo do item.",IF(AND(ISNUMBER(SEARCH("NOVO",D196)),OR(N196="",ISERROR(MATCH(N196,{"C0","C1","C2","C3","C4"},0)))),"ALERTA: BASE_VU_OBRIGATORIA",IF(AND(NOT(ISNUMBER(SEARCH("NOVO",D196))),N196&lt;&gt;""),"ALERTA: BASE_VU_NAO_APLICAVEL",IF(AND(UPPER(H196)="SIM",NOT(ISNUMBER(I196))),"ALERTA: BASE_VU_INVALIDA_OU_POSTERIOR_AO_FATOR_ALVO","OK"))))))))))</f>
        <v/>
      </c>
      <c r="N196" s="485"/>
      <c r="O196" s="487" t="str">
        <f>IFERROR(IF((COUNTIFS($A$2:$A$200,$A196,$D$2:$D$200,"*novo*",$N$2:$N$200,"C0")+COUNTIFS($A$2:$A$200,$A196,$D$2:$D$200,"*novo*",$N$2:$N$200,"C1")+COUNTIFS($A$2:$A$200,$A196,$D$2:$D$200,"*novo*",$N$2:$N$200,"C2")+COUNTIFS($A$2:$A$200,$A196,$D$2:$D$200,"*novo*",$N$2:$N$200,"C3")+COUNTIFS($A$2:$A$200,$A196,$D$2:$D$200,"*novo*",$N$2:$N$200,"C4"))=1,IF(COUNTIFS($A$2:$A$200,$A196,$D$2:$D$200,"*novo*",$N$2:$N$200,"C4")&gt;0,4,IF(COUNTIFS($A$2:$A$200,$A196,$D$2:$D$200,"*novo*",$N$2:$N$200,"C3")&gt;0,3,IF(COUNTIFS($A$2:$A$200,$A196,$D$2:$D$200,"*novo*",$N$2:$N$200,"C2")&gt;0,2,IF(COUNTIFS($A$2:$A$200,$A196,$D$2:$D$200,"*novo*",$N$2:$N$200,"C1")&gt;0,1,IF(COUNTIFS($A$2:$A$200,$A196,$D$2:$D$200,"*novo*",$N$2:$N$200,"C0")&gt;0,0,""))))),IF(AND((COUNTIFS($A$2:$A$200,$A196,$D$2:$D$200,"*novo*",$N$2:$N$200,"C0")+COUNTIFS($A$2:$A$200,$A196,$D$2:$D$200,"*novo*",$N$2:$N$200,"C1")+COUNTIFS($A$2:$A$200,$A196,$D$2:$D$200,"*novo*",$N$2:$N$200,"C2")+COUNTIFS($A$2:$A$200,$A196,$D$2:$D$200,"*novo*",$N$2:$N$200,"C3")+COUNTIFS($A$2:$A$200,$A196,$D$2:$D$200,"*novo*",$N$2:$N$200,"C4"))=0,INDEX(posicao_contratual!$Y$2:$Y$200,MATCH($A196,posicao_contratual!$A$2:$A$200,0))=0),0,"")),"")</f>
        <v/>
      </c>
    </row>
    <row r="197" spans="1:15" ht="45" customHeight="1" x14ac:dyDescent="0.35">
      <c r="A197" s="105"/>
      <c r="B197" s="189"/>
      <c r="C197" s="99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05"/>
      <c r="E197" s="106"/>
      <c r="F197" s="107" t="str">
        <f>IF(A197="","",IFERROR(VLOOKUP(A197,itens_Remanesc!$A:$C,3,0),""))</f>
        <v/>
      </c>
      <c r="G197" s="107" t="str">
        <f t="shared" si="18"/>
        <v/>
      </c>
      <c r="H197" s="105"/>
      <c r="I197" s="64" t="str">
        <f>IFERROR(IF(OR($A197="",$C197=""),"",IF(OR(($O197)="",($O197)&gt;(MIN(MATCH($C197,{"C0","C1","C2","C3","C4"},0)-1,COUNT(parametros!$F$2:$F$6)-1)),NOT(ISNUMBER(INDEX(parametros!$F$2:$F$6,(MIN(MATCH($C197,{"C0","C1","C2","C3","C4"},0)-1,COUNT(parametros!$F$2:$F$6)-1))+1))),NOT(ISNUMBER(INDEX(parametros!$F$2:$F$6,($O197)+1)))),"",INDEX(parametros!$F$2:$F$6,(MIN(MATCH($C197,{"C0","C1","C2","C3","C4"},0)-1,COUNT(parametros!$F$2:$F$6)-1))+1)/INDEX(parametros!$F$2:$F$6,($O197)+1))),"")</f>
        <v/>
      </c>
      <c r="J197" s="107" t="str">
        <f t="shared" si="19"/>
        <v/>
      </c>
      <c r="K197" s="105"/>
      <c r="L197" s="85" t="str">
        <f t="shared" si="20"/>
        <v/>
      </c>
      <c r="M197" s="483" t="str">
        <f>IF(A197="","",IF(COUNTIF(itens_Remanesc!$A$2:$A$200,A197)=0,"NOVO ITEM NAO CADASTRADO - CADASTRAR EM itens_Remanesc: ITEM + VU_ORIGINAL (QTD_BASE_ORIGINAL sera 0 automaticamente); depois a data e a quantidade aqui.",IF(COUNTIF(itens_Remanesc!$A$2:$A$200,A197)&gt;1,"ALERTA: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TIPO_INVALIDO",IF(AND(ISNUMBER(SEARCH("NOVO",D197)),OR(INDEX(posicao_contratual!$C$2:$C$200,MATCH(A197,posicao_contratual!$A$2:$A$200,0))&lt;&gt;0,F197="",COUNTIFS($A$2:$A$200,A197,$B$2:$B$200,"&lt;"&amp;B197,$L$2:$L$200,"&gt;0")&gt;0)),"ALERTA: NOVO ITEM INVALIDO - use Acrescimo se o item ja existia; novo item exige QTD_BASE_ORIGINAL 0, VU_ORIGINAL e ser o 1o acrescimo do item.",IF(AND(ISNUMBER(SEARCH("NOVO",D197)),OR(N197="",ISERROR(MATCH(N197,{"C0","C1","C2","C3","C4"},0)))),"ALERTA: BASE_VU_OBRIGATORIA",IF(AND(NOT(ISNUMBER(SEARCH("NOVO",D197))),N197&lt;&gt;""),"ALERTA: BASE_VU_NAO_APLICAVEL",IF(AND(UPPER(H197)="SIM",NOT(ISNUMBER(I197))),"ALERTA: BASE_VU_INVALIDA_OU_POSTERIOR_AO_FATOR_ALVO","OK"))))))))))</f>
        <v/>
      </c>
      <c r="N197" s="485"/>
      <c r="O197" s="487" t="str">
        <f>IFERROR(IF((COUNTIFS($A$2:$A$200,$A197,$D$2:$D$200,"*novo*",$N$2:$N$200,"C0")+COUNTIFS($A$2:$A$200,$A197,$D$2:$D$200,"*novo*",$N$2:$N$200,"C1")+COUNTIFS($A$2:$A$200,$A197,$D$2:$D$200,"*novo*",$N$2:$N$200,"C2")+COUNTIFS($A$2:$A$200,$A197,$D$2:$D$200,"*novo*",$N$2:$N$200,"C3")+COUNTIFS($A$2:$A$200,$A197,$D$2:$D$200,"*novo*",$N$2:$N$200,"C4"))=1,IF(COUNTIFS($A$2:$A$200,$A197,$D$2:$D$200,"*novo*",$N$2:$N$200,"C4")&gt;0,4,IF(COUNTIFS($A$2:$A$200,$A197,$D$2:$D$200,"*novo*",$N$2:$N$200,"C3")&gt;0,3,IF(COUNTIFS($A$2:$A$200,$A197,$D$2:$D$200,"*novo*",$N$2:$N$200,"C2")&gt;0,2,IF(COUNTIFS($A$2:$A$200,$A197,$D$2:$D$200,"*novo*",$N$2:$N$200,"C1")&gt;0,1,IF(COUNTIFS($A$2:$A$200,$A197,$D$2:$D$200,"*novo*",$N$2:$N$200,"C0")&gt;0,0,""))))),IF(AND((COUNTIFS($A$2:$A$200,$A197,$D$2:$D$200,"*novo*",$N$2:$N$200,"C0")+COUNTIFS($A$2:$A$200,$A197,$D$2:$D$200,"*novo*",$N$2:$N$200,"C1")+COUNTIFS($A$2:$A$200,$A197,$D$2:$D$200,"*novo*",$N$2:$N$200,"C2")+COUNTIFS($A$2:$A$200,$A197,$D$2:$D$200,"*novo*",$N$2:$N$200,"C3")+COUNTIFS($A$2:$A$200,$A197,$D$2:$D$200,"*novo*",$N$2:$N$200,"C4"))=0,INDEX(posicao_contratual!$Y$2:$Y$200,MATCH($A197,posicao_contratual!$A$2:$A$200,0))=0),0,"")),"")</f>
        <v/>
      </c>
    </row>
    <row r="198" spans="1:15" ht="45" customHeight="1" x14ac:dyDescent="0.35">
      <c r="A198" s="105"/>
      <c r="B198" s="189"/>
      <c r="C198" s="99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05"/>
      <c r="E198" s="106"/>
      <c r="F198" s="107" t="str">
        <f>IF(A198="","",IFERROR(VLOOKUP(A198,itens_Remanesc!$A:$C,3,0),""))</f>
        <v/>
      </c>
      <c r="G198" s="107" t="str">
        <f t="shared" si="18"/>
        <v/>
      </c>
      <c r="H198" s="105"/>
      <c r="I198" s="64" t="str">
        <f>IFERROR(IF(OR($A198="",$C198=""),"",IF(OR(($O198)="",($O198)&gt;(MIN(MATCH($C198,{"C0","C1","C2","C3","C4"},0)-1,COUNT(parametros!$F$2:$F$6)-1)),NOT(ISNUMBER(INDEX(parametros!$F$2:$F$6,(MIN(MATCH($C198,{"C0","C1","C2","C3","C4"},0)-1,COUNT(parametros!$F$2:$F$6)-1))+1))),NOT(ISNUMBER(INDEX(parametros!$F$2:$F$6,($O198)+1)))),"",INDEX(parametros!$F$2:$F$6,(MIN(MATCH($C198,{"C0","C1","C2","C3","C4"},0)-1,COUNT(parametros!$F$2:$F$6)-1))+1)/INDEX(parametros!$F$2:$F$6,($O198)+1))),"")</f>
        <v/>
      </c>
      <c r="J198" s="107" t="str">
        <f t="shared" si="19"/>
        <v/>
      </c>
      <c r="K198" s="105"/>
      <c r="L198" s="85" t="str">
        <f t="shared" si="20"/>
        <v/>
      </c>
      <c r="M198" s="483" t="str">
        <f>IF(A198="","",IF(COUNTIF(itens_Remanesc!$A$2:$A$200,A198)=0,"NOVO ITEM NAO CADASTRADO - CADASTRAR EM itens_Remanesc: ITEM + VU_ORIGINAL (QTD_BASE_ORIGINAL sera 0 automaticamente); depois a data e a quantidade aqui.",IF(COUNTIF(itens_Remanesc!$A$2:$A$200,A198)&gt;1,"ALERTA: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TIPO_INVALIDO",IF(AND(ISNUMBER(SEARCH("NOVO",D198)),OR(INDEX(posicao_contratual!$C$2:$C$200,MATCH(A198,posicao_contratual!$A$2:$A$200,0))&lt;&gt;0,F198="",COUNTIFS($A$2:$A$200,A198,$B$2:$B$200,"&lt;"&amp;B198,$L$2:$L$200,"&gt;0")&gt;0)),"ALERTA: NOVO ITEM INVALIDO - use Acrescimo se o item ja existia; novo item exige QTD_BASE_ORIGINAL 0, VU_ORIGINAL e ser o 1o acrescimo do item.",IF(AND(ISNUMBER(SEARCH("NOVO",D198)),OR(N198="",ISERROR(MATCH(N198,{"C0","C1","C2","C3","C4"},0)))),"ALERTA: BASE_VU_OBRIGATORIA",IF(AND(NOT(ISNUMBER(SEARCH("NOVO",D198))),N198&lt;&gt;""),"ALERTA: BASE_VU_NAO_APLICAVEL",IF(AND(UPPER(H198)="SIM",NOT(ISNUMBER(I198))),"ALERTA: BASE_VU_INVALIDA_OU_POSTERIOR_AO_FATOR_ALVO","OK"))))))))))</f>
        <v/>
      </c>
      <c r="N198" s="485"/>
      <c r="O198" s="487" t="str">
        <f>IFERROR(IF((COUNTIFS($A$2:$A$200,$A198,$D$2:$D$200,"*novo*",$N$2:$N$200,"C0")+COUNTIFS($A$2:$A$200,$A198,$D$2:$D$200,"*novo*",$N$2:$N$200,"C1")+COUNTIFS($A$2:$A$200,$A198,$D$2:$D$200,"*novo*",$N$2:$N$200,"C2")+COUNTIFS($A$2:$A$200,$A198,$D$2:$D$200,"*novo*",$N$2:$N$200,"C3")+COUNTIFS($A$2:$A$200,$A198,$D$2:$D$200,"*novo*",$N$2:$N$200,"C4"))=1,IF(COUNTIFS($A$2:$A$200,$A198,$D$2:$D$200,"*novo*",$N$2:$N$200,"C4")&gt;0,4,IF(COUNTIFS($A$2:$A$200,$A198,$D$2:$D$200,"*novo*",$N$2:$N$200,"C3")&gt;0,3,IF(COUNTIFS($A$2:$A$200,$A198,$D$2:$D$200,"*novo*",$N$2:$N$200,"C2")&gt;0,2,IF(COUNTIFS($A$2:$A$200,$A198,$D$2:$D$200,"*novo*",$N$2:$N$200,"C1")&gt;0,1,IF(COUNTIFS($A$2:$A$200,$A198,$D$2:$D$200,"*novo*",$N$2:$N$200,"C0")&gt;0,0,""))))),IF(AND((COUNTIFS($A$2:$A$200,$A198,$D$2:$D$200,"*novo*",$N$2:$N$200,"C0")+COUNTIFS($A$2:$A$200,$A198,$D$2:$D$200,"*novo*",$N$2:$N$200,"C1")+COUNTIFS($A$2:$A$200,$A198,$D$2:$D$200,"*novo*",$N$2:$N$200,"C2")+COUNTIFS($A$2:$A$200,$A198,$D$2:$D$200,"*novo*",$N$2:$N$200,"C3")+COUNTIFS($A$2:$A$200,$A198,$D$2:$D$200,"*novo*",$N$2:$N$200,"C4"))=0,INDEX(posicao_contratual!$Y$2:$Y$200,MATCH($A198,posicao_contratual!$A$2:$A$200,0))=0),0,"")),"")</f>
        <v/>
      </c>
    </row>
    <row r="199" spans="1:15" ht="45" customHeight="1" x14ac:dyDescent="0.35">
      <c r="A199" s="105"/>
      <c r="B199" s="189"/>
      <c r="C199" s="99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05"/>
      <c r="E199" s="106"/>
      <c r="F199" s="107" t="str">
        <f>IF(A199="","",IFERROR(VLOOKUP(A199,itens_Remanesc!$A:$C,3,0),""))</f>
        <v/>
      </c>
      <c r="G199" s="107" t="str">
        <f t="shared" si="18"/>
        <v/>
      </c>
      <c r="H199" s="105"/>
      <c r="I199" s="64" t="str">
        <f>IFERROR(IF(OR($A199="",$C199=""),"",IF(OR(($O199)="",($O199)&gt;(MIN(MATCH($C199,{"C0","C1","C2","C3","C4"},0)-1,COUNT(parametros!$F$2:$F$6)-1)),NOT(ISNUMBER(INDEX(parametros!$F$2:$F$6,(MIN(MATCH($C199,{"C0","C1","C2","C3","C4"},0)-1,COUNT(parametros!$F$2:$F$6)-1))+1))),NOT(ISNUMBER(INDEX(parametros!$F$2:$F$6,($O199)+1)))),"",INDEX(parametros!$F$2:$F$6,(MIN(MATCH($C199,{"C0","C1","C2","C3","C4"},0)-1,COUNT(parametros!$F$2:$F$6)-1))+1)/INDEX(parametros!$F$2:$F$6,($O199)+1))),"")</f>
        <v/>
      </c>
      <c r="J199" s="107" t="str">
        <f t="shared" si="19"/>
        <v/>
      </c>
      <c r="K199" s="105"/>
      <c r="L199" s="85" t="str">
        <f t="shared" si="20"/>
        <v/>
      </c>
      <c r="M199" s="483" t="str">
        <f>IF(A199="","",IF(COUNTIF(itens_Remanesc!$A$2:$A$200,A199)=0,"NOVO ITEM NAO CADASTRADO - CADASTRAR EM itens_Remanesc: ITEM + VU_ORIGINAL (QTD_BASE_ORIGINAL sera 0 automaticamente); depois a data e a quantidade aqui.",IF(COUNTIF(itens_Remanesc!$A$2:$A$200,A199)&gt;1,"ALERTA: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TIPO_INVALIDO",IF(AND(ISNUMBER(SEARCH("NOVO",D199)),OR(INDEX(posicao_contratual!$C$2:$C$200,MATCH(A199,posicao_contratual!$A$2:$A$200,0))&lt;&gt;0,F199="",COUNTIFS($A$2:$A$200,A199,$B$2:$B$200,"&lt;"&amp;B199,$L$2:$L$200,"&gt;0")&gt;0)),"ALERTA: NOVO ITEM INVALIDO - use Acrescimo se o item ja existia; novo item exige QTD_BASE_ORIGINAL 0, VU_ORIGINAL e ser o 1o acrescimo do item.",IF(AND(ISNUMBER(SEARCH("NOVO",D199)),OR(N199="",ISERROR(MATCH(N199,{"C0","C1","C2","C3","C4"},0)))),"ALERTA: BASE_VU_OBRIGATORIA",IF(AND(NOT(ISNUMBER(SEARCH("NOVO",D199))),N199&lt;&gt;""),"ALERTA: BASE_VU_NAO_APLICAVEL",IF(AND(UPPER(H199)="SIM",NOT(ISNUMBER(I199))),"ALERTA: BASE_VU_INVALIDA_OU_POSTERIOR_AO_FATOR_ALVO","OK"))))))))))</f>
        <v/>
      </c>
      <c r="N199" s="485"/>
      <c r="O199" s="487" t="str">
        <f>IFERROR(IF((COUNTIFS($A$2:$A$200,$A199,$D$2:$D$200,"*novo*",$N$2:$N$200,"C0")+COUNTIFS($A$2:$A$200,$A199,$D$2:$D$200,"*novo*",$N$2:$N$200,"C1")+COUNTIFS($A$2:$A$200,$A199,$D$2:$D$200,"*novo*",$N$2:$N$200,"C2")+COUNTIFS($A$2:$A$200,$A199,$D$2:$D$200,"*novo*",$N$2:$N$200,"C3")+COUNTIFS($A$2:$A$200,$A199,$D$2:$D$200,"*novo*",$N$2:$N$200,"C4"))=1,IF(COUNTIFS($A$2:$A$200,$A199,$D$2:$D$200,"*novo*",$N$2:$N$200,"C4")&gt;0,4,IF(COUNTIFS($A$2:$A$200,$A199,$D$2:$D$200,"*novo*",$N$2:$N$200,"C3")&gt;0,3,IF(COUNTIFS($A$2:$A$200,$A199,$D$2:$D$200,"*novo*",$N$2:$N$200,"C2")&gt;0,2,IF(COUNTIFS($A$2:$A$200,$A199,$D$2:$D$200,"*novo*",$N$2:$N$200,"C1")&gt;0,1,IF(COUNTIFS($A$2:$A$200,$A199,$D$2:$D$200,"*novo*",$N$2:$N$200,"C0")&gt;0,0,""))))),IF(AND((COUNTIFS($A$2:$A$200,$A199,$D$2:$D$200,"*novo*",$N$2:$N$200,"C0")+COUNTIFS($A$2:$A$200,$A199,$D$2:$D$200,"*novo*",$N$2:$N$200,"C1")+COUNTIFS($A$2:$A$200,$A199,$D$2:$D$200,"*novo*",$N$2:$N$200,"C2")+COUNTIFS($A$2:$A$200,$A199,$D$2:$D$200,"*novo*",$N$2:$N$200,"C3")+COUNTIFS($A$2:$A$200,$A199,$D$2:$D$200,"*novo*",$N$2:$N$200,"C4"))=0,INDEX(posicao_contratual!$Y$2:$Y$200,MATCH($A199,posicao_contratual!$A$2:$A$200,0))=0),0,"")),"")</f>
        <v/>
      </c>
    </row>
    <row r="200" spans="1:15" ht="45" customHeight="1" x14ac:dyDescent="0.35">
      <c r="A200" s="105"/>
      <c r="B200" s="189"/>
      <c r="C200" s="99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05"/>
      <c r="E200" s="106"/>
      <c r="F200" s="107" t="str">
        <f>IF(A200="","",IFERROR(VLOOKUP(A200,itens_Remanesc!$A:$C,3,0),""))</f>
        <v/>
      </c>
      <c r="G200" s="107" t="str">
        <f t="shared" si="18"/>
        <v/>
      </c>
      <c r="H200" s="105"/>
      <c r="I200" s="64" t="str">
        <f>IFERROR(IF(OR($A200="",$C200=""),"",IF(OR(($O200)="",($O200)&gt;(MIN(MATCH($C200,{"C0","C1","C2","C3","C4"},0)-1,COUNT(parametros!$F$2:$F$6)-1)),NOT(ISNUMBER(INDEX(parametros!$F$2:$F$6,(MIN(MATCH($C200,{"C0","C1","C2","C3","C4"},0)-1,COUNT(parametros!$F$2:$F$6)-1))+1))),NOT(ISNUMBER(INDEX(parametros!$F$2:$F$6,($O200)+1)))),"",INDEX(parametros!$F$2:$F$6,(MIN(MATCH($C200,{"C0","C1","C2","C3","C4"},0)-1,COUNT(parametros!$F$2:$F$6)-1))+1)/INDEX(parametros!$F$2:$F$6,($O200)+1))),"")</f>
        <v/>
      </c>
      <c r="J200" s="107" t="str">
        <f t="shared" si="19"/>
        <v/>
      </c>
      <c r="K200" s="105"/>
      <c r="L200" s="85" t="str">
        <f t="shared" si="20"/>
        <v/>
      </c>
      <c r="M200" s="483" t="str">
        <f>IF(A200="","",IF(COUNTIF(itens_Remanesc!$A$2:$A$200,A200)=0,"NOVO ITEM NAO CADASTRADO - CADASTRAR EM itens_Remanesc: ITEM + VU_ORIGINAL (QTD_BASE_ORIGINAL sera 0 automaticamente); depois a data e a quantidade aqui.",IF(COUNTIF(itens_Remanesc!$A$2:$A$200,A200)&gt;1,"ALERTA: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TIPO_INVALIDO",IF(AND(ISNUMBER(SEARCH("NOVO",D200)),OR(INDEX(posicao_contratual!$C$2:$C$200,MATCH(A200,posicao_contratual!$A$2:$A$200,0))&lt;&gt;0,F200="",COUNTIFS($A$2:$A$200,A200,$B$2:$B$200,"&lt;"&amp;B200,$L$2:$L$200,"&gt;0")&gt;0)),"ALERTA: NOVO ITEM INVALIDO - use Acrescimo se o item ja existia; novo item exige QTD_BASE_ORIGINAL 0, VU_ORIGINAL e ser o 1o acrescimo do item.",IF(AND(ISNUMBER(SEARCH("NOVO",D200)),OR(N200="",ISERROR(MATCH(N200,{"C0","C1","C2","C3","C4"},0)))),"ALERTA: BASE_VU_OBRIGATORIA",IF(AND(NOT(ISNUMBER(SEARCH("NOVO",D200))),N200&lt;&gt;""),"ALERTA: BASE_VU_NAO_APLICAVEL",IF(AND(UPPER(H200)="SIM",NOT(ISNUMBER(I200))),"ALERTA: BASE_VU_INVALIDA_OU_POSTERIOR_AO_FATOR_ALVO","OK"))))))))))</f>
        <v/>
      </c>
      <c r="N200" s="485"/>
      <c r="O200" s="487" t="str">
        <f>IFERROR(IF((COUNTIFS($A$2:$A$200,$A200,$D$2:$D$200,"*novo*",$N$2:$N$200,"C0")+COUNTIFS($A$2:$A$200,$A200,$D$2:$D$200,"*novo*",$N$2:$N$200,"C1")+COUNTIFS($A$2:$A$200,$A200,$D$2:$D$200,"*novo*",$N$2:$N$200,"C2")+COUNTIFS($A$2:$A$200,$A200,$D$2:$D$200,"*novo*",$N$2:$N$200,"C3")+COUNTIFS($A$2:$A$200,$A200,$D$2:$D$200,"*novo*",$N$2:$N$200,"C4"))=1,IF(COUNTIFS($A$2:$A$200,$A200,$D$2:$D$200,"*novo*",$N$2:$N$200,"C4")&gt;0,4,IF(COUNTIFS($A$2:$A$200,$A200,$D$2:$D$200,"*novo*",$N$2:$N$200,"C3")&gt;0,3,IF(COUNTIFS($A$2:$A$200,$A200,$D$2:$D$200,"*novo*",$N$2:$N$200,"C2")&gt;0,2,IF(COUNTIFS($A$2:$A$200,$A200,$D$2:$D$200,"*novo*",$N$2:$N$200,"C1")&gt;0,1,IF(COUNTIFS($A$2:$A$200,$A200,$D$2:$D$200,"*novo*",$N$2:$N$200,"C0")&gt;0,0,""))))),IF(AND((COUNTIFS($A$2:$A$200,$A200,$D$2:$D$200,"*novo*",$N$2:$N$200,"C0")+COUNTIFS($A$2:$A$200,$A200,$D$2:$D$200,"*novo*",$N$2:$N$200,"C1")+COUNTIFS($A$2:$A$200,$A200,$D$2:$D$200,"*novo*",$N$2:$N$200,"C2")+COUNTIFS($A$2:$A$200,$A200,$D$2:$D$200,"*novo*",$N$2:$N$200,"C3")+COUNTIFS($A$2:$A$200,$A200,$D$2:$D$200,"*novo*",$N$2:$N$200,"C4"))=0,INDEX(posicao_contratual!$Y$2:$Y$200,MATCH($A200,posicao_contratual!$A$2:$A$200,0))=0),0,"")),"")</f>
        <v/>
      </c>
    </row>
  </sheetData>
  <conditionalFormatting sqref="A2:K200">
    <cfRule type="expression" dxfId="84" priority="7">
      <formula>OR(LEFT(UPPER($D2),6)="SUPRES",LEFT(UPPER($D2),4)="DECR")</formula>
    </cfRule>
    <cfRule type="expression" dxfId="83" priority="7">
      <formula>OR(LEFT(UPPER($D2),6)="SUPRES",LEFT(UPPER($D2),4)="DECR")</formula>
    </cfRule>
  </conditionalFormatting>
  <conditionalFormatting sqref="C2:C200">
    <cfRule type="expression" dxfId="82" priority="15">
      <formula>UPPER($C2)="C0"</formula>
    </cfRule>
    <cfRule type="expression" dxfId="81" priority="15">
      <formula>UPPER($C2)="C1"</formula>
    </cfRule>
    <cfRule type="expression" dxfId="80" priority="15">
      <formula>UPPER($C2)="C2"</formula>
    </cfRule>
    <cfRule type="expression" dxfId="79" priority="15">
      <formula>UPPER($C2)="C3"</formula>
    </cfRule>
    <cfRule type="expression" dxfId="78" priority="15">
      <formula>UPPER($C2)="C4"</formula>
    </cfRule>
  </conditionalFormatting>
  <conditionalFormatting sqref="N2:N200">
    <cfRule type="expression" dxfId="77" priority="17" stopIfTrue="1">
      <formula>AND($A2&lt;&gt;"",ISERROR(SEARCH("NOVO",$D2)))</formula>
    </cfRule>
  </conditionalFormatting>
  <dataValidations count="5">
    <dataValidation type="list" allowBlank="1" sqref="H2:H200 K2:K200" xr:uid="{00000000-0002-0000-0700-000000000000}">
      <formula1>"Sim,Nao"</formula1>
    </dataValidation>
    <dataValidation type="list" allowBlank="1" showInputMessage="1" showErrorMessage="1" promptTitle="ITEM NOVO" prompt="Use &quot;Acréscimo - novo item&quot; somente no aditivo em que o item nasce no contrato, com toda a quantidade inicial._x000a_Novo aumento desse item depois: use apenas &quot;Acrescimo&quot;._x000a_Item já existente: &quot;Acrescimo&quot; ou &quot;Supressao&quot;." sqref="D2:D200" xr:uid="{00000000-0002-0000-0700-000001000000}">
      <formula1>"Acrescimo,Acréscimo - novo item,Supressao"</formula1>
    </dataValidation>
    <dataValidation allowBlank="1" showInputMessage="1" showErrorMessage="1" promptTitle="ITEM DO ADITIVO" prompt="Use o mesmo código de itens_Remanesc._x000a_Item novo: cadastre-o ANTES em itens_Remanesc (ex.: N001, quantidade-base 0, VU de inclusão) e só depois registre aqui o aditivo em que ele nasce." sqref="A2:A200" xr:uid="{6ED77311-B96C-4FD2-9B46-C91AC08F68E4}"/>
    <dataValidation allowBlank="1" showInputMessage="1" showErrorMessage="1" promptTitle="QUANTIDADE DO ADITIVO" prompt="Informe só a VARIAÇÃO deste aditivo (ex.: base 100 + Acrescimo 20 = 120)._x000a_Nascimento: toda a quantidade inicial (N003: 1.851, nunca 3.702)._x000a_Aumento posterior: só o adicional (+200 -&gt; 2.051)." sqref="E2:E200" xr:uid="{976A3289-54B3-4FCE-A49F-C279381AAD0D}"/>
    <dataValidation type="list" allowBlank="1" showInputMessage="1" showErrorMessage="1" errorTitle="Base econômica inválida" error="Escolha C0, C1, C2, C3 ou C4." promptTitle="Base econômica do VU" prompt="Informe o último reajuste já incorporado ao VU. C0 significa nenhum reajuste incorporado." sqref="N2:N200" xr:uid="{17F4211C-5521-4290-8F87-5F7ADED94B89}">
      <formula1>"C0,C1,C2,C3,C4"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4" t="s">
        <v>19</v>
      </c>
      <c r="B1" s="34" t="s">
        <v>153</v>
      </c>
      <c r="C1" s="34" t="s">
        <v>154</v>
      </c>
      <c r="D1" s="34" t="s">
        <v>155</v>
      </c>
      <c r="E1" s="34" t="s">
        <v>156</v>
      </c>
      <c r="F1" s="34" t="s">
        <v>66</v>
      </c>
      <c r="H1" s="218" t="s">
        <v>157</v>
      </c>
      <c r="I1" s="219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1" t="str">
        <f>IF(itens_Remanesc!A2="","",itens_Remanesc!A2)</f>
        <v/>
      </c>
      <c r="B2" s="220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21" t="str">
        <f>IF(A2="","",IF($I$5="","POSICAO DE REFERENCIA INDISPONIVEL",ROUND(IF(itens_Remanesc!B2="",0,itens_Remanesc!B2)+SUMIFS(aditivos!$L$2:$L$200,aditivos!$A$2:$A$200,A2,aditivos!$B$2:$B$200,"&lt;="&amp;$I$5),2)))</f>
        <v/>
      </c>
      <c r="D2" s="221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22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1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23" t="s">
        <v>158</v>
      </c>
      <c r="I2" s="224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1" t="str">
        <f>IF(A2="","",itens_Remanesc!C2)</f>
        <v/>
      </c>
      <c r="L2" s="181" t="str">
        <f>IF(A2="","",IF($I$4="C0",posicao_contratual!G2,IF($I$4="C1",posicao_contratual!K2,IF($I$4="C2",posicao_contratual!O2,IF($I$4="C3",posicao_contratual!S2,IF($I$4="C4",posicao_contratual!W2,""))))))</f>
        <v/>
      </c>
      <c r="M2" s="181" t="str">
        <f ca="1">IF(OR(A2="",$I$5="",$I$6=""),"",ROUND(SUMIFS(aditivos!$L$2:$L$200,aditivos!$A$2:$A$200,A2,aditivos!$B$2:$B$200,"&gt;"&amp;$I$6,aditivos!$B$2:$B$200,"&lt;="&amp;$I$5),2))</f>
        <v/>
      </c>
      <c r="N2" s="181" t="str">
        <f t="shared" ref="N2:N33" si="2">IF(OR(A2="",L2="",D2=""),"",ROUND(MAX(L2+IF(ISNUMBER(M2),M2,0)-D2,0),2))</f>
        <v/>
      </c>
      <c r="O2" s="181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1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1" t="str">
        <f t="shared" ref="Q2:Q33" si="3">IF(OR(A2="",D2="",K2=""),"",ROUND(D2*K2,2))</f>
        <v/>
      </c>
      <c r="R2" s="181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1" t="str">
        <f>IF(itens_Remanesc!A3="","",itens_Remanesc!A3)</f>
        <v/>
      </c>
      <c r="B3" s="220" t="str">
        <f t="shared" ca="1" si="0"/>
        <v/>
      </c>
      <c r="C3" s="221" t="str">
        <f>IF(A3="","",IF($I$5="","POSICAO DE REFERENCIA INDISPONIVEL",ROUND(IF(itens_Remanesc!B3="",0,itens_Remanesc!B3)+SUMIFS(aditivos!$L$2:$L$200,aditivos!$A$2:$A$200,A3,aditivos!$B$2:$B$200,"&lt;="&amp;$I$5),2)))</f>
        <v/>
      </c>
      <c r="D3" s="221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22" t="str">
        <f t="shared" si="1"/>
        <v/>
      </c>
      <c r="F3" s="81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23" t="s">
        <v>159</v>
      </c>
      <c r="I3" s="224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1" t="str">
        <f>IF(A3="","",itens_Remanesc!C3)</f>
        <v/>
      </c>
      <c r="L3" s="181" t="str">
        <f>IF(A3="","",IF($I$4="C0",posicao_contratual!G3,IF($I$4="C1",posicao_contratual!K3,IF($I$4="C2",posicao_contratual!O3,IF($I$4="C3",posicao_contratual!S3,IF($I$4="C4",posicao_contratual!W3,""))))))</f>
        <v/>
      </c>
      <c r="M3" s="181" t="str">
        <f ca="1">IF(OR(A3="",$I$5="",$I$6=""),"",ROUND(SUMIFS(aditivos!$L$2:$L$200,aditivos!$A$2:$A$200,A3,aditivos!$B$2:$B$200,"&gt;"&amp;$I$6,aditivos!$B$2:$B$200,"&lt;="&amp;$I$5),2))</f>
        <v/>
      </c>
      <c r="N3" s="181" t="str">
        <f t="shared" si="2"/>
        <v/>
      </c>
      <c r="O3" s="181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1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1" t="str">
        <f t="shared" si="3"/>
        <v/>
      </c>
      <c r="R3" s="181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1" t="str">
        <f>IF(itens_Remanesc!A4="","",itens_Remanesc!A4)</f>
        <v/>
      </c>
      <c r="B4" s="220" t="str">
        <f t="shared" ca="1" si="0"/>
        <v/>
      </c>
      <c r="C4" s="221" t="str">
        <f>IF(A4="","",IF($I$5="","POSICAO DE REFERENCIA INDISPONIVEL",ROUND(IF(itens_Remanesc!B4="",0,itens_Remanesc!B4)+SUMIFS(aditivos!$L$2:$L$200,aditivos!$A$2:$A$200,A4,aditivos!$B$2:$B$200,"&lt;="&amp;$I$5),2)))</f>
        <v/>
      </c>
      <c r="D4" s="221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22" t="str">
        <f t="shared" si="1"/>
        <v/>
      </c>
      <c r="F4" s="81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23" t="s">
        <v>160</v>
      </c>
      <c r="I4" s="224" t="str">
        <f ca="1">IF($I$2,$I$1,$I$3)</f>
        <v/>
      </c>
      <c r="K4" s="181" t="str">
        <f>IF(A4="","",itens_Remanesc!C4)</f>
        <v/>
      </c>
      <c r="L4" s="181" t="str">
        <f>IF(A4="","",IF($I$4="C0",posicao_contratual!G4,IF($I$4="C1",posicao_contratual!K4,IF($I$4="C2",posicao_contratual!O4,IF($I$4="C3",posicao_contratual!S4,IF($I$4="C4",posicao_contratual!W4,""))))))</f>
        <v/>
      </c>
      <c r="M4" s="181" t="str">
        <f ca="1">IF(OR(A4="",$I$5="",$I$6=""),"",ROUND(SUMIFS(aditivos!$L$2:$L$200,aditivos!$A$2:$A$200,A4,aditivos!$B$2:$B$200,"&gt;"&amp;$I$6,aditivos!$B$2:$B$200,"&lt;="&amp;$I$5),2))</f>
        <v/>
      </c>
      <c r="N4" s="181" t="str">
        <f t="shared" si="2"/>
        <v/>
      </c>
      <c r="O4" s="181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1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1" t="str">
        <f t="shared" si="3"/>
        <v/>
      </c>
      <c r="R4" s="181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1" t="str">
        <f>IF(itens_Remanesc!A5="","",itens_Remanesc!A5)</f>
        <v/>
      </c>
      <c r="B5" s="220" t="str">
        <f t="shared" ca="1" si="0"/>
        <v/>
      </c>
      <c r="C5" s="221" t="str">
        <f>IF(A5="","",IF($I$5="","POSICAO DE REFERENCIA INDISPONIVEL",ROUND(IF(itens_Remanesc!B5="",0,itens_Remanesc!B5)+SUMIFS(aditivos!$L$2:$L$200,aditivos!$A$2:$A$200,A5,aditivos!$B$2:$B$200,"&lt;="&amp;$I$5),2)))</f>
        <v/>
      </c>
      <c r="D5" s="221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22" t="str">
        <f t="shared" si="1"/>
        <v/>
      </c>
      <c r="F5" s="81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23" t="s">
        <v>161</v>
      </c>
      <c r="I5" s="225" t="str">
        <f ca="1">IF($I$4="","",IF($I$2,$I$9,$I$6))</f>
        <v/>
      </c>
      <c r="K5" s="181" t="str">
        <f>IF(A5="","",itens_Remanesc!C5)</f>
        <v/>
      </c>
      <c r="L5" s="181" t="str">
        <f>IF(A5="","",IF($I$4="C0",posicao_contratual!G5,IF($I$4="C1",posicao_contratual!K5,IF($I$4="C2",posicao_contratual!O5,IF($I$4="C3",posicao_contratual!S5,IF($I$4="C4",posicao_contratual!W5,""))))))</f>
        <v/>
      </c>
      <c r="M5" s="181" t="str">
        <f ca="1">IF(OR(A5="",$I$5="",$I$6=""),"",ROUND(SUMIFS(aditivos!$L$2:$L$200,aditivos!$A$2:$A$200,A5,aditivos!$B$2:$B$200,"&gt;"&amp;$I$6,aditivos!$B$2:$B$200,"&lt;="&amp;$I$5),2))</f>
        <v/>
      </c>
      <c r="N5" s="181" t="str">
        <f t="shared" si="2"/>
        <v/>
      </c>
      <c r="O5" s="181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1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1" t="str">
        <f t="shared" si="3"/>
        <v/>
      </c>
      <c r="R5" s="181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1" t="str">
        <f>IF(itens_Remanesc!A6="","",itens_Remanesc!A6)</f>
        <v/>
      </c>
      <c r="B6" s="220" t="str">
        <f t="shared" ca="1" si="0"/>
        <v/>
      </c>
      <c r="C6" s="221" t="str">
        <f>IF(A6="","",IF($I$5="","POSICAO DE REFERENCIA INDISPONIVEL",ROUND(IF(itens_Remanesc!B6="",0,itens_Remanesc!B6)+SUMIFS(aditivos!$L$2:$L$200,aditivos!$A$2:$A$200,A6,aditivos!$B$2:$B$200,"&lt;="&amp;$I$5),2)))</f>
        <v/>
      </c>
      <c r="D6" s="221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22" t="str">
        <f t="shared" si="1"/>
        <v/>
      </c>
      <c r="F6" s="81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23" t="s">
        <v>162</v>
      </c>
      <c r="I6" s="225" t="str">
        <f ca="1">IF($I$4="C0",parametros!$I$2,IF($I$4="C1",parametros!$I$3,IF($I$4="C2",parametros!$I$4,IF($I$4="C3",parametros!$I$5,IF($I$4="C4",parametros!$I$6,"")))))</f>
        <v/>
      </c>
      <c r="K6" s="181" t="str">
        <f>IF(A6="","",itens_Remanesc!C6)</f>
        <v/>
      </c>
      <c r="L6" s="181" t="str">
        <f>IF(A6="","",IF($I$4="C0",posicao_contratual!G6,IF($I$4="C1",posicao_contratual!K6,IF($I$4="C2",posicao_contratual!O6,IF($I$4="C3",posicao_contratual!S6,IF($I$4="C4",posicao_contratual!W6,""))))))</f>
        <v/>
      </c>
      <c r="M6" s="181" t="str">
        <f ca="1">IF(OR(A6="",$I$5="",$I$6=""),"",ROUND(SUMIFS(aditivos!$L$2:$L$200,aditivos!$A$2:$A$200,A6,aditivos!$B$2:$B$200,"&gt;"&amp;$I$6,aditivos!$B$2:$B$200,"&lt;="&amp;$I$5),2))</f>
        <v/>
      </c>
      <c r="N6" s="181" t="str">
        <f t="shared" si="2"/>
        <v/>
      </c>
      <c r="O6" s="181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1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1" t="str">
        <f t="shared" si="3"/>
        <v/>
      </c>
      <c r="R6" s="181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1" t="str">
        <f>IF(itens_Remanesc!A7="","",itens_Remanesc!A7)</f>
        <v/>
      </c>
      <c r="B7" s="220" t="str">
        <f t="shared" ca="1" si="0"/>
        <v/>
      </c>
      <c r="C7" s="221" t="str">
        <f>IF(A7="","",IF($I$5="","POSICAO DE REFERENCIA INDISPONIVEL",ROUND(IF(itens_Remanesc!B7="",0,itens_Remanesc!B7)+SUMIFS(aditivos!$L$2:$L$200,aditivos!$A$2:$A$200,A7,aditivos!$B$2:$B$200,"&lt;="&amp;$I$5),2)))</f>
        <v/>
      </c>
      <c r="D7" s="221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22" t="str">
        <f t="shared" si="1"/>
        <v/>
      </c>
      <c r="F7" s="81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23" t="s">
        <v>163</v>
      </c>
      <c r="I7" s="226" t="str">
        <f ca="1">IF($I$4="C0",parametros!$F$2,IF($I$4="C1",parametros!$F$3,IF($I$4="C2",parametros!$F$4,IF($I$4="C3",parametros!$F$5,IF($I$4="C4",parametros!$F$6,"")))))</f>
        <v/>
      </c>
      <c r="K7" s="181" t="str">
        <f>IF(A7="","",itens_Remanesc!C7)</f>
        <v/>
      </c>
      <c r="L7" s="181" t="str">
        <f>IF(A7="","",IF($I$4="C0",posicao_contratual!G7,IF($I$4="C1",posicao_contratual!K7,IF($I$4="C2",posicao_contratual!O7,IF($I$4="C3",posicao_contratual!S7,IF($I$4="C4",posicao_contratual!W7,""))))))</f>
        <v/>
      </c>
      <c r="M7" s="181" t="str">
        <f ca="1">IF(OR(A7="",$I$5="",$I$6=""),"",ROUND(SUMIFS(aditivos!$L$2:$L$200,aditivos!$A$2:$A$200,A7,aditivos!$B$2:$B$200,"&gt;"&amp;$I$6,aditivos!$B$2:$B$200,"&lt;="&amp;$I$5),2))</f>
        <v/>
      </c>
      <c r="N7" s="181" t="str">
        <f t="shared" si="2"/>
        <v/>
      </c>
      <c r="O7" s="181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1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1" t="str">
        <f t="shared" si="3"/>
        <v/>
      </c>
      <c r="R7" s="181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1" t="str">
        <f>IF(itens_Remanesc!A8="","",itens_Remanesc!A8)</f>
        <v/>
      </c>
      <c r="B8" s="220" t="str">
        <f t="shared" ca="1" si="0"/>
        <v/>
      </c>
      <c r="C8" s="221" t="str">
        <f>IF(A8="","",IF($I$5="","POSICAO DE REFERENCIA INDISPONIVEL",ROUND(IF(itens_Remanesc!B8="",0,itens_Remanesc!B8)+SUMIFS(aditivos!$L$2:$L$200,aditivos!$A$2:$A$200,A8,aditivos!$B$2:$B$200,"&lt;="&amp;$I$5),2)))</f>
        <v/>
      </c>
      <c r="D8" s="221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22" t="str">
        <f t="shared" si="1"/>
        <v/>
      </c>
      <c r="F8" s="81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23" t="s">
        <v>164</v>
      </c>
      <c r="I8" s="224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1" t="str">
        <f>IF(A8="","",itens_Remanesc!C8)</f>
        <v/>
      </c>
      <c r="L8" s="181" t="str">
        <f>IF(A8="","",IF($I$4="C0",posicao_contratual!G8,IF($I$4="C1",posicao_contratual!K8,IF($I$4="C2",posicao_contratual!O8,IF($I$4="C3",posicao_contratual!S8,IF($I$4="C4",posicao_contratual!W8,""))))))</f>
        <v/>
      </c>
      <c r="M8" s="181" t="str">
        <f ca="1">IF(OR(A8="",$I$5="",$I$6=""),"",ROUND(SUMIFS(aditivos!$L$2:$L$200,aditivos!$A$2:$A$200,A8,aditivos!$B$2:$B$200,"&gt;"&amp;$I$6,aditivos!$B$2:$B$200,"&lt;="&amp;$I$5),2))</f>
        <v/>
      </c>
      <c r="N8" s="181" t="str">
        <f t="shared" si="2"/>
        <v/>
      </c>
      <c r="O8" s="181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1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1" t="str">
        <f t="shared" si="3"/>
        <v/>
      </c>
      <c r="R8" s="181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1" t="str">
        <f>IF(itens_Remanesc!A9="","",itens_Remanesc!A9)</f>
        <v/>
      </c>
      <c r="B9" s="220" t="str">
        <f t="shared" ca="1" si="0"/>
        <v/>
      </c>
      <c r="C9" s="221" t="str">
        <f>IF(A9="","",IF($I$5="","POSICAO DE REFERENCIA INDISPONIVEL",ROUND(IF(itens_Remanesc!B9="",0,itens_Remanesc!B9)+SUMIFS(aditivos!$L$2:$L$200,aditivos!$A$2:$A$200,A9,aditivos!$B$2:$B$200,"&lt;="&amp;$I$5),2)))</f>
        <v/>
      </c>
      <c r="D9" s="221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22" t="str">
        <f t="shared" si="1"/>
        <v/>
      </c>
      <c r="F9" s="81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23" t="s">
        <v>165</v>
      </c>
      <c r="I9" s="225" t="str">
        <f ca="1">IFERROR(IF(INDIRECT("CICLO_EM_EXECUCAO!$D$5")="","",INDIRECT("CICLO_EM_EXECUCAO!$D$5")),"")</f>
        <v/>
      </c>
      <c r="K9" s="181" t="str">
        <f>IF(A9="","",itens_Remanesc!C9)</f>
        <v/>
      </c>
      <c r="L9" s="181" t="str">
        <f>IF(A9="","",IF($I$4="C0",posicao_contratual!G9,IF($I$4="C1",posicao_contratual!K9,IF($I$4="C2",posicao_contratual!O9,IF($I$4="C3",posicao_contratual!S9,IF($I$4="C4",posicao_contratual!W9,""))))))</f>
        <v/>
      </c>
      <c r="M9" s="181" t="str">
        <f ca="1">IF(OR(A9="",$I$5="",$I$6=""),"",ROUND(SUMIFS(aditivos!$L$2:$L$200,aditivos!$A$2:$A$200,A9,aditivos!$B$2:$B$200,"&gt;"&amp;$I$6,aditivos!$B$2:$B$200,"&lt;="&amp;$I$5),2))</f>
        <v/>
      </c>
      <c r="N9" s="181" t="str">
        <f t="shared" si="2"/>
        <v/>
      </c>
      <c r="O9" s="181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1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1" t="str">
        <f t="shared" si="3"/>
        <v/>
      </c>
      <c r="R9" s="181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1" t="str">
        <f>IF(itens_Remanesc!A10="","",itens_Remanesc!A10)</f>
        <v/>
      </c>
      <c r="B10" s="220" t="str">
        <f t="shared" ca="1" si="0"/>
        <v/>
      </c>
      <c r="C10" s="221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21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22" t="str">
        <f t="shared" si="1"/>
        <v/>
      </c>
      <c r="F10" s="81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23" t="s">
        <v>166</v>
      </c>
      <c r="I10" s="224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1" t="str">
        <f>IF(A10="","",itens_Remanesc!C10)</f>
        <v/>
      </c>
      <c r="L10" s="181" t="str">
        <f>IF(A10="","",IF($I$4="C0",posicao_contratual!G10,IF($I$4="C1",posicao_contratual!K10,IF($I$4="C2",posicao_contratual!O10,IF($I$4="C3",posicao_contratual!S10,IF($I$4="C4",posicao_contratual!W10,""))))))</f>
        <v/>
      </c>
      <c r="M10" s="181" t="str">
        <f ca="1">IF(OR(A10="",$I$5="",$I$6=""),"",ROUND(SUMIFS(aditivos!$L$2:$L$200,aditivos!$A$2:$A$200,A10,aditivos!$B$2:$B$200,"&gt;"&amp;$I$6,aditivos!$B$2:$B$200,"&lt;="&amp;$I$5),2))</f>
        <v/>
      </c>
      <c r="N10" s="181" t="str">
        <f t="shared" si="2"/>
        <v/>
      </c>
      <c r="O10" s="181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1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1" t="str">
        <f t="shared" si="3"/>
        <v/>
      </c>
      <c r="R10" s="181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1" t="str">
        <f>IF(itens_Remanesc!A11="","",itens_Remanesc!A11)</f>
        <v/>
      </c>
      <c r="B11" s="220" t="str">
        <f t="shared" ca="1" si="0"/>
        <v/>
      </c>
      <c r="C11" s="221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21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22" t="str">
        <f t="shared" si="1"/>
        <v/>
      </c>
      <c r="F11" s="81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27" t="s">
        <v>167</v>
      </c>
      <c r="I11" s="228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1" t="str">
        <f>IF(A11="","",itens_Remanesc!C11)</f>
        <v/>
      </c>
      <c r="L11" s="181" t="str">
        <f>IF(A11="","",IF($I$4="C0",posicao_contratual!G11,IF($I$4="C1",posicao_contratual!K11,IF($I$4="C2",posicao_contratual!O11,IF($I$4="C3",posicao_contratual!S11,IF($I$4="C4",posicao_contratual!W11,""))))))</f>
        <v/>
      </c>
      <c r="M11" s="181" t="str">
        <f ca="1">IF(OR(A11="",$I$5="",$I$6=""),"",ROUND(SUMIFS(aditivos!$L$2:$L$200,aditivos!$A$2:$A$200,A11,aditivos!$B$2:$B$200,"&gt;"&amp;$I$6,aditivos!$B$2:$B$200,"&lt;="&amp;$I$5),2))</f>
        <v/>
      </c>
      <c r="N11" s="181" t="str">
        <f t="shared" si="2"/>
        <v/>
      </c>
      <c r="O11" s="181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1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1" t="str">
        <f t="shared" si="3"/>
        <v/>
      </c>
      <c r="R11" s="181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1" t="str">
        <f>IF(itens_Remanesc!A12="","",itens_Remanesc!A12)</f>
        <v/>
      </c>
      <c r="B12" s="220" t="str">
        <f t="shared" ca="1" si="0"/>
        <v/>
      </c>
      <c r="C12" s="221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21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22" t="str">
        <f t="shared" si="1"/>
        <v/>
      </c>
      <c r="F12" s="81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29"/>
      <c r="K12" s="181" t="str">
        <f>IF(A12="","",itens_Remanesc!C12)</f>
        <v/>
      </c>
      <c r="L12" s="181" t="str">
        <f>IF(A12="","",IF($I$4="C0",posicao_contratual!G12,IF($I$4="C1",posicao_contratual!K12,IF($I$4="C2",posicao_contratual!O12,IF($I$4="C3",posicao_contratual!S12,IF($I$4="C4",posicao_contratual!W12,""))))))</f>
        <v/>
      </c>
      <c r="M12" s="181" t="str">
        <f ca="1">IF(OR(A12="",$I$5="",$I$6=""),"",ROUND(SUMIFS(aditivos!$L$2:$L$200,aditivos!$A$2:$A$200,A12,aditivos!$B$2:$B$200,"&gt;"&amp;$I$6,aditivos!$B$2:$B$200,"&lt;="&amp;$I$5),2))</f>
        <v/>
      </c>
      <c r="N12" s="181" t="str">
        <f t="shared" si="2"/>
        <v/>
      </c>
      <c r="O12" s="181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1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1" t="str">
        <f t="shared" si="3"/>
        <v/>
      </c>
      <c r="R12" s="181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1" t="str">
        <f>IF(itens_Remanesc!A13="","",itens_Remanesc!A13)</f>
        <v/>
      </c>
      <c r="B13" s="220" t="str">
        <f t="shared" ca="1" si="0"/>
        <v/>
      </c>
      <c r="C13" s="221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21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22" t="str">
        <f t="shared" si="1"/>
        <v/>
      </c>
      <c r="F13" s="81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29"/>
      <c r="K13" s="181" t="str">
        <f>IF(A13="","",itens_Remanesc!C13)</f>
        <v/>
      </c>
      <c r="L13" s="181" t="str">
        <f>IF(A13="","",IF($I$4="C0",posicao_contratual!G13,IF($I$4="C1",posicao_contratual!K13,IF($I$4="C2",posicao_contratual!O13,IF($I$4="C3",posicao_contratual!S13,IF($I$4="C4",posicao_contratual!W13,""))))))</f>
        <v/>
      </c>
      <c r="M13" s="181" t="str">
        <f ca="1">IF(OR(A13="",$I$5="",$I$6=""),"",ROUND(SUMIFS(aditivos!$L$2:$L$200,aditivos!$A$2:$A$200,A13,aditivos!$B$2:$B$200,"&gt;"&amp;$I$6,aditivos!$B$2:$B$200,"&lt;="&amp;$I$5),2))</f>
        <v/>
      </c>
      <c r="N13" s="181" t="str">
        <f t="shared" si="2"/>
        <v/>
      </c>
      <c r="O13" s="181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1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1" t="str">
        <f t="shared" si="3"/>
        <v/>
      </c>
      <c r="R13" s="181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1" t="str">
        <f>IF(itens_Remanesc!A14="","",itens_Remanesc!A14)</f>
        <v/>
      </c>
      <c r="B14" s="220" t="str">
        <f t="shared" ca="1" si="0"/>
        <v/>
      </c>
      <c r="C14" s="221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21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22" t="str">
        <f t="shared" si="1"/>
        <v/>
      </c>
      <c r="F14" s="81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29"/>
      <c r="K14" s="181" t="str">
        <f>IF(A14="","",itens_Remanesc!C14)</f>
        <v/>
      </c>
      <c r="L14" s="181" t="str">
        <f>IF(A14="","",IF($I$4="C0",posicao_contratual!G14,IF($I$4="C1",posicao_contratual!K14,IF($I$4="C2",posicao_contratual!O14,IF($I$4="C3",posicao_contratual!S14,IF($I$4="C4",posicao_contratual!W14,""))))))</f>
        <v/>
      </c>
      <c r="M14" s="181" t="str">
        <f ca="1">IF(OR(A14="",$I$5="",$I$6=""),"",ROUND(SUMIFS(aditivos!$L$2:$L$200,aditivos!$A$2:$A$200,A14,aditivos!$B$2:$B$200,"&gt;"&amp;$I$6,aditivos!$B$2:$B$200,"&lt;="&amp;$I$5),2))</f>
        <v/>
      </c>
      <c r="N14" s="181" t="str">
        <f t="shared" si="2"/>
        <v/>
      </c>
      <c r="O14" s="181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1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1" t="str">
        <f t="shared" si="3"/>
        <v/>
      </c>
      <c r="R14" s="181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1" t="str">
        <f>IF(itens_Remanesc!A15="","",itens_Remanesc!A15)</f>
        <v/>
      </c>
      <c r="B15" s="220" t="str">
        <f t="shared" ca="1" si="0"/>
        <v/>
      </c>
      <c r="C15" s="221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21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22" t="str">
        <f t="shared" si="1"/>
        <v/>
      </c>
      <c r="F15" s="81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29"/>
      <c r="K15" s="181" t="str">
        <f>IF(A15="","",itens_Remanesc!C15)</f>
        <v/>
      </c>
      <c r="L15" s="181" t="str">
        <f>IF(A15="","",IF($I$4="C0",posicao_contratual!G15,IF($I$4="C1",posicao_contratual!K15,IF($I$4="C2",posicao_contratual!O15,IF($I$4="C3",posicao_contratual!S15,IF($I$4="C4",posicao_contratual!W15,""))))))</f>
        <v/>
      </c>
      <c r="M15" s="181" t="str">
        <f ca="1">IF(OR(A15="",$I$5="",$I$6=""),"",ROUND(SUMIFS(aditivos!$L$2:$L$200,aditivos!$A$2:$A$200,A15,aditivos!$B$2:$B$200,"&gt;"&amp;$I$6,aditivos!$B$2:$B$200,"&lt;="&amp;$I$5),2))</f>
        <v/>
      </c>
      <c r="N15" s="181" t="str">
        <f t="shared" si="2"/>
        <v/>
      </c>
      <c r="O15" s="181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1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1" t="str">
        <f t="shared" si="3"/>
        <v/>
      </c>
      <c r="R15" s="181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1" t="str">
        <f>IF(itens_Remanesc!A16="","",itens_Remanesc!A16)</f>
        <v/>
      </c>
      <c r="B16" s="220" t="str">
        <f t="shared" ca="1" si="0"/>
        <v/>
      </c>
      <c r="C16" s="221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21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22" t="str">
        <f t="shared" si="1"/>
        <v/>
      </c>
      <c r="F16" s="81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29"/>
      <c r="K16" s="181" t="str">
        <f>IF(A16="","",itens_Remanesc!C16)</f>
        <v/>
      </c>
      <c r="L16" s="181" t="str">
        <f>IF(A16="","",IF($I$4="C0",posicao_contratual!G16,IF($I$4="C1",posicao_contratual!K16,IF($I$4="C2",posicao_contratual!O16,IF($I$4="C3",posicao_contratual!S16,IF($I$4="C4",posicao_contratual!W16,""))))))</f>
        <v/>
      </c>
      <c r="M16" s="181" t="str">
        <f ca="1">IF(OR(A16="",$I$5="",$I$6=""),"",ROUND(SUMIFS(aditivos!$L$2:$L$200,aditivos!$A$2:$A$200,A16,aditivos!$B$2:$B$200,"&gt;"&amp;$I$6,aditivos!$B$2:$B$200,"&lt;="&amp;$I$5),2))</f>
        <v/>
      </c>
      <c r="N16" s="181" t="str">
        <f t="shared" si="2"/>
        <v/>
      </c>
      <c r="O16" s="181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1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1" t="str">
        <f t="shared" si="3"/>
        <v/>
      </c>
      <c r="R16" s="181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1" t="str">
        <f>IF(itens_Remanesc!A17="","",itens_Remanesc!A17)</f>
        <v/>
      </c>
      <c r="B17" s="220" t="str">
        <f t="shared" ca="1" si="0"/>
        <v/>
      </c>
      <c r="C17" s="221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21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22" t="str">
        <f t="shared" si="1"/>
        <v/>
      </c>
      <c r="F17" s="81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29"/>
      <c r="K17" s="181" t="str">
        <f>IF(A17="","",itens_Remanesc!C17)</f>
        <v/>
      </c>
      <c r="L17" s="181" t="str">
        <f>IF(A17="","",IF($I$4="C0",posicao_contratual!G17,IF($I$4="C1",posicao_contratual!K17,IF($I$4="C2",posicao_contratual!O17,IF($I$4="C3",posicao_contratual!S17,IF($I$4="C4",posicao_contratual!W17,""))))))</f>
        <v/>
      </c>
      <c r="M17" s="181" t="str">
        <f ca="1">IF(OR(A17="",$I$5="",$I$6=""),"",ROUND(SUMIFS(aditivos!$L$2:$L$200,aditivos!$A$2:$A$200,A17,aditivos!$B$2:$B$200,"&gt;"&amp;$I$6,aditivos!$B$2:$B$200,"&lt;="&amp;$I$5),2))</f>
        <v/>
      </c>
      <c r="N17" s="181" t="str">
        <f t="shared" si="2"/>
        <v/>
      </c>
      <c r="O17" s="181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1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1" t="str">
        <f t="shared" si="3"/>
        <v/>
      </c>
      <c r="R17" s="181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1" t="str">
        <f>IF(itens_Remanesc!A18="","",itens_Remanesc!A18)</f>
        <v/>
      </c>
      <c r="B18" s="220" t="str">
        <f t="shared" ca="1" si="0"/>
        <v/>
      </c>
      <c r="C18" s="221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21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22" t="str">
        <f t="shared" si="1"/>
        <v/>
      </c>
      <c r="F18" s="81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29"/>
      <c r="K18" s="181" t="str">
        <f>IF(A18="","",itens_Remanesc!C18)</f>
        <v/>
      </c>
      <c r="L18" s="181" t="str">
        <f>IF(A18="","",IF($I$4="C0",posicao_contratual!G18,IF($I$4="C1",posicao_contratual!K18,IF($I$4="C2",posicao_contratual!O18,IF($I$4="C3",posicao_contratual!S18,IF($I$4="C4",posicao_contratual!W18,""))))))</f>
        <v/>
      </c>
      <c r="M18" s="181" t="str">
        <f ca="1">IF(OR(A18="",$I$5="",$I$6=""),"",ROUND(SUMIFS(aditivos!$L$2:$L$200,aditivos!$A$2:$A$200,A18,aditivos!$B$2:$B$200,"&gt;"&amp;$I$6,aditivos!$B$2:$B$200,"&lt;="&amp;$I$5),2))</f>
        <v/>
      </c>
      <c r="N18" s="181" t="str">
        <f t="shared" si="2"/>
        <v/>
      </c>
      <c r="O18" s="181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1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1" t="str">
        <f t="shared" si="3"/>
        <v/>
      </c>
      <c r="R18" s="181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1" t="str">
        <f>IF(itens_Remanesc!A19="","",itens_Remanesc!A19)</f>
        <v/>
      </c>
      <c r="B19" s="220" t="str">
        <f t="shared" ca="1" si="0"/>
        <v/>
      </c>
      <c r="C19" s="221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21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22" t="str">
        <f t="shared" si="1"/>
        <v/>
      </c>
      <c r="F19" s="81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29"/>
      <c r="K19" s="181" t="str">
        <f>IF(A19="","",itens_Remanesc!C19)</f>
        <v/>
      </c>
      <c r="L19" s="181" t="str">
        <f>IF(A19="","",IF($I$4="C0",posicao_contratual!G19,IF($I$4="C1",posicao_contratual!K19,IF($I$4="C2",posicao_contratual!O19,IF($I$4="C3",posicao_contratual!S19,IF($I$4="C4",posicao_contratual!W19,""))))))</f>
        <v/>
      </c>
      <c r="M19" s="181" t="str">
        <f ca="1">IF(OR(A19="",$I$5="",$I$6=""),"",ROUND(SUMIFS(aditivos!$L$2:$L$200,aditivos!$A$2:$A$200,A19,aditivos!$B$2:$B$200,"&gt;"&amp;$I$6,aditivos!$B$2:$B$200,"&lt;="&amp;$I$5),2))</f>
        <v/>
      </c>
      <c r="N19" s="181" t="str">
        <f t="shared" si="2"/>
        <v/>
      </c>
      <c r="O19" s="181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1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1" t="str">
        <f t="shared" si="3"/>
        <v/>
      </c>
      <c r="R19" s="181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1" t="str">
        <f>IF(itens_Remanesc!A20="","",itens_Remanesc!A20)</f>
        <v/>
      </c>
      <c r="B20" s="220" t="str">
        <f t="shared" ca="1" si="0"/>
        <v/>
      </c>
      <c r="C20" s="221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21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22" t="str">
        <f t="shared" si="1"/>
        <v/>
      </c>
      <c r="F20" s="81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29"/>
      <c r="K20" s="181" t="str">
        <f>IF(A20="","",itens_Remanesc!C20)</f>
        <v/>
      </c>
      <c r="L20" s="181" t="str">
        <f>IF(A20="","",IF($I$4="C0",posicao_contratual!G20,IF($I$4="C1",posicao_contratual!K20,IF($I$4="C2",posicao_contratual!O20,IF($I$4="C3",posicao_contratual!S20,IF($I$4="C4",posicao_contratual!W20,""))))))</f>
        <v/>
      </c>
      <c r="M20" s="181" t="str">
        <f ca="1">IF(OR(A20="",$I$5="",$I$6=""),"",ROUND(SUMIFS(aditivos!$L$2:$L$200,aditivos!$A$2:$A$200,A20,aditivos!$B$2:$B$200,"&gt;"&amp;$I$6,aditivos!$B$2:$B$200,"&lt;="&amp;$I$5),2))</f>
        <v/>
      </c>
      <c r="N20" s="181" t="str">
        <f t="shared" si="2"/>
        <v/>
      </c>
      <c r="O20" s="181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1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1" t="str">
        <f t="shared" si="3"/>
        <v/>
      </c>
      <c r="R20" s="181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1" t="str">
        <f>IF(itens_Remanesc!A21="","",itens_Remanesc!A21)</f>
        <v/>
      </c>
      <c r="B21" s="220" t="str">
        <f t="shared" ca="1" si="0"/>
        <v/>
      </c>
      <c r="C21" s="221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21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22" t="str">
        <f t="shared" si="1"/>
        <v/>
      </c>
      <c r="F21" s="81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29"/>
      <c r="K21" s="181" t="str">
        <f>IF(A21="","",itens_Remanesc!C21)</f>
        <v/>
      </c>
      <c r="L21" s="181" t="str">
        <f>IF(A21="","",IF($I$4="C0",posicao_contratual!G21,IF($I$4="C1",posicao_contratual!K21,IF($I$4="C2",posicao_contratual!O21,IF($I$4="C3",posicao_contratual!S21,IF($I$4="C4",posicao_contratual!W21,""))))))</f>
        <v/>
      </c>
      <c r="M21" s="181" t="str">
        <f ca="1">IF(OR(A21="",$I$5="",$I$6=""),"",ROUND(SUMIFS(aditivos!$L$2:$L$200,aditivos!$A$2:$A$200,A21,aditivos!$B$2:$B$200,"&gt;"&amp;$I$6,aditivos!$B$2:$B$200,"&lt;="&amp;$I$5),2))</f>
        <v/>
      </c>
      <c r="N21" s="181" t="str">
        <f t="shared" si="2"/>
        <v/>
      </c>
      <c r="O21" s="181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1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1" t="str">
        <f t="shared" si="3"/>
        <v/>
      </c>
      <c r="R21" s="181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1" t="str">
        <f>IF(itens_Remanesc!A22="","",itens_Remanesc!A22)</f>
        <v/>
      </c>
      <c r="B22" s="220" t="str">
        <f t="shared" ca="1" si="0"/>
        <v/>
      </c>
      <c r="C22" s="221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21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22" t="str">
        <f t="shared" si="1"/>
        <v/>
      </c>
      <c r="F22" s="81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29"/>
      <c r="K22" s="181" t="str">
        <f>IF(A22="","",itens_Remanesc!C22)</f>
        <v/>
      </c>
      <c r="L22" s="181" t="str">
        <f>IF(A22="","",IF($I$4="C0",posicao_contratual!G22,IF($I$4="C1",posicao_contratual!K22,IF($I$4="C2",posicao_contratual!O22,IF($I$4="C3",posicao_contratual!S22,IF($I$4="C4",posicao_contratual!W22,""))))))</f>
        <v/>
      </c>
      <c r="M22" s="181" t="str">
        <f ca="1">IF(OR(A22="",$I$5="",$I$6=""),"",ROUND(SUMIFS(aditivos!$L$2:$L$200,aditivos!$A$2:$A$200,A22,aditivos!$B$2:$B$200,"&gt;"&amp;$I$6,aditivos!$B$2:$B$200,"&lt;="&amp;$I$5),2))</f>
        <v/>
      </c>
      <c r="N22" s="181" t="str">
        <f t="shared" si="2"/>
        <v/>
      </c>
      <c r="O22" s="181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1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1" t="str">
        <f t="shared" si="3"/>
        <v/>
      </c>
      <c r="R22" s="181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1" t="str">
        <f>IF(itens_Remanesc!A23="","",itens_Remanesc!A23)</f>
        <v/>
      </c>
      <c r="B23" s="220" t="str">
        <f t="shared" ca="1" si="0"/>
        <v/>
      </c>
      <c r="C23" s="221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21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22" t="str">
        <f t="shared" si="1"/>
        <v/>
      </c>
      <c r="F23" s="81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29"/>
      <c r="K23" s="181" t="str">
        <f>IF(A23="","",itens_Remanesc!C23)</f>
        <v/>
      </c>
      <c r="L23" s="181" t="str">
        <f>IF(A23="","",IF($I$4="C0",posicao_contratual!G23,IF($I$4="C1",posicao_contratual!K23,IF($I$4="C2",posicao_contratual!O23,IF($I$4="C3",posicao_contratual!S23,IF($I$4="C4",posicao_contratual!W23,""))))))</f>
        <v/>
      </c>
      <c r="M23" s="181" t="str">
        <f ca="1">IF(OR(A23="",$I$5="",$I$6=""),"",ROUND(SUMIFS(aditivos!$L$2:$L$200,aditivos!$A$2:$A$200,A23,aditivos!$B$2:$B$200,"&gt;"&amp;$I$6,aditivos!$B$2:$B$200,"&lt;="&amp;$I$5),2))</f>
        <v/>
      </c>
      <c r="N23" s="181" t="str">
        <f t="shared" si="2"/>
        <v/>
      </c>
      <c r="O23" s="181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1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1" t="str">
        <f t="shared" si="3"/>
        <v/>
      </c>
      <c r="R23" s="181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1" t="str">
        <f>IF(itens_Remanesc!A24="","",itens_Remanesc!A24)</f>
        <v/>
      </c>
      <c r="B24" s="220" t="str">
        <f t="shared" ca="1" si="0"/>
        <v/>
      </c>
      <c r="C24" s="221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21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22" t="str">
        <f t="shared" si="1"/>
        <v/>
      </c>
      <c r="F24" s="81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29"/>
      <c r="K24" s="181" t="str">
        <f>IF(A24="","",itens_Remanesc!C24)</f>
        <v/>
      </c>
      <c r="L24" s="181" t="str">
        <f>IF(A24="","",IF($I$4="C0",posicao_contratual!G24,IF($I$4="C1",posicao_contratual!K24,IF($I$4="C2",posicao_contratual!O24,IF($I$4="C3",posicao_contratual!S24,IF($I$4="C4",posicao_contratual!W24,""))))))</f>
        <v/>
      </c>
      <c r="M24" s="181" t="str">
        <f ca="1">IF(OR(A24="",$I$5="",$I$6=""),"",ROUND(SUMIFS(aditivos!$L$2:$L$200,aditivos!$A$2:$A$200,A24,aditivos!$B$2:$B$200,"&gt;"&amp;$I$6,aditivos!$B$2:$B$200,"&lt;="&amp;$I$5),2))</f>
        <v/>
      </c>
      <c r="N24" s="181" t="str">
        <f t="shared" si="2"/>
        <v/>
      </c>
      <c r="O24" s="181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1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1" t="str">
        <f t="shared" si="3"/>
        <v/>
      </c>
      <c r="R24" s="181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1" t="str">
        <f>IF(itens_Remanesc!A25="","",itens_Remanesc!A25)</f>
        <v/>
      </c>
      <c r="B25" s="220" t="str">
        <f t="shared" ca="1" si="0"/>
        <v/>
      </c>
      <c r="C25" s="221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21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22" t="str">
        <f t="shared" si="1"/>
        <v/>
      </c>
      <c r="F25" s="81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29"/>
      <c r="K25" s="181" t="str">
        <f>IF(A25="","",itens_Remanesc!C25)</f>
        <v/>
      </c>
      <c r="L25" s="181" t="str">
        <f>IF(A25="","",IF($I$4="C0",posicao_contratual!G25,IF($I$4="C1",posicao_contratual!K25,IF($I$4="C2",posicao_contratual!O25,IF($I$4="C3",posicao_contratual!S25,IF($I$4="C4",posicao_contratual!W25,""))))))</f>
        <v/>
      </c>
      <c r="M25" s="181" t="str">
        <f ca="1">IF(OR(A25="",$I$5="",$I$6=""),"",ROUND(SUMIFS(aditivos!$L$2:$L$200,aditivos!$A$2:$A$200,A25,aditivos!$B$2:$B$200,"&gt;"&amp;$I$6,aditivos!$B$2:$B$200,"&lt;="&amp;$I$5),2))</f>
        <v/>
      </c>
      <c r="N25" s="181" t="str">
        <f t="shared" si="2"/>
        <v/>
      </c>
      <c r="O25" s="181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1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1" t="str">
        <f t="shared" si="3"/>
        <v/>
      </c>
      <c r="R25" s="181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1" t="str">
        <f>IF(itens_Remanesc!A26="","",itens_Remanesc!A26)</f>
        <v/>
      </c>
      <c r="B26" s="220" t="str">
        <f t="shared" ca="1" si="0"/>
        <v/>
      </c>
      <c r="C26" s="221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21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22" t="str">
        <f t="shared" si="1"/>
        <v/>
      </c>
      <c r="F26" s="81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29"/>
      <c r="K26" s="181" t="str">
        <f>IF(A26="","",itens_Remanesc!C26)</f>
        <v/>
      </c>
      <c r="L26" s="181" t="str">
        <f>IF(A26="","",IF($I$4="C0",posicao_contratual!G26,IF($I$4="C1",posicao_contratual!K26,IF($I$4="C2",posicao_contratual!O26,IF($I$4="C3",posicao_contratual!S26,IF($I$4="C4",posicao_contratual!W26,""))))))</f>
        <v/>
      </c>
      <c r="M26" s="181" t="str">
        <f ca="1">IF(OR(A26="",$I$5="",$I$6=""),"",ROUND(SUMIFS(aditivos!$L$2:$L$200,aditivos!$A$2:$A$200,A26,aditivos!$B$2:$B$200,"&gt;"&amp;$I$6,aditivos!$B$2:$B$200,"&lt;="&amp;$I$5),2))</f>
        <v/>
      </c>
      <c r="N26" s="181" t="str">
        <f t="shared" si="2"/>
        <v/>
      </c>
      <c r="O26" s="181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1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1" t="str">
        <f t="shared" si="3"/>
        <v/>
      </c>
      <c r="R26" s="181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1" t="str">
        <f>IF(itens_Remanesc!A27="","",itens_Remanesc!A27)</f>
        <v/>
      </c>
      <c r="B27" s="220" t="str">
        <f t="shared" ca="1" si="0"/>
        <v/>
      </c>
      <c r="C27" s="221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21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22" t="str">
        <f t="shared" si="1"/>
        <v/>
      </c>
      <c r="F27" s="81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29"/>
      <c r="K27" s="181" t="str">
        <f>IF(A27="","",itens_Remanesc!C27)</f>
        <v/>
      </c>
      <c r="L27" s="181" t="str">
        <f>IF(A27="","",IF($I$4="C0",posicao_contratual!G27,IF($I$4="C1",posicao_contratual!K27,IF($I$4="C2",posicao_contratual!O27,IF($I$4="C3",posicao_contratual!S27,IF($I$4="C4",posicao_contratual!W27,""))))))</f>
        <v/>
      </c>
      <c r="M27" s="181" t="str">
        <f ca="1">IF(OR(A27="",$I$5="",$I$6=""),"",ROUND(SUMIFS(aditivos!$L$2:$L$200,aditivos!$A$2:$A$200,A27,aditivos!$B$2:$B$200,"&gt;"&amp;$I$6,aditivos!$B$2:$B$200,"&lt;="&amp;$I$5),2))</f>
        <v/>
      </c>
      <c r="N27" s="181" t="str">
        <f t="shared" si="2"/>
        <v/>
      </c>
      <c r="O27" s="181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1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1" t="str">
        <f t="shared" si="3"/>
        <v/>
      </c>
      <c r="R27" s="181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1" t="str">
        <f>IF(itens_Remanesc!A28="","",itens_Remanesc!A28)</f>
        <v/>
      </c>
      <c r="B28" s="220" t="str">
        <f t="shared" ca="1" si="0"/>
        <v/>
      </c>
      <c r="C28" s="221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21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22" t="str">
        <f t="shared" si="1"/>
        <v/>
      </c>
      <c r="F28" s="81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29"/>
      <c r="K28" s="181" t="str">
        <f>IF(A28="","",itens_Remanesc!C28)</f>
        <v/>
      </c>
      <c r="L28" s="181" t="str">
        <f>IF(A28="","",IF($I$4="C0",posicao_contratual!G28,IF($I$4="C1",posicao_contratual!K28,IF($I$4="C2",posicao_contratual!O28,IF($I$4="C3",posicao_contratual!S28,IF($I$4="C4",posicao_contratual!W28,""))))))</f>
        <v/>
      </c>
      <c r="M28" s="181" t="str">
        <f ca="1">IF(OR(A28="",$I$5="",$I$6=""),"",ROUND(SUMIFS(aditivos!$L$2:$L$200,aditivos!$A$2:$A$200,A28,aditivos!$B$2:$B$200,"&gt;"&amp;$I$6,aditivos!$B$2:$B$200,"&lt;="&amp;$I$5),2))</f>
        <v/>
      </c>
      <c r="N28" s="181" t="str">
        <f t="shared" si="2"/>
        <v/>
      </c>
      <c r="O28" s="181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1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1" t="str">
        <f t="shared" si="3"/>
        <v/>
      </c>
      <c r="R28" s="181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1" t="str">
        <f>IF(itens_Remanesc!A29="","",itens_Remanesc!A29)</f>
        <v/>
      </c>
      <c r="B29" s="220" t="str">
        <f t="shared" ca="1" si="0"/>
        <v/>
      </c>
      <c r="C29" s="221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21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22" t="str">
        <f t="shared" si="1"/>
        <v/>
      </c>
      <c r="F29" s="81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29"/>
      <c r="K29" s="181" t="str">
        <f>IF(A29="","",itens_Remanesc!C29)</f>
        <v/>
      </c>
      <c r="L29" s="181" t="str">
        <f>IF(A29="","",IF($I$4="C0",posicao_contratual!G29,IF($I$4="C1",posicao_contratual!K29,IF($I$4="C2",posicao_contratual!O29,IF($I$4="C3",posicao_contratual!S29,IF($I$4="C4",posicao_contratual!W29,""))))))</f>
        <v/>
      </c>
      <c r="M29" s="181" t="str">
        <f ca="1">IF(OR(A29="",$I$5="",$I$6=""),"",ROUND(SUMIFS(aditivos!$L$2:$L$200,aditivos!$A$2:$A$200,A29,aditivos!$B$2:$B$200,"&gt;"&amp;$I$6,aditivos!$B$2:$B$200,"&lt;="&amp;$I$5),2))</f>
        <v/>
      </c>
      <c r="N29" s="181" t="str">
        <f t="shared" si="2"/>
        <v/>
      </c>
      <c r="O29" s="181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1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1" t="str">
        <f t="shared" si="3"/>
        <v/>
      </c>
      <c r="R29" s="181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1" t="str">
        <f>IF(itens_Remanesc!A30="","",itens_Remanesc!A30)</f>
        <v/>
      </c>
      <c r="B30" s="220" t="str">
        <f t="shared" ca="1" si="0"/>
        <v/>
      </c>
      <c r="C30" s="221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21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22" t="str">
        <f t="shared" si="1"/>
        <v/>
      </c>
      <c r="F30" s="81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29"/>
      <c r="K30" s="181" t="str">
        <f>IF(A30="","",itens_Remanesc!C30)</f>
        <v/>
      </c>
      <c r="L30" s="181" t="str">
        <f>IF(A30="","",IF($I$4="C0",posicao_contratual!G30,IF($I$4="C1",posicao_contratual!K30,IF($I$4="C2",posicao_contratual!O30,IF($I$4="C3",posicao_contratual!S30,IF($I$4="C4",posicao_contratual!W30,""))))))</f>
        <v/>
      </c>
      <c r="M30" s="181" t="str">
        <f ca="1">IF(OR(A30="",$I$5="",$I$6=""),"",ROUND(SUMIFS(aditivos!$L$2:$L$200,aditivos!$A$2:$A$200,A30,aditivos!$B$2:$B$200,"&gt;"&amp;$I$6,aditivos!$B$2:$B$200,"&lt;="&amp;$I$5),2))</f>
        <v/>
      </c>
      <c r="N30" s="181" t="str">
        <f t="shared" si="2"/>
        <v/>
      </c>
      <c r="O30" s="181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1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1" t="str">
        <f t="shared" si="3"/>
        <v/>
      </c>
      <c r="R30" s="181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1" t="str">
        <f>IF(itens_Remanesc!A31="","",itens_Remanesc!A31)</f>
        <v/>
      </c>
      <c r="B31" s="220" t="str">
        <f t="shared" ca="1" si="0"/>
        <v/>
      </c>
      <c r="C31" s="221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21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22" t="str">
        <f t="shared" si="1"/>
        <v/>
      </c>
      <c r="F31" s="81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29"/>
      <c r="K31" s="181" t="str">
        <f>IF(A31="","",itens_Remanesc!C31)</f>
        <v/>
      </c>
      <c r="L31" s="181" t="str">
        <f>IF(A31="","",IF($I$4="C0",posicao_contratual!G31,IF($I$4="C1",posicao_contratual!K31,IF($I$4="C2",posicao_contratual!O31,IF($I$4="C3",posicao_contratual!S31,IF($I$4="C4",posicao_contratual!W31,""))))))</f>
        <v/>
      </c>
      <c r="M31" s="181" t="str">
        <f ca="1">IF(OR(A31="",$I$5="",$I$6=""),"",ROUND(SUMIFS(aditivos!$L$2:$L$200,aditivos!$A$2:$A$200,A31,aditivos!$B$2:$B$200,"&gt;"&amp;$I$6,aditivos!$B$2:$B$200,"&lt;="&amp;$I$5),2))</f>
        <v/>
      </c>
      <c r="N31" s="181" t="str">
        <f t="shared" si="2"/>
        <v/>
      </c>
      <c r="O31" s="181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1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1" t="str">
        <f t="shared" si="3"/>
        <v/>
      </c>
      <c r="R31" s="181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1" t="str">
        <f>IF(itens_Remanesc!A32="","",itens_Remanesc!A32)</f>
        <v/>
      </c>
      <c r="B32" s="220" t="str">
        <f t="shared" ca="1" si="0"/>
        <v/>
      </c>
      <c r="C32" s="221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21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22" t="str">
        <f t="shared" si="1"/>
        <v/>
      </c>
      <c r="F32" s="81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29"/>
      <c r="K32" s="181" t="str">
        <f>IF(A32="","",itens_Remanesc!C32)</f>
        <v/>
      </c>
      <c r="L32" s="181" t="str">
        <f>IF(A32="","",IF($I$4="C0",posicao_contratual!G32,IF($I$4="C1",posicao_contratual!K32,IF($I$4="C2",posicao_contratual!O32,IF($I$4="C3",posicao_contratual!S32,IF($I$4="C4",posicao_contratual!W32,""))))))</f>
        <v/>
      </c>
      <c r="M32" s="181" t="str">
        <f ca="1">IF(OR(A32="",$I$5="",$I$6=""),"",ROUND(SUMIFS(aditivos!$L$2:$L$200,aditivos!$A$2:$A$200,A32,aditivos!$B$2:$B$200,"&gt;"&amp;$I$6,aditivos!$B$2:$B$200,"&lt;="&amp;$I$5),2))</f>
        <v/>
      </c>
      <c r="N32" s="181" t="str">
        <f t="shared" si="2"/>
        <v/>
      </c>
      <c r="O32" s="181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1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1" t="str">
        <f t="shared" si="3"/>
        <v/>
      </c>
      <c r="R32" s="181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1" t="str">
        <f>IF(itens_Remanesc!A33="","",itens_Remanesc!A33)</f>
        <v/>
      </c>
      <c r="B33" s="220" t="str">
        <f t="shared" ca="1" si="0"/>
        <v/>
      </c>
      <c r="C33" s="221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21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22" t="str">
        <f t="shared" si="1"/>
        <v/>
      </c>
      <c r="F33" s="81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29"/>
      <c r="K33" s="181" t="str">
        <f>IF(A33="","",itens_Remanesc!C33)</f>
        <v/>
      </c>
      <c r="L33" s="181" t="str">
        <f>IF(A33="","",IF($I$4="C0",posicao_contratual!G33,IF($I$4="C1",posicao_contratual!K33,IF($I$4="C2",posicao_contratual!O33,IF($I$4="C3",posicao_contratual!S33,IF($I$4="C4",posicao_contratual!W33,""))))))</f>
        <v/>
      </c>
      <c r="M33" s="181" t="str">
        <f ca="1">IF(OR(A33="",$I$5="",$I$6=""),"",ROUND(SUMIFS(aditivos!$L$2:$L$200,aditivos!$A$2:$A$200,A33,aditivos!$B$2:$B$200,"&gt;"&amp;$I$6,aditivos!$B$2:$B$200,"&lt;="&amp;$I$5),2))</f>
        <v/>
      </c>
      <c r="N33" s="181" t="str">
        <f t="shared" si="2"/>
        <v/>
      </c>
      <c r="O33" s="181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1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1" t="str">
        <f t="shared" si="3"/>
        <v/>
      </c>
      <c r="R33" s="181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1" t="str">
        <f>IF(itens_Remanesc!A34="","",itens_Remanesc!A34)</f>
        <v/>
      </c>
      <c r="B34" s="220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21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21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22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1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29"/>
      <c r="K34" s="181" t="str">
        <f>IF(A34="","",itens_Remanesc!C34)</f>
        <v/>
      </c>
      <c r="L34" s="181" t="str">
        <f>IF(A34="","",IF($I$4="C0",posicao_contratual!G34,IF($I$4="C1",posicao_contratual!K34,IF($I$4="C2",posicao_contratual!O34,IF($I$4="C3",posicao_contratual!S34,IF($I$4="C4",posicao_contratual!W34,""))))))</f>
        <v/>
      </c>
      <c r="M34" s="181" t="str">
        <f ca="1">IF(OR(A34="",$I$5="",$I$6=""),"",ROUND(SUMIFS(aditivos!$L$2:$L$200,aditivos!$A$2:$A$200,A34,aditivos!$B$2:$B$200,"&gt;"&amp;$I$6,aditivos!$B$2:$B$200,"&lt;="&amp;$I$5),2))</f>
        <v/>
      </c>
      <c r="N34" s="181" t="str">
        <f t="shared" ref="N34:N65" si="6">IF(OR(A34="",L34="",D34=""),"",ROUND(MAX(L34+IF(ISNUMBER(M34),M34,0)-D34,0),2))</f>
        <v/>
      </c>
      <c r="O34" s="181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1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1" t="str">
        <f t="shared" ref="Q34:Q65" si="7">IF(OR(A34="",D34="",K34=""),"",ROUND(D34*K34,2))</f>
        <v/>
      </c>
      <c r="R34" s="181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1" t="str">
        <f>IF(itens_Remanesc!A35="","",itens_Remanesc!A35)</f>
        <v/>
      </c>
      <c r="B35" s="220" t="str">
        <f t="shared" ca="1" si="4"/>
        <v/>
      </c>
      <c r="C35" s="221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21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22" t="str">
        <f t="shared" si="5"/>
        <v/>
      </c>
      <c r="F35" s="81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29"/>
      <c r="K35" s="181" t="str">
        <f>IF(A35="","",itens_Remanesc!C35)</f>
        <v/>
      </c>
      <c r="L35" s="181" t="str">
        <f>IF(A35="","",IF($I$4="C0",posicao_contratual!G35,IF($I$4="C1",posicao_contratual!K35,IF($I$4="C2",posicao_contratual!O35,IF($I$4="C3",posicao_contratual!S35,IF($I$4="C4",posicao_contratual!W35,""))))))</f>
        <v/>
      </c>
      <c r="M35" s="181" t="str">
        <f ca="1">IF(OR(A35="",$I$5="",$I$6=""),"",ROUND(SUMIFS(aditivos!$L$2:$L$200,aditivos!$A$2:$A$200,A35,aditivos!$B$2:$B$200,"&gt;"&amp;$I$6,aditivos!$B$2:$B$200,"&lt;="&amp;$I$5),2))</f>
        <v/>
      </c>
      <c r="N35" s="181" t="str">
        <f t="shared" si="6"/>
        <v/>
      </c>
      <c r="O35" s="181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1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1" t="str">
        <f t="shared" si="7"/>
        <v/>
      </c>
      <c r="R35" s="181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1" t="str">
        <f>IF(itens_Remanesc!A36="","",itens_Remanesc!A36)</f>
        <v/>
      </c>
      <c r="B36" s="220" t="str">
        <f t="shared" ca="1" si="4"/>
        <v/>
      </c>
      <c r="C36" s="221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21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22" t="str">
        <f t="shared" si="5"/>
        <v/>
      </c>
      <c r="F36" s="81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29"/>
      <c r="K36" s="181" t="str">
        <f>IF(A36="","",itens_Remanesc!C36)</f>
        <v/>
      </c>
      <c r="L36" s="181" t="str">
        <f>IF(A36="","",IF($I$4="C0",posicao_contratual!G36,IF($I$4="C1",posicao_contratual!K36,IF($I$4="C2",posicao_contratual!O36,IF($I$4="C3",posicao_contratual!S36,IF($I$4="C4",posicao_contratual!W36,""))))))</f>
        <v/>
      </c>
      <c r="M36" s="181" t="str">
        <f ca="1">IF(OR(A36="",$I$5="",$I$6=""),"",ROUND(SUMIFS(aditivos!$L$2:$L$200,aditivos!$A$2:$A$200,A36,aditivos!$B$2:$B$200,"&gt;"&amp;$I$6,aditivos!$B$2:$B$200,"&lt;="&amp;$I$5),2))</f>
        <v/>
      </c>
      <c r="N36" s="181" t="str">
        <f t="shared" si="6"/>
        <v/>
      </c>
      <c r="O36" s="181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1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1" t="str">
        <f t="shared" si="7"/>
        <v/>
      </c>
      <c r="R36" s="181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1" t="str">
        <f>IF(itens_Remanesc!A37="","",itens_Remanesc!A37)</f>
        <v/>
      </c>
      <c r="B37" s="220" t="str">
        <f t="shared" ca="1" si="4"/>
        <v/>
      </c>
      <c r="C37" s="221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21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22" t="str">
        <f t="shared" si="5"/>
        <v/>
      </c>
      <c r="F37" s="81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29"/>
      <c r="K37" s="181" t="str">
        <f>IF(A37="","",itens_Remanesc!C37)</f>
        <v/>
      </c>
      <c r="L37" s="181" t="str">
        <f>IF(A37="","",IF($I$4="C0",posicao_contratual!G37,IF($I$4="C1",posicao_contratual!K37,IF($I$4="C2",posicao_contratual!O37,IF($I$4="C3",posicao_contratual!S37,IF($I$4="C4",posicao_contratual!W37,""))))))</f>
        <v/>
      </c>
      <c r="M37" s="181" t="str">
        <f ca="1">IF(OR(A37="",$I$5="",$I$6=""),"",ROUND(SUMIFS(aditivos!$L$2:$L$200,aditivos!$A$2:$A$200,A37,aditivos!$B$2:$B$200,"&gt;"&amp;$I$6,aditivos!$B$2:$B$200,"&lt;="&amp;$I$5),2))</f>
        <v/>
      </c>
      <c r="N37" s="181" t="str">
        <f t="shared" si="6"/>
        <v/>
      </c>
      <c r="O37" s="181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1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1" t="str">
        <f t="shared" si="7"/>
        <v/>
      </c>
      <c r="R37" s="181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1" t="str">
        <f>IF(itens_Remanesc!A38="","",itens_Remanesc!A38)</f>
        <v/>
      </c>
      <c r="B38" s="220" t="str">
        <f t="shared" ca="1" si="4"/>
        <v/>
      </c>
      <c r="C38" s="221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21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22" t="str">
        <f t="shared" si="5"/>
        <v/>
      </c>
      <c r="F38" s="81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29"/>
      <c r="K38" s="181" t="str">
        <f>IF(A38="","",itens_Remanesc!C38)</f>
        <v/>
      </c>
      <c r="L38" s="181" t="str">
        <f>IF(A38="","",IF($I$4="C0",posicao_contratual!G38,IF($I$4="C1",posicao_contratual!K38,IF($I$4="C2",posicao_contratual!O38,IF($I$4="C3",posicao_contratual!S38,IF($I$4="C4",posicao_contratual!W38,""))))))</f>
        <v/>
      </c>
      <c r="M38" s="181" t="str">
        <f ca="1">IF(OR(A38="",$I$5="",$I$6=""),"",ROUND(SUMIFS(aditivos!$L$2:$L$200,aditivos!$A$2:$A$200,A38,aditivos!$B$2:$B$200,"&gt;"&amp;$I$6,aditivos!$B$2:$B$200,"&lt;="&amp;$I$5),2))</f>
        <v/>
      </c>
      <c r="N38" s="181" t="str">
        <f t="shared" si="6"/>
        <v/>
      </c>
      <c r="O38" s="181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1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1" t="str">
        <f t="shared" si="7"/>
        <v/>
      </c>
      <c r="R38" s="181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1" t="str">
        <f>IF(itens_Remanesc!A39="","",itens_Remanesc!A39)</f>
        <v/>
      </c>
      <c r="B39" s="220" t="str">
        <f t="shared" ca="1" si="4"/>
        <v/>
      </c>
      <c r="C39" s="221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21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22" t="str">
        <f t="shared" si="5"/>
        <v/>
      </c>
      <c r="F39" s="81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29"/>
      <c r="K39" s="181" t="str">
        <f>IF(A39="","",itens_Remanesc!C39)</f>
        <v/>
      </c>
      <c r="L39" s="181" t="str">
        <f>IF(A39="","",IF($I$4="C0",posicao_contratual!G39,IF($I$4="C1",posicao_contratual!K39,IF($I$4="C2",posicao_contratual!O39,IF($I$4="C3",posicao_contratual!S39,IF($I$4="C4",posicao_contratual!W39,""))))))</f>
        <v/>
      </c>
      <c r="M39" s="181" t="str">
        <f ca="1">IF(OR(A39="",$I$5="",$I$6=""),"",ROUND(SUMIFS(aditivos!$L$2:$L$200,aditivos!$A$2:$A$200,A39,aditivos!$B$2:$B$200,"&gt;"&amp;$I$6,aditivos!$B$2:$B$200,"&lt;="&amp;$I$5),2))</f>
        <v/>
      </c>
      <c r="N39" s="181" t="str">
        <f t="shared" si="6"/>
        <v/>
      </c>
      <c r="O39" s="181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1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1" t="str">
        <f t="shared" si="7"/>
        <v/>
      </c>
      <c r="R39" s="181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1" t="str">
        <f>IF(itens_Remanesc!A40="","",itens_Remanesc!A40)</f>
        <v/>
      </c>
      <c r="B40" s="220" t="str">
        <f t="shared" ca="1" si="4"/>
        <v/>
      </c>
      <c r="C40" s="221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21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22" t="str">
        <f t="shared" si="5"/>
        <v/>
      </c>
      <c r="F40" s="81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29"/>
      <c r="K40" s="181" t="str">
        <f>IF(A40="","",itens_Remanesc!C40)</f>
        <v/>
      </c>
      <c r="L40" s="181" t="str">
        <f>IF(A40="","",IF($I$4="C0",posicao_contratual!G40,IF($I$4="C1",posicao_contratual!K40,IF($I$4="C2",posicao_contratual!O40,IF($I$4="C3",posicao_contratual!S40,IF($I$4="C4",posicao_contratual!W40,""))))))</f>
        <v/>
      </c>
      <c r="M40" s="181" t="str">
        <f ca="1">IF(OR(A40="",$I$5="",$I$6=""),"",ROUND(SUMIFS(aditivos!$L$2:$L$200,aditivos!$A$2:$A$200,A40,aditivos!$B$2:$B$200,"&gt;"&amp;$I$6,aditivos!$B$2:$B$200,"&lt;="&amp;$I$5),2))</f>
        <v/>
      </c>
      <c r="N40" s="181" t="str">
        <f t="shared" si="6"/>
        <v/>
      </c>
      <c r="O40" s="181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1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1" t="str">
        <f t="shared" si="7"/>
        <v/>
      </c>
      <c r="R40" s="181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1" t="str">
        <f>IF(itens_Remanesc!A41="","",itens_Remanesc!A41)</f>
        <v/>
      </c>
      <c r="B41" s="220" t="str">
        <f t="shared" ca="1" si="4"/>
        <v/>
      </c>
      <c r="C41" s="221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21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22" t="str">
        <f t="shared" si="5"/>
        <v/>
      </c>
      <c r="F41" s="81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1" t="str">
        <f>IF(A41="","",itens_Remanesc!C41)</f>
        <v/>
      </c>
      <c r="L41" s="181" t="str">
        <f>IF(A41="","",IF($I$4="C0",posicao_contratual!G41,IF($I$4="C1",posicao_contratual!K41,IF($I$4="C2",posicao_contratual!O41,IF($I$4="C3",posicao_contratual!S41,IF($I$4="C4",posicao_contratual!W41,""))))))</f>
        <v/>
      </c>
      <c r="M41" s="181" t="str">
        <f ca="1">IF(OR(A41="",$I$5="",$I$6=""),"",ROUND(SUMIFS(aditivos!$L$2:$L$200,aditivos!$A$2:$A$200,A41,aditivos!$B$2:$B$200,"&gt;"&amp;$I$6,aditivos!$B$2:$B$200,"&lt;="&amp;$I$5),2))</f>
        <v/>
      </c>
      <c r="N41" s="181" t="str">
        <f t="shared" si="6"/>
        <v/>
      </c>
      <c r="O41" s="181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1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1" t="str">
        <f t="shared" si="7"/>
        <v/>
      </c>
      <c r="R41" s="181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1" t="str">
        <f>IF(itens_Remanesc!A42="","",itens_Remanesc!A42)</f>
        <v/>
      </c>
      <c r="B42" s="220" t="str">
        <f t="shared" ca="1" si="4"/>
        <v/>
      </c>
      <c r="C42" s="221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21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22" t="str">
        <f t="shared" si="5"/>
        <v/>
      </c>
      <c r="F42" s="81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1" t="str">
        <f>IF(A42="","",itens_Remanesc!C42)</f>
        <v/>
      </c>
      <c r="L42" s="181" t="str">
        <f>IF(A42="","",IF($I$4="C0",posicao_contratual!G42,IF($I$4="C1",posicao_contratual!K42,IF($I$4="C2",posicao_contratual!O42,IF($I$4="C3",posicao_contratual!S42,IF($I$4="C4",posicao_contratual!W42,""))))))</f>
        <v/>
      </c>
      <c r="M42" s="181" t="str">
        <f ca="1">IF(OR(A42="",$I$5="",$I$6=""),"",ROUND(SUMIFS(aditivos!$L$2:$L$200,aditivos!$A$2:$A$200,A42,aditivos!$B$2:$B$200,"&gt;"&amp;$I$6,aditivos!$B$2:$B$200,"&lt;="&amp;$I$5),2))</f>
        <v/>
      </c>
      <c r="N42" s="181" t="str">
        <f t="shared" si="6"/>
        <v/>
      </c>
      <c r="O42" s="181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1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1" t="str">
        <f t="shared" si="7"/>
        <v/>
      </c>
      <c r="R42" s="181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1" t="str">
        <f>IF(itens_Remanesc!A43="","",itens_Remanesc!A43)</f>
        <v/>
      </c>
      <c r="B43" s="220" t="str">
        <f t="shared" ca="1" si="4"/>
        <v/>
      </c>
      <c r="C43" s="221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21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22" t="str">
        <f t="shared" si="5"/>
        <v/>
      </c>
      <c r="F43" s="81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1" t="str">
        <f>IF(A43="","",itens_Remanesc!C43)</f>
        <v/>
      </c>
      <c r="L43" s="181" t="str">
        <f>IF(A43="","",IF($I$4="C0",posicao_contratual!G43,IF($I$4="C1",posicao_contratual!K43,IF($I$4="C2",posicao_contratual!O43,IF($I$4="C3",posicao_contratual!S43,IF($I$4="C4",posicao_contratual!W43,""))))))</f>
        <v/>
      </c>
      <c r="M43" s="181" t="str">
        <f ca="1">IF(OR(A43="",$I$5="",$I$6=""),"",ROUND(SUMIFS(aditivos!$L$2:$L$200,aditivos!$A$2:$A$200,A43,aditivos!$B$2:$B$200,"&gt;"&amp;$I$6,aditivos!$B$2:$B$200,"&lt;="&amp;$I$5),2))</f>
        <v/>
      </c>
      <c r="N43" s="181" t="str">
        <f t="shared" si="6"/>
        <v/>
      </c>
      <c r="O43" s="181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1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1" t="str">
        <f t="shared" si="7"/>
        <v/>
      </c>
      <c r="R43" s="181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1" t="str">
        <f>IF(itens_Remanesc!A44="","",itens_Remanesc!A44)</f>
        <v/>
      </c>
      <c r="B44" s="220" t="str">
        <f t="shared" ca="1" si="4"/>
        <v/>
      </c>
      <c r="C44" s="221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21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22" t="str">
        <f t="shared" si="5"/>
        <v/>
      </c>
      <c r="F44" s="81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1" t="str">
        <f>IF(A44="","",itens_Remanesc!C44)</f>
        <v/>
      </c>
      <c r="L44" s="181" t="str">
        <f>IF(A44="","",IF($I$4="C0",posicao_contratual!G44,IF($I$4="C1",posicao_contratual!K44,IF($I$4="C2",posicao_contratual!O44,IF($I$4="C3",posicao_contratual!S44,IF($I$4="C4",posicao_contratual!W44,""))))))</f>
        <v/>
      </c>
      <c r="M44" s="181" t="str">
        <f ca="1">IF(OR(A44="",$I$5="",$I$6=""),"",ROUND(SUMIFS(aditivos!$L$2:$L$200,aditivos!$A$2:$A$200,A44,aditivos!$B$2:$B$200,"&gt;"&amp;$I$6,aditivos!$B$2:$B$200,"&lt;="&amp;$I$5),2))</f>
        <v/>
      </c>
      <c r="N44" s="181" t="str">
        <f t="shared" si="6"/>
        <v/>
      </c>
      <c r="O44" s="181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1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1" t="str">
        <f t="shared" si="7"/>
        <v/>
      </c>
      <c r="R44" s="181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1" t="str">
        <f>IF(itens_Remanesc!A45="","",itens_Remanesc!A45)</f>
        <v/>
      </c>
      <c r="B45" s="220" t="str">
        <f t="shared" ca="1" si="4"/>
        <v/>
      </c>
      <c r="C45" s="221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21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22" t="str">
        <f t="shared" si="5"/>
        <v/>
      </c>
      <c r="F45" s="81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1" t="str">
        <f>IF(A45="","",itens_Remanesc!C45)</f>
        <v/>
      </c>
      <c r="L45" s="181" t="str">
        <f>IF(A45="","",IF($I$4="C0",posicao_contratual!G45,IF($I$4="C1",posicao_contratual!K45,IF($I$4="C2",posicao_contratual!O45,IF($I$4="C3",posicao_contratual!S45,IF($I$4="C4",posicao_contratual!W45,""))))))</f>
        <v/>
      </c>
      <c r="M45" s="181" t="str">
        <f ca="1">IF(OR(A45="",$I$5="",$I$6=""),"",ROUND(SUMIFS(aditivos!$L$2:$L$200,aditivos!$A$2:$A$200,A45,aditivos!$B$2:$B$200,"&gt;"&amp;$I$6,aditivos!$B$2:$B$200,"&lt;="&amp;$I$5),2))</f>
        <v/>
      </c>
      <c r="N45" s="181" t="str">
        <f t="shared" si="6"/>
        <v/>
      </c>
      <c r="O45" s="181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1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1" t="str">
        <f t="shared" si="7"/>
        <v/>
      </c>
      <c r="R45" s="181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1" t="str">
        <f>IF(itens_Remanesc!A46="","",itens_Remanesc!A46)</f>
        <v/>
      </c>
      <c r="B46" s="220" t="str">
        <f t="shared" ca="1" si="4"/>
        <v/>
      </c>
      <c r="C46" s="221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21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22" t="str">
        <f t="shared" si="5"/>
        <v/>
      </c>
      <c r="F46" s="81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1" t="str">
        <f>IF(A46="","",itens_Remanesc!C46)</f>
        <v/>
      </c>
      <c r="L46" s="181" t="str">
        <f>IF(A46="","",IF($I$4="C0",posicao_contratual!G46,IF($I$4="C1",posicao_contratual!K46,IF($I$4="C2",posicao_contratual!O46,IF($I$4="C3",posicao_contratual!S46,IF($I$4="C4",posicao_contratual!W46,""))))))</f>
        <v/>
      </c>
      <c r="M46" s="181" t="str">
        <f ca="1">IF(OR(A46="",$I$5="",$I$6=""),"",ROUND(SUMIFS(aditivos!$L$2:$L$200,aditivos!$A$2:$A$200,A46,aditivos!$B$2:$B$200,"&gt;"&amp;$I$6,aditivos!$B$2:$B$200,"&lt;="&amp;$I$5),2))</f>
        <v/>
      </c>
      <c r="N46" s="181" t="str">
        <f t="shared" si="6"/>
        <v/>
      </c>
      <c r="O46" s="181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1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1" t="str">
        <f t="shared" si="7"/>
        <v/>
      </c>
      <c r="R46" s="181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1" t="str">
        <f>IF(itens_Remanesc!A47="","",itens_Remanesc!A47)</f>
        <v/>
      </c>
      <c r="B47" s="220" t="str">
        <f t="shared" ca="1" si="4"/>
        <v/>
      </c>
      <c r="C47" s="221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21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22" t="str">
        <f t="shared" si="5"/>
        <v/>
      </c>
      <c r="F47" s="81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1" t="str">
        <f>IF(A47="","",itens_Remanesc!C47)</f>
        <v/>
      </c>
      <c r="L47" s="181" t="str">
        <f>IF(A47="","",IF($I$4="C0",posicao_contratual!G47,IF($I$4="C1",posicao_contratual!K47,IF($I$4="C2",posicao_contratual!O47,IF($I$4="C3",posicao_contratual!S47,IF($I$4="C4",posicao_contratual!W47,""))))))</f>
        <v/>
      </c>
      <c r="M47" s="181" t="str">
        <f ca="1">IF(OR(A47="",$I$5="",$I$6=""),"",ROUND(SUMIFS(aditivos!$L$2:$L$200,aditivos!$A$2:$A$200,A47,aditivos!$B$2:$B$200,"&gt;"&amp;$I$6,aditivos!$B$2:$B$200,"&lt;="&amp;$I$5),2))</f>
        <v/>
      </c>
      <c r="N47" s="181" t="str">
        <f t="shared" si="6"/>
        <v/>
      </c>
      <c r="O47" s="181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1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1" t="str">
        <f t="shared" si="7"/>
        <v/>
      </c>
      <c r="R47" s="181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1" t="str">
        <f>IF(itens_Remanesc!A48="","",itens_Remanesc!A48)</f>
        <v/>
      </c>
      <c r="B48" s="220" t="str">
        <f t="shared" ca="1" si="4"/>
        <v/>
      </c>
      <c r="C48" s="221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21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22" t="str">
        <f t="shared" si="5"/>
        <v/>
      </c>
      <c r="F48" s="81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1" t="str">
        <f>IF(A48="","",itens_Remanesc!C48)</f>
        <v/>
      </c>
      <c r="L48" s="181" t="str">
        <f>IF(A48="","",IF($I$4="C0",posicao_contratual!G48,IF($I$4="C1",posicao_contratual!K48,IF($I$4="C2",posicao_contratual!O48,IF($I$4="C3",posicao_contratual!S48,IF($I$4="C4",posicao_contratual!W48,""))))))</f>
        <v/>
      </c>
      <c r="M48" s="181" t="str">
        <f ca="1">IF(OR(A48="",$I$5="",$I$6=""),"",ROUND(SUMIFS(aditivos!$L$2:$L$200,aditivos!$A$2:$A$200,A48,aditivos!$B$2:$B$200,"&gt;"&amp;$I$6,aditivos!$B$2:$B$200,"&lt;="&amp;$I$5),2))</f>
        <v/>
      </c>
      <c r="N48" s="181" t="str">
        <f t="shared" si="6"/>
        <v/>
      </c>
      <c r="O48" s="181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1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1" t="str">
        <f t="shared" si="7"/>
        <v/>
      </c>
      <c r="R48" s="181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1" t="str">
        <f>IF(itens_Remanesc!A49="","",itens_Remanesc!A49)</f>
        <v/>
      </c>
      <c r="B49" s="220" t="str">
        <f t="shared" ca="1" si="4"/>
        <v/>
      </c>
      <c r="C49" s="221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21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22" t="str">
        <f t="shared" si="5"/>
        <v/>
      </c>
      <c r="F49" s="81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1" t="str">
        <f>IF(A49="","",itens_Remanesc!C49)</f>
        <v/>
      </c>
      <c r="L49" s="181" t="str">
        <f>IF(A49="","",IF($I$4="C0",posicao_contratual!G49,IF($I$4="C1",posicao_contratual!K49,IF($I$4="C2",posicao_contratual!O49,IF($I$4="C3",posicao_contratual!S49,IF($I$4="C4",posicao_contratual!W49,""))))))</f>
        <v/>
      </c>
      <c r="M49" s="181" t="str">
        <f ca="1">IF(OR(A49="",$I$5="",$I$6=""),"",ROUND(SUMIFS(aditivos!$L$2:$L$200,aditivos!$A$2:$A$200,A49,aditivos!$B$2:$B$200,"&gt;"&amp;$I$6,aditivos!$B$2:$B$200,"&lt;="&amp;$I$5),2))</f>
        <v/>
      </c>
      <c r="N49" s="181" t="str">
        <f t="shared" si="6"/>
        <v/>
      </c>
      <c r="O49" s="181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1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1" t="str">
        <f t="shared" si="7"/>
        <v/>
      </c>
      <c r="R49" s="181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1" t="str">
        <f>IF(itens_Remanesc!A50="","",itens_Remanesc!A50)</f>
        <v/>
      </c>
      <c r="B50" s="220" t="str">
        <f t="shared" ca="1" si="4"/>
        <v/>
      </c>
      <c r="C50" s="221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21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22" t="str">
        <f t="shared" si="5"/>
        <v/>
      </c>
      <c r="F50" s="81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1" t="str">
        <f>IF(A50="","",itens_Remanesc!C50)</f>
        <v/>
      </c>
      <c r="L50" s="181" t="str">
        <f>IF(A50="","",IF($I$4="C0",posicao_contratual!G50,IF($I$4="C1",posicao_contratual!K50,IF($I$4="C2",posicao_contratual!O50,IF($I$4="C3",posicao_contratual!S50,IF($I$4="C4",posicao_contratual!W50,""))))))</f>
        <v/>
      </c>
      <c r="M50" s="181" t="str">
        <f ca="1">IF(OR(A50="",$I$5="",$I$6=""),"",ROUND(SUMIFS(aditivos!$L$2:$L$200,aditivos!$A$2:$A$200,A50,aditivos!$B$2:$B$200,"&gt;"&amp;$I$6,aditivos!$B$2:$B$200,"&lt;="&amp;$I$5),2))</f>
        <v/>
      </c>
      <c r="N50" s="181" t="str">
        <f t="shared" si="6"/>
        <v/>
      </c>
      <c r="O50" s="181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1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1" t="str">
        <f t="shared" si="7"/>
        <v/>
      </c>
      <c r="R50" s="181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1" t="str">
        <f>IF(itens_Remanesc!A51="","",itens_Remanesc!A51)</f>
        <v/>
      </c>
      <c r="B51" s="220" t="str">
        <f t="shared" ca="1" si="4"/>
        <v/>
      </c>
      <c r="C51" s="221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21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22" t="str">
        <f t="shared" si="5"/>
        <v/>
      </c>
      <c r="F51" s="81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1" t="str">
        <f>IF(A51="","",itens_Remanesc!C51)</f>
        <v/>
      </c>
      <c r="L51" s="181" t="str">
        <f>IF(A51="","",IF($I$4="C0",posicao_contratual!G51,IF($I$4="C1",posicao_contratual!K51,IF($I$4="C2",posicao_contratual!O51,IF($I$4="C3",posicao_contratual!S51,IF($I$4="C4",posicao_contratual!W51,""))))))</f>
        <v/>
      </c>
      <c r="M51" s="181" t="str">
        <f ca="1">IF(OR(A51="",$I$5="",$I$6=""),"",ROUND(SUMIFS(aditivos!$L$2:$L$200,aditivos!$A$2:$A$200,A51,aditivos!$B$2:$B$200,"&gt;"&amp;$I$6,aditivos!$B$2:$B$200,"&lt;="&amp;$I$5),2))</f>
        <v/>
      </c>
      <c r="N51" s="181" t="str">
        <f t="shared" si="6"/>
        <v/>
      </c>
      <c r="O51" s="181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1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1" t="str">
        <f t="shared" si="7"/>
        <v/>
      </c>
      <c r="R51" s="181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1" t="str">
        <f>IF(itens_Remanesc!A52="","",itens_Remanesc!A52)</f>
        <v/>
      </c>
      <c r="B52" s="220" t="str">
        <f t="shared" ca="1" si="4"/>
        <v/>
      </c>
      <c r="C52" s="221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21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22" t="str">
        <f t="shared" si="5"/>
        <v/>
      </c>
      <c r="F52" s="81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1" t="str">
        <f>IF(A52="","",itens_Remanesc!C52)</f>
        <v/>
      </c>
      <c r="L52" s="181" t="str">
        <f>IF(A52="","",IF($I$4="C0",posicao_contratual!G52,IF($I$4="C1",posicao_contratual!K52,IF($I$4="C2",posicao_contratual!O52,IF($I$4="C3",posicao_contratual!S52,IF($I$4="C4",posicao_contratual!W52,""))))))</f>
        <v/>
      </c>
      <c r="M52" s="181" t="str">
        <f ca="1">IF(OR(A52="",$I$5="",$I$6=""),"",ROUND(SUMIFS(aditivos!$L$2:$L$200,aditivos!$A$2:$A$200,A52,aditivos!$B$2:$B$200,"&gt;"&amp;$I$6,aditivos!$B$2:$B$200,"&lt;="&amp;$I$5),2))</f>
        <v/>
      </c>
      <c r="N52" s="181" t="str">
        <f t="shared" si="6"/>
        <v/>
      </c>
      <c r="O52" s="181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1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1" t="str">
        <f t="shared" si="7"/>
        <v/>
      </c>
      <c r="R52" s="181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1" t="str">
        <f>IF(itens_Remanesc!A53="","",itens_Remanesc!A53)</f>
        <v/>
      </c>
      <c r="B53" s="220" t="str">
        <f t="shared" ca="1" si="4"/>
        <v/>
      </c>
      <c r="C53" s="221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21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22" t="str">
        <f t="shared" si="5"/>
        <v/>
      </c>
      <c r="F53" s="81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1" t="str">
        <f>IF(A53="","",itens_Remanesc!C53)</f>
        <v/>
      </c>
      <c r="L53" s="181" t="str">
        <f>IF(A53="","",IF($I$4="C0",posicao_contratual!G53,IF($I$4="C1",posicao_contratual!K53,IF($I$4="C2",posicao_contratual!O53,IF($I$4="C3",posicao_contratual!S53,IF($I$4="C4",posicao_contratual!W53,""))))))</f>
        <v/>
      </c>
      <c r="M53" s="181" t="str">
        <f ca="1">IF(OR(A53="",$I$5="",$I$6=""),"",ROUND(SUMIFS(aditivos!$L$2:$L$200,aditivos!$A$2:$A$200,A53,aditivos!$B$2:$B$200,"&gt;"&amp;$I$6,aditivos!$B$2:$B$200,"&lt;="&amp;$I$5),2))</f>
        <v/>
      </c>
      <c r="N53" s="181" t="str">
        <f t="shared" si="6"/>
        <v/>
      </c>
      <c r="O53" s="181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1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1" t="str">
        <f t="shared" si="7"/>
        <v/>
      </c>
      <c r="R53" s="181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1" t="str">
        <f>IF(itens_Remanesc!A54="","",itens_Remanesc!A54)</f>
        <v/>
      </c>
      <c r="B54" s="220" t="str">
        <f t="shared" ca="1" si="4"/>
        <v/>
      </c>
      <c r="C54" s="221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21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22" t="str">
        <f t="shared" si="5"/>
        <v/>
      </c>
      <c r="F54" s="81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1" t="str">
        <f>IF(A54="","",itens_Remanesc!C54)</f>
        <v/>
      </c>
      <c r="L54" s="181" t="str">
        <f>IF(A54="","",IF($I$4="C0",posicao_contratual!G54,IF($I$4="C1",posicao_contratual!K54,IF($I$4="C2",posicao_contratual!O54,IF($I$4="C3",posicao_contratual!S54,IF($I$4="C4",posicao_contratual!W54,""))))))</f>
        <v/>
      </c>
      <c r="M54" s="181" t="str">
        <f ca="1">IF(OR(A54="",$I$5="",$I$6=""),"",ROUND(SUMIFS(aditivos!$L$2:$L$200,aditivos!$A$2:$A$200,A54,aditivos!$B$2:$B$200,"&gt;"&amp;$I$6,aditivos!$B$2:$B$200,"&lt;="&amp;$I$5),2))</f>
        <v/>
      </c>
      <c r="N54" s="181" t="str">
        <f t="shared" si="6"/>
        <v/>
      </c>
      <c r="O54" s="181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1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1" t="str">
        <f t="shared" si="7"/>
        <v/>
      </c>
      <c r="R54" s="181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1" t="str">
        <f>IF(itens_Remanesc!A55="","",itens_Remanesc!A55)</f>
        <v/>
      </c>
      <c r="B55" s="220" t="str">
        <f t="shared" ca="1" si="4"/>
        <v/>
      </c>
      <c r="C55" s="221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21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22" t="str">
        <f t="shared" si="5"/>
        <v/>
      </c>
      <c r="F55" s="81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1" t="str">
        <f>IF(A55="","",itens_Remanesc!C55)</f>
        <v/>
      </c>
      <c r="L55" s="181" t="str">
        <f>IF(A55="","",IF($I$4="C0",posicao_contratual!G55,IF($I$4="C1",posicao_contratual!K55,IF($I$4="C2",posicao_contratual!O55,IF($I$4="C3",posicao_contratual!S55,IF($I$4="C4",posicao_contratual!W55,""))))))</f>
        <v/>
      </c>
      <c r="M55" s="181" t="str">
        <f ca="1">IF(OR(A55="",$I$5="",$I$6=""),"",ROUND(SUMIFS(aditivos!$L$2:$L$200,aditivos!$A$2:$A$200,A55,aditivos!$B$2:$B$200,"&gt;"&amp;$I$6,aditivos!$B$2:$B$200,"&lt;="&amp;$I$5),2))</f>
        <v/>
      </c>
      <c r="N55" s="181" t="str">
        <f t="shared" si="6"/>
        <v/>
      </c>
      <c r="O55" s="181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1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1" t="str">
        <f t="shared" si="7"/>
        <v/>
      </c>
      <c r="R55" s="181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1" t="str">
        <f>IF(itens_Remanesc!A56="","",itens_Remanesc!A56)</f>
        <v/>
      </c>
      <c r="B56" s="220" t="str">
        <f t="shared" ca="1" si="4"/>
        <v/>
      </c>
      <c r="C56" s="221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21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22" t="str">
        <f t="shared" si="5"/>
        <v/>
      </c>
      <c r="F56" s="81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1" t="str">
        <f>IF(A56="","",itens_Remanesc!C56)</f>
        <v/>
      </c>
      <c r="L56" s="181" t="str">
        <f>IF(A56="","",IF($I$4="C0",posicao_contratual!G56,IF($I$4="C1",posicao_contratual!K56,IF($I$4="C2",posicao_contratual!O56,IF($I$4="C3",posicao_contratual!S56,IF($I$4="C4",posicao_contratual!W56,""))))))</f>
        <v/>
      </c>
      <c r="M56" s="181" t="str">
        <f ca="1">IF(OR(A56="",$I$5="",$I$6=""),"",ROUND(SUMIFS(aditivos!$L$2:$L$200,aditivos!$A$2:$A$200,A56,aditivos!$B$2:$B$200,"&gt;"&amp;$I$6,aditivos!$B$2:$B$200,"&lt;="&amp;$I$5),2))</f>
        <v/>
      </c>
      <c r="N56" s="181" t="str">
        <f t="shared" si="6"/>
        <v/>
      </c>
      <c r="O56" s="181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1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1" t="str">
        <f t="shared" si="7"/>
        <v/>
      </c>
      <c r="R56" s="181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1" t="str">
        <f>IF(itens_Remanesc!A57="","",itens_Remanesc!A57)</f>
        <v/>
      </c>
      <c r="B57" s="220" t="str">
        <f t="shared" ca="1" si="4"/>
        <v/>
      </c>
      <c r="C57" s="221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21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22" t="str">
        <f t="shared" si="5"/>
        <v/>
      </c>
      <c r="F57" s="81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1" t="str">
        <f>IF(A57="","",itens_Remanesc!C57)</f>
        <v/>
      </c>
      <c r="L57" s="181" t="str">
        <f>IF(A57="","",IF($I$4="C0",posicao_contratual!G57,IF($I$4="C1",posicao_contratual!K57,IF($I$4="C2",posicao_contratual!O57,IF($I$4="C3",posicao_contratual!S57,IF($I$4="C4",posicao_contratual!W57,""))))))</f>
        <v/>
      </c>
      <c r="M57" s="181" t="str">
        <f ca="1">IF(OR(A57="",$I$5="",$I$6=""),"",ROUND(SUMIFS(aditivos!$L$2:$L$200,aditivos!$A$2:$A$200,A57,aditivos!$B$2:$B$200,"&gt;"&amp;$I$6,aditivos!$B$2:$B$200,"&lt;="&amp;$I$5),2))</f>
        <v/>
      </c>
      <c r="N57" s="181" t="str">
        <f t="shared" si="6"/>
        <v/>
      </c>
      <c r="O57" s="181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1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1" t="str">
        <f t="shared" si="7"/>
        <v/>
      </c>
      <c r="R57" s="181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1" t="str">
        <f>IF(itens_Remanesc!A58="","",itens_Remanesc!A58)</f>
        <v/>
      </c>
      <c r="B58" s="220" t="str">
        <f t="shared" ca="1" si="4"/>
        <v/>
      </c>
      <c r="C58" s="221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21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22" t="str">
        <f t="shared" si="5"/>
        <v/>
      </c>
      <c r="F58" s="81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1" t="str">
        <f>IF(A58="","",itens_Remanesc!C58)</f>
        <v/>
      </c>
      <c r="L58" s="181" t="str">
        <f>IF(A58="","",IF($I$4="C0",posicao_contratual!G58,IF($I$4="C1",posicao_contratual!K58,IF($I$4="C2",posicao_contratual!O58,IF($I$4="C3",posicao_contratual!S58,IF($I$4="C4",posicao_contratual!W58,""))))))</f>
        <v/>
      </c>
      <c r="M58" s="181" t="str">
        <f ca="1">IF(OR(A58="",$I$5="",$I$6=""),"",ROUND(SUMIFS(aditivos!$L$2:$L$200,aditivos!$A$2:$A$200,A58,aditivos!$B$2:$B$200,"&gt;"&amp;$I$6,aditivos!$B$2:$B$200,"&lt;="&amp;$I$5),2))</f>
        <v/>
      </c>
      <c r="N58" s="181" t="str">
        <f t="shared" si="6"/>
        <v/>
      </c>
      <c r="O58" s="181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1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1" t="str">
        <f t="shared" si="7"/>
        <v/>
      </c>
      <c r="R58" s="181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1" t="str">
        <f>IF(itens_Remanesc!A59="","",itens_Remanesc!A59)</f>
        <v/>
      </c>
      <c r="B59" s="220" t="str">
        <f t="shared" ca="1" si="4"/>
        <v/>
      </c>
      <c r="C59" s="221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21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22" t="str">
        <f t="shared" si="5"/>
        <v/>
      </c>
      <c r="F59" s="81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1" t="str">
        <f>IF(A59="","",itens_Remanesc!C59)</f>
        <v/>
      </c>
      <c r="L59" s="181" t="str">
        <f>IF(A59="","",IF($I$4="C0",posicao_contratual!G59,IF($I$4="C1",posicao_contratual!K59,IF($I$4="C2",posicao_contratual!O59,IF($I$4="C3",posicao_contratual!S59,IF($I$4="C4",posicao_contratual!W59,""))))))</f>
        <v/>
      </c>
      <c r="M59" s="181" t="str">
        <f ca="1">IF(OR(A59="",$I$5="",$I$6=""),"",ROUND(SUMIFS(aditivos!$L$2:$L$200,aditivos!$A$2:$A$200,A59,aditivos!$B$2:$B$200,"&gt;"&amp;$I$6,aditivos!$B$2:$B$200,"&lt;="&amp;$I$5),2))</f>
        <v/>
      </c>
      <c r="N59" s="181" t="str">
        <f t="shared" si="6"/>
        <v/>
      </c>
      <c r="O59" s="181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1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1" t="str">
        <f t="shared" si="7"/>
        <v/>
      </c>
      <c r="R59" s="181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1" t="str">
        <f>IF(itens_Remanesc!A60="","",itens_Remanesc!A60)</f>
        <v/>
      </c>
      <c r="B60" s="220" t="str">
        <f t="shared" ca="1" si="4"/>
        <v/>
      </c>
      <c r="C60" s="221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21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22" t="str">
        <f t="shared" si="5"/>
        <v/>
      </c>
      <c r="F60" s="81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1" t="str">
        <f>IF(A60="","",itens_Remanesc!C60)</f>
        <v/>
      </c>
      <c r="L60" s="181" t="str">
        <f>IF(A60="","",IF($I$4="C0",posicao_contratual!G60,IF($I$4="C1",posicao_contratual!K60,IF($I$4="C2",posicao_contratual!O60,IF($I$4="C3",posicao_contratual!S60,IF($I$4="C4",posicao_contratual!W60,""))))))</f>
        <v/>
      </c>
      <c r="M60" s="181" t="str">
        <f ca="1">IF(OR(A60="",$I$5="",$I$6=""),"",ROUND(SUMIFS(aditivos!$L$2:$L$200,aditivos!$A$2:$A$200,A60,aditivos!$B$2:$B$200,"&gt;"&amp;$I$6,aditivos!$B$2:$B$200,"&lt;="&amp;$I$5),2))</f>
        <v/>
      </c>
      <c r="N60" s="181" t="str">
        <f t="shared" si="6"/>
        <v/>
      </c>
      <c r="O60" s="181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1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1" t="str">
        <f t="shared" si="7"/>
        <v/>
      </c>
      <c r="R60" s="181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1" t="str">
        <f>IF(itens_Remanesc!A61="","",itens_Remanesc!A61)</f>
        <v/>
      </c>
      <c r="B61" s="220" t="str">
        <f t="shared" ca="1" si="4"/>
        <v/>
      </c>
      <c r="C61" s="221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21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22" t="str">
        <f t="shared" si="5"/>
        <v/>
      </c>
      <c r="F61" s="81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1" t="str">
        <f>IF(A61="","",itens_Remanesc!C61)</f>
        <v/>
      </c>
      <c r="L61" s="181" t="str">
        <f>IF(A61="","",IF($I$4="C0",posicao_contratual!G61,IF($I$4="C1",posicao_contratual!K61,IF($I$4="C2",posicao_contratual!O61,IF($I$4="C3",posicao_contratual!S61,IF($I$4="C4",posicao_contratual!W61,""))))))</f>
        <v/>
      </c>
      <c r="M61" s="181" t="str">
        <f ca="1">IF(OR(A61="",$I$5="",$I$6=""),"",ROUND(SUMIFS(aditivos!$L$2:$L$200,aditivos!$A$2:$A$200,A61,aditivos!$B$2:$B$200,"&gt;"&amp;$I$6,aditivos!$B$2:$B$200,"&lt;="&amp;$I$5),2))</f>
        <v/>
      </c>
      <c r="N61" s="181" t="str">
        <f t="shared" si="6"/>
        <v/>
      </c>
      <c r="O61" s="181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1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1" t="str">
        <f t="shared" si="7"/>
        <v/>
      </c>
      <c r="R61" s="181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1" t="str">
        <f>IF(itens_Remanesc!A62="","",itens_Remanesc!A62)</f>
        <v/>
      </c>
      <c r="B62" s="220" t="str">
        <f t="shared" ca="1" si="4"/>
        <v/>
      </c>
      <c r="C62" s="221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21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22" t="str">
        <f t="shared" si="5"/>
        <v/>
      </c>
      <c r="F62" s="81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1" t="str">
        <f>IF(A62="","",itens_Remanesc!C62)</f>
        <v/>
      </c>
      <c r="L62" s="181" t="str">
        <f>IF(A62="","",IF($I$4="C0",posicao_contratual!G62,IF($I$4="C1",posicao_contratual!K62,IF($I$4="C2",posicao_contratual!O62,IF($I$4="C3",posicao_contratual!S62,IF($I$4="C4",posicao_contratual!W62,""))))))</f>
        <v/>
      </c>
      <c r="M62" s="181" t="str">
        <f ca="1">IF(OR(A62="",$I$5="",$I$6=""),"",ROUND(SUMIFS(aditivos!$L$2:$L$200,aditivos!$A$2:$A$200,A62,aditivos!$B$2:$B$200,"&gt;"&amp;$I$6,aditivos!$B$2:$B$200,"&lt;="&amp;$I$5),2))</f>
        <v/>
      </c>
      <c r="N62" s="181" t="str">
        <f t="shared" si="6"/>
        <v/>
      </c>
      <c r="O62" s="181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1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1" t="str">
        <f t="shared" si="7"/>
        <v/>
      </c>
      <c r="R62" s="181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1" t="str">
        <f>IF(itens_Remanesc!A63="","",itens_Remanesc!A63)</f>
        <v/>
      </c>
      <c r="B63" s="220" t="str">
        <f t="shared" ca="1" si="4"/>
        <v/>
      </c>
      <c r="C63" s="221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21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22" t="str">
        <f t="shared" si="5"/>
        <v/>
      </c>
      <c r="F63" s="81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1" t="str">
        <f>IF(A63="","",itens_Remanesc!C63)</f>
        <v/>
      </c>
      <c r="L63" s="181" t="str">
        <f>IF(A63="","",IF($I$4="C0",posicao_contratual!G63,IF($I$4="C1",posicao_contratual!K63,IF($I$4="C2",posicao_contratual!O63,IF($I$4="C3",posicao_contratual!S63,IF($I$4="C4",posicao_contratual!W63,""))))))</f>
        <v/>
      </c>
      <c r="M63" s="181" t="str">
        <f ca="1">IF(OR(A63="",$I$5="",$I$6=""),"",ROUND(SUMIFS(aditivos!$L$2:$L$200,aditivos!$A$2:$A$200,A63,aditivos!$B$2:$B$200,"&gt;"&amp;$I$6,aditivos!$B$2:$B$200,"&lt;="&amp;$I$5),2))</f>
        <v/>
      </c>
      <c r="N63" s="181" t="str">
        <f t="shared" si="6"/>
        <v/>
      </c>
      <c r="O63" s="181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1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1" t="str">
        <f t="shared" si="7"/>
        <v/>
      </c>
      <c r="R63" s="181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1" t="str">
        <f>IF(itens_Remanesc!A64="","",itens_Remanesc!A64)</f>
        <v/>
      </c>
      <c r="B64" s="220" t="str">
        <f t="shared" ca="1" si="4"/>
        <v/>
      </c>
      <c r="C64" s="221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21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22" t="str">
        <f t="shared" si="5"/>
        <v/>
      </c>
      <c r="F64" s="81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1" t="str">
        <f>IF(A64="","",itens_Remanesc!C64)</f>
        <v/>
      </c>
      <c r="L64" s="181" t="str">
        <f>IF(A64="","",IF($I$4="C0",posicao_contratual!G64,IF($I$4="C1",posicao_contratual!K64,IF($I$4="C2",posicao_contratual!O64,IF($I$4="C3",posicao_contratual!S64,IF($I$4="C4",posicao_contratual!W64,""))))))</f>
        <v/>
      </c>
      <c r="M64" s="181" t="str">
        <f ca="1">IF(OR(A64="",$I$5="",$I$6=""),"",ROUND(SUMIFS(aditivos!$L$2:$L$200,aditivos!$A$2:$A$200,A64,aditivos!$B$2:$B$200,"&gt;"&amp;$I$6,aditivos!$B$2:$B$200,"&lt;="&amp;$I$5),2))</f>
        <v/>
      </c>
      <c r="N64" s="181" t="str">
        <f t="shared" si="6"/>
        <v/>
      </c>
      <c r="O64" s="181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1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1" t="str">
        <f t="shared" si="7"/>
        <v/>
      </c>
      <c r="R64" s="181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1" t="str">
        <f>IF(itens_Remanesc!A65="","",itens_Remanesc!A65)</f>
        <v/>
      </c>
      <c r="B65" s="220" t="str">
        <f t="shared" ca="1" si="4"/>
        <v/>
      </c>
      <c r="C65" s="221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21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22" t="str">
        <f t="shared" si="5"/>
        <v/>
      </c>
      <c r="F65" s="81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1" t="str">
        <f>IF(A65="","",itens_Remanesc!C65)</f>
        <v/>
      </c>
      <c r="L65" s="181" t="str">
        <f>IF(A65="","",IF($I$4="C0",posicao_contratual!G65,IF($I$4="C1",posicao_contratual!K65,IF($I$4="C2",posicao_contratual!O65,IF($I$4="C3",posicao_contratual!S65,IF($I$4="C4",posicao_contratual!W65,""))))))</f>
        <v/>
      </c>
      <c r="M65" s="181" t="str">
        <f ca="1">IF(OR(A65="",$I$5="",$I$6=""),"",ROUND(SUMIFS(aditivos!$L$2:$L$200,aditivos!$A$2:$A$200,A65,aditivos!$B$2:$B$200,"&gt;"&amp;$I$6,aditivos!$B$2:$B$200,"&lt;="&amp;$I$5),2))</f>
        <v/>
      </c>
      <c r="N65" s="181" t="str">
        <f t="shared" si="6"/>
        <v/>
      </c>
      <c r="O65" s="181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1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1" t="str">
        <f t="shared" si="7"/>
        <v/>
      </c>
      <c r="R65" s="181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1" t="str">
        <f>IF(itens_Remanesc!A66="","",itens_Remanesc!A66)</f>
        <v/>
      </c>
      <c r="B66" s="220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21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21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22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1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1" t="str">
        <f>IF(A66="","",itens_Remanesc!C66)</f>
        <v/>
      </c>
      <c r="L66" s="181" t="str">
        <f>IF(A66="","",IF($I$4="C0",posicao_contratual!G66,IF($I$4="C1",posicao_contratual!K66,IF($I$4="C2",posicao_contratual!O66,IF($I$4="C3",posicao_contratual!S66,IF($I$4="C4",posicao_contratual!W66,""))))))</f>
        <v/>
      </c>
      <c r="M66" s="181" t="str">
        <f ca="1">IF(OR(A66="",$I$5="",$I$6=""),"",ROUND(SUMIFS(aditivos!$L$2:$L$200,aditivos!$A$2:$A$200,A66,aditivos!$B$2:$B$200,"&gt;"&amp;$I$6,aditivos!$B$2:$B$200,"&lt;="&amp;$I$5),2))</f>
        <v/>
      </c>
      <c r="N66" s="181" t="str">
        <f t="shared" ref="N66:N97" si="10">IF(OR(A66="",L66="",D66=""),"",ROUND(MAX(L66+IF(ISNUMBER(M66),M66,0)-D66,0),2))</f>
        <v/>
      </c>
      <c r="O66" s="181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1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1" t="str">
        <f t="shared" ref="Q66:Q97" si="11">IF(OR(A66="",D66="",K66=""),"",ROUND(D66*K66,2))</f>
        <v/>
      </c>
      <c r="R66" s="181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1" t="str">
        <f>IF(itens_Remanesc!A67="","",itens_Remanesc!A67)</f>
        <v/>
      </c>
      <c r="B67" s="220" t="str">
        <f t="shared" ca="1" si="8"/>
        <v/>
      </c>
      <c r="C67" s="221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21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22" t="str">
        <f t="shared" si="9"/>
        <v/>
      </c>
      <c r="F67" s="81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1" t="str">
        <f>IF(A67="","",itens_Remanesc!C67)</f>
        <v/>
      </c>
      <c r="L67" s="181" t="str">
        <f>IF(A67="","",IF($I$4="C0",posicao_contratual!G67,IF($I$4="C1",posicao_contratual!K67,IF($I$4="C2",posicao_contratual!O67,IF($I$4="C3",posicao_contratual!S67,IF($I$4="C4",posicao_contratual!W67,""))))))</f>
        <v/>
      </c>
      <c r="M67" s="181" t="str">
        <f ca="1">IF(OR(A67="",$I$5="",$I$6=""),"",ROUND(SUMIFS(aditivos!$L$2:$L$200,aditivos!$A$2:$A$200,A67,aditivos!$B$2:$B$200,"&gt;"&amp;$I$6,aditivos!$B$2:$B$200,"&lt;="&amp;$I$5),2))</f>
        <v/>
      </c>
      <c r="N67" s="181" t="str">
        <f t="shared" si="10"/>
        <v/>
      </c>
      <c r="O67" s="181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1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1" t="str">
        <f t="shared" si="11"/>
        <v/>
      </c>
      <c r="R67" s="181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1" t="str">
        <f>IF(itens_Remanesc!A68="","",itens_Remanesc!A68)</f>
        <v/>
      </c>
      <c r="B68" s="220" t="str">
        <f t="shared" ca="1" si="8"/>
        <v/>
      </c>
      <c r="C68" s="221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21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22" t="str">
        <f t="shared" si="9"/>
        <v/>
      </c>
      <c r="F68" s="81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1" t="str">
        <f>IF(A68="","",itens_Remanesc!C68)</f>
        <v/>
      </c>
      <c r="L68" s="181" t="str">
        <f>IF(A68="","",IF($I$4="C0",posicao_contratual!G68,IF($I$4="C1",posicao_contratual!K68,IF($I$4="C2",posicao_contratual!O68,IF($I$4="C3",posicao_contratual!S68,IF($I$4="C4",posicao_contratual!W68,""))))))</f>
        <v/>
      </c>
      <c r="M68" s="181" t="str">
        <f ca="1">IF(OR(A68="",$I$5="",$I$6=""),"",ROUND(SUMIFS(aditivos!$L$2:$L$200,aditivos!$A$2:$A$200,A68,aditivos!$B$2:$B$200,"&gt;"&amp;$I$6,aditivos!$B$2:$B$200,"&lt;="&amp;$I$5),2))</f>
        <v/>
      </c>
      <c r="N68" s="181" t="str">
        <f t="shared" si="10"/>
        <v/>
      </c>
      <c r="O68" s="181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1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1" t="str">
        <f t="shared" si="11"/>
        <v/>
      </c>
      <c r="R68" s="181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1" t="str">
        <f>IF(itens_Remanesc!A69="","",itens_Remanesc!A69)</f>
        <v/>
      </c>
      <c r="B69" s="220" t="str">
        <f t="shared" ca="1" si="8"/>
        <v/>
      </c>
      <c r="C69" s="221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21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22" t="str">
        <f t="shared" si="9"/>
        <v/>
      </c>
      <c r="F69" s="81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1" t="str">
        <f>IF(A69="","",itens_Remanesc!C69)</f>
        <v/>
      </c>
      <c r="L69" s="181" t="str">
        <f>IF(A69="","",IF($I$4="C0",posicao_contratual!G69,IF($I$4="C1",posicao_contratual!K69,IF($I$4="C2",posicao_contratual!O69,IF($I$4="C3",posicao_contratual!S69,IF($I$4="C4",posicao_contratual!W69,""))))))</f>
        <v/>
      </c>
      <c r="M69" s="181" t="str">
        <f ca="1">IF(OR(A69="",$I$5="",$I$6=""),"",ROUND(SUMIFS(aditivos!$L$2:$L$200,aditivos!$A$2:$A$200,A69,aditivos!$B$2:$B$200,"&gt;"&amp;$I$6,aditivos!$B$2:$B$200,"&lt;="&amp;$I$5),2))</f>
        <v/>
      </c>
      <c r="N69" s="181" t="str">
        <f t="shared" si="10"/>
        <v/>
      </c>
      <c r="O69" s="181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1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1" t="str">
        <f t="shared" si="11"/>
        <v/>
      </c>
      <c r="R69" s="181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1" t="str">
        <f>IF(itens_Remanesc!A70="","",itens_Remanesc!A70)</f>
        <v/>
      </c>
      <c r="B70" s="220" t="str">
        <f t="shared" ca="1" si="8"/>
        <v/>
      </c>
      <c r="C70" s="221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21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22" t="str">
        <f t="shared" si="9"/>
        <v/>
      </c>
      <c r="F70" s="81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1" t="str">
        <f>IF(A70="","",itens_Remanesc!C70)</f>
        <v/>
      </c>
      <c r="L70" s="181" t="str">
        <f>IF(A70="","",IF($I$4="C0",posicao_contratual!G70,IF($I$4="C1",posicao_contratual!K70,IF($I$4="C2",posicao_contratual!O70,IF($I$4="C3",posicao_contratual!S70,IF($I$4="C4",posicao_contratual!W70,""))))))</f>
        <v/>
      </c>
      <c r="M70" s="181" t="str">
        <f ca="1">IF(OR(A70="",$I$5="",$I$6=""),"",ROUND(SUMIFS(aditivos!$L$2:$L$200,aditivos!$A$2:$A$200,A70,aditivos!$B$2:$B$200,"&gt;"&amp;$I$6,aditivos!$B$2:$B$200,"&lt;="&amp;$I$5),2))</f>
        <v/>
      </c>
      <c r="N70" s="181" t="str">
        <f t="shared" si="10"/>
        <v/>
      </c>
      <c r="O70" s="181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1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1" t="str">
        <f t="shared" si="11"/>
        <v/>
      </c>
      <c r="R70" s="181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1" t="str">
        <f>IF(itens_Remanesc!A71="","",itens_Remanesc!A71)</f>
        <v/>
      </c>
      <c r="B71" s="220" t="str">
        <f t="shared" ca="1" si="8"/>
        <v/>
      </c>
      <c r="C71" s="221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21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22" t="str">
        <f t="shared" si="9"/>
        <v/>
      </c>
      <c r="F71" s="81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1" t="str">
        <f>IF(A71="","",itens_Remanesc!C71)</f>
        <v/>
      </c>
      <c r="L71" s="181" t="str">
        <f>IF(A71="","",IF($I$4="C0",posicao_contratual!G71,IF($I$4="C1",posicao_contratual!K71,IF($I$4="C2",posicao_contratual!O71,IF($I$4="C3",posicao_contratual!S71,IF($I$4="C4",posicao_contratual!W71,""))))))</f>
        <v/>
      </c>
      <c r="M71" s="181" t="str">
        <f ca="1">IF(OR(A71="",$I$5="",$I$6=""),"",ROUND(SUMIFS(aditivos!$L$2:$L$200,aditivos!$A$2:$A$200,A71,aditivos!$B$2:$B$200,"&gt;"&amp;$I$6,aditivos!$B$2:$B$200,"&lt;="&amp;$I$5),2))</f>
        <v/>
      </c>
      <c r="N71" s="181" t="str">
        <f t="shared" si="10"/>
        <v/>
      </c>
      <c r="O71" s="181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1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1" t="str">
        <f t="shared" si="11"/>
        <v/>
      </c>
      <c r="R71" s="181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1" t="str">
        <f>IF(itens_Remanesc!A72="","",itens_Remanesc!A72)</f>
        <v/>
      </c>
      <c r="B72" s="220" t="str">
        <f t="shared" ca="1" si="8"/>
        <v/>
      </c>
      <c r="C72" s="221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21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22" t="str">
        <f t="shared" si="9"/>
        <v/>
      </c>
      <c r="F72" s="81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1" t="str">
        <f>IF(A72="","",itens_Remanesc!C72)</f>
        <v/>
      </c>
      <c r="L72" s="181" t="str">
        <f>IF(A72="","",IF($I$4="C0",posicao_contratual!G72,IF($I$4="C1",posicao_contratual!K72,IF($I$4="C2",posicao_contratual!O72,IF($I$4="C3",posicao_contratual!S72,IF($I$4="C4",posicao_contratual!W72,""))))))</f>
        <v/>
      </c>
      <c r="M72" s="181" t="str">
        <f ca="1">IF(OR(A72="",$I$5="",$I$6=""),"",ROUND(SUMIFS(aditivos!$L$2:$L$200,aditivos!$A$2:$A$200,A72,aditivos!$B$2:$B$200,"&gt;"&amp;$I$6,aditivos!$B$2:$B$200,"&lt;="&amp;$I$5),2))</f>
        <v/>
      </c>
      <c r="N72" s="181" t="str">
        <f t="shared" si="10"/>
        <v/>
      </c>
      <c r="O72" s="181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1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1" t="str">
        <f t="shared" si="11"/>
        <v/>
      </c>
      <c r="R72" s="181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1" t="str">
        <f>IF(itens_Remanesc!A73="","",itens_Remanesc!A73)</f>
        <v/>
      </c>
      <c r="B73" s="220" t="str">
        <f t="shared" ca="1" si="8"/>
        <v/>
      </c>
      <c r="C73" s="221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21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22" t="str">
        <f t="shared" si="9"/>
        <v/>
      </c>
      <c r="F73" s="81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1" t="str">
        <f>IF(A73="","",itens_Remanesc!C73)</f>
        <v/>
      </c>
      <c r="L73" s="181" t="str">
        <f>IF(A73="","",IF($I$4="C0",posicao_contratual!G73,IF($I$4="C1",posicao_contratual!K73,IF($I$4="C2",posicao_contratual!O73,IF($I$4="C3",posicao_contratual!S73,IF($I$4="C4",posicao_contratual!W73,""))))))</f>
        <v/>
      </c>
      <c r="M73" s="181" t="str">
        <f ca="1">IF(OR(A73="",$I$5="",$I$6=""),"",ROUND(SUMIFS(aditivos!$L$2:$L$200,aditivos!$A$2:$A$200,A73,aditivos!$B$2:$B$200,"&gt;"&amp;$I$6,aditivos!$B$2:$B$200,"&lt;="&amp;$I$5),2))</f>
        <v/>
      </c>
      <c r="N73" s="181" t="str">
        <f t="shared" si="10"/>
        <v/>
      </c>
      <c r="O73" s="181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1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1" t="str">
        <f t="shared" si="11"/>
        <v/>
      </c>
      <c r="R73" s="181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1" t="str">
        <f>IF(itens_Remanesc!A74="","",itens_Remanesc!A74)</f>
        <v/>
      </c>
      <c r="B74" s="220" t="str">
        <f t="shared" ca="1" si="8"/>
        <v/>
      </c>
      <c r="C74" s="221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21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22" t="str">
        <f t="shared" si="9"/>
        <v/>
      </c>
      <c r="F74" s="81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1" t="str">
        <f>IF(A74="","",itens_Remanesc!C74)</f>
        <v/>
      </c>
      <c r="L74" s="181" t="str">
        <f>IF(A74="","",IF($I$4="C0",posicao_contratual!G74,IF($I$4="C1",posicao_contratual!K74,IF($I$4="C2",posicao_contratual!O74,IF($I$4="C3",posicao_contratual!S74,IF($I$4="C4",posicao_contratual!W74,""))))))</f>
        <v/>
      </c>
      <c r="M74" s="181" t="str">
        <f ca="1">IF(OR(A74="",$I$5="",$I$6=""),"",ROUND(SUMIFS(aditivos!$L$2:$L$200,aditivos!$A$2:$A$200,A74,aditivos!$B$2:$B$200,"&gt;"&amp;$I$6,aditivos!$B$2:$B$200,"&lt;="&amp;$I$5),2))</f>
        <v/>
      </c>
      <c r="N74" s="181" t="str">
        <f t="shared" si="10"/>
        <v/>
      </c>
      <c r="O74" s="181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1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1" t="str">
        <f t="shared" si="11"/>
        <v/>
      </c>
      <c r="R74" s="181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1" t="str">
        <f>IF(itens_Remanesc!A75="","",itens_Remanesc!A75)</f>
        <v/>
      </c>
      <c r="B75" s="220" t="str">
        <f t="shared" ca="1" si="8"/>
        <v/>
      </c>
      <c r="C75" s="221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21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22" t="str">
        <f t="shared" si="9"/>
        <v/>
      </c>
      <c r="F75" s="81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1" t="str">
        <f>IF(A75="","",itens_Remanesc!C75)</f>
        <v/>
      </c>
      <c r="L75" s="181" t="str">
        <f>IF(A75="","",IF($I$4="C0",posicao_contratual!G75,IF($I$4="C1",posicao_contratual!K75,IF($I$4="C2",posicao_contratual!O75,IF($I$4="C3",posicao_contratual!S75,IF($I$4="C4",posicao_contratual!W75,""))))))</f>
        <v/>
      </c>
      <c r="M75" s="181" t="str">
        <f ca="1">IF(OR(A75="",$I$5="",$I$6=""),"",ROUND(SUMIFS(aditivos!$L$2:$L$200,aditivos!$A$2:$A$200,A75,aditivos!$B$2:$B$200,"&gt;"&amp;$I$6,aditivos!$B$2:$B$200,"&lt;="&amp;$I$5),2))</f>
        <v/>
      </c>
      <c r="N75" s="181" t="str">
        <f t="shared" si="10"/>
        <v/>
      </c>
      <c r="O75" s="181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1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1" t="str">
        <f t="shared" si="11"/>
        <v/>
      </c>
      <c r="R75" s="181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1" t="str">
        <f>IF(itens_Remanesc!A76="","",itens_Remanesc!A76)</f>
        <v/>
      </c>
      <c r="B76" s="220" t="str">
        <f t="shared" ca="1" si="8"/>
        <v/>
      </c>
      <c r="C76" s="221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21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22" t="str">
        <f t="shared" si="9"/>
        <v/>
      </c>
      <c r="F76" s="81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1" t="str">
        <f>IF(A76="","",itens_Remanesc!C76)</f>
        <v/>
      </c>
      <c r="L76" s="181" t="str">
        <f>IF(A76="","",IF($I$4="C0",posicao_contratual!G76,IF($I$4="C1",posicao_contratual!K76,IF($I$4="C2",posicao_contratual!O76,IF($I$4="C3",posicao_contratual!S76,IF($I$4="C4",posicao_contratual!W76,""))))))</f>
        <v/>
      </c>
      <c r="M76" s="181" t="str">
        <f ca="1">IF(OR(A76="",$I$5="",$I$6=""),"",ROUND(SUMIFS(aditivos!$L$2:$L$200,aditivos!$A$2:$A$200,A76,aditivos!$B$2:$B$200,"&gt;"&amp;$I$6,aditivos!$B$2:$B$200,"&lt;="&amp;$I$5),2))</f>
        <v/>
      </c>
      <c r="N76" s="181" t="str">
        <f t="shared" si="10"/>
        <v/>
      </c>
      <c r="O76" s="181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1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1" t="str">
        <f t="shared" si="11"/>
        <v/>
      </c>
      <c r="R76" s="181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1" t="str">
        <f>IF(itens_Remanesc!A77="","",itens_Remanesc!A77)</f>
        <v/>
      </c>
      <c r="B77" s="220" t="str">
        <f t="shared" ca="1" si="8"/>
        <v/>
      </c>
      <c r="C77" s="221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21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22" t="str">
        <f t="shared" si="9"/>
        <v/>
      </c>
      <c r="F77" s="81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1" t="str">
        <f>IF(A77="","",itens_Remanesc!C77)</f>
        <v/>
      </c>
      <c r="L77" s="181" t="str">
        <f>IF(A77="","",IF($I$4="C0",posicao_contratual!G77,IF($I$4="C1",posicao_contratual!K77,IF($I$4="C2",posicao_contratual!O77,IF($I$4="C3",posicao_contratual!S77,IF($I$4="C4",posicao_contratual!W77,""))))))</f>
        <v/>
      </c>
      <c r="M77" s="181" t="str">
        <f ca="1">IF(OR(A77="",$I$5="",$I$6=""),"",ROUND(SUMIFS(aditivos!$L$2:$L$200,aditivos!$A$2:$A$200,A77,aditivos!$B$2:$B$200,"&gt;"&amp;$I$6,aditivos!$B$2:$B$200,"&lt;="&amp;$I$5),2))</f>
        <v/>
      </c>
      <c r="N77" s="181" t="str">
        <f t="shared" si="10"/>
        <v/>
      </c>
      <c r="O77" s="181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1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1" t="str">
        <f t="shared" si="11"/>
        <v/>
      </c>
      <c r="R77" s="181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1" t="str">
        <f>IF(itens_Remanesc!A78="","",itens_Remanesc!A78)</f>
        <v/>
      </c>
      <c r="B78" s="220" t="str">
        <f t="shared" ca="1" si="8"/>
        <v/>
      </c>
      <c r="C78" s="221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21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22" t="str">
        <f t="shared" si="9"/>
        <v/>
      </c>
      <c r="F78" s="81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1" t="str">
        <f>IF(A78="","",itens_Remanesc!C78)</f>
        <v/>
      </c>
      <c r="L78" s="181" t="str">
        <f>IF(A78="","",IF($I$4="C0",posicao_contratual!G78,IF($I$4="C1",posicao_contratual!K78,IF($I$4="C2",posicao_contratual!O78,IF($I$4="C3",posicao_contratual!S78,IF($I$4="C4",posicao_contratual!W78,""))))))</f>
        <v/>
      </c>
      <c r="M78" s="181" t="str">
        <f ca="1">IF(OR(A78="",$I$5="",$I$6=""),"",ROUND(SUMIFS(aditivos!$L$2:$L$200,aditivos!$A$2:$A$200,A78,aditivos!$B$2:$B$200,"&gt;"&amp;$I$6,aditivos!$B$2:$B$200,"&lt;="&amp;$I$5),2))</f>
        <v/>
      </c>
      <c r="N78" s="181" t="str">
        <f t="shared" si="10"/>
        <v/>
      </c>
      <c r="O78" s="181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1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1" t="str">
        <f t="shared" si="11"/>
        <v/>
      </c>
      <c r="R78" s="181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1" t="str">
        <f>IF(itens_Remanesc!A79="","",itens_Remanesc!A79)</f>
        <v/>
      </c>
      <c r="B79" s="220" t="str">
        <f t="shared" ca="1" si="8"/>
        <v/>
      </c>
      <c r="C79" s="221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21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22" t="str">
        <f t="shared" si="9"/>
        <v/>
      </c>
      <c r="F79" s="81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1" t="str">
        <f>IF(A79="","",itens_Remanesc!C79)</f>
        <v/>
      </c>
      <c r="L79" s="181" t="str">
        <f>IF(A79="","",IF($I$4="C0",posicao_contratual!G79,IF($I$4="C1",posicao_contratual!K79,IF($I$4="C2",posicao_contratual!O79,IF($I$4="C3",posicao_contratual!S79,IF($I$4="C4",posicao_contratual!W79,""))))))</f>
        <v/>
      </c>
      <c r="M79" s="181" t="str">
        <f ca="1">IF(OR(A79="",$I$5="",$I$6=""),"",ROUND(SUMIFS(aditivos!$L$2:$L$200,aditivos!$A$2:$A$200,A79,aditivos!$B$2:$B$200,"&gt;"&amp;$I$6,aditivos!$B$2:$B$200,"&lt;="&amp;$I$5),2))</f>
        <v/>
      </c>
      <c r="N79" s="181" t="str">
        <f t="shared" si="10"/>
        <v/>
      </c>
      <c r="O79" s="181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1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1" t="str">
        <f t="shared" si="11"/>
        <v/>
      </c>
      <c r="R79" s="181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1" t="str">
        <f>IF(itens_Remanesc!A80="","",itens_Remanesc!A80)</f>
        <v/>
      </c>
      <c r="B80" s="220" t="str">
        <f t="shared" ca="1" si="8"/>
        <v/>
      </c>
      <c r="C80" s="221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21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22" t="str">
        <f t="shared" si="9"/>
        <v/>
      </c>
      <c r="F80" s="81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1" t="str">
        <f>IF(A80="","",itens_Remanesc!C80)</f>
        <v/>
      </c>
      <c r="L80" s="181" t="str">
        <f>IF(A80="","",IF($I$4="C0",posicao_contratual!G80,IF($I$4="C1",posicao_contratual!K80,IF($I$4="C2",posicao_contratual!O80,IF($I$4="C3",posicao_contratual!S80,IF($I$4="C4",posicao_contratual!W80,""))))))</f>
        <v/>
      </c>
      <c r="M80" s="181" t="str">
        <f ca="1">IF(OR(A80="",$I$5="",$I$6=""),"",ROUND(SUMIFS(aditivos!$L$2:$L$200,aditivos!$A$2:$A$200,A80,aditivos!$B$2:$B$200,"&gt;"&amp;$I$6,aditivos!$B$2:$B$200,"&lt;="&amp;$I$5),2))</f>
        <v/>
      </c>
      <c r="N80" s="181" t="str">
        <f t="shared" si="10"/>
        <v/>
      </c>
      <c r="O80" s="181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1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1" t="str">
        <f t="shared" si="11"/>
        <v/>
      </c>
      <c r="R80" s="181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1" t="str">
        <f>IF(itens_Remanesc!A81="","",itens_Remanesc!A81)</f>
        <v/>
      </c>
      <c r="B81" s="220" t="str">
        <f t="shared" ca="1" si="8"/>
        <v/>
      </c>
      <c r="C81" s="221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21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22" t="str">
        <f t="shared" si="9"/>
        <v/>
      </c>
      <c r="F81" s="81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1" t="str">
        <f>IF(A81="","",itens_Remanesc!C81)</f>
        <v/>
      </c>
      <c r="L81" s="181" t="str">
        <f>IF(A81="","",IF($I$4="C0",posicao_contratual!G81,IF($I$4="C1",posicao_contratual!K81,IF($I$4="C2",posicao_contratual!O81,IF($I$4="C3",posicao_contratual!S81,IF($I$4="C4",posicao_contratual!W81,""))))))</f>
        <v/>
      </c>
      <c r="M81" s="181" t="str">
        <f ca="1">IF(OR(A81="",$I$5="",$I$6=""),"",ROUND(SUMIFS(aditivos!$L$2:$L$200,aditivos!$A$2:$A$200,A81,aditivos!$B$2:$B$200,"&gt;"&amp;$I$6,aditivos!$B$2:$B$200,"&lt;="&amp;$I$5),2))</f>
        <v/>
      </c>
      <c r="N81" s="181" t="str">
        <f t="shared" si="10"/>
        <v/>
      </c>
      <c r="O81" s="181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1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1" t="str">
        <f t="shared" si="11"/>
        <v/>
      </c>
      <c r="R81" s="181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1" t="str">
        <f>IF(itens_Remanesc!A82="","",itens_Remanesc!A82)</f>
        <v/>
      </c>
      <c r="B82" s="220" t="str">
        <f t="shared" ca="1" si="8"/>
        <v/>
      </c>
      <c r="C82" s="221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21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22" t="str">
        <f t="shared" si="9"/>
        <v/>
      </c>
      <c r="F82" s="81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1" t="str">
        <f>IF(A82="","",itens_Remanesc!C82)</f>
        <v/>
      </c>
      <c r="L82" s="181" t="str">
        <f>IF(A82="","",IF($I$4="C0",posicao_contratual!G82,IF($I$4="C1",posicao_contratual!K82,IF($I$4="C2",posicao_contratual!O82,IF($I$4="C3",posicao_contratual!S82,IF($I$4="C4",posicao_contratual!W82,""))))))</f>
        <v/>
      </c>
      <c r="M82" s="181" t="str">
        <f ca="1">IF(OR(A82="",$I$5="",$I$6=""),"",ROUND(SUMIFS(aditivos!$L$2:$L$200,aditivos!$A$2:$A$200,A82,aditivos!$B$2:$B$200,"&gt;"&amp;$I$6,aditivos!$B$2:$B$200,"&lt;="&amp;$I$5),2))</f>
        <v/>
      </c>
      <c r="N82" s="181" t="str">
        <f t="shared" si="10"/>
        <v/>
      </c>
      <c r="O82" s="181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1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1" t="str">
        <f t="shared" si="11"/>
        <v/>
      </c>
      <c r="R82" s="181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1" t="str">
        <f>IF(itens_Remanesc!A83="","",itens_Remanesc!A83)</f>
        <v/>
      </c>
      <c r="B83" s="220" t="str">
        <f t="shared" ca="1" si="8"/>
        <v/>
      </c>
      <c r="C83" s="221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21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22" t="str">
        <f t="shared" si="9"/>
        <v/>
      </c>
      <c r="F83" s="81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1" t="str">
        <f>IF(A83="","",itens_Remanesc!C83)</f>
        <v/>
      </c>
      <c r="L83" s="181" t="str">
        <f>IF(A83="","",IF($I$4="C0",posicao_contratual!G83,IF($I$4="C1",posicao_contratual!K83,IF($I$4="C2",posicao_contratual!O83,IF($I$4="C3",posicao_contratual!S83,IF($I$4="C4",posicao_contratual!W83,""))))))</f>
        <v/>
      </c>
      <c r="M83" s="181" t="str">
        <f ca="1">IF(OR(A83="",$I$5="",$I$6=""),"",ROUND(SUMIFS(aditivos!$L$2:$L$200,aditivos!$A$2:$A$200,A83,aditivos!$B$2:$B$200,"&gt;"&amp;$I$6,aditivos!$B$2:$B$200,"&lt;="&amp;$I$5),2))</f>
        <v/>
      </c>
      <c r="N83" s="181" t="str">
        <f t="shared" si="10"/>
        <v/>
      </c>
      <c r="O83" s="181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1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1" t="str">
        <f t="shared" si="11"/>
        <v/>
      </c>
      <c r="R83" s="181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1" t="str">
        <f>IF(itens_Remanesc!A84="","",itens_Remanesc!A84)</f>
        <v/>
      </c>
      <c r="B84" s="220" t="str">
        <f t="shared" ca="1" si="8"/>
        <v/>
      </c>
      <c r="C84" s="221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21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22" t="str">
        <f t="shared" si="9"/>
        <v/>
      </c>
      <c r="F84" s="81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1" t="str">
        <f>IF(A84="","",itens_Remanesc!C84)</f>
        <v/>
      </c>
      <c r="L84" s="181" t="str">
        <f>IF(A84="","",IF($I$4="C0",posicao_contratual!G84,IF($I$4="C1",posicao_contratual!K84,IF($I$4="C2",posicao_contratual!O84,IF($I$4="C3",posicao_contratual!S84,IF($I$4="C4",posicao_contratual!W84,""))))))</f>
        <v/>
      </c>
      <c r="M84" s="181" t="str">
        <f ca="1">IF(OR(A84="",$I$5="",$I$6=""),"",ROUND(SUMIFS(aditivos!$L$2:$L$200,aditivos!$A$2:$A$200,A84,aditivos!$B$2:$B$200,"&gt;"&amp;$I$6,aditivos!$B$2:$B$200,"&lt;="&amp;$I$5),2))</f>
        <v/>
      </c>
      <c r="N84" s="181" t="str">
        <f t="shared" si="10"/>
        <v/>
      </c>
      <c r="O84" s="181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1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1" t="str">
        <f t="shared" si="11"/>
        <v/>
      </c>
      <c r="R84" s="181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1" t="str">
        <f>IF(itens_Remanesc!A85="","",itens_Remanesc!A85)</f>
        <v/>
      </c>
      <c r="B85" s="220" t="str">
        <f t="shared" ca="1" si="8"/>
        <v/>
      </c>
      <c r="C85" s="221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21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22" t="str">
        <f t="shared" si="9"/>
        <v/>
      </c>
      <c r="F85" s="81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1" t="str">
        <f>IF(A85="","",itens_Remanesc!C85)</f>
        <v/>
      </c>
      <c r="L85" s="181" t="str">
        <f>IF(A85="","",IF($I$4="C0",posicao_contratual!G85,IF($I$4="C1",posicao_contratual!K85,IF($I$4="C2",posicao_contratual!O85,IF($I$4="C3",posicao_contratual!S85,IF($I$4="C4",posicao_contratual!W85,""))))))</f>
        <v/>
      </c>
      <c r="M85" s="181" t="str">
        <f ca="1">IF(OR(A85="",$I$5="",$I$6=""),"",ROUND(SUMIFS(aditivos!$L$2:$L$200,aditivos!$A$2:$A$200,A85,aditivos!$B$2:$B$200,"&gt;"&amp;$I$6,aditivos!$B$2:$B$200,"&lt;="&amp;$I$5),2))</f>
        <v/>
      </c>
      <c r="N85" s="181" t="str">
        <f t="shared" si="10"/>
        <v/>
      </c>
      <c r="O85" s="181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1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1" t="str">
        <f t="shared" si="11"/>
        <v/>
      </c>
      <c r="R85" s="181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1" t="str">
        <f>IF(itens_Remanesc!A86="","",itens_Remanesc!A86)</f>
        <v/>
      </c>
      <c r="B86" s="220" t="str">
        <f t="shared" ca="1" si="8"/>
        <v/>
      </c>
      <c r="C86" s="221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21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22" t="str">
        <f t="shared" si="9"/>
        <v/>
      </c>
      <c r="F86" s="81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1" t="str">
        <f>IF(A86="","",itens_Remanesc!C86)</f>
        <v/>
      </c>
      <c r="L86" s="181" t="str">
        <f>IF(A86="","",IF($I$4="C0",posicao_contratual!G86,IF($I$4="C1",posicao_contratual!K86,IF($I$4="C2",posicao_contratual!O86,IF($I$4="C3",posicao_contratual!S86,IF($I$4="C4",posicao_contratual!W86,""))))))</f>
        <v/>
      </c>
      <c r="M86" s="181" t="str">
        <f ca="1">IF(OR(A86="",$I$5="",$I$6=""),"",ROUND(SUMIFS(aditivos!$L$2:$L$200,aditivos!$A$2:$A$200,A86,aditivos!$B$2:$B$200,"&gt;"&amp;$I$6,aditivos!$B$2:$B$200,"&lt;="&amp;$I$5),2))</f>
        <v/>
      </c>
      <c r="N86" s="181" t="str">
        <f t="shared" si="10"/>
        <v/>
      </c>
      <c r="O86" s="181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1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1" t="str">
        <f t="shared" si="11"/>
        <v/>
      </c>
      <c r="R86" s="181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1" t="str">
        <f>IF(itens_Remanesc!A87="","",itens_Remanesc!A87)</f>
        <v/>
      </c>
      <c r="B87" s="220" t="str">
        <f t="shared" ca="1" si="8"/>
        <v/>
      </c>
      <c r="C87" s="221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21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22" t="str">
        <f t="shared" si="9"/>
        <v/>
      </c>
      <c r="F87" s="81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1" t="str">
        <f>IF(A87="","",itens_Remanesc!C87)</f>
        <v/>
      </c>
      <c r="L87" s="181" t="str">
        <f>IF(A87="","",IF($I$4="C0",posicao_contratual!G87,IF($I$4="C1",posicao_contratual!K87,IF($I$4="C2",posicao_contratual!O87,IF($I$4="C3",posicao_contratual!S87,IF($I$4="C4",posicao_contratual!W87,""))))))</f>
        <v/>
      </c>
      <c r="M87" s="181" t="str">
        <f ca="1">IF(OR(A87="",$I$5="",$I$6=""),"",ROUND(SUMIFS(aditivos!$L$2:$L$200,aditivos!$A$2:$A$200,A87,aditivos!$B$2:$B$200,"&gt;"&amp;$I$6,aditivos!$B$2:$B$200,"&lt;="&amp;$I$5),2))</f>
        <v/>
      </c>
      <c r="N87" s="181" t="str">
        <f t="shared" si="10"/>
        <v/>
      </c>
      <c r="O87" s="181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1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1" t="str">
        <f t="shared" si="11"/>
        <v/>
      </c>
      <c r="R87" s="181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1" t="str">
        <f>IF(itens_Remanesc!A88="","",itens_Remanesc!A88)</f>
        <v/>
      </c>
      <c r="B88" s="220" t="str">
        <f t="shared" ca="1" si="8"/>
        <v/>
      </c>
      <c r="C88" s="221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21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22" t="str">
        <f t="shared" si="9"/>
        <v/>
      </c>
      <c r="F88" s="81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1" t="str">
        <f>IF(A88="","",itens_Remanesc!C88)</f>
        <v/>
      </c>
      <c r="L88" s="181" t="str">
        <f>IF(A88="","",IF($I$4="C0",posicao_contratual!G88,IF($I$4="C1",posicao_contratual!K88,IF($I$4="C2",posicao_contratual!O88,IF($I$4="C3",posicao_contratual!S88,IF($I$4="C4",posicao_contratual!W88,""))))))</f>
        <v/>
      </c>
      <c r="M88" s="181" t="str">
        <f ca="1">IF(OR(A88="",$I$5="",$I$6=""),"",ROUND(SUMIFS(aditivos!$L$2:$L$200,aditivos!$A$2:$A$200,A88,aditivos!$B$2:$B$200,"&gt;"&amp;$I$6,aditivos!$B$2:$B$200,"&lt;="&amp;$I$5),2))</f>
        <v/>
      </c>
      <c r="N88" s="181" t="str">
        <f t="shared" si="10"/>
        <v/>
      </c>
      <c r="O88" s="181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1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1" t="str">
        <f t="shared" si="11"/>
        <v/>
      </c>
      <c r="R88" s="181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1" t="str">
        <f>IF(itens_Remanesc!A89="","",itens_Remanesc!A89)</f>
        <v/>
      </c>
      <c r="B89" s="220" t="str">
        <f t="shared" ca="1" si="8"/>
        <v/>
      </c>
      <c r="C89" s="221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21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22" t="str">
        <f t="shared" si="9"/>
        <v/>
      </c>
      <c r="F89" s="81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1" t="str">
        <f>IF(A89="","",itens_Remanesc!C89)</f>
        <v/>
      </c>
      <c r="L89" s="181" t="str">
        <f>IF(A89="","",IF($I$4="C0",posicao_contratual!G89,IF($I$4="C1",posicao_contratual!K89,IF($I$4="C2",posicao_contratual!O89,IF($I$4="C3",posicao_contratual!S89,IF($I$4="C4",posicao_contratual!W89,""))))))</f>
        <v/>
      </c>
      <c r="M89" s="181" t="str">
        <f ca="1">IF(OR(A89="",$I$5="",$I$6=""),"",ROUND(SUMIFS(aditivos!$L$2:$L$200,aditivos!$A$2:$A$200,A89,aditivos!$B$2:$B$200,"&gt;"&amp;$I$6,aditivos!$B$2:$B$200,"&lt;="&amp;$I$5),2))</f>
        <v/>
      </c>
      <c r="N89" s="181" t="str">
        <f t="shared" si="10"/>
        <v/>
      </c>
      <c r="O89" s="181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1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1" t="str">
        <f t="shared" si="11"/>
        <v/>
      </c>
      <c r="R89" s="181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1" t="str">
        <f>IF(itens_Remanesc!A90="","",itens_Remanesc!A90)</f>
        <v/>
      </c>
      <c r="B90" s="220" t="str">
        <f t="shared" ca="1" si="8"/>
        <v/>
      </c>
      <c r="C90" s="221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21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22" t="str">
        <f t="shared" si="9"/>
        <v/>
      </c>
      <c r="F90" s="81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1" t="str">
        <f>IF(A90="","",itens_Remanesc!C90)</f>
        <v/>
      </c>
      <c r="L90" s="181" t="str">
        <f>IF(A90="","",IF($I$4="C0",posicao_contratual!G90,IF($I$4="C1",posicao_contratual!K90,IF($I$4="C2",posicao_contratual!O90,IF($I$4="C3",posicao_contratual!S90,IF($I$4="C4",posicao_contratual!W90,""))))))</f>
        <v/>
      </c>
      <c r="M90" s="181" t="str">
        <f ca="1">IF(OR(A90="",$I$5="",$I$6=""),"",ROUND(SUMIFS(aditivos!$L$2:$L$200,aditivos!$A$2:$A$200,A90,aditivos!$B$2:$B$200,"&gt;"&amp;$I$6,aditivos!$B$2:$B$200,"&lt;="&amp;$I$5),2))</f>
        <v/>
      </c>
      <c r="N90" s="181" t="str">
        <f t="shared" si="10"/>
        <v/>
      </c>
      <c r="O90" s="181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1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1" t="str">
        <f t="shared" si="11"/>
        <v/>
      </c>
      <c r="R90" s="181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1" t="str">
        <f>IF(itens_Remanesc!A91="","",itens_Remanesc!A91)</f>
        <v/>
      </c>
      <c r="B91" s="220" t="str">
        <f t="shared" ca="1" si="8"/>
        <v/>
      </c>
      <c r="C91" s="221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21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22" t="str">
        <f t="shared" si="9"/>
        <v/>
      </c>
      <c r="F91" s="81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1" t="str">
        <f>IF(A91="","",itens_Remanesc!C91)</f>
        <v/>
      </c>
      <c r="L91" s="181" t="str">
        <f>IF(A91="","",IF($I$4="C0",posicao_contratual!G91,IF($I$4="C1",posicao_contratual!K91,IF($I$4="C2",posicao_contratual!O91,IF($I$4="C3",posicao_contratual!S91,IF($I$4="C4",posicao_contratual!W91,""))))))</f>
        <v/>
      </c>
      <c r="M91" s="181" t="str">
        <f ca="1">IF(OR(A91="",$I$5="",$I$6=""),"",ROUND(SUMIFS(aditivos!$L$2:$L$200,aditivos!$A$2:$A$200,A91,aditivos!$B$2:$B$200,"&gt;"&amp;$I$6,aditivos!$B$2:$B$200,"&lt;="&amp;$I$5),2))</f>
        <v/>
      </c>
      <c r="N91" s="181" t="str">
        <f t="shared" si="10"/>
        <v/>
      </c>
      <c r="O91" s="181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1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1" t="str">
        <f t="shared" si="11"/>
        <v/>
      </c>
      <c r="R91" s="181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1" t="str">
        <f>IF(itens_Remanesc!A92="","",itens_Remanesc!A92)</f>
        <v/>
      </c>
      <c r="B92" s="220" t="str">
        <f t="shared" ca="1" si="8"/>
        <v/>
      </c>
      <c r="C92" s="221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21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22" t="str">
        <f t="shared" si="9"/>
        <v/>
      </c>
      <c r="F92" s="81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1" t="str">
        <f>IF(A92="","",itens_Remanesc!C92)</f>
        <v/>
      </c>
      <c r="L92" s="181" t="str">
        <f>IF(A92="","",IF($I$4="C0",posicao_contratual!G92,IF($I$4="C1",posicao_contratual!K92,IF($I$4="C2",posicao_contratual!O92,IF($I$4="C3",posicao_contratual!S92,IF($I$4="C4",posicao_contratual!W92,""))))))</f>
        <v/>
      </c>
      <c r="M92" s="181" t="str">
        <f ca="1">IF(OR(A92="",$I$5="",$I$6=""),"",ROUND(SUMIFS(aditivos!$L$2:$L$200,aditivos!$A$2:$A$200,A92,aditivos!$B$2:$B$200,"&gt;"&amp;$I$6,aditivos!$B$2:$B$200,"&lt;="&amp;$I$5),2))</f>
        <v/>
      </c>
      <c r="N92" s="181" t="str">
        <f t="shared" si="10"/>
        <v/>
      </c>
      <c r="O92" s="181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1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1" t="str">
        <f t="shared" si="11"/>
        <v/>
      </c>
      <c r="R92" s="181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1" t="str">
        <f>IF(itens_Remanesc!A93="","",itens_Remanesc!A93)</f>
        <v/>
      </c>
      <c r="B93" s="220" t="str">
        <f t="shared" ca="1" si="8"/>
        <v/>
      </c>
      <c r="C93" s="221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21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22" t="str">
        <f t="shared" si="9"/>
        <v/>
      </c>
      <c r="F93" s="81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1" t="str">
        <f>IF(A93="","",itens_Remanesc!C93)</f>
        <v/>
      </c>
      <c r="L93" s="181" t="str">
        <f>IF(A93="","",IF($I$4="C0",posicao_contratual!G93,IF($I$4="C1",posicao_contratual!K93,IF($I$4="C2",posicao_contratual!O93,IF($I$4="C3",posicao_contratual!S93,IF($I$4="C4",posicao_contratual!W93,""))))))</f>
        <v/>
      </c>
      <c r="M93" s="181" t="str">
        <f ca="1">IF(OR(A93="",$I$5="",$I$6=""),"",ROUND(SUMIFS(aditivos!$L$2:$L$200,aditivos!$A$2:$A$200,A93,aditivos!$B$2:$B$200,"&gt;"&amp;$I$6,aditivos!$B$2:$B$200,"&lt;="&amp;$I$5),2))</f>
        <v/>
      </c>
      <c r="N93" s="181" t="str">
        <f t="shared" si="10"/>
        <v/>
      </c>
      <c r="O93" s="181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1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1" t="str">
        <f t="shared" si="11"/>
        <v/>
      </c>
      <c r="R93" s="181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1" t="str">
        <f>IF(itens_Remanesc!A94="","",itens_Remanesc!A94)</f>
        <v/>
      </c>
      <c r="B94" s="220" t="str">
        <f t="shared" ca="1" si="8"/>
        <v/>
      </c>
      <c r="C94" s="221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21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22" t="str">
        <f t="shared" si="9"/>
        <v/>
      </c>
      <c r="F94" s="81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1" t="str">
        <f>IF(A94="","",itens_Remanesc!C94)</f>
        <v/>
      </c>
      <c r="L94" s="181" t="str">
        <f>IF(A94="","",IF($I$4="C0",posicao_contratual!G94,IF($I$4="C1",posicao_contratual!K94,IF($I$4="C2",posicao_contratual!O94,IF($I$4="C3",posicao_contratual!S94,IF($I$4="C4",posicao_contratual!W94,""))))))</f>
        <v/>
      </c>
      <c r="M94" s="181" t="str">
        <f ca="1">IF(OR(A94="",$I$5="",$I$6=""),"",ROUND(SUMIFS(aditivos!$L$2:$L$200,aditivos!$A$2:$A$200,A94,aditivos!$B$2:$B$200,"&gt;"&amp;$I$6,aditivos!$B$2:$B$200,"&lt;="&amp;$I$5),2))</f>
        <v/>
      </c>
      <c r="N94" s="181" t="str">
        <f t="shared" si="10"/>
        <v/>
      </c>
      <c r="O94" s="181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1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1" t="str">
        <f t="shared" si="11"/>
        <v/>
      </c>
      <c r="R94" s="181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1" t="str">
        <f>IF(itens_Remanesc!A95="","",itens_Remanesc!A95)</f>
        <v/>
      </c>
      <c r="B95" s="220" t="str">
        <f t="shared" ca="1" si="8"/>
        <v/>
      </c>
      <c r="C95" s="221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21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22" t="str">
        <f t="shared" si="9"/>
        <v/>
      </c>
      <c r="F95" s="81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1" t="str">
        <f>IF(A95="","",itens_Remanesc!C95)</f>
        <v/>
      </c>
      <c r="L95" s="181" t="str">
        <f>IF(A95="","",IF($I$4="C0",posicao_contratual!G95,IF($I$4="C1",posicao_contratual!K95,IF($I$4="C2",posicao_contratual!O95,IF($I$4="C3",posicao_contratual!S95,IF($I$4="C4",posicao_contratual!W95,""))))))</f>
        <v/>
      </c>
      <c r="M95" s="181" t="str">
        <f ca="1">IF(OR(A95="",$I$5="",$I$6=""),"",ROUND(SUMIFS(aditivos!$L$2:$L$200,aditivos!$A$2:$A$200,A95,aditivos!$B$2:$B$200,"&gt;"&amp;$I$6,aditivos!$B$2:$B$200,"&lt;="&amp;$I$5),2))</f>
        <v/>
      </c>
      <c r="N95" s="181" t="str">
        <f t="shared" si="10"/>
        <v/>
      </c>
      <c r="O95" s="181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1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1" t="str">
        <f t="shared" si="11"/>
        <v/>
      </c>
      <c r="R95" s="181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1" t="str">
        <f>IF(itens_Remanesc!A96="","",itens_Remanesc!A96)</f>
        <v/>
      </c>
      <c r="B96" s="220" t="str">
        <f t="shared" ca="1" si="8"/>
        <v/>
      </c>
      <c r="C96" s="221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21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22" t="str">
        <f t="shared" si="9"/>
        <v/>
      </c>
      <c r="F96" s="81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1" t="str">
        <f>IF(A96="","",itens_Remanesc!C96)</f>
        <v/>
      </c>
      <c r="L96" s="181" t="str">
        <f>IF(A96="","",IF($I$4="C0",posicao_contratual!G96,IF($I$4="C1",posicao_contratual!K96,IF($I$4="C2",posicao_contratual!O96,IF($I$4="C3",posicao_contratual!S96,IF($I$4="C4",posicao_contratual!W96,""))))))</f>
        <v/>
      </c>
      <c r="M96" s="181" t="str">
        <f ca="1">IF(OR(A96="",$I$5="",$I$6=""),"",ROUND(SUMIFS(aditivos!$L$2:$L$200,aditivos!$A$2:$A$200,A96,aditivos!$B$2:$B$200,"&gt;"&amp;$I$6,aditivos!$B$2:$B$200,"&lt;="&amp;$I$5),2))</f>
        <v/>
      </c>
      <c r="N96" s="181" t="str">
        <f t="shared" si="10"/>
        <v/>
      </c>
      <c r="O96" s="181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1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1" t="str">
        <f t="shared" si="11"/>
        <v/>
      </c>
      <c r="R96" s="181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1" t="str">
        <f>IF(itens_Remanesc!A97="","",itens_Remanesc!A97)</f>
        <v/>
      </c>
      <c r="B97" s="220" t="str">
        <f t="shared" ca="1" si="8"/>
        <v/>
      </c>
      <c r="C97" s="221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21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22" t="str">
        <f t="shared" si="9"/>
        <v/>
      </c>
      <c r="F97" s="81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1" t="str">
        <f>IF(A97="","",itens_Remanesc!C97)</f>
        <v/>
      </c>
      <c r="L97" s="181" t="str">
        <f>IF(A97="","",IF($I$4="C0",posicao_contratual!G97,IF($I$4="C1",posicao_contratual!K97,IF($I$4="C2",posicao_contratual!O97,IF($I$4="C3",posicao_contratual!S97,IF($I$4="C4",posicao_contratual!W97,""))))))</f>
        <v/>
      </c>
      <c r="M97" s="181" t="str">
        <f ca="1">IF(OR(A97="",$I$5="",$I$6=""),"",ROUND(SUMIFS(aditivos!$L$2:$L$200,aditivos!$A$2:$A$200,A97,aditivos!$B$2:$B$200,"&gt;"&amp;$I$6,aditivos!$B$2:$B$200,"&lt;="&amp;$I$5),2))</f>
        <v/>
      </c>
      <c r="N97" s="181" t="str">
        <f t="shared" si="10"/>
        <v/>
      </c>
      <c r="O97" s="181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1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1" t="str">
        <f t="shared" si="11"/>
        <v/>
      </c>
      <c r="R97" s="181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1" t="str">
        <f>IF(itens_Remanesc!A98="","",itens_Remanesc!A98)</f>
        <v/>
      </c>
      <c r="B98" s="220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21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21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22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1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1" t="str">
        <f>IF(A98="","",itens_Remanesc!C98)</f>
        <v/>
      </c>
      <c r="L98" s="181" t="str">
        <f>IF(A98="","",IF($I$4="C0",posicao_contratual!G98,IF($I$4="C1",posicao_contratual!K98,IF($I$4="C2",posicao_contratual!O98,IF($I$4="C3",posicao_contratual!S98,IF($I$4="C4",posicao_contratual!W98,""))))))</f>
        <v/>
      </c>
      <c r="M98" s="181" t="str">
        <f ca="1">IF(OR(A98="",$I$5="",$I$6=""),"",ROUND(SUMIFS(aditivos!$L$2:$L$200,aditivos!$A$2:$A$200,A98,aditivos!$B$2:$B$200,"&gt;"&amp;$I$6,aditivos!$B$2:$B$200,"&lt;="&amp;$I$5),2))</f>
        <v/>
      </c>
      <c r="N98" s="181" t="str">
        <f t="shared" ref="N98:N129" si="14">IF(OR(A98="",L98="",D98=""),"",ROUND(MAX(L98+IF(ISNUMBER(M98),M98,0)-D98,0),2))</f>
        <v/>
      </c>
      <c r="O98" s="181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1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1" t="str">
        <f t="shared" ref="Q98:Q129" si="15">IF(OR(A98="",D98="",K98=""),"",ROUND(D98*K98,2))</f>
        <v/>
      </c>
      <c r="R98" s="181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1" t="str">
        <f>IF(itens_Remanesc!A99="","",itens_Remanesc!A99)</f>
        <v/>
      </c>
      <c r="B99" s="220" t="str">
        <f t="shared" ca="1" si="12"/>
        <v/>
      </c>
      <c r="C99" s="221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21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22" t="str">
        <f t="shared" si="13"/>
        <v/>
      </c>
      <c r="F99" s="81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1" t="str">
        <f>IF(A99="","",itens_Remanesc!C99)</f>
        <v/>
      </c>
      <c r="L99" s="181" t="str">
        <f>IF(A99="","",IF($I$4="C0",posicao_contratual!G99,IF($I$4="C1",posicao_contratual!K99,IF($I$4="C2",posicao_contratual!O99,IF($I$4="C3",posicao_contratual!S99,IF($I$4="C4",posicao_contratual!W99,""))))))</f>
        <v/>
      </c>
      <c r="M99" s="181" t="str">
        <f ca="1">IF(OR(A99="",$I$5="",$I$6=""),"",ROUND(SUMIFS(aditivos!$L$2:$L$200,aditivos!$A$2:$A$200,A99,aditivos!$B$2:$B$200,"&gt;"&amp;$I$6,aditivos!$B$2:$B$200,"&lt;="&amp;$I$5),2))</f>
        <v/>
      </c>
      <c r="N99" s="181" t="str">
        <f t="shared" si="14"/>
        <v/>
      </c>
      <c r="O99" s="181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1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1" t="str">
        <f t="shared" si="15"/>
        <v/>
      </c>
      <c r="R99" s="181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1" t="str">
        <f>IF(itens_Remanesc!A100="","",itens_Remanesc!A100)</f>
        <v/>
      </c>
      <c r="B100" s="220" t="str">
        <f t="shared" ca="1" si="12"/>
        <v/>
      </c>
      <c r="C100" s="221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21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22" t="str">
        <f t="shared" si="13"/>
        <v/>
      </c>
      <c r="F100" s="81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1" t="str">
        <f>IF(A100="","",itens_Remanesc!C100)</f>
        <v/>
      </c>
      <c r="L100" s="18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1" t="str">
        <f ca="1">IF(OR(A100="",$I$5="",$I$6=""),"",ROUND(SUMIFS(aditivos!$L$2:$L$200,aditivos!$A$2:$A$200,A100,aditivos!$B$2:$B$200,"&gt;"&amp;$I$6,aditivos!$B$2:$B$200,"&lt;="&amp;$I$5),2))</f>
        <v/>
      </c>
      <c r="N100" s="181" t="str">
        <f t="shared" si="14"/>
        <v/>
      </c>
      <c r="O100" s="181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1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1" t="str">
        <f t="shared" si="15"/>
        <v/>
      </c>
      <c r="R100" s="181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1" t="str">
        <f>IF(itens_Remanesc!A101="","",itens_Remanesc!A101)</f>
        <v/>
      </c>
      <c r="B101" s="220" t="str">
        <f t="shared" ca="1" si="12"/>
        <v/>
      </c>
      <c r="C101" s="221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21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22" t="str">
        <f t="shared" si="13"/>
        <v/>
      </c>
      <c r="F101" s="81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1" t="str">
        <f>IF(A101="","",itens_Remanesc!C101)</f>
        <v/>
      </c>
      <c r="L101" s="18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1" t="str">
        <f ca="1">IF(OR(A101="",$I$5="",$I$6=""),"",ROUND(SUMIFS(aditivos!$L$2:$L$200,aditivos!$A$2:$A$200,A101,aditivos!$B$2:$B$200,"&gt;"&amp;$I$6,aditivos!$B$2:$B$200,"&lt;="&amp;$I$5),2))</f>
        <v/>
      </c>
      <c r="N101" s="181" t="str">
        <f t="shared" si="14"/>
        <v/>
      </c>
      <c r="O101" s="181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1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1" t="str">
        <f t="shared" si="15"/>
        <v/>
      </c>
      <c r="R101" s="181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1" t="str">
        <f>IF(itens_Remanesc!A102="","",itens_Remanesc!A102)</f>
        <v/>
      </c>
      <c r="B102" s="220" t="str">
        <f t="shared" ca="1" si="12"/>
        <v/>
      </c>
      <c r="C102" s="221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21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22" t="str">
        <f t="shared" si="13"/>
        <v/>
      </c>
      <c r="F102" s="81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1" t="str">
        <f>IF(A102="","",itens_Remanesc!C102)</f>
        <v/>
      </c>
      <c r="L102" s="18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1" t="str">
        <f ca="1">IF(OR(A102="",$I$5="",$I$6=""),"",ROUND(SUMIFS(aditivos!$L$2:$L$200,aditivos!$A$2:$A$200,A102,aditivos!$B$2:$B$200,"&gt;"&amp;$I$6,aditivos!$B$2:$B$200,"&lt;="&amp;$I$5),2))</f>
        <v/>
      </c>
      <c r="N102" s="181" t="str">
        <f t="shared" si="14"/>
        <v/>
      </c>
      <c r="O102" s="181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1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1" t="str">
        <f t="shared" si="15"/>
        <v/>
      </c>
      <c r="R102" s="181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1" t="str">
        <f>IF(itens_Remanesc!A103="","",itens_Remanesc!A103)</f>
        <v/>
      </c>
      <c r="B103" s="220" t="str">
        <f t="shared" ca="1" si="12"/>
        <v/>
      </c>
      <c r="C103" s="221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21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22" t="str">
        <f t="shared" si="13"/>
        <v/>
      </c>
      <c r="F103" s="81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1" t="str">
        <f>IF(A103="","",itens_Remanesc!C103)</f>
        <v/>
      </c>
      <c r="L103" s="18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1" t="str">
        <f ca="1">IF(OR(A103="",$I$5="",$I$6=""),"",ROUND(SUMIFS(aditivos!$L$2:$L$200,aditivos!$A$2:$A$200,A103,aditivos!$B$2:$B$200,"&gt;"&amp;$I$6,aditivos!$B$2:$B$200,"&lt;="&amp;$I$5),2))</f>
        <v/>
      </c>
      <c r="N103" s="181" t="str">
        <f t="shared" si="14"/>
        <v/>
      </c>
      <c r="O103" s="181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1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1" t="str">
        <f t="shared" si="15"/>
        <v/>
      </c>
      <c r="R103" s="181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1" t="str">
        <f>IF(itens_Remanesc!A104="","",itens_Remanesc!A104)</f>
        <v/>
      </c>
      <c r="B104" s="220" t="str">
        <f t="shared" ca="1" si="12"/>
        <v/>
      </c>
      <c r="C104" s="221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21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22" t="str">
        <f t="shared" si="13"/>
        <v/>
      </c>
      <c r="F104" s="81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1" t="str">
        <f>IF(A104="","",itens_Remanesc!C104)</f>
        <v/>
      </c>
      <c r="L104" s="18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1" t="str">
        <f ca="1">IF(OR(A104="",$I$5="",$I$6=""),"",ROUND(SUMIFS(aditivos!$L$2:$L$200,aditivos!$A$2:$A$200,A104,aditivos!$B$2:$B$200,"&gt;"&amp;$I$6,aditivos!$B$2:$B$200,"&lt;="&amp;$I$5),2))</f>
        <v/>
      </c>
      <c r="N104" s="181" t="str">
        <f t="shared" si="14"/>
        <v/>
      </c>
      <c r="O104" s="181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1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1" t="str">
        <f t="shared" si="15"/>
        <v/>
      </c>
      <c r="R104" s="181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1" t="str">
        <f>IF(itens_Remanesc!A105="","",itens_Remanesc!A105)</f>
        <v/>
      </c>
      <c r="B105" s="220" t="str">
        <f t="shared" ca="1" si="12"/>
        <v/>
      </c>
      <c r="C105" s="221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21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22" t="str">
        <f t="shared" si="13"/>
        <v/>
      </c>
      <c r="F105" s="81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1" t="str">
        <f>IF(A105="","",itens_Remanesc!C105)</f>
        <v/>
      </c>
      <c r="L105" s="18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1" t="str">
        <f ca="1">IF(OR(A105="",$I$5="",$I$6=""),"",ROUND(SUMIFS(aditivos!$L$2:$L$200,aditivos!$A$2:$A$200,A105,aditivos!$B$2:$B$200,"&gt;"&amp;$I$6,aditivos!$B$2:$B$200,"&lt;="&amp;$I$5),2))</f>
        <v/>
      </c>
      <c r="N105" s="181" t="str">
        <f t="shared" si="14"/>
        <v/>
      </c>
      <c r="O105" s="181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1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1" t="str">
        <f t="shared" si="15"/>
        <v/>
      </c>
      <c r="R105" s="181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1" t="str">
        <f>IF(itens_Remanesc!A106="","",itens_Remanesc!A106)</f>
        <v/>
      </c>
      <c r="B106" s="220" t="str">
        <f t="shared" ca="1" si="12"/>
        <v/>
      </c>
      <c r="C106" s="221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21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22" t="str">
        <f t="shared" si="13"/>
        <v/>
      </c>
      <c r="F106" s="81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1" t="str">
        <f>IF(A106="","",itens_Remanesc!C106)</f>
        <v/>
      </c>
      <c r="L106" s="18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1" t="str">
        <f ca="1">IF(OR(A106="",$I$5="",$I$6=""),"",ROUND(SUMIFS(aditivos!$L$2:$L$200,aditivos!$A$2:$A$200,A106,aditivos!$B$2:$B$200,"&gt;"&amp;$I$6,aditivos!$B$2:$B$200,"&lt;="&amp;$I$5),2))</f>
        <v/>
      </c>
      <c r="N106" s="181" t="str">
        <f t="shared" si="14"/>
        <v/>
      </c>
      <c r="O106" s="181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1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1" t="str">
        <f t="shared" si="15"/>
        <v/>
      </c>
      <c r="R106" s="181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1" t="str">
        <f>IF(itens_Remanesc!A107="","",itens_Remanesc!A107)</f>
        <v/>
      </c>
      <c r="B107" s="220" t="str">
        <f t="shared" ca="1" si="12"/>
        <v/>
      </c>
      <c r="C107" s="221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21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22" t="str">
        <f t="shared" si="13"/>
        <v/>
      </c>
      <c r="F107" s="81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1" t="str">
        <f>IF(A107="","",itens_Remanesc!C107)</f>
        <v/>
      </c>
      <c r="L107" s="18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1" t="str">
        <f ca="1">IF(OR(A107="",$I$5="",$I$6=""),"",ROUND(SUMIFS(aditivos!$L$2:$L$200,aditivos!$A$2:$A$200,A107,aditivos!$B$2:$B$200,"&gt;"&amp;$I$6,aditivos!$B$2:$B$200,"&lt;="&amp;$I$5),2))</f>
        <v/>
      </c>
      <c r="N107" s="181" t="str">
        <f t="shared" si="14"/>
        <v/>
      </c>
      <c r="O107" s="181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1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1" t="str">
        <f t="shared" si="15"/>
        <v/>
      </c>
      <c r="R107" s="181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1" t="str">
        <f>IF(itens_Remanesc!A108="","",itens_Remanesc!A108)</f>
        <v/>
      </c>
      <c r="B108" s="220" t="str">
        <f t="shared" ca="1" si="12"/>
        <v/>
      </c>
      <c r="C108" s="221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21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22" t="str">
        <f t="shared" si="13"/>
        <v/>
      </c>
      <c r="F108" s="81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1" t="str">
        <f>IF(A108="","",itens_Remanesc!C108)</f>
        <v/>
      </c>
      <c r="L108" s="18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1" t="str">
        <f ca="1">IF(OR(A108="",$I$5="",$I$6=""),"",ROUND(SUMIFS(aditivos!$L$2:$L$200,aditivos!$A$2:$A$200,A108,aditivos!$B$2:$B$200,"&gt;"&amp;$I$6,aditivos!$B$2:$B$200,"&lt;="&amp;$I$5),2))</f>
        <v/>
      </c>
      <c r="N108" s="181" t="str">
        <f t="shared" si="14"/>
        <v/>
      </c>
      <c r="O108" s="181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1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1" t="str">
        <f t="shared" si="15"/>
        <v/>
      </c>
      <c r="R108" s="181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1" t="str">
        <f>IF(itens_Remanesc!A109="","",itens_Remanesc!A109)</f>
        <v/>
      </c>
      <c r="B109" s="220" t="str">
        <f t="shared" ca="1" si="12"/>
        <v/>
      </c>
      <c r="C109" s="221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21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22" t="str">
        <f t="shared" si="13"/>
        <v/>
      </c>
      <c r="F109" s="81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1" t="str">
        <f>IF(A109="","",itens_Remanesc!C109)</f>
        <v/>
      </c>
      <c r="L109" s="18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1" t="str">
        <f ca="1">IF(OR(A109="",$I$5="",$I$6=""),"",ROUND(SUMIFS(aditivos!$L$2:$L$200,aditivos!$A$2:$A$200,A109,aditivos!$B$2:$B$200,"&gt;"&amp;$I$6,aditivos!$B$2:$B$200,"&lt;="&amp;$I$5),2))</f>
        <v/>
      </c>
      <c r="N109" s="181" t="str">
        <f t="shared" si="14"/>
        <v/>
      </c>
      <c r="O109" s="181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1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1" t="str">
        <f t="shared" si="15"/>
        <v/>
      </c>
      <c r="R109" s="181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1" t="str">
        <f>IF(itens_Remanesc!A110="","",itens_Remanesc!A110)</f>
        <v/>
      </c>
      <c r="B110" s="220" t="str">
        <f t="shared" ca="1" si="12"/>
        <v/>
      </c>
      <c r="C110" s="221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21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22" t="str">
        <f t="shared" si="13"/>
        <v/>
      </c>
      <c r="F110" s="81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1" t="str">
        <f>IF(A110="","",itens_Remanesc!C110)</f>
        <v/>
      </c>
      <c r="L110" s="18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1" t="str">
        <f ca="1">IF(OR(A110="",$I$5="",$I$6=""),"",ROUND(SUMIFS(aditivos!$L$2:$L$200,aditivos!$A$2:$A$200,A110,aditivos!$B$2:$B$200,"&gt;"&amp;$I$6,aditivos!$B$2:$B$200,"&lt;="&amp;$I$5),2))</f>
        <v/>
      </c>
      <c r="N110" s="181" t="str">
        <f t="shared" si="14"/>
        <v/>
      </c>
      <c r="O110" s="181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1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1" t="str">
        <f t="shared" si="15"/>
        <v/>
      </c>
      <c r="R110" s="181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1" t="str">
        <f>IF(itens_Remanesc!A111="","",itens_Remanesc!A111)</f>
        <v/>
      </c>
      <c r="B111" s="220" t="str">
        <f t="shared" ca="1" si="12"/>
        <v/>
      </c>
      <c r="C111" s="221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21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22" t="str">
        <f t="shared" si="13"/>
        <v/>
      </c>
      <c r="F111" s="81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1" t="str">
        <f>IF(A111="","",itens_Remanesc!C111)</f>
        <v/>
      </c>
      <c r="L111" s="18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1" t="str">
        <f ca="1">IF(OR(A111="",$I$5="",$I$6=""),"",ROUND(SUMIFS(aditivos!$L$2:$L$200,aditivos!$A$2:$A$200,A111,aditivos!$B$2:$B$200,"&gt;"&amp;$I$6,aditivos!$B$2:$B$200,"&lt;="&amp;$I$5),2))</f>
        <v/>
      </c>
      <c r="N111" s="181" t="str">
        <f t="shared" si="14"/>
        <v/>
      </c>
      <c r="O111" s="181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1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1" t="str">
        <f t="shared" si="15"/>
        <v/>
      </c>
      <c r="R111" s="181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1" t="str">
        <f>IF(itens_Remanesc!A112="","",itens_Remanesc!A112)</f>
        <v/>
      </c>
      <c r="B112" s="220" t="str">
        <f t="shared" ca="1" si="12"/>
        <v/>
      </c>
      <c r="C112" s="221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21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22" t="str">
        <f t="shared" si="13"/>
        <v/>
      </c>
      <c r="F112" s="81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1" t="str">
        <f>IF(A112="","",itens_Remanesc!C112)</f>
        <v/>
      </c>
      <c r="L112" s="18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1" t="str">
        <f ca="1">IF(OR(A112="",$I$5="",$I$6=""),"",ROUND(SUMIFS(aditivos!$L$2:$L$200,aditivos!$A$2:$A$200,A112,aditivos!$B$2:$B$200,"&gt;"&amp;$I$6,aditivos!$B$2:$B$200,"&lt;="&amp;$I$5),2))</f>
        <v/>
      </c>
      <c r="N112" s="181" t="str">
        <f t="shared" si="14"/>
        <v/>
      </c>
      <c r="O112" s="181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1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1" t="str">
        <f t="shared" si="15"/>
        <v/>
      </c>
      <c r="R112" s="181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1" t="str">
        <f>IF(itens_Remanesc!A113="","",itens_Remanesc!A113)</f>
        <v/>
      </c>
      <c r="B113" s="220" t="str">
        <f t="shared" ca="1" si="12"/>
        <v/>
      </c>
      <c r="C113" s="221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21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22" t="str">
        <f t="shared" si="13"/>
        <v/>
      </c>
      <c r="F113" s="81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1" t="str">
        <f>IF(A113="","",itens_Remanesc!C113)</f>
        <v/>
      </c>
      <c r="L113" s="18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1" t="str">
        <f ca="1">IF(OR(A113="",$I$5="",$I$6=""),"",ROUND(SUMIFS(aditivos!$L$2:$L$200,aditivos!$A$2:$A$200,A113,aditivos!$B$2:$B$200,"&gt;"&amp;$I$6,aditivos!$B$2:$B$200,"&lt;="&amp;$I$5),2))</f>
        <v/>
      </c>
      <c r="N113" s="181" t="str">
        <f t="shared" si="14"/>
        <v/>
      </c>
      <c r="O113" s="181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1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1" t="str">
        <f t="shared" si="15"/>
        <v/>
      </c>
      <c r="R113" s="181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1" t="str">
        <f>IF(itens_Remanesc!A114="","",itens_Remanesc!A114)</f>
        <v/>
      </c>
      <c r="B114" s="220" t="str">
        <f t="shared" ca="1" si="12"/>
        <v/>
      </c>
      <c r="C114" s="221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21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22" t="str">
        <f t="shared" si="13"/>
        <v/>
      </c>
      <c r="F114" s="81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1" t="str">
        <f>IF(A114="","",itens_Remanesc!C114)</f>
        <v/>
      </c>
      <c r="L114" s="18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1" t="str">
        <f ca="1">IF(OR(A114="",$I$5="",$I$6=""),"",ROUND(SUMIFS(aditivos!$L$2:$L$200,aditivos!$A$2:$A$200,A114,aditivos!$B$2:$B$200,"&gt;"&amp;$I$6,aditivos!$B$2:$B$200,"&lt;="&amp;$I$5),2))</f>
        <v/>
      </c>
      <c r="N114" s="181" t="str">
        <f t="shared" si="14"/>
        <v/>
      </c>
      <c r="O114" s="181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1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1" t="str">
        <f t="shared" si="15"/>
        <v/>
      </c>
      <c r="R114" s="181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1" t="str">
        <f>IF(itens_Remanesc!A115="","",itens_Remanesc!A115)</f>
        <v/>
      </c>
      <c r="B115" s="220" t="str">
        <f t="shared" ca="1" si="12"/>
        <v/>
      </c>
      <c r="C115" s="221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21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22" t="str">
        <f t="shared" si="13"/>
        <v/>
      </c>
      <c r="F115" s="81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1" t="str">
        <f>IF(A115="","",itens_Remanesc!C115)</f>
        <v/>
      </c>
      <c r="L115" s="18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1" t="str">
        <f ca="1">IF(OR(A115="",$I$5="",$I$6=""),"",ROUND(SUMIFS(aditivos!$L$2:$L$200,aditivos!$A$2:$A$200,A115,aditivos!$B$2:$B$200,"&gt;"&amp;$I$6,aditivos!$B$2:$B$200,"&lt;="&amp;$I$5),2))</f>
        <v/>
      </c>
      <c r="N115" s="181" t="str">
        <f t="shared" si="14"/>
        <v/>
      </c>
      <c r="O115" s="181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1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1" t="str">
        <f t="shared" si="15"/>
        <v/>
      </c>
      <c r="R115" s="181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1" t="str">
        <f>IF(itens_Remanesc!A116="","",itens_Remanesc!A116)</f>
        <v/>
      </c>
      <c r="B116" s="220" t="str">
        <f t="shared" ca="1" si="12"/>
        <v/>
      </c>
      <c r="C116" s="221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21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22" t="str">
        <f t="shared" si="13"/>
        <v/>
      </c>
      <c r="F116" s="81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1" t="str">
        <f>IF(A116="","",itens_Remanesc!C116)</f>
        <v/>
      </c>
      <c r="L116" s="18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1" t="str">
        <f ca="1">IF(OR(A116="",$I$5="",$I$6=""),"",ROUND(SUMIFS(aditivos!$L$2:$L$200,aditivos!$A$2:$A$200,A116,aditivos!$B$2:$B$200,"&gt;"&amp;$I$6,aditivos!$B$2:$B$200,"&lt;="&amp;$I$5),2))</f>
        <v/>
      </c>
      <c r="N116" s="181" t="str">
        <f t="shared" si="14"/>
        <v/>
      </c>
      <c r="O116" s="181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1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1" t="str">
        <f t="shared" si="15"/>
        <v/>
      </c>
      <c r="R116" s="181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1" t="str">
        <f>IF(itens_Remanesc!A117="","",itens_Remanesc!A117)</f>
        <v/>
      </c>
      <c r="B117" s="220" t="str">
        <f t="shared" ca="1" si="12"/>
        <v/>
      </c>
      <c r="C117" s="221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21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22" t="str">
        <f t="shared" si="13"/>
        <v/>
      </c>
      <c r="F117" s="81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1" t="str">
        <f>IF(A117="","",itens_Remanesc!C117)</f>
        <v/>
      </c>
      <c r="L117" s="18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1" t="str">
        <f ca="1">IF(OR(A117="",$I$5="",$I$6=""),"",ROUND(SUMIFS(aditivos!$L$2:$L$200,aditivos!$A$2:$A$200,A117,aditivos!$B$2:$B$200,"&gt;"&amp;$I$6,aditivos!$B$2:$B$200,"&lt;="&amp;$I$5),2))</f>
        <v/>
      </c>
      <c r="N117" s="181" t="str">
        <f t="shared" si="14"/>
        <v/>
      </c>
      <c r="O117" s="181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1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1" t="str">
        <f t="shared" si="15"/>
        <v/>
      </c>
      <c r="R117" s="181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1" t="str">
        <f>IF(itens_Remanesc!A118="","",itens_Remanesc!A118)</f>
        <v/>
      </c>
      <c r="B118" s="220" t="str">
        <f t="shared" ca="1" si="12"/>
        <v/>
      </c>
      <c r="C118" s="221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21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22" t="str">
        <f t="shared" si="13"/>
        <v/>
      </c>
      <c r="F118" s="81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1" t="str">
        <f>IF(A118="","",itens_Remanesc!C118)</f>
        <v/>
      </c>
      <c r="L118" s="18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1" t="str">
        <f ca="1">IF(OR(A118="",$I$5="",$I$6=""),"",ROUND(SUMIFS(aditivos!$L$2:$L$200,aditivos!$A$2:$A$200,A118,aditivos!$B$2:$B$200,"&gt;"&amp;$I$6,aditivos!$B$2:$B$200,"&lt;="&amp;$I$5),2))</f>
        <v/>
      </c>
      <c r="N118" s="181" t="str">
        <f t="shared" si="14"/>
        <v/>
      </c>
      <c r="O118" s="181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1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1" t="str">
        <f t="shared" si="15"/>
        <v/>
      </c>
      <c r="R118" s="181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1" t="str">
        <f>IF(itens_Remanesc!A119="","",itens_Remanesc!A119)</f>
        <v/>
      </c>
      <c r="B119" s="220" t="str">
        <f t="shared" ca="1" si="12"/>
        <v/>
      </c>
      <c r="C119" s="221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21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22" t="str">
        <f t="shared" si="13"/>
        <v/>
      </c>
      <c r="F119" s="81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1" t="str">
        <f>IF(A119="","",itens_Remanesc!C119)</f>
        <v/>
      </c>
      <c r="L119" s="18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1" t="str">
        <f ca="1">IF(OR(A119="",$I$5="",$I$6=""),"",ROUND(SUMIFS(aditivos!$L$2:$L$200,aditivos!$A$2:$A$200,A119,aditivos!$B$2:$B$200,"&gt;"&amp;$I$6,aditivos!$B$2:$B$200,"&lt;="&amp;$I$5),2))</f>
        <v/>
      </c>
      <c r="N119" s="181" t="str">
        <f t="shared" si="14"/>
        <v/>
      </c>
      <c r="O119" s="181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1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1" t="str">
        <f t="shared" si="15"/>
        <v/>
      </c>
      <c r="R119" s="181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1" t="str">
        <f>IF(itens_Remanesc!A120="","",itens_Remanesc!A120)</f>
        <v/>
      </c>
      <c r="B120" s="220" t="str">
        <f t="shared" ca="1" si="12"/>
        <v/>
      </c>
      <c r="C120" s="221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21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22" t="str">
        <f t="shared" si="13"/>
        <v/>
      </c>
      <c r="F120" s="81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1" t="str">
        <f>IF(A120="","",itens_Remanesc!C120)</f>
        <v/>
      </c>
      <c r="L120" s="18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1" t="str">
        <f ca="1">IF(OR(A120="",$I$5="",$I$6=""),"",ROUND(SUMIFS(aditivos!$L$2:$L$200,aditivos!$A$2:$A$200,A120,aditivos!$B$2:$B$200,"&gt;"&amp;$I$6,aditivos!$B$2:$B$200,"&lt;="&amp;$I$5),2))</f>
        <v/>
      </c>
      <c r="N120" s="181" t="str">
        <f t="shared" si="14"/>
        <v/>
      </c>
      <c r="O120" s="181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1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1" t="str">
        <f t="shared" si="15"/>
        <v/>
      </c>
      <c r="R120" s="181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1" t="str">
        <f>IF(itens_Remanesc!A121="","",itens_Remanesc!A121)</f>
        <v/>
      </c>
      <c r="B121" s="220" t="str">
        <f t="shared" ca="1" si="12"/>
        <v/>
      </c>
      <c r="C121" s="221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21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22" t="str">
        <f t="shared" si="13"/>
        <v/>
      </c>
      <c r="F121" s="81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1" t="str">
        <f>IF(A121="","",itens_Remanesc!C121)</f>
        <v/>
      </c>
      <c r="L121" s="18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1" t="str">
        <f ca="1">IF(OR(A121="",$I$5="",$I$6=""),"",ROUND(SUMIFS(aditivos!$L$2:$L$200,aditivos!$A$2:$A$200,A121,aditivos!$B$2:$B$200,"&gt;"&amp;$I$6,aditivos!$B$2:$B$200,"&lt;="&amp;$I$5),2))</f>
        <v/>
      </c>
      <c r="N121" s="181" t="str">
        <f t="shared" si="14"/>
        <v/>
      </c>
      <c r="O121" s="181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1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1" t="str">
        <f t="shared" si="15"/>
        <v/>
      </c>
      <c r="R121" s="181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1" t="str">
        <f>IF(itens_Remanesc!A122="","",itens_Remanesc!A122)</f>
        <v/>
      </c>
      <c r="B122" s="220" t="str">
        <f t="shared" ca="1" si="12"/>
        <v/>
      </c>
      <c r="C122" s="221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21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22" t="str">
        <f t="shared" si="13"/>
        <v/>
      </c>
      <c r="F122" s="81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1" t="str">
        <f>IF(A122="","",itens_Remanesc!C122)</f>
        <v/>
      </c>
      <c r="L122" s="18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1" t="str">
        <f ca="1">IF(OR(A122="",$I$5="",$I$6=""),"",ROUND(SUMIFS(aditivos!$L$2:$L$200,aditivos!$A$2:$A$200,A122,aditivos!$B$2:$B$200,"&gt;"&amp;$I$6,aditivos!$B$2:$B$200,"&lt;="&amp;$I$5),2))</f>
        <v/>
      </c>
      <c r="N122" s="181" t="str">
        <f t="shared" si="14"/>
        <v/>
      </c>
      <c r="O122" s="181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1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1" t="str">
        <f t="shared" si="15"/>
        <v/>
      </c>
      <c r="R122" s="181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1" t="str">
        <f>IF(itens_Remanesc!A123="","",itens_Remanesc!A123)</f>
        <v/>
      </c>
      <c r="B123" s="220" t="str">
        <f t="shared" ca="1" si="12"/>
        <v/>
      </c>
      <c r="C123" s="221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21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22" t="str">
        <f t="shared" si="13"/>
        <v/>
      </c>
      <c r="F123" s="81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1" t="str">
        <f>IF(A123="","",itens_Remanesc!C123)</f>
        <v/>
      </c>
      <c r="L123" s="18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1" t="str">
        <f ca="1">IF(OR(A123="",$I$5="",$I$6=""),"",ROUND(SUMIFS(aditivos!$L$2:$L$200,aditivos!$A$2:$A$200,A123,aditivos!$B$2:$B$200,"&gt;"&amp;$I$6,aditivos!$B$2:$B$200,"&lt;="&amp;$I$5),2))</f>
        <v/>
      </c>
      <c r="N123" s="181" t="str">
        <f t="shared" si="14"/>
        <v/>
      </c>
      <c r="O123" s="181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1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1" t="str">
        <f t="shared" si="15"/>
        <v/>
      </c>
      <c r="R123" s="181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1" t="str">
        <f>IF(itens_Remanesc!A124="","",itens_Remanesc!A124)</f>
        <v/>
      </c>
      <c r="B124" s="220" t="str">
        <f t="shared" ca="1" si="12"/>
        <v/>
      </c>
      <c r="C124" s="221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21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22" t="str">
        <f t="shared" si="13"/>
        <v/>
      </c>
      <c r="F124" s="81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1" t="str">
        <f>IF(A124="","",itens_Remanesc!C124)</f>
        <v/>
      </c>
      <c r="L124" s="18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1" t="str">
        <f ca="1">IF(OR(A124="",$I$5="",$I$6=""),"",ROUND(SUMIFS(aditivos!$L$2:$L$200,aditivos!$A$2:$A$200,A124,aditivos!$B$2:$B$200,"&gt;"&amp;$I$6,aditivos!$B$2:$B$200,"&lt;="&amp;$I$5),2))</f>
        <v/>
      </c>
      <c r="N124" s="181" t="str">
        <f t="shared" si="14"/>
        <v/>
      </c>
      <c r="O124" s="181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1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1" t="str">
        <f t="shared" si="15"/>
        <v/>
      </c>
      <c r="R124" s="181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1" t="str">
        <f>IF(itens_Remanesc!A125="","",itens_Remanesc!A125)</f>
        <v/>
      </c>
      <c r="B125" s="220" t="str">
        <f t="shared" ca="1" si="12"/>
        <v/>
      </c>
      <c r="C125" s="221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21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22" t="str">
        <f t="shared" si="13"/>
        <v/>
      </c>
      <c r="F125" s="81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1" t="str">
        <f>IF(A125="","",itens_Remanesc!C125)</f>
        <v/>
      </c>
      <c r="L125" s="18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1" t="str">
        <f ca="1">IF(OR(A125="",$I$5="",$I$6=""),"",ROUND(SUMIFS(aditivos!$L$2:$L$200,aditivos!$A$2:$A$200,A125,aditivos!$B$2:$B$200,"&gt;"&amp;$I$6,aditivos!$B$2:$B$200,"&lt;="&amp;$I$5),2))</f>
        <v/>
      </c>
      <c r="N125" s="181" t="str">
        <f t="shared" si="14"/>
        <v/>
      </c>
      <c r="O125" s="181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1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1" t="str">
        <f t="shared" si="15"/>
        <v/>
      </c>
      <c r="R125" s="181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1" t="str">
        <f>IF(itens_Remanesc!A126="","",itens_Remanesc!A126)</f>
        <v/>
      </c>
      <c r="B126" s="220" t="str">
        <f t="shared" ca="1" si="12"/>
        <v/>
      </c>
      <c r="C126" s="221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21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22" t="str">
        <f t="shared" si="13"/>
        <v/>
      </c>
      <c r="F126" s="81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1" t="str">
        <f>IF(A126="","",itens_Remanesc!C126)</f>
        <v/>
      </c>
      <c r="L126" s="18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1" t="str">
        <f ca="1">IF(OR(A126="",$I$5="",$I$6=""),"",ROUND(SUMIFS(aditivos!$L$2:$L$200,aditivos!$A$2:$A$200,A126,aditivos!$B$2:$B$200,"&gt;"&amp;$I$6,aditivos!$B$2:$B$200,"&lt;="&amp;$I$5),2))</f>
        <v/>
      </c>
      <c r="N126" s="181" t="str">
        <f t="shared" si="14"/>
        <v/>
      </c>
      <c r="O126" s="181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1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1" t="str">
        <f t="shared" si="15"/>
        <v/>
      </c>
      <c r="R126" s="181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1" t="str">
        <f>IF(itens_Remanesc!A127="","",itens_Remanesc!A127)</f>
        <v/>
      </c>
      <c r="B127" s="220" t="str">
        <f t="shared" ca="1" si="12"/>
        <v/>
      </c>
      <c r="C127" s="221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21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22" t="str">
        <f t="shared" si="13"/>
        <v/>
      </c>
      <c r="F127" s="81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1" t="str">
        <f>IF(A127="","",itens_Remanesc!C127)</f>
        <v/>
      </c>
      <c r="L127" s="18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1" t="str">
        <f ca="1">IF(OR(A127="",$I$5="",$I$6=""),"",ROUND(SUMIFS(aditivos!$L$2:$L$200,aditivos!$A$2:$A$200,A127,aditivos!$B$2:$B$200,"&gt;"&amp;$I$6,aditivos!$B$2:$B$200,"&lt;="&amp;$I$5),2))</f>
        <v/>
      </c>
      <c r="N127" s="181" t="str">
        <f t="shared" si="14"/>
        <v/>
      </c>
      <c r="O127" s="181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1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1" t="str">
        <f t="shared" si="15"/>
        <v/>
      </c>
      <c r="R127" s="181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1" t="str">
        <f>IF(itens_Remanesc!A128="","",itens_Remanesc!A128)</f>
        <v/>
      </c>
      <c r="B128" s="220" t="str">
        <f t="shared" ca="1" si="12"/>
        <v/>
      </c>
      <c r="C128" s="221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21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22" t="str">
        <f t="shared" si="13"/>
        <v/>
      </c>
      <c r="F128" s="81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1" t="str">
        <f>IF(A128="","",itens_Remanesc!C128)</f>
        <v/>
      </c>
      <c r="L128" s="18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1" t="str">
        <f ca="1">IF(OR(A128="",$I$5="",$I$6=""),"",ROUND(SUMIFS(aditivos!$L$2:$L$200,aditivos!$A$2:$A$200,A128,aditivos!$B$2:$B$200,"&gt;"&amp;$I$6,aditivos!$B$2:$B$200,"&lt;="&amp;$I$5),2))</f>
        <v/>
      </c>
      <c r="N128" s="181" t="str">
        <f t="shared" si="14"/>
        <v/>
      </c>
      <c r="O128" s="181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1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1" t="str">
        <f t="shared" si="15"/>
        <v/>
      </c>
      <c r="R128" s="181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1" t="str">
        <f>IF(itens_Remanesc!A129="","",itens_Remanesc!A129)</f>
        <v/>
      </c>
      <c r="B129" s="220" t="str">
        <f t="shared" ca="1" si="12"/>
        <v/>
      </c>
      <c r="C129" s="221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21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22" t="str">
        <f t="shared" si="13"/>
        <v/>
      </c>
      <c r="F129" s="81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1" t="str">
        <f>IF(A129="","",itens_Remanesc!C129)</f>
        <v/>
      </c>
      <c r="L129" s="18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1" t="str">
        <f ca="1">IF(OR(A129="",$I$5="",$I$6=""),"",ROUND(SUMIFS(aditivos!$L$2:$L$200,aditivos!$A$2:$A$200,A129,aditivos!$B$2:$B$200,"&gt;"&amp;$I$6,aditivos!$B$2:$B$200,"&lt;="&amp;$I$5),2))</f>
        <v/>
      </c>
      <c r="N129" s="181" t="str">
        <f t="shared" si="14"/>
        <v/>
      </c>
      <c r="O129" s="181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1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1" t="str">
        <f t="shared" si="15"/>
        <v/>
      </c>
      <c r="R129" s="181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1" t="str">
        <f>IF(itens_Remanesc!A130="","",itens_Remanesc!A130)</f>
        <v/>
      </c>
      <c r="B130" s="220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21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21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22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1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1" t="str">
        <f>IF(A130="","",itens_Remanesc!C130)</f>
        <v/>
      </c>
      <c r="L130" s="18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1" t="str">
        <f ca="1">IF(OR(A130="",$I$5="",$I$6=""),"",ROUND(SUMIFS(aditivos!$L$2:$L$200,aditivos!$A$2:$A$200,A130,aditivos!$B$2:$B$200,"&gt;"&amp;$I$6,aditivos!$B$2:$B$200,"&lt;="&amp;$I$5),2))</f>
        <v/>
      </c>
      <c r="N130" s="181" t="str">
        <f t="shared" ref="N130:N161" si="18">IF(OR(A130="",L130="",D130=""),"",ROUND(MAX(L130+IF(ISNUMBER(M130),M130,0)-D130,0),2))</f>
        <v/>
      </c>
      <c r="O130" s="181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1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1" t="str">
        <f t="shared" ref="Q130:Q161" si="19">IF(OR(A130="",D130="",K130=""),"",ROUND(D130*K130,2))</f>
        <v/>
      </c>
      <c r="R130" s="181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1" t="str">
        <f>IF(itens_Remanesc!A131="","",itens_Remanesc!A131)</f>
        <v/>
      </c>
      <c r="B131" s="220" t="str">
        <f t="shared" ca="1" si="16"/>
        <v/>
      </c>
      <c r="C131" s="221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21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22" t="str">
        <f t="shared" si="17"/>
        <v/>
      </c>
      <c r="F131" s="81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1" t="str">
        <f>IF(A131="","",itens_Remanesc!C131)</f>
        <v/>
      </c>
      <c r="L131" s="18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1" t="str">
        <f ca="1">IF(OR(A131="",$I$5="",$I$6=""),"",ROUND(SUMIFS(aditivos!$L$2:$L$200,aditivos!$A$2:$A$200,A131,aditivos!$B$2:$B$200,"&gt;"&amp;$I$6,aditivos!$B$2:$B$200,"&lt;="&amp;$I$5),2))</f>
        <v/>
      </c>
      <c r="N131" s="181" t="str">
        <f t="shared" si="18"/>
        <v/>
      </c>
      <c r="O131" s="181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1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1" t="str">
        <f t="shared" si="19"/>
        <v/>
      </c>
      <c r="R131" s="181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1" t="str">
        <f>IF(itens_Remanesc!A132="","",itens_Remanesc!A132)</f>
        <v/>
      </c>
      <c r="B132" s="220" t="str">
        <f t="shared" ca="1" si="16"/>
        <v/>
      </c>
      <c r="C132" s="221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21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22" t="str">
        <f t="shared" si="17"/>
        <v/>
      </c>
      <c r="F132" s="81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1" t="str">
        <f>IF(A132="","",itens_Remanesc!C132)</f>
        <v/>
      </c>
      <c r="L132" s="18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1" t="str">
        <f ca="1">IF(OR(A132="",$I$5="",$I$6=""),"",ROUND(SUMIFS(aditivos!$L$2:$L$200,aditivos!$A$2:$A$200,A132,aditivos!$B$2:$B$200,"&gt;"&amp;$I$6,aditivos!$B$2:$B$200,"&lt;="&amp;$I$5),2))</f>
        <v/>
      </c>
      <c r="N132" s="181" t="str">
        <f t="shared" si="18"/>
        <v/>
      </c>
      <c r="O132" s="181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1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1" t="str">
        <f t="shared" si="19"/>
        <v/>
      </c>
      <c r="R132" s="181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1" t="str">
        <f>IF(itens_Remanesc!A133="","",itens_Remanesc!A133)</f>
        <v/>
      </c>
      <c r="B133" s="220" t="str">
        <f t="shared" ca="1" si="16"/>
        <v/>
      </c>
      <c r="C133" s="221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21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22" t="str">
        <f t="shared" si="17"/>
        <v/>
      </c>
      <c r="F133" s="81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1" t="str">
        <f>IF(A133="","",itens_Remanesc!C133)</f>
        <v/>
      </c>
      <c r="L133" s="18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1" t="str">
        <f ca="1">IF(OR(A133="",$I$5="",$I$6=""),"",ROUND(SUMIFS(aditivos!$L$2:$L$200,aditivos!$A$2:$A$200,A133,aditivos!$B$2:$B$200,"&gt;"&amp;$I$6,aditivos!$B$2:$B$200,"&lt;="&amp;$I$5),2))</f>
        <v/>
      </c>
      <c r="N133" s="181" t="str">
        <f t="shared" si="18"/>
        <v/>
      </c>
      <c r="O133" s="181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1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1" t="str">
        <f t="shared" si="19"/>
        <v/>
      </c>
      <c r="R133" s="181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1" t="str">
        <f>IF(itens_Remanesc!A134="","",itens_Remanesc!A134)</f>
        <v/>
      </c>
      <c r="B134" s="220" t="str">
        <f t="shared" ca="1" si="16"/>
        <v/>
      </c>
      <c r="C134" s="221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21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22" t="str">
        <f t="shared" si="17"/>
        <v/>
      </c>
      <c r="F134" s="81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1" t="str">
        <f>IF(A134="","",itens_Remanesc!C134)</f>
        <v/>
      </c>
      <c r="L134" s="18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1" t="str">
        <f ca="1">IF(OR(A134="",$I$5="",$I$6=""),"",ROUND(SUMIFS(aditivos!$L$2:$L$200,aditivos!$A$2:$A$200,A134,aditivos!$B$2:$B$200,"&gt;"&amp;$I$6,aditivos!$B$2:$B$200,"&lt;="&amp;$I$5),2))</f>
        <v/>
      </c>
      <c r="N134" s="181" t="str">
        <f t="shared" si="18"/>
        <v/>
      </c>
      <c r="O134" s="181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1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1" t="str">
        <f t="shared" si="19"/>
        <v/>
      </c>
      <c r="R134" s="181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1" t="str">
        <f>IF(itens_Remanesc!A135="","",itens_Remanesc!A135)</f>
        <v/>
      </c>
      <c r="B135" s="220" t="str">
        <f t="shared" ca="1" si="16"/>
        <v/>
      </c>
      <c r="C135" s="221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21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22" t="str">
        <f t="shared" si="17"/>
        <v/>
      </c>
      <c r="F135" s="81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1" t="str">
        <f>IF(A135="","",itens_Remanesc!C135)</f>
        <v/>
      </c>
      <c r="L135" s="18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1" t="str">
        <f ca="1">IF(OR(A135="",$I$5="",$I$6=""),"",ROUND(SUMIFS(aditivos!$L$2:$L$200,aditivos!$A$2:$A$200,A135,aditivos!$B$2:$B$200,"&gt;"&amp;$I$6,aditivos!$B$2:$B$200,"&lt;="&amp;$I$5),2))</f>
        <v/>
      </c>
      <c r="N135" s="181" t="str">
        <f t="shared" si="18"/>
        <v/>
      </c>
      <c r="O135" s="181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1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1" t="str">
        <f t="shared" si="19"/>
        <v/>
      </c>
      <c r="R135" s="181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1" t="str">
        <f>IF(itens_Remanesc!A136="","",itens_Remanesc!A136)</f>
        <v/>
      </c>
      <c r="B136" s="220" t="str">
        <f t="shared" ca="1" si="16"/>
        <v/>
      </c>
      <c r="C136" s="221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21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22" t="str">
        <f t="shared" si="17"/>
        <v/>
      </c>
      <c r="F136" s="81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1" t="str">
        <f>IF(A136="","",itens_Remanesc!C136)</f>
        <v/>
      </c>
      <c r="L136" s="18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1" t="str">
        <f ca="1">IF(OR(A136="",$I$5="",$I$6=""),"",ROUND(SUMIFS(aditivos!$L$2:$L$200,aditivos!$A$2:$A$200,A136,aditivos!$B$2:$B$200,"&gt;"&amp;$I$6,aditivos!$B$2:$B$200,"&lt;="&amp;$I$5),2))</f>
        <v/>
      </c>
      <c r="N136" s="181" t="str">
        <f t="shared" si="18"/>
        <v/>
      </c>
      <c r="O136" s="181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1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1" t="str">
        <f t="shared" si="19"/>
        <v/>
      </c>
      <c r="R136" s="181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1" t="str">
        <f>IF(itens_Remanesc!A137="","",itens_Remanesc!A137)</f>
        <v/>
      </c>
      <c r="B137" s="220" t="str">
        <f t="shared" ca="1" si="16"/>
        <v/>
      </c>
      <c r="C137" s="221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21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22" t="str">
        <f t="shared" si="17"/>
        <v/>
      </c>
      <c r="F137" s="81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1" t="str">
        <f>IF(A137="","",itens_Remanesc!C137)</f>
        <v/>
      </c>
      <c r="L137" s="18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1" t="str">
        <f ca="1">IF(OR(A137="",$I$5="",$I$6=""),"",ROUND(SUMIFS(aditivos!$L$2:$L$200,aditivos!$A$2:$A$200,A137,aditivos!$B$2:$B$200,"&gt;"&amp;$I$6,aditivos!$B$2:$B$200,"&lt;="&amp;$I$5),2))</f>
        <v/>
      </c>
      <c r="N137" s="181" t="str">
        <f t="shared" si="18"/>
        <v/>
      </c>
      <c r="O137" s="181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1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1" t="str">
        <f t="shared" si="19"/>
        <v/>
      </c>
      <c r="R137" s="181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1" t="str">
        <f>IF(itens_Remanesc!A138="","",itens_Remanesc!A138)</f>
        <v/>
      </c>
      <c r="B138" s="220" t="str">
        <f t="shared" ca="1" si="16"/>
        <v/>
      </c>
      <c r="C138" s="221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21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22" t="str">
        <f t="shared" si="17"/>
        <v/>
      </c>
      <c r="F138" s="81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1" t="str">
        <f>IF(A138="","",itens_Remanesc!C138)</f>
        <v/>
      </c>
      <c r="L138" s="18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1" t="str">
        <f ca="1">IF(OR(A138="",$I$5="",$I$6=""),"",ROUND(SUMIFS(aditivos!$L$2:$L$200,aditivos!$A$2:$A$200,A138,aditivos!$B$2:$B$200,"&gt;"&amp;$I$6,aditivos!$B$2:$B$200,"&lt;="&amp;$I$5),2))</f>
        <v/>
      </c>
      <c r="N138" s="181" t="str">
        <f t="shared" si="18"/>
        <v/>
      </c>
      <c r="O138" s="181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1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1" t="str">
        <f t="shared" si="19"/>
        <v/>
      </c>
      <c r="R138" s="181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1" t="str">
        <f>IF(itens_Remanesc!A139="","",itens_Remanesc!A139)</f>
        <v/>
      </c>
      <c r="B139" s="220" t="str">
        <f t="shared" ca="1" si="16"/>
        <v/>
      </c>
      <c r="C139" s="221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21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22" t="str">
        <f t="shared" si="17"/>
        <v/>
      </c>
      <c r="F139" s="81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1" t="str">
        <f>IF(A139="","",itens_Remanesc!C139)</f>
        <v/>
      </c>
      <c r="L139" s="18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1" t="str">
        <f ca="1">IF(OR(A139="",$I$5="",$I$6=""),"",ROUND(SUMIFS(aditivos!$L$2:$L$200,aditivos!$A$2:$A$200,A139,aditivos!$B$2:$B$200,"&gt;"&amp;$I$6,aditivos!$B$2:$B$200,"&lt;="&amp;$I$5),2))</f>
        <v/>
      </c>
      <c r="N139" s="181" t="str">
        <f t="shared" si="18"/>
        <v/>
      </c>
      <c r="O139" s="181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1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1" t="str">
        <f t="shared" si="19"/>
        <v/>
      </c>
      <c r="R139" s="181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1" t="str">
        <f>IF(itens_Remanesc!A140="","",itens_Remanesc!A140)</f>
        <v/>
      </c>
      <c r="B140" s="220" t="str">
        <f t="shared" ca="1" si="16"/>
        <v/>
      </c>
      <c r="C140" s="221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21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22" t="str">
        <f t="shared" si="17"/>
        <v/>
      </c>
      <c r="F140" s="81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1" t="str">
        <f>IF(A140="","",itens_Remanesc!C140)</f>
        <v/>
      </c>
      <c r="L140" s="18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1" t="str">
        <f ca="1">IF(OR(A140="",$I$5="",$I$6=""),"",ROUND(SUMIFS(aditivos!$L$2:$L$200,aditivos!$A$2:$A$200,A140,aditivos!$B$2:$B$200,"&gt;"&amp;$I$6,aditivos!$B$2:$B$200,"&lt;="&amp;$I$5),2))</f>
        <v/>
      </c>
      <c r="N140" s="181" t="str">
        <f t="shared" si="18"/>
        <v/>
      </c>
      <c r="O140" s="181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1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1" t="str">
        <f t="shared" si="19"/>
        <v/>
      </c>
      <c r="R140" s="181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1" t="str">
        <f>IF(itens_Remanesc!A141="","",itens_Remanesc!A141)</f>
        <v/>
      </c>
      <c r="B141" s="220" t="str">
        <f t="shared" ca="1" si="16"/>
        <v/>
      </c>
      <c r="C141" s="221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21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22" t="str">
        <f t="shared" si="17"/>
        <v/>
      </c>
      <c r="F141" s="81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1" t="str">
        <f>IF(A141="","",itens_Remanesc!C141)</f>
        <v/>
      </c>
      <c r="L141" s="18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1" t="str">
        <f ca="1">IF(OR(A141="",$I$5="",$I$6=""),"",ROUND(SUMIFS(aditivos!$L$2:$L$200,aditivos!$A$2:$A$200,A141,aditivos!$B$2:$B$200,"&gt;"&amp;$I$6,aditivos!$B$2:$B$200,"&lt;="&amp;$I$5),2))</f>
        <v/>
      </c>
      <c r="N141" s="181" t="str">
        <f t="shared" si="18"/>
        <v/>
      </c>
      <c r="O141" s="181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1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1" t="str">
        <f t="shared" si="19"/>
        <v/>
      </c>
      <c r="R141" s="181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1" t="str">
        <f>IF(itens_Remanesc!A142="","",itens_Remanesc!A142)</f>
        <v/>
      </c>
      <c r="B142" s="220" t="str">
        <f t="shared" ca="1" si="16"/>
        <v/>
      </c>
      <c r="C142" s="221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21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22" t="str">
        <f t="shared" si="17"/>
        <v/>
      </c>
      <c r="F142" s="81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1" t="str">
        <f>IF(A142="","",itens_Remanesc!C142)</f>
        <v/>
      </c>
      <c r="L142" s="18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1" t="str">
        <f ca="1">IF(OR(A142="",$I$5="",$I$6=""),"",ROUND(SUMIFS(aditivos!$L$2:$L$200,aditivos!$A$2:$A$200,A142,aditivos!$B$2:$B$200,"&gt;"&amp;$I$6,aditivos!$B$2:$B$200,"&lt;="&amp;$I$5),2))</f>
        <v/>
      </c>
      <c r="N142" s="181" t="str">
        <f t="shared" si="18"/>
        <v/>
      </c>
      <c r="O142" s="181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1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1" t="str">
        <f t="shared" si="19"/>
        <v/>
      </c>
      <c r="R142" s="181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1" t="str">
        <f>IF(itens_Remanesc!A143="","",itens_Remanesc!A143)</f>
        <v/>
      </c>
      <c r="B143" s="220" t="str">
        <f t="shared" ca="1" si="16"/>
        <v/>
      </c>
      <c r="C143" s="221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21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22" t="str">
        <f t="shared" si="17"/>
        <v/>
      </c>
      <c r="F143" s="81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1" t="str">
        <f>IF(A143="","",itens_Remanesc!C143)</f>
        <v/>
      </c>
      <c r="L143" s="18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1" t="str">
        <f ca="1">IF(OR(A143="",$I$5="",$I$6=""),"",ROUND(SUMIFS(aditivos!$L$2:$L$200,aditivos!$A$2:$A$200,A143,aditivos!$B$2:$B$200,"&gt;"&amp;$I$6,aditivos!$B$2:$B$200,"&lt;="&amp;$I$5),2))</f>
        <v/>
      </c>
      <c r="N143" s="181" t="str">
        <f t="shared" si="18"/>
        <v/>
      </c>
      <c r="O143" s="181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1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1" t="str">
        <f t="shared" si="19"/>
        <v/>
      </c>
      <c r="R143" s="181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1" t="str">
        <f>IF(itens_Remanesc!A144="","",itens_Remanesc!A144)</f>
        <v/>
      </c>
      <c r="B144" s="220" t="str">
        <f t="shared" ca="1" si="16"/>
        <v/>
      </c>
      <c r="C144" s="221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21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22" t="str">
        <f t="shared" si="17"/>
        <v/>
      </c>
      <c r="F144" s="81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1" t="str">
        <f>IF(A144="","",itens_Remanesc!C144)</f>
        <v/>
      </c>
      <c r="L144" s="18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1" t="str">
        <f ca="1">IF(OR(A144="",$I$5="",$I$6=""),"",ROUND(SUMIFS(aditivos!$L$2:$L$200,aditivos!$A$2:$A$200,A144,aditivos!$B$2:$B$200,"&gt;"&amp;$I$6,aditivos!$B$2:$B$200,"&lt;="&amp;$I$5),2))</f>
        <v/>
      </c>
      <c r="N144" s="181" t="str">
        <f t="shared" si="18"/>
        <v/>
      </c>
      <c r="O144" s="181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1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1" t="str">
        <f t="shared" si="19"/>
        <v/>
      </c>
      <c r="R144" s="181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1" t="str">
        <f>IF(itens_Remanesc!A145="","",itens_Remanesc!A145)</f>
        <v/>
      </c>
      <c r="B145" s="220" t="str">
        <f t="shared" ca="1" si="16"/>
        <v/>
      </c>
      <c r="C145" s="221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21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22" t="str">
        <f t="shared" si="17"/>
        <v/>
      </c>
      <c r="F145" s="81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1" t="str">
        <f>IF(A145="","",itens_Remanesc!C145)</f>
        <v/>
      </c>
      <c r="L145" s="18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1" t="str">
        <f ca="1">IF(OR(A145="",$I$5="",$I$6=""),"",ROUND(SUMIFS(aditivos!$L$2:$L$200,aditivos!$A$2:$A$200,A145,aditivos!$B$2:$B$200,"&gt;"&amp;$I$6,aditivos!$B$2:$B$200,"&lt;="&amp;$I$5),2))</f>
        <v/>
      </c>
      <c r="N145" s="181" t="str">
        <f t="shared" si="18"/>
        <v/>
      </c>
      <c r="O145" s="181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1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1" t="str">
        <f t="shared" si="19"/>
        <v/>
      </c>
      <c r="R145" s="181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1" t="str">
        <f>IF(itens_Remanesc!A146="","",itens_Remanesc!A146)</f>
        <v/>
      </c>
      <c r="B146" s="220" t="str">
        <f t="shared" ca="1" si="16"/>
        <v/>
      </c>
      <c r="C146" s="221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21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22" t="str">
        <f t="shared" si="17"/>
        <v/>
      </c>
      <c r="F146" s="81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1" t="str">
        <f>IF(A146="","",itens_Remanesc!C146)</f>
        <v/>
      </c>
      <c r="L146" s="18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1" t="str">
        <f ca="1">IF(OR(A146="",$I$5="",$I$6=""),"",ROUND(SUMIFS(aditivos!$L$2:$L$200,aditivos!$A$2:$A$200,A146,aditivos!$B$2:$B$200,"&gt;"&amp;$I$6,aditivos!$B$2:$B$200,"&lt;="&amp;$I$5),2))</f>
        <v/>
      </c>
      <c r="N146" s="181" t="str">
        <f t="shared" si="18"/>
        <v/>
      </c>
      <c r="O146" s="181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1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1" t="str">
        <f t="shared" si="19"/>
        <v/>
      </c>
      <c r="R146" s="181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1" t="str">
        <f>IF(itens_Remanesc!A147="","",itens_Remanesc!A147)</f>
        <v/>
      </c>
      <c r="B147" s="220" t="str">
        <f t="shared" ca="1" si="16"/>
        <v/>
      </c>
      <c r="C147" s="221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21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22" t="str">
        <f t="shared" si="17"/>
        <v/>
      </c>
      <c r="F147" s="81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1" t="str">
        <f>IF(A147="","",itens_Remanesc!C147)</f>
        <v/>
      </c>
      <c r="L147" s="18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1" t="str">
        <f ca="1">IF(OR(A147="",$I$5="",$I$6=""),"",ROUND(SUMIFS(aditivos!$L$2:$L$200,aditivos!$A$2:$A$200,A147,aditivos!$B$2:$B$200,"&gt;"&amp;$I$6,aditivos!$B$2:$B$200,"&lt;="&amp;$I$5),2))</f>
        <v/>
      </c>
      <c r="N147" s="181" t="str">
        <f t="shared" si="18"/>
        <v/>
      </c>
      <c r="O147" s="181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1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1" t="str">
        <f t="shared" si="19"/>
        <v/>
      </c>
      <c r="R147" s="181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1" t="str">
        <f>IF(itens_Remanesc!A148="","",itens_Remanesc!A148)</f>
        <v/>
      </c>
      <c r="B148" s="220" t="str">
        <f t="shared" ca="1" si="16"/>
        <v/>
      </c>
      <c r="C148" s="221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21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22" t="str">
        <f t="shared" si="17"/>
        <v/>
      </c>
      <c r="F148" s="81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1" t="str">
        <f>IF(A148="","",itens_Remanesc!C148)</f>
        <v/>
      </c>
      <c r="L148" s="18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1" t="str">
        <f ca="1">IF(OR(A148="",$I$5="",$I$6=""),"",ROUND(SUMIFS(aditivos!$L$2:$L$200,aditivos!$A$2:$A$200,A148,aditivos!$B$2:$B$200,"&gt;"&amp;$I$6,aditivos!$B$2:$B$200,"&lt;="&amp;$I$5),2))</f>
        <v/>
      </c>
      <c r="N148" s="181" t="str">
        <f t="shared" si="18"/>
        <v/>
      </c>
      <c r="O148" s="181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1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1" t="str">
        <f t="shared" si="19"/>
        <v/>
      </c>
      <c r="R148" s="181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1" t="str">
        <f>IF(itens_Remanesc!A149="","",itens_Remanesc!A149)</f>
        <v/>
      </c>
      <c r="B149" s="220" t="str">
        <f t="shared" ca="1" si="16"/>
        <v/>
      </c>
      <c r="C149" s="221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21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22" t="str">
        <f t="shared" si="17"/>
        <v/>
      </c>
      <c r="F149" s="81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1" t="str">
        <f>IF(A149="","",itens_Remanesc!C149)</f>
        <v/>
      </c>
      <c r="L149" s="18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1" t="str">
        <f ca="1">IF(OR(A149="",$I$5="",$I$6=""),"",ROUND(SUMIFS(aditivos!$L$2:$L$200,aditivos!$A$2:$A$200,A149,aditivos!$B$2:$B$200,"&gt;"&amp;$I$6,aditivos!$B$2:$B$200,"&lt;="&amp;$I$5),2))</f>
        <v/>
      </c>
      <c r="N149" s="181" t="str">
        <f t="shared" si="18"/>
        <v/>
      </c>
      <c r="O149" s="181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1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1" t="str">
        <f t="shared" si="19"/>
        <v/>
      </c>
      <c r="R149" s="181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1" t="str">
        <f>IF(itens_Remanesc!A150="","",itens_Remanesc!A150)</f>
        <v/>
      </c>
      <c r="B150" s="220" t="str">
        <f t="shared" ca="1" si="16"/>
        <v/>
      </c>
      <c r="C150" s="221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21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22" t="str">
        <f t="shared" si="17"/>
        <v/>
      </c>
      <c r="F150" s="81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1" t="str">
        <f>IF(A150="","",itens_Remanesc!C150)</f>
        <v/>
      </c>
      <c r="L150" s="18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1" t="str">
        <f ca="1">IF(OR(A150="",$I$5="",$I$6=""),"",ROUND(SUMIFS(aditivos!$L$2:$L$200,aditivos!$A$2:$A$200,A150,aditivos!$B$2:$B$200,"&gt;"&amp;$I$6,aditivos!$B$2:$B$200,"&lt;="&amp;$I$5),2))</f>
        <v/>
      </c>
      <c r="N150" s="181" t="str">
        <f t="shared" si="18"/>
        <v/>
      </c>
      <c r="O150" s="181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1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1" t="str">
        <f t="shared" si="19"/>
        <v/>
      </c>
      <c r="R150" s="181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1" t="str">
        <f>IF(itens_Remanesc!A151="","",itens_Remanesc!A151)</f>
        <v/>
      </c>
      <c r="B151" s="220" t="str">
        <f t="shared" ca="1" si="16"/>
        <v/>
      </c>
      <c r="C151" s="221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21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22" t="str">
        <f t="shared" si="17"/>
        <v/>
      </c>
      <c r="F151" s="81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1" t="str">
        <f>IF(A151="","",itens_Remanesc!C151)</f>
        <v/>
      </c>
      <c r="L151" s="18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1" t="str">
        <f ca="1">IF(OR(A151="",$I$5="",$I$6=""),"",ROUND(SUMIFS(aditivos!$L$2:$L$200,aditivos!$A$2:$A$200,A151,aditivos!$B$2:$B$200,"&gt;"&amp;$I$6,aditivos!$B$2:$B$200,"&lt;="&amp;$I$5),2))</f>
        <v/>
      </c>
      <c r="N151" s="181" t="str">
        <f t="shared" si="18"/>
        <v/>
      </c>
      <c r="O151" s="181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1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1" t="str">
        <f t="shared" si="19"/>
        <v/>
      </c>
      <c r="R151" s="181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1" t="str">
        <f>IF(itens_Remanesc!A152="","",itens_Remanesc!A152)</f>
        <v/>
      </c>
      <c r="B152" s="220" t="str">
        <f t="shared" ca="1" si="16"/>
        <v/>
      </c>
      <c r="C152" s="221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21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22" t="str">
        <f t="shared" si="17"/>
        <v/>
      </c>
      <c r="F152" s="81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1" t="str">
        <f>IF(A152="","",itens_Remanesc!C152)</f>
        <v/>
      </c>
      <c r="L152" s="18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1" t="str">
        <f ca="1">IF(OR(A152="",$I$5="",$I$6=""),"",ROUND(SUMIFS(aditivos!$L$2:$L$200,aditivos!$A$2:$A$200,A152,aditivos!$B$2:$B$200,"&gt;"&amp;$I$6,aditivos!$B$2:$B$200,"&lt;="&amp;$I$5),2))</f>
        <v/>
      </c>
      <c r="N152" s="181" t="str">
        <f t="shared" si="18"/>
        <v/>
      </c>
      <c r="O152" s="181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1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1" t="str">
        <f t="shared" si="19"/>
        <v/>
      </c>
      <c r="R152" s="181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1" t="str">
        <f>IF(itens_Remanesc!A153="","",itens_Remanesc!A153)</f>
        <v/>
      </c>
      <c r="B153" s="220" t="str">
        <f t="shared" ca="1" si="16"/>
        <v/>
      </c>
      <c r="C153" s="221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21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22" t="str">
        <f t="shared" si="17"/>
        <v/>
      </c>
      <c r="F153" s="81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1" t="str">
        <f>IF(A153="","",itens_Remanesc!C153)</f>
        <v/>
      </c>
      <c r="L153" s="18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1" t="str">
        <f ca="1">IF(OR(A153="",$I$5="",$I$6=""),"",ROUND(SUMIFS(aditivos!$L$2:$L$200,aditivos!$A$2:$A$200,A153,aditivos!$B$2:$B$200,"&gt;"&amp;$I$6,aditivos!$B$2:$B$200,"&lt;="&amp;$I$5),2))</f>
        <v/>
      </c>
      <c r="N153" s="181" t="str">
        <f t="shared" si="18"/>
        <v/>
      </c>
      <c r="O153" s="181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1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1" t="str">
        <f t="shared" si="19"/>
        <v/>
      </c>
      <c r="R153" s="181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1" t="str">
        <f>IF(itens_Remanesc!A154="","",itens_Remanesc!A154)</f>
        <v/>
      </c>
      <c r="B154" s="220" t="str">
        <f t="shared" ca="1" si="16"/>
        <v/>
      </c>
      <c r="C154" s="221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21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22" t="str">
        <f t="shared" si="17"/>
        <v/>
      </c>
      <c r="F154" s="81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1" t="str">
        <f>IF(A154="","",itens_Remanesc!C154)</f>
        <v/>
      </c>
      <c r="L154" s="18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1" t="str">
        <f ca="1">IF(OR(A154="",$I$5="",$I$6=""),"",ROUND(SUMIFS(aditivos!$L$2:$L$200,aditivos!$A$2:$A$200,A154,aditivos!$B$2:$B$200,"&gt;"&amp;$I$6,aditivos!$B$2:$B$200,"&lt;="&amp;$I$5),2))</f>
        <v/>
      </c>
      <c r="N154" s="181" t="str">
        <f t="shared" si="18"/>
        <v/>
      </c>
      <c r="O154" s="181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1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1" t="str">
        <f t="shared" si="19"/>
        <v/>
      </c>
      <c r="R154" s="181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1" t="str">
        <f>IF(itens_Remanesc!A155="","",itens_Remanesc!A155)</f>
        <v/>
      </c>
      <c r="B155" s="220" t="str">
        <f t="shared" ca="1" si="16"/>
        <v/>
      </c>
      <c r="C155" s="221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21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22" t="str">
        <f t="shared" si="17"/>
        <v/>
      </c>
      <c r="F155" s="81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1" t="str">
        <f>IF(A155="","",itens_Remanesc!C155)</f>
        <v/>
      </c>
      <c r="L155" s="18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1" t="str">
        <f ca="1">IF(OR(A155="",$I$5="",$I$6=""),"",ROUND(SUMIFS(aditivos!$L$2:$L$200,aditivos!$A$2:$A$200,A155,aditivos!$B$2:$B$200,"&gt;"&amp;$I$6,aditivos!$B$2:$B$200,"&lt;="&amp;$I$5),2))</f>
        <v/>
      </c>
      <c r="N155" s="181" t="str">
        <f t="shared" si="18"/>
        <v/>
      </c>
      <c r="O155" s="181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1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1" t="str">
        <f t="shared" si="19"/>
        <v/>
      </c>
      <c r="R155" s="181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1" t="str">
        <f>IF(itens_Remanesc!A156="","",itens_Remanesc!A156)</f>
        <v/>
      </c>
      <c r="B156" s="220" t="str">
        <f t="shared" ca="1" si="16"/>
        <v/>
      </c>
      <c r="C156" s="221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21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22" t="str">
        <f t="shared" si="17"/>
        <v/>
      </c>
      <c r="F156" s="81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1" t="str">
        <f>IF(A156="","",itens_Remanesc!C156)</f>
        <v/>
      </c>
      <c r="L156" s="18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1" t="str">
        <f ca="1">IF(OR(A156="",$I$5="",$I$6=""),"",ROUND(SUMIFS(aditivos!$L$2:$L$200,aditivos!$A$2:$A$200,A156,aditivos!$B$2:$B$200,"&gt;"&amp;$I$6,aditivos!$B$2:$B$200,"&lt;="&amp;$I$5),2))</f>
        <v/>
      </c>
      <c r="N156" s="181" t="str">
        <f t="shared" si="18"/>
        <v/>
      </c>
      <c r="O156" s="181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1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1" t="str">
        <f t="shared" si="19"/>
        <v/>
      </c>
      <c r="R156" s="181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1" t="str">
        <f>IF(itens_Remanesc!A157="","",itens_Remanesc!A157)</f>
        <v/>
      </c>
      <c r="B157" s="220" t="str">
        <f t="shared" ca="1" si="16"/>
        <v/>
      </c>
      <c r="C157" s="221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21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22" t="str">
        <f t="shared" si="17"/>
        <v/>
      </c>
      <c r="F157" s="81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1" t="str">
        <f>IF(A157="","",itens_Remanesc!C157)</f>
        <v/>
      </c>
      <c r="L157" s="18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1" t="str">
        <f ca="1">IF(OR(A157="",$I$5="",$I$6=""),"",ROUND(SUMIFS(aditivos!$L$2:$L$200,aditivos!$A$2:$A$200,A157,aditivos!$B$2:$B$200,"&gt;"&amp;$I$6,aditivos!$B$2:$B$200,"&lt;="&amp;$I$5),2))</f>
        <v/>
      </c>
      <c r="N157" s="181" t="str">
        <f t="shared" si="18"/>
        <v/>
      </c>
      <c r="O157" s="181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1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1" t="str">
        <f t="shared" si="19"/>
        <v/>
      </c>
      <c r="R157" s="181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1" t="str">
        <f>IF(itens_Remanesc!A158="","",itens_Remanesc!A158)</f>
        <v/>
      </c>
      <c r="B158" s="220" t="str">
        <f t="shared" ca="1" si="16"/>
        <v/>
      </c>
      <c r="C158" s="221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21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22" t="str">
        <f t="shared" si="17"/>
        <v/>
      </c>
      <c r="F158" s="81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1" t="str">
        <f>IF(A158="","",itens_Remanesc!C158)</f>
        <v/>
      </c>
      <c r="L158" s="18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1" t="str">
        <f ca="1">IF(OR(A158="",$I$5="",$I$6=""),"",ROUND(SUMIFS(aditivos!$L$2:$L$200,aditivos!$A$2:$A$200,A158,aditivos!$B$2:$B$200,"&gt;"&amp;$I$6,aditivos!$B$2:$B$200,"&lt;="&amp;$I$5),2))</f>
        <v/>
      </c>
      <c r="N158" s="181" t="str">
        <f t="shared" si="18"/>
        <v/>
      </c>
      <c r="O158" s="181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1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1" t="str">
        <f t="shared" si="19"/>
        <v/>
      </c>
      <c r="R158" s="181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1" t="str">
        <f>IF(itens_Remanesc!A159="","",itens_Remanesc!A159)</f>
        <v/>
      </c>
      <c r="B159" s="220" t="str">
        <f t="shared" ca="1" si="16"/>
        <v/>
      </c>
      <c r="C159" s="221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21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22" t="str">
        <f t="shared" si="17"/>
        <v/>
      </c>
      <c r="F159" s="81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1" t="str">
        <f>IF(A159="","",itens_Remanesc!C159)</f>
        <v/>
      </c>
      <c r="L159" s="18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1" t="str">
        <f ca="1">IF(OR(A159="",$I$5="",$I$6=""),"",ROUND(SUMIFS(aditivos!$L$2:$L$200,aditivos!$A$2:$A$200,A159,aditivos!$B$2:$B$200,"&gt;"&amp;$I$6,aditivos!$B$2:$B$200,"&lt;="&amp;$I$5),2))</f>
        <v/>
      </c>
      <c r="N159" s="181" t="str">
        <f t="shared" si="18"/>
        <v/>
      </c>
      <c r="O159" s="181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1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1" t="str">
        <f t="shared" si="19"/>
        <v/>
      </c>
      <c r="R159" s="181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1" t="str">
        <f>IF(itens_Remanesc!A160="","",itens_Remanesc!A160)</f>
        <v/>
      </c>
      <c r="B160" s="220" t="str">
        <f t="shared" ca="1" si="16"/>
        <v/>
      </c>
      <c r="C160" s="221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21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22" t="str">
        <f t="shared" si="17"/>
        <v/>
      </c>
      <c r="F160" s="81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1" t="str">
        <f>IF(A160="","",itens_Remanesc!C160)</f>
        <v/>
      </c>
      <c r="L160" s="18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1" t="str">
        <f ca="1">IF(OR(A160="",$I$5="",$I$6=""),"",ROUND(SUMIFS(aditivos!$L$2:$L$200,aditivos!$A$2:$A$200,A160,aditivos!$B$2:$B$200,"&gt;"&amp;$I$6,aditivos!$B$2:$B$200,"&lt;="&amp;$I$5),2))</f>
        <v/>
      </c>
      <c r="N160" s="181" t="str">
        <f t="shared" si="18"/>
        <v/>
      </c>
      <c r="O160" s="181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1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1" t="str">
        <f t="shared" si="19"/>
        <v/>
      </c>
      <c r="R160" s="181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1" t="str">
        <f>IF(itens_Remanesc!A161="","",itens_Remanesc!A161)</f>
        <v/>
      </c>
      <c r="B161" s="220" t="str">
        <f t="shared" ca="1" si="16"/>
        <v/>
      </c>
      <c r="C161" s="221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21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22" t="str">
        <f t="shared" si="17"/>
        <v/>
      </c>
      <c r="F161" s="81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1" t="str">
        <f>IF(A161="","",itens_Remanesc!C161)</f>
        <v/>
      </c>
      <c r="L161" s="18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1" t="str">
        <f ca="1">IF(OR(A161="",$I$5="",$I$6=""),"",ROUND(SUMIFS(aditivos!$L$2:$L$200,aditivos!$A$2:$A$200,A161,aditivos!$B$2:$B$200,"&gt;"&amp;$I$6,aditivos!$B$2:$B$200,"&lt;="&amp;$I$5),2))</f>
        <v/>
      </c>
      <c r="N161" s="181" t="str">
        <f t="shared" si="18"/>
        <v/>
      </c>
      <c r="O161" s="181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1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1" t="str">
        <f t="shared" si="19"/>
        <v/>
      </c>
      <c r="R161" s="181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1" t="str">
        <f>IF(itens_Remanesc!A162="","",itens_Remanesc!A162)</f>
        <v/>
      </c>
      <c r="B162" s="220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21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21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22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1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1" t="str">
        <f>IF(A162="","",itens_Remanesc!C162)</f>
        <v/>
      </c>
      <c r="L162" s="18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1" t="str">
        <f ca="1">IF(OR(A162="",$I$5="",$I$6=""),"",ROUND(SUMIFS(aditivos!$L$2:$L$200,aditivos!$A$2:$A$200,A162,aditivos!$B$2:$B$200,"&gt;"&amp;$I$6,aditivos!$B$2:$B$200,"&lt;="&amp;$I$5),2))</f>
        <v/>
      </c>
      <c r="N162" s="181" t="str">
        <f t="shared" ref="N162:N193" si="22">IF(OR(A162="",L162="",D162=""),"",ROUND(MAX(L162+IF(ISNUMBER(M162),M162,0)-D162,0),2))</f>
        <v/>
      </c>
      <c r="O162" s="181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1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1" t="str">
        <f t="shared" ref="Q162:Q193" si="23">IF(OR(A162="",D162="",K162=""),"",ROUND(D162*K162,2))</f>
        <v/>
      </c>
      <c r="R162" s="181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1" t="str">
        <f>IF(itens_Remanesc!A163="","",itens_Remanesc!A163)</f>
        <v/>
      </c>
      <c r="B163" s="220" t="str">
        <f t="shared" ca="1" si="20"/>
        <v/>
      </c>
      <c r="C163" s="221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21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22" t="str">
        <f t="shared" si="21"/>
        <v/>
      </c>
      <c r="F163" s="81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1" t="str">
        <f>IF(A163="","",itens_Remanesc!C163)</f>
        <v/>
      </c>
      <c r="L163" s="18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1" t="str">
        <f ca="1">IF(OR(A163="",$I$5="",$I$6=""),"",ROUND(SUMIFS(aditivos!$L$2:$L$200,aditivos!$A$2:$A$200,A163,aditivos!$B$2:$B$200,"&gt;"&amp;$I$6,aditivos!$B$2:$B$200,"&lt;="&amp;$I$5),2))</f>
        <v/>
      </c>
      <c r="N163" s="181" t="str">
        <f t="shared" si="22"/>
        <v/>
      </c>
      <c r="O163" s="181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1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1" t="str">
        <f t="shared" si="23"/>
        <v/>
      </c>
      <c r="R163" s="181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1" t="str">
        <f>IF(itens_Remanesc!A164="","",itens_Remanesc!A164)</f>
        <v/>
      </c>
      <c r="B164" s="220" t="str">
        <f t="shared" ca="1" si="20"/>
        <v/>
      </c>
      <c r="C164" s="221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21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22" t="str">
        <f t="shared" si="21"/>
        <v/>
      </c>
      <c r="F164" s="81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1" t="str">
        <f>IF(A164="","",itens_Remanesc!C164)</f>
        <v/>
      </c>
      <c r="L164" s="18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1" t="str">
        <f ca="1">IF(OR(A164="",$I$5="",$I$6=""),"",ROUND(SUMIFS(aditivos!$L$2:$L$200,aditivos!$A$2:$A$200,A164,aditivos!$B$2:$B$200,"&gt;"&amp;$I$6,aditivos!$B$2:$B$200,"&lt;="&amp;$I$5),2))</f>
        <v/>
      </c>
      <c r="N164" s="181" t="str">
        <f t="shared" si="22"/>
        <v/>
      </c>
      <c r="O164" s="181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1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1" t="str">
        <f t="shared" si="23"/>
        <v/>
      </c>
      <c r="R164" s="181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1" t="str">
        <f>IF(itens_Remanesc!A165="","",itens_Remanesc!A165)</f>
        <v/>
      </c>
      <c r="B165" s="220" t="str">
        <f t="shared" ca="1" si="20"/>
        <v/>
      </c>
      <c r="C165" s="221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21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22" t="str">
        <f t="shared" si="21"/>
        <v/>
      </c>
      <c r="F165" s="81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1" t="str">
        <f>IF(A165="","",itens_Remanesc!C165)</f>
        <v/>
      </c>
      <c r="L165" s="18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1" t="str">
        <f ca="1">IF(OR(A165="",$I$5="",$I$6=""),"",ROUND(SUMIFS(aditivos!$L$2:$L$200,aditivos!$A$2:$A$200,A165,aditivos!$B$2:$B$200,"&gt;"&amp;$I$6,aditivos!$B$2:$B$200,"&lt;="&amp;$I$5),2))</f>
        <v/>
      </c>
      <c r="N165" s="181" t="str">
        <f t="shared" si="22"/>
        <v/>
      </c>
      <c r="O165" s="181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1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1" t="str">
        <f t="shared" si="23"/>
        <v/>
      </c>
      <c r="R165" s="181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1" t="str">
        <f>IF(itens_Remanesc!A166="","",itens_Remanesc!A166)</f>
        <v/>
      </c>
      <c r="B166" s="220" t="str">
        <f t="shared" ca="1" si="20"/>
        <v/>
      </c>
      <c r="C166" s="221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21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22" t="str">
        <f t="shared" si="21"/>
        <v/>
      </c>
      <c r="F166" s="81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1" t="str">
        <f>IF(A166="","",itens_Remanesc!C166)</f>
        <v/>
      </c>
      <c r="L166" s="18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1" t="str">
        <f ca="1">IF(OR(A166="",$I$5="",$I$6=""),"",ROUND(SUMIFS(aditivos!$L$2:$L$200,aditivos!$A$2:$A$200,A166,aditivos!$B$2:$B$200,"&gt;"&amp;$I$6,aditivos!$B$2:$B$200,"&lt;="&amp;$I$5),2))</f>
        <v/>
      </c>
      <c r="N166" s="181" t="str">
        <f t="shared" si="22"/>
        <v/>
      </c>
      <c r="O166" s="181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1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1" t="str">
        <f t="shared" si="23"/>
        <v/>
      </c>
      <c r="R166" s="181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1" t="str">
        <f>IF(itens_Remanesc!A167="","",itens_Remanesc!A167)</f>
        <v/>
      </c>
      <c r="B167" s="220" t="str">
        <f t="shared" ca="1" si="20"/>
        <v/>
      </c>
      <c r="C167" s="221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21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22" t="str">
        <f t="shared" si="21"/>
        <v/>
      </c>
      <c r="F167" s="81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1" t="str">
        <f>IF(A167="","",itens_Remanesc!C167)</f>
        <v/>
      </c>
      <c r="L167" s="18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1" t="str">
        <f ca="1">IF(OR(A167="",$I$5="",$I$6=""),"",ROUND(SUMIFS(aditivos!$L$2:$L$200,aditivos!$A$2:$A$200,A167,aditivos!$B$2:$B$200,"&gt;"&amp;$I$6,aditivos!$B$2:$B$200,"&lt;="&amp;$I$5),2))</f>
        <v/>
      </c>
      <c r="N167" s="181" t="str">
        <f t="shared" si="22"/>
        <v/>
      </c>
      <c r="O167" s="181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1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1" t="str">
        <f t="shared" si="23"/>
        <v/>
      </c>
      <c r="R167" s="181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1" t="str">
        <f>IF(itens_Remanesc!A168="","",itens_Remanesc!A168)</f>
        <v/>
      </c>
      <c r="B168" s="220" t="str">
        <f t="shared" ca="1" si="20"/>
        <v/>
      </c>
      <c r="C168" s="221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21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22" t="str">
        <f t="shared" si="21"/>
        <v/>
      </c>
      <c r="F168" s="81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1" t="str">
        <f>IF(A168="","",itens_Remanesc!C168)</f>
        <v/>
      </c>
      <c r="L168" s="18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1" t="str">
        <f ca="1">IF(OR(A168="",$I$5="",$I$6=""),"",ROUND(SUMIFS(aditivos!$L$2:$L$200,aditivos!$A$2:$A$200,A168,aditivos!$B$2:$B$200,"&gt;"&amp;$I$6,aditivos!$B$2:$B$200,"&lt;="&amp;$I$5),2))</f>
        <v/>
      </c>
      <c r="N168" s="181" t="str">
        <f t="shared" si="22"/>
        <v/>
      </c>
      <c r="O168" s="181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1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1" t="str">
        <f t="shared" si="23"/>
        <v/>
      </c>
      <c r="R168" s="181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1" t="str">
        <f>IF(itens_Remanesc!A169="","",itens_Remanesc!A169)</f>
        <v/>
      </c>
      <c r="B169" s="220" t="str">
        <f t="shared" ca="1" si="20"/>
        <v/>
      </c>
      <c r="C169" s="221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21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22" t="str">
        <f t="shared" si="21"/>
        <v/>
      </c>
      <c r="F169" s="81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1" t="str">
        <f>IF(A169="","",itens_Remanesc!C169)</f>
        <v/>
      </c>
      <c r="L169" s="18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1" t="str">
        <f ca="1">IF(OR(A169="",$I$5="",$I$6=""),"",ROUND(SUMIFS(aditivos!$L$2:$L$200,aditivos!$A$2:$A$200,A169,aditivos!$B$2:$B$200,"&gt;"&amp;$I$6,aditivos!$B$2:$B$200,"&lt;="&amp;$I$5),2))</f>
        <v/>
      </c>
      <c r="N169" s="181" t="str">
        <f t="shared" si="22"/>
        <v/>
      </c>
      <c r="O169" s="181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1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1" t="str">
        <f t="shared" si="23"/>
        <v/>
      </c>
      <c r="R169" s="181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1" t="str">
        <f>IF(itens_Remanesc!A170="","",itens_Remanesc!A170)</f>
        <v/>
      </c>
      <c r="B170" s="220" t="str">
        <f t="shared" ca="1" si="20"/>
        <v/>
      </c>
      <c r="C170" s="221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21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22" t="str">
        <f t="shared" si="21"/>
        <v/>
      </c>
      <c r="F170" s="81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1" t="str">
        <f>IF(A170="","",itens_Remanesc!C170)</f>
        <v/>
      </c>
      <c r="L170" s="18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1" t="str">
        <f ca="1">IF(OR(A170="",$I$5="",$I$6=""),"",ROUND(SUMIFS(aditivos!$L$2:$L$200,aditivos!$A$2:$A$200,A170,aditivos!$B$2:$B$200,"&gt;"&amp;$I$6,aditivos!$B$2:$B$200,"&lt;="&amp;$I$5),2))</f>
        <v/>
      </c>
      <c r="N170" s="181" t="str">
        <f t="shared" si="22"/>
        <v/>
      </c>
      <c r="O170" s="181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1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1" t="str">
        <f t="shared" si="23"/>
        <v/>
      </c>
      <c r="R170" s="181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1" t="str">
        <f>IF(itens_Remanesc!A171="","",itens_Remanesc!A171)</f>
        <v/>
      </c>
      <c r="B171" s="220" t="str">
        <f t="shared" ca="1" si="20"/>
        <v/>
      </c>
      <c r="C171" s="221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21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22" t="str">
        <f t="shared" si="21"/>
        <v/>
      </c>
      <c r="F171" s="81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1" t="str">
        <f>IF(A171="","",itens_Remanesc!C171)</f>
        <v/>
      </c>
      <c r="L171" s="18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1" t="str">
        <f ca="1">IF(OR(A171="",$I$5="",$I$6=""),"",ROUND(SUMIFS(aditivos!$L$2:$L$200,aditivos!$A$2:$A$200,A171,aditivos!$B$2:$B$200,"&gt;"&amp;$I$6,aditivos!$B$2:$B$200,"&lt;="&amp;$I$5),2))</f>
        <v/>
      </c>
      <c r="N171" s="181" t="str">
        <f t="shared" si="22"/>
        <v/>
      </c>
      <c r="O171" s="181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1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1" t="str">
        <f t="shared" si="23"/>
        <v/>
      </c>
      <c r="R171" s="181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1" t="str">
        <f>IF(itens_Remanesc!A172="","",itens_Remanesc!A172)</f>
        <v/>
      </c>
      <c r="B172" s="220" t="str">
        <f t="shared" ca="1" si="20"/>
        <v/>
      </c>
      <c r="C172" s="221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21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22" t="str">
        <f t="shared" si="21"/>
        <v/>
      </c>
      <c r="F172" s="81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1" t="str">
        <f>IF(A172="","",itens_Remanesc!C172)</f>
        <v/>
      </c>
      <c r="L172" s="18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1" t="str">
        <f ca="1">IF(OR(A172="",$I$5="",$I$6=""),"",ROUND(SUMIFS(aditivos!$L$2:$L$200,aditivos!$A$2:$A$200,A172,aditivos!$B$2:$B$200,"&gt;"&amp;$I$6,aditivos!$B$2:$B$200,"&lt;="&amp;$I$5),2))</f>
        <v/>
      </c>
      <c r="N172" s="181" t="str">
        <f t="shared" si="22"/>
        <v/>
      </c>
      <c r="O172" s="181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1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1" t="str">
        <f t="shared" si="23"/>
        <v/>
      </c>
      <c r="R172" s="181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1" t="str">
        <f>IF(itens_Remanesc!A173="","",itens_Remanesc!A173)</f>
        <v/>
      </c>
      <c r="B173" s="220" t="str">
        <f t="shared" ca="1" si="20"/>
        <v/>
      </c>
      <c r="C173" s="221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21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22" t="str">
        <f t="shared" si="21"/>
        <v/>
      </c>
      <c r="F173" s="81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1" t="str">
        <f>IF(A173="","",itens_Remanesc!C173)</f>
        <v/>
      </c>
      <c r="L173" s="18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1" t="str">
        <f ca="1">IF(OR(A173="",$I$5="",$I$6=""),"",ROUND(SUMIFS(aditivos!$L$2:$L$200,aditivos!$A$2:$A$200,A173,aditivos!$B$2:$B$200,"&gt;"&amp;$I$6,aditivos!$B$2:$B$200,"&lt;="&amp;$I$5),2))</f>
        <v/>
      </c>
      <c r="N173" s="181" t="str">
        <f t="shared" si="22"/>
        <v/>
      </c>
      <c r="O173" s="181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1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1" t="str">
        <f t="shared" si="23"/>
        <v/>
      </c>
      <c r="R173" s="181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1" t="str">
        <f>IF(itens_Remanesc!A174="","",itens_Remanesc!A174)</f>
        <v/>
      </c>
      <c r="B174" s="220" t="str">
        <f t="shared" ca="1" si="20"/>
        <v/>
      </c>
      <c r="C174" s="221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21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22" t="str">
        <f t="shared" si="21"/>
        <v/>
      </c>
      <c r="F174" s="81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1" t="str">
        <f>IF(A174="","",itens_Remanesc!C174)</f>
        <v/>
      </c>
      <c r="L174" s="18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1" t="str">
        <f ca="1">IF(OR(A174="",$I$5="",$I$6=""),"",ROUND(SUMIFS(aditivos!$L$2:$L$200,aditivos!$A$2:$A$200,A174,aditivos!$B$2:$B$200,"&gt;"&amp;$I$6,aditivos!$B$2:$B$200,"&lt;="&amp;$I$5),2))</f>
        <v/>
      </c>
      <c r="N174" s="181" t="str">
        <f t="shared" si="22"/>
        <v/>
      </c>
      <c r="O174" s="181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1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1" t="str">
        <f t="shared" si="23"/>
        <v/>
      </c>
      <c r="R174" s="181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1" t="str">
        <f>IF(itens_Remanesc!A175="","",itens_Remanesc!A175)</f>
        <v/>
      </c>
      <c r="B175" s="220" t="str">
        <f t="shared" ca="1" si="20"/>
        <v/>
      </c>
      <c r="C175" s="221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21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22" t="str">
        <f t="shared" si="21"/>
        <v/>
      </c>
      <c r="F175" s="81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1" t="str">
        <f>IF(A175="","",itens_Remanesc!C175)</f>
        <v/>
      </c>
      <c r="L175" s="18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1" t="str">
        <f ca="1">IF(OR(A175="",$I$5="",$I$6=""),"",ROUND(SUMIFS(aditivos!$L$2:$L$200,aditivos!$A$2:$A$200,A175,aditivos!$B$2:$B$200,"&gt;"&amp;$I$6,aditivos!$B$2:$B$200,"&lt;="&amp;$I$5),2))</f>
        <v/>
      </c>
      <c r="N175" s="181" t="str">
        <f t="shared" si="22"/>
        <v/>
      </c>
      <c r="O175" s="181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1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1" t="str">
        <f t="shared" si="23"/>
        <v/>
      </c>
      <c r="R175" s="181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1" t="str">
        <f>IF(itens_Remanesc!A176="","",itens_Remanesc!A176)</f>
        <v/>
      </c>
      <c r="B176" s="220" t="str">
        <f t="shared" ca="1" si="20"/>
        <v/>
      </c>
      <c r="C176" s="221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21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22" t="str">
        <f t="shared" si="21"/>
        <v/>
      </c>
      <c r="F176" s="81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1" t="str">
        <f>IF(A176="","",itens_Remanesc!C176)</f>
        <v/>
      </c>
      <c r="L176" s="18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1" t="str">
        <f ca="1">IF(OR(A176="",$I$5="",$I$6=""),"",ROUND(SUMIFS(aditivos!$L$2:$L$200,aditivos!$A$2:$A$200,A176,aditivos!$B$2:$B$200,"&gt;"&amp;$I$6,aditivos!$B$2:$B$200,"&lt;="&amp;$I$5),2))</f>
        <v/>
      </c>
      <c r="N176" s="181" t="str">
        <f t="shared" si="22"/>
        <v/>
      </c>
      <c r="O176" s="181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1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1" t="str">
        <f t="shared" si="23"/>
        <v/>
      </c>
      <c r="R176" s="181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1" t="str">
        <f>IF(itens_Remanesc!A177="","",itens_Remanesc!A177)</f>
        <v/>
      </c>
      <c r="B177" s="220" t="str">
        <f t="shared" ca="1" si="20"/>
        <v/>
      </c>
      <c r="C177" s="221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21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22" t="str">
        <f t="shared" si="21"/>
        <v/>
      </c>
      <c r="F177" s="81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1" t="str">
        <f>IF(A177="","",itens_Remanesc!C177)</f>
        <v/>
      </c>
      <c r="L177" s="18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1" t="str">
        <f ca="1">IF(OR(A177="",$I$5="",$I$6=""),"",ROUND(SUMIFS(aditivos!$L$2:$L$200,aditivos!$A$2:$A$200,A177,aditivos!$B$2:$B$200,"&gt;"&amp;$I$6,aditivos!$B$2:$B$200,"&lt;="&amp;$I$5),2))</f>
        <v/>
      </c>
      <c r="N177" s="181" t="str">
        <f t="shared" si="22"/>
        <v/>
      </c>
      <c r="O177" s="181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1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1" t="str">
        <f t="shared" si="23"/>
        <v/>
      </c>
      <c r="R177" s="181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1" t="str">
        <f>IF(itens_Remanesc!A178="","",itens_Remanesc!A178)</f>
        <v/>
      </c>
      <c r="B178" s="220" t="str">
        <f t="shared" ca="1" si="20"/>
        <v/>
      </c>
      <c r="C178" s="221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21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22" t="str">
        <f t="shared" si="21"/>
        <v/>
      </c>
      <c r="F178" s="81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1" t="str">
        <f>IF(A178="","",itens_Remanesc!C178)</f>
        <v/>
      </c>
      <c r="L178" s="18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1" t="str">
        <f ca="1">IF(OR(A178="",$I$5="",$I$6=""),"",ROUND(SUMIFS(aditivos!$L$2:$L$200,aditivos!$A$2:$A$200,A178,aditivos!$B$2:$B$200,"&gt;"&amp;$I$6,aditivos!$B$2:$B$200,"&lt;="&amp;$I$5),2))</f>
        <v/>
      </c>
      <c r="N178" s="181" t="str">
        <f t="shared" si="22"/>
        <v/>
      </c>
      <c r="O178" s="181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1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1" t="str">
        <f t="shared" si="23"/>
        <v/>
      </c>
      <c r="R178" s="181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1" t="str">
        <f>IF(itens_Remanesc!A179="","",itens_Remanesc!A179)</f>
        <v/>
      </c>
      <c r="B179" s="220" t="str">
        <f t="shared" ca="1" si="20"/>
        <v/>
      </c>
      <c r="C179" s="221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21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22" t="str">
        <f t="shared" si="21"/>
        <v/>
      </c>
      <c r="F179" s="81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1" t="str">
        <f>IF(A179="","",itens_Remanesc!C179)</f>
        <v/>
      </c>
      <c r="L179" s="18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1" t="str">
        <f ca="1">IF(OR(A179="",$I$5="",$I$6=""),"",ROUND(SUMIFS(aditivos!$L$2:$L$200,aditivos!$A$2:$A$200,A179,aditivos!$B$2:$B$200,"&gt;"&amp;$I$6,aditivos!$B$2:$B$200,"&lt;="&amp;$I$5),2))</f>
        <v/>
      </c>
      <c r="N179" s="181" t="str">
        <f t="shared" si="22"/>
        <v/>
      </c>
      <c r="O179" s="181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1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1" t="str">
        <f t="shared" si="23"/>
        <v/>
      </c>
      <c r="R179" s="181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1" t="str">
        <f>IF(itens_Remanesc!A180="","",itens_Remanesc!A180)</f>
        <v/>
      </c>
      <c r="B180" s="220" t="str">
        <f t="shared" ca="1" si="20"/>
        <v/>
      </c>
      <c r="C180" s="221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21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22" t="str">
        <f t="shared" si="21"/>
        <v/>
      </c>
      <c r="F180" s="81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1" t="str">
        <f>IF(A180="","",itens_Remanesc!C180)</f>
        <v/>
      </c>
      <c r="L180" s="18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1" t="str">
        <f ca="1">IF(OR(A180="",$I$5="",$I$6=""),"",ROUND(SUMIFS(aditivos!$L$2:$L$200,aditivos!$A$2:$A$200,A180,aditivos!$B$2:$B$200,"&gt;"&amp;$I$6,aditivos!$B$2:$B$200,"&lt;="&amp;$I$5),2))</f>
        <v/>
      </c>
      <c r="N180" s="181" t="str">
        <f t="shared" si="22"/>
        <v/>
      </c>
      <c r="O180" s="181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1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1" t="str">
        <f t="shared" si="23"/>
        <v/>
      </c>
      <c r="R180" s="181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1" t="str">
        <f>IF(itens_Remanesc!A181="","",itens_Remanesc!A181)</f>
        <v/>
      </c>
      <c r="B181" s="220" t="str">
        <f t="shared" ca="1" si="20"/>
        <v/>
      </c>
      <c r="C181" s="221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21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22" t="str">
        <f t="shared" si="21"/>
        <v/>
      </c>
      <c r="F181" s="81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1" t="str">
        <f>IF(A181="","",itens_Remanesc!C181)</f>
        <v/>
      </c>
      <c r="L181" s="18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1" t="str">
        <f ca="1">IF(OR(A181="",$I$5="",$I$6=""),"",ROUND(SUMIFS(aditivos!$L$2:$L$200,aditivos!$A$2:$A$200,A181,aditivos!$B$2:$B$200,"&gt;"&amp;$I$6,aditivos!$B$2:$B$200,"&lt;="&amp;$I$5),2))</f>
        <v/>
      </c>
      <c r="N181" s="181" t="str">
        <f t="shared" si="22"/>
        <v/>
      </c>
      <c r="O181" s="181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1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1" t="str">
        <f t="shared" si="23"/>
        <v/>
      </c>
      <c r="R181" s="181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1" t="str">
        <f>IF(itens_Remanesc!A182="","",itens_Remanesc!A182)</f>
        <v/>
      </c>
      <c r="B182" s="220" t="str">
        <f t="shared" ca="1" si="20"/>
        <v/>
      </c>
      <c r="C182" s="221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21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22" t="str">
        <f t="shared" si="21"/>
        <v/>
      </c>
      <c r="F182" s="81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1" t="str">
        <f>IF(A182="","",itens_Remanesc!C182)</f>
        <v/>
      </c>
      <c r="L182" s="18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1" t="str">
        <f ca="1">IF(OR(A182="",$I$5="",$I$6=""),"",ROUND(SUMIFS(aditivos!$L$2:$L$200,aditivos!$A$2:$A$200,A182,aditivos!$B$2:$B$200,"&gt;"&amp;$I$6,aditivos!$B$2:$B$200,"&lt;="&amp;$I$5),2))</f>
        <v/>
      </c>
      <c r="N182" s="181" t="str">
        <f t="shared" si="22"/>
        <v/>
      </c>
      <c r="O182" s="181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1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1" t="str">
        <f t="shared" si="23"/>
        <v/>
      </c>
      <c r="R182" s="181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1" t="str">
        <f>IF(itens_Remanesc!A183="","",itens_Remanesc!A183)</f>
        <v/>
      </c>
      <c r="B183" s="220" t="str">
        <f t="shared" ca="1" si="20"/>
        <v/>
      </c>
      <c r="C183" s="221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21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22" t="str">
        <f t="shared" si="21"/>
        <v/>
      </c>
      <c r="F183" s="81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1" t="str">
        <f>IF(A183="","",itens_Remanesc!C183)</f>
        <v/>
      </c>
      <c r="L183" s="18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1" t="str">
        <f ca="1">IF(OR(A183="",$I$5="",$I$6=""),"",ROUND(SUMIFS(aditivos!$L$2:$L$200,aditivos!$A$2:$A$200,A183,aditivos!$B$2:$B$200,"&gt;"&amp;$I$6,aditivos!$B$2:$B$200,"&lt;="&amp;$I$5),2))</f>
        <v/>
      </c>
      <c r="N183" s="181" t="str">
        <f t="shared" si="22"/>
        <v/>
      </c>
      <c r="O183" s="181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1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1" t="str">
        <f t="shared" si="23"/>
        <v/>
      </c>
      <c r="R183" s="181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1" t="str">
        <f>IF(itens_Remanesc!A184="","",itens_Remanesc!A184)</f>
        <v/>
      </c>
      <c r="B184" s="220" t="str">
        <f t="shared" ca="1" si="20"/>
        <v/>
      </c>
      <c r="C184" s="221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21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22" t="str">
        <f t="shared" si="21"/>
        <v/>
      </c>
      <c r="F184" s="81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1" t="str">
        <f>IF(A184="","",itens_Remanesc!C184)</f>
        <v/>
      </c>
      <c r="L184" s="18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1" t="str">
        <f ca="1">IF(OR(A184="",$I$5="",$I$6=""),"",ROUND(SUMIFS(aditivos!$L$2:$L$200,aditivos!$A$2:$A$200,A184,aditivos!$B$2:$B$200,"&gt;"&amp;$I$6,aditivos!$B$2:$B$200,"&lt;="&amp;$I$5),2))</f>
        <v/>
      </c>
      <c r="N184" s="181" t="str">
        <f t="shared" si="22"/>
        <v/>
      </c>
      <c r="O184" s="181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1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1" t="str">
        <f t="shared" si="23"/>
        <v/>
      </c>
      <c r="R184" s="181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1" t="str">
        <f>IF(itens_Remanesc!A185="","",itens_Remanesc!A185)</f>
        <v/>
      </c>
      <c r="B185" s="220" t="str">
        <f t="shared" ca="1" si="20"/>
        <v/>
      </c>
      <c r="C185" s="221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21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22" t="str">
        <f t="shared" si="21"/>
        <v/>
      </c>
      <c r="F185" s="81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1" t="str">
        <f>IF(A185="","",itens_Remanesc!C185)</f>
        <v/>
      </c>
      <c r="L185" s="18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1" t="str">
        <f ca="1">IF(OR(A185="",$I$5="",$I$6=""),"",ROUND(SUMIFS(aditivos!$L$2:$L$200,aditivos!$A$2:$A$200,A185,aditivos!$B$2:$B$200,"&gt;"&amp;$I$6,aditivos!$B$2:$B$200,"&lt;="&amp;$I$5),2))</f>
        <v/>
      </c>
      <c r="N185" s="181" t="str">
        <f t="shared" si="22"/>
        <v/>
      </c>
      <c r="O185" s="181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1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1" t="str">
        <f t="shared" si="23"/>
        <v/>
      </c>
      <c r="R185" s="181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1" t="str">
        <f>IF(itens_Remanesc!A186="","",itens_Remanesc!A186)</f>
        <v/>
      </c>
      <c r="B186" s="220" t="str">
        <f t="shared" ca="1" si="20"/>
        <v/>
      </c>
      <c r="C186" s="221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21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22" t="str">
        <f t="shared" si="21"/>
        <v/>
      </c>
      <c r="F186" s="81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1" t="str">
        <f>IF(A186="","",itens_Remanesc!C186)</f>
        <v/>
      </c>
      <c r="L186" s="18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1" t="str">
        <f ca="1">IF(OR(A186="",$I$5="",$I$6=""),"",ROUND(SUMIFS(aditivos!$L$2:$L$200,aditivos!$A$2:$A$200,A186,aditivos!$B$2:$B$200,"&gt;"&amp;$I$6,aditivos!$B$2:$B$200,"&lt;="&amp;$I$5),2))</f>
        <v/>
      </c>
      <c r="N186" s="181" t="str">
        <f t="shared" si="22"/>
        <v/>
      </c>
      <c r="O186" s="181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1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1" t="str">
        <f t="shared" si="23"/>
        <v/>
      </c>
      <c r="R186" s="181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1" t="str">
        <f>IF(itens_Remanesc!A187="","",itens_Remanesc!A187)</f>
        <v/>
      </c>
      <c r="B187" s="220" t="str">
        <f t="shared" ca="1" si="20"/>
        <v/>
      </c>
      <c r="C187" s="221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21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22" t="str">
        <f t="shared" si="21"/>
        <v/>
      </c>
      <c r="F187" s="81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1" t="str">
        <f>IF(A187="","",itens_Remanesc!C187)</f>
        <v/>
      </c>
      <c r="L187" s="18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1" t="str">
        <f ca="1">IF(OR(A187="",$I$5="",$I$6=""),"",ROUND(SUMIFS(aditivos!$L$2:$L$200,aditivos!$A$2:$A$200,A187,aditivos!$B$2:$B$200,"&gt;"&amp;$I$6,aditivos!$B$2:$B$200,"&lt;="&amp;$I$5),2))</f>
        <v/>
      </c>
      <c r="N187" s="181" t="str">
        <f t="shared" si="22"/>
        <v/>
      </c>
      <c r="O187" s="181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1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1" t="str">
        <f t="shared" si="23"/>
        <v/>
      </c>
      <c r="R187" s="181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1" t="str">
        <f>IF(itens_Remanesc!A188="","",itens_Remanesc!A188)</f>
        <v/>
      </c>
      <c r="B188" s="220" t="str">
        <f t="shared" ca="1" si="20"/>
        <v/>
      </c>
      <c r="C188" s="221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21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22" t="str">
        <f t="shared" si="21"/>
        <v/>
      </c>
      <c r="F188" s="81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1" t="str">
        <f>IF(A188="","",itens_Remanesc!C188)</f>
        <v/>
      </c>
      <c r="L188" s="18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1" t="str">
        <f ca="1">IF(OR(A188="",$I$5="",$I$6=""),"",ROUND(SUMIFS(aditivos!$L$2:$L$200,aditivos!$A$2:$A$200,A188,aditivos!$B$2:$B$200,"&gt;"&amp;$I$6,aditivos!$B$2:$B$200,"&lt;="&amp;$I$5),2))</f>
        <v/>
      </c>
      <c r="N188" s="181" t="str">
        <f t="shared" si="22"/>
        <v/>
      </c>
      <c r="O188" s="181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1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1" t="str">
        <f t="shared" si="23"/>
        <v/>
      </c>
      <c r="R188" s="181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1" t="str">
        <f>IF(itens_Remanesc!A189="","",itens_Remanesc!A189)</f>
        <v/>
      </c>
      <c r="B189" s="220" t="str">
        <f t="shared" ca="1" si="20"/>
        <v/>
      </c>
      <c r="C189" s="221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21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22" t="str">
        <f t="shared" si="21"/>
        <v/>
      </c>
      <c r="F189" s="81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1" t="str">
        <f>IF(A189="","",itens_Remanesc!C189)</f>
        <v/>
      </c>
      <c r="L189" s="18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1" t="str">
        <f ca="1">IF(OR(A189="",$I$5="",$I$6=""),"",ROUND(SUMIFS(aditivos!$L$2:$L$200,aditivos!$A$2:$A$200,A189,aditivos!$B$2:$B$200,"&gt;"&amp;$I$6,aditivos!$B$2:$B$200,"&lt;="&amp;$I$5),2))</f>
        <v/>
      </c>
      <c r="N189" s="181" t="str">
        <f t="shared" si="22"/>
        <v/>
      </c>
      <c r="O189" s="181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1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1" t="str">
        <f t="shared" si="23"/>
        <v/>
      </c>
      <c r="R189" s="181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1" t="str">
        <f>IF(itens_Remanesc!A190="","",itens_Remanesc!A190)</f>
        <v/>
      </c>
      <c r="B190" s="220" t="str">
        <f t="shared" ca="1" si="20"/>
        <v/>
      </c>
      <c r="C190" s="221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21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22" t="str">
        <f t="shared" si="21"/>
        <v/>
      </c>
      <c r="F190" s="81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1" t="str">
        <f>IF(A190="","",itens_Remanesc!C190)</f>
        <v/>
      </c>
      <c r="L190" s="18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1" t="str">
        <f ca="1">IF(OR(A190="",$I$5="",$I$6=""),"",ROUND(SUMIFS(aditivos!$L$2:$L$200,aditivos!$A$2:$A$200,A190,aditivos!$B$2:$B$200,"&gt;"&amp;$I$6,aditivos!$B$2:$B$200,"&lt;="&amp;$I$5),2))</f>
        <v/>
      </c>
      <c r="N190" s="181" t="str">
        <f t="shared" si="22"/>
        <v/>
      </c>
      <c r="O190" s="181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1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1" t="str">
        <f t="shared" si="23"/>
        <v/>
      </c>
      <c r="R190" s="181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1" t="str">
        <f>IF(itens_Remanesc!A191="","",itens_Remanesc!A191)</f>
        <v/>
      </c>
      <c r="B191" s="220" t="str">
        <f t="shared" ca="1" si="20"/>
        <v/>
      </c>
      <c r="C191" s="221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21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22" t="str">
        <f t="shared" si="21"/>
        <v/>
      </c>
      <c r="F191" s="81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1" t="str">
        <f>IF(A191="","",itens_Remanesc!C191)</f>
        <v/>
      </c>
      <c r="L191" s="18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1" t="str">
        <f ca="1">IF(OR(A191="",$I$5="",$I$6=""),"",ROUND(SUMIFS(aditivos!$L$2:$L$200,aditivos!$A$2:$A$200,A191,aditivos!$B$2:$B$200,"&gt;"&amp;$I$6,aditivos!$B$2:$B$200,"&lt;="&amp;$I$5),2))</f>
        <v/>
      </c>
      <c r="N191" s="181" t="str">
        <f t="shared" si="22"/>
        <v/>
      </c>
      <c r="O191" s="181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1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1" t="str">
        <f t="shared" si="23"/>
        <v/>
      </c>
      <c r="R191" s="181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1" t="str">
        <f>IF(itens_Remanesc!A192="","",itens_Remanesc!A192)</f>
        <v/>
      </c>
      <c r="B192" s="220" t="str">
        <f t="shared" ca="1" si="20"/>
        <v/>
      </c>
      <c r="C192" s="221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21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22" t="str">
        <f t="shared" si="21"/>
        <v/>
      </c>
      <c r="F192" s="81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1" t="str">
        <f>IF(A192="","",itens_Remanesc!C192)</f>
        <v/>
      </c>
      <c r="L192" s="18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1" t="str">
        <f ca="1">IF(OR(A192="",$I$5="",$I$6=""),"",ROUND(SUMIFS(aditivos!$L$2:$L$200,aditivos!$A$2:$A$200,A192,aditivos!$B$2:$B$200,"&gt;"&amp;$I$6,aditivos!$B$2:$B$200,"&lt;="&amp;$I$5),2))</f>
        <v/>
      </c>
      <c r="N192" s="181" t="str">
        <f t="shared" si="22"/>
        <v/>
      </c>
      <c r="O192" s="181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1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1" t="str">
        <f t="shared" si="23"/>
        <v/>
      </c>
      <c r="R192" s="181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1" t="str">
        <f>IF(itens_Remanesc!A193="","",itens_Remanesc!A193)</f>
        <v/>
      </c>
      <c r="B193" s="220" t="str">
        <f t="shared" ca="1" si="20"/>
        <v/>
      </c>
      <c r="C193" s="221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21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22" t="str">
        <f t="shared" si="21"/>
        <v/>
      </c>
      <c r="F193" s="81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1" t="str">
        <f>IF(A193="","",itens_Remanesc!C193)</f>
        <v/>
      </c>
      <c r="L193" s="18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1" t="str">
        <f ca="1">IF(OR(A193="",$I$5="",$I$6=""),"",ROUND(SUMIFS(aditivos!$L$2:$L$200,aditivos!$A$2:$A$200,A193,aditivos!$B$2:$B$200,"&gt;"&amp;$I$6,aditivos!$B$2:$B$200,"&lt;="&amp;$I$5),2))</f>
        <v/>
      </c>
      <c r="N193" s="181" t="str">
        <f t="shared" si="22"/>
        <v/>
      </c>
      <c r="O193" s="181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1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1" t="str">
        <f t="shared" si="23"/>
        <v/>
      </c>
      <c r="R193" s="181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1" t="str">
        <f>IF(itens_Remanesc!A194="","",itens_Remanesc!A194)</f>
        <v/>
      </c>
      <c r="B194" s="220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21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21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22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1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1" t="str">
        <f>IF(A194="","",itens_Remanesc!C194)</f>
        <v/>
      </c>
      <c r="L194" s="18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1" t="str">
        <f ca="1">IF(OR(A194="",$I$5="",$I$6=""),"",ROUND(SUMIFS(aditivos!$L$2:$L$200,aditivos!$A$2:$A$200,A194,aditivos!$B$2:$B$200,"&gt;"&amp;$I$6,aditivos!$B$2:$B$200,"&lt;="&amp;$I$5),2))</f>
        <v/>
      </c>
      <c r="N194" s="181" t="str">
        <f t="shared" ref="N194:N200" si="26">IF(OR(A194="",L194="",D194=""),"",ROUND(MAX(L194+IF(ISNUMBER(M194),M194,0)-D194,0),2))</f>
        <v/>
      </c>
      <c r="O194" s="181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1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1" t="str">
        <f t="shared" ref="Q194:Q200" si="27">IF(OR(A194="",D194="",K194=""),"",ROUND(D194*K194,2))</f>
        <v/>
      </c>
      <c r="R194" s="181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1" t="str">
        <f>IF(itens_Remanesc!A195="","",itens_Remanesc!A195)</f>
        <v/>
      </c>
      <c r="B195" s="220" t="str">
        <f t="shared" ca="1" si="24"/>
        <v/>
      </c>
      <c r="C195" s="221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21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22" t="str">
        <f t="shared" si="25"/>
        <v/>
      </c>
      <c r="F195" s="81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1" t="str">
        <f>IF(A195="","",itens_Remanesc!C195)</f>
        <v/>
      </c>
      <c r="L195" s="18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1" t="str">
        <f ca="1">IF(OR(A195="",$I$5="",$I$6=""),"",ROUND(SUMIFS(aditivos!$L$2:$L$200,aditivos!$A$2:$A$200,A195,aditivos!$B$2:$B$200,"&gt;"&amp;$I$6,aditivos!$B$2:$B$200,"&lt;="&amp;$I$5),2))</f>
        <v/>
      </c>
      <c r="N195" s="181" t="str">
        <f t="shared" si="26"/>
        <v/>
      </c>
      <c r="O195" s="181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1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1" t="str">
        <f t="shared" si="27"/>
        <v/>
      </c>
      <c r="R195" s="181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1" t="str">
        <f>IF(itens_Remanesc!A196="","",itens_Remanesc!A196)</f>
        <v/>
      </c>
      <c r="B196" s="220" t="str">
        <f t="shared" ca="1" si="24"/>
        <v/>
      </c>
      <c r="C196" s="221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21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22" t="str">
        <f t="shared" si="25"/>
        <v/>
      </c>
      <c r="F196" s="81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1" t="str">
        <f>IF(A196="","",itens_Remanesc!C196)</f>
        <v/>
      </c>
      <c r="L196" s="18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1" t="str">
        <f ca="1">IF(OR(A196="",$I$5="",$I$6=""),"",ROUND(SUMIFS(aditivos!$L$2:$L$200,aditivos!$A$2:$A$200,A196,aditivos!$B$2:$B$200,"&gt;"&amp;$I$6,aditivos!$B$2:$B$200,"&lt;="&amp;$I$5),2))</f>
        <v/>
      </c>
      <c r="N196" s="181" t="str">
        <f t="shared" si="26"/>
        <v/>
      </c>
      <c r="O196" s="181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1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1" t="str">
        <f t="shared" si="27"/>
        <v/>
      </c>
      <c r="R196" s="181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1" t="str">
        <f>IF(itens_Remanesc!A197="","",itens_Remanesc!A197)</f>
        <v/>
      </c>
      <c r="B197" s="220" t="str">
        <f t="shared" ca="1" si="24"/>
        <v/>
      </c>
      <c r="C197" s="221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21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22" t="str">
        <f t="shared" si="25"/>
        <v/>
      </c>
      <c r="F197" s="81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1" t="str">
        <f>IF(A197="","",itens_Remanesc!C197)</f>
        <v/>
      </c>
      <c r="L197" s="18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1" t="str">
        <f ca="1">IF(OR(A197="",$I$5="",$I$6=""),"",ROUND(SUMIFS(aditivos!$L$2:$L$200,aditivos!$A$2:$A$200,A197,aditivos!$B$2:$B$200,"&gt;"&amp;$I$6,aditivos!$B$2:$B$200,"&lt;="&amp;$I$5),2))</f>
        <v/>
      </c>
      <c r="N197" s="181" t="str">
        <f t="shared" si="26"/>
        <v/>
      </c>
      <c r="O197" s="181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1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1" t="str">
        <f t="shared" si="27"/>
        <v/>
      </c>
      <c r="R197" s="181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1" t="str">
        <f>IF(itens_Remanesc!A198="","",itens_Remanesc!A198)</f>
        <v/>
      </c>
      <c r="B198" s="220" t="str">
        <f t="shared" ca="1" si="24"/>
        <v/>
      </c>
      <c r="C198" s="221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21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22" t="str">
        <f t="shared" si="25"/>
        <v/>
      </c>
      <c r="F198" s="81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1" t="str">
        <f>IF(A198="","",itens_Remanesc!C198)</f>
        <v/>
      </c>
      <c r="L198" s="18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1" t="str">
        <f ca="1">IF(OR(A198="",$I$5="",$I$6=""),"",ROUND(SUMIFS(aditivos!$L$2:$L$200,aditivos!$A$2:$A$200,A198,aditivos!$B$2:$B$200,"&gt;"&amp;$I$6,aditivos!$B$2:$B$200,"&lt;="&amp;$I$5),2))</f>
        <v/>
      </c>
      <c r="N198" s="181" t="str">
        <f t="shared" si="26"/>
        <v/>
      </c>
      <c r="O198" s="181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1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1" t="str">
        <f t="shared" si="27"/>
        <v/>
      </c>
      <c r="R198" s="181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1" t="str">
        <f>IF(itens_Remanesc!A199="","",itens_Remanesc!A199)</f>
        <v/>
      </c>
      <c r="B199" s="220" t="str">
        <f t="shared" ca="1" si="24"/>
        <v/>
      </c>
      <c r="C199" s="221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21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22" t="str">
        <f t="shared" si="25"/>
        <v/>
      </c>
      <c r="F199" s="81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1" t="str">
        <f>IF(A199="","",itens_Remanesc!C199)</f>
        <v/>
      </c>
      <c r="L199" s="18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1" t="str">
        <f ca="1">IF(OR(A199="",$I$5="",$I$6=""),"",ROUND(SUMIFS(aditivos!$L$2:$L$200,aditivos!$A$2:$A$200,A199,aditivos!$B$2:$B$200,"&gt;"&amp;$I$6,aditivos!$B$2:$B$200,"&lt;="&amp;$I$5),2))</f>
        <v/>
      </c>
      <c r="N199" s="181" t="str">
        <f t="shared" si="26"/>
        <v/>
      </c>
      <c r="O199" s="181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1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1" t="str">
        <f t="shared" si="27"/>
        <v/>
      </c>
      <c r="R199" s="181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1" t="str">
        <f>IF(itens_Remanesc!A200="","",itens_Remanesc!A200)</f>
        <v/>
      </c>
      <c r="B200" s="220" t="str">
        <f t="shared" ca="1" si="24"/>
        <v/>
      </c>
      <c r="C200" s="221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21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22" t="str">
        <f t="shared" si="25"/>
        <v/>
      </c>
      <c r="F200" s="81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1" t="str">
        <f>IF(A200="","",itens_Remanesc!C200)</f>
        <v/>
      </c>
      <c r="L200" s="18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1" t="str">
        <f ca="1">IF(OR(A200="",$I$5="",$I$6=""),"",ROUND(SUMIFS(aditivos!$L$2:$L$200,aditivos!$A$2:$A$200,A200,aditivos!$B$2:$B$200,"&gt;"&amp;$I$6,aditivos!$B$2:$B$200,"&lt;="&amp;$I$5),2))</f>
        <v/>
      </c>
      <c r="N200" s="181" t="str">
        <f t="shared" si="26"/>
        <v/>
      </c>
      <c r="O200" s="181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1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1" t="str">
        <f t="shared" si="27"/>
        <v/>
      </c>
      <c r="R200" s="181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76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3" t="s">
        <v>19</v>
      </c>
      <c r="B1" s="63" t="s">
        <v>20</v>
      </c>
      <c r="C1" s="162" t="s">
        <v>168</v>
      </c>
      <c r="D1" s="164" t="s">
        <v>169</v>
      </c>
      <c r="E1" s="160" t="s">
        <v>170</v>
      </c>
      <c r="F1" s="160" t="s">
        <v>171</v>
      </c>
      <c r="G1" s="168" t="s">
        <v>77</v>
      </c>
      <c r="H1" s="170" t="s">
        <v>172</v>
      </c>
      <c r="I1" s="166" t="s">
        <v>173</v>
      </c>
      <c r="J1" s="166" t="s">
        <v>174</v>
      </c>
      <c r="K1" s="172" t="s">
        <v>78</v>
      </c>
      <c r="L1" s="164" t="s">
        <v>175</v>
      </c>
      <c r="M1" s="160" t="s">
        <v>176</v>
      </c>
      <c r="N1" s="160" t="s">
        <v>177</v>
      </c>
      <c r="O1" s="168" t="s">
        <v>79</v>
      </c>
      <c r="P1" s="170" t="s">
        <v>178</v>
      </c>
      <c r="Q1" s="166" t="s">
        <v>179</v>
      </c>
      <c r="R1" s="166" t="s">
        <v>180</v>
      </c>
      <c r="S1" s="172" t="s">
        <v>80</v>
      </c>
      <c r="T1" s="164" t="s">
        <v>181</v>
      </c>
      <c r="U1" s="160" t="s">
        <v>182</v>
      </c>
      <c r="V1" s="160" t="s">
        <v>183</v>
      </c>
      <c r="W1" s="160" t="s">
        <v>81</v>
      </c>
      <c r="X1" s="63" t="s">
        <v>82</v>
      </c>
      <c r="Y1" t="s">
        <v>184</v>
      </c>
      <c r="Z1" t="s">
        <v>185</v>
      </c>
      <c r="AA1" t="s">
        <v>186</v>
      </c>
      <c r="AB1" t="s">
        <v>187</v>
      </c>
      <c r="AC1" t="s">
        <v>188</v>
      </c>
      <c r="AD1" t="s">
        <v>189</v>
      </c>
      <c r="AE1" t="s">
        <v>190</v>
      </c>
      <c r="AF1" t="s">
        <v>191</v>
      </c>
      <c r="AG1" t="s">
        <v>192</v>
      </c>
      <c r="AH1" t="s">
        <v>193</v>
      </c>
      <c r="AI1" t="s">
        <v>194</v>
      </c>
      <c r="AJ1" t="s">
        <v>195</v>
      </c>
      <c r="AK1" t="s">
        <v>196</v>
      </c>
      <c r="AL1" t="s">
        <v>197</v>
      </c>
    </row>
    <row r="2" spans="1:38" x14ac:dyDescent="0.35">
      <c r="A2" s="148" t="str">
        <f>IF(itens_Remanesc!A2="","",itens_Remanesc!A2)</f>
        <v/>
      </c>
      <c r="B2" s="200" t="str">
        <f>IF(A2="","",itens_Remanesc!C2)</f>
        <v/>
      </c>
      <c r="C2" s="163" t="str">
        <f>IF(A2="","",IF(itens_Remanesc!B2="",0,itens_Remanesc!B2))</f>
        <v/>
      </c>
      <c r="D2" s="165" t="str">
        <f>IF(A2="","",ROUND(SUMIFS(aditivos!$L$2:$L$200,aditivos!$A$2:$A$200,A2,aditivos!$C$2:$C$200,"C0"),2))</f>
        <v/>
      </c>
      <c r="E2" s="161" t="str">
        <f t="shared" ref="E2:E33" si="0">IF(A2="","",ROUND(C2+D2,2))</f>
        <v/>
      </c>
      <c r="F2" s="161" t="str">
        <f>IF(A2="","",IF(itens_Remanesc!B2&lt;&gt;"",itens_Remanesc!B2,IF($Z2,0,"")))</f>
        <v/>
      </c>
      <c r="G2" s="169" t="str">
        <f t="shared" ref="G2:G33" si="1">IF(A2="","",IF($Y2="","",IF($Y2&gt;0,"",ROUND(E2,2))))</f>
        <v/>
      </c>
      <c r="H2" s="171" t="str">
        <f>IF(A2="","",ROUND(SUMIFS(aditivos!$L$2:$L$200,aditivos!$A$2:$A$200,A2,aditivos!$C$2:$C$200,"C1"),2))</f>
        <v/>
      </c>
      <c r="I2" s="167" t="str">
        <f t="shared" ref="I2:I33" si="2">IF(A2="","",ROUND(E2+H2,2))</f>
        <v/>
      </c>
      <c r="J2" s="167" t="str">
        <f>IF(A2="","",IF(itens_Remanesc!E2="","",itens_Remanesc!E2))</f>
        <v/>
      </c>
      <c r="K2" s="173" t="str">
        <f t="shared" ref="K2:K33" si="3">IF(A2="","",IF($Y2="","",IF($Y2&gt;1,"",IF(ISNUMBER(J2),ROUND(J2+H2,2),IF($Y2=1,ROUND(H2,2),"")))))</f>
        <v/>
      </c>
      <c r="L2" s="165" t="str">
        <f>IF(A2="","",ROUND(SUMIFS(aditivos!$L$2:$L$200,aditivos!$A$2:$A$200,A2,aditivos!$C$2:$C$200,"C2"),2))</f>
        <v/>
      </c>
      <c r="M2" s="161" t="str">
        <f t="shared" ref="M2:M33" si="4">IF(A2="","",ROUND(I2+L2,2))</f>
        <v/>
      </c>
      <c r="N2" s="161" t="str">
        <f>IF(A2="","",IF(itens_Remanesc!G2="","",itens_Remanesc!G2))</f>
        <v/>
      </c>
      <c r="O2" s="169" t="str">
        <f t="shared" ref="O2:O33" si="5">IF(A2="","",IF($Y2="","",IF($Y2&gt;2,"",IF(ISNUMBER(N2),ROUND(N2+L2,2),IF($Y2=2,ROUND(L2,2),"")))))</f>
        <v/>
      </c>
      <c r="P2" s="171" t="str">
        <f>IF(A2="","",ROUND(SUMIFS(aditivos!$L$2:$L$200,aditivos!$A$2:$A$200,A2,aditivos!$C$2:$C$200,"C3"),2))</f>
        <v/>
      </c>
      <c r="Q2" s="167" t="str">
        <f t="shared" ref="Q2:Q33" si="6">IF(A2="","",ROUND(M2+P2,2))</f>
        <v/>
      </c>
      <c r="R2" s="167" t="str">
        <f>IF(A2="","",IF(itens_Remanesc!I2="","",itens_Remanesc!I2))</f>
        <v/>
      </c>
      <c r="S2" s="173" t="str">
        <f t="shared" ref="S2:S33" si="7">IF(A2="","",IF($Y2="","",IF($Y2&gt;3,"",IF(ISNUMBER(R2),ROUND(R2+P2,2),IF($Y2=3,ROUND(P2,2),"")))))</f>
        <v/>
      </c>
      <c r="T2" s="165" t="str">
        <f>IF(A2="","",ROUND(SUMIFS(aditivos!$L$2:$L$200,aditivos!$A$2:$A$200,A2,aditivos!$C$2:$C$200,"C4"),2))</f>
        <v/>
      </c>
      <c r="U2" s="161" t="str">
        <f t="shared" ref="U2:U33" si="8">IF(A2="","",ROUND(Q2+T2,2))</f>
        <v/>
      </c>
      <c r="V2" s="161" t="str">
        <f>IF(A2="","",IF(itens_Remanesc!K2="","",itens_Remanesc!K2))</f>
        <v/>
      </c>
      <c r="W2" s="161" t="str">
        <f t="shared" ref="W2:W33" si="9">IF(A2="","",IF($Y2="","",IF($Y2&gt;4,"",IF(ISNUMBER(V2),ROUND(V2+T2,2),IF($Y2=4,ROUND(T2,2),"")))))</f>
        <v/>
      </c>
      <c r="X2" s="148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1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48" t="str">
        <f>IF(itens_Remanesc!A3="","",itens_Remanesc!A3)</f>
        <v/>
      </c>
      <c r="B3" s="200" t="str">
        <f>IF(A3="","",itens_Remanesc!C3)</f>
        <v/>
      </c>
      <c r="C3" s="163" t="str">
        <f>IF(A3="","",IF(itens_Remanesc!B3="",0,itens_Remanesc!B3))</f>
        <v/>
      </c>
      <c r="D3" s="165" t="str">
        <f>IF(A3="","",ROUND(SUMIFS(aditivos!$L$2:$L$200,aditivos!$A$2:$A$200,A3,aditivos!$C$2:$C$200,"C0"),2))</f>
        <v/>
      </c>
      <c r="E3" s="161" t="str">
        <f t="shared" si="0"/>
        <v/>
      </c>
      <c r="F3" s="161" t="str">
        <f>IF(A3="","",IF(itens_Remanesc!B3&lt;&gt;"",itens_Remanesc!B3,IF($Z3,0,"")))</f>
        <v/>
      </c>
      <c r="G3" s="169" t="str">
        <f t="shared" si="1"/>
        <v/>
      </c>
      <c r="H3" s="171" t="str">
        <f>IF(A3="","",ROUND(SUMIFS(aditivos!$L$2:$L$200,aditivos!$A$2:$A$200,A3,aditivos!$C$2:$C$200,"C1"),2))</f>
        <v/>
      </c>
      <c r="I3" s="167" t="str">
        <f t="shared" si="2"/>
        <v/>
      </c>
      <c r="J3" s="167" t="str">
        <f>IF(A3="","",IF(itens_Remanesc!E3="","",itens_Remanesc!E3))</f>
        <v/>
      </c>
      <c r="K3" s="173" t="str">
        <f t="shared" si="3"/>
        <v/>
      </c>
      <c r="L3" s="165" t="str">
        <f>IF(A3="","",ROUND(SUMIFS(aditivos!$L$2:$L$200,aditivos!$A$2:$A$200,A3,aditivos!$C$2:$C$200,"C2"),2))</f>
        <v/>
      </c>
      <c r="M3" s="161" t="str">
        <f t="shared" si="4"/>
        <v/>
      </c>
      <c r="N3" s="161" t="str">
        <f>IF(A3="","",IF(itens_Remanesc!G3="","",itens_Remanesc!G3))</f>
        <v/>
      </c>
      <c r="O3" s="169" t="str">
        <f t="shared" si="5"/>
        <v/>
      </c>
      <c r="P3" s="171" t="str">
        <f>IF(A3="","",ROUND(SUMIFS(aditivos!$L$2:$L$200,aditivos!$A$2:$A$200,A3,aditivos!$C$2:$C$200,"C3"),2))</f>
        <v/>
      </c>
      <c r="Q3" s="167" t="str">
        <f t="shared" si="6"/>
        <v/>
      </c>
      <c r="R3" s="167" t="str">
        <f>IF(A3="","",IF(itens_Remanesc!I3="","",itens_Remanesc!I3))</f>
        <v/>
      </c>
      <c r="S3" s="173" t="str">
        <f t="shared" si="7"/>
        <v/>
      </c>
      <c r="T3" s="165" t="str">
        <f>IF(A3="","",ROUND(SUMIFS(aditivos!$L$2:$L$200,aditivos!$A$2:$A$200,A3,aditivos!$C$2:$C$200,"C4"),2))</f>
        <v/>
      </c>
      <c r="U3" s="161" t="str">
        <f t="shared" si="8"/>
        <v/>
      </c>
      <c r="V3" s="161" t="str">
        <f>IF(A3="","",IF(itens_Remanesc!K3="","",itens_Remanesc!K3))</f>
        <v/>
      </c>
      <c r="W3" s="161" t="str">
        <f t="shared" si="9"/>
        <v/>
      </c>
      <c r="X3" s="148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1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48" t="str">
        <f>IF(itens_Remanesc!A4="","",itens_Remanesc!A4)</f>
        <v/>
      </c>
      <c r="B4" s="200" t="str">
        <f>IF(A4="","",itens_Remanesc!C4)</f>
        <v/>
      </c>
      <c r="C4" s="163" t="str">
        <f>IF(A4="","",IF(itens_Remanesc!B4="",0,itens_Remanesc!B4))</f>
        <v/>
      </c>
      <c r="D4" s="165" t="str">
        <f>IF(A4="","",ROUND(SUMIFS(aditivos!$L$2:$L$200,aditivos!$A$2:$A$200,A4,aditivos!$C$2:$C$200,"C0"),2))</f>
        <v/>
      </c>
      <c r="E4" s="161" t="str">
        <f t="shared" si="0"/>
        <v/>
      </c>
      <c r="F4" s="161" t="str">
        <f>IF(A4="","",IF(itens_Remanesc!B4&lt;&gt;"",itens_Remanesc!B4,IF($Z4,0,"")))</f>
        <v/>
      </c>
      <c r="G4" s="169" t="str">
        <f t="shared" si="1"/>
        <v/>
      </c>
      <c r="H4" s="171" t="str">
        <f>IF(A4="","",ROUND(SUMIFS(aditivos!$L$2:$L$200,aditivos!$A$2:$A$200,A4,aditivos!$C$2:$C$200,"C1"),2))</f>
        <v/>
      </c>
      <c r="I4" s="167" t="str">
        <f t="shared" si="2"/>
        <v/>
      </c>
      <c r="J4" s="167" t="str">
        <f>IF(A4="","",IF(itens_Remanesc!E4="","",itens_Remanesc!E4))</f>
        <v/>
      </c>
      <c r="K4" s="173" t="str">
        <f t="shared" si="3"/>
        <v/>
      </c>
      <c r="L4" s="165" t="str">
        <f>IF(A4="","",ROUND(SUMIFS(aditivos!$L$2:$L$200,aditivos!$A$2:$A$200,A4,aditivos!$C$2:$C$200,"C2"),2))</f>
        <v/>
      </c>
      <c r="M4" s="161" t="str">
        <f t="shared" si="4"/>
        <v/>
      </c>
      <c r="N4" s="161" t="str">
        <f>IF(A4="","",IF(itens_Remanesc!G4="","",itens_Remanesc!G4))</f>
        <v/>
      </c>
      <c r="O4" s="169" t="str">
        <f t="shared" si="5"/>
        <v/>
      </c>
      <c r="P4" s="171" t="str">
        <f>IF(A4="","",ROUND(SUMIFS(aditivos!$L$2:$L$200,aditivos!$A$2:$A$200,A4,aditivos!$C$2:$C$200,"C3"),2))</f>
        <v/>
      </c>
      <c r="Q4" s="167" t="str">
        <f t="shared" si="6"/>
        <v/>
      </c>
      <c r="R4" s="167" t="str">
        <f>IF(A4="","",IF(itens_Remanesc!I4="","",itens_Remanesc!I4))</f>
        <v/>
      </c>
      <c r="S4" s="173" t="str">
        <f t="shared" si="7"/>
        <v/>
      </c>
      <c r="T4" s="165" t="str">
        <f>IF(A4="","",ROUND(SUMIFS(aditivos!$L$2:$L$200,aditivos!$A$2:$A$200,A4,aditivos!$C$2:$C$200,"C4"),2))</f>
        <v/>
      </c>
      <c r="U4" s="161" t="str">
        <f t="shared" si="8"/>
        <v/>
      </c>
      <c r="V4" s="161" t="str">
        <f>IF(A4="","",IF(itens_Remanesc!K4="","",itens_Remanesc!K4))</f>
        <v/>
      </c>
      <c r="W4" s="161" t="str">
        <f t="shared" si="9"/>
        <v/>
      </c>
      <c r="X4" s="148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1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48" t="str">
        <f>IF(itens_Remanesc!A5="","",itens_Remanesc!A5)</f>
        <v/>
      </c>
      <c r="B5" s="200" t="str">
        <f>IF(A5="","",itens_Remanesc!C5)</f>
        <v/>
      </c>
      <c r="C5" s="163" t="str">
        <f>IF(A5="","",IF(itens_Remanesc!B5="",0,itens_Remanesc!B5))</f>
        <v/>
      </c>
      <c r="D5" s="165" t="str">
        <f>IF(A5="","",ROUND(SUMIFS(aditivos!$L$2:$L$200,aditivos!$A$2:$A$200,A5,aditivos!$C$2:$C$200,"C0"),2))</f>
        <v/>
      </c>
      <c r="E5" s="161" t="str">
        <f t="shared" si="0"/>
        <v/>
      </c>
      <c r="F5" s="161" t="str">
        <f>IF(A5="","",IF(itens_Remanesc!B5&lt;&gt;"",itens_Remanesc!B5,IF($Z5,0,"")))</f>
        <v/>
      </c>
      <c r="G5" s="169" t="str">
        <f t="shared" si="1"/>
        <v/>
      </c>
      <c r="H5" s="171" t="str">
        <f>IF(A5="","",ROUND(SUMIFS(aditivos!$L$2:$L$200,aditivos!$A$2:$A$200,A5,aditivos!$C$2:$C$200,"C1"),2))</f>
        <v/>
      </c>
      <c r="I5" s="167" t="str">
        <f t="shared" si="2"/>
        <v/>
      </c>
      <c r="J5" s="167" t="str">
        <f>IF(A5="","",IF(itens_Remanesc!E5="","",itens_Remanesc!E5))</f>
        <v/>
      </c>
      <c r="K5" s="173" t="str">
        <f t="shared" si="3"/>
        <v/>
      </c>
      <c r="L5" s="165" t="str">
        <f>IF(A5="","",ROUND(SUMIFS(aditivos!$L$2:$L$200,aditivos!$A$2:$A$200,A5,aditivos!$C$2:$C$200,"C2"),2))</f>
        <v/>
      </c>
      <c r="M5" s="161" t="str">
        <f t="shared" si="4"/>
        <v/>
      </c>
      <c r="N5" s="161" t="str">
        <f>IF(A5="","",IF(itens_Remanesc!G5="","",itens_Remanesc!G5))</f>
        <v/>
      </c>
      <c r="O5" s="169" t="str">
        <f t="shared" si="5"/>
        <v/>
      </c>
      <c r="P5" s="171" t="str">
        <f>IF(A5="","",ROUND(SUMIFS(aditivos!$L$2:$L$200,aditivos!$A$2:$A$200,A5,aditivos!$C$2:$C$200,"C3"),2))</f>
        <v/>
      </c>
      <c r="Q5" s="167" t="str">
        <f t="shared" si="6"/>
        <v/>
      </c>
      <c r="R5" s="167" t="str">
        <f>IF(A5="","",IF(itens_Remanesc!I5="","",itens_Remanesc!I5))</f>
        <v/>
      </c>
      <c r="S5" s="173" t="str">
        <f t="shared" si="7"/>
        <v/>
      </c>
      <c r="T5" s="165" t="str">
        <f>IF(A5="","",ROUND(SUMIFS(aditivos!$L$2:$L$200,aditivos!$A$2:$A$200,A5,aditivos!$C$2:$C$200,"C4"),2))</f>
        <v/>
      </c>
      <c r="U5" s="161" t="str">
        <f t="shared" si="8"/>
        <v/>
      </c>
      <c r="V5" s="161" t="str">
        <f>IF(A5="","",IF(itens_Remanesc!K5="","",itens_Remanesc!K5))</f>
        <v/>
      </c>
      <c r="W5" s="161" t="str">
        <f t="shared" si="9"/>
        <v/>
      </c>
      <c r="X5" s="148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1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48" t="str">
        <f>IF(itens_Remanesc!A6="","",itens_Remanesc!A6)</f>
        <v/>
      </c>
      <c r="B6" s="200" t="str">
        <f>IF(A6="","",itens_Remanesc!C6)</f>
        <v/>
      </c>
      <c r="C6" s="163" t="str">
        <f>IF(A6="","",IF(itens_Remanesc!B6="",0,itens_Remanesc!B6))</f>
        <v/>
      </c>
      <c r="D6" s="165" t="str">
        <f>IF(A6="","",ROUND(SUMIFS(aditivos!$L$2:$L$200,aditivos!$A$2:$A$200,A6,aditivos!$C$2:$C$200,"C0"),2))</f>
        <v/>
      </c>
      <c r="E6" s="161" t="str">
        <f t="shared" si="0"/>
        <v/>
      </c>
      <c r="F6" s="161" t="str">
        <f>IF(A6="","",IF(itens_Remanesc!B6&lt;&gt;"",itens_Remanesc!B6,IF($Z6,0,"")))</f>
        <v/>
      </c>
      <c r="G6" s="169" t="str">
        <f t="shared" si="1"/>
        <v/>
      </c>
      <c r="H6" s="171" t="str">
        <f>IF(A6="","",ROUND(SUMIFS(aditivos!$L$2:$L$200,aditivos!$A$2:$A$200,A6,aditivos!$C$2:$C$200,"C1"),2))</f>
        <v/>
      </c>
      <c r="I6" s="167" t="str">
        <f t="shared" si="2"/>
        <v/>
      </c>
      <c r="J6" s="167" t="str">
        <f>IF(A6="","",IF(itens_Remanesc!E6="","",itens_Remanesc!E6))</f>
        <v/>
      </c>
      <c r="K6" s="173" t="str">
        <f t="shared" si="3"/>
        <v/>
      </c>
      <c r="L6" s="165" t="str">
        <f>IF(A6="","",ROUND(SUMIFS(aditivos!$L$2:$L$200,aditivos!$A$2:$A$200,A6,aditivos!$C$2:$C$200,"C2"),2))</f>
        <v/>
      </c>
      <c r="M6" s="161" t="str">
        <f t="shared" si="4"/>
        <v/>
      </c>
      <c r="N6" s="161" t="str">
        <f>IF(A6="","",IF(itens_Remanesc!G6="","",itens_Remanesc!G6))</f>
        <v/>
      </c>
      <c r="O6" s="169" t="str">
        <f t="shared" si="5"/>
        <v/>
      </c>
      <c r="P6" s="171" t="str">
        <f>IF(A6="","",ROUND(SUMIFS(aditivos!$L$2:$L$200,aditivos!$A$2:$A$200,A6,aditivos!$C$2:$C$200,"C3"),2))</f>
        <v/>
      </c>
      <c r="Q6" s="167" t="str">
        <f t="shared" si="6"/>
        <v/>
      </c>
      <c r="R6" s="167" t="str">
        <f>IF(A6="","",IF(itens_Remanesc!I6="","",itens_Remanesc!I6))</f>
        <v/>
      </c>
      <c r="S6" s="173" t="str">
        <f t="shared" si="7"/>
        <v/>
      </c>
      <c r="T6" s="165" t="str">
        <f>IF(A6="","",ROUND(SUMIFS(aditivos!$L$2:$L$200,aditivos!$A$2:$A$200,A6,aditivos!$C$2:$C$200,"C4"),2))</f>
        <v/>
      </c>
      <c r="U6" s="161" t="str">
        <f t="shared" si="8"/>
        <v/>
      </c>
      <c r="V6" s="161" t="str">
        <f>IF(A6="","",IF(itens_Remanesc!K6="","",itens_Remanesc!K6))</f>
        <v/>
      </c>
      <c r="W6" s="161" t="str">
        <f t="shared" si="9"/>
        <v/>
      </c>
      <c r="X6" s="148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1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48" t="str">
        <f>IF(itens_Remanesc!A7="","",itens_Remanesc!A7)</f>
        <v/>
      </c>
      <c r="B7" s="200" t="str">
        <f>IF(A7="","",itens_Remanesc!C7)</f>
        <v/>
      </c>
      <c r="C7" s="163" t="str">
        <f>IF(A7="","",IF(itens_Remanesc!B7="",0,itens_Remanesc!B7))</f>
        <v/>
      </c>
      <c r="D7" s="165" t="str">
        <f>IF(A7="","",ROUND(SUMIFS(aditivos!$L$2:$L$200,aditivos!$A$2:$A$200,A7,aditivos!$C$2:$C$200,"C0"),2))</f>
        <v/>
      </c>
      <c r="E7" s="161" t="str">
        <f t="shared" si="0"/>
        <v/>
      </c>
      <c r="F7" s="161" t="str">
        <f>IF(A7="","",IF(itens_Remanesc!B7&lt;&gt;"",itens_Remanesc!B7,IF($Z7,0,"")))</f>
        <v/>
      </c>
      <c r="G7" s="169" t="str">
        <f t="shared" si="1"/>
        <v/>
      </c>
      <c r="H7" s="171" t="str">
        <f>IF(A7="","",ROUND(SUMIFS(aditivos!$L$2:$L$200,aditivos!$A$2:$A$200,A7,aditivos!$C$2:$C$200,"C1"),2))</f>
        <v/>
      </c>
      <c r="I7" s="167" t="str">
        <f t="shared" si="2"/>
        <v/>
      </c>
      <c r="J7" s="167" t="str">
        <f>IF(A7="","",IF(itens_Remanesc!E7="","",itens_Remanesc!E7))</f>
        <v/>
      </c>
      <c r="K7" s="173" t="str">
        <f t="shared" si="3"/>
        <v/>
      </c>
      <c r="L7" s="165" t="str">
        <f>IF(A7="","",ROUND(SUMIFS(aditivos!$L$2:$L$200,aditivos!$A$2:$A$200,A7,aditivos!$C$2:$C$200,"C2"),2))</f>
        <v/>
      </c>
      <c r="M7" s="161" t="str">
        <f t="shared" si="4"/>
        <v/>
      </c>
      <c r="N7" s="161" t="str">
        <f>IF(A7="","",IF(itens_Remanesc!G7="","",itens_Remanesc!G7))</f>
        <v/>
      </c>
      <c r="O7" s="169" t="str">
        <f t="shared" si="5"/>
        <v/>
      </c>
      <c r="P7" s="171" t="str">
        <f>IF(A7="","",ROUND(SUMIFS(aditivos!$L$2:$L$200,aditivos!$A$2:$A$200,A7,aditivos!$C$2:$C$200,"C3"),2))</f>
        <v/>
      </c>
      <c r="Q7" s="167" t="str">
        <f t="shared" si="6"/>
        <v/>
      </c>
      <c r="R7" s="167" t="str">
        <f>IF(A7="","",IF(itens_Remanesc!I7="","",itens_Remanesc!I7))</f>
        <v/>
      </c>
      <c r="S7" s="173" t="str">
        <f t="shared" si="7"/>
        <v/>
      </c>
      <c r="T7" s="165" t="str">
        <f>IF(A7="","",ROUND(SUMIFS(aditivos!$L$2:$L$200,aditivos!$A$2:$A$200,A7,aditivos!$C$2:$C$200,"C4"),2))</f>
        <v/>
      </c>
      <c r="U7" s="161" t="str">
        <f t="shared" si="8"/>
        <v/>
      </c>
      <c r="V7" s="161" t="str">
        <f>IF(A7="","",IF(itens_Remanesc!K7="","",itens_Remanesc!K7))</f>
        <v/>
      </c>
      <c r="W7" s="161" t="str">
        <f t="shared" si="9"/>
        <v/>
      </c>
      <c r="X7" s="148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1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48" t="str">
        <f>IF(itens_Remanesc!A8="","",itens_Remanesc!A8)</f>
        <v/>
      </c>
      <c r="B8" s="200" t="str">
        <f>IF(A8="","",itens_Remanesc!C8)</f>
        <v/>
      </c>
      <c r="C8" s="163" t="str">
        <f>IF(A8="","",IF(itens_Remanesc!B8="",0,itens_Remanesc!B8))</f>
        <v/>
      </c>
      <c r="D8" s="165" t="str">
        <f>IF(A8="","",ROUND(SUMIFS(aditivos!$L$2:$L$200,aditivos!$A$2:$A$200,A8,aditivos!$C$2:$C$200,"C0"),2))</f>
        <v/>
      </c>
      <c r="E8" s="161" t="str">
        <f t="shared" si="0"/>
        <v/>
      </c>
      <c r="F8" s="161" t="str">
        <f>IF(A8="","",IF(itens_Remanesc!B8&lt;&gt;"",itens_Remanesc!B8,IF($Z8,0,"")))</f>
        <v/>
      </c>
      <c r="G8" s="169" t="str">
        <f t="shared" si="1"/>
        <v/>
      </c>
      <c r="H8" s="171" t="str">
        <f>IF(A8="","",ROUND(SUMIFS(aditivos!$L$2:$L$200,aditivos!$A$2:$A$200,A8,aditivos!$C$2:$C$200,"C1"),2))</f>
        <v/>
      </c>
      <c r="I8" s="167" t="str">
        <f t="shared" si="2"/>
        <v/>
      </c>
      <c r="J8" s="167" t="str">
        <f>IF(A8="","",IF(itens_Remanesc!E8="","",itens_Remanesc!E8))</f>
        <v/>
      </c>
      <c r="K8" s="173" t="str">
        <f t="shared" si="3"/>
        <v/>
      </c>
      <c r="L8" s="165" t="str">
        <f>IF(A8="","",ROUND(SUMIFS(aditivos!$L$2:$L$200,aditivos!$A$2:$A$200,A8,aditivos!$C$2:$C$200,"C2"),2))</f>
        <v/>
      </c>
      <c r="M8" s="161" t="str">
        <f t="shared" si="4"/>
        <v/>
      </c>
      <c r="N8" s="161" t="str">
        <f>IF(A8="","",IF(itens_Remanesc!G8="","",itens_Remanesc!G8))</f>
        <v/>
      </c>
      <c r="O8" s="169" t="str">
        <f t="shared" si="5"/>
        <v/>
      </c>
      <c r="P8" s="171" t="str">
        <f>IF(A8="","",ROUND(SUMIFS(aditivos!$L$2:$L$200,aditivos!$A$2:$A$200,A8,aditivos!$C$2:$C$200,"C3"),2))</f>
        <v/>
      </c>
      <c r="Q8" s="167" t="str">
        <f t="shared" si="6"/>
        <v/>
      </c>
      <c r="R8" s="167" t="str">
        <f>IF(A8="","",IF(itens_Remanesc!I8="","",itens_Remanesc!I8))</f>
        <v/>
      </c>
      <c r="S8" s="173" t="str">
        <f t="shared" si="7"/>
        <v/>
      </c>
      <c r="T8" s="165" t="str">
        <f>IF(A8="","",ROUND(SUMIFS(aditivos!$L$2:$L$200,aditivos!$A$2:$A$200,A8,aditivos!$C$2:$C$200,"C4"),2))</f>
        <v/>
      </c>
      <c r="U8" s="161" t="str">
        <f t="shared" si="8"/>
        <v/>
      </c>
      <c r="V8" s="161" t="str">
        <f>IF(A8="","",IF(itens_Remanesc!K8="","",itens_Remanesc!K8))</f>
        <v/>
      </c>
      <c r="W8" s="161" t="str">
        <f t="shared" si="9"/>
        <v/>
      </c>
      <c r="X8" s="148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1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48" t="str">
        <f>IF(itens_Remanesc!A9="","",itens_Remanesc!A9)</f>
        <v/>
      </c>
      <c r="B9" s="200" t="str">
        <f>IF(A9="","",itens_Remanesc!C9)</f>
        <v/>
      </c>
      <c r="C9" s="163" t="str">
        <f>IF(A9="","",IF(itens_Remanesc!B9="",0,itens_Remanesc!B9))</f>
        <v/>
      </c>
      <c r="D9" s="165" t="str">
        <f>IF(A9="","",ROUND(SUMIFS(aditivos!$L$2:$L$200,aditivos!$A$2:$A$200,A9,aditivos!$C$2:$C$200,"C0"),2))</f>
        <v/>
      </c>
      <c r="E9" s="161" t="str">
        <f t="shared" si="0"/>
        <v/>
      </c>
      <c r="F9" s="161" t="str">
        <f>IF(A9="","",IF(itens_Remanesc!B9&lt;&gt;"",itens_Remanesc!B9,IF($Z9,0,"")))</f>
        <v/>
      </c>
      <c r="G9" s="169" t="str">
        <f t="shared" si="1"/>
        <v/>
      </c>
      <c r="H9" s="171" t="str">
        <f>IF(A9="","",ROUND(SUMIFS(aditivos!$L$2:$L$200,aditivos!$A$2:$A$200,A9,aditivos!$C$2:$C$200,"C1"),2))</f>
        <v/>
      </c>
      <c r="I9" s="167" t="str">
        <f t="shared" si="2"/>
        <v/>
      </c>
      <c r="J9" s="167" t="str">
        <f>IF(A9="","",IF(itens_Remanesc!E9="","",itens_Remanesc!E9))</f>
        <v/>
      </c>
      <c r="K9" s="173" t="str">
        <f t="shared" si="3"/>
        <v/>
      </c>
      <c r="L9" s="165" t="str">
        <f>IF(A9="","",ROUND(SUMIFS(aditivos!$L$2:$L$200,aditivos!$A$2:$A$200,A9,aditivos!$C$2:$C$200,"C2"),2))</f>
        <v/>
      </c>
      <c r="M9" s="161" t="str">
        <f t="shared" si="4"/>
        <v/>
      </c>
      <c r="N9" s="161" t="str">
        <f>IF(A9="","",IF(itens_Remanesc!G9="","",itens_Remanesc!G9))</f>
        <v/>
      </c>
      <c r="O9" s="169" t="str">
        <f t="shared" si="5"/>
        <v/>
      </c>
      <c r="P9" s="171" t="str">
        <f>IF(A9="","",ROUND(SUMIFS(aditivos!$L$2:$L$200,aditivos!$A$2:$A$200,A9,aditivos!$C$2:$C$200,"C3"),2))</f>
        <v/>
      </c>
      <c r="Q9" s="167" t="str">
        <f t="shared" si="6"/>
        <v/>
      </c>
      <c r="R9" s="167" t="str">
        <f>IF(A9="","",IF(itens_Remanesc!I9="","",itens_Remanesc!I9))</f>
        <v/>
      </c>
      <c r="S9" s="173" t="str">
        <f t="shared" si="7"/>
        <v/>
      </c>
      <c r="T9" s="165" t="str">
        <f>IF(A9="","",ROUND(SUMIFS(aditivos!$L$2:$L$200,aditivos!$A$2:$A$200,A9,aditivos!$C$2:$C$200,"C4"),2))</f>
        <v/>
      </c>
      <c r="U9" s="161" t="str">
        <f t="shared" si="8"/>
        <v/>
      </c>
      <c r="V9" s="161" t="str">
        <f>IF(A9="","",IF(itens_Remanesc!K9="","",itens_Remanesc!K9))</f>
        <v/>
      </c>
      <c r="W9" s="161" t="str">
        <f t="shared" si="9"/>
        <v/>
      </c>
      <c r="X9" s="148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1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48" t="str">
        <f>IF(itens_Remanesc!A10="","",itens_Remanesc!A10)</f>
        <v/>
      </c>
      <c r="B10" s="200" t="str">
        <f>IF(A10="","",itens_Remanesc!C10)</f>
        <v/>
      </c>
      <c r="C10" s="163" t="str">
        <f>IF(A10="","",IF(itens_Remanesc!B10="",0,itens_Remanesc!B10))</f>
        <v/>
      </c>
      <c r="D10" s="165" t="str">
        <f>IF(A10="","",ROUND(SUMIFS(aditivos!$L$2:$L$200,aditivos!$A$2:$A$200,A10,aditivos!$C$2:$C$200,"C0"),2))</f>
        <v/>
      </c>
      <c r="E10" s="161" t="str">
        <f t="shared" si="0"/>
        <v/>
      </c>
      <c r="F10" s="161" t="str">
        <f>IF(A10="","",IF(itens_Remanesc!B10&lt;&gt;"",itens_Remanesc!B10,IF($Z10,0,"")))</f>
        <v/>
      </c>
      <c r="G10" s="169" t="str">
        <f t="shared" si="1"/>
        <v/>
      </c>
      <c r="H10" s="171" t="str">
        <f>IF(A10="","",ROUND(SUMIFS(aditivos!$L$2:$L$200,aditivos!$A$2:$A$200,A10,aditivos!$C$2:$C$200,"C1"),2))</f>
        <v/>
      </c>
      <c r="I10" s="167" t="str">
        <f t="shared" si="2"/>
        <v/>
      </c>
      <c r="J10" s="167" t="str">
        <f>IF(A10="","",IF(itens_Remanesc!E10="","",itens_Remanesc!E10))</f>
        <v/>
      </c>
      <c r="K10" s="173" t="str">
        <f t="shared" si="3"/>
        <v/>
      </c>
      <c r="L10" s="165" t="str">
        <f>IF(A10="","",ROUND(SUMIFS(aditivos!$L$2:$L$200,aditivos!$A$2:$A$200,A10,aditivos!$C$2:$C$200,"C2"),2))</f>
        <v/>
      </c>
      <c r="M10" s="161" t="str">
        <f t="shared" si="4"/>
        <v/>
      </c>
      <c r="N10" s="161" t="str">
        <f>IF(A10="","",IF(itens_Remanesc!G10="","",itens_Remanesc!G10))</f>
        <v/>
      </c>
      <c r="O10" s="169" t="str">
        <f t="shared" si="5"/>
        <v/>
      </c>
      <c r="P10" s="171" t="str">
        <f>IF(A10="","",ROUND(SUMIFS(aditivos!$L$2:$L$200,aditivos!$A$2:$A$200,A10,aditivos!$C$2:$C$200,"C3"),2))</f>
        <v/>
      </c>
      <c r="Q10" s="167" t="str">
        <f t="shared" si="6"/>
        <v/>
      </c>
      <c r="R10" s="167" t="str">
        <f>IF(A10="","",IF(itens_Remanesc!I10="","",itens_Remanesc!I10))</f>
        <v/>
      </c>
      <c r="S10" s="173" t="str">
        <f t="shared" si="7"/>
        <v/>
      </c>
      <c r="T10" s="165" t="str">
        <f>IF(A10="","",ROUND(SUMIFS(aditivos!$L$2:$L$200,aditivos!$A$2:$A$200,A10,aditivos!$C$2:$C$200,"C4"),2))</f>
        <v/>
      </c>
      <c r="U10" s="161" t="str">
        <f t="shared" si="8"/>
        <v/>
      </c>
      <c r="V10" s="161" t="str">
        <f>IF(A10="","",IF(itens_Remanesc!K10="","",itens_Remanesc!K10))</f>
        <v/>
      </c>
      <c r="W10" s="161" t="str">
        <f t="shared" si="9"/>
        <v/>
      </c>
      <c r="X10" s="148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1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48" t="str">
        <f>IF(itens_Remanesc!A11="","",itens_Remanesc!A11)</f>
        <v/>
      </c>
      <c r="B11" s="200" t="str">
        <f>IF(A11="","",itens_Remanesc!C11)</f>
        <v/>
      </c>
      <c r="C11" s="163" t="str">
        <f>IF(A11="","",IF(itens_Remanesc!B11="",0,itens_Remanesc!B11))</f>
        <v/>
      </c>
      <c r="D11" s="165" t="str">
        <f>IF(A11="","",ROUND(SUMIFS(aditivos!$L$2:$L$200,aditivos!$A$2:$A$200,A11,aditivos!$C$2:$C$200,"C0"),2))</f>
        <v/>
      </c>
      <c r="E11" s="161" t="str">
        <f t="shared" si="0"/>
        <v/>
      </c>
      <c r="F11" s="161" t="str">
        <f>IF(A11="","",IF(itens_Remanesc!B11&lt;&gt;"",itens_Remanesc!B11,IF($Z11,0,"")))</f>
        <v/>
      </c>
      <c r="G11" s="169" t="str">
        <f t="shared" si="1"/>
        <v/>
      </c>
      <c r="H11" s="171" t="str">
        <f>IF(A11="","",ROUND(SUMIFS(aditivos!$L$2:$L$200,aditivos!$A$2:$A$200,A11,aditivos!$C$2:$C$200,"C1"),2))</f>
        <v/>
      </c>
      <c r="I11" s="167" t="str">
        <f t="shared" si="2"/>
        <v/>
      </c>
      <c r="J11" s="167" t="str">
        <f>IF(A11="","",IF(itens_Remanesc!E11="","",itens_Remanesc!E11))</f>
        <v/>
      </c>
      <c r="K11" s="173" t="str">
        <f t="shared" si="3"/>
        <v/>
      </c>
      <c r="L11" s="165" t="str">
        <f>IF(A11="","",ROUND(SUMIFS(aditivos!$L$2:$L$200,aditivos!$A$2:$A$200,A11,aditivos!$C$2:$C$200,"C2"),2))</f>
        <v/>
      </c>
      <c r="M11" s="161" t="str">
        <f t="shared" si="4"/>
        <v/>
      </c>
      <c r="N11" s="161" t="str">
        <f>IF(A11="","",IF(itens_Remanesc!G11="","",itens_Remanesc!G11))</f>
        <v/>
      </c>
      <c r="O11" s="169" t="str">
        <f t="shared" si="5"/>
        <v/>
      </c>
      <c r="P11" s="171" t="str">
        <f>IF(A11="","",ROUND(SUMIFS(aditivos!$L$2:$L$200,aditivos!$A$2:$A$200,A11,aditivos!$C$2:$C$200,"C3"),2))</f>
        <v/>
      </c>
      <c r="Q11" s="167" t="str">
        <f t="shared" si="6"/>
        <v/>
      </c>
      <c r="R11" s="167" t="str">
        <f>IF(A11="","",IF(itens_Remanesc!I11="","",itens_Remanesc!I11))</f>
        <v/>
      </c>
      <c r="S11" s="173" t="str">
        <f t="shared" si="7"/>
        <v/>
      </c>
      <c r="T11" s="165" t="str">
        <f>IF(A11="","",ROUND(SUMIFS(aditivos!$L$2:$L$200,aditivos!$A$2:$A$200,A11,aditivos!$C$2:$C$200,"C4"),2))</f>
        <v/>
      </c>
      <c r="U11" s="161" t="str">
        <f t="shared" si="8"/>
        <v/>
      </c>
      <c r="V11" s="161" t="str">
        <f>IF(A11="","",IF(itens_Remanesc!K11="","",itens_Remanesc!K11))</f>
        <v/>
      </c>
      <c r="W11" s="161" t="str">
        <f t="shared" si="9"/>
        <v/>
      </c>
      <c r="X11" s="148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1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48" t="str">
        <f>IF(itens_Remanesc!A12="","",itens_Remanesc!A12)</f>
        <v/>
      </c>
      <c r="B12" s="200" t="str">
        <f>IF(A12="","",itens_Remanesc!C12)</f>
        <v/>
      </c>
      <c r="C12" s="163" t="str">
        <f>IF(A12="","",IF(itens_Remanesc!B12="",0,itens_Remanesc!B12))</f>
        <v/>
      </c>
      <c r="D12" s="165" t="str">
        <f>IF(A12="","",ROUND(SUMIFS(aditivos!$L$2:$L$200,aditivos!$A$2:$A$200,A12,aditivos!$C$2:$C$200,"C0"),2))</f>
        <v/>
      </c>
      <c r="E12" s="161" t="str">
        <f t="shared" si="0"/>
        <v/>
      </c>
      <c r="F12" s="161" t="str">
        <f>IF(A12="","",IF(itens_Remanesc!B12&lt;&gt;"",itens_Remanesc!B12,IF($Z12,0,"")))</f>
        <v/>
      </c>
      <c r="G12" s="169" t="str">
        <f t="shared" si="1"/>
        <v/>
      </c>
      <c r="H12" s="171" t="str">
        <f>IF(A12="","",ROUND(SUMIFS(aditivos!$L$2:$L$200,aditivos!$A$2:$A$200,A12,aditivos!$C$2:$C$200,"C1"),2))</f>
        <v/>
      </c>
      <c r="I12" s="167" t="str">
        <f t="shared" si="2"/>
        <v/>
      </c>
      <c r="J12" s="167" t="str">
        <f>IF(A12="","",IF(itens_Remanesc!E12="","",itens_Remanesc!E12))</f>
        <v/>
      </c>
      <c r="K12" s="173" t="str">
        <f t="shared" si="3"/>
        <v/>
      </c>
      <c r="L12" s="165" t="str">
        <f>IF(A12="","",ROUND(SUMIFS(aditivos!$L$2:$L$200,aditivos!$A$2:$A$200,A12,aditivos!$C$2:$C$200,"C2"),2))</f>
        <v/>
      </c>
      <c r="M12" s="161" t="str">
        <f t="shared" si="4"/>
        <v/>
      </c>
      <c r="N12" s="161" t="str">
        <f>IF(A12="","",IF(itens_Remanesc!G12="","",itens_Remanesc!G12))</f>
        <v/>
      </c>
      <c r="O12" s="169" t="str">
        <f t="shared" si="5"/>
        <v/>
      </c>
      <c r="P12" s="171" t="str">
        <f>IF(A12="","",ROUND(SUMIFS(aditivos!$L$2:$L$200,aditivos!$A$2:$A$200,A12,aditivos!$C$2:$C$200,"C3"),2))</f>
        <v/>
      </c>
      <c r="Q12" s="167" t="str">
        <f t="shared" si="6"/>
        <v/>
      </c>
      <c r="R12" s="167" t="str">
        <f>IF(A12="","",IF(itens_Remanesc!I12="","",itens_Remanesc!I12))</f>
        <v/>
      </c>
      <c r="S12" s="173" t="str">
        <f t="shared" si="7"/>
        <v/>
      </c>
      <c r="T12" s="165" t="str">
        <f>IF(A12="","",ROUND(SUMIFS(aditivos!$L$2:$L$200,aditivos!$A$2:$A$200,A12,aditivos!$C$2:$C$200,"C4"),2))</f>
        <v/>
      </c>
      <c r="U12" s="161" t="str">
        <f t="shared" si="8"/>
        <v/>
      </c>
      <c r="V12" s="161" t="str">
        <f>IF(A12="","",IF(itens_Remanesc!K12="","",itens_Remanesc!K12))</f>
        <v/>
      </c>
      <c r="W12" s="161" t="str">
        <f t="shared" si="9"/>
        <v/>
      </c>
      <c r="X12" s="148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1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48" t="str">
        <f>IF(itens_Remanesc!A13="","",itens_Remanesc!A13)</f>
        <v/>
      </c>
      <c r="B13" s="200" t="str">
        <f>IF(A13="","",itens_Remanesc!C13)</f>
        <v/>
      </c>
      <c r="C13" s="163" t="str">
        <f>IF(A13="","",IF(itens_Remanesc!B13="",0,itens_Remanesc!B13))</f>
        <v/>
      </c>
      <c r="D13" s="165" t="str">
        <f>IF(A13="","",ROUND(SUMIFS(aditivos!$L$2:$L$200,aditivos!$A$2:$A$200,A13,aditivos!$C$2:$C$200,"C0"),2))</f>
        <v/>
      </c>
      <c r="E13" s="161" t="str">
        <f t="shared" si="0"/>
        <v/>
      </c>
      <c r="F13" s="161" t="str">
        <f>IF(A13="","",IF(itens_Remanesc!B13&lt;&gt;"",itens_Remanesc!B13,IF($Z13,0,"")))</f>
        <v/>
      </c>
      <c r="G13" s="169" t="str">
        <f t="shared" si="1"/>
        <v/>
      </c>
      <c r="H13" s="171" t="str">
        <f>IF(A13="","",ROUND(SUMIFS(aditivos!$L$2:$L$200,aditivos!$A$2:$A$200,A13,aditivos!$C$2:$C$200,"C1"),2))</f>
        <v/>
      </c>
      <c r="I13" s="167" t="str">
        <f t="shared" si="2"/>
        <v/>
      </c>
      <c r="J13" s="167" t="str">
        <f>IF(A13="","",IF(itens_Remanesc!E13="","",itens_Remanesc!E13))</f>
        <v/>
      </c>
      <c r="K13" s="173" t="str">
        <f t="shared" si="3"/>
        <v/>
      </c>
      <c r="L13" s="165" t="str">
        <f>IF(A13="","",ROUND(SUMIFS(aditivos!$L$2:$L$200,aditivos!$A$2:$A$200,A13,aditivos!$C$2:$C$200,"C2"),2))</f>
        <v/>
      </c>
      <c r="M13" s="161" t="str">
        <f t="shared" si="4"/>
        <v/>
      </c>
      <c r="N13" s="161" t="str">
        <f>IF(A13="","",IF(itens_Remanesc!G13="","",itens_Remanesc!G13))</f>
        <v/>
      </c>
      <c r="O13" s="169" t="str">
        <f t="shared" si="5"/>
        <v/>
      </c>
      <c r="P13" s="171" t="str">
        <f>IF(A13="","",ROUND(SUMIFS(aditivos!$L$2:$L$200,aditivos!$A$2:$A$200,A13,aditivos!$C$2:$C$200,"C3"),2))</f>
        <v/>
      </c>
      <c r="Q13" s="167" t="str">
        <f t="shared" si="6"/>
        <v/>
      </c>
      <c r="R13" s="167" t="str">
        <f>IF(A13="","",IF(itens_Remanesc!I13="","",itens_Remanesc!I13))</f>
        <v/>
      </c>
      <c r="S13" s="173" t="str">
        <f t="shared" si="7"/>
        <v/>
      </c>
      <c r="T13" s="165" t="str">
        <f>IF(A13="","",ROUND(SUMIFS(aditivos!$L$2:$L$200,aditivos!$A$2:$A$200,A13,aditivos!$C$2:$C$200,"C4"),2))</f>
        <v/>
      </c>
      <c r="U13" s="161" t="str">
        <f t="shared" si="8"/>
        <v/>
      </c>
      <c r="V13" s="161" t="str">
        <f>IF(A13="","",IF(itens_Remanesc!K13="","",itens_Remanesc!K13))</f>
        <v/>
      </c>
      <c r="W13" s="161" t="str">
        <f t="shared" si="9"/>
        <v/>
      </c>
      <c r="X13" s="148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1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48" t="str">
        <f>IF(itens_Remanesc!A14="","",itens_Remanesc!A14)</f>
        <v/>
      </c>
      <c r="B14" s="200" t="str">
        <f>IF(A14="","",itens_Remanesc!C14)</f>
        <v/>
      </c>
      <c r="C14" s="163" t="str">
        <f>IF(A14="","",IF(itens_Remanesc!B14="",0,itens_Remanesc!B14))</f>
        <v/>
      </c>
      <c r="D14" s="165" t="str">
        <f>IF(A14="","",ROUND(SUMIFS(aditivos!$L$2:$L$200,aditivos!$A$2:$A$200,A14,aditivos!$C$2:$C$200,"C0"),2))</f>
        <v/>
      </c>
      <c r="E14" s="161" t="str">
        <f t="shared" si="0"/>
        <v/>
      </c>
      <c r="F14" s="161" t="str">
        <f>IF(A14="","",IF(itens_Remanesc!B14&lt;&gt;"",itens_Remanesc!B14,IF($Z14,0,"")))</f>
        <v/>
      </c>
      <c r="G14" s="169" t="str">
        <f t="shared" si="1"/>
        <v/>
      </c>
      <c r="H14" s="171" t="str">
        <f>IF(A14="","",ROUND(SUMIFS(aditivos!$L$2:$L$200,aditivos!$A$2:$A$200,A14,aditivos!$C$2:$C$200,"C1"),2))</f>
        <v/>
      </c>
      <c r="I14" s="167" t="str">
        <f t="shared" si="2"/>
        <v/>
      </c>
      <c r="J14" s="167" t="str">
        <f>IF(A14="","",IF(itens_Remanesc!E14="","",itens_Remanesc!E14))</f>
        <v/>
      </c>
      <c r="K14" s="173" t="str">
        <f t="shared" si="3"/>
        <v/>
      </c>
      <c r="L14" s="165" t="str">
        <f>IF(A14="","",ROUND(SUMIFS(aditivos!$L$2:$L$200,aditivos!$A$2:$A$200,A14,aditivos!$C$2:$C$200,"C2"),2))</f>
        <v/>
      </c>
      <c r="M14" s="161" t="str">
        <f t="shared" si="4"/>
        <v/>
      </c>
      <c r="N14" s="161" t="str">
        <f>IF(A14="","",IF(itens_Remanesc!G14="","",itens_Remanesc!G14))</f>
        <v/>
      </c>
      <c r="O14" s="169" t="str">
        <f t="shared" si="5"/>
        <v/>
      </c>
      <c r="P14" s="171" t="str">
        <f>IF(A14="","",ROUND(SUMIFS(aditivos!$L$2:$L$200,aditivos!$A$2:$A$200,A14,aditivos!$C$2:$C$200,"C3"),2))</f>
        <v/>
      </c>
      <c r="Q14" s="167" t="str">
        <f t="shared" si="6"/>
        <v/>
      </c>
      <c r="R14" s="167" t="str">
        <f>IF(A14="","",IF(itens_Remanesc!I14="","",itens_Remanesc!I14))</f>
        <v/>
      </c>
      <c r="S14" s="173" t="str">
        <f t="shared" si="7"/>
        <v/>
      </c>
      <c r="T14" s="165" t="str">
        <f>IF(A14="","",ROUND(SUMIFS(aditivos!$L$2:$L$200,aditivos!$A$2:$A$200,A14,aditivos!$C$2:$C$200,"C4"),2))</f>
        <v/>
      </c>
      <c r="U14" s="161" t="str">
        <f t="shared" si="8"/>
        <v/>
      </c>
      <c r="V14" s="161" t="str">
        <f>IF(A14="","",IF(itens_Remanesc!K14="","",itens_Remanesc!K14))</f>
        <v/>
      </c>
      <c r="W14" s="161" t="str">
        <f t="shared" si="9"/>
        <v/>
      </c>
      <c r="X14" s="148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1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48" t="str">
        <f>IF(itens_Remanesc!A15="","",itens_Remanesc!A15)</f>
        <v/>
      </c>
      <c r="B15" s="200" t="str">
        <f>IF(A15="","",itens_Remanesc!C15)</f>
        <v/>
      </c>
      <c r="C15" s="163" t="str">
        <f>IF(A15="","",IF(itens_Remanesc!B15="",0,itens_Remanesc!B15))</f>
        <v/>
      </c>
      <c r="D15" s="165" t="str">
        <f>IF(A15="","",ROUND(SUMIFS(aditivos!$L$2:$L$200,aditivos!$A$2:$A$200,A15,aditivos!$C$2:$C$200,"C0"),2))</f>
        <v/>
      </c>
      <c r="E15" s="161" t="str">
        <f t="shared" si="0"/>
        <v/>
      </c>
      <c r="F15" s="161" t="str">
        <f>IF(A15="","",IF(itens_Remanesc!B15&lt;&gt;"",itens_Remanesc!B15,IF($Z15,0,"")))</f>
        <v/>
      </c>
      <c r="G15" s="169" t="str">
        <f t="shared" si="1"/>
        <v/>
      </c>
      <c r="H15" s="171" t="str">
        <f>IF(A15="","",ROUND(SUMIFS(aditivos!$L$2:$L$200,aditivos!$A$2:$A$200,A15,aditivos!$C$2:$C$200,"C1"),2))</f>
        <v/>
      </c>
      <c r="I15" s="167" t="str">
        <f t="shared" si="2"/>
        <v/>
      </c>
      <c r="J15" s="167" t="str">
        <f>IF(A15="","",IF(itens_Remanesc!E15="","",itens_Remanesc!E15))</f>
        <v/>
      </c>
      <c r="K15" s="173" t="str">
        <f t="shared" si="3"/>
        <v/>
      </c>
      <c r="L15" s="165" t="str">
        <f>IF(A15="","",ROUND(SUMIFS(aditivos!$L$2:$L$200,aditivos!$A$2:$A$200,A15,aditivos!$C$2:$C$200,"C2"),2))</f>
        <v/>
      </c>
      <c r="M15" s="161" t="str">
        <f t="shared" si="4"/>
        <v/>
      </c>
      <c r="N15" s="161" t="str">
        <f>IF(A15="","",IF(itens_Remanesc!G15="","",itens_Remanesc!G15))</f>
        <v/>
      </c>
      <c r="O15" s="169" t="str">
        <f t="shared" si="5"/>
        <v/>
      </c>
      <c r="P15" s="171" t="str">
        <f>IF(A15="","",ROUND(SUMIFS(aditivos!$L$2:$L$200,aditivos!$A$2:$A$200,A15,aditivos!$C$2:$C$200,"C3"),2))</f>
        <v/>
      </c>
      <c r="Q15" s="167" t="str">
        <f t="shared" si="6"/>
        <v/>
      </c>
      <c r="R15" s="167" t="str">
        <f>IF(A15="","",IF(itens_Remanesc!I15="","",itens_Remanesc!I15))</f>
        <v/>
      </c>
      <c r="S15" s="173" t="str">
        <f t="shared" si="7"/>
        <v/>
      </c>
      <c r="T15" s="165" t="str">
        <f>IF(A15="","",ROUND(SUMIFS(aditivos!$L$2:$L$200,aditivos!$A$2:$A$200,A15,aditivos!$C$2:$C$200,"C4"),2))</f>
        <v/>
      </c>
      <c r="U15" s="161" t="str">
        <f t="shared" si="8"/>
        <v/>
      </c>
      <c r="V15" s="161" t="str">
        <f>IF(A15="","",IF(itens_Remanesc!K15="","",itens_Remanesc!K15))</f>
        <v/>
      </c>
      <c r="W15" s="161" t="str">
        <f t="shared" si="9"/>
        <v/>
      </c>
      <c r="X15" s="148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1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48" t="str">
        <f>IF(itens_Remanesc!A16="","",itens_Remanesc!A16)</f>
        <v/>
      </c>
      <c r="B16" s="200" t="str">
        <f>IF(A16="","",itens_Remanesc!C16)</f>
        <v/>
      </c>
      <c r="C16" s="163" t="str">
        <f>IF(A16="","",IF(itens_Remanesc!B16="",0,itens_Remanesc!B16))</f>
        <v/>
      </c>
      <c r="D16" s="165" t="str">
        <f>IF(A16="","",ROUND(SUMIFS(aditivos!$L$2:$L$200,aditivos!$A$2:$A$200,A16,aditivos!$C$2:$C$200,"C0"),2))</f>
        <v/>
      </c>
      <c r="E16" s="161" t="str">
        <f t="shared" si="0"/>
        <v/>
      </c>
      <c r="F16" s="161" t="str">
        <f>IF(A16="","",IF(itens_Remanesc!B16&lt;&gt;"",itens_Remanesc!B16,IF($Z16,0,"")))</f>
        <v/>
      </c>
      <c r="G16" s="169" t="str">
        <f t="shared" si="1"/>
        <v/>
      </c>
      <c r="H16" s="171" t="str">
        <f>IF(A16="","",ROUND(SUMIFS(aditivos!$L$2:$L$200,aditivos!$A$2:$A$200,A16,aditivos!$C$2:$C$200,"C1"),2))</f>
        <v/>
      </c>
      <c r="I16" s="167" t="str">
        <f t="shared" si="2"/>
        <v/>
      </c>
      <c r="J16" s="167" t="str">
        <f>IF(A16="","",IF(itens_Remanesc!E16="","",itens_Remanesc!E16))</f>
        <v/>
      </c>
      <c r="K16" s="173" t="str">
        <f t="shared" si="3"/>
        <v/>
      </c>
      <c r="L16" s="165" t="str">
        <f>IF(A16="","",ROUND(SUMIFS(aditivos!$L$2:$L$200,aditivos!$A$2:$A$200,A16,aditivos!$C$2:$C$200,"C2"),2))</f>
        <v/>
      </c>
      <c r="M16" s="161" t="str">
        <f t="shared" si="4"/>
        <v/>
      </c>
      <c r="N16" s="161" t="str">
        <f>IF(A16="","",IF(itens_Remanesc!G16="","",itens_Remanesc!G16))</f>
        <v/>
      </c>
      <c r="O16" s="169" t="str">
        <f t="shared" si="5"/>
        <v/>
      </c>
      <c r="P16" s="171" t="str">
        <f>IF(A16="","",ROUND(SUMIFS(aditivos!$L$2:$L$200,aditivos!$A$2:$A$200,A16,aditivos!$C$2:$C$200,"C3"),2))</f>
        <v/>
      </c>
      <c r="Q16" s="167" t="str">
        <f t="shared" si="6"/>
        <v/>
      </c>
      <c r="R16" s="167" t="str">
        <f>IF(A16="","",IF(itens_Remanesc!I16="","",itens_Remanesc!I16))</f>
        <v/>
      </c>
      <c r="S16" s="173" t="str">
        <f t="shared" si="7"/>
        <v/>
      </c>
      <c r="T16" s="165" t="str">
        <f>IF(A16="","",ROUND(SUMIFS(aditivos!$L$2:$L$200,aditivos!$A$2:$A$200,A16,aditivos!$C$2:$C$200,"C4"),2))</f>
        <v/>
      </c>
      <c r="U16" s="161" t="str">
        <f t="shared" si="8"/>
        <v/>
      </c>
      <c r="V16" s="161" t="str">
        <f>IF(A16="","",IF(itens_Remanesc!K16="","",itens_Remanesc!K16))</f>
        <v/>
      </c>
      <c r="W16" s="161" t="str">
        <f t="shared" si="9"/>
        <v/>
      </c>
      <c r="X16" s="148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1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48" t="str">
        <f>IF(itens_Remanesc!A17="","",itens_Remanesc!A17)</f>
        <v/>
      </c>
      <c r="B17" s="200" t="str">
        <f>IF(A17="","",itens_Remanesc!C17)</f>
        <v/>
      </c>
      <c r="C17" s="163" t="str">
        <f>IF(A17="","",IF(itens_Remanesc!B17="",0,itens_Remanesc!B17))</f>
        <v/>
      </c>
      <c r="D17" s="165" t="str">
        <f>IF(A17="","",ROUND(SUMIFS(aditivos!$L$2:$L$200,aditivos!$A$2:$A$200,A17,aditivos!$C$2:$C$200,"C0"),2))</f>
        <v/>
      </c>
      <c r="E17" s="161" t="str">
        <f t="shared" si="0"/>
        <v/>
      </c>
      <c r="F17" s="161" t="str">
        <f>IF(A17="","",IF(itens_Remanesc!B17&lt;&gt;"",itens_Remanesc!B17,IF($Z17,0,"")))</f>
        <v/>
      </c>
      <c r="G17" s="169" t="str">
        <f t="shared" si="1"/>
        <v/>
      </c>
      <c r="H17" s="171" t="str">
        <f>IF(A17="","",ROUND(SUMIFS(aditivos!$L$2:$L$200,aditivos!$A$2:$A$200,A17,aditivos!$C$2:$C$200,"C1"),2))</f>
        <v/>
      </c>
      <c r="I17" s="167" t="str">
        <f t="shared" si="2"/>
        <v/>
      </c>
      <c r="J17" s="167" t="str">
        <f>IF(A17="","",IF(itens_Remanesc!E17="","",itens_Remanesc!E17))</f>
        <v/>
      </c>
      <c r="K17" s="173" t="str">
        <f t="shared" si="3"/>
        <v/>
      </c>
      <c r="L17" s="165" t="str">
        <f>IF(A17="","",ROUND(SUMIFS(aditivos!$L$2:$L$200,aditivos!$A$2:$A$200,A17,aditivos!$C$2:$C$200,"C2"),2))</f>
        <v/>
      </c>
      <c r="M17" s="161" t="str">
        <f t="shared" si="4"/>
        <v/>
      </c>
      <c r="N17" s="161" t="str">
        <f>IF(A17="","",IF(itens_Remanesc!G17="","",itens_Remanesc!G17))</f>
        <v/>
      </c>
      <c r="O17" s="169" t="str">
        <f t="shared" si="5"/>
        <v/>
      </c>
      <c r="P17" s="171" t="str">
        <f>IF(A17="","",ROUND(SUMIFS(aditivos!$L$2:$L$200,aditivos!$A$2:$A$200,A17,aditivos!$C$2:$C$200,"C3"),2))</f>
        <v/>
      </c>
      <c r="Q17" s="167" t="str">
        <f t="shared" si="6"/>
        <v/>
      </c>
      <c r="R17" s="167" t="str">
        <f>IF(A17="","",IF(itens_Remanesc!I17="","",itens_Remanesc!I17))</f>
        <v/>
      </c>
      <c r="S17" s="173" t="str">
        <f t="shared" si="7"/>
        <v/>
      </c>
      <c r="T17" s="165" t="str">
        <f>IF(A17="","",ROUND(SUMIFS(aditivos!$L$2:$L$200,aditivos!$A$2:$A$200,A17,aditivos!$C$2:$C$200,"C4"),2))</f>
        <v/>
      </c>
      <c r="U17" s="161" t="str">
        <f t="shared" si="8"/>
        <v/>
      </c>
      <c r="V17" s="161" t="str">
        <f>IF(A17="","",IF(itens_Remanesc!K17="","",itens_Remanesc!K17))</f>
        <v/>
      </c>
      <c r="W17" s="161" t="str">
        <f t="shared" si="9"/>
        <v/>
      </c>
      <c r="X17" s="148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1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48" t="str">
        <f>IF(itens_Remanesc!A18="","",itens_Remanesc!A18)</f>
        <v/>
      </c>
      <c r="B18" s="200" t="str">
        <f>IF(A18="","",itens_Remanesc!C18)</f>
        <v/>
      </c>
      <c r="C18" s="163" t="str">
        <f>IF(A18="","",IF(itens_Remanesc!B18="",0,itens_Remanesc!B18))</f>
        <v/>
      </c>
      <c r="D18" s="165" t="str">
        <f>IF(A18="","",ROUND(SUMIFS(aditivos!$L$2:$L$200,aditivos!$A$2:$A$200,A18,aditivos!$C$2:$C$200,"C0"),2))</f>
        <v/>
      </c>
      <c r="E18" s="161" t="str">
        <f t="shared" si="0"/>
        <v/>
      </c>
      <c r="F18" s="161" t="str">
        <f>IF(A18="","",IF(itens_Remanesc!B18&lt;&gt;"",itens_Remanesc!B18,IF($Z18,0,"")))</f>
        <v/>
      </c>
      <c r="G18" s="169" t="str">
        <f t="shared" si="1"/>
        <v/>
      </c>
      <c r="H18" s="171" t="str">
        <f>IF(A18="","",ROUND(SUMIFS(aditivos!$L$2:$L$200,aditivos!$A$2:$A$200,A18,aditivos!$C$2:$C$200,"C1"),2))</f>
        <v/>
      </c>
      <c r="I18" s="167" t="str">
        <f t="shared" si="2"/>
        <v/>
      </c>
      <c r="J18" s="167" t="str">
        <f>IF(A18="","",IF(itens_Remanesc!E18="","",itens_Remanesc!E18))</f>
        <v/>
      </c>
      <c r="K18" s="173" t="str">
        <f t="shared" si="3"/>
        <v/>
      </c>
      <c r="L18" s="165" t="str">
        <f>IF(A18="","",ROUND(SUMIFS(aditivos!$L$2:$L$200,aditivos!$A$2:$A$200,A18,aditivos!$C$2:$C$200,"C2"),2))</f>
        <v/>
      </c>
      <c r="M18" s="161" t="str">
        <f t="shared" si="4"/>
        <v/>
      </c>
      <c r="N18" s="161" t="str">
        <f>IF(A18="","",IF(itens_Remanesc!G18="","",itens_Remanesc!G18))</f>
        <v/>
      </c>
      <c r="O18" s="169" t="str">
        <f t="shared" si="5"/>
        <v/>
      </c>
      <c r="P18" s="171" t="str">
        <f>IF(A18="","",ROUND(SUMIFS(aditivos!$L$2:$L$200,aditivos!$A$2:$A$200,A18,aditivos!$C$2:$C$200,"C3"),2))</f>
        <v/>
      </c>
      <c r="Q18" s="167" t="str">
        <f t="shared" si="6"/>
        <v/>
      </c>
      <c r="R18" s="167" t="str">
        <f>IF(A18="","",IF(itens_Remanesc!I18="","",itens_Remanesc!I18))</f>
        <v/>
      </c>
      <c r="S18" s="173" t="str">
        <f t="shared" si="7"/>
        <v/>
      </c>
      <c r="T18" s="165" t="str">
        <f>IF(A18="","",ROUND(SUMIFS(aditivos!$L$2:$L$200,aditivos!$A$2:$A$200,A18,aditivos!$C$2:$C$200,"C4"),2))</f>
        <v/>
      </c>
      <c r="U18" s="161" t="str">
        <f t="shared" si="8"/>
        <v/>
      </c>
      <c r="V18" s="161" t="str">
        <f>IF(A18="","",IF(itens_Remanesc!K18="","",itens_Remanesc!K18))</f>
        <v/>
      </c>
      <c r="W18" s="161" t="str">
        <f t="shared" si="9"/>
        <v/>
      </c>
      <c r="X18" s="148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1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48" t="str">
        <f>IF(itens_Remanesc!A19="","",itens_Remanesc!A19)</f>
        <v/>
      </c>
      <c r="B19" s="200" t="str">
        <f>IF(A19="","",itens_Remanesc!C19)</f>
        <v/>
      </c>
      <c r="C19" s="163" t="str">
        <f>IF(A19="","",IF(itens_Remanesc!B19="",0,itens_Remanesc!B19))</f>
        <v/>
      </c>
      <c r="D19" s="165" t="str">
        <f>IF(A19="","",ROUND(SUMIFS(aditivos!$L$2:$L$200,aditivos!$A$2:$A$200,A19,aditivos!$C$2:$C$200,"C0"),2))</f>
        <v/>
      </c>
      <c r="E19" s="161" t="str">
        <f t="shared" si="0"/>
        <v/>
      </c>
      <c r="F19" s="161" t="str">
        <f>IF(A19="","",IF(itens_Remanesc!B19&lt;&gt;"",itens_Remanesc!B19,IF($Z19,0,"")))</f>
        <v/>
      </c>
      <c r="G19" s="169" t="str">
        <f t="shared" si="1"/>
        <v/>
      </c>
      <c r="H19" s="171" t="str">
        <f>IF(A19="","",ROUND(SUMIFS(aditivos!$L$2:$L$200,aditivos!$A$2:$A$200,A19,aditivos!$C$2:$C$200,"C1"),2))</f>
        <v/>
      </c>
      <c r="I19" s="167" t="str">
        <f t="shared" si="2"/>
        <v/>
      </c>
      <c r="J19" s="167" t="str">
        <f>IF(A19="","",IF(itens_Remanesc!E19="","",itens_Remanesc!E19))</f>
        <v/>
      </c>
      <c r="K19" s="173" t="str">
        <f t="shared" si="3"/>
        <v/>
      </c>
      <c r="L19" s="165" t="str">
        <f>IF(A19="","",ROUND(SUMIFS(aditivos!$L$2:$L$200,aditivos!$A$2:$A$200,A19,aditivos!$C$2:$C$200,"C2"),2))</f>
        <v/>
      </c>
      <c r="M19" s="161" t="str">
        <f t="shared" si="4"/>
        <v/>
      </c>
      <c r="N19" s="161" t="str">
        <f>IF(A19="","",IF(itens_Remanesc!G19="","",itens_Remanesc!G19))</f>
        <v/>
      </c>
      <c r="O19" s="169" t="str">
        <f t="shared" si="5"/>
        <v/>
      </c>
      <c r="P19" s="171" t="str">
        <f>IF(A19="","",ROUND(SUMIFS(aditivos!$L$2:$L$200,aditivos!$A$2:$A$200,A19,aditivos!$C$2:$C$200,"C3"),2))</f>
        <v/>
      </c>
      <c r="Q19" s="167" t="str">
        <f t="shared" si="6"/>
        <v/>
      </c>
      <c r="R19" s="167" t="str">
        <f>IF(A19="","",IF(itens_Remanesc!I19="","",itens_Remanesc!I19))</f>
        <v/>
      </c>
      <c r="S19" s="173" t="str">
        <f t="shared" si="7"/>
        <v/>
      </c>
      <c r="T19" s="165" t="str">
        <f>IF(A19="","",ROUND(SUMIFS(aditivos!$L$2:$L$200,aditivos!$A$2:$A$200,A19,aditivos!$C$2:$C$200,"C4"),2))</f>
        <v/>
      </c>
      <c r="U19" s="161" t="str">
        <f t="shared" si="8"/>
        <v/>
      </c>
      <c r="V19" s="161" t="str">
        <f>IF(A19="","",IF(itens_Remanesc!K19="","",itens_Remanesc!K19))</f>
        <v/>
      </c>
      <c r="W19" s="161" t="str">
        <f t="shared" si="9"/>
        <v/>
      </c>
      <c r="X19" s="148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1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48" t="str">
        <f>IF(itens_Remanesc!A20="","",itens_Remanesc!A20)</f>
        <v/>
      </c>
      <c r="B20" s="200" t="str">
        <f>IF(A20="","",itens_Remanesc!C20)</f>
        <v/>
      </c>
      <c r="C20" s="163" t="str">
        <f>IF(A20="","",IF(itens_Remanesc!B20="",0,itens_Remanesc!B20))</f>
        <v/>
      </c>
      <c r="D20" s="165" t="str">
        <f>IF(A20="","",ROUND(SUMIFS(aditivos!$L$2:$L$200,aditivos!$A$2:$A$200,A20,aditivos!$C$2:$C$200,"C0"),2))</f>
        <v/>
      </c>
      <c r="E20" s="161" t="str">
        <f t="shared" si="0"/>
        <v/>
      </c>
      <c r="F20" s="161" t="str">
        <f>IF(A20="","",IF(itens_Remanesc!B20&lt;&gt;"",itens_Remanesc!B20,IF($Z20,0,"")))</f>
        <v/>
      </c>
      <c r="G20" s="169" t="str">
        <f t="shared" si="1"/>
        <v/>
      </c>
      <c r="H20" s="171" t="str">
        <f>IF(A20="","",ROUND(SUMIFS(aditivos!$L$2:$L$200,aditivos!$A$2:$A$200,A20,aditivos!$C$2:$C$200,"C1"),2))</f>
        <v/>
      </c>
      <c r="I20" s="167" t="str">
        <f t="shared" si="2"/>
        <v/>
      </c>
      <c r="J20" s="167" t="str">
        <f>IF(A20="","",IF(itens_Remanesc!E20="","",itens_Remanesc!E20))</f>
        <v/>
      </c>
      <c r="K20" s="173" t="str">
        <f t="shared" si="3"/>
        <v/>
      </c>
      <c r="L20" s="165" t="str">
        <f>IF(A20="","",ROUND(SUMIFS(aditivos!$L$2:$L$200,aditivos!$A$2:$A$200,A20,aditivos!$C$2:$C$200,"C2"),2))</f>
        <v/>
      </c>
      <c r="M20" s="161" t="str">
        <f t="shared" si="4"/>
        <v/>
      </c>
      <c r="N20" s="161" t="str">
        <f>IF(A20="","",IF(itens_Remanesc!G20="","",itens_Remanesc!G20))</f>
        <v/>
      </c>
      <c r="O20" s="169" t="str">
        <f t="shared" si="5"/>
        <v/>
      </c>
      <c r="P20" s="171" t="str">
        <f>IF(A20="","",ROUND(SUMIFS(aditivos!$L$2:$L$200,aditivos!$A$2:$A$200,A20,aditivos!$C$2:$C$200,"C3"),2))</f>
        <v/>
      </c>
      <c r="Q20" s="167" t="str">
        <f t="shared" si="6"/>
        <v/>
      </c>
      <c r="R20" s="167" t="str">
        <f>IF(A20="","",IF(itens_Remanesc!I20="","",itens_Remanesc!I20))</f>
        <v/>
      </c>
      <c r="S20" s="173" t="str">
        <f t="shared" si="7"/>
        <v/>
      </c>
      <c r="T20" s="165" t="str">
        <f>IF(A20="","",ROUND(SUMIFS(aditivos!$L$2:$L$200,aditivos!$A$2:$A$200,A20,aditivos!$C$2:$C$200,"C4"),2))</f>
        <v/>
      </c>
      <c r="U20" s="161" t="str">
        <f t="shared" si="8"/>
        <v/>
      </c>
      <c r="V20" s="161" t="str">
        <f>IF(A20="","",IF(itens_Remanesc!K20="","",itens_Remanesc!K20))</f>
        <v/>
      </c>
      <c r="W20" s="161" t="str">
        <f t="shared" si="9"/>
        <v/>
      </c>
      <c r="X20" s="148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1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48" t="str">
        <f>IF(itens_Remanesc!A21="","",itens_Remanesc!A21)</f>
        <v/>
      </c>
      <c r="B21" s="200" t="str">
        <f>IF(A21="","",itens_Remanesc!C21)</f>
        <v/>
      </c>
      <c r="C21" s="163" t="str">
        <f>IF(A21="","",IF(itens_Remanesc!B21="",0,itens_Remanesc!B21))</f>
        <v/>
      </c>
      <c r="D21" s="165" t="str">
        <f>IF(A21="","",ROUND(SUMIFS(aditivos!$L$2:$L$200,aditivos!$A$2:$A$200,A21,aditivos!$C$2:$C$200,"C0"),2))</f>
        <v/>
      </c>
      <c r="E21" s="161" t="str">
        <f t="shared" si="0"/>
        <v/>
      </c>
      <c r="F21" s="161" t="str">
        <f>IF(A21="","",IF(itens_Remanesc!B21&lt;&gt;"",itens_Remanesc!B21,IF($Z21,0,"")))</f>
        <v/>
      </c>
      <c r="G21" s="169" t="str">
        <f t="shared" si="1"/>
        <v/>
      </c>
      <c r="H21" s="171" t="str">
        <f>IF(A21="","",ROUND(SUMIFS(aditivos!$L$2:$L$200,aditivos!$A$2:$A$200,A21,aditivos!$C$2:$C$200,"C1"),2))</f>
        <v/>
      </c>
      <c r="I21" s="167" t="str">
        <f t="shared" si="2"/>
        <v/>
      </c>
      <c r="J21" s="167" t="str">
        <f>IF(A21="","",IF(itens_Remanesc!E21="","",itens_Remanesc!E21))</f>
        <v/>
      </c>
      <c r="K21" s="173" t="str">
        <f t="shared" si="3"/>
        <v/>
      </c>
      <c r="L21" s="165" t="str">
        <f>IF(A21="","",ROUND(SUMIFS(aditivos!$L$2:$L$200,aditivos!$A$2:$A$200,A21,aditivos!$C$2:$C$200,"C2"),2))</f>
        <v/>
      </c>
      <c r="M21" s="161" t="str">
        <f t="shared" si="4"/>
        <v/>
      </c>
      <c r="N21" s="161" t="str">
        <f>IF(A21="","",IF(itens_Remanesc!G21="","",itens_Remanesc!G21))</f>
        <v/>
      </c>
      <c r="O21" s="169" t="str">
        <f t="shared" si="5"/>
        <v/>
      </c>
      <c r="P21" s="171" t="str">
        <f>IF(A21="","",ROUND(SUMIFS(aditivos!$L$2:$L$200,aditivos!$A$2:$A$200,A21,aditivos!$C$2:$C$200,"C3"),2))</f>
        <v/>
      </c>
      <c r="Q21" s="167" t="str">
        <f t="shared" si="6"/>
        <v/>
      </c>
      <c r="R21" s="167" t="str">
        <f>IF(A21="","",IF(itens_Remanesc!I21="","",itens_Remanesc!I21))</f>
        <v/>
      </c>
      <c r="S21" s="173" t="str">
        <f t="shared" si="7"/>
        <v/>
      </c>
      <c r="T21" s="165" t="str">
        <f>IF(A21="","",ROUND(SUMIFS(aditivos!$L$2:$L$200,aditivos!$A$2:$A$200,A21,aditivos!$C$2:$C$200,"C4"),2))</f>
        <v/>
      </c>
      <c r="U21" s="161" t="str">
        <f t="shared" si="8"/>
        <v/>
      </c>
      <c r="V21" s="161" t="str">
        <f>IF(A21="","",IF(itens_Remanesc!K21="","",itens_Remanesc!K21))</f>
        <v/>
      </c>
      <c r="W21" s="161" t="str">
        <f t="shared" si="9"/>
        <v/>
      </c>
      <c r="X21" s="148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1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48" t="str">
        <f>IF(itens_Remanesc!A22="","",itens_Remanesc!A22)</f>
        <v/>
      </c>
      <c r="B22" s="200" t="str">
        <f>IF(A22="","",itens_Remanesc!C22)</f>
        <v/>
      </c>
      <c r="C22" s="163" t="str">
        <f>IF(A22="","",IF(itens_Remanesc!B22="",0,itens_Remanesc!B22))</f>
        <v/>
      </c>
      <c r="D22" s="165" t="str">
        <f>IF(A22="","",ROUND(SUMIFS(aditivos!$L$2:$L$200,aditivos!$A$2:$A$200,A22,aditivos!$C$2:$C$200,"C0"),2))</f>
        <v/>
      </c>
      <c r="E22" s="161" t="str">
        <f t="shared" si="0"/>
        <v/>
      </c>
      <c r="F22" s="161" t="str">
        <f>IF(A22="","",IF(itens_Remanesc!B22&lt;&gt;"",itens_Remanesc!B22,IF($Z22,0,"")))</f>
        <v/>
      </c>
      <c r="G22" s="169" t="str">
        <f t="shared" si="1"/>
        <v/>
      </c>
      <c r="H22" s="171" t="str">
        <f>IF(A22="","",ROUND(SUMIFS(aditivos!$L$2:$L$200,aditivos!$A$2:$A$200,A22,aditivos!$C$2:$C$200,"C1"),2))</f>
        <v/>
      </c>
      <c r="I22" s="167" t="str">
        <f t="shared" si="2"/>
        <v/>
      </c>
      <c r="J22" s="167" t="str">
        <f>IF(A22="","",IF(itens_Remanesc!E22="","",itens_Remanesc!E22))</f>
        <v/>
      </c>
      <c r="K22" s="173" t="str">
        <f t="shared" si="3"/>
        <v/>
      </c>
      <c r="L22" s="165" t="str">
        <f>IF(A22="","",ROUND(SUMIFS(aditivos!$L$2:$L$200,aditivos!$A$2:$A$200,A22,aditivos!$C$2:$C$200,"C2"),2))</f>
        <v/>
      </c>
      <c r="M22" s="161" t="str">
        <f t="shared" si="4"/>
        <v/>
      </c>
      <c r="N22" s="161" t="str">
        <f>IF(A22="","",IF(itens_Remanesc!G22="","",itens_Remanesc!G22))</f>
        <v/>
      </c>
      <c r="O22" s="169" t="str">
        <f t="shared" si="5"/>
        <v/>
      </c>
      <c r="P22" s="171" t="str">
        <f>IF(A22="","",ROUND(SUMIFS(aditivos!$L$2:$L$200,aditivos!$A$2:$A$200,A22,aditivos!$C$2:$C$200,"C3"),2))</f>
        <v/>
      </c>
      <c r="Q22" s="167" t="str">
        <f t="shared" si="6"/>
        <v/>
      </c>
      <c r="R22" s="167" t="str">
        <f>IF(A22="","",IF(itens_Remanesc!I22="","",itens_Remanesc!I22))</f>
        <v/>
      </c>
      <c r="S22" s="173" t="str">
        <f t="shared" si="7"/>
        <v/>
      </c>
      <c r="T22" s="165" t="str">
        <f>IF(A22="","",ROUND(SUMIFS(aditivos!$L$2:$L$200,aditivos!$A$2:$A$200,A22,aditivos!$C$2:$C$200,"C4"),2))</f>
        <v/>
      </c>
      <c r="U22" s="161" t="str">
        <f t="shared" si="8"/>
        <v/>
      </c>
      <c r="V22" s="161" t="str">
        <f>IF(A22="","",IF(itens_Remanesc!K22="","",itens_Remanesc!K22))</f>
        <v/>
      </c>
      <c r="W22" s="161" t="str">
        <f t="shared" si="9"/>
        <v/>
      </c>
      <c r="X22" s="148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1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48" t="str">
        <f>IF(itens_Remanesc!A23="","",itens_Remanesc!A23)</f>
        <v/>
      </c>
      <c r="B23" s="200" t="str">
        <f>IF(A23="","",itens_Remanesc!C23)</f>
        <v/>
      </c>
      <c r="C23" s="163" t="str">
        <f>IF(A23="","",IF(itens_Remanesc!B23="",0,itens_Remanesc!B23))</f>
        <v/>
      </c>
      <c r="D23" s="165" t="str">
        <f>IF(A23="","",ROUND(SUMIFS(aditivos!$L$2:$L$200,aditivos!$A$2:$A$200,A23,aditivos!$C$2:$C$200,"C0"),2))</f>
        <v/>
      </c>
      <c r="E23" s="161" t="str">
        <f t="shared" si="0"/>
        <v/>
      </c>
      <c r="F23" s="161" t="str">
        <f>IF(A23="","",IF(itens_Remanesc!B23&lt;&gt;"",itens_Remanesc!B23,IF($Z23,0,"")))</f>
        <v/>
      </c>
      <c r="G23" s="169" t="str">
        <f t="shared" si="1"/>
        <v/>
      </c>
      <c r="H23" s="171" t="str">
        <f>IF(A23="","",ROUND(SUMIFS(aditivos!$L$2:$L$200,aditivos!$A$2:$A$200,A23,aditivos!$C$2:$C$200,"C1"),2))</f>
        <v/>
      </c>
      <c r="I23" s="167" t="str">
        <f t="shared" si="2"/>
        <v/>
      </c>
      <c r="J23" s="167" t="str">
        <f>IF(A23="","",IF(itens_Remanesc!E23="","",itens_Remanesc!E23))</f>
        <v/>
      </c>
      <c r="K23" s="173" t="str">
        <f t="shared" si="3"/>
        <v/>
      </c>
      <c r="L23" s="165" t="str">
        <f>IF(A23="","",ROUND(SUMIFS(aditivos!$L$2:$L$200,aditivos!$A$2:$A$200,A23,aditivos!$C$2:$C$200,"C2"),2))</f>
        <v/>
      </c>
      <c r="M23" s="161" t="str">
        <f t="shared" si="4"/>
        <v/>
      </c>
      <c r="N23" s="161" t="str">
        <f>IF(A23="","",IF(itens_Remanesc!G23="","",itens_Remanesc!G23))</f>
        <v/>
      </c>
      <c r="O23" s="169" t="str">
        <f t="shared" si="5"/>
        <v/>
      </c>
      <c r="P23" s="171" t="str">
        <f>IF(A23="","",ROUND(SUMIFS(aditivos!$L$2:$L$200,aditivos!$A$2:$A$200,A23,aditivos!$C$2:$C$200,"C3"),2))</f>
        <v/>
      </c>
      <c r="Q23" s="167" t="str">
        <f t="shared" si="6"/>
        <v/>
      </c>
      <c r="R23" s="167" t="str">
        <f>IF(A23="","",IF(itens_Remanesc!I23="","",itens_Remanesc!I23))</f>
        <v/>
      </c>
      <c r="S23" s="173" t="str">
        <f t="shared" si="7"/>
        <v/>
      </c>
      <c r="T23" s="165" t="str">
        <f>IF(A23="","",ROUND(SUMIFS(aditivos!$L$2:$L$200,aditivos!$A$2:$A$200,A23,aditivos!$C$2:$C$200,"C4"),2))</f>
        <v/>
      </c>
      <c r="U23" s="161" t="str">
        <f t="shared" si="8"/>
        <v/>
      </c>
      <c r="V23" s="161" t="str">
        <f>IF(A23="","",IF(itens_Remanesc!K23="","",itens_Remanesc!K23))</f>
        <v/>
      </c>
      <c r="W23" s="161" t="str">
        <f t="shared" si="9"/>
        <v/>
      </c>
      <c r="X23" s="148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1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48" t="str">
        <f>IF(itens_Remanesc!A24="","",itens_Remanesc!A24)</f>
        <v/>
      </c>
      <c r="B24" s="200" t="str">
        <f>IF(A24="","",itens_Remanesc!C24)</f>
        <v/>
      </c>
      <c r="C24" s="163" t="str">
        <f>IF(A24="","",IF(itens_Remanesc!B24="",0,itens_Remanesc!B24))</f>
        <v/>
      </c>
      <c r="D24" s="165" t="str">
        <f>IF(A24="","",ROUND(SUMIFS(aditivos!$L$2:$L$200,aditivos!$A$2:$A$200,A24,aditivos!$C$2:$C$200,"C0"),2))</f>
        <v/>
      </c>
      <c r="E24" s="161" t="str">
        <f t="shared" si="0"/>
        <v/>
      </c>
      <c r="F24" s="161" t="str">
        <f>IF(A24="","",IF(itens_Remanesc!B24&lt;&gt;"",itens_Remanesc!B24,IF($Z24,0,"")))</f>
        <v/>
      </c>
      <c r="G24" s="169" t="str">
        <f t="shared" si="1"/>
        <v/>
      </c>
      <c r="H24" s="171" t="str">
        <f>IF(A24="","",ROUND(SUMIFS(aditivos!$L$2:$L$200,aditivos!$A$2:$A$200,A24,aditivos!$C$2:$C$200,"C1"),2))</f>
        <v/>
      </c>
      <c r="I24" s="167" t="str">
        <f t="shared" si="2"/>
        <v/>
      </c>
      <c r="J24" s="167" t="str">
        <f>IF(A24="","",IF(itens_Remanesc!E24="","",itens_Remanesc!E24))</f>
        <v/>
      </c>
      <c r="K24" s="173" t="str">
        <f t="shared" si="3"/>
        <v/>
      </c>
      <c r="L24" s="165" t="str">
        <f>IF(A24="","",ROUND(SUMIFS(aditivos!$L$2:$L$200,aditivos!$A$2:$A$200,A24,aditivos!$C$2:$C$200,"C2"),2))</f>
        <v/>
      </c>
      <c r="M24" s="161" t="str">
        <f t="shared" si="4"/>
        <v/>
      </c>
      <c r="N24" s="161" t="str">
        <f>IF(A24="","",IF(itens_Remanesc!G24="","",itens_Remanesc!G24))</f>
        <v/>
      </c>
      <c r="O24" s="169" t="str">
        <f t="shared" si="5"/>
        <v/>
      </c>
      <c r="P24" s="171" t="str">
        <f>IF(A24="","",ROUND(SUMIFS(aditivos!$L$2:$L$200,aditivos!$A$2:$A$200,A24,aditivos!$C$2:$C$200,"C3"),2))</f>
        <v/>
      </c>
      <c r="Q24" s="167" t="str">
        <f t="shared" si="6"/>
        <v/>
      </c>
      <c r="R24" s="167" t="str">
        <f>IF(A24="","",IF(itens_Remanesc!I24="","",itens_Remanesc!I24))</f>
        <v/>
      </c>
      <c r="S24" s="173" t="str">
        <f t="shared" si="7"/>
        <v/>
      </c>
      <c r="T24" s="165" t="str">
        <f>IF(A24="","",ROUND(SUMIFS(aditivos!$L$2:$L$200,aditivos!$A$2:$A$200,A24,aditivos!$C$2:$C$200,"C4"),2))</f>
        <v/>
      </c>
      <c r="U24" s="161" t="str">
        <f t="shared" si="8"/>
        <v/>
      </c>
      <c r="V24" s="161" t="str">
        <f>IF(A24="","",IF(itens_Remanesc!K24="","",itens_Remanesc!K24))</f>
        <v/>
      </c>
      <c r="W24" s="161" t="str">
        <f t="shared" si="9"/>
        <v/>
      </c>
      <c r="X24" s="148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1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48" t="str">
        <f>IF(itens_Remanesc!A25="","",itens_Remanesc!A25)</f>
        <v/>
      </c>
      <c r="B25" s="200" t="str">
        <f>IF(A25="","",itens_Remanesc!C25)</f>
        <v/>
      </c>
      <c r="C25" s="163" t="str">
        <f>IF(A25="","",IF(itens_Remanesc!B25="",0,itens_Remanesc!B25))</f>
        <v/>
      </c>
      <c r="D25" s="165" t="str">
        <f>IF(A25="","",ROUND(SUMIFS(aditivos!$L$2:$L$200,aditivos!$A$2:$A$200,A25,aditivos!$C$2:$C$200,"C0"),2))</f>
        <v/>
      </c>
      <c r="E25" s="161" t="str">
        <f t="shared" si="0"/>
        <v/>
      </c>
      <c r="F25" s="161" t="str">
        <f>IF(A25="","",IF(itens_Remanesc!B25&lt;&gt;"",itens_Remanesc!B25,IF($Z25,0,"")))</f>
        <v/>
      </c>
      <c r="G25" s="169" t="str">
        <f t="shared" si="1"/>
        <v/>
      </c>
      <c r="H25" s="171" t="str">
        <f>IF(A25="","",ROUND(SUMIFS(aditivos!$L$2:$L$200,aditivos!$A$2:$A$200,A25,aditivos!$C$2:$C$200,"C1"),2))</f>
        <v/>
      </c>
      <c r="I25" s="167" t="str">
        <f t="shared" si="2"/>
        <v/>
      </c>
      <c r="J25" s="167" t="str">
        <f>IF(A25="","",IF(itens_Remanesc!E25="","",itens_Remanesc!E25))</f>
        <v/>
      </c>
      <c r="K25" s="173" t="str">
        <f t="shared" si="3"/>
        <v/>
      </c>
      <c r="L25" s="165" t="str">
        <f>IF(A25="","",ROUND(SUMIFS(aditivos!$L$2:$L$200,aditivos!$A$2:$A$200,A25,aditivos!$C$2:$C$200,"C2"),2))</f>
        <v/>
      </c>
      <c r="M25" s="161" t="str">
        <f t="shared" si="4"/>
        <v/>
      </c>
      <c r="N25" s="161" t="str">
        <f>IF(A25="","",IF(itens_Remanesc!G25="","",itens_Remanesc!G25))</f>
        <v/>
      </c>
      <c r="O25" s="169" t="str">
        <f t="shared" si="5"/>
        <v/>
      </c>
      <c r="P25" s="171" t="str">
        <f>IF(A25="","",ROUND(SUMIFS(aditivos!$L$2:$L$200,aditivos!$A$2:$A$200,A25,aditivos!$C$2:$C$200,"C3"),2))</f>
        <v/>
      </c>
      <c r="Q25" s="167" t="str">
        <f t="shared" si="6"/>
        <v/>
      </c>
      <c r="R25" s="167" t="str">
        <f>IF(A25="","",IF(itens_Remanesc!I25="","",itens_Remanesc!I25))</f>
        <v/>
      </c>
      <c r="S25" s="173" t="str">
        <f t="shared" si="7"/>
        <v/>
      </c>
      <c r="T25" s="165" t="str">
        <f>IF(A25="","",ROUND(SUMIFS(aditivos!$L$2:$L$200,aditivos!$A$2:$A$200,A25,aditivos!$C$2:$C$200,"C4"),2))</f>
        <v/>
      </c>
      <c r="U25" s="161" t="str">
        <f t="shared" si="8"/>
        <v/>
      </c>
      <c r="V25" s="161" t="str">
        <f>IF(A25="","",IF(itens_Remanesc!K25="","",itens_Remanesc!K25))</f>
        <v/>
      </c>
      <c r="W25" s="161" t="str">
        <f t="shared" si="9"/>
        <v/>
      </c>
      <c r="X25" s="148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1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48" t="str">
        <f>IF(itens_Remanesc!A26="","",itens_Remanesc!A26)</f>
        <v/>
      </c>
      <c r="B26" s="200" t="str">
        <f>IF(A26="","",itens_Remanesc!C26)</f>
        <v/>
      </c>
      <c r="C26" s="163" t="str">
        <f>IF(A26="","",IF(itens_Remanesc!B26="",0,itens_Remanesc!B26))</f>
        <v/>
      </c>
      <c r="D26" s="165" t="str">
        <f>IF(A26="","",ROUND(SUMIFS(aditivos!$L$2:$L$200,aditivos!$A$2:$A$200,A26,aditivos!$C$2:$C$200,"C0"),2))</f>
        <v/>
      </c>
      <c r="E26" s="161" t="str">
        <f t="shared" si="0"/>
        <v/>
      </c>
      <c r="F26" s="161" t="str">
        <f>IF(A26="","",IF(itens_Remanesc!B26&lt;&gt;"",itens_Remanesc!B26,IF($Z26,0,"")))</f>
        <v/>
      </c>
      <c r="G26" s="169" t="str">
        <f t="shared" si="1"/>
        <v/>
      </c>
      <c r="H26" s="171" t="str">
        <f>IF(A26="","",ROUND(SUMIFS(aditivos!$L$2:$L$200,aditivos!$A$2:$A$200,A26,aditivos!$C$2:$C$200,"C1"),2))</f>
        <v/>
      </c>
      <c r="I26" s="167" t="str">
        <f t="shared" si="2"/>
        <v/>
      </c>
      <c r="J26" s="167" t="str">
        <f>IF(A26="","",IF(itens_Remanesc!E26="","",itens_Remanesc!E26))</f>
        <v/>
      </c>
      <c r="K26" s="173" t="str">
        <f t="shared" si="3"/>
        <v/>
      </c>
      <c r="L26" s="165" t="str">
        <f>IF(A26="","",ROUND(SUMIFS(aditivos!$L$2:$L$200,aditivos!$A$2:$A$200,A26,aditivos!$C$2:$C$200,"C2"),2))</f>
        <v/>
      </c>
      <c r="M26" s="161" t="str">
        <f t="shared" si="4"/>
        <v/>
      </c>
      <c r="N26" s="161" t="str">
        <f>IF(A26="","",IF(itens_Remanesc!G26="","",itens_Remanesc!G26))</f>
        <v/>
      </c>
      <c r="O26" s="169" t="str">
        <f t="shared" si="5"/>
        <v/>
      </c>
      <c r="P26" s="171" t="str">
        <f>IF(A26="","",ROUND(SUMIFS(aditivos!$L$2:$L$200,aditivos!$A$2:$A$200,A26,aditivos!$C$2:$C$200,"C3"),2))</f>
        <v/>
      </c>
      <c r="Q26" s="167" t="str">
        <f t="shared" si="6"/>
        <v/>
      </c>
      <c r="R26" s="167" t="str">
        <f>IF(A26="","",IF(itens_Remanesc!I26="","",itens_Remanesc!I26))</f>
        <v/>
      </c>
      <c r="S26" s="173" t="str">
        <f t="shared" si="7"/>
        <v/>
      </c>
      <c r="T26" s="165" t="str">
        <f>IF(A26="","",ROUND(SUMIFS(aditivos!$L$2:$L$200,aditivos!$A$2:$A$200,A26,aditivos!$C$2:$C$200,"C4"),2))</f>
        <v/>
      </c>
      <c r="U26" s="161" t="str">
        <f t="shared" si="8"/>
        <v/>
      </c>
      <c r="V26" s="161" t="str">
        <f>IF(A26="","",IF(itens_Remanesc!K26="","",itens_Remanesc!K26))</f>
        <v/>
      </c>
      <c r="W26" s="161" t="str">
        <f t="shared" si="9"/>
        <v/>
      </c>
      <c r="X26" s="148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1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48" t="str">
        <f>IF(itens_Remanesc!A27="","",itens_Remanesc!A27)</f>
        <v/>
      </c>
      <c r="B27" s="200" t="str">
        <f>IF(A27="","",itens_Remanesc!C27)</f>
        <v/>
      </c>
      <c r="C27" s="163" t="str">
        <f>IF(A27="","",IF(itens_Remanesc!B27="",0,itens_Remanesc!B27))</f>
        <v/>
      </c>
      <c r="D27" s="165" t="str">
        <f>IF(A27="","",ROUND(SUMIFS(aditivos!$L$2:$L$200,aditivos!$A$2:$A$200,A27,aditivos!$C$2:$C$200,"C0"),2))</f>
        <v/>
      </c>
      <c r="E27" s="161" t="str">
        <f t="shared" si="0"/>
        <v/>
      </c>
      <c r="F27" s="161" t="str">
        <f>IF(A27="","",IF(itens_Remanesc!B27&lt;&gt;"",itens_Remanesc!B27,IF($Z27,0,"")))</f>
        <v/>
      </c>
      <c r="G27" s="169" t="str">
        <f t="shared" si="1"/>
        <v/>
      </c>
      <c r="H27" s="171" t="str">
        <f>IF(A27="","",ROUND(SUMIFS(aditivos!$L$2:$L$200,aditivos!$A$2:$A$200,A27,aditivos!$C$2:$C$200,"C1"),2))</f>
        <v/>
      </c>
      <c r="I27" s="167" t="str">
        <f t="shared" si="2"/>
        <v/>
      </c>
      <c r="J27" s="167" t="str">
        <f>IF(A27="","",IF(itens_Remanesc!E27="","",itens_Remanesc!E27))</f>
        <v/>
      </c>
      <c r="K27" s="173" t="str">
        <f t="shared" si="3"/>
        <v/>
      </c>
      <c r="L27" s="165" t="str">
        <f>IF(A27="","",ROUND(SUMIFS(aditivos!$L$2:$L$200,aditivos!$A$2:$A$200,A27,aditivos!$C$2:$C$200,"C2"),2))</f>
        <v/>
      </c>
      <c r="M27" s="161" t="str">
        <f t="shared" si="4"/>
        <v/>
      </c>
      <c r="N27" s="161" t="str">
        <f>IF(A27="","",IF(itens_Remanesc!G27="","",itens_Remanesc!G27))</f>
        <v/>
      </c>
      <c r="O27" s="169" t="str">
        <f t="shared" si="5"/>
        <v/>
      </c>
      <c r="P27" s="171" t="str">
        <f>IF(A27="","",ROUND(SUMIFS(aditivos!$L$2:$L$200,aditivos!$A$2:$A$200,A27,aditivos!$C$2:$C$200,"C3"),2))</f>
        <v/>
      </c>
      <c r="Q27" s="167" t="str">
        <f t="shared" si="6"/>
        <v/>
      </c>
      <c r="R27" s="167" t="str">
        <f>IF(A27="","",IF(itens_Remanesc!I27="","",itens_Remanesc!I27))</f>
        <v/>
      </c>
      <c r="S27" s="173" t="str">
        <f t="shared" si="7"/>
        <v/>
      </c>
      <c r="T27" s="165" t="str">
        <f>IF(A27="","",ROUND(SUMIFS(aditivos!$L$2:$L$200,aditivos!$A$2:$A$200,A27,aditivos!$C$2:$C$200,"C4"),2))</f>
        <v/>
      </c>
      <c r="U27" s="161" t="str">
        <f t="shared" si="8"/>
        <v/>
      </c>
      <c r="V27" s="161" t="str">
        <f>IF(A27="","",IF(itens_Remanesc!K27="","",itens_Remanesc!K27))</f>
        <v/>
      </c>
      <c r="W27" s="161" t="str">
        <f t="shared" si="9"/>
        <v/>
      </c>
      <c r="X27" s="148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1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48" t="str">
        <f>IF(itens_Remanesc!A28="","",itens_Remanesc!A28)</f>
        <v/>
      </c>
      <c r="B28" s="200" t="str">
        <f>IF(A28="","",itens_Remanesc!C28)</f>
        <v/>
      </c>
      <c r="C28" s="163" t="str">
        <f>IF(A28="","",IF(itens_Remanesc!B28="",0,itens_Remanesc!B28))</f>
        <v/>
      </c>
      <c r="D28" s="165" t="str">
        <f>IF(A28="","",ROUND(SUMIFS(aditivos!$L$2:$L$200,aditivos!$A$2:$A$200,A28,aditivos!$C$2:$C$200,"C0"),2))</f>
        <v/>
      </c>
      <c r="E28" s="161" t="str">
        <f t="shared" si="0"/>
        <v/>
      </c>
      <c r="F28" s="161" t="str">
        <f>IF(A28="","",IF(itens_Remanesc!B28&lt;&gt;"",itens_Remanesc!B28,IF($Z28,0,"")))</f>
        <v/>
      </c>
      <c r="G28" s="169" t="str">
        <f t="shared" si="1"/>
        <v/>
      </c>
      <c r="H28" s="171" t="str">
        <f>IF(A28="","",ROUND(SUMIFS(aditivos!$L$2:$L$200,aditivos!$A$2:$A$200,A28,aditivos!$C$2:$C$200,"C1"),2))</f>
        <v/>
      </c>
      <c r="I28" s="167" t="str">
        <f t="shared" si="2"/>
        <v/>
      </c>
      <c r="J28" s="167" t="str">
        <f>IF(A28="","",IF(itens_Remanesc!E28="","",itens_Remanesc!E28))</f>
        <v/>
      </c>
      <c r="K28" s="173" t="str">
        <f t="shared" si="3"/>
        <v/>
      </c>
      <c r="L28" s="165" t="str">
        <f>IF(A28="","",ROUND(SUMIFS(aditivos!$L$2:$L$200,aditivos!$A$2:$A$200,A28,aditivos!$C$2:$C$200,"C2"),2))</f>
        <v/>
      </c>
      <c r="M28" s="161" t="str">
        <f t="shared" si="4"/>
        <v/>
      </c>
      <c r="N28" s="161" t="str">
        <f>IF(A28="","",IF(itens_Remanesc!G28="","",itens_Remanesc!G28))</f>
        <v/>
      </c>
      <c r="O28" s="169" t="str">
        <f t="shared" si="5"/>
        <v/>
      </c>
      <c r="P28" s="171" t="str">
        <f>IF(A28="","",ROUND(SUMIFS(aditivos!$L$2:$L$200,aditivos!$A$2:$A$200,A28,aditivos!$C$2:$C$200,"C3"),2))</f>
        <v/>
      </c>
      <c r="Q28" s="167" t="str">
        <f t="shared" si="6"/>
        <v/>
      </c>
      <c r="R28" s="167" t="str">
        <f>IF(A28="","",IF(itens_Remanesc!I28="","",itens_Remanesc!I28))</f>
        <v/>
      </c>
      <c r="S28" s="173" t="str">
        <f t="shared" si="7"/>
        <v/>
      </c>
      <c r="T28" s="165" t="str">
        <f>IF(A28="","",ROUND(SUMIFS(aditivos!$L$2:$L$200,aditivos!$A$2:$A$200,A28,aditivos!$C$2:$C$200,"C4"),2))</f>
        <v/>
      </c>
      <c r="U28" s="161" t="str">
        <f t="shared" si="8"/>
        <v/>
      </c>
      <c r="V28" s="161" t="str">
        <f>IF(A28="","",IF(itens_Remanesc!K28="","",itens_Remanesc!K28))</f>
        <v/>
      </c>
      <c r="W28" s="161" t="str">
        <f t="shared" si="9"/>
        <v/>
      </c>
      <c r="X28" s="148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1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48" t="str">
        <f>IF(itens_Remanesc!A29="","",itens_Remanesc!A29)</f>
        <v/>
      </c>
      <c r="B29" s="200" t="str">
        <f>IF(A29="","",itens_Remanesc!C29)</f>
        <v/>
      </c>
      <c r="C29" s="163" t="str">
        <f>IF(A29="","",IF(itens_Remanesc!B29="",0,itens_Remanesc!B29))</f>
        <v/>
      </c>
      <c r="D29" s="165" t="str">
        <f>IF(A29="","",ROUND(SUMIFS(aditivos!$L$2:$L$200,aditivos!$A$2:$A$200,A29,aditivos!$C$2:$C$200,"C0"),2))</f>
        <v/>
      </c>
      <c r="E29" s="161" t="str">
        <f t="shared" si="0"/>
        <v/>
      </c>
      <c r="F29" s="161" t="str">
        <f>IF(A29="","",IF(itens_Remanesc!B29&lt;&gt;"",itens_Remanesc!B29,IF($Z29,0,"")))</f>
        <v/>
      </c>
      <c r="G29" s="169" t="str">
        <f t="shared" si="1"/>
        <v/>
      </c>
      <c r="H29" s="171" t="str">
        <f>IF(A29="","",ROUND(SUMIFS(aditivos!$L$2:$L$200,aditivos!$A$2:$A$200,A29,aditivos!$C$2:$C$200,"C1"),2))</f>
        <v/>
      </c>
      <c r="I29" s="167" t="str">
        <f t="shared" si="2"/>
        <v/>
      </c>
      <c r="J29" s="167" t="str">
        <f>IF(A29="","",IF(itens_Remanesc!E29="","",itens_Remanesc!E29))</f>
        <v/>
      </c>
      <c r="K29" s="173" t="str">
        <f t="shared" si="3"/>
        <v/>
      </c>
      <c r="L29" s="165" t="str">
        <f>IF(A29="","",ROUND(SUMIFS(aditivos!$L$2:$L$200,aditivos!$A$2:$A$200,A29,aditivos!$C$2:$C$200,"C2"),2))</f>
        <v/>
      </c>
      <c r="M29" s="161" t="str">
        <f t="shared" si="4"/>
        <v/>
      </c>
      <c r="N29" s="161" t="str">
        <f>IF(A29="","",IF(itens_Remanesc!G29="","",itens_Remanesc!G29))</f>
        <v/>
      </c>
      <c r="O29" s="169" t="str">
        <f t="shared" si="5"/>
        <v/>
      </c>
      <c r="P29" s="171" t="str">
        <f>IF(A29="","",ROUND(SUMIFS(aditivos!$L$2:$L$200,aditivos!$A$2:$A$200,A29,aditivos!$C$2:$C$200,"C3"),2))</f>
        <v/>
      </c>
      <c r="Q29" s="167" t="str">
        <f t="shared" si="6"/>
        <v/>
      </c>
      <c r="R29" s="167" t="str">
        <f>IF(A29="","",IF(itens_Remanesc!I29="","",itens_Remanesc!I29))</f>
        <v/>
      </c>
      <c r="S29" s="173" t="str">
        <f t="shared" si="7"/>
        <v/>
      </c>
      <c r="T29" s="165" t="str">
        <f>IF(A29="","",ROUND(SUMIFS(aditivos!$L$2:$L$200,aditivos!$A$2:$A$200,A29,aditivos!$C$2:$C$200,"C4"),2))</f>
        <v/>
      </c>
      <c r="U29" s="161" t="str">
        <f t="shared" si="8"/>
        <v/>
      </c>
      <c r="V29" s="161" t="str">
        <f>IF(A29="","",IF(itens_Remanesc!K29="","",itens_Remanesc!K29))</f>
        <v/>
      </c>
      <c r="W29" s="161" t="str">
        <f t="shared" si="9"/>
        <v/>
      </c>
      <c r="X29" s="148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1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48" t="str">
        <f>IF(itens_Remanesc!A30="","",itens_Remanesc!A30)</f>
        <v/>
      </c>
      <c r="B30" s="200" t="str">
        <f>IF(A30="","",itens_Remanesc!C30)</f>
        <v/>
      </c>
      <c r="C30" s="163" t="str">
        <f>IF(A30="","",IF(itens_Remanesc!B30="",0,itens_Remanesc!B30))</f>
        <v/>
      </c>
      <c r="D30" s="165" t="str">
        <f>IF(A30="","",ROUND(SUMIFS(aditivos!$L$2:$L$200,aditivos!$A$2:$A$200,A30,aditivos!$C$2:$C$200,"C0"),2))</f>
        <v/>
      </c>
      <c r="E30" s="161" t="str">
        <f t="shared" si="0"/>
        <v/>
      </c>
      <c r="F30" s="161" t="str">
        <f>IF(A30="","",IF(itens_Remanesc!B30&lt;&gt;"",itens_Remanesc!B30,IF($Z30,0,"")))</f>
        <v/>
      </c>
      <c r="G30" s="169" t="str">
        <f t="shared" si="1"/>
        <v/>
      </c>
      <c r="H30" s="171" t="str">
        <f>IF(A30="","",ROUND(SUMIFS(aditivos!$L$2:$L$200,aditivos!$A$2:$A$200,A30,aditivos!$C$2:$C$200,"C1"),2))</f>
        <v/>
      </c>
      <c r="I30" s="167" t="str">
        <f t="shared" si="2"/>
        <v/>
      </c>
      <c r="J30" s="167" t="str">
        <f>IF(A30="","",IF(itens_Remanesc!E30="","",itens_Remanesc!E30))</f>
        <v/>
      </c>
      <c r="K30" s="173" t="str">
        <f t="shared" si="3"/>
        <v/>
      </c>
      <c r="L30" s="165" t="str">
        <f>IF(A30="","",ROUND(SUMIFS(aditivos!$L$2:$L$200,aditivos!$A$2:$A$200,A30,aditivos!$C$2:$C$200,"C2"),2))</f>
        <v/>
      </c>
      <c r="M30" s="161" t="str">
        <f t="shared" si="4"/>
        <v/>
      </c>
      <c r="N30" s="161" t="str">
        <f>IF(A30="","",IF(itens_Remanesc!G30="","",itens_Remanesc!G30))</f>
        <v/>
      </c>
      <c r="O30" s="169" t="str">
        <f t="shared" si="5"/>
        <v/>
      </c>
      <c r="P30" s="171" t="str">
        <f>IF(A30="","",ROUND(SUMIFS(aditivos!$L$2:$L$200,aditivos!$A$2:$A$200,A30,aditivos!$C$2:$C$200,"C3"),2))</f>
        <v/>
      </c>
      <c r="Q30" s="167" t="str">
        <f t="shared" si="6"/>
        <v/>
      </c>
      <c r="R30" s="167" t="str">
        <f>IF(A30="","",IF(itens_Remanesc!I30="","",itens_Remanesc!I30))</f>
        <v/>
      </c>
      <c r="S30" s="173" t="str">
        <f t="shared" si="7"/>
        <v/>
      </c>
      <c r="T30" s="165" t="str">
        <f>IF(A30="","",ROUND(SUMIFS(aditivos!$L$2:$L$200,aditivos!$A$2:$A$200,A30,aditivos!$C$2:$C$200,"C4"),2))</f>
        <v/>
      </c>
      <c r="U30" s="161" t="str">
        <f t="shared" si="8"/>
        <v/>
      </c>
      <c r="V30" s="161" t="str">
        <f>IF(A30="","",IF(itens_Remanesc!K30="","",itens_Remanesc!K30))</f>
        <v/>
      </c>
      <c r="W30" s="161" t="str">
        <f t="shared" si="9"/>
        <v/>
      </c>
      <c r="X30" s="148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1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48" t="str">
        <f>IF(itens_Remanesc!A31="","",itens_Remanesc!A31)</f>
        <v/>
      </c>
      <c r="B31" s="200" t="str">
        <f>IF(A31="","",itens_Remanesc!C31)</f>
        <v/>
      </c>
      <c r="C31" s="163" t="str">
        <f>IF(A31="","",IF(itens_Remanesc!B31="",0,itens_Remanesc!B31))</f>
        <v/>
      </c>
      <c r="D31" s="165" t="str">
        <f>IF(A31="","",ROUND(SUMIFS(aditivos!$L$2:$L$200,aditivos!$A$2:$A$200,A31,aditivos!$C$2:$C$200,"C0"),2))</f>
        <v/>
      </c>
      <c r="E31" s="161" t="str">
        <f t="shared" si="0"/>
        <v/>
      </c>
      <c r="F31" s="161" t="str">
        <f>IF(A31="","",IF(itens_Remanesc!B31&lt;&gt;"",itens_Remanesc!B31,IF($Z31,0,"")))</f>
        <v/>
      </c>
      <c r="G31" s="169" t="str">
        <f t="shared" si="1"/>
        <v/>
      </c>
      <c r="H31" s="171" t="str">
        <f>IF(A31="","",ROUND(SUMIFS(aditivos!$L$2:$L$200,aditivos!$A$2:$A$200,A31,aditivos!$C$2:$C$200,"C1"),2))</f>
        <v/>
      </c>
      <c r="I31" s="167" t="str">
        <f t="shared" si="2"/>
        <v/>
      </c>
      <c r="J31" s="167" t="str">
        <f>IF(A31="","",IF(itens_Remanesc!E31="","",itens_Remanesc!E31))</f>
        <v/>
      </c>
      <c r="K31" s="173" t="str">
        <f t="shared" si="3"/>
        <v/>
      </c>
      <c r="L31" s="165" t="str">
        <f>IF(A31="","",ROUND(SUMIFS(aditivos!$L$2:$L$200,aditivos!$A$2:$A$200,A31,aditivos!$C$2:$C$200,"C2"),2))</f>
        <v/>
      </c>
      <c r="M31" s="161" t="str">
        <f t="shared" si="4"/>
        <v/>
      </c>
      <c r="N31" s="161" t="str">
        <f>IF(A31="","",IF(itens_Remanesc!G31="","",itens_Remanesc!G31))</f>
        <v/>
      </c>
      <c r="O31" s="169" t="str">
        <f t="shared" si="5"/>
        <v/>
      </c>
      <c r="P31" s="171" t="str">
        <f>IF(A31="","",ROUND(SUMIFS(aditivos!$L$2:$L$200,aditivos!$A$2:$A$200,A31,aditivos!$C$2:$C$200,"C3"),2))</f>
        <v/>
      </c>
      <c r="Q31" s="167" t="str">
        <f t="shared" si="6"/>
        <v/>
      </c>
      <c r="R31" s="167" t="str">
        <f>IF(A31="","",IF(itens_Remanesc!I31="","",itens_Remanesc!I31))</f>
        <v/>
      </c>
      <c r="S31" s="173" t="str">
        <f t="shared" si="7"/>
        <v/>
      </c>
      <c r="T31" s="165" t="str">
        <f>IF(A31="","",ROUND(SUMIFS(aditivos!$L$2:$L$200,aditivos!$A$2:$A$200,A31,aditivos!$C$2:$C$200,"C4"),2))</f>
        <v/>
      </c>
      <c r="U31" s="161" t="str">
        <f t="shared" si="8"/>
        <v/>
      </c>
      <c r="V31" s="161" t="str">
        <f>IF(A31="","",IF(itens_Remanesc!K31="","",itens_Remanesc!K31))</f>
        <v/>
      </c>
      <c r="W31" s="161" t="str">
        <f t="shared" si="9"/>
        <v/>
      </c>
      <c r="X31" s="148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1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48" t="str">
        <f>IF(itens_Remanesc!A32="","",itens_Remanesc!A32)</f>
        <v/>
      </c>
      <c r="B32" s="200" t="str">
        <f>IF(A32="","",itens_Remanesc!C32)</f>
        <v/>
      </c>
      <c r="C32" s="163" t="str">
        <f>IF(A32="","",IF(itens_Remanesc!B32="",0,itens_Remanesc!B32))</f>
        <v/>
      </c>
      <c r="D32" s="165" t="str">
        <f>IF(A32="","",ROUND(SUMIFS(aditivos!$L$2:$L$200,aditivos!$A$2:$A$200,A32,aditivos!$C$2:$C$200,"C0"),2))</f>
        <v/>
      </c>
      <c r="E32" s="161" t="str">
        <f t="shared" si="0"/>
        <v/>
      </c>
      <c r="F32" s="161" t="str">
        <f>IF(A32="","",IF(itens_Remanesc!B32&lt;&gt;"",itens_Remanesc!B32,IF($Z32,0,"")))</f>
        <v/>
      </c>
      <c r="G32" s="169" t="str">
        <f t="shared" si="1"/>
        <v/>
      </c>
      <c r="H32" s="171" t="str">
        <f>IF(A32="","",ROUND(SUMIFS(aditivos!$L$2:$L$200,aditivos!$A$2:$A$200,A32,aditivos!$C$2:$C$200,"C1"),2))</f>
        <v/>
      </c>
      <c r="I32" s="167" t="str">
        <f t="shared" si="2"/>
        <v/>
      </c>
      <c r="J32" s="167" t="str">
        <f>IF(A32="","",IF(itens_Remanesc!E32="","",itens_Remanesc!E32))</f>
        <v/>
      </c>
      <c r="K32" s="173" t="str">
        <f t="shared" si="3"/>
        <v/>
      </c>
      <c r="L32" s="165" t="str">
        <f>IF(A32="","",ROUND(SUMIFS(aditivos!$L$2:$L$200,aditivos!$A$2:$A$200,A32,aditivos!$C$2:$C$200,"C2"),2))</f>
        <v/>
      </c>
      <c r="M32" s="161" t="str">
        <f t="shared" si="4"/>
        <v/>
      </c>
      <c r="N32" s="161" t="str">
        <f>IF(A32="","",IF(itens_Remanesc!G32="","",itens_Remanesc!G32))</f>
        <v/>
      </c>
      <c r="O32" s="169" t="str">
        <f t="shared" si="5"/>
        <v/>
      </c>
      <c r="P32" s="171" t="str">
        <f>IF(A32="","",ROUND(SUMIFS(aditivos!$L$2:$L$200,aditivos!$A$2:$A$200,A32,aditivos!$C$2:$C$200,"C3"),2))</f>
        <v/>
      </c>
      <c r="Q32" s="167" t="str">
        <f t="shared" si="6"/>
        <v/>
      </c>
      <c r="R32" s="167" t="str">
        <f>IF(A32="","",IF(itens_Remanesc!I32="","",itens_Remanesc!I32))</f>
        <v/>
      </c>
      <c r="S32" s="173" t="str">
        <f t="shared" si="7"/>
        <v/>
      </c>
      <c r="T32" s="165" t="str">
        <f>IF(A32="","",ROUND(SUMIFS(aditivos!$L$2:$L$200,aditivos!$A$2:$A$200,A32,aditivos!$C$2:$C$200,"C4"),2))</f>
        <v/>
      </c>
      <c r="U32" s="161" t="str">
        <f t="shared" si="8"/>
        <v/>
      </c>
      <c r="V32" s="161" t="str">
        <f>IF(A32="","",IF(itens_Remanesc!K32="","",itens_Remanesc!K32))</f>
        <v/>
      </c>
      <c r="W32" s="161" t="str">
        <f t="shared" si="9"/>
        <v/>
      </c>
      <c r="X32" s="148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1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48" t="str">
        <f>IF(itens_Remanesc!A33="","",itens_Remanesc!A33)</f>
        <v/>
      </c>
      <c r="B33" s="200" t="str">
        <f>IF(A33="","",itens_Remanesc!C33)</f>
        <v/>
      </c>
      <c r="C33" s="163" t="str">
        <f>IF(A33="","",IF(itens_Remanesc!B33="",0,itens_Remanesc!B33))</f>
        <v/>
      </c>
      <c r="D33" s="165" t="str">
        <f>IF(A33="","",ROUND(SUMIFS(aditivos!$L$2:$L$200,aditivos!$A$2:$A$200,A33,aditivos!$C$2:$C$200,"C0"),2))</f>
        <v/>
      </c>
      <c r="E33" s="161" t="str">
        <f t="shared" si="0"/>
        <v/>
      </c>
      <c r="F33" s="161" t="str">
        <f>IF(A33="","",IF(itens_Remanesc!B33&lt;&gt;"",itens_Remanesc!B33,IF($Z33,0,"")))</f>
        <v/>
      </c>
      <c r="G33" s="169" t="str">
        <f t="shared" si="1"/>
        <v/>
      </c>
      <c r="H33" s="171" t="str">
        <f>IF(A33="","",ROUND(SUMIFS(aditivos!$L$2:$L$200,aditivos!$A$2:$A$200,A33,aditivos!$C$2:$C$200,"C1"),2))</f>
        <v/>
      </c>
      <c r="I33" s="167" t="str">
        <f t="shared" si="2"/>
        <v/>
      </c>
      <c r="J33" s="167" t="str">
        <f>IF(A33="","",IF(itens_Remanesc!E33="","",itens_Remanesc!E33))</f>
        <v/>
      </c>
      <c r="K33" s="173" t="str">
        <f t="shared" si="3"/>
        <v/>
      </c>
      <c r="L33" s="165" t="str">
        <f>IF(A33="","",ROUND(SUMIFS(aditivos!$L$2:$L$200,aditivos!$A$2:$A$200,A33,aditivos!$C$2:$C$200,"C2"),2))</f>
        <v/>
      </c>
      <c r="M33" s="161" t="str">
        <f t="shared" si="4"/>
        <v/>
      </c>
      <c r="N33" s="161" t="str">
        <f>IF(A33="","",IF(itens_Remanesc!G33="","",itens_Remanesc!G33))</f>
        <v/>
      </c>
      <c r="O33" s="169" t="str">
        <f t="shared" si="5"/>
        <v/>
      </c>
      <c r="P33" s="171" t="str">
        <f>IF(A33="","",ROUND(SUMIFS(aditivos!$L$2:$L$200,aditivos!$A$2:$A$200,A33,aditivos!$C$2:$C$200,"C3"),2))</f>
        <v/>
      </c>
      <c r="Q33" s="167" t="str">
        <f t="shared" si="6"/>
        <v/>
      </c>
      <c r="R33" s="167" t="str">
        <f>IF(A33="","",IF(itens_Remanesc!I33="","",itens_Remanesc!I33))</f>
        <v/>
      </c>
      <c r="S33" s="173" t="str">
        <f t="shared" si="7"/>
        <v/>
      </c>
      <c r="T33" s="165" t="str">
        <f>IF(A33="","",ROUND(SUMIFS(aditivos!$L$2:$L$200,aditivos!$A$2:$A$200,A33,aditivos!$C$2:$C$200,"C4"),2))</f>
        <v/>
      </c>
      <c r="U33" s="161" t="str">
        <f t="shared" si="8"/>
        <v/>
      </c>
      <c r="V33" s="161" t="str">
        <f>IF(A33="","",IF(itens_Remanesc!K33="","",itens_Remanesc!K33))</f>
        <v/>
      </c>
      <c r="W33" s="161" t="str">
        <f t="shared" si="9"/>
        <v/>
      </c>
      <c r="X33" s="148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1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48" t="str">
        <f>IF(itens_Remanesc!A34="","",itens_Remanesc!A34)</f>
        <v/>
      </c>
      <c r="B34" s="200" t="str">
        <f>IF(A34="","",itens_Remanesc!C34)</f>
        <v/>
      </c>
      <c r="C34" s="163" t="str">
        <f>IF(A34="","",IF(itens_Remanesc!B34="",0,itens_Remanesc!B34))</f>
        <v/>
      </c>
      <c r="D34" s="165" t="str">
        <f>IF(A34="","",ROUND(SUMIFS(aditivos!$L$2:$L$200,aditivos!$A$2:$A$200,A34,aditivos!$C$2:$C$200,"C0"),2))</f>
        <v/>
      </c>
      <c r="E34" s="161" t="str">
        <f t="shared" ref="E34:E65" si="18">IF(A34="","",ROUND(C34+D34,2))</f>
        <v/>
      </c>
      <c r="F34" s="161" t="str">
        <f>IF(A34="","",IF(itens_Remanesc!B34&lt;&gt;"",itens_Remanesc!B34,IF($Z34,0,"")))</f>
        <v/>
      </c>
      <c r="G34" s="169" t="str">
        <f t="shared" ref="G34:G65" si="19">IF(A34="","",IF($Y34="","",IF($Y34&gt;0,"",ROUND(E34,2))))</f>
        <v/>
      </c>
      <c r="H34" s="171" t="str">
        <f>IF(A34="","",ROUND(SUMIFS(aditivos!$L$2:$L$200,aditivos!$A$2:$A$200,A34,aditivos!$C$2:$C$200,"C1"),2))</f>
        <v/>
      </c>
      <c r="I34" s="167" t="str">
        <f t="shared" ref="I34:I65" si="20">IF(A34="","",ROUND(E34+H34,2))</f>
        <v/>
      </c>
      <c r="J34" s="167" t="str">
        <f>IF(A34="","",IF(itens_Remanesc!E34="","",itens_Remanesc!E34))</f>
        <v/>
      </c>
      <c r="K34" s="173" t="str">
        <f t="shared" ref="K34:K65" si="21">IF(A34="","",IF($Y34="","",IF($Y34&gt;1,"",IF(ISNUMBER(J34),ROUND(J34+H34,2),IF($Y34=1,ROUND(H34,2),"")))))</f>
        <v/>
      </c>
      <c r="L34" s="165" t="str">
        <f>IF(A34="","",ROUND(SUMIFS(aditivos!$L$2:$L$200,aditivos!$A$2:$A$200,A34,aditivos!$C$2:$C$200,"C2"),2))</f>
        <v/>
      </c>
      <c r="M34" s="161" t="str">
        <f t="shared" ref="M34:M65" si="22">IF(A34="","",ROUND(I34+L34,2))</f>
        <v/>
      </c>
      <c r="N34" s="161" t="str">
        <f>IF(A34="","",IF(itens_Remanesc!G34="","",itens_Remanesc!G34))</f>
        <v/>
      </c>
      <c r="O34" s="169" t="str">
        <f t="shared" ref="O34:O65" si="23">IF(A34="","",IF($Y34="","",IF($Y34&gt;2,"",IF(ISNUMBER(N34),ROUND(N34+L34,2),IF($Y34=2,ROUND(L34,2),"")))))</f>
        <v/>
      </c>
      <c r="P34" s="171" t="str">
        <f>IF(A34="","",ROUND(SUMIFS(aditivos!$L$2:$L$200,aditivos!$A$2:$A$200,A34,aditivos!$C$2:$C$200,"C3"),2))</f>
        <v/>
      </c>
      <c r="Q34" s="167" t="str">
        <f t="shared" ref="Q34:Q65" si="24">IF(A34="","",ROUND(M34+P34,2))</f>
        <v/>
      </c>
      <c r="R34" s="167" t="str">
        <f>IF(A34="","",IF(itens_Remanesc!I34="","",itens_Remanesc!I34))</f>
        <v/>
      </c>
      <c r="S34" s="173" t="str">
        <f t="shared" ref="S34:S65" si="25">IF(A34="","",IF($Y34="","",IF($Y34&gt;3,"",IF(ISNUMBER(R34),ROUND(R34+P34,2),IF($Y34=3,ROUND(P34,2),"")))))</f>
        <v/>
      </c>
      <c r="T34" s="165" t="str">
        <f>IF(A34="","",ROUND(SUMIFS(aditivos!$L$2:$L$200,aditivos!$A$2:$A$200,A34,aditivos!$C$2:$C$200,"C4"),2))</f>
        <v/>
      </c>
      <c r="U34" s="161" t="str">
        <f t="shared" ref="U34:U65" si="26">IF(A34="","",ROUND(Q34+T34,2))</f>
        <v/>
      </c>
      <c r="V34" s="161" t="str">
        <f>IF(A34="","",IF(itens_Remanesc!K34="","",itens_Remanesc!K34))</f>
        <v/>
      </c>
      <c r="W34" s="161" t="str">
        <f t="shared" ref="W34:W65" si="27">IF(A34="","",IF($Y34="","",IF($Y34&gt;4,"",IF(ISNUMBER(V34),ROUND(V34+T34,2),IF($Y34=4,ROUND(T34,2),"")))))</f>
        <v/>
      </c>
      <c r="X34" s="148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1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48" t="str">
        <f>IF(itens_Remanesc!A35="","",itens_Remanesc!A35)</f>
        <v/>
      </c>
      <c r="B35" s="200" t="str">
        <f>IF(A35="","",itens_Remanesc!C35)</f>
        <v/>
      </c>
      <c r="C35" s="163" t="str">
        <f>IF(A35="","",IF(itens_Remanesc!B35="",0,itens_Remanesc!B35))</f>
        <v/>
      </c>
      <c r="D35" s="165" t="str">
        <f>IF(A35="","",ROUND(SUMIFS(aditivos!$L$2:$L$200,aditivos!$A$2:$A$200,A35,aditivos!$C$2:$C$200,"C0"),2))</f>
        <v/>
      </c>
      <c r="E35" s="161" t="str">
        <f t="shared" si="18"/>
        <v/>
      </c>
      <c r="F35" s="161" t="str">
        <f>IF(A35="","",IF(itens_Remanesc!B35&lt;&gt;"",itens_Remanesc!B35,IF($Z35,0,"")))</f>
        <v/>
      </c>
      <c r="G35" s="169" t="str">
        <f t="shared" si="19"/>
        <v/>
      </c>
      <c r="H35" s="171" t="str">
        <f>IF(A35="","",ROUND(SUMIFS(aditivos!$L$2:$L$200,aditivos!$A$2:$A$200,A35,aditivos!$C$2:$C$200,"C1"),2))</f>
        <v/>
      </c>
      <c r="I35" s="167" t="str">
        <f t="shared" si="20"/>
        <v/>
      </c>
      <c r="J35" s="167" t="str">
        <f>IF(A35="","",IF(itens_Remanesc!E35="","",itens_Remanesc!E35))</f>
        <v/>
      </c>
      <c r="K35" s="173" t="str">
        <f t="shared" si="21"/>
        <v/>
      </c>
      <c r="L35" s="165" t="str">
        <f>IF(A35="","",ROUND(SUMIFS(aditivos!$L$2:$L$200,aditivos!$A$2:$A$200,A35,aditivos!$C$2:$C$200,"C2"),2))</f>
        <v/>
      </c>
      <c r="M35" s="161" t="str">
        <f t="shared" si="22"/>
        <v/>
      </c>
      <c r="N35" s="161" t="str">
        <f>IF(A35="","",IF(itens_Remanesc!G35="","",itens_Remanesc!G35))</f>
        <v/>
      </c>
      <c r="O35" s="169" t="str">
        <f t="shared" si="23"/>
        <v/>
      </c>
      <c r="P35" s="171" t="str">
        <f>IF(A35="","",ROUND(SUMIFS(aditivos!$L$2:$L$200,aditivos!$A$2:$A$200,A35,aditivos!$C$2:$C$200,"C3"),2))</f>
        <v/>
      </c>
      <c r="Q35" s="167" t="str">
        <f t="shared" si="24"/>
        <v/>
      </c>
      <c r="R35" s="167" t="str">
        <f>IF(A35="","",IF(itens_Remanesc!I35="","",itens_Remanesc!I35))</f>
        <v/>
      </c>
      <c r="S35" s="173" t="str">
        <f t="shared" si="25"/>
        <v/>
      </c>
      <c r="T35" s="165" t="str">
        <f>IF(A35="","",ROUND(SUMIFS(aditivos!$L$2:$L$200,aditivos!$A$2:$A$200,A35,aditivos!$C$2:$C$200,"C4"),2))</f>
        <v/>
      </c>
      <c r="U35" s="161" t="str">
        <f t="shared" si="26"/>
        <v/>
      </c>
      <c r="V35" s="161" t="str">
        <f>IF(A35="","",IF(itens_Remanesc!K35="","",itens_Remanesc!K35))</f>
        <v/>
      </c>
      <c r="W35" s="161" t="str">
        <f t="shared" si="27"/>
        <v/>
      </c>
      <c r="X35" s="148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1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48" t="str">
        <f>IF(itens_Remanesc!A36="","",itens_Remanesc!A36)</f>
        <v/>
      </c>
      <c r="B36" s="200" t="str">
        <f>IF(A36="","",itens_Remanesc!C36)</f>
        <v/>
      </c>
      <c r="C36" s="163" t="str">
        <f>IF(A36="","",IF(itens_Remanesc!B36="",0,itens_Remanesc!B36))</f>
        <v/>
      </c>
      <c r="D36" s="165" t="str">
        <f>IF(A36="","",ROUND(SUMIFS(aditivos!$L$2:$L$200,aditivos!$A$2:$A$200,A36,aditivos!$C$2:$C$200,"C0"),2))</f>
        <v/>
      </c>
      <c r="E36" s="161" t="str">
        <f t="shared" si="18"/>
        <v/>
      </c>
      <c r="F36" s="161" t="str">
        <f>IF(A36="","",IF(itens_Remanesc!B36&lt;&gt;"",itens_Remanesc!B36,IF($Z36,0,"")))</f>
        <v/>
      </c>
      <c r="G36" s="169" t="str">
        <f t="shared" si="19"/>
        <v/>
      </c>
      <c r="H36" s="171" t="str">
        <f>IF(A36="","",ROUND(SUMIFS(aditivos!$L$2:$L$200,aditivos!$A$2:$A$200,A36,aditivos!$C$2:$C$200,"C1"),2))</f>
        <v/>
      </c>
      <c r="I36" s="167" t="str">
        <f t="shared" si="20"/>
        <v/>
      </c>
      <c r="J36" s="167" t="str">
        <f>IF(A36="","",IF(itens_Remanesc!E36="","",itens_Remanesc!E36))</f>
        <v/>
      </c>
      <c r="K36" s="173" t="str">
        <f t="shared" si="21"/>
        <v/>
      </c>
      <c r="L36" s="165" t="str">
        <f>IF(A36="","",ROUND(SUMIFS(aditivos!$L$2:$L$200,aditivos!$A$2:$A$200,A36,aditivos!$C$2:$C$200,"C2"),2))</f>
        <v/>
      </c>
      <c r="M36" s="161" t="str">
        <f t="shared" si="22"/>
        <v/>
      </c>
      <c r="N36" s="161" t="str">
        <f>IF(A36="","",IF(itens_Remanesc!G36="","",itens_Remanesc!G36))</f>
        <v/>
      </c>
      <c r="O36" s="169" t="str">
        <f t="shared" si="23"/>
        <v/>
      </c>
      <c r="P36" s="171" t="str">
        <f>IF(A36="","",ROUND(SUMIFS(aditivos!$L$2:$L$200,aditivos!$A$2:$A$200,A36,aditivos!$C$2:$C$200,"C3"),2))</f>
        <v/>
      </c>
      <c r="Q36" s="167" t="str">
        <f t="shared" si="24"/>
        <v/>
      </c>
      <c r="R36" s="167" t="str">
        <f>IF(A36="","",IF(itens_Remanesc!I36="","",itens_Remanesc!I36))</f>
        <v/>
      </c>
      <c r="S36" s="173" t="str">
        <f t="shared" si="25"/>
        <v/>
      </c>
      <c r="T36" s="165" t="str">
        <f>IF(A36="","",ROUND(SUMIFS(aditivos!$L$2:$L$200,aditivos!$A$2:$A$200,A36,aditivos!$C$2:$C$200,"C4"),2))</f>
        <v/>
      </c>
      <c r="U36" s="161" t="str">
        <f t="shared" si="26"/>
        <v/>
      </c>
      <c r="V36" s="161" t="str">
        <f>IF(A36="","",IF(itens_Remanesc!K36="","",itens_Remanesc!K36))</f>
        <v/>
      </c>
      <c r="W36" s="161" t="str">
        <f t="shared" si="27"/>
        <v/>
      </c>
      <c r="X36" s="148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1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48" t="str">
        <f>IF(itens_Remanesc!A37="","",itens_Remanesc!A37)</f>
        <v/>
      </c>
      <c r="B37" s="200" t="str">
        <f>IF(A37="","",itens_Remanesc!C37)</f>
        <v/>
      </c>
      <c r="C37" s="163" t="str">
        <f>IF(A37="","",IF(itens_Remanesc!B37="",0,itens_Remanesc!B37))</f>
        <v/>
      </c>
      <c r="D37" s="165" t="str">
        <f>IF(A37="","",ROUND(SUMIFS(aditivos!$L$2:$L$200,aditivos!$A$2:$A$200,A37,aditivos!$C$2:$C$200,"C0"),2))</f>
        <v/>
      </c>
      <c r="E37" s="161" t="str">
        <f t="shared" si="18"/>
        <v/>
      </c>
      <c r="F37" s="161" t="str">
        <f>IF(A37="","",IF(itens_Remanesc!B37&lt;&gt;"",itens_Remanesc!B37,IF($Z37,0,"")))</f>
        <v/>
      </c>
      <c r="G37" s="169" t="str">
        <f t="shared" si="19"/>
        <v/>
      </c>
      <c r="H37" s="171" t="str">
        <f>IF(A37="","",ROUND(SUMIFS(aditivos!$L$2:$L$200,aditivos!$A$2:$A$200,A37,aditivos!$C$2:$C$200,"C1"),2))</f>
        <v/>
      </c>
      <c r="I37" s="167" t="str">
        <f t="shared" si="20"/>
        <v/>
      </c>
      <c r="J37" s="167" t="str">
        <f>IF(A37="","",IF(itens_Remanesc!E37="","",itens_Remanesc!E37))</f>
        <v/>
      </c>
      <c r="K37" s="173" t="str">
        <f t="shared" si="21"/>
        <v/>
      </c>
      <c r="L37" s="165" t="str">
        <f>IF(A37="","",ROUND(SUMIFS(aditivos!$L$2:$L$200,aditivos!$A$2:$A$200,A37,aditivos!$C$2:$C$200,"C2"),2))</f>
        <v/>
      </c>
      <c r="M37" s="161" t="str">
        <f t="shared" si="22"/>
        <v/>
      </c>
      <c r="N37" s="161" t="str">
        <f>IF(A37="","",IF(itens_Remanesc!G37="","",itens_Remanesc!G37))</f>
        <v/>
      </c>
      <c r="O37" s="169" t="str">
        <f t="shared" si="23"/>
        <v/>
      </c>
      <c r="P37" s="171" t="str">
        <f>IF(A37="","",ROUND(SUMIFS(aditivos!$L$2:$L$200,aditivos!$A$2:$A$200,A37,aditivos!$C$2:$C$200,"C3"),2))</f>
        <v/>
      </c>
      <c r="Q37" s="167" t="str">
        <f t="shared" si="24"/>
        <v/>
      </c>
      <c r="R37" s="167" t="str">
        <f>IF(A37="","",IF(itens_Remanesc!I37="","",itens_Remanesc!I37))</f>
        <v/>
      </c>
      <c r="S37" s="173" t="str">
        <f t="shared" si="25"/>
        <v/>
      </c>
      <c r="T37" s="165" t="str">
        <f>IF(A37="","",ROUND(SUMIFS(aditivos!$L$2:$L$200,aditivos!$A$2:$A$200,A37,aditivos!$C$2:$C$200,"C4"),2))</f>
        <v/>
      </c>
      <c r="U37" s="161" t="str">
        <f t="shared" si="26"/>
        <v/>
      </c>
      <c r="V37" s="161" t="str">
        <f>IF(A37="","",IF(itens_Remanesc!K37="","",itens_Remanesc!K37))</f>
        <v/>
      </c>
      <c r="W37" s="161" t="str">
        <f t="shared" si="27"/>
        <v/>
      </c>
      <c r="X37" s="148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1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48" t="str">
        <f>IF(itens_Remanesc!A38="","",itens_Remanesc!A38)</f>
        <v/>
      </c>
      <c r="B38" s="200" t="str">
        <f>IF(A38="","",itens_Remanesc!C38)</f>
        <v/>
      </c>
      <c r="C38" s="163" t="str">
        <f>IF(A38="","",IF(itens_Remanesc!B38="",0,itens_Remanesc!B38))</f>
        <v/>
      </c>
      <c r="D38" s="165" t="str">
        <f>IF(A38="","",ROUND(SUMIFS(aditivos!$L$2:$L$200,aditivos!$A$2:$A$200,A38,aditivos!$C$2:$C$200,"C0"),2))</f>
        <v/>
      </c>
      <c r="E38" s="161" t="str">
        <f t="shared" si="18"/>
        <v/>
      </c>
      <c r="F38" s="161" t="str">
        <f>IF(A38="","",IF(itens_Remanesc!B38&lt;&gt;"",itens_Remanesc!B38,IF($Z38,0,"")))</f>
        <v/>
      </c>
      <c r="G38" s="169" t="str">
        <f t="shared" si="19"/>
        <v/>
      </c>
      <c r="H38" s="171" t="str">
        <f>IF(A38="","",ROUND(SUMIFS(aditivos!$L$2:$L$200,aditivos!$A$2:$A$200,A38,aditivos!$C$2:$C$200,"C1"),2))</f>
        <v/>
      </c>
      <c r="I38" s="167" t="str">
        <f t="shared" si="20"/>
        <v/>
      </c>
      <c r="J38" s="167" t="str">
        <f>IF(A38="","",IF(itens_Remanesc!E38="","",itens_Remanesc!E38))</f>
        <v/>
      </c>
      <c r="K38" s="173" t="str">
        <f t="shared" si="21"/>
        <v/>
      </c>
      <c r="L38" s="165" t="str">
        <f>IF(A38="","",ROUND(SUMIFS(aditivos!$L$2:$L$200,aditivos!$A$2:$A$200,A38,aditivos!$C$2:$C$200,"C2"),2))</f>
        <v/>
      </c>
      <c r="M38" s="161" t="str">
        <f t="shared" si="22"/>
        <v/>
      </c>
      <c r="N38" s="161" t="str">
        <f>IF(A38="","",IF(itens_Remanesc!G38="","",itens_Remanesc!G38))</f>
        <v/>
      </c>
      <c r="O38" s="169" t="str">
        <f t="shared" si="23"/>
        <v/>
      </c>
      <c r="P38" s="171" t="str">
        <f>IF(A38="","",ROUND(SUMIFS(aditivos!$L$2:$L$200,aditivos!$A$2:$A$200,A38,aditivos!$C$2:$C$200,"C3"),2))</f>
        <v/>
      </c>
      <c r="Q38" s="167" t="str">
        <f t="shared" si="24"/>
        <v/>
      </c>
      <c r="R38" s="167" t="str">
        <f>IF(A38="","",IF(itens_Remanesc!I38="","",itens_Remanesc!I38))</f>
        <v/>
      </c>
      <c r="S38" s="173" t="str">
        <f t="shared" si="25"/>
        <v/>
      </c>
      <c r="T38" s="165" t="str">
        <f>IF(A38="","",ROUND(SUMIFS(aditivos!$L$2:$L$200,aditivos!$A$2:$A$200,A38,aditivos!$C$2:$C$200,"C4"),2))</f>
        <v/>
      </c>
      <c r="U38" s="161" t="str">
        <f t="shared" si="26"/>
        <v/>
      </c>
      <c r="V38" s="161" t="str">
        <f>IF(A38="","",IF(itens_Remanesc!K38="","",itens_Remanesc!K38))</f>
        <v/>
      </c>
      <c r="W38" s="161" t="str">
        <f t="shared" si="27"/>
        <v/>
      </c>
      <c r="X38" s="148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1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48" t="str">
        <f>IF(itens_Remanesc!A39="","",itens_Remanesc!A39)</f>
        <v/>
      </c>
      <c r="B39" s="200" t="str">
        <f>IF(A39="","",itens_Remanesc!C39)</f>
        <v/>
      </c>
      <c r="C39" s="163" t="str">
        <f>IF(A39="","",IF(itens_Remanesc!B39="",0,itens_Remanesc!B39))</f>
        <v/>
      </c>
      <c r="D39" s="165" t="str">
        <f>IF(A39="","",ROUND(SUMIFS(aditivos!$L$2:$L$200,aditivos!$A$2:$A$200,A39,aditivos!$C$2:$C$200,"C0"),2))</f>
        <v/>
      </c>
      <c r="E39" s="161" t="str">
        <f t="shared" si="18"/>
        <v/>
      </c>
      <c r="F39" s="161" t="str">
        <f>IF(A39="","",IF(itens_Remanesc!B39&lt;&gt;"",itens_Remanesc!B39,IF($Z39,0,"")))</f>
        <v/>
      </c>
      <c r="G39" s="169" t="str">
        <f t="shared" si="19"/>
        <v/>
      </c>
      <c r="H39" s="171" t="str">
        <f>IF(A39="","",ROUND(SUMIFS(aditivos!$L$2:$L$200,aditivos!$A$2:$A$200,A39,aditivos!$C$2:$C$200,"C1"),2))</f>
        <v/>
      </c>
      <c r="I39" s="167" t="str">
        <f t="shared" si="20"/>
        <v/>
      </c>
      <c r="J39" s="167" t="str">
        <f>IF(A39="","",IF(itens_Remanesc!E39="","",itens_Remanesc!E39))</f>
        <v/>
      </c>
      <c r="K39" s="173" t="str">
        <f t="shared" si="21"/>
        <v/>
      </c>
      <c r="L39" s="165" t="str">
        <f>IF(A39="","",ROUND(SUMIFS(aditivos!$L$2:$L$200,aditivos!$A$2:$A$200,A39,aditivos!$C$2:$C$200,"C2"),2))</f>
        <v/>
      </c>
      <c r="M39" s="161" t="str">
        <f t="shared" si="22"/>
        <v/>
      </c>
      <c r="N39" s="161" t="str">
        <f>IF(A39="","",IF(itens_Remanesc!G39="","",itens_Remanesc!G39))</f>
        <v/>
      </c>
      <c r="O39" s="169" t="str">
        <f t="shared" si="23"/>
        <v/>
      </c>
      <c r="P39" s="171" t="str">
        <f>IF(A39="","",ROUND(SUMIFS(aditivos!$L$2:$L$200,aditivos!$A$2:$A$200,A39,aditivos!$C$2:$C$200,"C3"),2))</f>
        <v/>
      </c>
      <c r="Q39" s="167" t="str">
        <f t="shared" si="24"/>
        <v/>
      </c>
      <c r="R39" s="167" t="str">
        <f>IF(A39="","",IF(itens_Remanesc!I39="","",itens_Remanesc!I39))</f>
        <v/>
      </c>
      <c r="S39" s="173" t="str">
        <f t="shared" si="25"/>
        <v/>
      </c>
      <c r="T39" s="165" t="str">
        <f>IF(A39="","",ROUND(SUMIFS(aditivos!$L$2:$L$200,aditivos!$A$2:$A$200,A39,aditivos!$C$2:$C$200,"C4"),2))</f>
        <v/>
      </c>
      <c r="U39" s="161" t="str">
        <f t="shared" si="26"/>
        <v/>
      </c>
      <c r="V39" s="161" t="str">
        <f>IF(A39="","",IF(itens_Remanesc!K39="","",itens_Remanesc!K39))</f>
        <v/>
      </c>
      <c r="W39" s="161" t="str">
        <f t="shared" si="27"/>
        <v/>
      </c>
      <c r="X39" s="148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1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48" t="str">
        <f>IF(itens_Remanesc!A40="","",itens_Remanesc!A40)</f>
        <v/>
      </c>
      <c r="B40" s="200" t="str">
        <f>IF(A40="","",itens_Remanesc!C40)</f>
        <v/>
      </c>
      <c r="C40" s="163" t="str">
        <f>IF(A40="","",IF(itens_Remanesc!B40="",0,itens_Remanesc!B40))</f>
        <v/>
      </c>
      <c r="D40" s="165" t="str">
        <f>IF(A40="","",ROUND(SUMIFS(aditivos!$L$2:$L$200,aditivos!$A$2:$A$200,A40,aditivos!$C$2:$C$200,"C0"),2))</f>
        <v/>
      </c>
      <c r="E40" s="161" t="str">
        <f t="shared" si="18"/>
        <v/>
      </c>
      <c r="F40" s="161" t="str">
        <f>IF(A40="","",IF(itens_Remanesc!B40&lt;&gt;"",itens_Remanesc!B40,IF($Z40,0,"")))</f>
        <v/>
      </c>
      <c r="G40" s="169" t="str">
        <f t="shared" si="19"/>
        <v/>
      </c>
      <c r="H40" s="171" t="str">
        <f>IF(A40="","",ROUND(SUMIFS(aditivos!$L$2:$L$200,aditivos!$A$2:$A$200,A40,aditivos!$C$2:$C$200,"C1"),2))</f>
        <v/>
      </c>
      <c r="I40" s="167" t="str">
        <f t="shared" si="20"/>
        <v/>
      </c>
      <c r="J40" s="167" t="str">
        <f>IF(A40="","",IF(itens_Remanesc!E40="","",itens_Remanesc!E40))</f>
        <v/>
      </c>
      <c r="K40" s="173" t="str">
        <f t="shared" si="21"/>
        <v/>
      </c>
      <c r="L40" s="165" t="str">
        <f>IF(A40="","",ROUND(SUMIFS(aditivos!$L$2:$L$200,aditivos!$A$2:$A$200,A40,aditivos!$C$2:$C$200,"C2"),2))</f>
        <v/>
      </c>
      <c r="M40" s="161" t="str">
        <f t="shared" si="22"/>
        <v/>
      </c>
      <c r="N40" s="161" t="str">
        <f>IF(A40="","",IF(itens_Remanesc!G40="","",itens_Remanesc!G40))</f>
        <v/>
      </c>
      <c r="O40" s="169" t="str">
        <f t="shared" si="23"/>
        <v/>
      </c>
      <c r="P40" s="171" t="str">
        <f>IF(A40="","",ROUND(SUMIFS(aditivos!$L$2:$L$200,aditivos!$A$2:$A$200,A40,aditivos!$C$2:$C$200,"C3"),2))</f>
        <v/>
      </c>
      <c r="Q40" s="167" t="str">
        <f t="shared" si="24"/>
        <v/>
      </c>
      <c r="R40" s="167" t="str">
        <f>IF(A40="","",IF(itens_Remanesc!I40="","",itens_Remanesc!I40))</f>
        <v/>
      </c>
      <c r="S40" s="173" t="str">
        <f t="shared" si="25"/>
        <v/>
      </c>
      <c r="T40" s="165" t="str">
        <f>IF(A40="","",ROUND(SUMIFS(aditivos!$L$2:$L$200,aditivos!$A$2:$A$200,A40,aditivos!$C$2:$C$200,"C4"),2))</f>
        <v/>
      </c>
      <c r="U40" s="161" t="str">
        <f t="shared" si="26"/>
        <v/>
      </c>
      <c r="V40" s="161" t="str">
        <f>IF(A40="","",IF(itens_Remanesc!K40="","",itens_Remanesc!K40))</f>
        <v/>
      </c>
      <c r="W40" s="161" t="str">
        <f t="shared" si="27"/>
        <v/>
      </c>
      <c r="X40" s="148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1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48" t="str">
        <f>IF(itens_Remanesc!A41="","",itens_Remanesc!A41)</f>
        <v/>
      </c>
      <c r="B41" s="200" t="str">
        <f>IF(A41="","",itens_Remanesc!C41)</f>
        <v/>
      </c>
      <c r="C41" s="163" t="str">
        <f>IF(A41="","",IF(itens_Remanesc!B41="",0,itens_Remanesc!B41))</f>
        <v/>
      </c>
      <c r="D41" s="165" t="str">
        <f>IF(A41="","",ROUND(SUMIFS(aditivos!$L$2:$L$200,aditivos!$A$2:$A$200,A41,aditivos!$C$2:$C$200,"C0"),2))</f>
        <v/>
      </c>
      <c r="E41" s="161" t="str">
        <f t="shared" si="18"/>
        <v/>
      </c>
      <c r="F41" s="161" t="str">
        <f>IF(A41="","",IF(itens_Remanesc!B41&lt;&gt;"",itens_Remanesc!B41,IF($Z41,0,"")))</f>
        <v/>
      </c>
      <c r="G41" s="169" t="str">
        <f t="shared" si="19"/>
        <v/>
      </c>
      <c r="H41" s="171" t="str">
        <f>IF(A41="","",ROUND(SUMIFS(aditivos!$L$2:$L$200,aditivos!$A$2:$A$200,A41,aditivos!$C$2:$C$200,"C1"),2))</f>
        <v/>
      </c>
      <c r="I41" s="167" t="str">
        <f t="shared" si="20"/>
        <v/>
      </c>
      <c r="J41" s="167" t="str">
        <f>IF(A41="","",IF(itens_Remanesc!E41="","",itens_Remanesc!E41))</f>
        <v/>
      </c>
      <c r="K41" s="173" t="str">
        <f t="shared" si="21"/>
        <v/>
      </c>
      <c r="L41" s="165" t="str">
        <f>IF(A41="","",ROUND(SUMIFS(aditivos!$L$2:$L$200,aditivos!$A$2:$A$200,A41,aditivos!$C$2:$C$200,"C2"),2))</f>
        <v/>
      </c>
      <c r="M41" s="161" t="str">
        <f t="shared" si="22"/>
        <v/>
      </c>
      <c r="N41" s="161" t="str">
        <f>IF(A41="","",IF(itens_Remanesc!G41="","",itens_Remanesc!G41))</f>
        <v/>
      </c>
      <c r="O41" s="169" t="str">
        <f t="shared" si="23"/>
        <v/>
      </c>
      <c r="P41" s="171" t="str">
        <f>IF(A41="","",ROUND(SUMIFS(aditivos!$L$2:$L$200,aditivos!$A$2:$A$200,A41,aditivos!$C$2:$C$200,"C3"),2))</f>
        <v/>
      </c>
      <c r="Q41" s="167" t="str">
        <f t="shared" si="24"/>
        <v/>
      </c>
      <c r="R41" s="167" t="str">
        <f>IF(A41="","",IF(itens_Remanesc!I41="","",itens_Remanesc!I41))</f>
        <v/>
      </c>
      <c r="S41" s="173" t="str">
        <f t="shared" si="25"/>
        <v/>
      </c>
      <c r="T41" s="165" t="str">
        <f>IF(A41="","",ROUND(SUMIFS(aditivos!$L$2:$L$200,aditivos!$A$2:$A$200,A41,aditivos!$C$2:$C$200,"C4"),2))</f>
        <v/>
      </c>
      <c r="U41" s="161" t="str">
        <f t="shared" si="26"/>
        <v/>
      </c>
      <c r="V41" s="161" t="str">
        <f>IF(A41="","",IF(itens_Remanesc!K41="","",itens_Remanesc!K41))</f>
        <v/>
      </c>
      <c r="W41" s="161" t="str">
        <f t="shared" si="27"/>
        <v/>
      </c>
      <c r="X41" s="148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1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48" t="str">
        <f>IF(itens_Remanesc!A42="","",itens_Remanesc!A42)</f>
        <v/>
      </c>
      <c r="B42" s="200" t="str">
        <f>IF(A42="","",itens_Remanesc!C42)</f>
        <v/>
      </c>
      <c r="C42" s="163" t="str">
        <f>IF(A42="","",IF(itens_Remanesc!B42="",0,itens_Remanesc!B42))</f>
        <v/>
      </c>
      <c r="D42" s="165" t="str">
        <f>IF(A42="","",ROUND(SUMIFS(aditivos!$L$2:$L$200,aditivos!$A$2:$A$200,A42,aditivos!$C$2:$C$200,"C0"),2))</f>
        <v/>
      </c>
      <c r="E42" s="161" t="str">
        <f t="shared" si="18"/>
        <v/>
      </c>
      <c r="F42" s="161" t="str">
        <f>IF(A42="","",IF(itens_Remanesc!B42&lt;&gt;"",itens_Remanesc!B42,IF($Z42,0,"")))</f>
        <v/>
      </c>
      <c r="G42" s="169" t="str">
        <f t="shared" si="19"/>
        <v/>
      </c>
      <c r="H42" s="171" t="str">
        <f>IF(A42="","",ROUND(SUMIFS(aditivos!$L$2:$L$200,aditivos!$A$2:$A$200,A42,aditivos!$C$2:$C$200,"C1"),2))</f>
        <v/>
      </c>
      <c r="I42" s="167" t="str">
        <f t="shared" si="20"/>
        <v/>
      </c>
      <c r="J42" s="167" t="str">
        <f>IF(A42="","",IF(itens_Remanesc!E42="","",itens_Remanesc!E42))</f>
        <v/>
      </c>
      <c r="K42" s="173" t="str">
        <f t="shared" si="21"/>
        <v/>
      </c>
      <c r="L42" s="165" t="str">
        <f>IF(A42="","",ROUND(SUMIFS(aditivos!$L$2:$L$200,aditivos!$A$2:$A$200,A42,aditivos!$C$2:$C$200,"C2"),2))</f>
        <v/>
      </c>
      <c r="M42" s="161" t="str">
        <f t="shared" si="22"/>
        <v/>
      </c>
      <c r="N42" s="161" t="str">
        <f>IF(A42="","",IF(itens_Remanesc!G42="","",itens_Remanesc!G42))</f>
        <v/>
      </c>
      <c r="O42" s="169" t="str">
        <f t="shared" si="23"/>
        <v/>
      </c>
      <c r="P42" s="171" t="str">
        <f>IF(A42="","",ROUND(SUMIFS(aditivos!$L$2:$L$200,aditivos!$A$2:$A$200,A42,aditivos!$C$2:$C$200,"C3"),2))</f>
        <v/>
      </c>
      <c r="Q42" s="167" t="str">
        <f t="shared" si="24"/>
        <v/>
      </c>
      <c r="R42" s="167" t="str">
        <f>IF(A42="","",IF(itens_Remanesc!I42="","",itens_Remanesc!I42))</f>
        <v/>
      </c>
      <c r="S42" s="173" t="str">
        <f t="shared" si="25"/>
        <v/>
      </c>
      <c r="T42" s="165" t="str">
        <f>IF(A42="","",ROUND(SUMIFS(aditivos!$L$2:$L$200,aditivos!$A$2:$A$200,A42,aditivos!$C$2:$C$200,"C4"),2))</f>
        <v/>
      </c>
      <c r="U42" s="161" t="str">
        <f t="shared" si="26"/>
        <v/>
      </c>
      <c r="V42" s="161" t="str">
        <f>IF(A42="","",IF(itens_Remanesc!K42="","",itens_Remanesc!K42))</f>
        <v/>
      </c>
      <c r="W42" s="161" t="str">
        <f t="shared" si="27"/>
        <v/>
      </c>
      <c r="X42" s="148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1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48" t="str">
        <f>IF(itens_Remanesc!A43="","",itens_Remanesc!A43)</f>
        <v/>
      </c>
      <c r="B43" s="200" t="str">
        <f>IF(A43="","",itens_Remanesc!C43)</f>
        <v/>
      </c>
      <c r="C43" s="163" t="str">
        <f>IF(A43="","",IF(itens_Remanesc!B43="",0,itens_Remanesc!B43))</f>
        <v/>
      </c>
      <c r="D43" s="165" t="str">
        <f>IF(A43="","",ROUND(SUMIFS(aditivos!$L$2:$L$200,aditivos!$A$2:$A$200,A43,aditivos!$C$2:$C$200,"C0"),2))</f>
        <v/>
      </c>
      <c r="E43" s="161" t="str">
        <f t="shared" si="18"/>
        <v/>
      </c>
      <c r="F43" s="161" t="str">
        <f>IF(A43="","",IF(itens_Remanesc!B43&lt;&gt;"",itens_Remanesc!B43,IF($Z43,0,"")))</f>
        <v/>
      </c>
      <c r="G43" s="169" t="str">
        <f t="shared" si="19"/>
        <v/>
      </c>
      <c r="H43" s="171" t="str">
        <f>IF(A43="","",ROUND(SUMIFS(aditivos!$L$2:$L$200,aditivos!$A$2:$A$200,A43,aditivos!$C$2:$C$200,"C1"),2))</f>
        <v/>
      </c>
      <c r="I43" s="167" t="str">
        <f t="shared" si="20"/>
        <v/>
      </c>
      <c r="J43" s="167" t="str">
        <f>IF(A43="","",IF(itens_Remanesc!E43="","",itens_Remanesc!E43))</f>
        <v/>
      </c>
      <c r="K43" s="173" t="str">
        <f t="shared" si="21"/>
        <v/>
      </c>
      <c r="L43" s="165" t="str">
        <f>IF(A43="","",ROUND(SUMIFS(aditivos!$L$2:$L$200,aditivos!$A$2:$A$200,A43,aditivos!$C$2:$C$200,"C2"),2))</f>
        <v/>
      </c>
      <c r="M43" s="161" t="str">
        <f t="shared" si="22"/>
        <v/>
      </c>
      <c r="N43" s="161" t="str">
        <f>IF(A43="","",IF(itens_Remanesc!G43="","",itens_Remanesc!G43))</f>
        <v/>
      </c>
      <c r="O43" s="169" t="str">
        <f t="shared" si="23"/>
        <v/>
      </c>
      <c r="P43" s="171" t="str">
        <f>IF(A43="","",ROUND(SUMIFS(aditivos!$L$2:$L$200,aditivos!$A$2:$A$200,A43,aditivos!$C$2:$C$200,"C3"),2))</f>
        <v/>
      </c>
      <c r="Q43" s="167" t="str">
        <f t="shared" si="24"/>
        <v/>
      </c>
      <c r="R43" s="167" t="str">
        <f>IF(A43="","",IF(itens_Remanesc!I43="","",itens_Remanesc!I43))</f>
        <v/>
      </c>
      <c r="S43" s="173" t="str">
        <f t="shared" si="25"/>
        <v/>
      </c>
      <c r="T43" s="165" t="str">
        <f>IF(A43="","",ROUND(SUMIFS(aditivos!$L$2:$L$200,aditivos!$A$2:$A$200,A43,aditivos!$C$2:$C$200,"C4"),2))</f>
        <v/>
      </c>
      <c r="U43" s="161" t="str">
        <f t="shared" si="26"/>
        <v/>
      </c>
      <c r="V43" s="161" t="str">
        <f>IF(A43="","",IF(itens_Remanesc!K43="","",itens_Remanesc!K43))</f>
        <v/>
      </c>
      <c r="W43" s="161" t="str">
        <f t="shared" si="27"/>
        <v/>
      </c>
      <c r="X43" s="148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1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48" t="str">
        <f>IF(itens_Remanesc!A44="","",itens_Remanesc!A44)</f>
        <v/>
      </c>
      <c r="B44" s="200" t="str">
        <f>IF(A44="","",itens_Remanesc!C44)</f>
        <v/>
      </c>
      <c r="C44" s="163" t="str">
        <f>IF(A44="","",IF(itens_Remanesc!B44="",0,itens_Remanesc!B44))</f>
        <v/>
      </c>
      <c r="D44" s="165" t="str">
        <f>IF(A44="","",ROUND(SUMIFS(aditivos!$L$2:$L$200,aditivos!$A$2:$A$200,A44,aditivos!$C$2:$C$200,"C0"),2))</f>
        <v/>
      </c>
      <c r="E44" s="161" t="str">
        <f t="shared" si="18"/>
        <v/>
      </c>
      <c r="F44" s="161" t="str">
        <f>IF(A44="","",IF(itens_Remanesc!B44&lt;&gt;"",itens_Remanesc!B44,IF($Z44,0,"")))</f>
        <v/>
      </c>
      <c r="G44" s="169" t="str">
        <f t="shared" si="19"/>
        <v/>
      </c>
      <c r="H44" s="171" t="str">
        <f>IF(A44="","",ROUND(SUMIFS(aditivos!$L$2:$L$200,aditivos!$A$2:$A$200,A44,aditivos!$C$2:$C$200,"C1"),2))</f>
        <v/>
      </c>
      <c r="I44" s="167" t="str">
        <f t="shared" si="20"/>
        <v/>
      </c>
      <c r="J44" s="167" t="str">
        <f>IF(A44="","",IF(itens_Remanesc!E44="","",itens_Remanesc!E44))</f>
        <v/>
      </c>
      <c r="K44" s="173" t="str">
        <f t="shared" si="21"/>
        <v/>
      </c>
      <c r="L44" s="165" t="str">
        <f>IF(A44="","",ROUND(SUMIFS(aditivos!$L$2:$L$200,aditivos!$A$2:$A$200,A44,aditivos!$C$2:$C$200,"C2"),2))</f>
        <v/>
      </c>
      <c r="M44" s="161" t="str">
        <f t="shared" si="22"/>
        <v/>
      </c>
      <c r="N44" s="161" t="str">
        <f>IF(A44="","",IF(itens_Remanesc!G44="","",itens_Remanesc!G44))</f>
        <v/>
      </c>
      <c r="O44" s="169" t="str">
        <f t="shared" si="23"/>
        <v/>
      </c>
      <c r="P44" s="171" t="str">
        <f>IF(A44="","",ROUND(SUMIFS(aditivos!$L$2:$L$200,aditivos!$A$2:$A$200,A44,aditivos!$C$2:$C$200,"C3"),2))</f>
        <v/>
      </c>
      <c r="Q44" s="167" t="str">
        <f t="shared" si="24"/>
        <v/>
      </c>
      <c r="R44" s="167" t="str">
        <f>IF(A44="","",IF(itens_Remanesc!I44="","",itens_Remanesc!I44))</f>
        <v/>
      </c>
      <c r="S44" s="173" t="str">
        <f t="shared" si="25"/>
        <v/>
      </c>
      <c r="T44" s="165" t="str">
        <f>IF(A44="","",ROUND(SUMIFS(aditivos!$L$2:$L$200,aditivos!$A$2:$A$200,A44,aditivos!$C$2:$C$200,"C4"),2))</f>
        <v/>
      </c>
      <c r="U44" s="161" t="str">
        <f t="shared" si="26"/>
        <v/>
      </c>
      <c r="V44" s="161" t="str">
        <f>IF(A44="","",IF(itens_Remanesc!K44="","",itens_Remanesc!K44))</f>
        <v/>
      </c>
      <c r="W44" s="161" t="str">
        <f t="shared" si="27"/>
        <v/>
      </c>
      <c r="X44" s="148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1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48" t="str">
        <f>IF(itens_Remanesc!A45="","",itens_Remanesc!A45)</f>
        <v/>
      </c>
      <c r="B45" s="200" t="str">
        <f>IF(A45="","",itens_Remanesc!C45)</f>
        <v/>
      </c>
      <c r="C45" s="163" t="str">
        <f>IF(A45="","",IF(itens_Remanesc!B45="",0,itens_Remanesc!B45))</f>
        <v/>
      </c>
      <c r="D45" s="165" t="str">
        <f>IF(A45="","",ROUND(SUMIFS(aditivos!$L$2:$L$200,aditivos!$A$2:$A$200,A45,aditivos!$C$2:$C$200,"C0"),2))</f>
        <v/>
      </c>
      <c r="E45" s="161" t="str">
        <f t="shared" si="18"/>
        <v/>
      </c>
      <c r="F45" s="161" t="str">
        <f>IF(A45="","",IF(itens_Remanesc!B45&lt;&gt;"",itens_Remanesc!B45,IF($Z45,0,"")))</f>
        <v/>
      </c>
      <c r="G45" s="169" t="str">
        <f t="shared" si="19"/>
        <v/>
      </c>
      <c r="H45" s="171" t="str">
        <f>IF(A45="","",ROUND(SUMIFS(aditivos!$L$2:$L$200,aditivos!$A$2:$A$200,A45,aditivos!$C$2:$C$200,"C1"),2))</f>
        <v/>
      </c>
      <c r="I45" s="167" t="str">
        <f t="shared" si="20"/>
        <v/>
      </c>
      <c r="J45" s="167" t="str">
        <f>IF(A45="","",IF(itens_Remanesc!E45="","",itens_Remanesc!E45))</f>
        <v/>
      </c>
      <c r="K45" s="173" t="str">
        <f t="shared" si="21"/>
        <v/>
      </c>
      <c r="L45" s="165" t="str">
        <f>IF(A45="","",ROUND(SUMIFS(aditivos!$L$2:$L$200,aditivos!$A$2:$A$200,A45,aditivos!$C$2:$C$200,"C2"),2))</f>
        <v/>
      </c>
      <c r="M45" s="161" t="str">
        <f t="shared" si="22"/>
        <v/>
      </c>
      <c r="N45" s="161" t="str">
        <f>IF(A45="","",IF(itens_Remanesc!G45="","",itens_Remanesc!G45))</f>
        <v/>
      </c>
      <c r="O45" s="169" t="str">
        <f t="shared" si="23"/>
        <v/>
      </c>
      <c r="P45" s="171" t="str">
        <f>IF(A45="","",ROUND(SUMIFS(aditivos!$L$2:$L$200,aditivos!$A$2:$A$200,A45,aditivos!$C$2:$C$200,"C3"),2))</f>
        <v/>
      </c>
      <c r="Q45" s="167" t="str">
        <f t="shared" si="24"/>
        <v/>
      </c>
      <c r="R45" s="167" t="str">
        <f>IF(A45="","",IF(itens_Remanesc!I45="","",itens_Remanesc!I45))</f>
        <v/>
      </c>
      <c r="S45" s="173" t="str">
        <f t="shared" si="25"/>
        <v/>
      </c>
      <c r="T45" s="165" t="str">
        <f>IF(A45="","",ROUND(SUMIFS(aditivos!$L$2:$L$200,aditivos!$A$2:$A$200,A45,aditivos!$C$2:$C$200,"C4"),2))</f>
        <v/>
      </c>
      <c r="U45" s="161" t="str">
        <f t="shared" si="26"/>
        <v/>
      </c>
      <c r="V45" s="161" t="str">
        <f>IF(A45="","",IF(itens_Remanesc!K45="","",itens_Remanesc!K45))</f>
        <v/>
      </c>
      <c r="W45" s="161" t="str">
        <f t="shared" si="27"/>
        <v/>
      </c>
      <c r="X45" s="148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1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48" t="str">
        <f>IF(itens_Remanesc!A46="","",itens_Remanesc!A46)</f>
        <v/>
      </c>
      <c r="B46" s="200" t="str">
        <f>IF(A46="","",itens_Remanesc!C46)</f>
        <v/>
      </c>
      <c r="C46" s="163" t="str">
        <f>IF(A46="","",IF(itens_Remanesc!B46="",0,itens_Remanesc!B46))</f>
        <v/>
      </c>
      <c r="D46" s="165" t="str">
        <f>IF(A46="","",ROUND(SUMIFS(aditivos!$L$2:$L$200,aditivos!$A$2:$A$200,A46,aditivos!$C$2:$C$200,"C0"),2))</f>
        <v/>
      </c>
      <c r="E46" s="161" t="str">
        <f t="shared" si="18"/>
        <v/>
      </c>
      <c r="F46" s="161" t="str">
        <f>IF(A46="","",IF(itens_Remanesc!B46&lt;&gt;"",itens_Remanesc!B46,IF($Z46,0,"")))</f>
        <v/>
      </c>
      <c r="G46" s="169" t="str">
        <f t="shared" si="19"/>
        <v/>
      </c>
      <c r="H46" s="171" t="str">
        <f>IF(A46="","",ROUND(SUMIFS(aditivos!$L$2:$L$200,aditivos!$A$2:$A$200,A46,aditivos!$C$2:$C$200,"C1"),2))</f>
        <v/>
      </c>
      <c r="I46" s="167" t="str">
        <f t="shared" si="20"/>
        <v/>
      </c>
      <c r="J46" s="167" t="str">
        <f>IF(A46="","",IF(itens_Remanesc!E46="","",itens_Remanesc!E46))</f>
        <v/>
      </c>
      <c r="K46" s="173" t="str">
        <f t="shared" si="21"/>
        <v/>
      </c>
      <c r="L46" s="165" t="str">
        <f>IF(A46="","",ROUND(SUMIFS(aditivos!$L$2:$L$200,aditivos!$A$2:$A$200,A46,aditivos!$C$2:$C$200,"C2"),2))</f>
        <v/>
      </c>
      <c r="M46" s="161" t="str">
        <f t="shared" si="22"/>
        <v/>
      </c>
      <c r="N46" s="161" t="str">
        <f>IF(A46="","",IF(itens_Remanesc!G46="","",itens_Remanesc!G46))</f>
        <v/>
      </c>
      <c r="O46" s="169" t="str">
        <f t="shared" si="23"/>
        <v/>
      </c>
      <c r="P46" s="171" t="str">
        <f>IF(A46="","",ROUND(SUMIFS(aditivos!$L$2:$L$200,aditivos!$A$2:$A$200,A46,aditivos!$C$2:$C$200,"C3"),2))</f>
        <v/>
      </c>
      <c r="Q46" s="167" t="str">
        <f t="shared" si="24"/>
        <v/>
      </c>
      <c r="R46" s="167" t="str">
        <f>IF(A46="","",IF(itens_Remanesc!I46="","",itens_Remanesc!I46))</f>
        <v/>
      </c>
      <c r="S46" s="173" t="str">
        <f t="shared" si="25"/>
        <v/>
      </c>
      <c r="T46" s="165" t="str">
        <f>IF(A46="","",ROUND(SUMIFS(aditivos!$L$2:$L$200,aditivos!$A$2:$A$200,A46,aditivos!$C$2:$C$200,"C4"),2))</f>
        <v/>
      </c>
      <c r="U46" s="161" t="str">
        <f t="shared" si="26"/>
        <v/>
      </c>
      <c r="V46" s="161" t="str">
        <f>IF(A46="","",IF(itens_Remanesc!K46="","",itens_Remanesc!K46))</f>
        <v/>
      </c>
      <c r="W46" s="161" t="str">
        <f t="shared" si="27"/>
        <v/>
      </c>
      <c r="X46" s="148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1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48" t="str">
        <f>IF(itens_Remanesc!A47="","",itens_Remanesc!A47)</f>
        <v/>
      </c>
      <c r="B47" s="200" t="str">
        <f>IF(A47="","",itens_Remanesc!C47)</f>
        <v/>
      </c>
      <c r="C47" s="163" t="str">
        <f>IF(A47="","",IF(itens_Remanesc!B47="",0,itens_Remanesc!B47))</f>
        <v/>
      </c>
      <c r="D47" s="165" t="str">
        <f>IF(A47="","",ROUND(SUMIFS(aditivos!$L$2:$L$200,aditivos!$A$2:$A$200,A47,aditivos!$C$2:$C$200,"C0"),2))</f>
        <v/>
      </c>
      <c r="E47" s="161" t="str">
        <f t="shared" si="18"/>
        <v/>
      </c>
      <c r="F47" s="161" t="str">
        <f>IF(A47="","",IF(itens_Remanesc!B47&lt;&gt;"",itens_Remanesc!B47,IF($Z47,0,"")))</f>
        <v/>
      </c>
      <c r="G47" s="169" t="str">
        <f t="shared" si="19"/>
        <v/>
      </c>
      <c r="H47" s="171" t="str">
        <f>IF(A47="","",ROUND(SUMIFS(aditivos!$L$2:$L$200,aditivos!$A$2:$A$200,A47,aditivos!$C$2:$C$200,"C1"),2))</f>
        <v/>
      </c>
      <c r="I47" s="167" t="str">
        <f t="shared" si="20"/>
        <v/>
      </c>
      <c r="J47" s="167" t="str">
        <f>IF(A47="","",IF(itens_Remanesc!E47="","",itens_Remanesc!E47))</f>
        <v/>
      </c>
      <c r="K47" s="173" t="str">
        <f t="shared" si="21"/>
        <v/>
      </c>
      <c r="L47" s="165" t="str">
        <f>IF(A47="","",ROUND(SUMIFS(aditivos!$L$2:$L$200,aditivos!$A$2:$A$200,A47,aditivos!$C$2:$C$200,"C2"),2))</f>
        <v/>
      </c>
      <c r="M47" s="161" t="str">
        <f t="shared" si="22"/>
        <v/>
      </c>
      <c r="N47" s="161" t="str">
        <f>IF(A47="","",IF(itens_Remanesc!G47="","",itens_Remanesc!G47))</f>
        <v/>
      </c>
      <c r="O47" s="169" t="str">
        <f t="shared" si="23"/>
        <v/>
      </c>
      <c r="P47" s="171" t="str">
        <f>IF(A47="","",ROUND(SUMIFS(aditivos!$L$2:$L$200,aditivos!$A$2:$A$200,A47,aditivos!$C$2:$C$200,"C3"),2))</f>
        <v/>
      </c>
      <c r="Q47" s="167" t="str">
        <f t="shared" si="24"/>
        <v/>
      </c>
      <c r="R47" s="167" t="str">
        <f>IF(A47="","",IF(itens_Remanesc!I47="","",itens_Remanesc!I47))</f>
        <v/>
      </c>
      <c r="S47" s="173" t="str">
        <f t="shared" si="25"/>
        <v/>
      </c>
      <c r="T47" s="165" t="str">
        <f>IF(A47="","",ROUND(SUMIFS(aditivos!$L$2:$L$200,aditivos!$A$2:$A$200,A47,aditivos!$C$2:$C$200,"C4"),2))</f>
        <v/>
      </c>
      <c r="U47" s="161" t="str">
        <f t="shared" si="26"/>
        <v/>
      </c>
      <c r="V47" s="161" t="str">
        <f>IF(A47="","",IF(itens_Remanesc!K47="","",itens_Remanesc!K47))</f>
        <v/>
      </c>
      <c r="W47" s="161" t="str">
        <f t="shared" si="27"/>
        <v/>
      </c>
      <c r="X47" s="148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1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48" t="str">
        <f>IF(itens_Remanesc!A48="","",itens_Remanesc!A48)</f>
        <v/>
      </c>
      <c r="B48" s="200" t="str">
        <f>IF(A48="","",itens_Remanesc!C48)</f>
        <v/>
      </c>
      <c r="C48" s="163" t="str">
        <f>IF(A48="","",IF(itens_Remanesc!B48="",0,itens_Remanesc!B48))</f>
        <v/>
      </c>
      <c r="D48" s="165" t="str">
        <f>IF(A48="","",ROUND(SUMIFS(aditivos!$L$2:$L$200,aditivos!$A$2:$A$200,A48,aditivos!$C$2:$C$200,"C0"),2))</f>
        <v/>
      </c>
      <c r="E48" s="161" t="str">
        <f t="shared" si="18"/>
        <v/>
      </c>
      <c r="F48" s="161" t="str">
        <f>IF(A48="","",IF(itens_Remanesc!B48&lt;&gt;"",itens_Remanesc!B48,IF($Z48,0,"")))</f>
        <v/>
      </c>
      <c r="G48" s="169" t="str">
        <f t="shared" si="19"/>
        <v/>
      </c>
      <c r="H48" s="171" t="str">
        <f>IF(A48="","",ROUND(SUMIFS(aditivos!$L$2:$L$200,aditivos!$A$2:$A$200,A48,aditivos!$C$2:$C$200,"C1"),2))</f>
        <v/>
      </c>
      <c r="I48" s="167" t="str">
        <f t="shared" si="20"/>
        <v/>
      </c>
      <c r="J48" s="167" t="str">
        <f>IF(A48="","",IF(itens_Remanesc!E48="","",itens_Remanesc!E48))</f>
        <v/>
      </c>
      <c r="K48" s="173" t="str">
        <f t="shared" si="21"/>
        <v/>
      </c>
      <c r="L48" s="165" t="str">
        <f>IF(A48="","",ROUND(SUMIFS(aditivos!$L$2:$L$200,aditivos!$A$2:$A$200,A48,aditivos!$C$2:$C$200,"C2"),2))</f>
        <v/>
      </c>
      <c r="M48" s="161" t="str">
        <f t="shared" si="22"/>
        <v/>
      </c>
      <c r="N48" s="161" t="str">
        <f>IF(A48="","",IF(itens_Remanesc!G48="","",itens_Remanesc!G48))</f>
        <v/>
      </c>
      <c r="O48" s="169" t="str">
        <f t="shared" si="23"/>
        <v/>
      </c>
      <c r="P48" s="171" t="str">
        <f>IF(A48="","",ROUND(SUMIFS(aditivos!$L$2:$L$200,aditivos!$A$2:$A$200,A48,aditivos!$C$2:$C$200,"C3"),2))</f>
        <v/>
      </c>
      <c r="Q48" s="167" t="str">
        <f t="shared" si="24"/>
        <v/>
      </c>
      <c r="R48" s="167" t="str">
        <f>IF(A48="","",IF(itens_Remanesc!I48="","",itens_Remanesc!I48))</f>
        <v/>
      </c>
      <c r="S48" s="173" t="str">
        <f t="shared" si="25"/>
        <v/>
      </c>
      <c r="T48" s="165" t="str">
        <f>IF(A48="","",ROUND(SUMIFS(aditivos!$L$2:$L$200,aditivos!$A$2:$A$200,A48,aditivos!$C$2:$C$200,"C4"),2))</f>
        <v/>
      </c>
      <c r="U48" s="161" t="str">
        <f t="shared" si="26"/>
        <v/>
      </c>
      <c r="V48" s="161" t="str">
        <f>IF(A48="","",IF(itens_Remanesc!K48="","",itens_Remanesc!K48))</f>
        <v/>
      </c>
      <c r="W48" s="161" t="str">
        <f t="shared" si="27"/>
        <v/>
      </c>
      <c r="X48" s="148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1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48" t="str">
        <f>IF(itens_Remanesc!A49="","",itens_Remanesc!A49)</f>
        <v/>
      </c>
      <c r="B49" s="200" t="str">
        <f>IF(A49="","",itens_Remanesc!C49)</f>
        <v/>
      </c>
      <c r="C49" s="163" t="str">
        <f>IF(A49="","",IF(itens_Remanesc!B49="",0,itens_Remanesc!B49))</f>
        <v/>
      </c>
      <c r="D49" s="165" t="str">
        <f>IF(A49="","",ROUND(SUMIFS(aditivos!$L$2:$L$200,aditivos!$A$2:$A$200,A49,aditivos!$C$2:$C$200,"C0"),2))</f>
        <v/>
      </c>
      <c r="E49" s="161" t="str">
        <f t="shared" si="18"/>
        <v/>
      </c>
      <c r="F49" s="161" t="str">
        <f>IF(A49="","",IF(itens_Remanesc!B49&lt;&gt;"",itens_Remanesc!B49,IF($Z49,0,"")))</f>
        <v/>
      </c>
      <c r="G49" s="169" t="str">
        <f t="shared" si="19"/>
        <v/>
      </c>
      <c r="H49" s="171" t="str">
        <f>IF(A49="","",ROUND(SUMIFS(aditivos!$L$2:$L$200,aditivos!$A$2:$A$200,A49,aditivos!$C$2:$C$200,"C1"),2))</f>
        <v/>
      </c>
      <c r="I49" s="167" t="str">
        <f t="shared" si="20"/>
        <v/>
      </c>
      <c r="J49" s="167" t="str">
        <f>IF(A49="","",IF(itens_Remanesc!E49="","",itens_Remanesc!E49))</f>
        <v/>
      </c>
      <c r="K49" s="173" t="str">
        <f t="shared" si="21"/>
        <v/>
      </c>
      <c r="L49" s="165" t="str">
        <f>IF(A49="","",ROUND(SUMIFS(aditivos!$L$2:$L$200,aditivos!$A$2:$A$200,A49,aditivos!$C$2:$C$200,"C2"),2))</f>
        <v/>
      </c>
      <c r="M49" s="161" t="str">
        <f t="shared" si="22"/>
        <v/>
      </c>
      <c r="N49" s="161" t="str">
        <f>IF(A49="","",IF(itens_Remanesc!G49="","",itens_Remanesc!G49))</f>
        <v/>
      </c>
      <c r="O49" s="169" t="str">
        <f t="shared" si="23"/>
        <v/>
      </c>
      <c r="P49" s="171" t="str">
        <f>IF(A49="","",ROUND(SUMIFS(aditivos!$L$2:$L$200,aditivos!$A$2:$A$200,A49,aditivos!$C$2:$C$200,"C3"),2))</f>
        <v/>
      </c>
      <c r="Q49" s="167" t="str">
        <f t="shared" si="24"/>
        <v/>
      </c>
      <c r="R49" s="167" t="str">
        <f>IF(A49="","",IF(itens_Remanesc!I49="","",itens_Remanesc!I49))</f>
        <v/>
      </c>
      <c r="S49" s="173" t="str">
        <f t="shared" si="25"/>
        <v/>
      </c>
      <c r="T49" s="165" t="str">
        <f>IF(A49="","",ROUND(SUMIFS(aditivos!$L$2:$L$200,aditivos!$A$2:$A$200,A49,aditivos!$C$2:$C$200,"C4"),2))</f>
        <v/>
      </c>
      <c r="U49" s="161" t="str">
        <f t="shared" si="26"/>
        <v/>
      </c>
      <c r="V49" s="161" t="str">
        <f>IF(A49="","",IF(itens_Remanesc!K49="","",itens_Remanesc!K49))</f>
        <v/>
      </c>
      <c r="W49" s="161" t="str">
        <f t="shared" si="27"/>
        <v/>
      </c>
      <c r="X49" s="148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1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48" t="str">
        <f>IF(itens_Remanesc!A50="","",itens_Remanesc!A50)</f>
        <v/>
      </c>
      <c r="B50" s="200" t="str">
        <f>IF(A50="","",itens_Remanesc!C50)</f>
        <v/>
      </c>
      <c r="C50" s="163" t="str">
        <f>IF(A50="","",IF(itens_Remanesc!B50="",0,itens_Remanesc!B50))</f>
        <v/>
      </c>
      <c r="D50" s="165" t="str">
        <f>IF(A50="","",ROUND(SUMIFS(aditivos!$L$2:$L$200,aditivos!$A$2:$A$200,A50,aditivos!$C$2:$C$200,"C0"),2))</f>
        <v/>
      </c>
      <c r="E50" s="161" t="str">
        <f t="shared" si="18"/>
        <v/>
      </c>
      <c r="F50" s="161" t="str">
        <f>IF(A50="","",IF(itens_Remanesc!B50&lt;&gt;"",itens_Remanesc!B50,IF($Z50,0,"")))</f>
        <v/>
      </c>
      <c r="G50" s="169" t="str">
        <f t="shared" si="19"/>
        <v/>
      </c>
      <c r="H50" s="171" t="str">
        <f>IF(A50="","",ROUND(SUMIFS(aditivos!$L$2:$L$200,aditivos!$A$2:$A$200,A50,aditivos!$C$2:$C$200,"C1"),2))</f>
        <v/>
      </c>
      <c r="I50" s="167" t="str">
        <f t="shared" si="20"/>
        <v/>
      </c>
      <c r="J50" s="167" t="str">
        <f>IF(A50="","",IF(itens_Remanesc!E50="","",itens_Remanesc!E50))</f>
        <v/>
      </c>
      <c r="K50" s="173" t="str">
        <f t="shared" si="21"/>
        <v/>
      </c>
      <c r="L50" s="165" t="str">
        <f>IF(A50="","",ROUND(SUMIFS(aditivos!$L$2:$L$200,aditivos!$A$2:$A$200,A50,aditivos!$C$2:$C$200,"C2"),2))</f>
        <v/>
      </c>
      <c r="M50" s="161" t="str">
        <f t="shared" si="22"/>
        <v/>
      </c>
      <c r="N50" s="161" t="str">
        <f>IF(A50="","",IF(itens_Remanesc!G50="","",itens_Remanesc!G50))</f>
        <v/>
      </c>
      <c r="O50" s="169" t="str">
        <f t="shared" si="23"/>
        <v/>
      </c>
      <c r="P50" s="171" t="str">
        <f>IF(A50="","",ROUND(SUMIFS(aditivos!$L$2:$L$200,aditivos!$A$2:$A$200,A50,aditivos!$C$2:$C$200,"C3"),2))</f>
        <v/>
      </c>
      <c r="Q50" s="167" t="str">
        <f t="shared" si="24"/>
        <v/>
      </c>
      <c r="R50" s="167" t="str">
        <f>IF(A50="","",IF(itens_Remanesc!I50="","",itens_Remanesc!I50))</f>
        <v/>
      </c>
      <c r="S50" s="173" t="str">
        <f t="shared" si="25"/>
        <v/>
      </c>
      <c r="T50" s="165" t="str">
        <f>IF(A50="","",ROUND(SUMIFS(aditivos!$L$2:$L$200,aditivos!$A$2:$A$200,A50,aditivos!$C$2:$C$200,"C4"),2))</f>
        <v/>
      </c>
      <c r="U50" s="161" t="str">
        <f t="shared" si="26"/>
        <v/>
      </c>
      <c r="V50" s="161" t="str">
        <f>IF(A50="","",IF(itens_Remanesc!K50="","",itens_Remanesc!K50))</f>
        <v/>
      </c>
      <c r="W50" s="161" t="str">
        <f t="shared" si="27"/>
        <v/>
      </c>
      <c r="X50" s="148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1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48" t="str">
        <f>IF(itens_Remanesc!A51="","",itens_Remanesc!A51)</f>
        <v/>
      </c>
      <c r="B51" s="200" t="str">
        <f>IF(A51="","",itens_Remanesc!C51)</f>
        <v/>
      </c>
      <c r="C51" s="163" t="str">
        <f>IF(A51="","",IF(itens_Remanesc!B51="",0,itens_Remanesc!B51))</f>
        <v/>
      </c>
      <c r="D51" s="165" t="str">
        <f>IF(A51="","",ROUND(SUMIFS(aditivos!$L$2:$L$200,aditivos!$A$2:$A$200,A51,aditivos!$C$2:$C$200,"C0"),2))</f>
        <v/>
      </c>
      <c r="E51" s="161" t="str">
        <f t="shared" si="18"/>
        <v/>
      </c>
      <c r="F51" s="161" t="str">
        <f>IF(A51="","",IF(itens_Remanesc!B51&lt;&gt;"",itens_Remanesc!B51,IF($Z51,0,"")))</f>
        <v/>
      </c>
      <c r="G51" s="169" t="str">
        <f t="shared" si="19"/>
        <v/>
      </c>
      <c r="H51" s="171" t="str">
        <f>IF(A51="","",ROUND(SUMIFS(aditivos!$L$2:$L$200,aditivos!$A$2:$A$200,A51,aditivos!$C$2:$C$200,"C1"),2))</f>
        <v/>
      </c>
      <c r="I51" s="167" t="str">
        <f t="shared" si="20"/>
        <v/>
      </c>
      <c r="J51" s="167" t="str">
        <f>IF(A51="","",IF(itens_Remanesc!E51="","",itens_Remanesc!E51))</f>
        <v/>
      </c>
      <c r="K51" s="173" t="str">
        <f t="shared" si="21"/>
        <v/>
      </c>
      <c r="L51" s="165" t="str">
        <f>IF(A51="","",ROUND(SUMIFS(aditivos!$L$2:$L$200,aditivos!$A$2:$A$200,A51,aditivos!$C$2:$C$200,"C2"),2))</f>
        <v/>
      </c>
      <c r="M51" s="161" t="str">
        <f t="shared" si="22"/>
        <v/>
      </c>
      <c r="N51" s="161" t="str">
        <f>IF(A51="","",IF(itens_Remanesc!G51="","",itens_Remanesc!G51))</f>
        <v/>
      </c>
      <c r="O51" s="169" t="str">
        <f t="shared" si="23"/>
        <v/>
      </c>
      <c r="P51" s="171" t="str">
        <f>IF(A51="","",ROUND(SUMIFS(aditivos!$L$2:$L$200,aditivos!$A$2:$A$200,A51,aditivos!$C$2:$C$200,"C3"),2))</f>
        <v/>
      </c>
      <c r="Q51" s="167" t="str">
        <f t="shared" si="24"/>
        <v/>
      </c>
      <c r="R51" s="167" t="str">
        <f>IF(A51="","",IF(itens_Remanesc!I51="","",itens_Remanesc!I51))</f>
        <v/>
      </c>
      <c r="S51" s="173" t="str">
        <f t="shared" si="25"/>
        <v/>
      </c>
      <c r="T51" s="165" t="str">
        <f>IF(A51="","",ROUND(SUMIFS(aditivos!$L$2:$L$200,aditivos!$A$2:$A$200,A51,aditivos!$C$2:$C$200,"C4"),2))</f>
        <v/>
      </c>
      <c r="U51" s="161" t="str">
        <f t="shared" si="26"/>
        <v/>
      </c>
      <c r="V51" s="161" t="str">
        <f>IF(A51="","",IF(itens_Remanesc!K51="","",itens_Remanesc!K51))</f>
        <v/>
      </c>
      <c r="W51" s="161" t="str">
        <f t="shared" si="27"/>
        <v/>
      </c>
      <c r="X51" s="148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1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48" t="str">
        <f>IF(itens_Remanesc!A52="","",itens_Remanesc!A52)</f>
        <v/>
      </c>
      <c r="B52" s="200" t="str">
        <f>IF(A52="","",itens_Remanesc!C52)</f>
        <v/>
      </c>
      <c r="C52" s="163" t="str">
        <f>IF(A52="","",IF(itens_Remanesc!B52="",0,itens_Remanesc!B52))</f>
        <v/>
      </c>
      <c r="D52" s="165" t="str">
        <f>IF(A52="","",ROUND(SUMIFS(aditivos!$L$2:$L$200,aditivos!$A$2:$A$200,A52,aditivos!$C$2:$C$200,"C0"),2))</f>
        <v/>
      </c>
      <c r="E52" s="161" t="str">
        <f t="shared" si="18"/>
        <v/>
      </c>
      <c r="F52" s="161" t="str">
        <f>IF(A52="","",IF(itens_Remanesc!B52&lt;&gt;"",itens_Remanesc!B52,IF($Z52,0,"")))</f>
        <v/>
      </c>
      <c r="G52" s="169" t="str">
        <f t="shared" si="19"/>
        <v/>
      </c>
      <c r="H52" s="171" t="str">
        <f>IF(A52="","",ROUND(SUMIFS(aditivos!$L$2:$L$200,aditivos!$A$2:$A$200,A52,aditivos!$C$2:$C$200,"C1"),2))</f>
        <v/>
      </c>
      <c r="I52" s="167" t="str">
        <f t="shared" si="20"/>
        <v/>
      </c>
      <c r="J52" s="167" t="str">
        <f>IF(A52="","",IF(itens_Remanesc!E52="","",itens_Remanesc!E52))</f>
        <v/>
      </c>
      <c r="K52" s="173" t="str">
        <f t="shared" si="21"/>
        <v/>
      </c>
      <c r="L52" s="165" t="str">
        <f>IF(A52="","",ROUND(SUMIFS(aditivos!$L$2:$L$200,aditivos!$A$2:$A$200,A52,aditivos!$C$2:$C$200,"C2"),2))</f>
        <v/>
      </c>
      <c r="M52" s="161" t="str">
        <f t="shared" si="22"/>
        <v/>
      </c>
      <c r="N52" s="161" t="str">
        <f>IF(A52="","",IF(itens_Remanesc!G52="","",itens_Remanesc!G52))</f>
        <v/>
      </c>
      <c r="O52" s="169" t="str">
        <f t="shared" si="23"/>
        <v/>
      </c>
      <c r="P52" s="171" t="str">
        <f>IF(A52="","",ROUND(SUMIFS(aditivos!$L$2:$L$200,aditivos!$A$2:$A$200,A52,aditivos!$C$2:$C$200,"C3"),2))</f>
        <v/>
      </c>
      <c r="Q52" s="167" t="str">
        <f t="shared" si="24"/>
        <v/>
      </c>
      <c r="R52" s="167" t="str">
        <f>IF(A52="","",IF(itens_Remanesc!I52="","",itens_Remanesc!I52))</f>
        <v/>
      </c>
      <c r="S52" s="173" t="str">
        <f t="shared" si="25"/>
        <v/>
      </c>
      <c r="T52" s="165" t="str">
        <f>IF(A52="","",ROUND(SUMIFS(aditivos!$L$2:$L$200,aditivos!$A$2:$A$200,A52,aditivos!$C$2:$C$200,"C4"),2))</f>
        <v/>
      </c>
      <c r="U52" s="161" t="str">
        <f t="shared" si="26"/>
        <v/>
      </c>
      <c r="V52" s="161" t="str">
        <f>IF(A52="","",IF(itens_Remanesc!K52="","",itens_Remanesc!K52))</f>
        <v/>
      </c>
      <c r="W52" s="161" t="str">
        <f t="shared" si="27"/>
        <v/>
      </c>
      <c r="X52" s="148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1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48" t="str">
        <f>IF(itens_Remanesc!A53="","",itens_Remanesc!A53)</f>
        <v/>
      </c>
      <c r="B53" s="200" t="str">
        <f>IF(A53="","",itens_Remanesc!C53)</f>
        <v/>
      </c>
      <c r="C53" s="163" t="str">
        <f>IF(A53="","",IF(itens_Remanesc!B53="",0,itens_Remanesc!B53))</f>
        <v/>
      </c>
      <c r="D53" s="165" t="str">
        <f>IF(A53="","",ROUND(SUMIFS(aditivos!$L$2:$L$200,aditivos!$A$2:$A$200,A53,aditivos!$C$2:$C$200,"C0"),2))</f>
        <v/>
      </c>
      <c r="E53" s="161" t="str">
        <f t="shared" si="18"/>
        <v/>
      </c>
      <c r="F53" s="161" t="str">
        <f>IF(A53="","",IF(itens_Remanesc!B53&lt;&gt;"",itens_Remanesc!B53,IF($Z53,0,"")))</f>
        <v/>
      </c>
      <c r="G53" s="169" t="str">
        <f t="shared" si="19"/>
        <v/>
      </c>
      <c r="H53" s="171" t="str">
        <f>IF(A53="","",ROUND(SUMIFS(aditivos!$L$2:$L$200,aditivos!$A$2:$A$200,A53,aditivos!$C$2:$C$200,"C1"),2))</f>
        <v/>
      </c>
      <c r="I53" s="167" t="str">
        <f t="shared" si="20"/>
        <v/>
      </c>
      <c r="J53" s="167" t="str">
        <f>IF(A53="","",IF(itens_Remanesc!E53="","",itens_Remanesc!E53))</f>
        <v/>
      </c>
      <c r="K53" s="173" t="str">
        <f t="shared" si="21"/>
        <v/>
      </c>
      <c r="L53" s="165" t="str">
        <f>IF(A53="","",ROUND(SUMIFS(aditivos!$L$2:$L$200,aditivos!$A$2:$A$200,A53,aditivos!$C$2:$C$200,"C2"),2))</f>
        <v/>
      </c>
      <c r="M53" s="161" t="str">
        <f t="shared" si="22"/>
        <v/>
      </c>
      <c r="N53" s="161" t="str">
        <f>IF(A53="","",IF(itens_Remanesc!G53="","",itens_Remanesc!G53))</f>
        <v/>
      </c>
      <c r="O53" s="169" t="str">
        <f t="shared" si="23"/>
        <v/>
      </c>
      <c r="P53" s="171" t="str">
        <f>IF(A53="","",ROUND(SUMIFS(aditivos!$L$2:$L$200,aditivos!$A$2:$A$200,A53,aditivos!$C$2:$C$200,"C3"),2))</f>
        <v/>
      </c>
      <c r="Q53" s="167" t="str">
        <f t="shared" si="24"/>
        <v/>
      </c>
      <c r="R53" s="167" t="str">
        <f>IF(A53="","",IF(itens_Remanesc!I53="","",itens_Remanesc!I53))</f>
        <v/>
      </c>
      <c r="S53" s="173" t="str">
        <f t="shared" si="25"/>
        <v/>
      </c>
      <c r="T53" s="165" t="str">
        <f>IF(A53="","",ROUND(SUMIFS(aditivos!$L$2:$L$200,aditivos!$A$2:$A$200,A53,aditivos!$C$2:$C$200,"C4"),2))</f>
        <v/>
      </c>
      <c r="U53" s="161" t="str">
        <f t="shared" si="26"/>
        <v/>
      </c>
      <c r="V53" s="161" t="str">
        <f>IF(A53="","",IF(itens_Remanesc!K53="","",itens_Remanesc!K53))</f>
        <v/>
      </c>
      <c r="W53" s="161" t="str">
        <f t="shared" si="27"/>
        <v/>
      </c>
      <c r="X53" s="148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1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48" t="str">
        <f>IF(itens_Remanesc!A54="","",itens_Remanesc!A54)</f>
        <v/>
      </c>
      <c r="B54" s="200" t="str">
        <f>IF(A54="","",itens_Remanesc!C54)</f>
        <v/>
      </c>
      <c r="C54" s="163" t="str">
        <f>IF(A54="","",IF(itens_Remanesc!B54="",0,itens_Remanesc!B54))</f>
        <v/>
      </c>
      <c r="D54" s="165" t="str">
        <f>IF(A54="","",ROUND(SUMIFS(aditivos!$L$2:$L$200,aditivos!$A$2:$A$200,A54,aditivos!$C$2:$C$200,"C0"),2))</f>
        <v/>
      </c>
      <c r="E54" s="161" t="str">
        <f t="shared" si="18"/>
        <v/>
      </c>
      <c r="F54" s="161" t="str">
        <f>IF(A54="","",IF(itens_Remanesc!B54&lt;&gt;"",itens_Remanesc!B54,IF($Z54,0,"")))</f>
        <v/>
      </c>
      <c r="G54" s="169" t="str">
        <f t="shared" si="19"/>
        <v/>
      </c>
      <c r="H54" s="171" t="str">
        <f>IF(A54="","",ROUND(SUMIFS(aditivos!$L$2:$L$200,aditivos!$A$2:$A$200,A54,aditivos!$C$2:$C$200,"C1"),2))</f>
        <v/>
      </c>
      <c r="I54" s="167" t="str">
        <f t="shared" si="20"/>
        <v/>
      </c>
      <c r="J54" s="167" t="str">
        <f>IF(A54="","",IF(itens_Remanesc!E54="","",itens_Remanesc!E54))</f>
        <v/>
      </c>
      <c r="K54" s="173" t="str">
        <f t="shared" si="21"/>
        <v/>
      </c>
      <c r="L54" s="165" t="str">
        <f>IF(A54="","",ROUND(SUMIFS(aditivos!$L$2:$L$200,aditivos!$A$2:$A$200,A54,aditivos!$C$2:$C$200,"C2"),2))</f>
        <v/>
      </c>
      <c r="M54" s="161" t="str">
        <f t="shared" si="22"/>
        <v/>
      </c>
      <c r="N54" s="161" t="str">
        <f>IF(A54="","",IF(itens_Remanesc!G54="","",itens_Remanesc!G54))</f>
        <v/>
      </c>
      <c r="O54" s="169" t="str">
        <f t="shared" si="23"/>
        <v/>
      </c>
      <c r="P54" s="171" t="str">
        <f>IF(A54="","",ROUND(SUMIFS(aditivos!$L$2:$L$200,aditivos!$A$2:$A$200,A54,aditivos!$C$2:$C$200,"C3"),2))</f>
        <v/>
      </c>
      <c r="Q54" s="167" t="str">
        <f t="shared" si="24"/>
        <v/>
      </c>
      <c r="R54" s="167" t="str">
        <f>IF(A54="","",IF(itens_Remanesc!I54="","",itens_Remanesc!I54))</f>
        <v/>
      </c>
      <c r="S54" s="173" t="str">
        <f t="shared" si="25"/>
        <v/>
      </c>
      <c r="T54" s="165" t="str">
        <f>IF(A54="","",ROUND(SUMIFS(aditivos!$L$2:$L$200,aditivos!$A$2:$A$200,A54,aditivos!$C$2:$C$200,"C4"),2))</f>
        <v/>
      </c>
      <c r="U54" s="161" t="str">
        <f t="shared" si="26"/>
        <v/>
      </c>
      <c r="V54" s="161" t="str">
        <f>IF(A54="","",IF(itens_Remanesc!K54="","",itens_Remanesc!K54))</f>
        <v/>
      </c>
      <c r="W54" s="161" t="str">
        <f t="shared" si="27"/>
        <v/>
      </c>
      <c r="X54" s="148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1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48" t="str">
        <f>IF(itens_Remanesc!A55="","",itens_Remanesc!A55)</f>
        <v/>
      </c>
      <c r="B55" s="200" t="str">
        <f>IF(A55="","",itens_Remanesc!C55)</f>
        <v/>
      </c>
      <c r="C55" s="163" t="str">
        <f>IF(A55="","",IF(itens_Remanesc!B55="",0,itens_Remanesc!B55))</f>
        <v/>
      </c>
      <c r="D55" s="165" t="str">
        <f>IF(A55="","",ROUND(SUMIFS(aditivos!$L$2:$L$200,aditivos!$A$2:$A$200,A55,aditivos!$C$2:$C$200,"C0"),2))</f>
        <v/>
      </c>
      <c r="E55" s="161" t="str">
        <f t="shared" si="18"/>
        <v/>
      </c>
      <c r="F55" s="161" t="str">
        <f>IF(A55="","",IF(itens_Remanesc!B55&lt;&gt;"",itens_Remanesc!B55,IF($Z55,0,"")))</f>
        <v/>
      </c>
      <c r="G55" s="169" t="str">
        <f t="shared" si="19"/>
        <v/>
      </c>
      <c r="H55" s="171" t="str">
        <f>IF(A55="","",ROUND(SUMIFS(aditivos!$L$2:$L$200,aditivos!$A$2:$A$200,A55,aditivos!$C$2:$C$200,"C1"),2))</f>
        <v/>
      </c>
      <c r="I55" s="167" t="str">
        <f t="shared" si="20"/>
        <v/>
      </c>
      <c r="J55" s="167" t="str">
        <f>IF(A55="","",IF(itens_Remanesc!E55="","",itens_Remanesc!E55))</f>
        <v/>
      </c>
      <c r="K55" s="173" t="str">
        <f t="shared" si="21"/>
        <v/>
      </c>
      <c r="L55" s="165" t="str">
        <f>IF(A55="","",ROUND(SUMIFS(aditivos!$L$2:$L$200,aditivos!$A$2:$A$200,A55,aditivos!$C$2:$C$200,"C2"),2))</f>
        <v/>
      </c>
      <c r="M55" s="161" t="str">
        <f t="shared" si="22"/>
        <v/>
      </c>
      <c r="N55" s="161" t="str">
        <f>IF(A55="","",IF(itens_Remanesc!G55="","",itens_Remanesc!G55))</f>
        <v/>
      </c>
      <c r="O55" s="169" t="str">
        <f t="shared" si="23"/>
        <v/>
      </c>
      <c r="P55" s="171" t="str">
        <f>IF(A55="","",ROUND(SUMIFS(aditivos!$L$2:$L$200,aditivos!$A$2:$A$200,A55,aditivos!$C$2:$C$200,"C3"),2))</f>
        <v/>
      </c>
      <c r="Q55" s="167" t="str">
        <f t="shared" si="24"/>
        <v/>
      </c>
      <c r="R55" s="167" t="str">
        <f>IF(A55="","",IF(itens_Remanesc!I55="","",itens_Remanesc!I55))</f>
        <v/>
      </c>
      <c r="S55" s="173" t="str">
        <f t="shared" si="25"/>
        <v/>
      </c>
      <c r="T55" s="165" t="str">
        <f>IF(A55="","",ROUND(SUMIFS(aditivos!$L$2:$L$200,aditivos!$A$2:$A$200,A55,aditivos!$C$2:$C$200,"C4"),2))</f>
        <v/>
      </c>
      <c r="U55" s="161" t="str">
        <f t="shared" si="26"/>
        <v/>
      </c>
      <c r="V55" s="161" t="str">
        <f>IF(A55="","",IF(itens_Remanesc!K55="","",itens_Remanesc!K55))</f>
        <v/>
      </c>
      <c r="W55" s="161" t="str">
        <f t="shared" si="27"/>
        <v/>
      </c>
      <c r="X55" s="148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1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48" t="str">
        <f>IF(itens_Remanesc!A56="","",itens_Remanesc!A56)</f>
        <v/>
      </c>
      <c r="B56" s="200" t="str">
        <f>IF(A56="","",itens_Remanesc!C56)</f>
        <v/>
      </c>
      <c r="C56" s="163" t="str">
        <f>IF(A56="","",IF(itens_Remanesc!B56="",0,itens_Remanesc!B56))</f>
        <v/>
      </c>
      <c r="D56" s="165" t="str">
        <f>IF(A56="","",ROUND(SUMIFS(aditivos!$L$2:$L$200,aditivos!$A$2:$A$200,A56,aditivos!$C$2:$C$200,"C0"),2))</f>
        <v/>
      </c>
      <c r="E56" s="161" t="str">
        <f t="shared" si="18"/>
        <v/>
      </c>
      <c r="F56" s="161" t="str">
        <f>IF(A56="","",IF(itens_Remanesc!B56&lt;&gt;"",itens_Remanesc!B56,IF($Z56,0,"")))</f>
        <v/>
      </c>
      <c r="G56" s="169" t="str">
        <f t="shared" si="19"/>
        <v/>
      </c>
      <c r="H56" s="171" t="str">
        <f>IF(A56="","",ROUND(SUMIFS(aditivos!$L$2:$L$200,aditivos!$A$2:$A$200,A56,aditivos!$C$2:$C$200,"C1"),2))</f>
        <v/>
      </c>
      <c r="I56" s="167" t="str">
        <f t="shared" si="20"/>
        <v/>
      </c>
      <c r="J56" s="167" t="str">
        <f>IF(A56="","",IF(itens_Remanesc!E56="","",itens_Remanesc!E56))</f>
        <v/>
      </c>
      <c r="K56" s="173" t="str">
        <f t="shared" si="21"/>
        <v/>
      </c>
      <c r="L56" s="165" t="str">
        <f>IF(A56="","",ROUND(SUMIFS(aditivos!$L$2:$L$200,aditivos!$A$2:$A$200,A56,aditivos!$C$2:$C$200,"C2"),2))</f>
        <v/>
      </c>
      <c r="M56" s="161" t="str">
        <f t="shared" si="22"/>
        <v/>
      </c>
      <c r="N56" s="161" t="str">
        <f>IF(A56="","",IF(itens_Remanesc!G56="","",itens_Remanesc!G56))</f>
        <v/>
      </c>
      <c r="O56" s="169" t="str">
        <f t="shared" si="23"/>
        <v/>
      </c>
      <c r="P56" s="171" t="str">
        <f>IF(A56="","",ROUND(SUMIFS(aditivos!$L$2:$L$200,aditivos!$A$2:$A$200,A56,aditivos!$C$2:$C$200,"C3"),2))</f>
        <v/>
      </c>
      <c r="Q56" s="167" t="str">
        <f t="shared" si="24"/>
        <v/>
      </c>
      <c r="R56" s="167" t="str">
        <f>IF(A56="","",IF(itens_Remanesc!I56="","",itens_Remanesc!I56))</f>
        <v/>
      </c>
      <c r="S56" s="173" t="str">
        <f t="shared" si="25"/>
        <v/>
      </c>
      <c r="T56" s="165" t="str">
        <f>IF(A56="","",ROUND(SUMIFS(aditivos!$L$2:$L$200,aditivos!$A$2:$A$200,A56,aditivos!$C$2:$C$200,"C4"),2))</f>
        <v/>
      </c>
      <c r="U56" s="161" t="str">
        <f t="shared" si="26"/>
        <v/>
      </c>
      <c r="V56" s="161" t="str">
        <f>IF(A56="","",IF(itens_Remanesc!K56="","",itens_Remanesc!K56))</f>
        <v/>
      </c>
      <c r="W56" s="161" t="str">
        <f t="shared" si="27"/>
        <v/>
      </c>
      <c r="X56" s="148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1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48" t="str">
        <f>IF(itens_Remanesc!A57="","",itens_Remanesc!A57)</f>
        <v/>
      </c>
      <c r="B57" s="200" t="str">
        <f>IF(A57="","",itens_Remanesc!C57)</f>
        <v/>
      </c>
      <c r="C57" s="163" t="str">
        <f>IF(A57="","",IF(itens_Remanesc!B57="",0,itens_Remanesc!B57))</f>
        <v/>
      </c>
      <c r="D57" s="165" t="str">
        <f>IF(A57="","",ROUND(SUMIFS(aditivos!$L$2:$L$200,aditivos!$A$2:$A$200,A57,aditivos!$C$2:$C$200,"C0"),2))</f>
        <v/>
      </c>
      <c r="E57" s="161" t="str">
        <f t="shared" si="18"/>
        <v/>
      </c>
      <c r="F57" s="161" t="str">
        <f>IF(A57="","",IF(itens_Remanesc!B57&lt;&gt;"",itens_Remanesc!B57,IF($Z57,0,"")))</f>
        <v/>
      </c>
      <c r="G57" s="169" t="str">
        <f t="shared" si="19"/>
        <v/>
      </c>
      <c r="H57" s="171" t="str">
        <f>IF(A57="","",ROUND(SUMIFS(aditivos!$L$2:$L$200,aditivos!$A$2:$A$200,A57,aditivos!$C$2:$C$200,"C1"),2))</f>
        <v/>
      </c>
      <c r="I57" s="167" t="str">
        <f t="shared" si="20"/>
        <v/>
      </c>
      <c r="J57" s="167" t="str">
        <f>IF(A57="","",IF(itens_Remanesc!E57="","",itens_Remanesc!E57))</f>
        <v/>
      </c>
      <c r="K57" s="173" t="str">
        <f t="shared" si="21"/>
        <v/>
      </c>
      <c r="L57" s="165" t="str">
        <f>IF(A57="","",ROUND(SUMIFS(aditivos!$L$2:$L$200,aditivos!$A$2:$A$200,A57,aditivos!$C$2:$C$200,"C2"),2))</f>
        <v/>
      </c>
      <c r="M57" s="161" t="str">
        <f t="shared" si="22"/>
        <v/>
      </c>
      <c r="N57" s="161" t="str">
        <f>IF(A57="","",IF(itens_Remanesc!G57="","",itens_Remanesc!G57))</f>
        <v/>
      </c>
      <c r="O57" s="169" t="str">
        <f t="shared" si="23"/>
        <v/>
      </c>
      <c r="P57" s="171" t="str">
        <f>IF(A57="","",ROUND(SUMIFS(aditivos!$L$2:$L$200,aditivos!$A$2:$A$200,A57,aditivos!$C$2:$C$200,"C3"),2))</f>
        <v/>
      </c>
      <c r="Q57" s="167" t="str">
        <f t="shared" si="24"/>
        <v/>
      </c>
      <c r="R57" s="167" t="str">
        <f>IF(A57="","",IF(itens_Remanesc!I57="","",itens_Remanesc!I57))</f>
        <v/>
      </c>
      <c r="S57" s="173" t="str">
        <f t="shared" si="25"/>
        <v/>
      </c>
      <c r="T57" s="165" t="str">
        <f>IF(A57="","",ROUND(SUMIFS(aditivos!$L$2:$L$200,aditivos!$A$2:$A$200,A57,aditivos!$C$2:$C$200,"C4"),2))</f>
        <v/>
      </c>
      <c r="U57" s="161" t="str">
        <f t="shared" si="26"/>
        <v/>
      </c>
      <c r="V57" s="161" t="str">
        <f>IF(A57="","",IF(itens_Remanesc!K57="","",itens_Remanesc!K57))</f>
        <v/>
      </c>
      <c r="W57" s="161" t="str">
        <f t="shared" si="27"/>
        <v/>
      </c>
      <c r="X57" s="148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1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48" t="str">
        <f>IF(itens_Remanesc!A58="","",itens_Remanesc!A58)</f>
        <v/>
      </c>
      <c r="B58" s="200" t="str">
        <f>IF(A58="","",itens_Remanesc!C58)</f>
        <v/>
      </c>
      <c r="C58" s="163" t="str">
        <f>IF(A58="","",IF(itens_Remanesc!B58="",0,itens_Remanesc!B58))</f>
        <v/>
      </c>
      <c r="D58" s="165" t="str">
        <f>IF(A58="","",ROUND(SUMIFS(aditivos!$L$2:$L$200,aditivos!$A$2:$A$200,A58,aditivos!$C$2:$C$200,"C0"),2))</f>
        <v/>
      </c>
      <c r="E58" s="161" t="str">
        <f t="shared" si="18"/>
        <v/>
      </c>
      <c r="F58" s="161" t="str">
        <f>IF(A58="","",IF(itens_Remanesc!B58&lt;&gt;"",itens_Remanesc!B58,IF($Z58,0,"")))</f>
        <v/>
      </c>
      <c r="G58" s="169" t="str">
        <f t="shared" si="19"/>
        <v/>
      </c>
      <c r="H58" s="171" t="str">
        <f>IF(A58="","",ROUND(SUMIFS(aditivos!$L$2:$L$200,aditivos!$A$2:$A$200,A58,aditivos!$C$2:$C$200,"C1"),2))</f>
        <v/>
      </c>
      <c r="I58" s="167" t="str">
        <f t="shared" si="20"/>
        <v/>
      </c>
      <c r="J58" s="167" t="str">
        <f>IF(A58="","",IF(itens_Remanesc!E58="","",itens_Remanesc!E58))</f>
        <v/>
      </c>
      <c r="K58" s="173" t="str">
        <f t="shared" si="21"/>
        <v/>
      </c>
      <c r="L58" s="165" t="str">
        <f>IF(A58="","",ROUND(SUMIFS(aditivos!$L$2:$L$200,aditivos!$A$2:$A$200,A58,aditivos!$C$2:$C$200,"C2"),2))</f>
        <v/>
      </c>
      <c r="M58" s="161" t="str">
        <f t="shared" si="22"/>
        <v/>
      </c>
      <c r="N58" s="161" t="str">
        <f>IF(A58="","",IF(itens_Remanesc!G58="","",itens_Remanesc!G58))</f>
        <v/>
      </c>
      <c r="O58" s="169" t="str">
        <f t="shared" si="23"/>
        <v/>
      </c>
      <c r="P58" s="171" t="str">
        <f>IF(A58="","",ROUND(SUMIFS(aditivos!$L$2:$L$200,aditivos!$A$2:$A$200,A58,aditivos!$C$2:$C$200,"C3"),2))</f>
        <v/>
      </c>
      <c r="Q58" s="167" t="str">
        <f t="shared" si="24"/>
        <v/>
      </c>
      <c r="R58" s="167" t="str">
        <f>IF(A58="","",IF(itens_Remanesc!I58="","",itens_Remanesc!I58))</f>
        <v/>
      </c>
      <c r="S58" s="173" t="str">
        <f t="shared" si="25"/>
        <v/>
      </c>
      <c r="T58" s="165" t="str">
        <f>IF(A58="","",ROUND(SUMIFS(aditivos!$L$2:$L$200,aditivos!$A$2:$A$200,A58,aditivos!$C$2:$C$200,"C4"),2))</f>
        <v/>
      </c>
      <c r="U58" s="161" t="str">
        <f t="shared" si="26"/>
        <v/>
      </c>
      <c r="V58" s="161" t="str">
        <f>IF(A58="","",IF(itens_Remanesc!K58="","",itens_Remanesc!K58))</f>
        <v/>
      </c>
      <c r="W58" s="161" t="str">
        <f t="shared" si="27"/>
        <v/>
      </c>
      <c r="X58" s="148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1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48" t="str">
        <f>IF(itens_Remanesc!A59="","",itens_Remanesc!A59)</f>
        <v/>
      </c>
      <c r="B59" s="200" t="str">
        <f>IF(A59="","",itens_Remanesc!C59)</f>
        <v/>
      </c>
      <c r="C59" s="163" t="str">
        <f>IF(A59="","",IF(itens_Remanesc!B59="",0,itens_Remanesc!B59))</f>
        <v/>
      </c>
      <c r="D59" s="165" t="str">
        <f>IF(A59="","",ROUND(SUMIFS(aditivos!$L$2:$L$200,aditivos!$A$2:$A$200,A59,aditivos!$C$2:$C$200,"C0"),2))</f>
        <v/>
      </c>
      <c r="E59" s="161" t="str">
        <f t="shared" si="18"/>
        <v/>
      </c>
      <c r="F59" s="161" t="str">
        <f>IF(A59="","",IF(itens_Remanesc!B59&lt;&gt;"",itens_Remanesc!B59,IF($Z59,0,"")))</f>
        <v/>
      </c>
      <c r="G59" s="169" t="str">
        <f t="shared" si="19"/>
        <v/>
      </c>
      <c r="H59" s="171" t="str">
        <f>IF(A59="","",ROUND(SUMIFS(aditivos!$L$2:$L$200,aditivos!$A$2:$A$200,A59,aditivos!$C$2:$C$200,"C1"),2))</f>
        <v/>
      </c>
      <c r="I59" s="167" t="str">
        <f t="shared" si="20"/>
        <v/>
      </c>
      <c r="J59" s="167" t="str">
        <f>IF(A59="","",IF(itens_Remanesc!E59="","",itens_Remanesc!E59))</f>
        <v/>
      </c>
      <c r="K59" s="173" t="str">
        <f t="shared" si="21"/>
        <v/>
      </c>
      <c r="L59" s="165" t="str">
        <f>IF(A59="","",ROUND(SUMIFS(aditivos!$L$2:$L$200,aditivos!$A$2:$A$200,A59,aditivos!$C$2:$C$200,"C2"),2))</f>
        <v/>
      </c>
      <c r="M59" s="161" t="str">
        <f t="shared" si="22"/>
        <v/>
      </c>
      <c r="N59" s="161" t="str">
        <f>IF(A59="","",IF(itens_Remanesc!G59="","",itens_Remanesc!G59))</f>
        <v/>
      </c>
      <c r="O59" s="169" t="str">
        <f t="shared" si="23"/>
        <v/>
      </c>
      <c r="P59" s="171" t="str">
        <f>IF(A59="","",ROUND(SUMIFS(aditivos!$L$2:$L$200,aditivos!$A$2:$A$200,A59,aditivos!$C$2:$C$200,"C3"),2))</f>
        <v/>
      </c>
      <c r="Q59" s="167" t="str">
        <f t="shared" si="24"/>
        <v/>
      </c>
      <c r="R59" s="167" t="str">
        <f>IF(A59="","",IF(itens_Remanesc!I59="","",itens_Remanesc!I59))</f>
        <v/>
      </c>
      <c r="S59" s="173" t="str">
        <f t="shared" si="25"/>
        <v/>
      </c>
      <c r="T59" s="165" t="str">
        <f>IF(A59="","",ROUND(SUMIFS(aditivos!$L$2:$L$200,aditivos!$A$2:$A$200,A59,aditivos!$C$2:$C$200,"C4"),2))</f>
        <v/>
      </c>
      <c r="U59" s="161" t="str">
        <f t="shared" si="26"/>
        <v/>
      </c>
      <c r="V59" s="161" t="str">
        <f>IF(A59="","",IF(itens_Remanesc!K59="","",itens_Remanesc!K59))</f>
        <v/>
      </c>
      <c r="W59" s="161" t="str">
        <f t="shared" si="27"/>
        <v/>
      </c>
      <c r="X59" s="148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1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48" t="str">
        <f>IF(itens_Remanesc!A60="","",itens_Remanesc!A60)</f>
        <v/>
      </c>
      <c r="B60" s="200" t="str">
        <f>IF(A60="","",itens_Remanesc!C60)</f>
        <v/>
      </c>
      <c r="C60" s="163" t="str">
        <f>IF(A60="","",IF(itens_Remanesc!B60="",0,itens_Remanesc!B60))</f>
        <v/>
      </c>
      <c r="D60" s="165" t="str">
        <f>IF(A60="","",ROUND(SUMIFS(aditivos!$L$2:$L$200,aditivos!$A$2:$A$200,A60,aditivos!$C$2:$C$200,"C0"),2))</f>
        <v/>
      </c>
      <c r="E60" s="161" t="str">
        <f t="shared" si="18"/>
        <v/>
      </c>
      <c r="F60" s="161" t="str">
        <f>IF(A60="","",IF(itens_Remanesc!B60&lt;&gt;"",itens_Remanesc!B60,IF($Z60,0,"")))</f>
        <v/>
      </c>
      <c r="G60" s="169" t="str">
        <f t="shared" si="19"/>
        <v/>
      </c>
      <c r="H60" s="171" t="str">
        <f>IF(A60="","",ROUND(SUMIFS(aditivos!$L$2:$L$200,aditivos!$A$2:$A$200,A60,aditivos!$C$2:$C$200,"C1"),2))</f>
        <v/>
      </c>
      <c r="I60" s="167" t="str">
        <f t="shared" si="20"/>
        <v/>
      </c>
      <c r="J60" s="167" t="str">
        <f>IF(A60="","",IF(itens_Remanesc!E60="","",itens_Remanesc!E60))</f>
        <v/>
      </c>
      <c r="K60" s="173" t="str">
        <f t="shared" si="21"/>
        <v/>
      </c>
      <c r="L60" s="165" t="str">
        <f>IF(A60="","",ROUND(SUMIFS(aditivos!$L$2:$L$200,aditivos!$A$2:$A$200,A60,aditivos!$C$2:$C$200,"C2"),2))</f>
        <v/>
      </c>
      <c r="M60" s="161" t="str">
        <f t="shared" si="22"/>
        <v/>
      </c>
      <c r="N60" s="161" t="str">
        <f>IF(A60="","",IF(itens_Remanesc!G60="","",itens_Remanesc!G60))</f>
        <v/>
      </c>
      <c r="O60" s="169" t="str">
        <f t="shared" si="23"/>
        <v/>
      </c>
      <c r="P60" s="171" t="str">
        <f>IF(A60="","",ROUND(SUMIFS(aditivos!$L$2:$L$200,aditivos!$A$2:$A$200,A60,aditivos!$C$2:$C$200,"C3"),2))</f>
        <v/>
      </c>
      <c r="Q60" s="167" t="str">
        <f t="shared" si="24"/>
        <v/>
      </c>
      <c r="R60" s="167" t="str">
        <f>IF(A60="","",IF(itens_Remanesc!I60="","",itens_Remanesc!I60))</f>
        <v/>
      </c>
      <c r="S60" s="173" t="str">
        <f t="shared" si="25"/>
        <v/>
      </c>
      <c r="T60" s="165" t="str">
        <f>IF(A60="","",ROUND(SUMIFS(aditivos!$L$2:$L$200,aditivos!$A$2:$A$200,A60,aditivos!$C$2:$C$200,"C4"),2))</f>
        <v/>
      </c>
      <c r="U60" s="161" t="str">
        <f t="shared" si="26"/>
        <v/>
      </c>
      <c r="V60" s="161" t="str">
        <f>IF(A60="","",IF(itens_Remanesc!K60="","",itens_Remanesc!K60))</f>
        <v/>
      </c>
      <c r="W60" s="161" t="str">
        <f t="shared" si="27"/>
        <v/>
      </c>
      <c r="X60" s="148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1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48" t="str">
        <f>IF(itens_Remanesc!A61="","",itens_Remanesc!A61)</f>
        <v/>
      </c>
      <c r="B61" s="200" t="str">
        <f>IF(A61="","",itens_Remanesc!C61)</f>
        <v/>
      </c>
      <c r="C61" s="163" t="str">
        <f>IF(A61="","",IF(itens_Remanesc!B61="",0,itens_Remanesc!B61))</f>
        <v/>
      </c>
      <c r="D61" s="165" t="str">
        <f>IF(A61="","",ROUND(SUMIFS(aditivos!$L$2:$L$200,aditivos!$A$2:$A$200,A61,aditivos!$C$2:$C$200,"C0"),2))</f>
        <v/>
      </c>
      <c r="E61" s="161" t="str">
        <f t="shared" si="18"/>
        <v/>
      </c>
      <c r="F61" s="161" t="str">
        <f>IF(A61="","",IF(itens_Remanesc!B61&lt;&gt;"",itens_Remanesc!B61,IF($Z61,0,"")))</f>
        <v/>
      </c>
      <c r="G61" s="169" t="str">
        <f t="shared" si="19"/>
        <v/>
      </c>
      <c r="H61" s="171" t="str">
        <f>IF(A61="","",ROUND(SUMIFS(aditivos!$L$2:$L$200,aditivos!$A$2:$A$200,A61,aditivos!$C$2:$C$200,"C1"),2))</f>
        <v/>
      </c>
      <c r="I61" s="167" t="str">
        <f t="shared" si="20"/>
        <v/>
      </c>
      <c r="J61" s="167" t="str">
        <f>IF(A61="","",IF(itens_Remanesc!E61="","",itens_Remanesc!E61))</f>
        <v/>
      </c>
      <c r="K61" s="173" t="str">
        <f t="shared" si="21"/>
        <v/>
      </c>
      <c r="L61" s="165" t="str">
        <f>IF(A61="","",ROUND(SUMIFS(aditivos!$L$2:$L$200,aditivos!$A$2:$A$200,A61,aditivos!$C$2:$C$200,"C2"),2))</f>
        <v/>
      </c>
      <c r="M61" s="161" t="str">
        <f t="shared" si="22"/>
        <v/>
      </c>
      <c r="N61" s="161" t="str">
        <f>IF(A61="","",IF(itens_Remanesc!G61="","",itens_Remanesc!G61))</f>
        <v/>
      </c>
      <c r="O61" s="169" t="str">
        <f t="shared" si="23"/>
        <v/>
      </c>
      <c r="P61" s="171" t="str">
        <f>IF(A61="","",ROUND(SUMIFS(aditivos!$L$2:$L$200,aditivos!$A$2:$A$200,A61,aditivos!$C$2:$C$200,"C3"),2))</f>
        <v/>
      </c>
      <c r="Q61" s="167" t="str">
        <f t="shared" si="24"/>
        <v/>
      </c>
      <c r="R61" s="167" t="str">
        <f>IF(A61="","",IF(itens_Remanesc!I61="","",itens_Remanesc!I61))</f>
        <v/>
      </c>
      <c r="S61" s="173" t="str">
        <f t="shared" si="25"/>
        <v/>
      </c>
      <c r="T61" s="165" t="str">
        <f>IF(A61="","",ROUND(SUMIFS(aditivos!$L$2:$L$200,aditivos!$A$2:$A$200,A61,aditivos!$C$2:$C$200,"C4"),2))</f>
        <v/>
      </c>
      <c r="U61" s="161" t="str">
        <f t="shared" si="26"/>
        <v/>
      </c>
      <c r="V61" s="161" t="str">
        <f>IF(A61="","",IF(itens_Remanesc!K61="","",itens_Remanesc!K61))</f>
        <v/>
      </c>
      <c r="W61" s="161" t="str">
        <f t="shared" si="27"/>
        <v/>
      </c>
      <c r="X61" s="148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1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48" t="str">
        <f>IF(itens_Remanesc!A62="","",itens_Remanesc!A62)</f>
        <v/>
      </c>
      <c r="B62" s="200" t="str">
        <f>IF(A62="","",itens_Remanesc!C62)</f>
        <v/>
      </c>
      <c r="C62" s="163" t="str">
        <f>IF(A62="","",IF(itens_Remanesc!B62="",0,itens_Remanesc!B62))</f>
        <v/>
      </c>
      <c r="D62" s="165" t="str">
        <f>IF(A62="","",ROUND(SUMIFS(aditivos!$L$2:$L$200,aditivos!$A$2:$A$200,A62,aditivos!$C$2:$C$200,"C0"),2))</f>
        <v/>
      </c>
      <c r="E62" s="161" t="str">
        <f t="shared" si="18"/>
        <v/>
      </c>
      <c r="F62" s="161" t="str">
        <f>IF(A62="","",IF(itens_Remanesc!B62&lt;&gt;"",itens_Remanesc!B62,IF($Z62,0,"")))</f>
        <v/>
      </c>
      <c r="G62" s="169" t="str">
        <f t="shared" si="19"/>
        <v/>
      </c>
      <c r="H62" s="171" t="str">
        <f>IF(A62="","",ROUND(SUMIFS(aditivos!$L$2:$L$200,aditivos!$A$2:$A$200,A62,aditivos!$C$2:$C$200,"C1"),2))</f>
        <v/>
      </c>
      <c r="I62" s="167" t="str">
        <f t="shared" si="20"/>
        <v/>
      </c>
      <c r="J62" s="167" t="str">
        <f>IF(A62="","",IF(itens_Remanesc!E62="","",itens_Remanesc!E62))</f>
        <v/>
      </c>
      <c r="K62" s="173" t="str">
        <f t="shared" si="21"/>
        <v/>
      </c>
      <c r="L62" s="165" t="str">
        <f>IF(A62="","",ROUND(SUMIFS(aditivos!$L$2:$L$200,aditivos!$A$2:$A$200,A62,aditivos!$C$2:$C$200,"C2"),2))</f>
        <v/>
      </c>
      <c r="M62" s="161" t="str">
        <f t="shared" si="22"/>
        <v/>
      </c>
      <c r="N62" s="161" t="str">
        <f>IF(A62="","",IF(itens_Remanesc!G62="","",itens_Remanesc!G62))</f>
        <v/>
      </c>
      <c r="O62" s="169" t="str">
        <f t="shared" si="23"/>
        <v/>
      </c>
      <c r="P62" s="171" t="str">
        <f>IF(A62="","",ROUND(SUMIFS(aditivos!$L$2:$L$200,aditivos!$A$2:$A$200,A62,aditivos!$C$2:$C$200,"C3"),2))</f>
        <v/>
      </c>
      <c r="Q62" s="167" t="str">
        <f t="shared" si="24"/>
        <v/>
      </c>
      <c r="R62" s="167" t="str">
        <f>IF(A62="","",IF(itens_Remanesc!I62="","",itens_Remanesc!I62))</f>
        <v/>
      </c>
      <c r="S62" s="173" t="str">
        <f t="shared" si="25"/>
        <v/>
      </c>
      <c r="T62" s="165" t="str">
        <f>IF(A62="","",ROUND(SUMIFS(aditivos!$L$2:$L$200,aditivos!$A$2:$A$200,A62,aditivos!$C$2:$C$200,"C4"),2))</f>
        <v/>
      </c>
      <c r="U62" s="161" t="str">
        <f t="shared" si="26"/>
        <v/>
      </c>
      <c r="V62" s="161" t="str">
        <f>IF(A62="","",IF(itens_Remanesc!K62="","",itens_Remanesc!K62))</f>
        <v/>
      </c>
      <c r="W62" s="161" t="str">
        <f t="shared" si="27"/>
        <v/>
      </c>
      <c r="X62" s="148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1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48" t="str">
        <f>IF(itens_Remanesc!A63="","",itens_Remanesc!A63)</f>
        <v/>
      </c>
      <c r="B63" s="200" t="str">
        <f>IF(A63="","",itens_Remanesc!C63)</f>
        <v/>
      </c>
      <c r="C63" s="163" t="str">
        <f>IF(A63="","",IF(itens_Remanesc!B63="",0,itens_Remanesc!B63))</f>
        <v/>
      </c>
      <c r="D63" s="165" t="str">
        <f>IF(A63="","",ROUND(SUMIFS(aditivos!$L$2:$L$200,aditivos!$A$2:$A$200,A63,aditivos!$C$2:$C$200,"C0"),2))</f>
        <v/>
      </c>
      <c r="E63" s="161" t="str">
        <f t="shared" si="18"/>
        <v/>
      </c>
      <c r="F63" s="161" t="str">
        <f>IF(A63="","",IF(itens_Remanesc!B63&lt;&gt;"",itens_Remanesc!B63,IF($Z63,0,"")))</f>
        <v/>
      </c>
      <c r="G63" s="169" t="str">
        <f t="shared" si="19"/>
        <v/>
      </c>
      <c r="H63" s="171" t="str">
        <f>IF(A63="","",ROUND(SUMIFS(aditivos!$L$2:$L$200,aditivos!$A$2:$A$200,A63,aditivos!$C$2:$C$200,"C1"),2))</f>
        <v/>
      </c>
      <c r="I63" s="167" t="str">
        <f t="shared" si="20"/>
        <v/>
      </c>
      <c r="J63" s="167" t="str">
        <f>IF(A63="","",IF(itens_Remanesc!E63="","",itens_Remanesc!E63))</f>
        <v/>
      </c>
      <c r="K63" s="173" t="str">
        <f t="shared" si="21"/>
        <v/>
      </c>
      <c r="L63" s="165" t="str">
        <f>IF(A63="","",ROUND(SUMIFS(aditivos!$L$2:$L$200,aditivos!$A$2:$A$200,A63,aditivos!$C$2:$C$200,"C2"),2))</f>
        <v/>
      </c>
      <c r="M63" s="161" t="str">
        <f t="shared" si="22"/>
        <v/>
      </c>
      <c r="N63" s="161" t="str">
        <f>IF(A63="","",IF(itens_Remanesc!G63="","",itens_Remanesc!G63))</f>
        <v/>
      </c>
      <c r="O63" s="169" t="str">
        <f t="shared" si="23"/>
        <v/>
      </c>
      <c r="P63" s="171" t="str">
        <f>IF(A63="","",ROUND(SUMIFS(aditivos!$L$2:$L$200,aditivos!$A$2:$A$200,A63,aditivos!$C$2:$C$200,"C3"),2))</f>
        <v/>
      </c>
      <c r="Q63" s="167" t="str">
        <f t="shared" si="24"/>
        <v/>
      </c>
      <c r="R63" s="167" t="str">
        <f>IF(A63="","",IF(itens_Remanesc!I63="","",itens_Remanesc!I63))</f>
        <v/>
      </c>
      <c r="S63" s="173" t="str">
        <f t="shared" si="25"/>
        <v/>
      </c>
      <c r="T63" s="165" t="str">
        <f>IF(A63="","",ROUND(SUMIFS(aditivos!$L$2:$L$200,aditivos!$A$2:$A$200,A63,aditivos!$C$2:$C$200,"C4"),2))</f>
        <v/>
      </c>
      <c r="U63" s="161" t="str">
        <f t="shared" si="26"/>
        <v/>
      </c>
      <c r="V63" s="161" t="str">
        <f>IF(A63="","",IF(itens_Remanesc!K63="","",itens_Remanesc!K63))</f>
        <v/>
      </c>
      <c r="W63" s="161" t="str">
        <f t="shared" si="27"/>
        <v/>
      </c>
      <c r="X63" s="148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1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48" t="str">
        <f>IF(itens_Remanesc!A64="","",itens_Remanesc!A64)</f>
        <v/>
      </c>
      <c r="B64" s="200" t="str">
        <f>IF(A64="","",itens_Remanesc!C64)</f>
        <v/>
      </c>
      <c r="C64" s="163" t="str">
        <f>IF(A64="","",IF(itens_Remanesc!B64="",0,itens_Remanesc!B64))</f>
        <v/>
      </c>
      <c r="D64" s="165" t="str">
        <f>IF(A64="","",ROUND(SUMIFS(aditivos!$L$2:$L$200,aditivos!$A$2:$A$200,A64,aditivos!$C$2:$C$200,"C0"),2))</f>
        <v/>
      </c>
      <c r="E64" s="161" t="str">
        <f t="shared" si="18"/>
        <v/>
      </c>
      <c r="F64" s="161" t="str">
        <f>IF(A64="","",IF(itens_Remanesc!B64&lt;&gt;"",itens_Remanesc!B64,IF($Z64,0,"")))</f>
        <v/>
      </c>
      <c r="G64" s="169" t="str">
        <f t="shared" si="19"/>
        <v/>
      </c>
      <c r="H64" s="171" t="str">
        <f>IF(A64="","",ROUND(SUMIFS(aditivos!$L$2:$L$200,aditivos!$A$2:$A$200,A64,aditivos!$C$2:$C$200,"C1"),2))</f>
        <v/>
      </c>
      <c r="I64" s="167" t="str">
        <f t="shared" si="20"/>
        <v/>
      </c>
      <c r="J64" s="167" t="str">
        <f>IF(A64="","",IF(itens_Remanesc!E64="","",itens_Remanesc!E64))</f>
        <v/>
      </c>
      <c r="K64" s="173" t="str">
        <f t="shared" si="21"/>
        <v/>
      </c>
      <c r="L64" s="165" t="str">
        <f>IF(A64="","",ROUND(SUMIFS(aditivos!$L$2:$L$200,aditivos!$A$2:$A$200,A64,aditivos!$C$2:$C$200,"C2"),2))</f>
        <v/>
      </c>
      <c r="M64" s="161" t="str">
        <f t="shared" si="22"/>
        <v/>
      </c>
      <c r="N64" s="161" t="str">
        <f>IF(A64="","",IF(itens_Remanesc!G64="","",itens_Remanesc!G64))</f>
        <v/>
      </c>
      <c r="O64" s="169" t="str">
        <f t="shared" si="23"/>
        <v/>
      </c>
      <c r="P64" s="171" t="str">
        <f>IF(A64="","",ROUND(SUMIFS(aditivos!$L$2:$L$200,aditivos!$A$2:$A$200,A64,aditivos!$C$2:$C$200,"C3"),2))</f>
        <v/>
      </c>
      <c r="Q64" s="167" t="str">
        <f t="shared" si="24"/>
        <v/>
      </c>
      <c r="R64" s="167" t="str">
        <f>IF(A64="","",IF(itens_Remanesc!I64="","",itens_Remanesc!I64))</f>
        <v/>
      </c>
      <c r="S64" s="173" t="str">
        <f t="shared" si="25"/>
        <v/>
      </c>
      <c r="T64" s="165" t="str">
        <f>IF(A64="","",ROUND(SUMIFS(aditivos!$L$2:$L$200,aditivos!$A$2:$A$200,A64,aditivos!$C$2:$C$200,"C4"),2))</f>
        <v/>
      </c>
      <c r="U64" s="161" t="str">
        <f t="shared" si="26"/>
        <v/>
      </c>
      <c r="V64" s="161" t="str">
        <f>IF(A64="","",IF(itens_Remanesc!K64="","",itens_Remanesc!K64))</f>
        <v/>
      </c>
      <c r="W64" s="161" t="str">
        <f t="shared" si="27"/>
        <v/>
      </c>
      <c r="X64" s="148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1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48" t="str">
        <f>IF(itens_Remanesc!A65="","",itens_Remanesc!A65)</f>
        <v/>
      </c>
      <c r="B65" s="200" t="str">
        <f>IF(A65="","",itens_Remanesc!C65)</f>
        <v/>
      </c>
      <c r="C65" s="163" t="str">
        <f>IF(A65="","",IF(itens_Remanesc!B65="",0,itens_Remanesc!B65))</f>
        <v/>
      </c>
      <c r="D65" s="165" t="str">
        <f>IF(A65="","",ROUND(SUMIFS(aditivos!$L$2:$L$200,aditivos!$A$2:$A$200,A65,aditivos!$C$2:$C$200,"C0"),2))</f>
        <v/>
      </c>
      <c r="E65" s="161" t="str">
        <f t="shared" si="18"/>
        <v/>
      </c>
      <c r="F65" s="161" t="str">
        <f>IF(A65="","",IF(itens_Remanesc!B65&lt;&gt;"",itens_Remanesc!B65,IF($Z65,0,"")))</f>
        <v/>
      </c>
      <c r="G65" s="169" t="str">
        <f t="shared" si="19"/>
        <v/>
      </c>
      <c r="H65" s="171" t="str">
        <f>IF(A65="","",ROUND(SUMIFS(aditivos!$L$2:$L$200,aditivos!$A$2:$A$200,A65,aditivos!$C$2:$C$200,"C1"),2))</f>
        <v/>
      </c>
      <c r="I65" s="167" t="str">
        <f t="shared" si="20"/>
        <v/>
      </c>
      <c r="J65" s="167" t="str">
        <f>IF(A65="","",IF(itens_Remanesc!E65="","",itens_Remanesc!E65))</f>
        <v/>
      </c>
      <c r="K65" s="173" t="str">
        <f t="shared" si="21"/>
        <v/>
      </c>
      <c r="L65" s="165" t="str">
        <f>IF(A65="","",ROUND(SUMIFS(aditivos!$L$2:$L$200,aditivos!$A$2:$A$200,A65,aditivos!$C$2:$C$200,"C2"),2))</f>
        <v/>
      </c>
      <c r="M65" s="161" t="str">
        <f t="shared" si="22"/>
        <v/>
      </c>
      <c r="N65" s="161" t="str">
        <f>IF(A65="","",IF(itens_Remanesc!G65="","",itens_Remanesc!G65))</f>
        <v/>
      </c>
      <c r="O65" s="169" t="str">
        <f t="shared" si="23"/>
        <v/>
      </c>
      <c r="P65" s="171" t="str">
        <f>IF(A65="","",ROUND(SUMIFS(aditivos!$L$2:$L$200,aditivos!$A$2:$A$200,A65,aditivos!$C$2:$C$200,"C3"),2))</f>
        <v/>
      </c>
      <c r="Q65" s="167" t="str">
        <f t="shared" si="24"/>
        <v/>
      </c>
      <c r="R65" s="167" t="str">
        <f>IF(A65="","",IF(itens_Remanesc!I65="","",itens_Remanesc!I65))</f>
        <v/>
      </c>
      <c r="S65" s="173" t="str">
        <f t="shared" si="25"/>
        <v/>
      </c>
      <c r="T65" s="165" t="str">
        <f>IF(A65="","",ROUND(SUMIFS(aditivos!$L$2:$L$200,aditivos!$A$2:$A$200,A65,aditivos!$C$2:$C$200,"C4"),2))</f>
        <v/>
      </c>
      <c r="U65" s="161" t="str">
        <f t="shared" si="26"/>
        <v/>
      </c>
      <c r="V65" s="161" t="str">
        <f>IF(A65="","",IF(itens_Remanesc!K65="","",itens_Remanesc!K65))</f>
        <v/>
      </c>
      <c r="W65" s="161" t="str">
        <f t="shared" si="27"/>
        <v/>
      </c>
      <c r="X65" s="148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1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48" t="str">
        <f>IF(itens_Remanesc!A66="","",itens_Remanesc!A66)</f>
        <v/>
      </c>
      <c r="B66" s="200" t="str">
        <f>IF(A66="","",itens_Remanesc!C66)</f>
        <v/>
      </c>
      <c r="C66" s="163" t="str">
        <f>IF(A66="","",IF(itens_Remanesc!B66="",0,itens_Remanesc!B66))</f>
        <v/>
      </c>
      <c r="D66" s="165" t="str">
        <f>IF(A66="","",ROUND(SUMIFS(aditivos!$L$2:$L$200,aditivos!$A$2:$A$200,A66,aditivos!$C$2:$C$200,"C0"),2))</f>
        <v/>
      </c>
      <c r="E66" s="161" t="str">
        <f t="shared" ref="E66:E97" si="36">IF(A66="","",ROUND(C66+D66,2))</f>
        <v/>
      </c>
      <c r="F66" s="161" t="str">
        <f>IF(A66="","",IF(itens_Remanesc!B66&lt;&gt;"",itens_Remanesc!B66,IF($Z66,0,"")))</f>
        <v/>
      </c>
      <c r="G66" s="169" t="str">
        <f t="shared" ref="G66:G97" si="37">IF(A66="","",IF($Y66="","",IF($Y66&gt;0,"",ROUND(E66,2))))</f>
        <v/>
      </c>
      <c r="H66" s="171" t="str">
        <f>IF(A66="","",ROUND(SUMIFS(aditivos!$L$2:$L$200,aditivos!$A$2:$A$200,A66,aditivos!$C$2:$C$200,"C1"),2))</f>
        <v/>
      </c>
      <c r="I66" s="167" t="str">
        <f t="shared" ref="I66:I97" si="38">IF(A66="","",ROUND(E66+H66,2))</f>
        <v/>
      </c>
      <c r="J66" s="167" t="str">
        <f>IF(A66="","",IF(itens_Remanesc!E66="","",itens_Remanesc!E66))</f>
        <v/>
      </c>
      <c r="K66" s="173" t="str">
        <f t="shared" ref="K66:K97" si="39">IF(A66="","",IF($Y66="","",IF($Y66&gt;1,"",IF(ISNUMBER(J66),ROUND(J66+H66,2),IF($Y66=1,ROUND(H66,2),"")))))</f>
        <v/>
      </c>
      <c r="L66" s="165" t="str">
        <f>IF(A66="","",ROUND(SUMIFS(aditivos!$L$2:$L$200,aditivos!$A$2:$A$200,A66,aditivos!$C$2:$C$200,"C2"),2))</f>
        <v/>
      </c>
      <c r="M66" s="161" t="str">
        <f t="shared" ref="M66:M97" si="40">IF(A66="","",ROUND(I66+L66,2))</f>
        <v/>
      </c>
      <c r="N66" s="161" t="str">
        <f>IF(A66="","",IF(itens_Remanesc!G66="","",itens_Remanesc!G66))</f>
        <v/>
      </c>
      <c r="O66" s="169" t="str">
        <f t="shared" ref="O66:O97" si="41">IF(A66="","",IF($Y66="","",IF($Y66&gt;2,"",IF(ISNUMBER(N66),ROUND(N66+L66,2),IF($Y66=2,ROUND(L66,2),"")))))</f>
        <v/>
      </c>
      <c r="P66" s="171" t="str">
        <f>IF(A66="","",ROUND(SUMIFS(aditivos!$L$2:$L$200,aditivos!$A$2:$A$200,A66,aditivos!$C$2:$C$200,"C3"),2))</f>
        <v/>
      </c>
      <c r="Q66" s="167" t="str">
        <f t="shared" ref="Q66:Q97" si="42">IF(A66="","",ROUND(M66+P66,2))</f>
        <v/>
      </c>
      <c r="R66" s="167" t="str">
        <f>IF(A66="","",IF(itens_Remanesc!I66="","",itens_Remanesc!I66))</f>
        <v/>
      </c>
      <c r="S66" s="173" t="str">
        <f t="shared" ref="S66:S97" si="43">IF(A66="","",IF($Y66="","",IF($Y66&gt;3,"",IF(ISNUMBER(R66),ROUND(R66+P66,2),IF($Y66=3,ROUND(P66,2),"")))))</f>
        <v/>
      </c>
      <c r="T66" s="165" t="str">
        <f>IF(A66="","",ROUND(SUMIFS(aditivos!$L$2:$L$200,aditivos!$A$2:$A$200,A66,aditivos!$C$2:$C$200,"C4"),2))</f>
        <v/>
      </c>
      <c r="U66" s="161" t="str">
        <f t="shared" ref="U66:U97" si="44">IF(A66="","",ROUND(Q66+T66,2))</f>
        <v/>
      </c>
      <c r="V66" s="161" t="str">
        <f>IF(A66="","",IF(itens_Remanesc!K66="","",itens_Remanesc!K66))</f>
        <v/>
      </c>
      <c r="W66" s="161" t="str">
        <f t="shared" ref="W66:W97" si="45">IF(A66="","",IF($Y66="","",IF($Y66&gt;4,"",IF(ISNUMBER(V66),ROUND(V66+T66,2),IF($Y66=4,ROUND(T66,2),"")))))</f>
        <v/>
      </c>
      <c r="X66" s="148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1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48" t="str">
        <f>IF(itens_Remanesc!A67="","",itens_Remanesc!A67)</f>
        <v/>
      </c>
      <c r="B67" s="200" t="str">
        <f>IF(A67="","",itens_Remanesc!C67)</f>
        <v/>
      </c>
      <c r="C67" s="163" t="str">
        <f>IF(A67="","",IF(itens_Remanesc!B67="",0,itens_Remanesc!B67))</f>
        <v/>
      </c>
      <c r="D67" s="165" t="str">
        <f>IF(A67="","",ROUND(SUMIFS(aditivos!$L$2:$L$200,aditivos!$A$2:$A$200,A67,aditivos!$C$2:$C$200,"C0"),2))</f>
        <v/>
      </c>
      <c r="E67" s="161" t="str">
        <f t="shared" si="36"/>
        <v/>
      </c>
      <c r="F67" s="161" t="str">
        <f>IF(A67="","",IF(itens_Remanesc!B67&lt;&gt;"",itens_Remanesc!B67,IF($Z67,0,"")))</f>
        <v/>
      </c>
      <c r="G67" s="169" t="str">
        <f t="shared" si="37"/>
        <v/>
      </c>
      <c r="H67" s="171" t="str">
        <f>IF(A67="","",ROUND(SUMIFS(aditivos!$L$2:$L$200,aditivos!$A$2:$A$200,A67,aditivos!$C$2:$C$200,"C1"),2))</f>
        <v/>
      </c>
      <c r="I67" s="167" t="str">
        <f t="shared" si="38"/>
        <v/>
      </c>
      <c r="J67" s="167" t="str">
        <f>IF(A67="","",IF(itens_Remanesc!E67="","",itens_Remanesc!E67))</f>
        <v/>
      </c>
      <c r="K67" s="173" t="str">
        <f t="shared" si="39"/>
        <v/>
      </c>
      <c r="L67" s="165" t="str">
        <f>IF(A67="","",ROUND(SUMIFS(aditivos!$L$2:$L$200,aditivos!$A$2:$A$200,A67,aditivos!$C$2:$C$200,"C2"),2))</f>
        <v/>
      </c>
      <c r="M67" s="161" t="str">
        <f t="shared" si="40"/>
        <v/>
      </c>
      <c r="N67" s="161" t="str">
        <f>IF(A67="","",IF(itens_Remanesc!G67="","",itens_Remanesc!G67))</f>
        <v/>
      </c>
      <c r="O67" s="169" t="str">
        <f t="shared" si="41"/>
        <v/>
      </c>
      <c r="P67" s="171" t="str">
        <f>IF(A67="","",ROUND(SUMIFS(aditivos!$L$2:$L$200,aditivos!$A$2:$A$200,A67,aditivos!$C$2:$C$200,"C3"),2))</f>
        <v/>
      </c>
      <c r="Q67" s="167" t="str">
        <f t="shared" si="42"/>
        <v/>
      </c>
      <c r="R67" s="167" t="str">
        <f>IF(A67="","",IF(itens_Remanesc!I67="","",itens_Remanesc!I67))</f>
        <v/>
      </c>
      <c r="S67" s="173" t="str">
        <f t="shared" si="43"/>
        <v/>
      </c>
      <c r="T67" s="165" t="str">
        <f>IF(A67="","",ROUND(SUMIFS(aditivos!$L$2:$L$200,aditivos!$A$2:$A$200,A67,aditivos!$C$2:$C$200,"C4"),2))</f>
        <v/>
      </c>
      <c r="U67" s="161" t="str">
        <f t="shared" si="44"/>
        <v/>
      </c>
      <c r="V67" s="161" t="str">
        <f>IF(A67="","",IF(itens_Remanesc!K67="","",itens_Remanesc!K67))</f>
        <v/>
      </c>
      <c r="W67" s="161" t="str">
        <f t="shared" si="45"/>
        <v/>
      </c>
      <c r="X67" s="148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1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48" t="str">
        <f>IF(itens_Remanesc!A68="","",itens_Remanesc!A68)</f>
        <v/>
      </c>
      <c r="B68" s="200" t="str">
        <f>IF(A68="","",itens_Remanesc!C68)</f>
        <v/>
      </c>
      <c r="C68" s="163" t="str">
        <f>IF(A68="","",IF(itens_Remanesc!B68="",0,itens_Remanesc!B68))</f>
        <v/>
      </c>
      <c r="D68" s="165" t="str">
        <f>IF(A68="","",ROUND(SUMIFS(aditivos!$L$2:$L$200,aditivos!$A$2:$A$200,A68,aditivos!$C$2:$C$200,"C0"),2))</f>
        <v/>
      </c>
      <c r="E68" s="161" t="str">
        <f t="shared" si="36"/>
        <v/>
      </c>
      <c r="F68" s="161" t="str">
        <f>IF(A68="","",IF(itens_Remanesc!B68&lt;&gt;"",itens_Remanesc!B68,IF($Z68,0,"")))</f>
        <v/>
      </c>
      <c r="G68" s="169" t="str">
        <f t="shared" si="37"/>
        <v/>
      </c>
      <c r="H68" s="171" t="str">
        <f>IF(A68="","",ROUND(SUMIFS(aditivos!$L$2:$L$200,aditivos!$A$2:$A$200,A68,aditivos!$C$2:$C$200,"C1"),2))</f>
        <v/>
      </c>
      <c r="I68" s="167" t="str">
        <f t="shared" si="38"/>
        <v/>
      </c>
      <c r="J68" s="167" t="str">
        <f>IF(A68="","",IF(itens_Remanesc!E68="","",itens_Remanesc!E68))</f>
        <v/>
      </c>
      <c r="K68" s="173" t="str">
        <f t="shared" si="39"/>
        <v/>
      </c>
      <c r="L68" s="165" t="str">
        <f>IF(A68="","",ROUND(SUMIFS(aditivos!$L$2:$L$200,aditivos!$A$2:$A$200,A68,aditivos!$C$2:$C$200,"C2"),2))</f>
        <v/>
      </c>
      <c r="M68" s="161" t="str">
        <f t="shared" si="40"/>
        <v/>
      </c>
      <c r="N68" s="161" t="str">
        <f>IF(A68="","",IF(itens_Remanesc!G68="","",itens_Remanesc!G68))</f>
        <v/>
      </c>
      <c r="O68" s="169" t="str">
        <f t="shared" si="41"/>
        <v/>
      </c>
      <c r="P68" s="171" t="str">
        <f>IF(A68="","",ROUND(SUMIFS(aditivos!$L$2:$L$200,aditivos!$A$2:$A$200,A68,aditivos!$C$2:$C$200,"C3"),2))</f>
        <v/>
      </c>
      <c r="Q68" s="167" t="str">
        <f t="shared" si="42"/>
        <v/>
      </c>
      <c r="R68" s="167" t="str">
        <f>IF(A68="","",IF(itens_Remanesc!I68="","",itens_Remanesc!I68))</f>
        <v/>
      </c>
      <c r="S68" s="173" t="str">
        <f t="shared" si="43"/>
        <v/>
      </c>
      <c r="T68" s="165" t="str">
        <f>IF(A68="","",ROUND(SUMIFS(aditivos!$L$2:$L$200,aditivos!$A$2:$A$200,A68,aditivos!$C$2:$C$200,"C4"),2))</f>
        <v/>
      </c>
      <c r="U68" s="161" t="str">
        <f t="shared" si="44"/>
        <v/>
      </c>
      <c r="V68" s="161" t="str">
        <f>IF(A68="","",IF(itens_Remanesc!K68="","",itens_Remanesc!K68))</f>
        <v/>
      </c>
      <c r="W68" s="161" t="str">
        <f t="shared" si="45"/>
        <v/>
      </c>
      <c r="X68" s="148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1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48" t="str">
        <f>IF(itens_Remanesc!A69="","",itens_Remanesc!A69)</f>
        <v/>
      </c>
      <c r="B69" s="200" t="str">
        <f>IF(A69="","",itens_Remanesc!C69)</f>
        <v/>
      </c>
      <c r="C69" s="163" t="str">
        <f>IF(A69="","",IF(itens_Remanesc!B69="",0,itens_Remanesc!B69))</f>
        <v/>
      </c>
      <c r="D69" s="165" t="str">
        <f>IF(A69="","",ROUND(SUMIFS(aditivos!$L$2:$L$200,aditivos!$A$2:$A$200,A69,aditivos!$C$2:$C$200,"C0"),2))</f>
        <v/>
      </c>
      <c r="E69" s="161" t="str">
        <f t="shared" si="36"/>
        <v/>
      </c>
      <c r="F69" s="161" t="str">
        <f>IF(A69="","",IF(itens_Remanesc!B69&lt;&gt;"",itens_Remanesc!B69,IF($Z69,0,"")))</f>
        <v/>
      </c>
      <c r="G69" s="169" t="str">
        <f t="shared" si="37"/>
        <v/>
      </c>
      <c r="H69" s="171" t="str">
        <f>IF(A69="","",ROUND(SUMIFS(aditivos!$L$2:$L$200,aditivos!$A$2:$A$200,A69,aditivos!$C$2:$C$200,"C1"),2))</f>
        <v/>
      </c>
      <c r="I69" s="167" t="str">
        <f t="shared" si="38"/>
        <v/>
      </c>
      <c r="J69" s="167" t="str">
        <f>IF(A69="","",IF(itens_Remanesc!E69="","",itens_Remanesc!E69))</f>
        <v/>
      </c>
      <c r="K69" s="173" t="str">
        <f t="shared" si="39"/>
        <v/>
      </c>
      <c r="L69" s="165" t="str">
        <f>IF(A69="","",ROUND(SUMIFS(aditivos!$L$2:$L$200,aditivos!$A$2:$A$200,A69,aditivos!$C$2:$C$200,"C2"),2))</f>
        <v/>
      </c>
      <c r="M69" s="161" t="str">
        <f t="shared" si="40"/>
        <v/>
      </c>
      <c r="N69" s="161" t="str">
        <f>IF(A69="","",IF(itens_Remanesc!G69="","",itens_Remanesc!G69))</f>
        <v/>
      </c>
      <c r="O69" s="169" t="str">
        <f t="shared" si="41"/>
        <v/>
      </c>
      <c r="P69" s="171" t="str">
        <f>IF(A69="","",ROUND(SUMIFS(aditivos!$L$2:$L$200,aditivos!$A$2:$A$200,A69,aditivos!$C$2:$C$200,"C3"),2))</f>
        <v/>
      </c>
      <c r="Q69" s="167" t="str">
        <f t="shared" si="42"/>
        <v/>
      </c>
      <c r="R69" s="167" t="str">
        <f>IF(A69="","",IF(itens_Remanesc!I69="","",itens_Remanesc!I69))</f>
        <v/>
      </c>
      <c r="S69" s="173" t="str">
        <f t="shared" si="43"/>
        <v/>
      </c>
      <c r="T69" s="165" t="str">
        <f>IF(A69="","",ROUND(SUMIFS(aditivos!$L$2:$L$200,aditivos!$A$2:$A$200,A69,aditivos!$C$2:$C$200,"C4"),2))</f>
        <v/>
      </c>
      <c r="U69" s="161" t="str">
        <f t="shared" si="44"/>
        <v/>
      </c>
      <c r="V69" s="161" t="str">
        <f>IF(A69="","",IF(itens_Remanesc!K69="","",itens_Remanesc!K69))</f>
        <v/>
      </c>
      <c r="W69" s="161" t="str">
        <f t="shared" si="45"/>
        <v/>
      </c>
      <c r="X69" s="148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1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48" t="str">
        <f>IF(itens_Remanesc!A70="","",itens_Remanesc!A70)</f>
        <v/>
      </c>
      <c r="B70" s="200" t="str">
        <f>IF(A70="","",itens_Remanesc!C70)</f>
        <v/>
      </c>
      <c r="C70" s="163" t="str">
        <f>IF(A70="","",IF(itens_Remanesc!B70="",0,itens_Remanesc!B70))</f>
        <v/>
      </c>
      <c r="D70" s="165" t="str">
        <f>IF(A70="","",ROUND(SUMIFS(aditivos!$L$2:$L$200,aditivos!$A$2:$A$200,A70,aditivos!$C$2:$C$200,"C0"),2))</f>
        <v/>
      </c>
      <c r="E70" s="161" t="str">
        <f t="shared" si="36"/>
        <v/>
      </c>
      <c r="F70" s="161" t="str">
        <f>IF(A70="","",IF(itens_Remanesc!B70&lt;&gt;"",itens_Remanesc!B70,IF($Z70,0,"")))</f>
        <v/>
      </c>
      <c r="G70" s="169" t="str">
        <f t="shared" si="37"/>
        <v/>
      </c>
      <c r="H70" s="171" t="str">
        <f>IF(A70="","",ROUND(SUMIFS(aditivos!$L$2:$L$200,aditivos!$A$2:$A$200,A70,aditivos!$C$2:$C$200,"C1"),2))</f>
        <v/>
      </c>
      <c r="I70" s="167" t="str">
        <f t="shared" si="38"/>
        <v/>
      </c>
      <c r="J70" s="167" t="str">
        <f>IF(A70="","",IF(itens_Remanesc!E70="","",itens_Remanesc!E70))</f>
        <v/>
      </c>
      <c r="K70" s="173" t="str">
        <f t="shared" si="39"/>
        <v/>
      </c>
      <c r="L70" s="165" t="str">
        <f>IF(A70="","",ROUND(SUMIFS(aditivos!$L$2:$L$200,aditivos!$A$2:$A$200,A70,aditivos!$C$2:$C$200,"C2"),2))</f>
        <v/>
      </c>
      <c r="M70" s="161" t="str">
        <f t="shared" si="40"/>
        <v/>
      </c>
      <c r="N70" s="161" t="str">
        <f>IF(A70="","",IF(itens_Remanesc!G70="","",itens_Remanesc!G70))</f>
        <v/>
      </c>
      <c r="O70" s="169" t="str">
        <f t="shared" si="41"/>
        <v/>
      </c>
      <c r="P70" s="171" t="str">
        <f>IF(A70="","",ROUND(SUMIFS(aditivos!$L$2:$L$200,aditivos!$A$2:$A$200,A70,aditivos!$C$2:$C$200,"C3"),2))</f>
        <v/>
      </c>
      <c r="Q70" s="167" t="str">
        <f t="shared" si="42"/>
        <v/>
      </c>
      <c r="R70" s="167" t="str">
        <f>IF(A70="","",IF(itens_Remanesc!I70="","",itens_Remanesc!I70))</f>
        <v/>
      </c>
      <c r="S70" s="173" t="str">
        <f t="shared" si="43"/>
        <v/>
      </c>
      <c r="T70" s="165" t="str">
        <f>IF(A70="","",ROUND(SUMIFS(aditivos!$L$2:$L$200,aditivos!$A$2:$A$200,A70,aditivos!$C$2:$C$200,"C4"),2))</f>
        <v/>
      </c>
      <c r="U70" s="161" t="str">
        <f t="shared" si="44"/>
        <v/>
      </c>
      <c r="V70" s="161" t="str">
        <f>IF(A70="","",IF(itens_Remanesc!K70="","",itens_Remanesc!K70))</f>
        <v/>
      </c>
      <c r="W70" s="161" t="str">
        <f t="shared" si="45"/>
        <v/>
      </c>
      <c r="X70" s="148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1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48" t="str">
        <f>IF(itens_Remanesc!A71="","",itens_Remanesc!A71)</f>
        <v/>
      </c>
      <c r="B71" s="200" t="str">
        <f>IF(A71="","",itens_Remanesc!C71)</f>
        <v/>
      </c>
      <c r="C71" s="163" t="str">
        <f>IF(A71="","",IF(itens_Remanesc!B71="",0,itens_Remanesc!B71))</f>
        <v/>
      </c>
      <c r="D71" s="165" t="str">
        <f>IF(A71="","",ROUND(SUMIFS(aditivos!$L$2:$L$200,aditivos!$A$2:$A$200,A71,aditivos!$C$2:$C$200,"C0"),2))</f>
        <v/>
      </c>
      <c r="E71" s="161" t="str">
        <f t="shared" si="36"/>
        <v/>
      </c>
      <c r="F71" s="161" t="str">
        <f>IF(A71="","",IF(itens_Remanesc!B71&lt;&gt;"",itens_Remanesc!B71,IF($Z71,0,"")))</f>
        <v/>
      </c>
      <c r="G71" s="169" t="str">
        <f t="shared" si="37"/>
        <v/>
      </c>
      <c r="H71" s="171" t="str">
        <f>IF(A71="","",ROUND(SUMIFS(aditivos!$L$2:$L$200,aditivos!$A$2:$A$200,A71,aditivos!$C$2:$C$200,"C1"),2))</f>
        <v/>
      </c>
      <c r="I71" s="167" t="str">
        <f t="shared" si="38"/>
        <v/>
      </c>
      <c r="J71" s="167" t="str">
        <f>IF(A71="","",IF(itens_Remanesc!E71="","",itens_Remanesc!E71))</f>
        <v/>
      </c>
      <c r="K71" s="173" t="str">
        <f t="shared" si="39"/>
        <v/>
      </c>
      <c r="L71" s="165" t="str">
        <f>IF(A71="","",ROUND(SUMIFS(aditivos!$L$2:$L$200,aditivos!$A$2:$A$200,A71,aditivos!$C$2:$C$200,"C2"),2))</f>
        <v/>
      </c>
      <c r="M71" s="161" t="str">
        <f t="shared" si="40"/>
        <v/>
      </c>
      <c r="N71" s="161" t="str">
        <f>IF(A71="","",IF(itens_Remanesc!G71="","",itens_Remanesc!G71))</f>
        <v/>
      </c>
      <c r="O71" s="169" t="str">
        <f t="shared" si="41"/>
        <v/>
      </c>
      <c r="P71" s="171" t="str">
        <f>IF(A71="","",ROUND(SUMIFS(aditivos!$L$2:$L$200,aditivos!$A$2:$A$200,A71,aditivos!$C$2:$C$200,"C3"),2))</f>
        <v/>
      </c>
      <c r="Q71" s="167" t="str">
        <f t="shared" si="42"/>
        <v/>
      </c>
      <c r="R71" s="167" t="str">
        <f>IF(A71="","",IF(itens_Remanesc!I71="","",itens_Remanesc!I71))</f>
        <v/>
      </c>
      <c r="S71" s="173" t="str">
        <f t="shared" si="43"/>
        <v/>
      </c>
      <c r="T71" s="165" t="str">
        <f>IF(A71="","",ROUND(SUMIFS(aditivos!$L$2:$L$200,aditivos!$A$2:$A$200,A71,aditivos!$C$2:$C$200,"C4"),2))</f>
        <v/>
      </c>
      <c r="U71" s="161" t="str">
        <f t="shared" si="44"/>
        <v/>
      </c>
      <c r="V71" s="161" t="str">
        <f>IF(A71="","",IF(itens_Remanesc!K71="","",itens_Remanesc!K71))</f>
        <v/>
      </c>
      <c r="W71" s="161" t="str">
        <f t="shared" si="45"/>
        <v/>
      </c>
      <c r="X71" s="148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1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48" t="str">
        <f>IF(itens_Remanesc!A72="","",itens_Remanesc!A72)</f>
        <v/>
      </c>
      <c r="B72" s="200" t="str">
        <f>IF(A72="","",itens_Remanesc!C72)</f>
        <v/>
      </c>
      <c r="C72" s="163" t="str">
        <f>IF(A72="","",IF(itens_Remanesc!B72="",0,itens_Remanesc!B72))</f>
        <v/>
      </c>
      <c r="D72" s="165" t="str">
        <f>IF(A72="","",ROUND(SUMIFS(aditivos!$L$2:$L$200,aditivos!$A$2:$A$200,A72,aditivos!$C$2:$C$200,"C0"),2))</f>
        <v/>
      </c>
      <c r="E72" s="161" t="str">
        <f t="shared" si="36"/>
        <v/>
      </c>
      <c r="F72" s="161" t="str">
        <f>IF(A72="","",IF(itens_Remanesc!B72&lt;&gt;"",itens_Remanesc!B72,IF($Z72,0,"")))</f>
        <v/>
      </c>
      <c r="G72" s="169" t="str">
        <f t="shared" si="37"/>
        <v/>
      </c>
      <c r="H72" s="171" t="str">
        <f>IF(A72="","",ROUND(SUMIFS(aditivos!$L$2:$L$200,aditivos!$A$2:$A$200,A72,aditivos!$C$2:$C$200,"C1"),2))</f>
        <v/>
      </c>
      <c r="I72" s="167" t="str">
        <f t="shared" si="38"/>
        <v/>
      </c>
      <c r="J72" s="167" t="str">
        <f>IF(A72="","",IF(itens_Remanesc!E72="","",itens_Remanesc!E72))</f>
        <v/>
      </c>
      <c r="K72" s="173" t="str">
        <f t="shared" si="39"/>
        <v/>
      </c>
      <c r="L72" s="165" t="str">
        <f>IF(A72="","",ROUND(SUMIFS(aditivos!$L$2:$L$200,aditivos!$A$2:$A$200,A72,aditivos!$C$2:$C$200,"C2"),2))</f>
        <v/>
      </c>
      <c r="M72" s="161" t="str">
        <f t="shared" si="40"/>
        <v/>
      </c>
      <c r="N72" s="161" t="str">
        <f>IF(A72="","",IF(itens_Remanesc!G72="","",itens_Remanesc!G72))</f>
        <v/>
      </c>
      <c r="O72" s="169" t="str">
        <f t="shared" si="41"/>
        <v/>
      </c>
      <c r="P72" s="171" t="str">
        <f>IF(A72="","",ROUND(SUMIFS(aditivos!$L$2:$L$200,aditivos!$A$2:$A$200,A72,aditivos!$C$2:$C$200,"C3"),2))</f>
        <v/>
      </c>
      <c r="Q72" s="167" t="str">
        <f t="shared" si="42"/>
        <v/>
      </c>
      <c r="R72" s="167" t="str">
        <f>IF(A72="","",IF(itens_Remanesc!I72="","",itens_Remanesc!I72))</f>
        <v/>
      </c>
      <c r="S72" s="173" t="str">
        <f t="shared" si="43"/>
        <v/>
      </c>
      <c r="T72" s="165" t="str">
        <f>IF(A72="","",ROUND(SUMIFS(aditivos!$L$2:$L$200,aditivos!$A$2:$A$200,A72,aditivos!$C$2:$C$200,"C4"),2))</f>
        <v/>
      </c>
      <c r="U72" s="161" t="str">
        <f t="shared" si="44"/>
        <v/>
      </c>
      <c r="V72" s="161" t="str">
        <f>IF(A72="","",IF(itens_Remanesc!K72="","",itens_Remanesc!K72))</f>
        <v/>
      </c>
      <c r="W72" s="161" t="str">
        <f t="shared" si="45"/>
        <v/>
      </c>
      <c r="X72" s="148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1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48" t="str">
        <f>IF(itens_Remanesc!A73="","",itens_Remanesc!A73)</f>
        <v/>
      </c>
      <c r="B73" s="200" t="str">
        <f>IF(A73="","",itens_Remanesc!C73)</f>
        <v/>
      </c>
      <c r="C73" s="163" t="str">
        <f>IF(A73="","",IF(itens_Remanesc!B73="",0,itens_Remanesc!B73))</f>
        <v/>
      </c>
      <c r="D73" s="165" t="str">
        <f>IF(A73="","",ROUND(SUMIFS(aditivos!$L$2:$L$200,aditivos!$A$2:$A$200,A73,aditivos!$C$2:$C$200,"C0"),2))</f>
        <v/>
      </c>
      <c r="E73" s="161" t="str">
        <f t="shared" si="36"/>
        <v/>
      </c>
      <c r="F73" s="161" t="str">
        <f>IF(A73="","",IF(itens_Remanesc!B73&lt;&gt;"",itens_Remanesc!B73,IF($Z73,0,"")))</f>
        <v/>
      </c>
      <c r="G73" s="169" t="str">
        <f t="shared" si="37"/>
        <v/>
      </c>
      <c r="H73" s="171" t="str">
        <f>IF(A73="","",ROUND(SUMIFS(aditivos!$L$2:$L$200,aditivos!$A$2:$A$200,A73,aditivos!$C$2:$C$200,"C1"),2))</f>
        <v/>
      </c>
      <c r="I73" s="167" t="str">
        <f t="shared" si="38"/>
        <v/>
      </c>
      <c r="J73" s="167" t="str">
        <f>IF(A73="","",IF(itens_Remanesc!E73="","",itens_Remanesc!E73))</f>
        <v/>
      </c>
      <c r="K73" s="173" t="str">
        <f t="shared" si="39"/>
        <v/>
      </c>
      <c r="L73" s="165" t="str">
        <f>IF(A73="","",ROUND(SUMIFS(aditivos!$L$2:$L$200,aditivos!$A$2:$A$200,A73,aditivos!$C$2:$C$200,"C2"),2))</f>
        <v/>
      </c>
      <c r="M73" s="161" t="str">
        <f t="shared" si="40"/>
        <v/>
      </c>
      <c r="N73" s="161" t="str">
        <f>IF(A73="","",IF(itens_Remanesc!G73="","",itens_Remanesc!G73))</f>
        <v/>
      </c>
      <c r="O73" s="169" t="str">
        <f t="shared" si="41"/>
        <v/>
      </c>
      <c r="P73" s="171" t="str">
        <f>IF(A73="","",ROUND(SUMIFS(aditivos!$L$2:$L$200,aditivos!$A$2:$A$200,A73,aditivos!$C$2:$C$200,"C3"),2))</f>
        <v/>
      </c>
      <c r="Q73" s="167" t="str">
        <f t="shared" si="42"/>
        <v/>
      </c>
      <c r="R73" s="167" t="str">
        <f>IF(A73="","",IF(itens_Remanesc!I73="","",itens_Remanesc!I73))</f>
        <v/>
      </c>
      <c r="S73" s="173" t="str">
        <f t="shared" si="43"/>
        <v/>
      </c>
      <c r="T73" s="165" t="str">
        <f>IF(A73="","",ROUND(SUMIFS(aditivos!$L$2:$L$200,aditivos!$A$2:$A$200,A73,aditivos!$C$2:$C$200,"C4"),2))</f>
        <v/>
      </c>
      <c r="U73" s="161" t="str">
        <f t="shared" si="44"/>
        <v/>
      </c>
      <c r="V73" s="161" t="str">
        <f>IF(A73="","",IF(itens_Remanesc!K73="","",itens_Remanesc!K73))</f>
        <v/>
      </c>
      <c r="W73" s="161" t="str">
        <f t="shared" si="45"/>
        <v/>
      </c>
      <c r="X73" s="148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1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48" t="str">
        <f>IF(itens_Remanesc!A74="","",itens_Remanesc!A74)</f>
        <v/>
      </c>
      <c r="B74" s="200" t="str">
        <f>IF(A74="","",itens_Remanesc!C74)</f>
        <v/>
      </c>
      <c r="C74" s="163" t="str">
        <f>IF(A74="","",IF(itens_Remanesc!B74="",0,itens_Remanesc!B74))</f>
        <v/>
      </c>
      <c r="D74" s="165" t="str">
        <f>IF(A74="","",ROUND(SUMIFS(aditivos!$L$2:$L$200,aditivos!$A$2:$A$200,A74,aditivos!$C$2:$C$200,"C0"),2))</f>
        <v/>
      </c>
      <c r="E74" s="161" t="str">
        <f t="shared" si="36"/>
        <v/>
      </c>
      <c r="F74" s="161" t="str">
        <f>IF(A74="","",IF(itens_Remanesc!B74&lt;&gt;"",itens_Remanesc!B74,IF($Z74,0,"")))</f>
        <v/>
      </c>
      <c r="G74" s="169" t="str">
        <f t="shared" si="37"/>
        <v/>
      </c>
      <c r="H74" s="171" t="str">
        <f>IF(A74="","",ROUND(SUMIFS(aditivos!$L$2:$L$200,aditivos!$A$2:$A$200,A74,aditivos!$C$2:$C$200,"C1"),2))</f>
        <v/>
      </c>
      <c r="I74" s="167" t="str">
        <f t="shared" si="38"/>
        <v/>
      </c>
      <c r="J74" s="167" t="str">
        <f>IF(A74="","",IF(itens_Remanesc!E74="","",itens_Remanesc!E74))</f>
        <v/>
      </c>
      <c r="K74" s="173" t="str">
        <f t="shared" si="39"/>
        <v/>
      </c>
      <c r="L74" s="165" t="str">
        <f>IF(A74="","",ROUND(SUMIFS(aditivos!$L$2:$L$200,aditivos!$A$2:$A$200,A74,aditivos!$C$2:$C$200,"C2"),2))</f>
        <v/>
      </c>
      <c r="M74" s="161" t="str">
        <f t="shared" si="40"/>
        <v/>
      </c>
      <c r="N74" s="161" t="str">
        <f>IF(A74="","",IF(itens_Remanesc!G74="","",itens_Remanesc!G74))</f>
        <v/>
      </c>
      <c r="O74" s="169" t="str">
        <f t="shared" si="41"/>
        <v/>
      </c>
      <c r="P74" s="171" t="str">
        <f>IF(A74="","",ROUND(SUMIFS(aditivos!$L$2:$L$200,aditivos!$A$2:$A$200,A74,aditivos!$C$2:$C$200,"C3"),2))</f>
        <v/>
      </c>
      <c r="Q74" s="167" t="str">
        <f t="shared" si="42"/>
        <v/>
      </c>
      <c r="R74" s="167" t="str">
        <f>IF(A74="","",IF(itens_Remanesc!I74="","",itens_Remanesc!I74))</f>
        <v/>
      </c>
      <c r="S74" s="173" t="str">
        <f t="shared" si="43"/>
        <v/>
      </c>
      <c r="T74" s="165" t="str">
        <f>IF(A74="","",ROUND(SUMIFS(aditivos!$L$2:$L$200,aditivos!$A$2:$A$200,A74,aditivos!$C$2:$C$200,"C4"),2))</f>
        <v/>
      </c>
      <c r="U74" s="161" t="str">
        <f t="shared" si="44"/>
        <v/>
      </c>
      <c r="V74" s="161" t="str">
        <f>IF(A74="","",IF(itens_Remanesc!K74="","",itens_Remanesc!K74))</f>
        <v/>
      </c>
      <c r="W74" s="161" t="str">
        <f t="shared" si="45"/>
        <v/>
      </c>
      <c r="X74" s="148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1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48" t="str">
        <f>IF(itens_Remanesc!A75="","",itens_Remanesc!A75)</f>
        <v/>
      </c>
      <c r="B75" s="200" t="str">
        <f>IF(A75="","",itens_Remanesc!C75)</f>
        <v/>
      </c>
      <c r="C75" s="163" t="str">
        <f>IF(A75="","",IF(itens_Remanesc!B75="",0,itens_Remanesc!B75))</f>
        <v/>
      </c>
      <c r="D75" s="165" t="str">
        <f>IF(A75="","",ROUND(SUMIFS(aditivos!$L$2:$L$200,aditivos!$A$2:$A$200,A75,aditivos!$C$2:$C$200,"C0"),2))</f>
        <v/>
      </c>
      <c r="E75" s="161" t="str">
        <f t="shared" si="36"/>
        <v/>
      </c>
      <c r="F75" s="161" t="str">
        <f>IF(A75="","",IF(itens_Remanesc!B75&lt;&gt;"",itens_Remanesc!B75,IF($Z75,0,"")))</f>
        <v/>
      </c>
      <c r="G75" s="169" t="str">
        <f t="shared" si="37"/>
        <v/>
      </c>
      <c r="H75" s="171" t="str">
        <f>IF(A75="","",ROUND(SUMIFS(aditivos!$L$2:$L$200,aditivos!$A$2:$A$200,A75,aditivos!$C$2:$C$200,"C1"),2))</f>
        <v/>
      </c>
      <c r="I75" s="167" t="str">
        <f t="shared" si="38"/>
        <v/>
      </c>
      <c r="J75" s="167" t="str">
        <f>IF(A75="","",IF(itens_Remanesc!E75="","",itens_Remanesc!E75))</f>
        <v/>
      </c>
      <c r="K75" s="173" t="str">
        <f t="shared" si="39"/>
        <v/>
      </c>
      <c r="L75" s="165" t="str">
        <f>IF(A75="","",ROUND(SUMIFS(aditivos!$L$2:$L$200,aditivos!$A$2:$A$200,A75,aditivos!$C$2:$C$200,"C2"),2))</f>
        <v/>
      </c>
      <c r="M75" s="161" t="str">
        <f t="shared" si="40"/>
        <v/>
      </c>
      <c r="N75" s="161" t="str">
        <f>IF(A75="","",IF(itens_Remanesc!G75="","",itens_Remanesc!G75))</f>
        <v/>
      </c>
      <c r="O75" s="169" t="str">
        <f t="shared" si="41"/>
        <v/>
      </c>
      <c r="P75" s="171" t="str">
        <f>IF(A75="","",ROUND(SUMIFS(aditivos!$L$2:$L$200,aditivos!$A$2:$A$200,A75,aditivos!$C$2:$C$200,"C3"),2))</f>
        <v/>
      </c>
      <c r="Q75" s="167" t="str">
        <f t="shared" si="42"/>
        <v/>
      </c>
      <c r="R75" s="167" t="str">
        <f>IF(A75="","",IF(itens_Remanesc!I75="","",itens_Remanesc!I75))</f>
        <v/>
      </c>
      <c r="S75" s="173" t="str">
        <f t="shared" si="43"/>
        <v/>
      </c>
      <c r="T75" s="165" t="str">
        <f>IF(A75="","",ROUND(SUMIFS(aditivos!$L$2:$L$200,aditivos!$A$2:$A$200,A75,aditivos!$C$2:$C$200,"C4"),2))</f>
        <v/>
      </c>
      <c r="U75" s="161" t="str">
        <f t="shared" si="44"/>
        <v/>
      </c>
      <c r="V75" s="161" t="str">
        <f>IF(A75="","",IF(itens_Remanesc!K75="","",itens_Remanesc!K75))</f>
        <v/>
      </c>
      <c r="W75" s="161" t="str">
        <f t="shared" si="45"/>
        <v/>
      </c>
      <c r="X75" s="148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1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48" t="str">
        <f>IF(itens_Remanesc!A76="","",itens_Remanesc!A76)</f>
        <v/>
      </c>
      <c r="B76" s="200" t="str">
        <f>IF(A76="","",itens_Remanesc!C76)</f>
        <v/>
      </c>
      <c r="C76" s="163" t="str">
        <f>IF(A76="","",IF(itens_Remanesc!B76="",0,itens_Remanesc!B76))</f>
        <v/>
      </c>
      <c r="D76" s="165" t="str">
        <f>IF(A76="","",ROUND(SUMIFS(aditivos!$L$2:$L$200,aditivos!$A$2:$A$200,A76,aditivos!$C$2:$C$200,"C0"),2))</f>
        <v/>
      </c>
      <c r="E76" s="161" t="str">
        <f t="shared" si="36"/>
        <v/>
      </c>
      <c r="F76" s="161" t="str">
        <f>IF(A76="","",IF(itens_Remanesc!B76&lt;&gt;"",itens_Remanesc!B76,IF($Z76,0,"")))</f>
        <v/>
      </c>
      <c r="G76" s="169" t="str">
        <f t="shared" si="37"/>
        <v/>
      </c>
      <c r="H76" s="171" t="str">
        <f>IF(A76="","",ROUND(SUMIFS(aditivos!$L$2:$L$200,aditivos!$A$2:$A$200,A76,aditivos!$C$2:$C$200,"C1"),2))</f>
        <v/>
      </c>
      <c r="I76" s="167" t="str">
        <f t="shared" si="38"/>
        <v/>
      </c>
      <c r="J76" s="167" t="str">
        <f>IF(A76="","",IF(itens_Remanesc!E76="","",itens_Remanesc!E76))</f>
        <v/>
      </c>
      <c r="K76" s="173" t="str">
        <f t="shared" si="39"/>
        <v/>
      </c>
      <c r="L76" s="165" t="str">
        <f>IF(A76="","",ROUND(SUMIFS(aditivos!$L$2:$L$200,aditivos!$A$2:$A$200,A76,aditivos!$C$2:$C$200,"C2"),2))</f>
        <v/>
      </c>
      <c r="M76" s="161" t="str">
        <f t="shared" si="40"/>
        <v/>
      </c>
      <c r="N76" s="161" t="str">
        <f>IF(A76="","",IF(itens_Remanesc!G76="","",itens_Remanesc!G76))</f>
        <v/>
      </c>
      <c r="O76" s="169" t="str">
        <f t="shared" si="41"/>
        <v/>
      </c>
      <c r="P76" s="171" t="str">
        <f>IF(A76="","",ROUND(SUMIFS(aditivos!$L$2:$L$200,aditivos!$A$2:$A$200,A76,aditivos!$C$2:$C$200,"C3"),2))</f>
        <v/>
      </c>
      <c r="Q76" s="167" t="str">
        <f t="shared" si="42"/>
        <v/>
      </c>
      <c r="R76" s="167" t="str">
        <f>IF(A76="","",IF(itens_Remanesc!I76="","",itens_Remanesc!I76))</f>
        <v/>
      </c>
      <c r="S76" s="173" t="str">
        <f t="shared" si="43"/>
        <v/>
      </c>
      <c r="T76" s="165" t="str">
        <f>IF(A76="","",ROUND(SUMIFS(aditivos!$L$2:$L$200,aditivos!$A$2:$A$200,A76,aditivos!$C$2:$C$200,"C4"),2))</f>
        <v/>
      </c>
      <c r="U76" s="161" t="str">
        <f t="shared" si="44"/>
        <v/>
      </c>
      <c r="V76" s="161" t="str">
        <f>IF(A76="","",IF(itens_Remanesc!K76="","",itens_Remanesc!K76))</f>
        <v/>
      </c>
      <c r="W76" s="161" t="str">
        <f t="shared" si="45"/>
        <v/>
      </c>
      <c r="X76" s="148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1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48" t="str">
        <f>IF(itens_Remanesc!A77="","",itens_Remanesc!A77)</f>
        <v/>
      </c>
      <c r="B77" s="200" t="str">
        <f>IF(A77="","",itens_Remanesc!C77)</f>
        <v/>
      </c>
      <c r="C77" s="163" t="str">
        <f>IF(A77="","",IF(itens_Remanesc!B77="",0,itens_Remanesc!B77))</f>
        <v/>
      </c>
      <c r="D77" s="165" t="str">
        <f>IF(A77="","",ROUND(SUMIFS(aditivos!$L$2:$L$200,aditivos!$A$2:$A$200,A77,aditivos!$C$2:$C$200,"C0"),2))</f>
        <v/>
      </c>
      <c r="E77" s="161" t="str">
        <f t="shared" si="36"/>
        <v/>
      </c>
      <c r="F77" s="161" t="str">
        <f>IF(A77="","",IF(itens_Remanesc!B77&lt;&gt;"",itens_Remanesc!B77,IF($Z77,0,"")))</f>
        <v/>
      </c>
      <c r="G77" s="169" t="str">
        <f t="shared" si="37"/>
        <v/>
      </c>
      <c r="H77" s="171" t="str">
        <f>IF(A77="","",ROUND(SUMIFS(aditivos!$L$2:$L$200,aditivos!$A$2:$A$200,A77,aditivos!$C$2:$C$200,"C1"),2))</f>
        <v/>
      </c>
      <c r="I77" s="167" t="str">
        <f t="shared" si="38"/>
        <v/>
      </c>
      <c r="J77" s="167" t="str">
        <f>IF(A77="","",IF(itens_Remanesc!E77="","",itens_Remanesc!E77))</f>
        <v/>
      </c>
      <c r="K77" s="173" t="str">
        <f t="shared" si="39"/>
        <v/>
      </c>
      <c r="L77" s="165" t="str">
        <f>IF(A77="","",ROUND(SUMIFS(aditivos!$L$2:$L$200,aditivos!$A$2:$A$200,A77,aditivos!$C$2:$C$200,"C2"),2))</f>
        <v/>
      </c>
      <c r="M77" s="161" t="str">
        <f t="shared" si="40"/>
        <v/>
      </c>
      <c r="N77" s="161" t="str">
        <f>IF(A77="","",IF(itens_Remanesc!G77="","",itens_Remanesc!G77))</f>
        <v/>
      </c>
      <c r="O77" s="169" t="str">
        <f t="shared" si="41"/>
        <v/>
      </c>
      <c r="P77" s="171" t="str">
        <f>IF(A77="","",ROUND(SUMIFS(aditivos!$L$2:$L$200,aditivos!$A$2:$A$200,A77,aditivos!$C$2:$C$200,"C3"),2))</f>
        <v/>
      </c>
      <c r="Q77" s="167" t="str">
        <f t="shared" si="42"/>
        <v/>
      </c>
      <c r="R77" s="167" t="str">
        <f>IF(A77="","",IF(itens_Remanesc!I77="","",itens_Remanesc!I77))</f>
        <v/>
      </c>
      <c r="S77" s="173" t="str">
        <f t="shared" si="43"/>
        <v/>
      </c>
      <c r="T77" s="165" t="str">
        <f>IF(A77="","",ROUND(SUMIFS(aditivos!$L$2:$L$200,aditivos!$A$2:$A$200,A77,aditivos!$C$2:$C$200,"C4"),2))</f>
        <v/>
      </c>
      <c r="U77" s="161" t="str">
        <f t="shared" si="44"/>
        <v/>
      </c>
      <c r="V77" s="161" t="str">
        <f>IF(A77="","",IF(itens_Remanesc!K77="","",itens_Remanesc!K77))</f>
        <v/>
      </c>
      <c r="W77" s="161" t="str">
        <f t="shared" si="45"/>
        <v/>
      </c>
      <c r="X77" s="148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1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48" t="str">
        <f>IF(itens_Remanesc!A78="","",itens_Remanesc!A78)</f>
        <v/>
      </c>
      <c r="B78" s="200" t="str">
        <f>IF(A78="","",itens_Remanesc!C78)</f>
        <v/>
      </c>
      <c r="C78" s="163" t="str">
        <f>IF(A78="","",IF(itens_Remanesc!B78="",0,itens_Remanesc!B78))</f>
        <v/>
      </c>
      <c r="D78" s="165" t="str">
        <f>IF(A78="","",ROUND(SUMIFS(aditivos!$L$2:$L$200,aditivos!$A$2:$A$200,A78,aditivos!$C$2:$C$200,"C0"),2))</f>
        <v/>
      </c>
      <c r="E78" s="161" t="str">
        <f t="shared" si="36"/>
        <v/>
      </c>
      <c r="F78" s="161" t="str">
        <f>IF(A78="","",IF(itens_Remanesc!B78&lt;&gt;"",itens_Remanesc!B78,IF($Z78,0,"")))</f>
        <v/>
      </c>
      <c r="G78" s="169" t="str">
        <f t="shared" si="37"/>
        <v/>
      </c>
      <c r="H78" s="171" t="str">
        <f>IF(A78="","",ROUND(SUMIFS(aditivos!$L$2:$L$200,aditivos!$A$2:$A$200,A78,aditivos!$C$2:$C$200,"C1"),2))</f>
        <v/>
      </c>
      <c r="I78" s="167" t="str">
        <f t="shared" si="38"/>
        <v/>
      </c>
      <c r="J78" s="167" t="str">
        <f>IF(A78="","",IF(itens_Remanesc!E78="","",itens_Remanesc!E78))</f>
        <v/>
      </c>
      <c r="K78" s="173" t="str">
        <f t="shared" si="39"/>
        <v/>
      </c>
      <c r="L78" s="165" t="str">
        <f>IF(A78="","",ROUND(SUMIFS(aditivos!$L$2:$L$200,aditivos!$A$2:$A$200,A78,aditivos!$C$2:$C$200,"C2"),2))</f>
        <v/>
      </c>
      <c r="M78" s="161" t="str">
        <f t="shared" si="40"/>
        <v/>
      </c>
      <c r="N78" s="161" t="str">
        <f>IF(A78="","",IF(itens_Remanesc!G78="","",itens_Remanesc!G78))</f>
        <v/>
      </c>
      <c r="O78" s="169" t="str">
        <f t="shared" si="41"/>
        <v/>
      </c>
      <c r="P78" s="171" t="str">
        <f>IF(A78="","",ROUND(SUMIFS(aditivos!$L$2:$L$200,aditivos!$A$2:$A$200,A78,aditivos!$C$2:$C$200,"C3"),2))</f>
        <v/>
      </c>
      <c r="Q78" s="167" t="str">
        <f t="shared" si="42"/>
        <v/>
      </c>
      <c r="R78" s="167" t="str">
        <f>IF(A78="","",IF(itens_Remanesc!I78="","",itens_Remanesc!I78))</f>
        <v/>
      </c>
      <c r="S78" s="173" t="str">
        <f t="shared" si="43"/>
        <v/>
      </c>
      <c r="T78" s="165" t="str">
        <f>IF(A78="","",ROUND(SUMIFS(aditivos!$L$2:$L$200,aditivos!$A$2:$A$200,A78,aditivos!$C$2:$C$200,"C4"),2))</f>
        <v/>
      </c>
      <c r="U78" s="161" t="str">
        <f t="shared" si="44"/>
        <v/>
      </c>
      <c r="V78" s="161" t="str">
        <f>IF(A78="","",IF(itens_Remanesc!K78="","",itens_Remanesc!K78))</f>
        <v/>
      </c>
      <c r="W78" s="161" t="str">
        <f t="shared" si="45"/>
        <v/>
      </c>
      <c r="X78" s="148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1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48" t="str">
        <f>IF(itens_Remanesc!A79="","",itens_Remanesc!A79)</f>
        <v/>
      </c>
      <c r="B79" s="200" t="str">
        <f>IF(A79="","",itens_Remanesc!C79)</f>
        <v/>
      </c>
      <c r="C79" s="163" t="str">
        <f>IF(A79="","",IF(itens_Remanesc!B79="",0,itens_Remanesc!B79))</f>
        <v/>
      </c>
      <c r="D79" s="165" t="str">
        <f>IF(A79="","",ROUND(SUMIFS(aditivos!$L$2:$L$200,aditivos!$A$2:$A$200,A79,aditivos!$C$2:$C$200,"C0"),2))</f>
        <v/>
      </c>
      <c r="E79" s="161" t="str">
        <f t="shared" si="36"/>
        <v/>
      </c>
      <c r="F79" s="161" t="str">
        <f>IF(A79="","",IF(itens_Remanesc!B79&lt;&gt;"",itens_Remanesc!B79,IF($Z79,0,"")))</f>
        <v/>
      </c>
      <c r="G79" s="169" t="str">
        <f t="shared" si="37"/>
        <v/>
      </c>
      <c r="H79" s="171" t="str">
        <f>IF(A79="","",ROUND(SUMIFS(aditivos!$L$2:$L$200,aditivos!$A$2:$A$200,A79,aditivos!$C$2:$C$200,"C1"),2))</f>
        <v/>
      </c>
      <c r="I79" s="167" t="str">
        <f t="shared" si="38"/>
        <v/>
      </c>
      <c r="J79" s="167" t="str">
        <f>IF(A79="","",IF(itens_Remanesc!E79="","",itens_Remanesc!E79))</f>
        <v/>
      </c>
      <c r="K79" s="173" t="str">
        <f t="shared" si="39"/>
        <v/>
      </c>
      <c r="L79" s="165" t="str">
        <f>IF(A79="","",ROUND(SUMIFS(aditivos!$L$2:$L$200,aditivos!$A$2:$A$200,A79,aditivos!$C$2:$C$200,"C2"),2))</f>
        <v/>
      </c>
      <c r="M79" s="161" t="str">
        <f t="shared" si="40"/>
        <v/>
      </c>
      <c r="N79" s="161" t="str">
        <f>IF(A79="","",IF(itens_Remanesc!G79="","",itens_Remanesc!G79))</f>
        <v/>
      </c>
      <c r="O79" s="169" t="str">
        <f t="shared" si="41"/>
        <v/>
      </c>
      <c r="P79" s="171" t="str">
        <f>IF(A79="","",ROUND(SUMIFS(aditivos!$L$2:$L$200,aditivos!$A$2:$A$200,A79,aditivos!$C$2:$C$200,"C3"),2))</f>
        <v/>
      </c>
      <c r="Q79" s="167" t="str">
        <f t="shared" si="42"/>
        <v/>
      </c>
      <c r="R79" s="167" t="str">
        <f>IF(A79="","",IF(itens_Remanesc!I79="","",itens_Remanesc!I79))</f>
        <v/>
      </c>
      <c r="S79" s="173" t="str">
        <f t="shared" si="43"/>
        <v/>
      </c>
      <c r="T79" s="165" t="str">
        <f>IF(A79="","",ROUND(SUMIFS(aditivos!$L$2:$L$200,aditivos!$A$2:$A$200,A79,aditivos!$C$2:$C$200,"C4"),2))</f>
        <v/>
      </c>
      <c r="U79" s="161" t="str">
        <f t="shared" si="44"/>
        <v/>
      </c>
      <c r="V79" s="161" t="str">
        <f>IF(A79="","",IF(itens_Remanesc!K79="","",itens_Remanesc!K79))</f>
        <v/>
      </c>
      <c r="W79" s="161" t="str">
        <f t="shared" si="45"/>
        <v/>
      </c>
      <c r="X79" s="148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1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48" t="str">
        <f>IF(itens_Remanesc!A80="","",itens_Remanesc!A80)</f>
        <v/>
      </c>
      <c r="B80" s="200" t="str">
        <f>IF(A80="","",itens_Remanesc!C80)</f>
        <v/>
      </c>
      <c r="C80" s="163" t="str">
        <f>IF(A80="","",IF(itens_Remanesc!B80="",0,itens_Remanesc!B80))</f>
        <v/>
      </c>
      <c r="D80" s="165" t="str">
        <f>IF(A80="","",ROUND(SUMIFS(aditivos!$L$2:$L$200,aditivos!$A$2:$A$200,A80,aditivos!$C$2:$C$200,"C0"),2))</f>
        <v/>
      </c>
      <c r="E80" s="161" t="str">
        <f t="shared" si="36"/>
        <v/>
      </c>
      <c r="F80" s="161" t="str">
        <f>IF(A80="","",IF(itens_Remanesc!B80&lt;&gt;"",itens_Remanesc!B80,IF($Z80,0,"")))</f>
        <v/>
      </c>
      <c r="G80" s="169" t="str">
        <f t="shared" si="37"/>
        <v/>
      </c>
      <c r="H80" s="171" t="str">
        <f>IF(A80="","",ROUND(SUMIFS(aditivos!$L$2:$L$200,aditivos!$A$2:$A$200,A80,aditivos!$C$2:$C$200,"C1"),2))</f>
        <v/>
      </c>
      <c r="I80" s="167" t="str">
        <f t="shared" si="38"/>
        <v/>
      </c>
      <c r="J80" s="167" t="str">
        <f>IF(A80="","",IF(itens_Remanesc!E80="","",itens_Remanesc!E80))</f>
        <v/>
      </c>
      <c r="K80" s="173" t="str">
        <f t="shared" si="39"/>
        <v/>
      </c>
      <c r="L80" s="165" t="str">
        <f>IF(A80="","",ROUND(SUMIFS(aditivos!$L$2:$L$200,aditivos!$A$2:$A$200,A80,aditivos!$C$2:$C$200,"C2"),2))</f>
        <v/>
      </c>
      <c r="M80" s="161" t="str">
        <f t="shared" si="40"/>
        <v/>
      </c>
      <c r="N80" s="161" t="str">
        <f>IF(A80="","",IF(itens_Remanesc!G80="","",itens_Remanesc!G80))</f>
        <v/>
      </c>
      <c r="O80" s="169" t="str">
        <f t="shared" si="41"/>
        <v/>
      </c>
      <c r="P80" s="171" t="str">
        <f>IF(A80="","",ROUND(SUMIFS(aditivos!$L$2:$L$200,aditivos!$A$2:$A$200,A80,aditivos!$C$2:$C$200,"C3"),2))</f>
        <v/>
      </c>
      <c r="Q80" s="167" t="str">
        <f t="shared" si="42"/>
        <v/>
      </c>
      <c r="R80" s="167" t="str">
        <f>IF(A80="","",IF(itens_Remanesc!I80="","",itens_Remanesc!I80))</f>
        <v/>
      </c>
      <c r="S80" s="173" t="str">
        <f t="shared" si="43"/>
        <v/>
      </c>
      <c r="T80" s="165" t="str">
        <f>IF(A80="","",ROUND(SUMIFS(aditivos!$L$2:$L$200,aditivos!$A$2:$A$200,A80,aditivos!$C$2:$C$200,"C4"),2))</f>
        <v/>
      </c>
      <c r="U80" s="161" t="str">
        <f t="shared" si="44"/>
        <v/>
      </c>
      <c r="V80" s="161" t="str">
        <f>IF(A80="","",IF(itens_Remanesc!K80="","",itens_Remanesc!K80))</f>
        <v/>
      </c>
      <c r="W80" s="161" t="str">
        <f t="shared" si="45"/>
        <v/>
      </c>
      <c r="X80" s="148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1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48" t="str">
        <f>IF(itens_Remanesc!A81="","",itens_Remanesc!A81)</f>
        <v/>
      </c>
      <c r="B81" s="200" t="str">
        <f>IF(A81="","",itens_Remanesc!C81)</f>
        <v/>
      </c>
      <c r="C81" s="163" t="str">
        <f>IF(A81="","",IF(itens_Remanesc!B81="",0,itens_Remanesc!B81))</f>
        <v/>
      </c>
      <c r="D81" s="165" t="str">
        <f>IF(A81="","",ROUND(SUMIFS(aditivos!$L$2:$L$200,aditivos!$A$2:$A$200,A81,aditivos!$C$2:$C$200,"C0"),2))</f>
        <v/>
      </c>
      <c r="E81" s="161" t="str">
        <f t="shared" si="36"/>
        <v/>
      </c>
      <c r="F81" s="161" t="str">
        <f>IF(A81="","",IF(itens_Remanesc!B81&lt;&gt;"",itens_Remanesc!B81,IF($Z81,0,"")))</f>
        <v/>
      </c>
      <c r="G81" s="169" t="str">
        <f t="shared" si="37"/>
        <v/>
      </c>
      <c r="H81" s="171" t="str">
        <f>IF(A81="","",ROUND(SUMIFS(aditivos!$L$2:$L$200,aditivos!$A$2:$A$200,A81,aditivos!$C$2:$C$200,"C1"),2))</f>
        <v/>
      </c>
      <c r="I81" s="167" t="str">
        <f t="shared" si="38"/>
        <v/>
      </c>
      <c r="J81" s="167" t="str">
        <f>IF(A81="","",IF(itens_Remanesc!E81="","",itens_Remanesc!E81))</f>
        <v/>
      </c>
      <c r="K81" s="173" t="str">
        <f t="shared" si="39"/>
        <v/>
      </c>
      <c r="L81" s="165" t="str">
        <f>IF(A81="","",ROUND(SUMIFS(aditivos!$L$2:$L$200,aditivos!$A$2:$A$200,A81,aditivos!$C$2:$C$200,"C2"),2))</f>
        <v/>
      </c>
      <c r="M81" s="161" t="str">
        <f t="shared" si="40"/>
        <v/>
      </c>
      <c r="N81" s="161" t="str">
        <f>IF(A81="","",IF(itens_Remanesc!G81="","",itens_Remanesc!G81))</f>
        <v/>
      </c>
      <c r="O81" s="169" t="str">
        <f t="shared" si="41"/>
        <v/>
      </c>
      <c r="P81" s="171" t="str">
        <f>IF(A81="","",ROUND(SUMIFS(aditivos!$L$2:$L$200,aditivos!$A$2:$A$200,A81,aditivos!$C$2:$C$200,"C3"),2))</f>
        <v/>
      </c>
      <c r="Q81" s="167" t="str">
        <f t="shared" si="42"/>
        <v/>
      </c>
      <c r="R81" s="167" t="str">
        <f>IF(A81="","",IF(itens_Remanesc!I81="","",itens_Remanesc!I81))</f>
        <v/>
      </c>
      <c r="S81" s="173" t="str">
        <f t="shared" si="43"/>
        <v/>
      </c>
      <c r="T81" s="165" t="str">
        <f>IF(A81="","",ROUND(SUMIFS(aditivos!$L$2:$L$200,aditivos!$A$2:$A$200,A81,aditivos!$C$2:$C$200,"C4"),2))</f>
        <v/>
      </c>
      <c r="U81" s="161" t="str">
        <f t="shared" si="44"/>
        <v/>
      </c>
      <c r="V81" s="161" t="str">
        <f>IF(A81="","",IF(itens_Remanesc!K81="","",itens_Remanesc!K81))</f>
        <v/>
      </c>
      <c r="W81" s="161" t="str">
        <f t="shared" si="45"/>
        <v/>
      </c>
      <c r="X81" s="148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1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48" t="str">
        <f>IF(itens_Remanesc!A82="","",itens_Remanesc!A82)</f>
        <v/>
      </c>
      <c r="B82" s="200" t="str">
        <f>IF(A82="","",itens_Remanesc!C82)</f>
        <v/>
      </c>
      <c r="C82" s="163" t="str">
        <f>IF(A82="","",IF(itens_Remanesc!B82="",0,itens_Remanesc!B82))</f>
        <v/>
      </c>
      <c r="D82" s="165" t="str">
        <f>IF(A82="","",ROUND(SUMIFS(aditivos!$L$2:$L$200,aditivos!$A$2:$A$200,A82,aditivos!$C$2:$C$200,"C0"),2))</f>
        <v/>
      </c>
      <c r="E82" s="161" t="str">
        <f t="shared" si="36"/>
        <v/>
      </c>
      <c r="F82" s="161" t="str">
        <f>IF(A82="","",IF(itens_Remanesc!B82&lt;&gt;"",itens_Remanesc!B82,IF($Z82,0,"")))</f>
        <v/>
      </c>
      <c r="G82" s="169" t="str">
        <f t="shared" si="37"/>
        <v/>
      </c>
      <c r="H82" s="171" t="str">
        <f>IF(A82="","",ROUND(SUMIFS(aditivos!$L$2:$L$200,aditivos!$A$2:$A$200,A82,aditivos!$C$2:$C$200,"C1"),2))</f>
        <v/>
      </c>
      <c r="I82" s="167" t="str">
        <f t="shared" si="38"/>
        <v/>
      </c>
      <c r="J82" s="167" t="str">
        <f>IF(A82="","",IF(itens_Remanesc!E82="","",itens_Remanesc!E82))</f>
        <v/>
      </c>
      <c r="K82" s="173" t="str">
        <f t="shared" si="39"/>
        <v/>
      </c>
      <c r="L82" s="165" t="str">
        <f>IF(A82="","",ROUND(SUMIFS(aditivos!$L$2:$L$200,aditivos!$A$2:$A$200,A82,aditivos!$C$2:$C$200,"C2"),2))</f>
        <v/>
      </c>
      <c r="M82" s="161" t="str">
        <f t="shared" si="40"/>
        <v/>
      </c>
      <c r="N82" s="161" t="str">
        <f>IF(A82="","",IF(itens_Remanesc!G82="","",itens_Remanesc!G82))</f>
        <v/>
      </c>
      <c r="O82" s="169" t="str">
        <f t="shared" si="41"/>
        <v/>
      </c>
      <c r="P82" s="171" t="str">
        <f>IF(A82="","",ROUND(SUMIFS(aditivos!$L$2:$L$200,aditivos!$A$2:$A$200,A82,aditivos!$C$2:$C$200,"C3"),2))</f>
        <v/>
      </c>
      <c r="Q82" s="167" t="str">
        <f t="shared" si="42"/>
        <v/>
      </c>
      <c r="R82" s="167" t="str">
        <f>IF(A82="","",IF(itens_Remanesc!I82="","",itens_Remanesc!I82))</f>
        <v/>
      </c>
      <c r="S82" s="173" t="str">
        <f t="shared" si="43"/>
        <v/>
      </c>
      <c r="T82" s="165" t="str">
        <f>IF(A82="","",ROUND(SUMIFS(aditivos!$L$2:$L$200,aditivos!$A$2:$A$200,A82,aditivos!$C$2:$C$200,"C4"),2))</f>
        <v/>
      </c>
      <c r="U82" s="161" t="str">
        <f t="shared" si="44"/>
        <v/>
      </c>
      <c r="V82" s="161" t="str">
        <f>IF(A82="","",IF(itens_Remanesc!K82="","",itens_Remanesc!K82))</f>
        <v/>
      </c>
      <c r="W82" s="161" t="str">
        <f t="shared" si="45"/>
        <v/>
      </c>
      <c r="X82" s="148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1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48" t="str">
        <f>IF(itens_Remanesc!A83="","",itens_Remanesc!A83)</f>
        <v/>
      </c>
      <c r="B83" s="200" t="str">
        <f>IF(A83="","",itens_Remanesc!C83)</f>
        <v/>
      </c>
      <c r="C83" s="163" t="str">
        <f>IF(A83="","",IF(itens_Remanesc!B83="",0,itens_Remanesc!B83))</f>
        <v/>
      </c>
      <c r="D83" s="165" t="str">
        <f>IF(A83="","",ROUND(SUMIFS(aditivos!$L$2:$L$200,aditivos!$A$2:$A$200,A83,aditivos!$C$2:$C$200,"C0"),2))</f>
        <v/>
      </c>
      <c r="E83" s="161" t="str">
        <f t="shared" si="36"/>
        <v/>
      </c>
      <c r="F83" s="161" t="str">
        <f>IF(A83="","",IF(itens_Remanesc!B83&lt;&gt;"",itens_Remanesc!B83,IF($Z83,0,"")))</f>
        <v/>
      </c>
      <c r="G83" s="169" t="str">
        <f t="shared" si="37"/>
        <v/>
      </c>
      <c r="H83" s="171" t="str">
        <f>IF(A83="","",ROUND(SUMIFS(aditivos!$L$2:$L$200,aditivos!$A$2:$A$200,A83,aditivos!$C$2:$C$200,"C1"),2))</f>
        <v/>
      </c>
      <c r="I83" s="167" t="str">
        <f t="shared" si="38"/>
        <v/>
      </c>
      <c r="J83" s="167" t="str">
        <f>IF(A83="","",IF(itens_Remanesc!E83="","",itens_Remanesc!E83))</f>
        <v/>
      </c>
      <c r="K83" s="173" t="str">
        <f t="shared" si="39"/>
        <v/>
      </c>
      <c r="L83" s="165" t="str">
        <f>IF(A83="","",ROUND(SUMIFS(aditivos!$L$2:$L$200,aditivos!$A$2:$A$200,A83,aditivos!$C$2:$C$200,"C2"),2))</f>
        <v/>
      </c>
      <c r="M83" s="161" t="str">
        <f t="shared" si="40"/>
        <v/>
      </c>
      <c r="N83" s="161" t="str">
        <f>IF(A83="","",IF(itens_Remanesc!G83="","",itens_Remanesc!G83))</f>
        <v/>
      </c>
      <c r="O83" s="169" t="str">
        <f t="shared" si="41"/>
        <v/>
      </c>
      <c r="P83" s="171" t="str">
        <f>IF(A83="","",ROUND(SUMIFS(aditivos!$L$2:$L$200,aditivos!$A$2:$A$200,A83,aditivos!$C$2:$C$200,"C3"),2))</f>
        <v/>
      </c>
      <c r="Q83" s="167" t="str">
        <f t="shared" si="42"/>
        <v/>
      </c>
      <c r="R83" s="167" t="str">
        <f>IF(A83="","",IF(itens_Remanesc!I83="","",itens_Remanesc!I83))</f>
        <v/>
      </c>
      <c r="S83" s="173" t="str">
        <f t="shared" si="43"/>
        <v/>
      </c>
      <c r="T83" s="165" t="str">
        <f>IF(A83="","",ROUND(SUMIFS(aditivos!$L$2:$L$200,aditivos!$A$2:$A$200,A83,aditivos!$C$2:$C$200,"C4"),2))</f>
        <v/>
      </c>
      <c r="U83" s="161" t="str">
        <f t="shared" si="44"/>
        <v/>
      </c>
      <c r="V83" s="161" t="str">
        <f>IF(A83="","",IF(itens_Remanesc!K83="","",itens_Remanesc!K83))</f>
        <v/>
      </c>
      <c r="W83" s="161" t="str">
        <f t="shared" si="45"/>
        <v/>
      </c>
      <c r="X83" s="148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1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48" t="str">
        <f>IF(itens_Remanesc!A84="","",itens_Remanesc!A84)</f>
        <v/>
      </c>
      <c r="B84" s="200" t="str">
        <f>IF(A84="","",itens_Remanesc!C84)</f>
        <v/>
      </c>
      <c r="C84" s="163" t="str">
        <f>IF(A84="","",IF(itens_Remanesc!B84="",0,itens_Remanesc!B84))</f>
        <v/>
      </c>
      <c r="D84" s="165" t="str">
        <f>IF(A84="","",ROUND(SUMIFS(aditivos!$L$2:$L$200,aditivos!$A$2:$A$200,A84,aditivos!$C$2:$C$200,"C0"),2))</f>
        <v/>
      </c>
      <c r="E84" s="161" t="str">
        <f t="shared" si="36"/>
        <v/>
      </c>
      <c r="F84" s="161" t="str">
        <f>IF(A84="","",IF(itens_Remanesc!B84&lt;&gt;"",itens_Remanesc!B84,IF($Z84,0,"")))</f>
        <v/>
      </c>
      <c r="G84" s="169" t="str">
        <f t="shared" si="37"/>
        <v/>
      </c>
      <c r="H84" s="171" t="str">
        <f>IF(A84="","",ROUND(SUMIFS(aditivos!$L$2:$L$200,aditivos!$A$2:$A$200,A84,aditivos!$C$2:$C$200,"C1"),2))</f>
        <v/>
      </c>
      <c r="I84" s="167" t="str">
        <f t="shared" si="38"/>
        <v/>
      </c>
      <c r="J84" s="167" t="str">
        <f>IF(A84="","",IF(itens_Remanesc!E84="","",itens_Remanesc!E84))</f>
        <v/>
      </c>
      <c r="K84" s="173" t="str">
        <f t="shared" si="39"/>
        <v/>
      </c>
      <c r="L84" s="165" t="str">
        <f>IF(A84="","",ROUND(SUMIFS(aditivos!$L$2:$L$200,aditivos!$A$2:$A$200,A84,aditivos!$C$2:$C$200,"C2"),2))</f>
        <v/>
      </c>
      <c r="M84" s="161" t="str">
        <f t="shared" si="40"/>
        <v/>
      </c>
      <c r="N84" s="161" t="str">
        <f>IF(A84="","",IF(itens_Remanesc!G84="","",itens_Remanesc!G84))</f>
        <v/>
      </c>
      <c r="O84" s="169" t="str">
        <f t="shared" si="41"/>
        <v/>
      </c>
      <c r="P84" s="171" t="str">
        <f>IF(A84="","",ROUND(SUMIFS(aditivos!$L$2:$L$200,aditivos!$A$2:$A$200,A84,aditivos!$C$2:$C$200,"C3"),2))</f>
        <v/>
      </c>
      <c r="Q84" s="167" t="str">
        <f t="shared" si="42"/>
        <v/>
      </c>
      <c r="R84" s="167" t="str">
        <f>IF(A84="","",IF(itens_Remanesc!I84="","",itens_Remanesc!I84))</f>
        <v/>
      </c>
      <c r="S84" s="173" t="str">
        <f t="shared" si="43"/>
        <v/>
      </c>
      <c r="T84" s="165" t="str">
        <f>IF(A84="","",ROUND(SUMIFS(aditivos!$L$2:$L$200,aditivos!$A$2:$A$200,A84,aditivos!$C$2:$C$200,"C4"),2))</f>
        <v/>
      </c>
      <c r="U84" s="161" t="str">
        <f t="shared" si="44"/>
        <v/>
      </c>
      <c r="V84" s="161" t="str">
        <f>IF(A84="","",IF(itens_Remanesc!K84="","",itens_Remanesc!K84))</f>
        <v/>
      </c>
      <c r="W84" s="161" t="str">
        <f t="shared" si="45"/>
        <v/>
      </c>
      <c r="X84" s="148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1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48" t="str">
        <f>IF(itens_Remanesc!A85="","",itens_Remanesc!A85)</f>
        <v/>
      </c>
      <c r="B85" s="200" t="str">
        <f>IF(A85="","",itens_Remanesc!C85)</f>
        <v/>
      </c>
      <c r="C85" s="163" t="str">
        <f>IF(A85="","",IF(itens_Remanesc!B85="",0,itens_Remanesc!B85))</f>
        <v/>
      </c>
      <c r="D85" s="165" t="str">
        <f>IF(A85="","",ROUND(SUMIFS(aditivos!$L$2:$L$200,aditivos!$A$2:$A$200,A85,aditivos!$C$2:$C$200,"C0"),2))</f>
        <v/>
      </c>
      <c r="E85" s="161" t="str">
        <f t="shared" si="36"/>
        <v/>
      </c>
      <c r="F85" s="161" t="str">
        <f>IF(A85="","",IF(itens_Remanesc!B85&lt;&gt;"",itens_Remanesc!B85,IF($Z85,0,"")))</f>
        <v/>
      </c>
      <c r="G85" s="169" t="str">
        <f t="shared" si="37"/>
        <v/>
      </c>
      <c r="H85" s="171" t="str">
        <f>IF(A85="","",ROUND(SUMIFS(aditivos!$L$2:$L$200,aditivos!$A$2:$A$200,A85,aditivos!$C$2:$C$200,"C1"),2))</f>
        <v/>
      </c>
      <c r="I85" s="167" t="str">
        <f t="shared" si="38"/>
        <v/>
      </c>
      <c r="J85" s="167" t="str">
        <f>IF(A85="","",IF(itens_Remanesc!E85="","",itens_Remanesc!E85))</f>
        <v/>
      </c>
      <c r="K85" s="173" t="str">
        <f t="shared" si="39"/>
        <v/>
      </c>
      <c r="L85" s="165" t="str">
        <f>IF(A85="","",ROUND(SUMIFS(aditivos!$L$2:$L$200,aditivos!$A$2:$A$200,A85,aditivos!$C$2:$C$200,"C2"),2))</f>
        <v/>
      </c>
      <c r="M85" s="161" t="str">
        <f t="shared" si="40"/>
        <v/>
      </c>
      <c r="N85" s="161" t="str">
        <f>IF(A85="","",IF(itens_Remanesc!G85="","",itens_Remanesc!G85))</f>
        <v/>
      </c>
      <c r="O85" s="169" t="str">
        <f t="shared" si="41"/>
        <v/>
      </c>
      <c r="P85" s="171" t="str">
        <f>IF(A85="","",ROUND(SUMIFS(aditivos!$L$2:$L$200,aditivos!$A$2:$A$200,A85,aditivos!$C$2:$C$200,"C3"),2))</f>
        <v/>
      </c>
      <c r="Q85" s="167" t="str">
        <f t="shared" si="42"/>
        <v/>
      </c>
      <c r="R85" s="167" t="str">
        <f>IF(A85="","",IF(itens_Remanesc!I85="","",itens_Remanesc!I85))</f>
        <v/>
      </c>
      <c r="S85" s="173" t="str">
        <f t="shared" si="43"/>
        <v/>
      </c>
      <c r="T85" s="165" t="str">
        <f>IF(A85="","",ROUND(SUMIFS(aditivos!$L$2:$L$200,aditivos!$A$2:$A$200,A85,aditivos!$C$2:$C$200,"C4"),2))</f>
        <v/>
      </c>
      <c r="U85" s="161" t="str">
        <f t="shared" si="44"/>
        <v/>
      </c>
      <c r="V85" s="161" t="str">
        <f>IF(A85="","",IF(itens_Remanesc!K85="","",itens_Remanesc!K85))</f>
        <v/>
      </c>
      <c r="W85" s="161" t="str">
        <f t="shared" si="45"/>
        <v/>
      </c>
      <c r="X85" s="148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1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48" t="str">
        <f>IF(itens_Remanesc!A86="","",itens_Remanesc!A86)</f>
        <v/>
      </c>
      <c r="B86" s="200" t="str">
        <f>IF(A86="","",itens_Remanesc!C86)</f>
        <v/>
      </c>
      <c r="C86" s="163" t="str">
        <f>IF(A86="","",IF(itens_Remanesc!B86="",0,itens_Remanesc!B86))</f>
        <v/>
      </c>
      <c r="D86" s="165" t="str">
        <f>IF(A86="","",ROUND(SUMIFS(aditivos!$L$2:$L$200,aditivos!$A$2:$A$200,A86,aditivos!$C$2:$C$200,"C0"),2))</f>
        <v/>
      </c>
      <c r="E86" s="161" t="str">
        <f t="shared" si="36"/>
        <v/>
      </c>
      <c r="F86" s="161" t="str">
        <f>IF(A86="","",IF(itens_Remanesc!B86&lt;&gt;"",itens_Remanesc!B86,IF($Z86,0,"")))</f>
        <v/>
      </c>
      <c r="G86" s="169" t="str">
        <f t="shared" si="37"/>
        <v/>
      </c>
      <c r="H86" s="171" t="str">
        <f>IF(A86="","",ROUND(SUMIFS(aditivos!$L$2:$L$200,aditivos!$A$2:$A$200,A86,aditivos!$C$2:$C$200,"C1"),2))</f>
        <v/>
      </c>
      <c r="I86" s="167" t="str">
        <f t="shared" si="38"/>
        <v/>
      </c>
      <c r="J86" s="167" t="str">
        <f>IF(A86="","",IF(itens_Remanesc!E86="","",itens_Remanesc!E86))</f>
        <v/>
      </c>
      <c r="K86" s="173" t="str">
        <f t="shared" si="39"/>
        <v/>
      </c>
      <c r="L86" s="165" t="str">
        <f>IF(A86="","",ROUND(SUMIFS(aditivos!$L$2:$L$200,aditivos!$A$2:$A$200,A86,aditivos!$C$2:$C$200,"C2"),2))</f>
        <v/>
      </c>
      <c r="M86" s="161" t="str">
        <f t="shared" si="40"/>
        <v/>
      </c>
      <c r="N86" s="161" t="str">
        <f>IF(A86="","",IF(itens_Remanesc!G86="","",itens_Remanesc!G86))</f>
        <v/>
      </c>
      <c r="O86" s="169" t="str">
        <f t="shared" si="41"/>
        <v/>
      </c>
      <c r="P86" s="171" t="str">
        <f>IF(A86="","",ROUND(SUMIFS(aditivos!$L$2:$L$200,aditivos!$A$2:$A$200,A86,aditivos!$C$2:$C$200,"C3"),2))</f>
        <v/>
      </c>
      <c r="Q86" s="167" t="str">
        <f t="shared" si="42"/>
        <v/>
      </c>
      <c r="R86" s="167" t="str">
        <f>IF(A86="","",IF(itens_Remanesc!I86="","",itens_Remanesc!I86))</f>
        <v/>
      </c>
      <c r="S86" s="173" t="str">
        <f t="shared" si="43"/>
        <v/>
      </c>
      <c r="T86" s="165" t="str">
        <f>IF(A86="","",ROUND(SUMIFS(aditivos!$L$2:$L$200,aditivos!$A$2:$A$200,A86,aditivos!$C$2:$C$200,"C4"),2))</f>
        <v/>
      </c>
      <c r="U86" s="161" t="str">
        <f t="shared" si="44"/>
        <v/>
      </c>
      <c r="V86" s="161" t="str">
        <f>IF(A86="","",IF(itens_Remanesc!K86="","",itens_Remanesc!K86))</f>
        <v/>
      </c>
      <c r="W86" s="161" t="str">
        <f t="shared" si="45"/>
        <v/>
      </c>
      <c r="X86" s="148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1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48" t="str">
        <f>IF(itens_Remanesc!A87="","",itens_Remanesc!A87)</f>
        <v/>
      </c>
      <c r="B87" s="200" t="str">
        <f>IF(A87="","",itens_Remanesc!C87)</f>
        <v/>
      </c>
      <c r="C87" s="163" t="str">
        <f>IF(A87="","",IF(itens_Remanesc!B87="",0,itens_Remanesc!B87))</f>
        <v/>
      </c>
      <c r="D87" s="165" t="str">
        <f>IF(A87="","",ROUND(SUMIFS(aditivos!$L$2:$L$200,aditivos!$A$2:$A$200,A87,aditivos!$C$2:$C$200,"C0"),2))</f>
        <v/>
      </c>
      <c r="E87" s="161" t="str">
        <f t="shared" si="36"/>
        <v/>
      </c>
      <c r="F87" s="161" t="str">
        <f>IF(A87="","",IF(itens_Remanesc!B87&lt;&gt;"",itens_Remanesc!B87,IF($Z87,0,"")))</f>
        <v/>
      </c>
      <c r="G87" s="169" t="str">
        <f t="shared" si="37"/>
        <v/>
      </c>
      <c r="H87" s="171" t="str">
        <f>IF(A87="","",ROUND(SUMIFS(aditivos!$L$2:$L$200,aditivos!$A$2:$A$200,A87,aditivos!$C$2:$C$200,"C1"),2))</f>
        <v/>
      </c>
      <c r="I87" s="167" t="str">
        <f t="shared" si="38"/>
        <v/>
      </c>
      <c r="J87" s="167" t="str">
        <f>IF(A87="","",IF(itens_Remanesc!E87="","",itens_Remanesc!E87))</f>
        <v/>
      </c>
      <c r="K87" s="173" t="str">
        <f t="shared" si="39"/>
        <v/>
      </c>
      <c r="L87" s="165" t="str">
        <f>IF(A87="","",ROUND(SUMIFS(aditivos!$L$2:$L$200,aditivos!$A$2:$A$200,A87,aditivos!$C$2:$C$200,"C2"),2))</f>
        <v/>
      </c>
      <c r="M87" s="161" t="str">
        <f t="shared" si="40"/>
        <v/>
      </c>
      <c r="N87" s="161" t="str">
        <f>IF(A87="","",IF(itens_Remanesc!G87="","",itens_Remanesc!G87))</f>
        <v/>
      </c>
      <c r="O87" s="169" t="str">
        <f t="shared" si="41"/>
        <v/>
      </c>
      <c r="P87" s="171" t="str">
        <f>IF(A87="","",ROUND(SUMIFS(aditivos!$L$2:$L$200,aditivos!$A$2:$A$200,A87,aditivos!$C$2:$C$200,"C3"),2))</f>
        <v/>
      </c>
      <c r="Q87" s="167" t="str">
        <f t="shared" si="42"/>
        <v/>
      </c>
      <c r="R87" s="167" t="str">
        <f>IF(A87="","",IF(itens_Remanesc!I87="","",itens_Remanesc!I87))</f>
        <v/>
      </c>
      <c r="S87" s="173" t="str">
        <f t="shared" si="43"/>
        <v/>
      </c>
      <c r="T87" s="165" t="str">
        <f>IF(A87="","",ROUND(SUMIFS(aditivos!$L$2:$L$200,aditivos!$A$2:$A$200,A87,aditivos!$C$2:$C$200,"C4"),2))</f>
        <v/>
      </c>
      <c r="U87" s="161" t="str">
        <f t="shared" si="44"/>
        <v/>
      </c>
      <c r="V87" s="161" t="str">
        <f>IF(A87="","",IF(itens_Remanesc!K87="","",itens_Remanesc!K87))</f>
        <v/>
      </c>
      <c r="W87" s="161" t="str">
        <f t="shared" si="45"/>
        <v/>
      </c>
      <c r="X87" s="148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1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48" t="str">
        <f>IF(itens_Remanesc!A88="","",itens_Remanesc!A88)</f>
        <v/>
      </c>
      <c r="B88" s="200" t="str">
        <f>IF(A88="","",itens_Remanesc!C88)</f>
        <v/>
      </c>
      <c r="C88" s="163" t="str">
        <f>IF(A88="","",IF(itens_Remanesc!B88="",0,itens_Remanesc!B88))</f>
        <v/>
      </c>
      <c r="D88" s="165" t="str">
        <f>IF(A88="","",ROUND(SUMIFS(aditivos!$L$2:$L$200,aditivos!$A$2:$A$200,A88,aditivos!$C$2:$C$200,"C0"),2))</f>
        <v/>
      </c>
      <c r="E88" s="161" t="str">
        <f t="shared" si="36"/>
        <v/>
      </c>
      <c r="F88" s="161" t="str">
        <f>IF(A88="","",IF(itens_Remanesc!B88&lt;&gt;"",itens_Remanesc!B88,IF($Z88,0,"")))</f>
        <v/>
      </c>
      <c r="G88" s="169" t="str">
        <f t="shared" si="37"/>
        <v/>
      </c>
      <c r="H88" s="171" t="str">
        <f>IF(A88="","",ROUND(SUMIFS(aditivos!$L$2:$L$200,aditivos!$A$2:$A$200,A88,aditivos!$C$2:$C$200,"C1"),2))</f>
        <v/>
      </c>
      <c r="I88" s="167" t="str">
        <f t="shared" si="38"/>
        <v/>
      </c>
      <c r="J88" s="167" t="str">
        <f>IF(A88="","",IF(itens_Remanesc!E88="","",itens_Remanesc!E88))</f>
        <v/>
      </c>
      <c r="K88" s="173" t="str">
        <f t="shared" si="39"/>
        <v/>
      </c>
      <c r="L88" s="165" t="str">
        <f>IF(A88="","",ROUND(SUMIFS(aditivos!$L$2:$L$200,aditivos!$A$2:$A$200,A88,aditivos!$C$2:$C$200,"C2"),2))</f>
        <v/>
      </c>
      <c r="M88" s="161" t="str">
        <f t="shared" si="40"/>
        <v/>
      </c>
      <c r="N88" s="161" t="str">
        <f>IF(A88="","",IF(itens_Remanesc!G88="","",itens_Remanesc!G88))</f>
        <v/>
      </c>
      <c r="O88" s="169" t="str">
        <f t="shared" si="41"/>
        <v/>
      </c>
      <c r="P88" s="171" t="str">
        <f>IF(A88="","",ROUND(SUMIFS(aditivos!$L$2:$L$200,aditivos!$A$2:$A$200,A88,aditivos!$C$2:$C$200,"C3"),2))</f>
        <v/>
      </c>
      <c r="Q88" s="167" t="str">
        <f t="shared" si="42"/>
        <v/>
      </c>
      <c r="R88" s="167" t="str">
        <f>IF(A88="","",IF(itens_Remanesc!I88="","",itens_Remanesc!I88))</f>
        <v/>
      </c>
      <c r="S88" s="173" t="str">
        <f t="shared" si="43"/>
        <v/>
      </c>
      <c r="T88" s="165" t="str">
        <f>IF(A88="","",ROUND(SUMIFS(aditivos!$L$2:$L$200,aditivos!$A$2:$A$200,A88,aditivos!$C$2:$C$200,"C4"),2))</f>
        <v/>
      </c>
      <c r="U88" s="161" t="str">
        <f t="shared" si="44"/>
        <v/>
      </c>
      <c r="V88" s="161" t="str">
        <f>IF(A88="","",IF(itens_Remanesc!K88="","",itens_Remanesc!K88))</f>
        <v/>
      </c>
      <c r="W88" s="161" t="str">
        <f t="shared" si="45"/>
        <v/>
      </c>
      <c r="X88" s="148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1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48" t="str">
        <f>IF(itens_Remanesc!A89="","",itens_Remanesc!A89)</f>
        <v/>
      </c>
      <c r="B89" s="200" t="str">
        <f>IF(A89="","",itens_Remanesc!C89)</f>
        <v/>
      </c>
      <c r="C89" s="163" t="str">
        <f>IF(A89="","",IF(itens_Remanesc!B89="",0,itens_Remanesc!B89))</f>
        <v/>
      </c>
      <c r="D89" s="165" t="str">
        <f>IF(A89="","",ROUND(SUMIFS(aditivos!$L$2:$L$200,aditivos!$A$2:$A$200,A89,aditivos!$C$2:$C$200,"C0"),2))</f>
        <v/>
      </c>
      <c r="E89" s="161" t="str">
        <f t="shared" si="36"/>
        <v/>
      </c>
      <c r="F89" s="161" t="str">
        <f>IF(A89="","",IF(itens_Remanesc!B89&lt;&gt;"",itens_Remanesc!B89,IF($Z89,0,"")))</f>
        <v/>
      </c>
      <c r="G89" s="169" t="str">
        <f t="shared" si="37"/>
        <v/>
      </c>
      <c r="H89" s="171" t="str">
        <f>IF(A89="","",ROUND(SUMIFS(aditivos!$L$2:$L$200,aditivos!$A$2:$A$200,A89,aditivos!$C$2:$C$200,"C1"),2))</f>
        <v/>
      </c>
      <c r="I89" s="167" t="str">
        <f t="shared" si="38"/>
        <v/>
      </c>
      <c r="J89" s="167" t="str">
        <f>IF(A89="","",IF(itens_Remanesc!E89="","",itens_Remanesc!E89))</f>
        <v/>
      </c>
      <c r="K89" s="173" t="str">
        <f t="shared" si="39"/>
        <v/>
      </c>
      <c r="L89" s="165" t="str">
        <f>IF(A89="","",ROUND(SUMIFS(aditivos!$L$2:$L$200,aditivos!$A$2:$A$200,A89,aditivos!$C$2:$C$200,"C2"),2))</f>
        <v/>
      </c>
      <c r="M89" s="161" t="str">
        <f t="shared" si="40"/>
        <v/>
      </c>
      <c r="N89" s="161" t="str">
        <f>IF(A89="","",IF(itens_Remanesc!G89="","",itens_Remanesc!G89))</f>
        <v/>
      </c>
      <c r="O89" s="169" t="str">
        <f t="shared" si="41"/>
        <v/>
      </c>
      <c r="P89" s="171" t="str">
        <f>IF(A89="","",ROUND(SUMIFS(aditivos!$L$2:$L$200,aditivos!$A$2:$A$200,A89,aditivos!$C$2:$C$200,"C3"),2))</f>
        <v/>
      </c>
      <c r="Q89" s="167" t="str">
        <f t="shared" si="42"/>
        <v/>
      </c>
      <c r="R89" s="167" t="str">
        <f>IF(A89="","",IF(itens_Remanesc!I89="","",itens_Remanesc!I89))</f>
        <v/>
      </c>
      <c r="S89" s="173" t="str">
        <f t="shared" si="43"/>
        <v/>
      </c>
      <c r="T89" s="165" t="str">
        <f>IF(A89="","",ROUND(SUMIFS(aditivos!$L$2:$L$200,aditivos!$A$2:$A$200,A89,aditivos!$C$2:$C$200,"C4"),2))</f>
        <v/>
      </c>
      <c r="U89" s="161" t="str">
        <f t="shared" si="44"/>
        <v/>
      </c>
      <c r="V89" s="161" t="str">
        <f>IF(A89="","",IF(itens_Remanesc!K89="","",itens_Remanesc!K89))</f>
        <v/>
      </c>
      <c r="W89" s="161" t="str">
        <f t="shared" si="45"/>
        <v/>
      </c>
      <c r="X89" s="148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1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48" t="str">
        <f>IF(itens_Remanesc!A90="","",itens_Remanesc!A90)</f>
        <v/>
      </c>
      <c r="B90" s="200" t="str">
        <f>IF(A90="","",itens_Remanesc!C90)</f>
        <v/>
      </c>
      <c r="C90" s="163" t="str">
        <f>IF(A90="","",IF(itens_Remanesc!B90="",0,itens_Remanesc!B90))</f>
        <v/>
      </c>
      <c r="D90" s="165" t="str">
        <f>IF(A90="","",ROUND(SUMIFS(aditivos!$L$2:$L$200,aditivos!$A$2:$A$200,A90,aditivos!$C$2:$C$200,"C0"),2))</f>
        <v/>
      </c>
      <c r="E90" s="161" t="str">
        <f t="shared" si="36"/>
        <v/>
      </c>
      <c r="F90" s="161" t="str">
        <f>IF(A90="","",IF(itens_Remanesc!B90&lt;&gt;"",itens_Remanesc!B90,IF($Z90,0,"")))</f>
        <v/>
      </c>
      <c r="G90" s="169" t="str">
        <f t="shared" si="37"/>
        <v/>
      </c>
      <c r="H90" s="171" t="str">
        <f>IF(A90="","",ROUND(SUMIFS(aditivos!$L$2:$L$200,aditivos!$A$2:$A$200,A90,aditivos!$C$2:$C$200,"C1"),2))</f>
        <v/>
      </c>
      <c r="I90" s="167" t="str">
        <f t="shared" si="38"/>
        <v/>
      </c>
      <c r="J90" s="167" t="str">
        <f>IF(A90="","",IF(itens_Remanesc!E90="","",itens_Remanesc!E90))</f>
        <v/>
      </c>
      <c r="K90" s="173" t="str">
        <f t="shared" si="39"/>
        <v/>
      </c>
      <c r="L90" s="165" t="str">
        <f>IF(A90="","",ROUND(SUMIFS(aditivos!$L$2:$L$200,aditivos!$A$2:$A$200,A90,aditivos!$C$2:$C$200,"C2"),2))</f>
        <v/>
      </c>
      <c r="M90" s="161" t="str">
        <f t="shared" si="40"/>
        <v/>
      </c>
      <c r="N90" s="161" t="str">
        <f>IF(A90="","",IF(itens_Remanesc!G90="","",itens_Remanesc!G90))</f>
        <v/>
      </c>
      <c r="O90" s="169" t="str">
        <f t="shared" si="41"/>
        <v/>
      </c>
      <c r="P90" s="171" t="str">
        <f>IF(A90="","",ROUND(SUMIFS(aditivos!$L$2:$L$200,aditivos!$A$2:$A$200,A90,aditivos!$C$2:$C$200,"C3"),2))</f>
        <v/>
      </c>
      <c r="Q90" s="167" t="str">
        <f t="shared" si="42"/>
        <v/>
      </c>
      <c r="R90" s="167" t="str">
        <f>IF(A90="","",IF(itens_Remanesc!I90="","",itens_Remanesc!I90))</f>
        <v/>
      </c>
      <c r="S90" s="173" t="str">
        <f t="shared" si="43"/>
        <v/>
      </c>
      <c r="T90" s="165" t="str">
        <f>IF(A90="","",ROUND(SUMIFS(aditivos!$L$2:$L$200,aditivos!$A$2:$A$200,A90,aditivos!$C$2:$C$200,"C4"),2))</f>
        <v/>
      </c>
      <c r="U90" s="161" t="str">
        <f t="shared" si="44"/>
        <v/>
      </c>
      <c r="V90" s="161" t="str">
        <f>IF(A90="","",IF(itens_Remanesc!K90="","",itens_Remanesc!K90))</f>
        <v/>
      </c>
      <c r="W90" s="161" t="str">
        <f t="shared" si="45"/>
        <v/>
      </c>
      <c r="X90" s="148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1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48" t="str">
        <f>IF(itens_Remanesc!A91="","",itens_Remanesc!A91)</f>
        <v/>
      </c>
      <c r="B91" s="200" t="str">
        <f>IF(A91="","",itens_Remanesc!C91)</f>
        <v/>
      </c>
      <c r="C91" s="163" t="str">
        <f>IF(A91="","",IF(itens_Remanesc!B91="",0,itens_Remanesc!B91))</f>
        <v/>
      </c>
      <c r="D91" s="165" t="str">
        <f>IF(A91="","",ROUND(SUMIFS(aditivos!$L$2:$L$200,aditivos!$A$2:$A$200,A91,aditivos!$C$2:$C$200,"C0"),2))</f>
        <v/>
      </c>
      <c r="E91" s="161" t="str">
        <f t="shared" si="36"/>
        <v/>
      </c>
      <c r="F91" s="161" t="str">
        <f>IF(A91="","",IF(itens_Remanesc!B91&lt;&gt;"",itens_Remanesc!B91,IF($Z91,0,"")))</f>
        <v/>
      </c>
      <c r="G91" s="169" t="str">
        <f t="shared" si="37"/>
        <v/>
      </c>
      <c r="H91" s="171" t="str">
        <f>IF(A91="","",ROUND(SUMIFS(aditivos!$L$2:$L$200,aditivos!$A$2:$A$200,A91,aditivos!$C$2:$C$200,"C1"),2))</f>
        <v/>
      </c>
      <c r="I91" s="167" t="str">
        <f t="shared" si="38"/>
        <v/>
      </c>
      <c r="J91" s="167" t="str">
        <f>IF(A91="","",IF(itens_Remanesc!E91="","",itens_Remanesc!E91))</f>
        <v/>
      </c>
      <c r="K91" s="173" t="str">
        <f t="shared" si="39"/>
        <v/>
      </c>
      <c r="L91" s="165" t="str">
        <f>IF(A91="","",ROUND(SUMIFS(aditivos!$L$2:$L$200,aditivos!$A$2:$A$200,A91,aditivos!$C$2:$C$200,"C2"),2))</f>
        <v/>
      </c>
      <c r="M91" s="161" t="str">
        <f t="shared" si="40"/>
        <v/>
      </c>
      <c r="N91" s="161" t="str">
        <f>IF(A91="","",IF(itens_Remanesc!G91="","",itens_Remanesc!G91))</f>
        <v/>
      </c>
      <c r="O91" s="169" t="str">
        <f t="shared" si="41"/>
        <v/>
      </c>
      <c r="P91" s="171" t="str">
        <f>IF(A91="","",ROUND(SUMIFS(aditivos!$L$2:$L$200,aditivos!$A$2:$A$200,A91,aditivos!$C$2:$C$200,"C3"),2))</f>
        <v/>
      </c>
      <c r="Q91" s="167" t="str">
        <f t="shared" si="42"/>
        <v/>
      </c>
      <c r="R91" s="167" t="str">
        <f>IF(A91="","",IF(itens_Remanesc!I91="","",itens_Remanesc!I91))</f>
        <v/>
      </c>
      <c r="S91" s="173" t="str">
        <f t="shared" si="43"/>
        <v/>
      </c>
      <c r="T91" s="165" t="str">
        <f>IF(A91="","",ROUND(SUMIFS(aditivos!$L$2:$L$200,aditivos!$A$2:$A$200,A91,aditivos!$C$2:$C$200,"C4"),2))</f>
        <v/>
      </c>
      <c r="U91" s="161" t="str">
        <f t="shared" si="44"/>
        <v/>
      </c>
      <c r="V91" s="161" t="str">
        <f>IF(A91="","",IF(itens_Remanesc!K91="","",itens_Remanesc!K91))</f>
        <v/>
      </c>
      <c r="W91" s="161" t="str">
        <f t="shared" si="45"/>
        <v/>
      </c>
      <c r="X91" s="148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1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48" t="str">
        <f>IF(itens_Remanesc!A92="","",itens_Remanesc!A92)</f>
        <v/>
      </c>
      <c r="B92" s="200" t="str">
        <f>IF(A92="","",itens_Remanesc!C92)</f>
        <v/>
      </c>
      <c r="C92" s="163" t="str">
        <f>IF(A92="","",IF(itens_Remanesc!B92="",0,itens_Remanesc!B92))</f>
        <v/>
      </c>
      <c r="D92" s="165" t="str">
        <f>IF(A92="","",ROUND(SUMIFS(aditivos!$L$2:$L$200,aditivos!$A$2:$A$200,A92,aditivos!$C$2:$C$200,"C0"),2))</f>
        <v/>
      </c>
      <c r="E92" s="161" t="str">
        <f t="shared" si="36"/>
        <v/>
      </c>
      <c r="F92" s="161" t="str">
        <f>IF(A92="","",IF(itens_Remanesc!B92&lt;&gt;"",itens_Remanesc!B92,IF($Z92,0,"")))</f>
        <v/>
      </c>
      <c r="G92" s="169" t="str">
        <f t="shared" si="37"/>
        <v/>
      </c>
      <c r="H92" s="171" t="str">
        <f>IF(A92="","",ROUND(SUMIFS(aditivos!$L$2:$L$200,aditivos!$A$2:$A$200,A92,aditivos!$C$2:$C$200,"C1"),2))</f>
        <v/>
      </c>
      <c r="I92" s="167" t="str">
        <f t="shared" si="38"/>
        <v/>
      </c>
      <c r="J92" s="167" t="str">
        <f>IF(A92="","",IF(itens_Remanesc!E92="","",itens_Remanesc!E92))</f>
        <v/>
      </c>
      <c r="K92" s="173" t="str">
        <f t="shared" si="39"/>
        <v/>
      </c>
      <c r="L92" s="165" t="str">
        <f>IF(A92="","",ROUND(SUMIFS(aditivos!$L$2:$L$200,aditivos!$A$2:$A$200,A92,aditivos!$C$2:$C$200,"C2"),2))</f>
        <v/>
      </c>
      <c r="M92" s="161" t="str">
        <f t="shared" si="40"/>
        <v/>
      </c>
      <c r="N92" s="161" t="str">
        <f>IF(A92="","",IF(itens_Remanesc!G92="","",itens_Remanesc!G92))</f>
        <v/>
      </c>
      <c r="O92" s="169" t="str">
        <f t="shared" si="41"/>
        <v/>
      </c>
      <c r="P92" s="171" t="str">
        <f>IF(A92="","",ROUND(SUMIFS(aditivos!$L$2:$L$200,aditivos!$A$2:$A$200,A92,aditivos!$C$2:$C$200,"C3"),2))</f>
        <v/>
      </c>
      <c r="Q92" s="167" t="str">
        <f t="shared" si="42"/>
        <v/>
      </c>
      <c r="R92" s="167" t="str">
        <f>IF(A92="","",IF(itens_Remanesc!I92="","",itens_Remanesc!I92))</f>
        <v/>
      </c>
      <c r="S92" s="173" t="str">
        <f t="shared" si="43"/>
        <v/>
      </c>
      <c r="T92" s="165" t="str">
        <f>IF(A92="","",ROUND(SUMIFS(aditivos!$L$2:$L$200,aditivos!$A$2:$A$200,A92,aditivos!$C$2:$C$200,"C4"),2))</f>
        <v/>
      </c>
      <c r="U92" s="161" t="str">
        <f t="shared" si="44"/>
        <v/>
      </c>
      <c r="V92" s="161" t="str">
        <f>IF(A92="","",IF(itens_Remanesc!K92="","",itens_Remanesc!K92))</f>
        <v/>
      </c>
      <c r="W92" s="161" t="str">
        <f t="shared" si="45"/>
        <v/>
      </c>
      <c r="X92" s="148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1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48" t="str">
        <f>IF(itens_Remanesc!A93="","",itens_Remanesc!A93)</f>
        <v/>
      </c>
      <c r="B93" s="200" t="str">
        <f>IF(A93="","",itens_Remanesc!C93)</f>
        <v/>
      </c>
      <c r="C93" s="163" t="str">
        <f>IF(A93="","",IF(itens_Remanesc!B93="",0,itens_Remanesc!B93))</f>
        <v/>
      </c>
      <c r="D93" s="165" t="str">
        <f>IF(A93="","",ROUND(SUMIFS(aditivos!$L$2:$L$200,aditivos!$A$2:$A$200,A93,aditivos!$C$2:$C$200,"C0"),2))</f>
        <v/>
      </c>
      <c r="E93" s="161" t="str">
        <f t="shared" si="36"/>
        <v/>
      </c>
      <c r="F93" s="161" t="str">
        <f>IF(A93="","",IF(itens_Remanesc!B93&lt;&gt;"",itens_Remanesc!B93,IF($Z93,0,"")))</f>
        <v/>
      </c>
      <c r="G93" s="169" t="str">
        <f t="shared" si="37"/>
        <v/>
      </c>
      <c r="H93" s="171" t="str">
        <f>IF(A93="","",ROUND(SUMIFS(aditivos!$L$2:$L$200,aditivos!$A$2:$A$200,A93,aditivos!$C$2:$C$200,"C1"),2))</f>
        <v/>
      </c>
      <c r="I93" s="167" t="str">
        <f t="shared" si="38"/>
        <v/>
      </c>
      <c r="J93" s="167" t="str">
        <f>IF(A93="","",IF(itens_Remanesc!E93="","",itens_Remanesc!E93))</f>
        <v/>
      </c>
      <c r="K93" s="173" t="str">
        <f t="shared" si="39"/>
        <v/>
      </c>
      <c r="L93" s="165" t="str">
        <f>IF(A93="","",ROUND(SUMIFS(aditivos!$L$2:$L$200,aditivos!$A$2:$A$200,A93,aditivos!$C$2:$C$200,"C2"),2))</f>
        <v/>
      </c>
      <c r="M93" s="161" t="str">
        <f t="shared" si="40"/>
        <v/>
      </c>
      <c r="N93" s="161" t="str">
        <f>IF(A93="","",IF(itens_Remanesc!G93="","",itens_Remanesc!G93))</f>
        <v/>
      </c>
      <c r="O93" s="169" t="str">
        <f t="shared" si="41"/>
        <v/>
      </c>
      <c r="P93" s="171" t="str">
        <f>IF(A93="","",ROUND(SUMIFS(aditivos!$L$2:$L$200,aditivos!$A$2:$A$200,A93,aditivos!$C$2:$C$200,"C3"),2))</f>
        <v/>
      </c>
      <c r="Q93" s="167" t="str">
        <f t="shared" si="42"/>
        <v/>
      </c>
      <c r="R93" s="167" t="str">
        <f>IF(A93="","",IF(itens_Remanesc!I93="","",itens_Remanesc!I93))</f>
        <v/>
      </c>
      <c r="S93" s="173" t="str">
        <f t="shared" si="43"/>
        <v/>
      </c>
      <c r="T93" s="165" t="str">
        <f>IF(A93="","",ROUND(SUMIFS(aditivos!$L$2:$L$200,aditivos!$A$2:$A$200,A93,aditivos!$C$2:$C$200,"C4"),2))</f>
        <v/>
      </c>
      <c r="U93" s="161" t="str">
        <f t="shared" si="44"/>
        <v/>
      </c>
      <c r="V93" s="161" t="str">
        <f>IF(A93="","",IF(itens_Remanesc!K93="","",itens_Remanesc!K93))</f>
        <v/>
      </c>
      <c r="W93" s="161" t="str">
        <f t="shared" si="45"/>
        <v/>
      </c>
      <c r="X93" s="148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1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48" t="str">
        <f>IF(itens_Remanesc!A94="","",itens_Remanesc!A94)</f>
        <v/>
      </c>
      <c r="B94" s="200" t="str">
        <f>IF(A94="","",itens_Remanesc!C94)</f>
        <v/>
      </c>
      <c r="C94" s="163" t="str">
        <f>IF(A94="","",IF(itens_Remanesc!B94="",0,itens_Remanesc!B94))</f>
        <v/>
      </c>
      <c r="D94" s="165" t="str">
        <f>IF(A94="","",ROUND(SUMIFS(aditivos!$L$2:$L$200,aditivos!$A$2:$A$200,A94,aditivos!$C$2:$C$200,"C0"),2))</f>
        <v/>
      </c>
      <c r="E94" s="161" t="str">
        <f t="shared" si="36"/>
        <v/>
      </c>
      <c r="F94" s="161" t="str">
        <f>IF(A94="","",IF(itens_Remanesc!B94&lt;&gt;"",itens_Remanesc!B94,IF($Z94,0,"")))</f>
        <v/>
      </c>
      <c r="G94" s="169" t="str">
        <f t="shared" si="37"/>
        <v/>
      </c>
      <c r="H94" s="171" t="str">
        <f>IF(A94="","",ROUND(SUMIFS(aditivos!$L$2:$L$200,aditivos!$A$2:$A$200,A94,aditivos!$C$2:$C$200,"C1"),2))</f>
        <v/>
      </c>
      <c r="I94" s="167" t="str">
        <f t="shared" si="38"/>
        <v/>
      </c>
      <c r="J94" s="167" t="str">
        <f>IF(A94="","",IF(itens_Remanesc!E94="","",itens_Remanesc!E94))</f>
        <v/>
      </c>
      <c r="K94" s="173" t="str">
        <f t="shared" si="39"/>
        <v/>
      </c>
      <c r="L94" s="165" t="str">
        <f>IF(A94="","",ROUND(SUMIFS(aditivos!$L$2:$L$200,aditivos!$A$2:$A$200,A94,aditivos!$C$2:$C$200,"C2"),2))</f>
        <v/>
      </c>
      <c r="M94" s="161" t="str">
        <f t="shared" si="40"/>
        <v/>
      </c>
      <c r="N94" s="161" t="str">
        <f>IF(A94="","",IF(itens_Remanesc!G94="","",itens_Remanesc!G94))</f>
        <v/>
      </c>
      <c r="O94" s="169" t="str">
        <f t="shared" si="41"/>
        <v/>
      </c>
      <c r="P94" s="171" t="str">
        <f>IF(A94="","",ROUND(SUMIFS(aditivos!$L$2:$L$200,aditivos!$A$2:$A$200,A94,aditivos!$C$2:$C$200,"C3"),2))</f>
        <v/>
      </c>
      <c r="Q94" s="167" t="str">
        <f t="shared" si="42"/>
        <v/>
      </c>
      <c r="R94" s="167" t="str">
        <f>IF(A94="","",IF(itens_Remanesc!I94="","",itens_Remanesc!I94))</f>
        <v/>
      </c>
      <c r="S94" s="173" t="str">
        <f t="shared" si="43"/>
        <v/>
      </c>
      <c r="T94" s="165" t="str">
        <f>IF(A94="","",ROUND(SUMIFS(aditivos!$L$2:$L$200,aditivos!$A$2:$A$200,A94,aditivos!$C$2:$C$200,"C4"),2))</f>
        <v/>
      </c>
      <c r="U94" s="161" t="str">
        <f t="shared" si="44"/>
        <v/>
      </c>
      <c r="V94" s="161" t="str">
        <f>IF(A94="","",IF(itens_Remanesc!K94="","",itens_Remanesc!K94))</f>
        <v/>
      </c>
      <c r="W94" s="161" t="str">
        <f t="shared" si="45"/>
        <v/>
      </c>
      <c r="X94" s="148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1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48" t="str">
        <f>IF(itens_Remanesc!A95="","",itens_Remanesc!A95)</f>
        <v/>
      </c>
      <c r="B95" s="200" t="str">
        <f>IF(A95="","",itens_Remanesc!C95)</f>
        <v/>
      </c>
      <c r="C95" s="163" t="str">
        <f>IF(A95="","",IF(itens_Remanesc!B95="",0,itens_Remanesc!B95))</f>
        <v/>
      </c>
      <c r="D95" s="165" t="str">
        <f>IF(A95="","",ROUND(SUMIFS(aditivos!$L$2:$L$200,aditivos!$A$2:$A$200,A95,aditivos!$C$2:$C$200,"C0"),2))</f>
        <v/>
      </c>
      <c r="E95" s="161" t="str">
        <f t="shared" si="36"/>
        <v/>
      </c>
      <c r="F95" s="161" t="str">
        <f>IF(A95="","",IF(itens_Remanesc!B95&lt;&gt;"",itens_Remanesc!B95,IF($Z95,0,"")))</f>
        <v/>
      </c>
      <c r="G95" s="169" t="str">
        <f t="shared" si="37"/>
        <v/>
      </c>
      <c r="H95" s="171" t="str">
        <f>IF(A95="","",ROUND(SUMIFS(aditivos!$L$2:$L$200,aditivos!$A$2:$A$200,A95,aditivos!$C$2:$C$200,"C1"),2))</f>
        <v/>
      </c>
      <c r="I95" s="167" t="str">
        <f t="shared" si="38"/>
        <v/>
      </c>
      <c r="J95" s="167" t="str">
        <f>IF(A95="","",IF(itens_Remanesc!E95="","",itens_Remanesc!E95))</f>
        <v/>
      </c>
      <c r="K95" s="173" t="str">
        <f t="shared" si="39"/>
        <v/>
      </c>
      <c r="L95" s="165" t="str">
        <f>IF(A95="","",ROUND(SUMIFS(aditivos!$L$2:$L$200,aditivos!$A$2:$A$200,A95,aditivos!$C$2:$C$200,"C2"),2))</f>
        <v/>
      </c>
      <c r="M95" s="161" t="str">
        <f t="shared" si="40"/>
        <v/>
      </c>
      <c r="N95" s="161" t="str">
        <f>IF(A95="","",IF(itens_Remanesc!G95="","",itens_Remanesc!G95))</f>
        <v/>
      </c>
      <c r="O95" s="169" t="str">
        <f t="shared" si="41"/>
        <v/>
      </c>
      <c r="P95" s="171" t="str">
        <f>IF(A95="","",ROUND(SUMIFS(aditivos!$L$2:$L$200,aditivos!$A$2:$A$200,A95,aditivos!$C$2:$C$200,"C3"),2))</f>
        <v/>
      </c>
      <c r="Q95" s="167" t="str">
        <f t="shared" si="42"/>
        <v/>
      </c>
      <c r="R95" s="167" t="str">
        <f>IF(A95="","",IF(itens_Remanesc!I95="","",itens_Remanesc!I95))</f>
        <v/>
      </c>
      <c r="S95" s="173" t="str">
        <f t="shared" si="43"/>
        <v/>
      </c>
      <c r="T95" s="165" t="str">
        <f>IF(A95="","",ROUND(SUMIFS(aditivos!$L$2:$L$200,aditivos!$A$2:$A$200,A95,aditivos!$C$2:$C$200,"C4"),2))</f>
        <v/>
      </c>
      <c r="U95" s="161" t="str">
        <f t="shared" si="44"/>
        <v/>
      </c>
      <c r="V95" s="161" t="str">
        <f>IF(A95="","",IF(itens_Remanesc!K95="","",itens_Remanesc!K95))</f>
        <v/>
      </c>
      <c r="W95" s="161" t="str">
        <f t="shared" si="45"/>
        <v/>
      </c>
      <c r="X95" s="148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1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48" t="str">
        <f>IF(itens_Remanesc!A96="","",itens_Remanesc!A96)</f>
        <v/>
      </c>
      <c r="B96" s="200" t="str">
        <f>IF(A96="","",itens_Remanesc!C96)</f>
        <v/>
      </c>
      <c r="C96" s="163" t="str">
        <f>IF(A96="","",IF(itens_Remanesc!B96="",0,itens_Remanesc!B96))</f>
        <v/>
      </c>
      <c r="D96" s="165" t="str">
        <f>IF(A96="","",ROUND(SUMIFS(aditivos!$L$2:$L$200,aditivos!$A$2:$A$200,A96,aditivos!$C$2:$C$200,"C0"),2))</f>
        <v/>
      </c>
      <c r="E96" s="161" t="str">
        <f t="shared" si="36"/>
        <v/>
      </c>
      <c r="F96" s="161" t="str">
        <f>IF(A96="","",IF(itens_Remanesc!B96&lt;&gt;"",itens_Remanesc!B96,IF($Z96,0,"")))</f>
        <v/>
      </c>
      <c r="G96" s="169" t="str">
        <f t="shared" si="37"/>
        <v/>
      </c>
      <c r="H96" s="171" t="str">
        <f>IF(A96="","",ROUND(SUMIFS(aditivos!$L$2:$L$200,aditivos!$A$2:$A$200,A96,aditivos!$C$2:$C$200,"C1"),2))</f>
        <v/>
      </c>
      <c r="I96" s="167" t="str">
        <f t="shared" si="38"/>
        <v/>
      </c>
      <c r="J96" s="167" t="str">
        <f>IF(A96="","",IF(itens_Remanesc!E96="","",itens_Remanesc!E96))</f>
        <v/>
      </c>
      <c r="K96" s="173" t="str">
        <f t="shared" si="39"/>
        <v/>
      </c>
      <c r="L96" s="165" t="str">
        <f>IF(A96="","",ROUND(SUMIFS(aditivos!$L$2:$L$200,aditivos!$A$2:$A$200,A96,aditivos!$C$2:$C$200,"C2"),2))</f>
        <v/>
      </c>
      <c r="M96" s="161" t="str">
        <f t="shared" si="40"/>
        <v/>
      </c>
      <c r="N96" s="161" t="str">
        <f>IF(A96="","",IF(itens_Remanesc!G96="","",itens_Remanesc!G96))</f>
        <v/>
      </c>
      <c r="O96" s="169" t="str">
        <f t="shared" si="41"/>
        <v/>
      </c>
      <c r="P96" s="171" t="str">
        <f>IF(A96="","",ROUND(SUMIFS(aditivos!$L$2:$L$200,aditivos!$A$2:$A$200,A96,aditivos!$C$2:$C$200,"C3"),2))</f>
        <v/>
      </c>
      <c r="Q96" s="167" t="str">
        <f t="shared" si="42"/>
        <v/>
      </c>
      <c r="R96" s="167" t="str">
        <f>IF(A96="","",IF(itens_Remanesc!I96="","",itens_Remanesc!I96))</f>
        <v/>
      </c>
      <c r="S96" s="173" t="str">
        <f t="shared" si="43"/>
        <v/>
      </c>
      <c r="T96" s="165" t="str">
        <f>IF(A96="","",ROUND(SUMIFS(aditivos!$L$2:$L$200,aditivos!$A$2:$A$200,A96,aditivos!$C$2:$C$200,"C4"),2))</f>
        <v/>
      </c>
      <c r="U96" s="161" t="str">
        <f t="shared" si="44"/>
        <v/>
      </c>
      <c r="V96" s="161" t="str">
        <f>IF(A96="","",IF(itens_Remanesc!K96="","",itens_Remanesc!K96))</f>
        <v/>
      </c>
      <c r="W96" s="161" t="str">
        <f t="shared" si="45"/>
        <v/>
      </c>
      <c r="X96" s="148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1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48" t="str">
        <f>IF(itens_Remanesc!A97="","",itens_Remanesc!A97)</f>
        <v/>
      </c>
      <c r="B97" s="200" t="str">
        <f>IF(A97="","",itens_Remanesc!C97)</f>
        <v/>
      </c>
      <c r="C97" s="163" t="str">
        <f>IF(A97="","",IF(itens_Remanesc!B97="",0,itens_Remanesc!B97))</f>
        <v/>
      </c>
      <c r="D97" s="165" t="str">
        <f>IF(A97="","",ROUND(SUMIFS(aditivos!$L$2:$L$200,aditivos!$A$2:$A$200,A97,aditivos!$C$2:$C$200,"C0"),2))</f>
        <v/>
      </c>
      <c r="E97" s="161" t="str">
        <f t="shared" si="36"/>
        <v/>
      </c>
      <c r="F97" s="161" t="str">
        <f>IF(A97="","",IF(itens_Remanesc!B97&lt;&gt;"",itens_Remanesc!B97,IF($Z97,0,"")))</f>
        <v/>
      </c>
      <c r="G97" s="169" t="str">
        <f t="shared" si="37"/>
        <v/>
      </c>
      <c r="H97" s="171" t="str">
        <f>IF(A97="","",ROUND(SUMIFS(aditivos!$L$2:$L$200,aditivos!$A$2:$A$200,A97,aditivos!$C$2:$C$200,"C1"),2))</f>
        <v/>
      </c>
      <c r="I97" s="167" t="str">
        <f t="shared" si="38"/>
        <v/>
      </c>
      <c r="J97" s="167" t="str">
        <f>IF(A97="","",IF(itens_Remanesc!E97="","",itens_Remanesc!E97))</f>
        <v/>
      </c>
      <c r="K97" s="173" t="str">
        <f t="shared" si="39"/>
        <v/>
      </c>
      <c r="L97" s="165" t="str">
        <f>IF(A97="","",ROUND(SUMIFS(aditivos!$L$2:$L$200,aditivos!$A$2:$A$200,A97,aditivos!$C$2:$C$200,"C2"),2))</f>
        <v/>
      </c>
      <c r="M97" s="161" t="str">
        <f t="shared" si="40"/>
        <v/>
      </c>
      <c r="N97" s="161" t="str">
        <f>IF(A97="","",IF(itens_Remanesc!G97="","",itens_Remanesc!G97))</f>
        <v/>
      </c>
      <c r="O97" s="169" t="str">
        <f t="shared" si="41"/>
        <v/>
      </c>
      <c r="P97" s="171" t="str">
        <f>IF(A97="","",ROUND(SUMIFS(aditivos!$L$2:$L$200,aditivos!$A$2:$A$200,A97,aditivos!$C$2:$C$200,"C3"),2))</f>
        <v/>
      </c>
      <c r="Q97" s="167" t="str">
        <f t="shared" si="42"/>
        <v/>
      </c>
      <c r="R97" s="167" t="str">
        <f>IF(A97="","",IF(itens_Remanesc!I97="","",itens_Remanesc!I97))</f>
        <v/>
      </c>
      <c r="S97" s="173" t="str">
        <f t="shared" si="43"/>
        <v/>
      </c>
      <c r="T97" s="165" t="str">
        <f>IF(A97="","",ROUND(SUMIFS(aditivos!$L$2:$L$200,aditivos!$A$2:$A$200,A97,aditivos!$C$2:$C$200,"C4"),2))</f>
        <v/>
      </c>
      <c r="U97" s="161" t="str">
        <f t="shared" si="44"/>
        <v/>
      </c>
      <c r="V97" s="161" t="str">
        <f>IF(A97="","",IF(itens_Remanesc!K97="","",itens_Remanesc!K97))</f>
        <v/>
      </c>
      <c r="W97" s="161" t="str">
        <f t="shared" si="45"/>
        <v/>
      </c>
      <c r="X97" s="148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1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48" t="str">
        <f>IF(itens_Remanesc!A98="","",itens_Remanesc!A98)</f>
        <v/>
      </c>
      <c r="B98" s="200" t="str">
        <f>IF(A98="","",itens_Remanesc!C98)</f>
        <v/>
      </c>
      <c r="C98" s="163" t="str">
        <f>IF(A98="","",IF(itens_Remanesc!B98="",0,itens_Remanesc!B98))</f>
        <v/>
      </c>
      <c r="D98" s="165" t="str">
        <f>IF(A98="","",ROUND(SUMIFS(aditivos!$L$2:$L$200,aditivos!$A$2:$A$200,A98,aditivos!$C$2:$C$200,"C0"),2))</f>
        <v/>
      </c>
      <c r="E98" s="161" t="str">
        <f t="shared" ref="E98:E129" si="54">IF(A98="","",ROUND(C98+D98,2))</f>
        <v/>
      </c>
      <c r="F98" s="161" t="str">
        <f>IF(A98="","",IF(itens_Remanesc!B98&lt;&gt;"",itens_Remanesc!B98,IF($Z98,0,"")))</f>
        <v/>
      </c>
      <c r="G98" s="169" t="str">
        <f t="shared" ref="G98:G129" si="55">IF(A98="","",IF($Y98="","",IF($Y98&gt;0,"",ROUND(E98,2))))</f>
        <v/>
      </c>
      <c r="H98" s="171" t="str">
        <f>IF(A98="","",ROUND(SUMIFS(aditivos!$L$2:$L$200,aditivos!$A$2:$A$200,A98,aditivos!$C$2:$C$200,"C1"),2))</f>
        <v/>
      </c>
      <c r="I98" s="167" t="str">
        <f t="shared" ref="I98:I129" si="56">IF(A98="","",ROUND(E98+H98,2))</f>
        <v/>
      </c>
      <c r="J98" s="167" t="str">
        <f>IF(A98="","",IF(itens_Remanesc!E98="","",itens_Remanesc!E98))</f>
        <v/>
      </c>
      <c r="K98" s="173" t="str">
        <f t="shared" ref="K98:K129" si="57">IF(A98="","",IF($Y98="","",IF($Y98&gt;1,"",IF(ISNUMBER(J98),ROUND(J98+H98,2),IF($Y98=1,ROUND(H98,2),"")))))</f>
        <v/>
      </c>
      <c r="L98" s="165" t="str">
        <f>IF(A98="","",ROUND(SUMIFS(aditivos!$L$2:$L$200,aditivos!$A$2:$A$200,A98,aditivos!$C$2:$C$200,"C2"),2))</f>
        <v/>
      </c>
      <c r="M98" s="161" t="str">
        <f t="shared" ref="M98:M129" si="58">IF(A98="","",ROUND(I98+L98,2))</f>
        <v/>
      </c>
      <c r="N98" s="161" t="str">
        <f>IF(A98="","",IF(itens_Remanesc!G98="","",itens_Remanesc!G98))</f>
        <v/>
      </c>
      <c r="O98" s="169" t="str">
        <f t="shared" ref="O98:O129" si="59">IF(A98="","",IF($Y98="","",IF($Y98&gt;2,"",IF(ISNUMBER(N98),ROUND(N98+L98,2),IF($Y98=2,ROUND(L98,2),"")))))</f>
        <v/>
      </c>
      <c r="P98" s="171" t="str">
        <f>IF(A98="","",ROUND(SUMIFS(aditivos!$L$2:$L$200,aditivos!$A$2:$A$200,A98,aditivos!$C$2:$C$200,"C3"),2))</f>
        <v/>
      </c>
      <c r="Q98" s="167" t="str">
        <f t="shared" ref="Q98:Q129" si="60">IF(A98="","",ROUND(M98+P98,2))</f>
        <v/>
      </c>
      <c r="R98" s="167" t="str">
        <f>IF(A98="","",IF(itens_Remanesc!I98="","",itens_Remanesc!I98))</f>
        <v/>
      </c>
      <c r="S98" s="173" t="str">
        <f t="shared" ref="S98:S129" si="61">IF(A98="","",IF($Y98="","",IF($Y98&gt;3,"",IF(ISNUMBER(R98),ROUND(R98+P98,2),IF($Y98=3,ROUND(P98,2),"")))))</f>
        <v/>
      </c>
      <c r="T98" s="165" t="str">
        <f>IF(A98="","",ROUND(SUMIFS(aditivos!$L$2:$L$200,aditivos!$A$2:$A$200,A98,aditivos!$C$2:$C$200,"C4"),2))</f>
        <v/>
      </c>
      <c r="U98" s="161" t="str">
        <f t="shared" ref="U98:U129" si="62">IF(A98="","",ROUND(Q98+T98,2))</f>
        <v/>
      </c>
      <c r="V98" s="161" t="str">
        <f>IF(A98="","",IF(itens_Remanesc!K98="","",itens_Remanesc!K98))</f>
        <v/>
      </c>
      <c r="W98" s="161" t="str">
        <f t="shared" ref="W98:W129" si="63">IF(A98="","",IF($Y98="","",IF($Y98&gt;4,"",IF(ISNUMBER(V98),ROUND(V98+T98,2),IF($Y98=4,ROUND(T98,2),"")))))</f>
        <v/>
      </c>
      <c r="X98" s="148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1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48" t="str">
        <f>IF(itens_Remanesc!A99="","",itens_Remanesc!A99)</f>
        <v/>
      </c>
      <c r="B99" s="200" t="str">
        <f>IF(A99="","",itens_Remanesc!C99)</f>
        <v/>
      </c>
      <c r="C99" s="163" t="str">
        <f>IF(A99="","",IF(itens_Remanesc!B99="",0,itens_Remanesc!B99))</f>
        <v/>
      </c>
      <c r="D99" s="165" t="str">
        <f>IF(A99="","",ROUND(SUMIFS(aditivos!$L$2:$L$200,aditivos!$A$2:$A$200,A99,aditivos!$C$2:$C$200,"C0"),2))</f>
        <v/>
      </c>
      <c r="E99" s="161" t="str">
        <f t="shared" si="54"/>
        <v/>
      </c>
      <c r="F99" s="161" t="str">
        <f>IF(A99="","",IF(itens_Remanesc!B99&lt;&gt;"",itens_Remanesc!B99,IF($Z99,0,"")))</f>
        <v/>
      </c>
      <c r="G99" s="169" t="str">
        <f t="shared" si="55"/>
        <v/>
      </c>
      <c r="H99" s="171" t="str">
        <f>IF(A99="","",ROUND(SUMIFS(aditivos!$L$2:$L$200,aditivos!$A$2:$A$200,A99,aditivos!$C$2:$C$200,"C1"),2))</f>
        <v/>
      </c>
      <c r="I99" s="167" t="str">
        <f t="shared" si="56"/>
        <v/>
      </c>
      <c r="J99" s="167" t="str">
        <f>IF(A99="","",IF(itens_Remanesc!E99="","",itens_Remanesc!E99))</f>
        <v/>
      </c>
      <c r="K99" s="173" t="str">
        <f t="shared" si="57"/>
        <v/>
      </c>
      <c r="L99" s="165" t="str">
        <f>IF(A99="","",ROUND(SUMIFS(aditivos!$L$2:$L$200,aditivos!$A$2:$A$200,A99,aditivos!$C$2:$C$200,"C2"),2))</f>
        <v/>
      </c>
      <c r="M99" s="161" t="str">
        <f t="shared" si="58"/>
        <v/>
      </c>
      <c r="N99" s="161" t="str">
        <f>IF(A99="","",IF(itens_Remanesc!G99="","",itens_Remanesc!G99))</f>
        <v/>
      </c>
      <c r="O99" s="169" t="str">
        <f t="shared" si="59"/>
        <v/>
      </c>
      <c r="P99" s="171" t="str">
        <f>IF(A99="","",ROUND(SUMIFS(aditivos!$L$2:$L$200,aditivos!$A$2:$A$200,A99,aditivos!$C$2:$C$200,"C3"),2))</f>
        <v/>
      </c>
      <c r="Q99" s="167" t="str">
        <f t="shared" si="60"/>
        <v/>
      </c>
      <c r="R99" s="167" t="str">
        <f>IF(A99="","",IF(itens_Remanesc!I99="","",itens_Remanesc!I99))</f>
        <v/>
      </c>
      <c r="S99" s="173" t="str">
        <f t="shared" si="61"/>
        <v/>
      </c>
      <c r="T99" s="165" t="str">
        <f>IF(A99="","",ROUND(SUMIFS(aditivos!$L$2:$L$200,aditivos!$A$2:$A$200,A99,aditivos!$C$2:$C$200,"C4"),2))</f>
        <v/>
      </c>
      <c r="U99" s="161" t="str">
        <f t="shared" si="62"/>
        <v/>
      </c>
      <c r="V99" s="161" t="str">
        <f>IF(A99="","",IF(itens_Remanesc!K99="","",itens_Remanesc!K99))</f>
        <v/>
      </c>
      <c r="W99" s="161" t="str">
        <f t="shared" si="63"/>
        <v/>
      </c>
      <c r="X99" s="148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1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48" t="str">
        <f>IF(itens_Remanesc!A100="","",itens_Remanesc!A100)</f>
        <v/>
      </c>
      <c r="B100" s="200" t="str">
        <f>IF(A100="","",itens_Remanesc!C100)</f>
        <v/>
      </c>
      <c r="C100" s="163" t="str">
        <f>IF(A100="","",IF(itens_Remanesc!B100="",0,itens_Remanesc!B100))</f>
        <v/>
      </c>
      <c r="D100" s="165" t="str">
        <f>IF(A100="","",ROUND(SUMIFS(aditivos!$L$2:$L$200,aditivos!$A$2:$A$200,A100,aditivos!$C$2:$C$200,"C0"),2))</f>
        <v/>
      </c>
      <c r="E100" s="161" t="str">
        <f t="shared" si="54"/>
        <v/>
      </c>
      <c r="F100" s="161" t="str">
        <f>IF(A100="","",IF(itens_Remanesc!B100&lt;&gt;"",itens_Remanesc!B100,IF($Z100,0,"")))</f>
        <v/>
      </c>
      <c r="G100" s="169" t="str">
        <f t="shared" si="55"/>
        <v/>
      </c>
      <c r="H100" s="171" t="str">
        <f>IF(A100="","",ROUND(SUMIFS(aditivos!$L$2:$L$200,aditivos!$A$2:$A$200,A100,aditivos!$C$2:$C$200,"C1"),2))</f>
        <v/>
      </c>
      <c r="I100" s="167" t="str">
        <f t="shared" si="56"/>
        <v/>
      </c>
      <c r="J100" s="167" t="str">
        <f>IF(A100="","",IF(itens_Remanesc!E100="","",itens_Remanesc!E100))</f>
        <v/>
      </c>
      <c r="K100" s="173" t="str">
        <f t="shared" si="57"/>
        <v/>
      </c>
      <c r="L100" s="165" t="str">
        <f>IF(A100="","",ROUND(SUMIFS(aditivos!$L$2:$L$200,aditivos!$A$2:$A$200,A100,aditivos!$C$2:$C$200,"C2"),2))</f>
        <v/>
      </c>
      <c r="M100" s="161" t="str">
        <f t="shared" si="58"/>
        <v/>
      </c>
      <c r="N100" s="161" t="str">
        <f>IF(A100="","",IF(itens_Remanesc!G100="","",itens_Remanesc!G100))</f>
        <v/>
      </c>
      <c r="O100" s="169" t="str">
        <f t="shared" si="59"/>
        <v/>
      </c>
      <c r="P100" s="171" t="str">
        <f>IF(A100="","",ROUND(SUMIFS(aditivos!$L$2:$L$200,aditivos!$A$2:$A$200,A100,aditivos!$C$2:$C$200,"C3"),2))</f>
        <v/>
      </c>
      <c r="Q100" s="167" t="str">
        <f t="shared" si="60"/>
        <v/>
      </c>
      <c r="R100" s="167" t="str">
        <f>IF(A100="","",IF(itens_Remanesc!I100="","",itens_Remanesc!I100))</f>
        <v/>
      </c>
      <c r="S100" s="173" t="str">
        <f t="shared" si="61"/>
        <v/>
      </c>
      <c r="T100" s="165" t="str">
        <f>IF(A100="","",ROUND(SUMIFS(aditivos!$L$2:$L$200,aditivos!$A$2:$A$200,A100,aditivos!$C$2:$C$200,"C4"),2))</f>
        <v/>
      </c>
      <c r="U100" s="161" t="str">
        <f t="shared" si="62"/>
        <v/>
      </c>
      <c r="V100" s="161" t="str">
        <f>IF(A100="","",IF(itens_Remanesc!K100="","",itens_Remanesc!K100))</f>
        <v/>
      </c>
      <c r="W100" s="161" t="str">
        <f t="shared" si="63"/>
        <v/>
      </c>
      <c r="X100" s="148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1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48" t="str">
        <f>IF(itens_Remanesc!A101="","",itens_Remanesc!A101)</f>
        <v/>
      </c>
      <c r="B101" s="200" t="str">
        <f>IF(A101="","",itens_Remanesc!C101)</f>
        <v/>
      </c>
      <c r="C101" s="163" t="str">
        <f>IF(A101="","",IF(itens_Remanesc!B101="",0,itens_Remanesc!B101))</f>
        <v/>
      </c>
      <c r="D101" s="165" t="str">
        <f>IF(A101="","",ROUND(SUMIFS(aditivos!$L$2:$L$200,aditivos!$A$2:$A$200,A101,aditivos!$C$2:$C$200,"C0"),2))</f>
        <v/>
      </c>
      <c r="E101" s="161" t="str">
        <f t="shared" si="54"/>
        <v/>
      </c>
      <c r="F101" s="161" t="str">
        <f>IF(A101="","",IF(itens_Remanesc!B101&lt;&gt;"",itens_Remanesc!B101,IF($Z101,0,"")))</f>
        <v/>
      </c>
      <c r="G101" s="169" t="str">
        <f t="shared" si="55"/>
        <v/>
      </c>
      <c r="H101" s="171" t="str">
        <f>IF(A101="","",ROUND(SUMIFS(aditivos!$L$2:$L$200,aditivos!$A$2:$A$200,A101,aditivos!$C$2:$C$200,"C1"),2))</f>
        <v/>
      </c>
      <c r="I101" s="167" t="str">
        <f t="shared" si="56"/>
        <v/>
      </c>
      <c r="J101" s="167" t="str">
        <f>IF(A101="","",IF(itens_Remanesc!E101="","",itens_Remanesc!E101))</f>
        <v/>
      </c>
      <c r="K101" s="173" t="str">
        <f t="shared" si="57"/>
        <v/>
      </c>
      <c r="L101" s="165" t="str">
        <f>IF(A101="","",ROUND(SUMIFS(aditivos!$L$2:$L$200,aditivos!$A$2:$A$200,A101,aditivos!$C$2:$C$200,"C2"),2))</f>
        <v/>
      </c>
      <c r="M101" s="161" t="str">
        <f t="shared" si="58"/>
        <v/>
      </c>
      <c r="N101" s="161" t="str">
        <f>IF(A101="","",IF(itens_Remanesc!G101="","",itens_Remanesc!G101))</f>
        <v/>
      </c>
      <c r="O101" s="169" t="str">
        <f t="shared" si="59"/>
        <v/>
      </c>
      <c r="P101" s="171" t="str">
        <f>IF(A101="","",ROUND(SUMIFS(aditivos!$L$2:$L$200,aditivos!$A$2:$A$200,A101,aditivos!$C$2:$C$200,"C3"),2))</f>
        <v/>
      </c>
      <c r="Q101" s="167" t="str">
        <f t="shared" si="60"/>
        <v/>
      </c>
      <c r="R101" s="167" t="str">
        <f>IF(A101="","",IF(itens_Remanesc!I101="","",itens_Remanesc!I101))</f>
        <v/>
      </c>
      <c r="S101" s="173" t="str">
        <f t="shared" si="61"/>
        <v/>
      </c>
      <c r="T101" s="165" t="str">
        <f>IF(A101="","",ROUND(SUMIFS(aditivos!$L$2:$L$200,aditivos!$A$2:$A$200,A101,aditivos!$C$2:$C$200,"C4"),2))</f>
        <v/>
      </c>
      <c r="U101" s="161" t="str">
        <f t="shared" si="62"/>
        <v/>
      </c>
      <c r="V101" s="161" t="str">
        <f>IF(A101="","",IF(itens_Remanesc!K101="","",itens_Remanesc!K101))</f>
        <v/>
      </c>
      <c r="W101" s="161" t="str">
        <f t="shared" si="63"/>
        <v/>
      </c>
      <c r="X101" s="148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1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48" t="str">
        <f>IF(itens_Remanesc!A102="","",itens_Remanesc!A102)</f>
        <v/>
      </c>
      <c r="B102" s="200" t="str">
        <f>IF(A102="","",itens_Remanesc!C102)</f>
        <v/>
      </c>
      <c r="C102" s="163" t="str">
        <f>IF(A102="","",IF(itens_Remanesc!B102="",0,itens_Remanesc!B102))</f>
        <v/>
      </c>
      <c r="D102" s="165" t="str">
        <f>IF(A102="","",ROUND(SUMIFS(aditivos!$L$2:$L$200,aditivos!$A$2:$A$200,A102,aditivos!$C$2:$C$200,"C0"),2))</f>
        <v/>
      </c>
      <c r="E102" s="161" t="str">
        <f t="shared" si="54"/>
        <v/>
      </c>
      <c r="F102" s="161" t="str">
        <f>IF(A102="","",IF(itens_Remanesc!B102&lt;&gt;"",itens_Remanesc!B102,IF($Z102,0,"")))</f>
        <v/>
      </c>
      <c r="G102" s="169" t="str">
        <f t="shared" si="55"/>
        <v/>
      </c>
      <c r="H102" s="171" t="str">
        <f>IF(A102="","",ROUND(SUMIFS(aditivos!$L$2:$L$200,aditivos!$A$2:$A$200,A102,aditivos!$C$2:$C$200,"C1"),2))</f>
        <v/>
      </c>
      <c r="I102" s="167" t="str">
        <f t="shared" si="56"/>
        <v/>
      </c>
      <c r="J102" s="167" t="str">
        <f>IF(A102="","",IF(itens_Remanesc!E102="","",itens_Remanesc!E102))</f>
        <v/>
      </c>
      <c r="K102" s="173" t="str">
        <f t="shared" si="57"/>
        <v/>
      </c>
      <c r="L102" s="165" t="str">
        <f>IF(A102="","",ROUND(SUMIFS(aditivos!$L$2:$L$200,aditivos!$A$2:$A$200,A102,aditivos!$C$2:$C$200,"C2"),2))</f>
        <v/>
      </c>
      <c r="M102" s="161" t="str">
        <f t="shared" si="58"/>
        <v/>
      </c>
      <c r="N102" s="161" t="str">
        <f>IF(A102="","",IF(itens_Remanesc!G102="","",itens_Remanesc!G102))</f>
        <v/>
      </c>
      <c r="O102" s="169" t="str">
        <f t="shared" si="59"/>
        <v/>
      </c>
      <c r="P102" s="171" t="str">
        <f>IF(A102="","",ROUND(SUMIFS(aditivos!$L$2:$L$200,aditivos!$A$2:$A$200,A102,aditivos!$C$2:$C$200,"C3"),2))</f>
        <v/>
      </c>
      <c r="Q102" s="167" t="str">
        <f t="shared" si="60"/>
        <v/>
      </c>
      <c r="R102" s="167" t="str">
        <f>IF(A102="","",IF(itens_Remanesc!I102="","",itens_Remanesc!I102))</f>
        <v/>
      </c>
      <c r="S102" s="173" t="str">
        <f t="shared" si="61"/>
        <v/>
      </c>
      <c r="T102" s="165" t="str">
        <f>IF(A102="","",ROUND(SUMIFS(aditivos!$L$2:$L$200,aditivos!$A$2:$A$200,A102,aditivos!$C$2:$C$200,"C4"),2))</f>
        <v/>
      </c>
      <c r="U102" s="161" t="str">
        <f t="shared" si="62"/>
        <v/>
      </c>
      <c r="V102" s="161" t="str">
        <f>IF(A102="","",IF(itens_Remanesc!K102="","",itens_Remanesc!K102))</f>
        <v/>
      </c>
      <c r="W102" s="161" t="str">
        <f t="shared" si="63"/>
        <v/>
      </c>
      <c r="X102" s="148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1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48" t="str">
        <f>IF(itens_Remanesc!A103="","",itens_Remanesc!A103)</f>
        <v/>
      </c>
      <c r="B103" s="200" t="str">
        <f>IF(A103="","",itens_Remanesc!C103)</f>
        <v/>
      </c>
      <c r="C103" s="163" t="str">
        <f>IF(A103="","",IF(itens_Remanesc!B103="",0,itens_Remanesc!B103))</f>
        <v/>
      </c>
      <c r="D103" s="165" t="str">
        <f>IF(A103="","",ROUND(SUMIFS(aditivos!$L$2:$L$200,aditivos!$A$2:$A$200,A103,aditivos!$C$2:$C$200,"C0"),2))</f>
        <v/>
      </c>
      <c r="E103" s="161" t="str">
        <f t="shared" si="54"/>
        <v/>
      </c>
      <c r="F103" s="161" t="str">
        <f>IF(A103="","",IF(itens_Remanesc!B103&lt;&gt;"",itens_Remanesc!B103,IF($Z103,0,"")))</f>
        <v/>
      </c>
      <c r="G103" s="169" t="str">
        <f t="shared" si="55"/>
        <v/>
      </c>
      <c r="H103" s="171" t="str">
        <f>IF(A103="","",ROUND(SUMIFS(aditivos!$L$2:$L$200,aditivos!$A$2:$A$200,A103,aditivos!$C$2:$C$200,"C1"),2))</f>
        <v/>
      </c>
      <c r="I103" s="167" t="str">
        <f t="shared" si="56"/>
        <v/>
      </c>
      <c r="J103" s="167" t="str">
        <f>IF(A103="","",IF(itens_Remanesc!E103="","",itens_Remanesc!E103))</f>
        <v/>
      </c>
      <c r="K103" s="173" t="str">
        <f t="shared" si="57"/>
        <v/>
      </c>
      <c r="L103" s="165" t="str">
        <f>IF(A103="","",ROUND(SUMIFS(aditivos!$L$2:$L$200,aditivos!$A$2:$A$200,A103,aditivos!$C$2:$C$200,"C2"),2))</f>
        <v/>
      </c>
      <c r="M103" s="161" t="str">
        <f t="shared" si="58"/>
        <v/>
      </c>
      <c r="N103" s="161" t="str">
        <f>IF(A103="","",IF(itens_Remanesc!G103="","",itens_Remanesc!G103))</f>
        <v/>
      </c>
      <c r="O103" s="169" t="str">
        <f t="shared" si="59"/>
        <v/>
      </c>
      <c r="P103" s="171" t="str">
        <f>IF(A103="","",ROUND(SUMIFS(aditivos!$L$2:$L$200,aditivos!$A$2:$A$200,A103,aditivos!$C$2:$C$200,"C3"),2))</f>
        <v/>
      </c>
      <c r="Q103" s="167" t="str">
        <f t="shared" si="60"/>
        <v/>
      </c>
      <c r="R103" s="167" t="str">
        <f>IF(A103="","",IF(itens_Remanesc!I103="","",itens_Remanesc!I103))</f>
        <v/>
      </c>
      <c r="S103" s="173" t="str">
        <f t="shared" si="61"/>
        <v/>
      </c>
      <c r="T103" s="165" t="str">
        <f>IF(A103="","",ROUND(SUMIFS(aditivos!$L$2:$L$200,aditivos!$A$2:$A$200,A103,aditivos!$C$2:$C$200,"C4"),2))</f>
        <v/>
      </c>
      <c r="U103" s="161" t="str">
        <f t="shared" si="62"/>
        <v/>
      </c>
      <c r="V103" s="161" t="str">
        <f>IF(A103="","",IF(itens_Remanesc!K103="","",itens_Remanesc!K103))</f>
        <v/>
      </c>
      <c r="W103" s="161" t="str">
        <f t="shared" si="63"/>
        <v/>
      </c>
      <c r="X103" s="148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1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48" t="str">
        <f>IF(itens_Remanesc!A104="","",itens_Remanesc!A104)</f>
        <v/>
      </c>
      <c r="B104" s="200" t="str">
        <f>IF(A104="","",itens_Remanesc!C104)</f>
        <v/>
      </c>
      <c r="C104" s="163" t="str">
        <f>IF(A104="","",IF(itens_Remanesc!B104="",0,itens_Remanesc!B104))</f>
        <v/>
      </c>
      <c r="D104" s="165" t="str">
        <f>IF(A104="","",ROUND(SUMIFS(aditivos!$L$2:$L$200,aditivos!$A$2:$A$200,A104,aditivos!$C$2:$C$200,"C0"),2))</f>
        <v/>
      </c>
      <c r="E104" s="161" t="str">
        <f t="shared" si="54"/>
        <v/>
      </c>
      <c r="F104" s="161" t="str">
        <f>IF(A104="","",IF(itens_Remanesc!B104&lt;&gt;"",itens_Remanesc!B104,IF($Z104,0,"")))</f>
        <v/>
      </c>
      <c r="G104" s="169" t="str">
        <f t="shared" si="55"/>
        <v/>
      </c>
      <c r="H104" s="171" t="str">
        <f>IF(A104="","",ROUND(SUMIFS(aditivos!$L$2:$L$200,aditivos!$A$2:$A$200,A104,aditivos!$C$2:$C$200,"C1"),2))</f>
        <v/>
      </c>
      <c r="I104" s="167" t="str">
        <f t="shared" si="56"/>
        <v/>
      </c>
      <c r="J104" s="167" t="str">
        <f>IF(A104="","",IF(itens_Remanesc!E104="","",itens_Remanesc!E104))</f>
        <v/>
      </c>
      <c r="K104" s="173" t="str">
        <f t="shared" si="57"/>
        <v/>
      </c>
      <c r="L104" s="165" t="str">
        <f>IF(A104="","",ROUND(SUMIFS(aditivos!$L$2:$L$200,aditivos!$A$2:$A$200,A104,aditivos!$C$2:$C$200,"C2"),2))</f>
        <v/>
      </c>
      <c r="M104" s="161" t="str">
        <f t="shared" si="58"/>
        <v/>
      </c>
      <c r="N104" s="161" t="str">
        <f>IF(A104="","",IF(itens_Remanesc!G104="","",itens_Remanesc!G104))</f>
        <v/>
      </c>
      <c r="O104" s="169" t="str">
        <f t="shared" si="59"/>
        <v/>
      </c>
      <c r="P104" s="171" t="str">
        <f>IF(A104="","",ROUND(SUMIFS(aditivos!$L$2:$L$200,aditivos!$A$2:$A$200,A104,aditivos!$C$2:$C$200,"C3"),2))</f>
        <v/>
      </c>
      <c r="Q104" s="167" t="str">
        <f t="shared" si="60"/>
        <v/>
      </c>
      <c r="R104" s="167" t="str">
        <f>IF(A104="","",IF(itens_Remanesc!I104="","",itens_Remanesc!I104))</f>
        <v/>
      </c>
      <c r="S104" s="173" t="str">
        <f t="shared" si="61"/>
        <v/>
      </c>
      <c r="T104" s="165" t="str">
        <f>IF(A104="","",ROUND(SUMIFS(aditivos!$L$2:$L$200,aditivos!$A$2:$A$200,A104,aditivos!$C$2:$C$200,"C4"),2))</f>
        <v/>
      </c>
      <c r="U104" s="161" t="str">
        <f t="shared" si="62"/>
        <v/>
      </c>
      <c r="V104" s="161" t="str">
        <f>IF(A104="","",IF(itens_Remanesc!K104="","",itens_Remanesc!K104))</f>
        <v/>
      </c>
      <c r="W104" s="161" t="str">
        <f t="shared" si="63"/>
        <v/>
      </c>
      <c r="X104" s="148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1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48" t="str">
        <f>IF(itens_Remanesc!A105="","",itens_Remanesc!A105)</f>
        <v/>
      </c>
      <c r="B105" s="200" t="str">
        <f>IF(A105="","",itens_Remanesc!C105)</f>
        <v/>
      </c>
      <c r="C105" s="163" t="str">
        <f>IF(A105="","",IF(itens_Remanesc!B105="",0,itens_Remanesc!B105))</f>
        <v/>
      </c>
      <c r="D105" s="165" t="str">
        <f>IF(A105="","",ROUND(SUMIFS(aditivos!$L$2:$L$200,aditivos!$A$2:$A$200,A105,aditivos!$C$2:$C$200,"C0"),2))</f>
        <v/>
      </c>
      <c r="E105" s="161" t="str">
        <f t="shared" si="54"/>
        <v/>
      </c>
      <c r="F105" s="161" t="str">
        <f>IF(A105="","",IF(itens_Remanesc!B105&lt;&gt;"",itens_Remanesc!B105,IF($Z105,0,"")))</f>
        <v/>
      </c>
      <c r="G105" s="169" t="str">
        <f t="shared" si="55"/>
        <v/>
      </c>
      <c r="H105" s="171" t="str">
        <f>IF(A105="","",ROUND(SUMIFS(aditivos!$L$2:$L$200,aditivos!$A$2:$A$200,A105,aditivos!$C$2:$C$200,"C1"),2))</f>
        <v/>
      </c>
      <c r="I105" s="167" t="str">
        <f t="shared" si="56"/>
        <v/>
      </c>
      <c r="J105" s="167" t="str">
        <f>IF(A105="","",IF(itens_Remanesc!E105="","",itens_Remanesc!E105))</f>
        <v/>
      </c>
      <c r="K105" s="173" t="str">
        <f t="shared" si="57"/>
        <v/>
      </c>
      <c r="L105" s="165" t="str">
        <f>IF(A105="","",ROUND(SUMIFS(aditivos!$L$2:$L$200,aditivos!$A$2:$A$200,A105,aditivos!$C$2:$C$200,"C2"),2))</f>
        <v/>
      </c>
      <c r="M105" s="161" t="str">
        <f t="shared" si="58"/>
        <v/>
      </c>
      <c r="N105" s="161" t="str">
        <f>IF(A105="","",IF(itens_Remanesc!G105="","",itens_Remanesc!G105))</f>
        <v/>
      </c>
      <c r="O105" s="169" t="str">
        <f t="shared" si="59"/>
        <v/>
      </c>
      <c r="P105" s="171" t="str">
        <f>IF(A105="","",ROUND(SUMIFS(aditivos!$L$2:$L$200,aditivos!$A$2:$A$200,A105,aditivos!$C$2:$C$200,"C3"),2))</f>
        <v/>
      </c>
      <c r="Q105" s="167" t="str">
        <f t="shared" si="60"/>
        <v/>
      </c>
      <c r="R105" s="167" t="str">
        <f>IF(A105="","",IF(itens_Remanesc!I105="","",itens_Remanesc!I105))</f>
        <v/>
      </c>
      <c r="S105" s="173" t="str">
        <f t="shared" si="61"/>
        <v/>
      </c>
      <c r="T105" s="165" t="str">
        <f>IF(A105="","",ROUND(SUMIFS(aditivos!$L$2:$L$200,aditivos!$A$2:$A$200,A105,aditivos!$C$2:$C$200,"C4"),2))</f>
        <v/>
      </c>
      <c r="U105" s="161" t="str">
        <f t="shared" si="62"/>
        <v/>
      </c>
      <c r="V105" s="161" t="str">
        <f>IF(A105="","",IF(itens_Remanesc!K105="","",itens_Remanesc!K105))</f>
        <v/>
      </c>
      <c r="W105" s="161" t="str">
        <f t="shared" si="63"/>
        <v/>
      </c>
      <c r="X105" s="148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1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48" t="str">
        <f>IF(itens_Remanesc!A106="","",itens_Remanesc!A106)</f>
        <v/>
      </c>
      <c r="B106" s="200" t="str">
        <f>IF(A106="","",itens_Remanesc!C106)</f>
        <v/>
      </c>
      <c r="C106" s="163" t="str">
        <f>IF(A106="","",IF(itens_Remanesc!B106="",0,itens_Remanesc!B106))</f>
        <v/>
      </c>
      <c r="D106" s="165" t="str">
        <f>IF(A106="","",ROUND(SUMIFS(aditivos!$L$2:$L$200,aditivos!$A$2:$A$200,A106,aditivos!$C$2:$C$200,"C0"),2))</f>
        <v/>
      </c>
      <c r="E106" s="161" t="str">
        <f t="shared" si="54"/>
        <v/>
      </c>
      <c r="F106" s="161" t="str">
        <f>IF(A106="","",IF(itens_Remanesc!B106&lt;&gt;"",itens_Remanesc!B106,IF($Z106,0,"")))</f>
        <v/>
      </c>
      <c r="G106" s="169" t="str">
        <f t="shared" si="55"/>
        <v/>
      </c>
      <c r="H106" s="171" t="str">
        <f>IF(A106="","",ROUND(SUMIFS(aditivos!$L$2:$L$200,aditivos!$A$2:$A$200,A106,aditivos!$C$2:$C$200,"C1"),2))</f>
        <v/>
      </c>
      <c r="I106" s="167" t="str">
        <f t="shared" si="56"/>
        <v/>
      </c>
      <c r="J106" s="167" t="str">
        <f>IF(A106="","",IF(itens_Remanesc!E106="","",itens_Remanesc!E106))</f>
        <v/>
      </c>
      <c r="K106" s="173" t="str">
        <f t="shared" si="57"/>
        <v/>
      </c>
      <c r="L106" s="165" t="str">
        <f>IF(A106="","",ROUND(SUMIFS(aditivos!$L$2:$L$200,aditivos!$A$2:$A$200,A106,aditivos!$C$2:$C$200,"C2"),2))</f>
        <v/>
      </c>
      <c r="M106" s="161" t="str">
        <f t="shared" si="58"/>
        <v/>
      </c>
      <c r="N106" s="161" t="str">
        <f>IF(A106="","",IF(itens_Remanesc!G106="","",itens_Remanesc!G106))</f>
        <v/>
      </c>
      <c r="O106" s="169" t="str">
        <f t="shared" si="59"/>
        <v/>
      </c>
      <c r="P106" s="171" t="str">
        <f>IF(A106="","",ROUND(SUMIFS(aditivos!$L$2:$L$200,aditivos!$A$2:$A$200,A106,aditivos!$C$2:$C$200,"C3"),2))</f>
        <v/>
      </c>
      <c r="Q106" s="167" t="str">
        <f t="shared" si="60"/>
        <v/>
      </c>
      <c r="R106" s="167" t="str">
        <f>IF(A106="","",IF(itens_Remanesc!I106="","",itens_Remanesc!I106))</f>
        <v/>
      </c>
      <c r="S106" s="173" t="str">
        <f t="shared" si="61"/>
        <v/>
      </c>
      <c r="T106" s="165" t="str">
        <f>IF(A106="","",ROUND(SUMIFS(aditivos!$L$2:$L$200,aditivos!$A$2:$A$200,A106,aditivos!$C$2:$C$200,"C4"),2))</f>
        <v/>
      </c>
      <c r="U106" s="161" t="str">
        <f t="shared" si="62"/>
        <v/>
      </c>
      <c r="V106" s="161" t="str">
        <f>IF(A106="","",IF(itens_Remanesc!K106="","",itens_Remanesc!K106))</f>
        <v/>
      </c>
      <c r="W106" s="161" t="str">
        <f t="shared" si="63"/>
        <v/>
      </c>
      <c r="X106" s="148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1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48" t="str">
        <f>IF(itens_Remanesc!A107="","",itens_Remanesc!A107)</f>
        <v/>
      </c>
      <c r="B107" s="200" t="str">
        <f>IF(A107="","",itens_Remanesc!C107)</f>
        <v/>
      </c>
      <c r="C107" s="163" t="str">
        <f>IF(A107="","",IF(itens_Remanesc!B107="",0,itens_Remanesc!B107))</f>
        <v/>
      </c>
      <c r="D107" s="165" t="str">
        <f>IF(A107="","",ROUND(SUMIFS(aditivos!$L$2:$L$200,aditivos!$A$2:$A$200,A107,aditivos!$C$2:$C$200,"C0"),2))</f>
        <v/>
      </c>
      <c r="E107" s="161" t="str">
        <f t="shared" si="54"/>
        <v/>
      </c>
      <c r="F107" s="161" t="str">
        <f>IF(A107="","",IF(itens_Remanesc!B107&lt;&gt;"",itens_Remanesc!B107,IF($Z107,0,"")))</f>
        <v/>
      </c>
      <c r="G107" s="169" t="str">
        <f t="shared" si="55"/>
        <v/>
      </c>
      <c r="H107" s="171" t="str">
        <f>IF(A107="","",ROUND(SUMIFS(aditivos!$L$2:$L$200,aditivos!$A$2:$A$200,A107,aditivos!$C$2:$C$200,"C1"),2))</f>
        <v/>
      </c>
      <c r="I107" s="167" t="str">
        <f t="shared" si="56"/>
        <v/>
      </c>
      <c r="J107" s="167" t="str">
        <f>IF(A107="","",IF(itens_Remanesc!E107="","",itens_Remanesc!E107))</f>
        <v/>
      </c>
      <c r="K107" s="173" t="str">
        <f t="shared" si="57"/>
        <v/>
      </c>
      <c r="L107" s="165" t="str">
        <f>IF(A107="","",ROUND(SUMIFS(aditivos!$L$2:$L$200,aditivos!$A$2:$A$200,A107,aditivos!$C$2:$C$200,"C2"),2))</f>
        <v/>
      </c>
      <c r="M107" s="161" t="str">
        <f t="shared" si="58"/>
        <v/>
      </c>
      <c r="N107" s="161" t="str">
        <f>IF(A107="","",IF(itens_Remanesc!G107="","",itens_Remanesc!G107))</f>
        <v/>
      </c>
      <c r="O107" s="169" t="str">
        <f t="shared" si="59"/>
        <v/>
      </c>
      <c r="P107" s="171" t="str">
        <f>IF(A107="","",ROUND(SUMIFS(aditivos!$L$2:$L$200,aditivos!$A$2:$A$200,A107,aditivos!$C$2:$C$200,"C3"),2))</f>
        <v/>
      </c>
      <c r="Q107" s="167" t="str">
        <f t="shared" si="60"/>
        <v/>
      </c>
      <c r="R107" s="167" t="str">
        <f>IF(A107="","",IF(itens_Remanesc!I107="","",itens_Remanesc!I107))</f>
        <v/>
      </c>
      <c r="S107" s="173" t="str">
        <f t="shared" si="61"/>
        <v/>
      </c>
      <c r="T107" s="165" t="str">
        <f>IF(A107="","",ROUND(SUMIFS(aditivos!$L$2:$L$200,aditivos!$A$2:$A$200,A107,aditivos!$C$2:$C$200,"C4"),2))</f>
        <v/>
      </c>
      <c r="U107" s="161" t="str">
        <f t="shared" si="62"/>
        <v/>
      </c>
      <c r="V107" s="161" t="str">
        <f>IF(A107="","",IF(itens_Remanesc!K107="","",itens_Remanesc!K107))</f>
        <v/>
      </c>
      <c r="W107" s="161" t="str">
        <f t="shared" si="63"/>
        <v/>
      </c>
      <c r="X107" s="148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1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48" t="str">
        <f>IF(itens_Remanesc!A108="","",itens_Remanesc!A108)</f>
        <v/>
      </c>
      <c r="B108" s="200" t="str">
        <f>IF(A108="","",itens_Remanesc!C108)</f>
        <v/>
      </c>
      <c r="C108" s="163" t="str">
        <f>IF(A108="","",IF(itens_Remanesc!B108="",0,itens_Remanesc!B108))</f>
        <v/>
      </c>
      <c r="D108" s="165" t="str">
        <f>IF(A108="","",ROUND(SUMIFS(aditivos!$L$2:$L$200,aditivos!$A$2:$A$200,A108,aditivos!$C$2:$C$200,"C0"),2))</f>
        <v/>
      </c>
      <c r="E108" s="161" t="str">
        <f t="shared" si="54"/>
        <v/>
      </c>
      <c r="F108" s="161" t="str">
        <f>IF(A108="","",IF(itens_Remanesc!B108&lt;&gt;"",itens_Remanesc!B108,IF($Z108,0,"")))</f>
        <v/>
      </c>
      <c r="G108" s="169" t="str">
        <f t="shared" si="55"/>
        <v/>
      </c>
      <c r="H108" s="171" t="str">
        <f>IF(A108="","",ROUND(SUMIFS(aditivos!$L$2:$L$200,aditivos!$A$2:$A$200,A108,aditivos!$C$2:$C$200,"C1"),2))</f>
        <v/>
      </c>
      <c r="I108" s="167" t="str">
        <f t="shared" si="56"/>
        <v/>
      </c>
      <c r="J108" s="167" t="str">
        <f>IF(A108="","",IF(itens_Remanesc!E108="","",itens_Remanesc!E108))</f>
        <v/>
      </c>
      <c r="K108" s="173" t="str">
        <f t="shared" si="57"/>
        <v/>
      </c>
      <c r="L108" s="165" t="str">
        <f>IF(A108="","",ROUND(SUMIFS(aditivos!$L$2:$L$200,aditivos!$A$2:$A$200,A108,aditivos!$C$2:$C$200,"C2"),2))</f>
        <v/>
      </c>
      <c r="M108" s="161" t="str">
        <f t="shared" si="58"/>
        <v/>
      </c>
      <c r="N108" s="161" t="str">
        <f>IF(A108="","",IF(itens_Remanesc!G108="","",itens_Remanesc!G108))</f>
        <v/>
      </c>
      <c r="O108" s="169" t="str">
        <f t="shared" si="59"/>
        <v/>
      </c>
      <c r="P108" s="171" t="str">
        <f>IF(A108="","",ROUND(SUMIFS(aditivos!$L$2:$L$200,aditivos!$A$2:$A$200,A108,aditivos!$C$2:$C$200,"C3"),2))</f>
        <v/>
      </c>
      <c r="Q108" s="167" t="str">
        <f t="shared" si="60"/>
        <v/>
      </c>
      <c r="R108" s="167" t="str">
        <f>IF(A108="","",IF(itens_Remanesc!I108="","",itens_Remanesc!I108))</f>
        <v/>
      </c>
      <c r="S108" s="173" t="str">
        <f t="shared" si="61"/>
        <v/>
      </c>
      <c r="T108" s="165" t="str">
        <f>IF(A108="","",ROUND(SUMIFS(aditivos!$L$2:$L$200,aditivos!$A$2:$A$200,A108,aditivos!$C$2:$C$200,"C4"),2))</f>
        <v/>
      </c>
      <c r="U108" s="161" t="str">
        <f t="shared" si="62"/>
        <v/>
      </c>
      <c r="V108" s="161" t="str">
        <f>IF(A108="","",IF(itens_Remanesc!K108="","",itens_Remanesc!K108))</f>
        <v/>
      </c>
      <c r="W108" s="161" t="str">
        <f t="shared" si="63"/>
        <v/>
      </c>
      <c r="X108" s="148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1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48" t="str">
        <f>IF(itens_Remanesc!A109="","",itens_Remanesc!A109)</f>
        <v/>
      </c>
      <c r="B109" s="200" t="str">
        <f>IF(A109="","",itens_Remanesc!C109)</f>
        <v/>
      </c>
      <c r="C109" s="163" t="str">
        <f>IF(A109="","",IF(itens_Remanesc!B109="",0,itens_Remanesc!B109))</f>
        <v/>
      </c>
      <c r="D109" s="165" t="str">
        <f>IF(A109="","",ROUND(SUMIFS(aditivos!$L$2:$L$200,aditivos!$A$2:$A$200,A109,aditivos!$C$2:$C$200,"C0"),2))</f>
        <v/>
      </c>
      <c r="E109" s="161" t="str">
        <f t="shared" si="54"/>
        <v/>
      </c>
      <c r="F109" s="161" t="str">
        <f>IF(A109="","",IF(itens_Remanesc!B109&lt;&gt;"",itens_Remanesc!B109,IF($Z109,0,"")))</f>
        <v/>
      </c>
      <c r="G109" s="169" t="str">
        <f t="shared" si="55"/>
        <v/>
      </c>
      <c r="H109" s="171" t="str">
        <f>IF(A109="","",ROUND(SUMIFS(aditivos!$L$2:$L$200,aditivos!$A$2:$A$200,A109,aditivos!$C$2:$C$200,"C1"),2))</f>
        <v/>
      </c>
      <c r="I109" s="167" t="str">
        <f t="shared" si="56"/>
        <v/>
      </c>
      <c r="J109" s="167" t="str">
        <f>IF(A109="","",IF(itens_Remanesc!E109="","",itens_Remanesc!E109))</f>
        <v/>
      </c>
      <c r="K109" s="173" t="str">
        <f t="shared" si="57"/>
        <v/>
      </c>
      <c r="L109" s="165" t="str">
        <f>IF(A109="","",ROUND(SUMIFS(aditivos!$L$2:$L$200,aditivos!$A$2:$A$200,A109,aditivos!$C$2:$C$200,"C2"),2))</f>
        <v/>
      </c>
      <c r="M109" s="161" t="str">
        <f t="shared" si="58"/>
        <v/>
      </c>
      <c r="N109" s="161" t="str">
        <f>IF(A109="","",IF(itens_Remanesc!G109="","",itens_Remanesc!G109))</f>
        <v/>
      </c>
      <c r="O109" s="169" t="str">
        <f t="shared" si="59"/>
        <v/>
      </c>
      <c r="P109" s="171" t="str">
        <f>IF(A109="","",ROUND(SUMIFS(aditivos!$L$2:$L$200,aditivos!$A$2:$A$200,A109,aditivos!$C$2:$C$200,"C3"),2))</f>
        <v/>
      </c>
      <c r="Q109" s="167" t="str">
        <f t="shared" si="60"/>
        <v/>
      </c>
      <c r="R109" s="167" t="str">
        <f>IF(A109="","",IF(itens_Remanesc!I109="","",itens_Remanesc!I109))</f>
        <v/>
      </c>
      <c r="S109" s="173" t="str">
        <f t="shared" si="61"/>
        <v/>
      </c>
      <c r="T109" s="165" t="str">
        <f>IF(A109="","",ROUND(SUMIFS(aditivos!$L$2:$L$200,aditivos!$A$2:$A$200,A109,aditivos!$C$2:$C$200,"C4"),2))</f>
        <v/>
      </c>
      <c r="U109" s="161" t="str">
        <f t="shared" si="62"/>
        <v/>
      </c>
      <c r="V109" s="161" t="str">
        <f>IF(A109="","",IF(itens_Remanesc!K109="","",itens_Remanesc!K109))</f>
        <v/>
      </c>
      <c r="W109" s="161" t="str">
        <f t="shared" si="63"/>
        <v/>
      </c>
      <c r="X109" s="148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1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48" t="str">
        <f>IF(itens_Remanesc!A110="","",itens_Remanesc!A110)</f>
        <v/>
      </c>
      <c r="B110" s="200" t="str">
        <f>IF(A110="","",itens_Remanesc!C110)</f>
        <v/>
      </c>
      <c r="C110" s="163" t="str">
        <f>IF(A110="","",IF(itens_Remanesc!B110="",0,itens_Remanesc!B110))</f>
        <v/>
      </c>
      <c r="D110" s="165" t="str">
        <f>IF(A110="","",ROUND(SUMIFS(aditivos!$L$2:$L$200,aditivos!$A$2:$A$200,A110,aditivos!$C$2:$C$200,"C0"),2))</f>
        <v/>
      </c>
      <c r="E110" s="161" t="str">
        <f t="shared" si="54"/>
        <v/>
      </c>
      <c r="F110" s="161" t="str">
        <f>IF(A110="","",IF(itens_Remanesc!B110&lt;&gt;"",itens_Remanesc!B110,IF($Z110,0,"")))</f>
        <v/>
      </c>
      <c r="G110" s="169" t="str">
        <f t="shared" si="55"/>
        <v/>
      </c>
      <c r="H110" s="171" t="str">
        <f>IF(A110="","",ROUND(SUMIFS(aditivos!$L$2:$L$200,aditivos!$A$2:$A$200,A110,aditivos!$C$2:$C$200,"C1"),2))</f>
        <v/>
      </c>
      <c r="I110" s="167" t="str">
        <f t="shared" si="56"/>
        <v/>
      </c>
      <c r="J110" s="167" t="str">
        <f>IF(A110="","",IF(itens_Remanesc!E110="","",itens_Remanesc!E110))</f>
        <v/>
      </c>
      <c r="K110" s="173" t="str">
        <f t="shared" si="57"/>
        <v/>
      </c>
      <c r="L110" s="165" t="str">
        <f>IF(A110="","",ROUND(SUMIFS(aditivos!$L$2:$L$200,aditivos!$A$2:$A$200,A110,aditivos!$C$2:$C$200,"C2"),2))</f>
        <v/>
      </c>
      <c r="M110" s="161" t="str">
        <f t="shared" si="58"/>
        <v/>
      </c>
      <c r="N110" s="161" t="str">
        <f>IF(A110="","",IF(itens_Remanesc!G110="","",itens_Remanesc!G110))</f>
        <v/>
      </c>
      <c r="O110" s="169" t="str">
        <f t="shared" si="59"/>
        <v/>
      </c>
      <c r="P110" s="171" t="str">
        <f>IF(A110="","",ROUND(SUMIFS(aditivos!$L$2:$L$200,aditivos!$A$2:$A$200,A110,aditivos!$C$2:$C$200,"C3"),2))</f>
        <v/>
      </c>
      <c r="Q110" s="167" t="str">
        <f t="shared" si="60"/>
        <v/>
      </c>
      <c r="R110" s="167" t="str">
        <f>IF(A110="","",IF(itens_Remanesc!I110="","",itens_Remanesc!I110))</f>
        <v/>
      </c>
      <c r="S110" s="173" t="str">
        <f t="shared" si="61"/>
        <v/>
      </c>
      <c r="T110" s="165" t="str">
        <f>IF(A110="","",ROUND(SUMIFS(aditivos!$L$2:$L$200,aditivos!$A$2:$A$200,A110,aditivos!$C$2:$C$200,"C4"),2))</f>
        <v/>
      </c>
      <c r="U110" s="161" t="str">
        <f t="shared" si="62"/>
        <v/>
      </c>
      <c r="V110" s="161" t="str">
        <f>IF(A110="","",IF(itens_Remanesc!K110="","",itens_Remanesc!K110))</f>
        <v/>
      </c>
      <c r="W110" s="161" t="str">
        <f t="shared" si="63"/>
        <v/>
      </c>
      <c r="X110" s="148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1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48" t="str">
        <f>IF(itens_Remanesc!A111="","",itens_Remanesc!A111)</f>
        <v/>
      </c>
      <c r="B111" s="200" t="str">
        <f>IF(A111="","",itens_Remanesc!C111)</f>
        <v/>
      </c>
      <c r="C111" s="163" t="str">
        <f>IF(A111="","",IF(itens_Remanesc!B111="",0,itens_Remanesc!B111))</f>
        <v/>
      </c>
      <c r="D111" s="165" t="str">
        <f>IF(A111="","",ROUND(SUMIFS(aditivos!$L$2:$L$200,aditivos!$A$2:$A$200,A111,aditivos!$C$2:$C$200,"C0"),2))</f>
        <v/>
      </c>
      <c r="E111" s="161" t="str">
        <f t="shared" si="54"/>
        <v/>
      </c>
      <c r="F111" s="161" t="str">
        <f>IF(A111="","",IF(itens_Remanesc!B111&lt;&gt;"",itens_Remanesc!B111,IF($Z111,0,"")))</f>
        <v/>
      </c>
      <c r="G111" s="169" t="str">
        <f t="shared" si="55"/>
        <v/>
      </c>
      <c r="H111" s="171" t="str">
        <f>IF(A111="","",ROUND(SUMIFS(aditivos!$L$2:$L$200,aditivos!$A$2:$A$200,A111,aditivos!$C$2:$C$200,"C1"),2))</f>
        <v/>
      </c>
      <c r="I111" s="167" t="str">
        <f t="shared" si="56"/>
        <v/>
      </c>
      <c r="J111" s="167" t="str">
        <f>IF(A111="","",IF(itens_Remanesc!E111="","",itens_Remanesc!E111))</f>
        <v/>
      </c>
      <c r="K111" s="173" t="str">
        <f t="shared" si="57"/>
        <v/>
      </c>
      <c r="L111" s="165" t="str">
        <f>IF(A111="","",ROUND(SUMIFS(aditivos!$L$2:$L$200,aditivos!$A$2:$A$200,A111,aditivos!$C$2:$C$200,"C2"),2))</f>
        <v/>
      </c>
      <c r="M111" s="161" t="str">
        <f t="shared" si="58"/>
        <v/>
      </c>
      <c r="N111" s="161" t="str">
        <f>IF(A111="","",IF(itens_Remanesc!G111="","",itens_Remanesc!G111))</f>
        <v/>
      </c>
      <c r="O111" s="169" t="str">
        <f t="shared" si="59"/>
        <v/>
      </c>
      <c r="P111" s="171" t="str">
        <f>IF(A111="","",ROUND(SUMIFS(aditivos!$L$2:$L$200,aditivos!$A$2:$A$200,A111,aditivos!$C$2:$C$200,"C3"),2))</f>
        <v/>
      </c>
      <c r="Q111" s="167" t="str">
        <f t="shared" si="60"/>
        <v/>
      </c>
      <c r="R111" s="167" t="str">
        <f>IF(A111="","",IF(itens_Remanesc!I111="","",itens_Remanesc!I111))</f>
        <v/>
      </c>
      <c r="S111" s="173" t="str">
        <f t="shared" si="61"/>
        <v/>
      </c>
      <c r="T111" s="165" t="str">
        <f>IF(A111="","",ROUND(SUMIFS(aditivos!$L$2:$L$200,aditivos!$A$2:$A$200,A111,aditivos!$C$2:$C$200,"C4"),2))</f>
        <v/>
      </c>
      <c r="U111" s="161" t="str">
        <f t="shared" si="62"/>
        <v/>
      </c>
      <c r="V111" s="161" t="str">
        <f>IF(A111="","",IF(itens_Remanesc!K111="","",itens_Remanesc!K111))</f>
        <v/>
      </c>
      <c r="W111" s="161" t="str">
        <f t="shared" si="63"/>
        <v/>
      </c>
      <c r="X111" s="148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1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48" t="str">
        <f>IF(itens_Remanesc!A112="","",itens_Remanesc!A112)</f>
        <v/>
      </c>
      <c r="B112" s="200" t="str">
        <f>IF(A112="","",itens_Remanesc!C112)</f>
        <v/>
      </c>
      <c r="C112" s="163" t="str">
        <f>IF(A112="","",IF(itens_Remanesc!B112="",0,itens_Remanesc!B112))</f>
        <v/>
      </c>
      <c r="D112" s="165" t="str">
        <f>IF(A112="","",ROUND(SUMIFS(aditivos!$L$2:$L$200,aditivos!$A$2:$A$200,A112,aditivos!$C$2:$C$200,"C0"),2))</f>
        <v/>
      </c>
      <c r="E112" s="161" t="str">
        <f t="shared" si="54"/>
        <v/>
      </c>
      <c r="F112" s="161" t="str">
        <f>IF(A112="","",IF(itens_Remanesc!B112&lt;&gt;"",itens_Remanesc!B112,IF($Z112,0,"")))</f>
        <v/>
      </c>
      <c r="G112" s="169" t="str">
        <f t="shared" si="55"/>
        <v/>
      </c>
      <c r="H112" s="171" t="str">
        <f>IF(A112="","",ROUND(SUMIFS(aditivos!$L$2:$L$200,aditivos!$A$2:$A$200,A112,aditivos!$C$2:$C$200,"C1"),2))</f>
        <v/>
      </c>
      <c r="I112" s="167" t="str">
        <f t="shared" si="56"/>
        <v/>
      </c>
      <c r="J112" s="167" t="str">
        <f>IF(A112="","",IF(itens_Remanesc!E112="","",itens_Remanesc!E112))</f>
        <v/>
      </c>
      <c r="K112" s="173" t="str">
        <f t="shared" si="57"/>
        <v/>
      </c>
      <c r="L112" s="165" t="str">
        <f>IF(A112="","",ROUND(SUMIFS(aditivos!$L$2:$L$200,aditivos!$A$2:$A$200,A112,aditivos!$C$2:$C$200,"C2"),2))</f>
        <v/>
      </c>
      <c r="M112" s="161" t="str">
        <f t="shared" si="58"/>
        <v/>
      </c>
      <c r="N112" s="161" t="str">
        <f>IF(A112="","",IF(itens_Remanesc!G112="","",itens_Remanesc!G112))</f>
        <v/>
      </c>
      <c r="O112" s="169" t="str">
        <f t="shared" si="59"/>
        <v/>
      </c>
      <c r="P112" s="171" t="str">
        <f>IF(A112="","",ROUND(SUMIFS(aditivos!$L$2:$L$200,aditivos!$A$2:$A$200,A112,aditivos!$C$2:$C$200,"C3"),2))</f>
        <v/>
      </c>
      <c r="Q112" s="167" t="str">
        <f t="shared" si="60"/>
        <v/>
      </c>
      <c r="R112" s="167" t="str">
        <f>IF(A112="","",IF(itens_Remanesc!I112="","",itens_Remanesc!I112))</f>
        <v/>
      </c>
      <c r="S112" s="173" t="str">
        <f t="shared" si="61"/>
        <v/>
      </c>
      <c r="T112" s="165" t="str">
        <f>IF(A112="","",ROUND(SUMIFS(aditivos!$L$2:$L$200,aditivos!$A$2:$A$200,A112,aditivos!$C$2:$C$200,"C4"),2))</f>
        <v/>
      </c>
      <c r="U112" s="161" t="str">
        <f t="shared" si="62"/>
        <v/>
      </c>
      <c r="V112" s="161" t="str">
        <f>IF(A112="","",IF(itens_Remanesc!K112="","",itens_Remanesc!K112))</f>
        <v/>
      </c>
      <c r="W112" s="161" t="str">
        <f t="shared" si="63"/>
        <v/>
      </c>
      <c r="X112" s="148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1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48" t="str">
        <f>IF(itens_Remanesc!A113="","",itens_Remanesc!A113)</f>
        <v/>
      </c>
      <c r="B113" s="200" t="str">
        <f>IF(A113="","",itens_Remanesc!C113)</f>
        <v/>
      </c>
      <c r="C113" s="163" t="str">
        <f>IF(A113="","",IF(itens_Remanesc!B113="",0,itens_Remanesc!B113))</f>
        <v/>
      </c>
      <c r="D113" s="165" t="str">
        <f>IF(A113="","",ROUND(SUMIFS(aditivos!$L$2:$L$200,aditivos!$A$2:$A$200,A113,aditivos!$C$2:$C$200,"C0"),2))</f>
        <v/>
      </c>
      <c r="E113" s="161" t="str">
        <f t="shared" si="54"/>
        <v/>
      </c>
      <c r="F113" s="161" t="str">
        <f>IF(A113="","",IF(itens_Remanesc!B113&lt;&gt;"",itens_Remanesc!B113,IF($Z113,0,"")))</f>
        <v/>
      </c>
      <c r="G113" s="169" t="str">
        <f t="shared" si="55"/>
        <v/>
      </c>
      <c r="H113" s="171" t="str">
        <f>IF(A113="","",ROUND(SUMIFS(aditivos!$L$2:$L$200,aditivos!$A$2:$A$200,A113,aditivos!$C$2:$C$200,"C1"),2))</f>
        <v/>
      </c>
      <c r="I113" s="167" t="str">
        <f t="shared" si="56"/>
        <v/>
      </c>
      <c r="J113" s="167" t="str">
        <f>IF(A113="","",IF(itens_Remanesc!E113="","",itens_Remanesc!E113))</f>
        <v/>
      </c>
      <c r="K113" s="173" t="str">
        <f t="shared" si="57"/>
        <v/>
      </c>
      <c r="L113" s="165" t="str">
        <f>IF(A113="","",ROUND(SUMIFS(aditivos!$L$2:$L$200,aditivos!$A$2:$A$200,A113,aditivos!$C$2:$C$200,"C2"),2))</f>
        <v/>
      </c>
      <c r="M113" s="161" t="str">
        <f t="shared" si="58"/>
        <v/>
      </c>
      <c r="N113" s="161" t="str">
        <f>IF(A113="","",IF(itens_Remanesc!G113="","",itens_Remanesc!G113))</f>
        <v/>
      </c>
      <c r="O113" s="169" t="str">
        <f t="shared" si="59"/>
        <v/>
      </c>
      <c r="P113" s="171" t="str">
        <f>IF(A113="","",ROUND(SUMIFS(aditivos!$L$2:$L$200,aditivos!$A$2:$A$200,A113,aditivos!$C$2:$C$200,"C3"),2))</f>
        <v/>
      </c>
      <c r="Q113" s="167" t="str">
        <f t="shared" si="60"/>
        <v/>
      </c>
      <c r="R113" s="167" t="str">
        <f>IF(A113="","",IF(itens_Remanesc!I113="","",itens_Remanesc!I113))</f>
        <v/>
      </c>
      <c r="S113" s="173" t="str">
        <f t="shared" si="61"/>
        <v/>
      </c>
      <c r="T113" s="165" t="str">
        <f>IF(A113="","",ROUND(SUMIFS(aditivos!$L$2:$L$200,aditivos!$A$2:$A$200,A113,aditivos!$C$2:$C$200,"C4"),2))</f>
        <v/>
      </c>
      <c r="U113" s="161" t="str">
        <f t="shared" si="62"/>
        <v/>
      </c>
      <c r="V113" s="161" t="str">
        <f>IF(A113="","",IF(itens_Remanesc!K113="","",itens_Remanesc!K113))</f>
        <v/>
      </c>
      <c r="W113" s="161" t="str">
        <f t="shared" si="63"/>
        <v/>
      </c>
      <c r="X113" s="148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1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48" t="str">
        <f>IF(itens_Remanesc!A114="","",itens_Remanesc!A114)</f>
        <v/>
      </c>
      <c r="B114" s="200" t="str">
        <f>IF(A114="","",itens_Remanesc!C114)</f>
        <v/>
      </c>
      <c r="C114" s="163" t="str">
        <f>IF(A114="","",IF(itens_Remanesc!B114="",0,itens_Remanesc!B114))</f>
        <v/>
      </c>
      <c r="D114" s="165" t="str">
        <f>IF(A114="","",ROUND(SUMIFS(aditivos!$L$2:$L$200,aditivos!$A$2:$A$200,A114,aditivos!$C$2:$C$200,"C0"),2))</f>
        <v/>
      </c>
      <c r="E114" s="161" t="str">
        <f t="shared" si="54"/>
        <v/>
      </c>
      <c r="F114" s="161" t="str">
        <f>IF(A114="","",IF(itens_Remanesc!B114&lt;&gt;"",itens_Remanesc!B114,IF($Z114,0,"")))</f>
        <v/>
      </c>
      <c r="G114" s="169" t="str">
        <f t="shared" si="55"/>
        <v/>
      </c>
      <c r="H114" s="171" t="str">
        <f>IF(A114="","",ROUND(SUMIFS(aditivos!$L$2:$L$200,aditivos!$A$2:$A$200,A114,aditivos!$C$2:$C$200,"C1"),2))</f>
        <v/>
      </c>
      <c r="I114" s="167" t="str">
        <f t="shared" si="56"/>
        <v/>
      </c>
      <c r="J114" s="167" t="str">
        <f>IF(A114="","",IF(itens_Remanesc!E114="","",itens_Remanesc!E114))</f>
        <v/>
      </c>
      <c r="K114" s="173" t="str">
        <f t="shared" si="57"/>
        <v/>
      </c>
      <c r="L114" s="165" t="str">
        <f>IF(A114="","",ROUND(SUMIFS(aditivos!$L$2:$L$200,aditivos!$A$2:$A$200,A114,aditivos!$C$2:$C$200,"C2"),2))</f>
        <v/>
      </c>
      <c r="M114" s="161" t="str">
        <f t="shared" si="58"/>
        <v/>
      </c>
      <c r="N114" s="161" t="str">
        <f>IF(A114="","",IF(itens_Remanesc!G114="","",itens_Remanesc!G114))</f>
        <v/>
      </c>
      <c r="O114" s="169" t="str">
        <f t="shared" si="59"/>
        <v/>
      </c>
      <c r="P114" s="171" t="str">
        <f>IF(A114="","",ROUND(SUMIFS(aditivos!$L$2:$L$200,aditivos!$A$2:$A$200,A114,aditivos!$C$2:$C$200,"C3"),2))</f>
        <v/>
      </c>
      <c r="Q114" s="167" t="str">
        <f t="shared" si="60"/>
        <v/>
      </c>
      <c r="R114" s="167" t="str">
        <f>IF(A114="","",IF(itens_Remanesc!I114="","",itens_Remanesc!I114))</f>
        <v/>
      </c>
      <c r="S114" s="173" t="str">
        <f t="shared" si="61"/>
        <v/>
      </c>
      <c r="T114" s="165" t="str">
        <f>IF(A114="","",ROUND(SUMIFS(aditivos!$L$2:$L$200,aditivos!$A$2:$A$200,A114,aditivos!$C$2:$C$200,"C4"),2))</f>
        <v/>
      </c>
      <c r="U114" s="161" t="str">
        <f t="shared" si="62"/>
        <v/>
      </c>
      <c r="V114" s="161" t="str">
        <f>IF(A114="","",IF(itens_Remanesc!K114="","",itens_Remanesc!K114))</f>
        <v/>
      </c>
      <c r="W114" s="161" t="str">
        <f t="shared" si="63"/>
        <v/>
      </c>
      <c r="X114" s="148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1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48" t="str">
        <f>IF(itens_Remanesc!A115="","",itens_Remanesc!A115)</f>
        <v/>
      </c>
      <c r="B115" s="200" t="str">
        <f>IF(A115="","",itens_Remanesc!C115)</f>
        <v/>
      </c>
      <c r="C115" s="163" t="str">
        <f>IF(A115="","",IF(itens_Remanesc!B115="",0,itens_Remanesc!B115))</f>
        <v/>
      </c>
      <c r="D115" s="165" t="str">
        <f>IF(A115="","",ROUND(SUMIFS(aditivos!$L$2:$L$200,aditivos!$A$2:$A$200,A115,aditivos!$C$2:$C$200,"C0"),2))</f>
        <v/>
      </c>
      <c r="E115" s="161" t="str">
        <f t="shared" si="54"/>
        <v/>
      </c>
      <c r="F115" s="161" t="str">
        <f>IF(A115="","",IF(itens_Remanesc!B115&lt;&gt;"",itens_Remanesc!B115,IF($Z115,0,"")))</f>
        <v/>
      </c>
      <c r="G115" s="169" t="str">
        <f t="shared" si="55"/>
        <v/>
      </c>
      <c r="H115" s="171" t="str">
        <f>IF(A115="","",ROUND(SUMIFS(aditivos!$L$2:$L$200,aditivos!$A$2:$A$200,A115,aditivos!$C$2:$C$200,"C1"),2))</f>
        <v/>
      </c>
      <c r="I115" s="167" t="str">
        <f t="shared" si="56"/>
        <v/>
      </c>
      <c r="J115" s="167" t="str">
        <f>IF(A115="","",IF(itens_Remanesc!E115="","",itens_Remanesc!E115))</f>
        <v/>
      </c>
      <c r="K115" s="173" t="str">
        <f t="shared" si="57"/>
        <v/>
      </c>
      <c r="L115" s="165" t="str">
        <f>IF(A115="","",ROUND(SUMIFS(aditivos!$L$2:$L$200,aditivos!$A$2:$A$200,A115,aditivos!$C$2:$C$200,"C2"),2))</f>
        <v/>
      </c>
      <c r="M115" s="161" t="str">
        <f t="shared" si="58"/>
        <v/>
      </c>
      <c r="N115" s="161" t="str">
        <f>IF(A115="","",IF(itens_Remanesc!G115="","",itens_Remanesc!G115))</f>
        <v/>
      </c>
      <c r="O115" s="169" t="str">
        <f t="shared" si="59"/>
        <v/>
      </c>
      <c r="P115" s="171" t="str">
        <f>IF(A115="","",ROUND(SUMIFS(aditivos!$L$2:$L$200,aditivos!$A$2:$A$200,A115,aditivos!$C$2:$C$200,"C3"),2))</f>
        <v/>
      </c>
      <c r="Q115" s="167" t="str">
        <f t="shared" si="60"/>
        <v/>
      </c>
      <c r="R115" s="167" t="str">
        <f>IF(A115="","",IF(itens_Remanesc!I115="","",itens_Remanesc!I115))</f>
        <v/>
      </c>
      <c r="S115" s="173" t="str">
        <f t="shared" si="61"/>
        <v/>
      </c>
      <c r="T115" s="165" t="str">
        <f>IF(A115="","",ROUND(SUMIFS(aditivos!$L$2:$L$200,aditivos!$A$2:$A$200,A115,aditivos!$C$2:$C$200,"C4"),2))</f>
        <v/>
      </c>
      <c r="U115" s="161" t="str">
        <f t="shared" si="62"/>
        <v/>
      </c>
      <c r="V115" s="161" t="str">
        <f>IF(A115="","",IF(itens_Remanesc!K115="","",itens_Remanesc!K115))</f>
        <v/>
      </c>
      <c r="W115" s="161" t="str">
        <f t="shared" si="63"/>
        <v/>
      </c>
      <c r="X115" s="148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1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48" t="str">
        <f>IF(itens_Remanesc!A116="","",itens_Remanesc!A116)</f>
        <v/>
      </c>
      <c r="B116" s="200" t="str">
        <f>IF(A116="","",itens_Remanesc!C116)</f>
        <v/>
      </c>
      <c r="C116" s="163" t="str">
        <f>IF(A116="","",IF(itens_Remanesc!B116="",0,itens_Remanesc!B116))</f>
        <v/>
      </c>
      <c r="D116" s="165" t="str">
        <f>IF(A116="","",ROUND(SUMIFS(aditivos!$L$2:$L$200,aditivos!$A$2:$A$200,A116,aditivos!$C$2:$C$200,"C0"),2))</f>
        <v/>
      </c>
      <c r="E116" s="161" t="str">
        <f t="shared" si="54"/>
        <v/>
      </c>
      <c r="F116" s="161" t="str">
        <f>IF(A116="","",IF(itens_Remanesc!B116&lt;&gt;"",itens_Remanesc!B116,IF($Z116,0,"")))</f>
        <v/>
      </c>
      <c r="G116" s="169" t="str">
        <f t="shared" si="55"/>
        <v/>
      </c>
      <c r="H116" s="171" t="str">
        <f>IF(A116="","",ROUND(SUMIFS(aditivos!$L$2:$L$200,aditivos!$A$2:$A$200,A116,aditivos!$C$2:$C$200,"C1"),2))</f>
        <v/>
      </c>
      <c r="I116" s="167" t="str">
        <f t="shared" si="56"/>
        <v/>
      </c>
      <c r="J116" s="167" t="str">
        <f>IF(A116="","",IF(itens_Remanesc!E116="","",itens_Remanesc!E116))</f>
        <v/>
      </c>
      <c r="K116" s="173" t="str">
        <f t="shared" si="57"/>
        <v/>
      </c>
      <c r="L116" s="165" t="str">
        <f>IF(A116="","",ROUND(SUMIFS(aditivos!$L$2:$L$200,aditivos!$A$2:$A$200,A116,aditivos!$C$2:$C$200,"C2"),2))</f>
        <v/>
      </c>
      <c r="M116" s="161" t="str">
        <f t="shared" si="58"/>
        <v/>
      </c>
      <c r="N116" s="161" t="str">
        <f>IF(A116="","",IF(itens_Remanesc!G116="","",itens_Remanesc!G116))</f>
        <v/>
      </c>
      <c r="O116" s="169" t="str">
        <f t="shared" si="59"/>
        <v/>
      </c>
      <c r="P116" s="171" t="str">
        <f>IF(A116="","",ROUND(SUMIFS(aditivos!$L$2:$L$200,aditivos!$A$2:$A$200,A116,aditivos!$C$2:$C$200,"C3"),2))</f>
        <v/>
      </c>
      <c r="Q116" s="167" t="str">
        <f t="shared" si="60"/>
        <v/>
      </c>
      <c r="R116" s="167" t="str">
        <f>IF(A116="","",IF(itens_Remanesc!I116="","",itens_Remanesc!I116))</f>
        <v/>
      </c>
      <c r="S116" s="173" t="str">
        <f t="shared" si="61"/>
        <v/>
      </c>
      <c r="T116" s="165" t="str">
        <f>IF(A116="","",ROUND(SUMIFS(aditivos!$L$2:$L$200,aditivos!$A$2:$A$200,A116,aditivos!$C$2:$C$200,"C4"),2))</f>
        <v/>
      </c>
      <c r="U116" s="161" t="str">
        <f t="shared" si="62"/>
        <v/>
      </c>
      <c r="V116" s="161" t="str">
        <f>IF(A116="","",IF(itens_Remanesc!K116="","",itens_Remanesc!K116))</f>
        <v/>
      </c>
      <c r="W116" s="161" t="str">
        <f t="shared" si="63"/>
        <v/>
      </c>
      <c r="X116" s="148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1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48" t="str">
        <f>IF(itens_Remanesc!A117="","",itens_Remanesc!A117)</f>
        <v/>
      </c>
      <c r="B117" s="200" t="str">
        <f>IF(A117="","",itens_Remanesc!C117)</f>
        <v/>
      </c>
      <c r="C117" s="163" t="str">
        <f>IF(A117="","",IF(itens_Remanesc!B117="",0,itens_Remanesc!B117))</f>
        <v/>
      </c>
      <c r="D117" s="165" t="str">
        <f>IF(A117="","",ROUND(SUMIFS(aditivos!$L$2:$L$200,aditivos!$A$2:$A$200,A117,aditivos!$C$2:$C$200,"C0"),2))</f>
        <v/>
      </c>
      <c r="E117" s="161" t="str">
        <f t="shared" si="54"/>
        <v/>
      </c>
      <c r="F117" s="161" t="str">
        <f>IF(A117="","",IF(itens_Remanesc!B117&lt;&gt;"",itens_Remanesc!B117,IF($Z117,0,"")))</f>
        <v/>
      </c>
      <c r="G117" s="169" t="str">
        <f t="shared" si="55"/>
        <v/>
      </c>
      <c r="H117" s="171" t="str">
        <f>IF(A117="","",ROUND(SUMIFS(aditivos!$L$2:$L$200,aditivos!$A$2:$A$200,A117,aditivos!$C$2:$C$200,"C1"),2))</f>
        <v/>
      </c>
      <c r="I117" s="167" t="str">
        <f t="shared" si="56"/>
        <v/>
      </c>
      <c r="J117" s="167" t="str">
        <f>IF(A117="","",IF(itens_Remanesc!E117="","",itens_Remanesc!E117))</f>
        <v/>
      </c>
      <c r="K117" s="173" t="str">
        <f t="shared" si="57"/>
        <v/>
      </c>
      <c r="L117" s="165" t="str">
        <f>IF(A117="","",ROUND(SUMIFS(aditivos!$L$2:$L$200,aditivos!$A$2:$A$200,A117,aditivos!$C$2:$C$200,"C2"),2))</f>
        <v/>
      </c>
      <c r="M117" s="161" t="str">
        <f t="shared" si="58"/>
        <v/>
      </c>
      <c r="N117" s="161" t="str">
        <f>IF(A117="","",IF(itens_Remanesc!G117="","",itens_Remanesc!G117))</f>
        <v/>
      </c>
      <c r="O117" s="169" t="str">
        <f t="shared" si="59"/>
        <v/>
      </c>
      <c r="P117" s="171" t="str">
        <f>IF(A117="","",ROUND(SUMIFS(aditivos!$L$2:$L$200,aditivos!$A$2:$A$200,A117,aditivos!$C$2:$C$200,"C3"),2))</f>
        <v/>
      </c>
      <c r="Q117" s="167" t="str">
        <f t="shared" si="60"/>
        <v/>
      </c>
      <c r="R117" s="167" t="str">
        <f>IF(A117="","",IF(itens_Remanesc!I117="","",itens_Remanesc!I117))</f>
        <v/>
      </c>
      <c r="S117" s="173" t="str">
        <f t="shared" si="61"/>
        <v/>
      </c>
      <c r="T117" s="165" t="str">
        <f>IF(A117="","",ROUND(SUMIFS(aditivos!$L$2:$L$200,aditivos!$A$2:$A$200,A117,aditivos!$C$2:$C$200,"C4"),2))</f>
        <v/>
      </c>
      <c r="U117" s="161" t="str">
        <f t="shared" si="62"/>
        <v/>
      </c>
      <c r="V117" s="161" t="str">
        <f>IF(A117="","",IF(itens_Remanesc!K117="","",itens_Remanesc!K117))</f>
        <v/>
      </c>
      <c r="W117" s="161" t="str">
        <f t="shared" si="63"/>
        <v/>
      </c>
      <c r="X117" s="148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1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48" t="str">
        <f>IF(itens_Remanesc!A118="","",itens_Remanesc!A118)</f>
        <v/>
      </c>
      <c r="B118" s="200" t="str">
        <f>IF(A118="","",itens_Remanesc!C118)</f>
        <v/>
      </c>
      <c r="C118" s="163" t="str">
        <f>IF(A118="","",IF(itens_Remanesc!B118="",0,itens_Remanesc!B118))</f>
        <v/>
      </c>
      <c r="D118" s="165" t="str">
        <f>IF(A118="","",ROUND(SUMIFS(aditivos!$L$2:$L$200,aditivos!$A$2:$A$200,A118,aditivos!$C$2:$C$200,"C0"),2))</f>
        <v/>
      </c>
      <c r="E118" s="161" t="str">
        <f t="shared" si="54"/>
        <v/>
      </c>
      <c r="F118" s="161" t="str">
        <f>IF(A118="","",IF(itens_Remanesc!B118&lt;&gt;"",itens_Remanesc!B118,IF($Z118,0,"")))</f>
        <v/>
      </c>
      <c r="G118" s="169" t="str">
        <f t="shared" si="55"/>
        <v/>
      </c>
      <c r="H118" s="171" t="str">
        <f>IF(A118="","",ROUND(SUMIFS(aditivos!$L$2:$L$200,aditivos!$A$2:$A$200,A118,aditivos!$C$2:$C$200,"C1"),2))</f>
        <v/>
      </c>
      <c r="I118" s="167" t="str">
        <f t="shared" si="56"/>
        <v/>
      </c>
      <c r="J118" s="167" t="str">
        <f>IF(A118="","",IF(itens_Remanesc!E118="","",itens_Remanesc!E118))</f>
        <v/>
      </c>
      <c r="K118" s="173" t="str">
        <f t="shared" si="57"/>
        <v/>
      </c>
      <c r="L118" s="165" t="str">
        <f>IF(A118="","",ROUND(SUMIFS(aditivos!$L$2:$L$200,aditivos!$A$2:$A$200,A118,aditivos!$C$2:$C$200,"C2"),2))</f>
        <v/>
      </c>
      <c r="M118" s="161" t="str">
        <f t="shared" si="58"/>
        <v/>
      </c>
      <c r="N118" s="161" t="str">
        <f>IF(A118="","",IF(itens_Remanesc!G118="","",itens_Remanesc!G118))</f>
        <v/>
      </c>
      <c r="O118" s="169" t="str">
        <f t="shared" si="59"/>
        <v/>
      </c>
      <c r="P118" s="171" t="str">
        <f>IF(A118="","",ROUND(SUMIFS(aditivos!$L$2:$L$200,aditivos!$A$2:$A$200,A118,aditivos!$C$2:$C$200,"C3"),2))</f>
        <v/>
      </c>
      <c r="Q118" s="167" t="str">
        <f t="shared" si="60"/>
        <v/>
      </c>
      <c r="R118" s="167" t="str">
        <f>IF(A118="","",IF(itens_Remanesc!I118="","",itens_Remanesc!I118))</f>
        <v/>
      </c>
      <c r="S118" s="173" t="str">
        <f t="shared" si="61"/>
        <v/>
      </c>
      <c r="T118" s="165" t="str">
        <f>IF(A118="","",ROUND(SUMIFS(aditivos!$L$2:$L$200,aditivos!$A$2:$A$200,A118,aditivos!$C$2:$C$200,"C4"),2))</f>
        <v/>
      </c>
      <c r="U118" s="161" t="str">
        <f t="shared" si="62"/>
        <v/>
      </c>
      <c r="V118" s="161" t="str">
        <f>IF(A118="","",IF(itens_Remanesc!K118="","",itens_Remanesc!K118))</f>
        <v/>
      </c>
      <c r="W118" s="161" t="str">
        <f t="shared" si="63"/>
        <v/>
      </c>
      <c r="X118" s="148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1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48" t="str">
        <f>IF(itens_Remanesc!A119="","",itens_Remanesc!A119)</f>
        <v/>
      </c>
      <c r="B119" s="200" t="str">
        <f>IF(A119="","",itens_Remanesc!C119)</f>
        <v/>
      </c>
      <c r="C119" s="163" t="str">
        <f>IF(A119="","",IF(itens_Remanesc!B119="",0,itens_Remanesc!B119))</f>
        <v/>
      </c>
      <c r="D119" s="165" t="str">
        <f>IF(A119="","",ROUND(SUMIFS(aditivos!$L$2:$L$200,aditivos!$A$2:$A$200,A119,aditivos!$C$2:$C$200,"C0"),2))</f>
        <v/>
      </c>
      <c r="E119" s="161" t="str">
        <f t="shared" si="54"/>
        <v/>
      </c>
      <c r="F119" s="161" t="str">
        <f>IF(A119="","",IF(itens_Remanesc!B119&lt;&gt;"",itens_Remanesc!B119,IF($Z119,0,"")))</f>
        <v/>
      </c>
      <c r="G119" s="169" t="str">
        <f t="shared" si="55"/>
        <v/>
      </c>
      <c r="H119" s="171" t="str">
        <f>IF(A119="","",ROUND(SUMIFS(aditivos!$L$2:$L$200,aditivos!$A$2:$A$200,A119,aditivos!$C$2:$C$200,"C1"),2))</f>
        <v/>
      </c>
      <c r="I119" s="167" t="str">
        <f t="shared" si="56"/>
        <v/>
      </c>
      <c r="J119" s="167" t="str">
        <f>IF(A119="","",IF(itens_Remanesc!E119="","",itens_Remanesc!E119))</f>
        <v/>
      </c>
      <c r="K119" s="173" t="str">
        <f t="shared" si="57"/>
        <v/>
      </c>
      <c r="L119" s="165" t="str">
        <f>IF(A119="","",ROUND(SUMIFS(aditivos!$L$2:$L$200,aditivos!$A$2:$A$200,A119,aditivos!$C$2:$C$200,"C2"),2))</f>
        <v/>
      </c>
      <c r="M119" s="161" t="str">
        <f t="shared" si="58"/>
        <v/>
      </c>
      <c r="N119" s="161" t="str">
        <f>IF(A119="","",IF(itens_Remanesc!G119="","",itens_Remanesc!G119))</f>
        <v/>
      </c>
      <c r="O119" s="169" t="str">
        <f t="shared" si="59"/>
        <v/>
      </c>
      <c r="P119" s="171" t="str">
        <f>IF(A119="","",ROUND(SUMIFS(aditivos!$L$2:$L$200,aditivos!$A$2:$A$200,A119,aditivos!$C$2:$C$200,"C3"),2))</f>
        <v/>
      </c>
      <c r="Q119" s="167" t="str">
        <f t="shared" si="60"/>
        <v/>
      </c>
      <c r="R119" s="167" t="str">
        <f>IF(A119="","",IF(itens_Remanesc!I119="","",itens_Remanesc!I119))</f>
        <v/>
      </c>
      <c r="S119" s="173" t="str">
        <f t="shared" si="61"/>
        <v/>
      </c>
      <c r="T119" s="165" t="str">
        <f>IF(A119="","",ROUND(SUMIFS(aditivos!$L$2:$L$200,aditivos!$A$2:$A$200,A119,aditivos!$C$2:$C$200,"C4"),2))</f>
        <v/>
      </c>
      <c r="U119" s="161" t="str">
        <f t="shared" si="62"/>
        <v/>
      </c>
      <c r="V119" s="161" t="str">
        <f>IF(A119="","",IF(itens_Remanesc!K119="","",itens_Remanesc!K119))</f>
        <v/>
      </c>
      <c r="W119" s="161" t="str">
        <f t="shared" si="63"/>
        <v/>
      </c>
      <c r="X119" s="148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1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48" t="str">
        <f>IF(itens_Remanesc!A120="","",itens_Remanesc!A120)</f>
        <v/>
      </c>
      <c r="B120" s="200" t="str">
        <f>IF(A120="","",itens_Remanesc!C120)</f>
        <v/>
      </c>
      <c r="C120" s="163" t="str">
        <f>IF(A120="","",IF(itens_Remanesc!B120="",0,itens_Remanesc!B120))</f>
        <v/>
      </c>
      <c r="D120" s="165" t="str">
        <f>IF(A120="","",ROUND(SUMIFS(aditivos!$L$2:$L$200,aditivos!$A$2:$A$200,A120,aditivos!$C$2:$C$200,"C0"),2))</f>
        <v/>
      </c>
      <c r="E120" s="161" t="str">
        <f t="shared" si="54"/>
        <v/>
      </c>
      <c r="F120" s="161" t="str">
        <f>IF(A120="","",IF(itens_Remanesc!B120&lt;&gt;"",itens_Remanesc!B120,IF($Z120,0,"")))</f>
        <v/>
      </c>
      <c r="G120" s="169" t="str">
        <f t="shared" si="55"/>
        <v/>
      </c>
      <c r="H120" s="171" t="str">
        <f>IF(A120="","",ROUND(SUMIFS(aditivos!$L$2:$L$200,aditivos!$A$2:$A$200,A120,aditivos!$C$2:$C$200,"C1"),2))</f>
        <v/>
      </c>
      <c r="I120" s="167" t="str">
        <f t="shared" si="56"/>
        <v/>
      </c>
      <c r="J120" s="167" t="str">
        <f>IF(A120="","",IF(itens_Remanesc!E120="","",itens_Remanesc!E120))</f>
        <v/>
      </c>
      <c r="K120" s="173" t="str">
        <f t="shared" si="57"/>
        <v/>
      </c>
      <c r="L120" s="165" t="str">
        <f>IF(A120="","",ROUND(SUMIFS(aditivos!$L$2:$L$200,aditivos!$A$2:$A$200,A120,aditivos!$C$2:$C$200,"C2"),2))</f>
        <v/>
      </c>
      <c r="M120" s="161" t="str">
        <f t="shared" si="58"/>
        <v/>
      </c>
      <c r="N120" s="161" t="str">
        <f>IF(A120="","",IF(itens_Remanesc!G120="","",itens_Remanesc!G120))</f>
        <v/>
      </c>
      <c r="O120" s="169" t="str">
        <f t="shared" si="59"/>
        <v/>
      </c>
      <c r="P120" s="171" t="str">
        <f>IF(A120="","",ROUND(SUMIFS(aditivos!$L$2:$L$200,aditivos!$A$2:$A$200,A120,aditivos!$C$2:$C$200,"C3"),2))</f>
        <v/>
      </c>
      <c r="Q120" s="167" t="str">
        <f t="shared" si="60"/>
        <v/>
      </c>
      <c r="R120" s="167" t="str">
        <f>IF(A120="","",IF(itens_Remanesc!I120="","",itens_Remanesc!I120))</f>
        <v/>
      </c>
      <c r="S120" s="173" t="str">
        <f t="shared" si="61"/>
        <v/>
      </c>
      <c r="T120" s="165" t="str">
        <f>IF(A120="","",ROUND(SUMIFS(aditivos!$L$2:$L$200,aditivos!$A$2:$A$200,A120,aditivos!$C$2:$C$200,"C4"),2))</f>
        <v/>
      </c>
      <c r="U120" s="161" t="str">
        <f t="shared" si="62"/>
        <v/>
      </c>
      <c r="V120" s="161" t="str">
        <f>IF(A120="","",IF(itens_Remanesc!K120="","",itens_Remanesc!K120))</f>
        <v/>
      </c>
      <c r="W120" s="161" t="str">
        <f t="shared" si="63"/>
        <v/>
      </c>
      <c r="X120" s="148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1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48" t="str">
        <f>IF(itens_Remanesc!A121="","",itens_Remanesc!A121)</f>
        <v/>
      </c>
      <c r="B121" s="200" t="str">
        <f>IF(A121="","",itens_Remanesc!C121)</f>
        <v/>
      </c>
      <c r="C121" s="163" t="str">
        <f>IF(A121="","",IF(itens_Remanesc!B121="",0,itens_Remanesc!B121))</f>
        <v/>
      </c>
      <c r="D121" s="165" t="str">
        <f>IF(A121="","",ROUND(SUMIFS(aditivos!$L$2:$L$200,aditivos!$A$2:$A$200,A121,aditivos!$C$2:$C$200,"C0"),2))</f>
        <v/>
      </c>
      <c r="E121" s="161" t="str">
        <f t="shared" si="54"/>
        <v/>
      </c>
      <c r="F121" s="161" t="str">
        <f>IF(A121="","",IF(itens_Remanesc!B121&lt;&gt;"",itens_Remanesc!B121,IF($Z121,0,"")))</f>
        <v/>
      </c>
      <c r="G121" s="169" t="str">
        <f t="shared" si="55"/>
        <v/>
      </c>
      <c r="H121" s="171" t="str">
        <f>IF(A121="","",ROUND(SUMIFS(aditivos!$L$2:$L$200,aditivos!$A$2:$A$200,A121,aditivos!$C$2:$C$200,"C1"),2))</f>
        <v/>
      </c>
      <c r="I121" s="167" t="str">
        <f t="shared" si="56"/>
        <v/>
      </c>
      <c r="J121" s="167" t="str">
        <f>IF(A121="","",IF(itens_Remanesc!E121="","",itens_Remanesc!E121))</f>
        <v/>
      </c>
      <c r="K121" s="173" t="str">
        <f t="shared" si="57"/>
        <v/>
      </c>
      <c r="L121" s="165" t="str">
        <f>IF(A121="","",ROUND(SUMIFS(aditivos!$L$2:$L$200,aditivos!$A$2:$A$200,A121,aditivos!$C$2:$C$200,"C2"),2))</f>
        <v/>
      </c>
      <c r="M121" s="161" t="str">
        <f t="shared" si="58"/>
        <v/>
      </c>
      <c r="N121" s="161" t="str">
        <f>IF(A121="","",IF(itens_Remanesc!G121="","",itens_Remanesc!G121))</f>
        <v/>
      </c>
      <c r="O121" s="169" t="str">
        <f t="shared" si="59"/>
        <v/>
      </c>
      <c r="P121" s="171" t="str">
        <f>IF(A121="","",ROUND(SUMIFS(aditivos!$L$2:$L$200,aditivos!$A$2:$A$200,A121,aditivos!$C$2:$C$200,"C3"),2))</f>
        <v/>
      </c>
      <c r="Q121" s="167" t="str">
        <f t="shared" si="60"/>
        <v/>
      </c>
      <c r="R121" s="167" t="str">
        <f>IF(A121="","",IF(itens_Remanesc!I121="","",itens_Remanesc!I121))</f>
        <v/>
      </c>
      <c r="S121" s="173" t="str">
        <f t="shared" si="61"/>
        <v/>
      </c>
      <c r="T121" s="165" t="str">
        <f>IF(A121="","",ROUND(SUMIFS(aditivos!$L$2:$L$200,aditivos!$A$2:$A$200,A121,aditivos!$C$2:$C$200,"C4"),2))</f>
        <v/>
      </c>
      <c r="U121" s="161" t="str">
        <f t="shared" si="62"/>
        <v/>
      </c>
      <c r="V121" s="161" t="str">
        <f>IF(A121="","",IF(itens_Remanesc!K121="","",itens_Remanesc!K121))</f>
        <v/>
      </c>
      <c r="W121" s="161" t="str">
        <f t="shared" si="63"/>
        <v/>
      </c>
      <c r="X121" s="148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1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48" t="str">
        <f>IF(itens_Remanesc!A122="","",itens_Remanesc!A122)</f>
        <v/>
      </c>
      <c r="B122" s="200" t="str">
        <f>IF(A122="","",itens_Remanesc!C122)</f>
        <v/>
      </c>
      <c r="C122" s="163" t="str">
        <f>IF(A122="","",IF(itens_Remanesc!B122="",0,itens_Remanesc!B122))</f>
        <v/>
      </c>
      <c r="D122" s="165" t="str">
        <f>IF(A122="","",ROUND(SUMIFS(aditivos!$L$2:$L$200,aditivos!$A$2:$A$200,A122,aditivos!$C$2:$C$200,"C0"),2))</f>
        <v/>
      </c>
      <c r="E122" s="161" t="str">
        <f t="shared" si="54"/>
        <v/>
      </c>
      <c r="F122" s="161" t="str">
        <f>IF(A122="","",IF(itens_Remanesc!B122&lt;&gt;"",itens_Remanesc!B122,IF($Z122,0,"")))</f>
        <v/>
      </c>
      <c r="G122" s="169" t="str">
        <f t="shared" si="55"/>
        <v/>
      </c>
      <c r="H122" s="171" t="str">
        <f>IF(A122="","",ROUND(SUMIFS(aditivos!$L$2:$L$200,aditivos!$A$2:$A$200,A122,aditivos!$C$2:$C$200,"C1"),2))</f>
        <v/>
      </c>
      <c r="I122" s="167" t="str">
        <f t="shared" si="56"/>
        <v/>
      </c>
      <c r="J122" s="167" t="str">
        <f>IF(A122="","",IF(itens_Remanesc!E122="","",itens_Remanesc!E122))</f>
        <v/>
      </c>
      <c r="K122" s="173" t="str">
        <f t="shared" si="57"/>
        <v/>
      </c>
      <c r="L122" s="165" t="str">
        <f>IF(A122="","",ROUND(SUMIFS(aditivos!$L$2:$L$200,aditivos!$A$2:$A$200,A122,aditivos!$C$2:$C$200,"C2"),2))</f>
        <v/>
      </c>
      <c r="M122" s="161" t="str">
        <f t="shared" si="58"/>
        <v/>
      </c>
      <c r="N122" s="161" t="str">
        <f>IF(A122="","",IF(itens_Remanesc!G122="","",itens_Remanesc!G122))</f>
        <v/>
      </c>
      <c r="O122" s="169" t="str">
        <f t="shared" si="59"/>
        <v/>
      </c>
      <c r="P122" s="171" t="str">
        <f>IF(A122="","",ROUND(SUMIFS(aditivos!$L$2:$L$200,aditivos!$A$2:$A$200,A122,aditivos!$C$2:$C$200,"C3"),2))</f>
        <v/>
      </c>
      <c r="Q122" s="167" t="str">
        <f t="shared" si="60"/>
        <v/>
      </c>
      <c r="R122" s="167" t="str">
        <f>IF(A122="","",IF(itens_Remanesc!I122="","",itens_Remanesc!I122))</f>
        <v/>
      </c>
      <c r="S122" s="173" t="str">
        <f t="shared" si="61"/>
        <v/>
      </c>
      <c r="T122" s="165" t="str">
        <f>IF(A122="","",ROUND(SUMIFS(aditivos!$L$2:$L$200,aditivos!$A$2:$A$200,A122,aditivos!$C$2:$C$200,"C4"),2))</f>
        <v/>
      </c>
      <c r="U122" s="161" t="str">
        <f t="shared" si="62"/>
        <v/>
      </c>
      <c r="V122" s="161" t="str">
        <f>IF(A122="","",IF(itens_Remanesc!K122="","",itens_Remanesc!K122))</f>
        <v/>
      </c>
      <c r="W122" s="161" t="str">
        <f t="shared" si="63"/>
        <v/>
      </c>
      <c r="X122" s="148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1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48" t="str">
        <f>IF(itens_Remanesc!A123="","",itens_Remanesc!A123)</f>
        <v/>
      </c>
      <c r="B123" s="200" t="str">
        <f>IF(A123="","",itens_Remanesc!C123)</f>
        <v/>
      </c>
      <c r="C123" s="163" t="str">
        <f>IF(A123="","",IF(itens_Remanesc!B123="",0,itens_Remanesc!B123))</f>
        <v/>
      </c>
      <c r="D123" s="165" t="str">
        <f>IF(A123="","",ROUND(SUMIFS(aditivos!$L$2:$L$200,aditivos!$A$2:$A$200,A123,aditivos!$C$2:$C$200,"C0"),2))</f>
        <v/>
      </c>
      <c r="E123" s="161" t="str">
        <f t="shared" si="54"/>
        <v/>
      </c>
      <c r="F123" s="161" t="str">
        <f>IF(A123="","",IF(itens_Remanesc!B123&lt;&gt;"",itens_Remanesc!B123,IF($Z123,0,"")))</f>
        <v/>
      </c>
      <c r="G123" s="169" t="str">
        <f t="shared" si="55"/>
        <v/>
      </c>
      <c r="H123" s="171" t="str">
        <f>IF(A123="","",ROUND(SUMIFS(aditivos!$L$2:$L$200,aditivos!$A$2:$A$200,A123,aditivos!$C$2:$C$200,"C1"),2))</f>
        <v/>
      </c>
      <c r="I123" s="167" t="str">
        <f t="shared" si="56"/>
        <v/>
      </c>
      <c r="J123" s="167" t="str">
        <f>IF(A123="","",IF(itens_Remanesc!E123="","",itens_Remanesc!E123))</f>
        <v/>
      </c>
      <c r="K123" s="173" t="str">
        <f t="shared" si="57"/>
        <v/>
      </c>
      <c r="L123" s="165" t="str">
        <f>IF(A123="","",ROUND(SUMIFS(aditivos!$L$2:$L$200,aditivos!$A$2:$A$200,A123,aditivos!$C$2:$C$200,"C2"),2))</f>
        <v/>
      </c>
      <c r="M123" s="161" t="str">
        <f t="shared" si="58"/>
        <v/>
      </c>
      <c r="N123" s="161" t="str">
        <f>IF(A123="","",IF(itens_Remanesc!G123="","",itens_Remanesc!G123))</f>
        <v/>
      </c>
      <c r="O123" s="169" t="str">
        <f t="shared" si="59"/>
        <v/>
      </c>
      <c r="P123" s="171" t="str">
        <f>IF(A123="","",ROUND(SUMIFS(aditivos!$L$2:$L$200,aditivos!$A$2:$A$200,A123,aditivos!$C$2:$C$200,"C3"),2))</f>
        <v/>
      </c>
      <c r="Q123" s="167" t="str">
        <f t="shared" si="60"/>
        <v/>
      </c>
      <c r="R123" s="167" t="str">
        <f>IF(A123="","",IF(itens_Remanesc!I123="","",itens_Remanesc!I123))</f>
        <v/>
      </c>
      <c r="S123" s="173" t="str">
        <f t="shared" si="61"/>
        <v/>
      </c>
      <c r="T123" s="165" t="str">
        <f>IF(A123="","",ROUND(SUMIFS(aditivos!$L$2:$L$200,aditivos!$A$2:$A$200,A123,aditivos!$C$2:$C$200,"C4"),2))</f>
        <v/>
      </c>
      <c r="U123" s="161" t="str">
        <f t="shared" si="62"/>
        <v/>
      </c>
      <c r="V123" s="161" t="str">
        <f>IF(A123="","",IF(itens_Remanesc!K123="","",itens_Remanesc!K123))</f>
        <v/>
      </c>
      <c r="W123" s="161" t="str">
        <f t="shared" si="63"/>
        <v/>
      </c>
      <c r="X123" s="148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1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48" t="str">
        <f>IF(itens_Remanesc!A124="","",itens_Remanesc!A124)</f>
        <v/>
      </c>
      <c r="B124" s="200" t="str">
        <f>IF(A124="","",itens_Remanesc!C124)</f>
        <v/>
      </c>
      <c r="C124" s="163" t="str">
        <f>IF(A124="","",IF(itens_Remanesc!B124="",0,itens_Remanesc!B124))</f>
        <v/>
      </c>
      <c r="D124" s="165" t="str">
        <f>IF(A124="","",ROUND(SUMIFS(aditivos!$L$2:$L$200,aditivos!$A$2:$A$200,A124,aditivos!$C$2:$C$200,"C0"),2))</f>
        <v/>
      </c>
      <c r="E124" s="161" t="str">
        <f t="shared" si="54"/>
        <v/>
      </c>
      <c r="F124" s="161" t="str">
        <f>IF(A124="","",IF(itens_Remanesc!B124&lt;&gt;"",itens_Remanesc!B124,IF($Z124,0,"")))</f>
        <v/>
      </c>
      <c r="G124" s="169" t="str">
        <f t="shared" si="55"/>
        <v/>
      </c>
      <c r="H124" s="171" t="str">
        <f>IF(A124="","",ROUND(SUMIFS(aditivos!$L$2:$L$200,aditivos!$A$2:$A$200,A124,aditivos!$C$2:$C$200,"C1"),2))</f>
        <v/>
      </c>
      <c r="I124" s="167" t="str">
        <f t="shared" si="56"/>
        <v/>
      </c>
      <c r="J124" s="167" t="str">
        <f>IF(A124="","",IF(itens_Remanesc!E124="","",itens_Remanesc!E124))</f>
        <v/>
      </c>
      <c r="K124" s="173" t="str">
        <f t="shared" si="57"/>
        <v/>
      </c>
      <c r="L124" s="165" t="str">
        <f>IF(A124="","",ROUND(SUMIFS(aditivos!$L$2:$L$200,aditivos!$A$2:$A$200,A124,aditivos!$C$2:$C$200,"C2"),2))</f>
        <v/>
      </c>
      <c r="M124" s="161" t="str">
        <f t="shared" si="58"/>
        <v/>
      </c>
      <c r="N124" s="161" t="str">
        <f>IF(A124="","",IF(itens_Remanesc!G124="","",itens_Remanesc!G124))</f>
        <v/>
      </c>
      <c r="O124" s="169" t="str">
        <f t="shared" si="59"/>
        <v/>
      </c>
      <c r="P124" s="171" t="str">
        <f>IF(A124="","",ROUND(SUMIFS(aditivos!$L$2:$L$200,aditivos!$A$2:$A$200,A124,aditivos!$C$2:$C$200,"C3"),2))</f>
        <v/>
      </c>
      <c r="Q124" s="167" t="str">
        <f t="shared" si="60"/>
        <v/>
      </c>
      <c r="R124" s="167" t="str">
        <f>IF(A124="","",IF(itens_Remanesc!I124="","",itens_Remanesc!I124))</f>
        <v/>
      </c>
      <c r="S124" s="173" t="str">
        <f t="shared" si="61"/>
        <v/>
      </c>
      <c r="T124" s="165" t="str">
        <f>IF(A124="","",ROUND(SUMIFS(aditivos!$L$2:$L$200,aditivos!$A$2:$A$200,A124,aditivos!$C$2:$C$200,"C4"),2))</f>
        <v/>
      </c>
      <c r="U124" s="161" t="str">
        <f t="shared" si="62"/>
        <v/>
      </c>
      <c r="V124" s="161" t="str">
        <f>IF(A124="","",IF(itens_Remanesc!K124="","",itens_Remanesc!K124))</f>
        <v/>
      </c>
      <c r="W124" s="161" t="str">
        <f t="shared" si="63"/>
        <v/>
      </c>
      <c r="X124" s="148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1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48" t="str">
        <f>IF(itens_Remanesc!A125="","",itens_Remanesc!A125)</f>
        <v/>
      </c>
      <c r="B125" s="200" t="str">
        <f>IF(A125="","",itens_Remanesc!C125)</f>
        <v/>
      </c>
      <c r="C125" s="163" t="str">
        <f>IF(A125="","",IF(itens_Remanesc!B125="",0,itens_Remanesc!B125))</f>
        <v/>
      </c>
      <c r="D125" s="165" t="str">
        <f>IF(A125="","",ROUND(SUMIFS(aditivos!$L$2:$L$200,aditivos!$A$2:$A$200,A125,aditivos!$C$2:$C$200,"C0"),2))</f>
        <v/>
      </c>
      <c r="E125" s="161" t="str">
        <f t="shared" si="54"/>
        <v/>
      </c>
      <c r="F125" s="161" t="str">
        <f>IF(A125="","",IF(itens_Remanesc!B125&lt;&gt;"",itens_Remanesc!B125,IF($Z125,0,"")))</f>
        <v/>
      </c>
      <c r="G125" s="169" t="str">
        <f t="shared" si="55"/>
        <v/>
      </c>
      <c r="H125" s="171" t="str">
        <f>IF(A125="","",ROUND(SUMIFS(aditivos!$L$2:$L$200,aditivos!$A$2:$A$200,A125,aditivos!$C$2:$C$200,"C1"),2))</f>
        <v/>
      </c>
      <c r="I125" s="167" t="str">
        <f t="shared" si="56"/>
        <v/>
      </c>
      <c r="J125" s="167" t="str">
        <f>IF(A125="","",IF(itens_Remanesc!E125="","",itens_Remanesc!E125))</f>
        <v/>
      </c>
      <c r="K125" s="173" t="str">
        <f t="shared" si="57"/>
        <v/>
      </c>
      <c r="L125" s="165" t="str">
        <f>IF(A125="","",ROUND(SUMIFS(aditivos!$L$2:$L$200,aditivos!$A$2:$A$200,A125,aditivos!$C$2:$C$200,"C2"),2))</f>
        <v/>
      </c>
      <c r="M125" s="161" t="str">
        <f t="shared" si="58"/>
        <v/>
      </c>
      <c r="N125" s="161" t="str">
        <f>IF(A125="","",IF(itens_Remanesc!G125="","",itens_Remanesc!G125))</f>
        <v/>
      </c>
      <c r="O125" s="169" t="str">
        <f t="shared" si="59"/>
        <v/>
      </c>
      <c r="P125" s="171" t="str">
        <f>IF(A125="","",ROUND(SUMIFS(aditivos!$L$2:$L$200,aditivos!$A$2:$A$200,A125,aditivos!$C$2:$C$200,"C3"),2))</f>
        <v/>
      </c>
      <c r="Q125" s="167" t="str">
        <f t="shared" si="60"/>
        <v/>
      </c>
      <c r="R125" s="167" t="str">
        <f>IF(A125="","",IF(itens_Remanesc!I125="","",itens_Remanesc!I125))</f>
        <v/>
      </c>
      <c r="S125" s="173" t="str">
        <f t="shared" si="61"/>
        <v/>
      </c>
      <c r="T125" s="165" t="str">
        <f>IF(A125="","",ROUND(SUMIFS(aditivos!$L$2:$L$200,aditivos!$A$2:$A$200,A125,aditivos!$C$2:$C$200,"C4"),2))</f>
        <v/>
      </c>
      <c r="U125" s="161" t="str">
        <f t="shared" si="62"/>
        <v/>
      </c>
      <c r="V125" s="161" t="str">
        <f>IF(A125="","",IF(itens_Remanesc!K125="","",itens_Remanesc!K125))</f>
        <v/>
      </c>
      <c r="W125" s="161" t="str">
        <f t="shared" si="63"/>
        <v/>
      </c>
      <c r="X125" s="148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1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48" t="str">
        <f>IF(itens_Remanesc!A126="","",itens_Remanesc!A126)</f>
        <v/>
      </c>
      <c r="B126" s="200" t="str">
        <f>IF(A126="","",itens_Remanesc!C126)</f>
        <v/>
      </c>
      <c r="C126" s="163" t="str">
        <f>IF(A126="","",IF(itens_Remanesc!B126="",0,itens_Remanesc!B126))</f>
        <v/>
      </c>
      <c r="D126" s="165" t="str">
        <f>IF(A126="","",ROUND(SUMIFS(aditivos!$L$2:$L$200,aditivos!$A$2:$A$200,A126,aditivos!$C$2:$C$200,"C0"),2))</f>
        <v/>
      </c>
      <c r="E126" s="161" t="str">
        <f t="shared" si="54"/>
        <v/>
      </c>
      <c r="F126" s="161" t="str">
        <f>IF(A126="","",IF(itens_Remanesc!B126&lt;&gt;"",itens_Remanesc!B126,IF($Z126,0,"")))</f>
        <v/>
      </c>
      <c r="G126" s="169" t="str">
        <f t="shared" si="55"/>
        <v/>
      </c>
      <c r="H126" s="171" t="str">
        <f>IF(A126="","",ROUND(SUMIFS(aditivos!$L$2:$L$200,aditivos!$A$2:$A$200,A126,aditivos!$C$2:$C$200,"C1"),2))</f>
        <v/>
      </c>
      <c r="I126" s="167" t="str">
        <f t="shared" si="56"/>
        <v/>
      </c>
      <c r="J126" s="167" t="str">
        <f>IF(A126="","",IF(itens_Remanesc!E126="","",itens_Remanesc!E126))</f>
        <v/>
      </c>
      <c r="K126" s="173" t="str">
        <f t="shared" si="57"/>
        <v/>
      </c>
      <c r="L126" s="165" t="str">
        <f>IF(A126="","",ROUND(SUMIFS(aditivos!$L$2:$L$200,aditivos!$A$2:$A$200,A126,aditivos!$C$2:$C$200,"C2"),2))</f>
        <v/>
      </c>
      <c r="M126" s="161" t="str">
        <f t="shared" si="58"/>
        <v/>
      </c>
      <c r="N126" s="161" t="str">
        <f>IF(A126="","",IF(itens_Remanesc!G126="","",itens_Remanesc!G126))</f>
        <v/>
      </c>
      <c r="O126" s="169" t="str">
        <f t="shared" si="59"/>
        <v/>
      </c>
      <c r="P126" s="171" t="str">
        <f>IF(A126="","",ROUND(SUMIFS(aditivos!$L$2:$L$200,aditivos!$A$2:$A$200,A126,aditivos!$C$2:$C$200,"C3"),2))</f>
        <v/>
      </c>
      <c r="Q126" s="167" t="str">
        <f t="shared" si="60"/>
        <v/>
      </c>
      <c r="R126" s="167" t="str">
        <f>IF(A126="","",IF(itens_Remanesc!I126="","",itens_Remanesc!I126))</f>
        <v/>
      </c>
      <c r="S126" s="173" t="str">
        <f t="shared" si="61"/>
        <v/>
      </c>
      <c r="T126" s="165" t="str">
        <f>IF(A126="","",ROUND(SUMIFS(aditivos!$L$2:$L$200,aditivos!$A$2:$A$200,A126,aditivos!$C$2:$C$200,"C4"),2))</f>
        <v/>
      </c>
      <c r="U126" s="161" t="str">
        <f t="shared" si="62"/>
        <v/>
      </c>
      <c r="V126" s="161" t="str">
        <f>IF(A126="","",IF(itens_Remanesc!K126="","",itens_Remanesc!K126))</f>
        <v/>
      </c>
      <c r="W126" s="161" t="str">
        <f t="shared" si="63"/>
        <v/>
      </c>
      <c r="X126" s="148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1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48" t="str">
        <f>IF(itens_Remanesc!A127="","",itens_Remanesc!A127)</f>
        <v/>
      </c>
      <c r="B127" s="200" t="str">
        <f>IF(A127="","",itens_Remanesc!C127)</f>
        <v/>
      </c>
      <c r="C127" s="163" t="str">
        <f>IF(A127="","",IF(itens_Remanesc!B127="",0,itens_Remanesc!B127))</f>
        <v/>
      </c>
      <c r="D127" s="165" t="str">
        <f>IF(A127="","",ROUND(SUMIFS(aditivos!$L$2:$L$200,aditivos!$A$2:$A$200,A127,aditivos!$C$2:$C$200,"C0"),2))</f>
        <v/>
      </c>
      <c r="E127" s="161" t="str">
        <f t="shared" si="54"/>
        <v/>
      </c>
      <c r="F127" s="161" t="str">
        <f>IF(A127="","",IF(itens_Remanesc!B127&lt;&gt;"",itens_Remanesc!B127,IF($Z127,0,"")))</f>
        <v/>
      </c>
      <c r="G127" s="169" t="str">
        <f t="shared" si="55"/>
        <v/>
      </c>
      <c r="H127" s="171" t="str">
        <f>IF(A127="","",ROUND(SUMIFS(aditivos!$L$2:$L$200,aditivos!$A$2:$A$200,A127,aditivos!$C$2:$C$200,"C1"),2))</f>
        <v/>
      </c>
      <c r="I127" s="167" t="str">
        <f t="shared" si="56"/>
        <v/>
      </c>
      <c r="J127" s="167" t="str">
        <f>IF(A127="","",IF(itens_Remanesc!E127="","",itens_Remanesc!E127))</f>
        <v/>
      </c>
      <c r="K127" s="173" t="str">
        <f t="shared" si="57"/>
        <v/>
      </c>
      <c r="L127" s="165" t="str">
        <f>IF(A127="","",ROUND(SUMIFS(aditivos!$L$2:$L$200,aditivos!$A$2:$A$200,A127,aditivos!$C$2:$C$200,"C2"),2))</f>
        <v/>
      </c>
      <c r="M127" s="161" t="str">
        <f t="shared" si="58"/>
        <v/>
      </c>
      <c r="N127" s="161" t="str">
        <f>IF(A127="","",IF(itens_Remanesc!G127="","",itens_Remanesc!G127))</f>
        <v/>
      </c>
      <c r="O127" s="169" t="str">
        <f t="shared" si="59"/>
        <v/>
      </c>
      <c r="P127" s="171" t="str">
        <f>IF(A127="","",ROUND(SUMIFS(aditivos!$L$2:$L$200,aditivos!$A$2:$A$200,A127,aditivos!$C$2:$C$200,"C3"),2))</f>
        <v/>
      </c>
      <c r="Q127" s="167" t="str">
        <f t="shared" si="60"/>
        <v/>
      </c>
      <c r="R127" s="167" t="str">
        <f>IF(A127="","",IF(itens_Remanesc!I127="","",itens_Remanesc!I127))</f>
        <v/>
      </c>
      <c r="S127" s="173" t="str">
        <f t="shared" si="61"/>
        <v/>
      </c>
      <c r="T127" s="165" t="str">
        <f>IF(A127="","",ROUND(SUMIFS(aditivos!$L$2:$L$200,aditivos!$A$2:$A$200,A127,aditivos!$C$2:$C$200,"C4"),2))</f>
        <v/>
      </c>
      <c r="U127" s="161" t="str">
        <f t="shared" si="62"/>
        <v/>
      </c>
      <c r="V127" s="161" t="str">
        <f>IF(A127="","",IF(itens_Remanesc!K127="","",itens_Remanesc!K127))</f>
        <v/>
      </c>
      <c r="W127" s="161" t="str">
        <f t="shared" si="63"/>
        <v/>
      </c>
      <c r="X127" s="148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1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48" t="str">
        <f>IF(itens_Remanesc!A128="","",itens_Remanesc!A128)</f>
        <v/>
      </c>
      <c r="B128" s="200" t="str">
        <f>IF(A128="","",itens_Remanesc!C128)</f>
        <v/>
      </c>
      <c r="C128" s="163" t="str">
        <f>IF(A128="","",IF(itens_Remanesc!B128="",0,itens_Remanesc!B128))</f>
        <v/>
      </c>
      <c r="D128" s="165" t="str">
        <f>IF(A128="","",ROUND(SUMIFS(aditivos!$L$2:$L$200,aditivos!$A$2:$A$200,A128,aditivos!$C$2:$C$200,"C0"),2))</f>
        <v/>
      </c>
      <c r="E128" s="161" t="str">
        <f t="shared" si="54"/>
        <v/>
      </c>
      <c r="F128" s="161" t="str">
        <f>IF(A128="","",IF(itens_Remanesc!B128&lt;&gt;"",itens_Remanesc!B128,IF($Z128,0,"")))</f>
        <v/>
      </c>
      <c r="G128" s="169" t="str">
        <f t="shared" si="55"/>
        <v/>
      </c>
      <c r="H128" s="171" t="str">
        <f>IF(A128="","",ROUND(SUMIFS(aditivos!$L$2:$L$200,aditivos!$A$2:$A$200,A128,aditivos!$C$2:$C$200,"C1"),2))</f>
        <v/>
      </c>
      <c r="I128" s="167" t="str">
        <f t="shared" si="56"/>
        <v/>
      </c>
      <c r="J128" s="167" t="str">
        <f>IF(A128="","",IF(itens_Remanesc!E128="","",itens_Remanesc!E128))</f>
        <v/>
      </c>
      <c r="K128" s="173" t="str">
        <f t="shared" si="57"/>
        <v/>
      </c>
      <c r="L128" s="165" t="str">
        <f>IF(A128="","",ROUND(SUMIFS(aditivos!$L$2:$L$200,aditivos!$A$2:$A$200,A128,aditivos!$C$2:$C$200,"C2"),2))</f>
        <v/>
      </c>
      <c r="M128" s="161" t="str">
        <f t="shared" si="58"/>
        <v/>
      </c>
      <c r="N128" s="161" t="str">
        <f>IF(A128="","",IF(itens_Remanesc!G128="","",itens_Remanesc!G128))</f>
        <v/>
      </c>
      <c r="O128" s="169" t="str">
        <f t="shared" si="59"/>
        <v/>
      </c>
      <c r="P128" s="171" t="str">
        <f>IF(A128="","",ROUND(SUMIFS(aditivos!$L$2:$L$200,aditivos!$A$2:$A$200,A128,aditivos!$C$2:$C$200,"C3"),2))</f>
        <v/>
      </c>
      <c r="Q128" s="167" t="str">
        <f t="shared" si="60"/>
        <v/>
      </c>
      <c r="R128" s="167" t="str">
        <f>IF(A128="","",IF(itens_Remanesc!I128="","",itens_Remanesc!I128))</f>
        <v/>
      </c>
      <c r="S128" s="173" t="str">
        <f t="shared" si="61"/>
        <v/>
      </c>
      <c r="T128" s="165" t="str">
        <f>IF(A128="","",ROUND(SUMIFS(aditivos!$L$2:$L$200,aditivos!$A$2:$A$200,A128,aditivos!$C$2:$C$200,"C4"),2))</f>
        <v/>
      </c>
      <c r="U128" s="161" t="str">
        <f t="shared" si="62"/>
        <v/>
      </c>
      <c r="V128" s="161" t="str">
        <f>IF(A128="","",IF(itens_Remanesc!K128="","",itens_Remanesc!K128))</f>
        <v/>
      </c>
      <c r="W128" s="161" t="str">
        <f t="shared" si="63"/>
        <v/>
      </c>
      <c r="X128" s="148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1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48" t="str">
        <f>IF(itens_Remanesc!A129="","",itens_Remanesc!A129)</f>
        <v/>
      </c>
      <c r="B129" s="200" t="str">
        <f>IF(A129="","",itens_Remanesc!C129)</f>
        <v/>
      </c>
      <c r="C129" s="163" t="str">
        <f>IF(A129="","",IF(itens_Remanesc!B129="",0,itens_Remanesc!B129))</f>
        <v/>
      </c>
      <c r="D129" s="165" t="str">
        <f>IF(A129="","",ROUND(SUMIFS(aditivos!$L$2:$L$200,aditivos!$A$2:$A$200,A129,aditivos!$C$2:$C$200,"C0"),2))</f>
        <v/>
      </c>
      <c r="E129" s="161" t="str">
        <f t="shared" si="54"/>
        <v/>
      </c>
      <c r="F129" s="161" t="str">
        <f>IF(A129="","",IF(itens_Remanesc!B129&lt;&gt;"",itens_Remanesc!B129,IF($Z129,0,"")))</f>
        <v/>
      </c>
      <c r="G129" s="169" t="str">
        <f t="shared" si="55"/>
        <v/>
      </c>
      <c r="H129" s="171" t="str">
        <f>IF(A129="","",ROUND(SUMIFS(aditivos!$L$2:$L$200,aditivos!$A$2:$A$200,A129,aditivos!$C$2:$C$200,"C1"),2))</f>
        <v/>
      </c>
      <c r="I129" s="167" t="str">
        <f t="shared" si="56"/>
        <v/>
      </c>
      <c r="J129" s="167" t="str">
        <f>IF(A129="","",IF(itens_Remanesc!E129="","",itens_Remanesc!E129))</f>
        <v/>
      </c>
      <c r="K129" s="173" t="str">
        <f t="shared" si="57"/>
        <v/>
      </c>
      <c r="L129" s="165" t="str">
        <f>IF(A129="","",ROUND(SUMIFS(aditivos!$L$2:$L$200,aditivos!$A$2:$A$200,A129,aditivos!$C$2:$C$200,"C2"),2))</f>
        <v/>
      </c>
      <c r="M129" s="161" t="str">
        <f t="shared" si="58"/>
        <v/>
      </c>
      <c r="N129" s="161" t="str">
        <f>IF(A129="","",IF(itens_Remanesc!G129="","",itens_Remanesc!G129))</f>
        <v/>
      </c>
      <c r="O129" s="169" t="str">
        <f t="shared" si="59"/>
        <v/>
      </c>
      <c r="P129" s="171" t="str">
        <f>IF(A129="","",ROUND(SUMIFS(aditivos!$L$2:$L$200,aditivos!$A$2:$A$200,A129,aditivos!$C$2:$C$200,"C3"),2))</f>
        <v/>
      </c>
      <c r="Q129" s="167" t="str">
        <f t="shared" si="60"/>
        <v/>
      </c>
      <c r="R129" s="167" t="str">
        <f>IF(A129="","",IF(itens_Remanesc!I129="","",itens_Remanesc!I129))</f>
        <v/>
      </c>
      <c r="S129" s="173" t="str">
        <f t="shared" si="61"/>
        <v/>
      </c>
      <c r="T129" s="165" t="str">
        <f>IF(A129="","",ROUND(SUMIFS(aditivos!$L$2:$L$200,aditivos!$A$2:$A$200,A129,aditivos!$C$2:$C$200,"C4"),2))</f>
        <v/>
      </c>
      <c r="U129" s="161" t="str">
        <f t="shared" si="62"/>
        <v/>
      </c>
      <c r="V129" s="161" t="str">
        <f>IF(A129="","",IF(itens_Remanesc!K129="","",itens_Remanesc!K129))</f>
        <v/>
      </c>
      <c r="W129" s="161" t="str">
        <f t="shared" si="63"/>
        <v/>
      </c>
      <c r="X129" s="148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1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48" t="str">
        <f>IF(itens_Remanesc!A130="","",itens_Remanesc!A130)</f>
        <v/>
      </c>
      <c r="B130" s="200" t="str">
        <f>IF(A130="","",itens_Remanesc!C130)</f>
        <v/>
      </c>
      <c r="C130" s="163" t="str">
        <f>IF(A130="","",IF(itens_Remanesc!B130="",0,itens_Remanesc!B130))</f>
        <v/>
      </c>
      <c r="D130" s="165" t="str">
        <f>IF(A130="","",ROUND(SUMIFS(aditivos!$L$2:$L$200,aditivos!$A$2:$A$200,A130,aditivos!$C$2:$C$200,"C0"),2))</f>
        <v/>
      </c>
      <c r="E130" s="161" t="str">
        <f t="shared" ref="E130:E161" si="72">IF(A130="","",ROUND(C130+D130,2))</f>
        <v/>
      </c>
      <c r="F130" s="161" t="str">
        <f>IF(A130="","",IF(itens_Remanesc!B130&lt;&gt;"",itens_Remanesc!B130,IF($Z130,0,"")))</f>
        <v/>
      </c>
      <c r="G130" s="169" t="str">
        <f t="shared" ref="G130:G161" si="73">IF(A130="","",IF($Y130="","",IF($Y130&gt;0,"",ROUND(E130,2))))</f>
        <v/>
      </c>
      <c r="H130" s="171" t="str">
        <f>IF(A130="","",ROUND(SUMIFS(aditivos!$L$2:$L$200,aditivos!$A$2:$A$200,A130,aditivos!$C$2:$C$200,"C1"),2))</f>
        <v/>
      </c>
      <c r="I130" s="167" t="str">
        <f t="shared" ref="I130:I161" si="74">IF(A130="","",ROUND(E130+H130,2))</f>
        <v/>
      </c>
      <c r="J130" s="167" t="str">
        <f>IF(A130="","",IF(itens_Remanesc!E130="","",itens_Remanesc!E130))</f>
        <v/>
      </c>
      <c r="K130" s="173" t="str">
        <f t="shared" ref="K130:K161" si="75">IF(A130="","",IF($Y130="","",IF($Y130&gt;1,"",IF(ISNUMBER(J130),ROUND(J130+H130,2),IF($Y130=1,ROUND(H130,2),"")))))</f>
        <v/>
      </c>
      <c r="L130" s="165" t="str">
        <f>IF(A130="","",ROUND(SUMIFS(aditivos!$L$2:$L$200,aditivos!$A$2:$A$200,A130,aditivos!$C$2:$C$200,"C2"),2))</f>
        <v/>
      </c>
      <c r="M130" s="161" t="str">
        <f t="shared" ref="M130:M161" si="76">IF(A130="","",ROUND(I130+L130,2))</f>
        <v/>
      </c>
      <c r="N130" s="161" t="str">
        <f>IF(A130="","",IF(itens_Remanesc!G130="","",itens_Remanesc!G130))</f>
        <v/>
      </c>
      <c r="O130" s="169" t="str">
        <f t="shared" ref="O130:O161" si="77">IF(A130="","",IF($Y130="","",IF($Y130&gt;2,"",IF(ISNUMBER(N130),ROUND(N130+L130,2),IF($Y130=2,ROUND(L130,2),"")))))</f>
        <v/>
      </c>
      <c r="P130" s="171" t="str">
        <f>IF(A130="","",ROUND(SUMIFS(aditivos!$L$2:$L$200,aditivos!$A$2:$A$200,A130,aditivos!$C$2:$C$200,"C3"),2))</f>
        <v/>
      </c>
      <c r="Q130" s="167" t="str">
        <f t="shared" ref="Q130:Q161" si="78">IF(A130="","",ROUND(M130+P130,2))</f>
        <v/>
      </c>
      <c r="R130" s="167" t="str">
        <f>IF(A130="","",IF(itens_Remanesc!I130="","",itens_Remanesc!I130))</f>
        <v/>
      </c>
      <c r="S130" s="173" t="str">
        <f t="shared" ref="S130:S161" si="79">IF(A130="","",IF($Y130="","",IF($Y130&gt;3,"",IF(ISNUMBER(R130),ROUND(R130+P130,2),IF($Y130=3,ROUND(P130,2),"")))))</f>
        <v/>
      </c>
      <c r="T130" s="165" t="str">
        <f>IF(A130="","",ROUND(SUMIFS(aditivos!$L$2:$L$200,aditivos!$A$2:$A$200,A130,aditivos!$C$2:$C$200,"C4"),2))</f>
        <v/>
      </c>
      <c r="U130" s="161" t="str">
        <f t="shared" ref="U130:U161" si="80">IF(A130="","",ROUND(Q130+T130,2))</f>
        <v/>
      </c>
      <c r="V130" s="161" t="str">
        <f>IF(A130="","",IF(itens_Remanesc!K130="","",itens_Remanesc!K130))</f>
        <v/>
      </c>
      <c r="W130" s="161" t="str">
        <f t="shared" ref="W130:W161" si="81">IF(A130="","",IF($Y130="","",IF($Y130&gt;4,"",IF(ISNUMBER(V130),ROUND(V130+T130,2),IF($Y130=4,ROUND(T130,2),"")))))</f>
        <v/>
      </c>
      <c r="X130" s="148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1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48" t="str">
        <f>IF(itens_Remanesc!A131="","",itens_Remanesc!A131)</f>
        <v/>
      </c>
      <c r="B131" s="200" t="str">
        <f>IF(A131="","",itens_Remanesc!C131)</f>
        <v/>
      </c>
      <c r="C131" s="163" t="str">
        <f>IF(A131="","",IF(itens_Remanesc!B131="",0,itens_Remanesc!B131))</f>
        <v/>
      </c>
      <c r="D131" s="165" t="str">
        <f>IF(A131="","",ROUND(SUMIFS(aditivos!$L$2:$L$200,aditivos!$A$2:$A$200,A131,aditivos!$C$2:$C$200,"C0"),2))</f>
        <v/>
      </c>
      <c r="E131" s="161" t="str">
        <f t="shared" si="72"/>
        <v/>
      </c>
      <c r="F131" s="161" t="str">
        <f>IF(A131="","",IF(itens_Remanesc!B131&lt;&gt;"",itens_Remanesc!B131,IF($Z131,0,"")))</f>
        <v/>
      </c>
      <c r="G131" s="169" t="str">
        <f t="shared" si="73"/>
        <v/>
      </c>
      <c r="H131" s="171" t="str">
        <f>IF(A131="","",ROUND(SUMIFS(aditivos!$L$2:$L$200,aditivos!$A$2:$A$200,A131,aditivos!$C$2:$C$200,"C1"),2))</f>
        <v/>
      </c>
      <c r="I131" s="167" t="str">
        <f t="shared" si="74"/>
        <v/>
      </c>
      <c r="J131" s="167" t="str">
        <f>IF(A131="","",IF(itens_Remanesc!E131="","",itens_Remanesc!E131))</f>
        <v/>
      </c>
      <c r="K131" s="173" t="str">
        <f t="shared" si="75"/>
        <v/>
      </c>
      <c r="L131" s="165" t="str">
        <f>IF(A131="","",ROUND(SUMIFS(aditivos!$L$2:$L$200,aditivos!$A$2:$A$200,A131,aditivos!$C$2:$C$200,"C2"),2))</f>
        <v/>
      </c>
      <c r="M131" s="161" t="str">
        <f t="shared" si="76"/>
        <v/>
      </c>
      <c r="N131" s="161" t="str">
        <f>IF(A131="","",IF(itens_Remanesc!G131="","",itens_Remanesc!G131))</f>
        <v/>
      </c>
      <c r="O131" s="169" t="str">
        <f t="shared" si="77"/>
        <v/>
      </c>
      <c r="P131" s="171" t="str">
        <f>IF(A131="","",ROUND(SUMIFS(aditivos!$L$2:$L$200,aditivos!$A$2:$A$200,A131,aditivos!$C$2:$C$200,"C3"),2))</f>
        <v/>
      </c>
      <c r="Q131" s="167" t="str">
        <f t="shared" si="78"/>
        <v/>
      </c>
      <c r="R131" s="167" t="str">
        <f>IF(A131="","",IF(itens_Remanesc!I131="","",itens_Remanesc!I131))</f>
        <v/>
      </c>
      <c r="S131" s="173" t="str">
        <f t="shared" si="79"/>
        <v/>
      </c>
      <c r="T131" s="165" t="str">
        <f>IF(A131="","",ROUND(SUMIFS(aditivos!$L$2:$L$200,aditivos!$A$2:$A$200,A131,aditivos!$C$2:$C$200,"C4"),2))</f>
        <v/>
      </c>
      <c r="U131" s="161" t="str">
        <f t="shared" si="80"/>
        <v/>
      </c>
      <c r="V131" s="161" t="str">
        <f>IF(A131="","",IF(itens_Remanesc!K131="","",itens_Remanesc!K131))</f>
        <v/>
      </c>
      <c r="W131" s="161" t="str">
        <f t="shared" si="81"/>
        <v/>
      </c>
      <c r="X131" s="148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1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48" t="str">
        <f>IF(itens_Remanesc!A132="","",itens_Remanesc!A132)</f>
        <v/>
      </c>
      <c r="B132" s="200" t="str">
        <f>IF(A132="","",itens_Remanesc!C132)</f>
        <v/>
      </c>
      <c r="C132" s="163" t="str">
        <f>IF(A132="","",IF(itens_Remanesc!B132="",0,itens_Remanesc!B132))</f>
        <v/>
      </c>
      <c r="D132" s="165" t="str">
        <f>IF(A132="","",ROUND(SUMIFS(aditivos!$L$2:$L$200,aditivos!$A$2:$A$200,A132,aditivos!$C$2:$C$200,"C0"),2))</f>
        <v/>
      </c>
      <c r="E132" s="161" t="str">
        <f t="shared" si="72"/>
        <v/>
      </c>
      <c r="F132" s="161" t="str">
        <f>IF(A132="","",IF(itens_Remanesc!B132&lt;&gt;"",itens_Remanesc!B132,IF($Z132,0,"")))</f>
        <v/>
      </c>
      <c r="G132" s="169" t="str">
        <f t="shared" si="73"/>
        <v/>
      </c>
      <c r="H132" s="171" t="str">
        <f>IF(A132="","",ROUND(SUMIFS(aditivos!$L$2:$L$200,aditivos!$A$2:$A$200,A132,aditivos!$C$2:$C$200,"C1"),2))</f>
        <v/>
      </c>
      <c r="I132" s="167" t="str">
        <f t="shared" si="74"/>
        <v/>
      </c>
      <c r="J132" s="167" t="str">
        <f>IF(A132="","",IF(itens_Remanesc!E132="","",itens_Remanesc!E132))</f>
        <v/>
      </c>
      <c r="K132" s="173" t="str">
        <f t="shared" si="75"/>
        <v/>
      </c>
      <c r="L132" s="165" t="str">
        <f>IF(A132="","",ROUND(SUMIFS(aditivos!$L$2:$L$200,aditivos!$A$2:$A$200,A132,aditivos!$C$2:$C$200,"C2"),2))</f>
        <v/>
      </c>
      <c r="M132" s="161" t="str">
        <f t="shared" si="76"/>
        <v/>
      </c>
      <c r="N132" s="161" t="str">
        <f>IF(A132="","",IF(itens_Remanesc!G132="","",itens_Remanesc!G132))</f>
        <v/>
      </c>
      <c r="O132" s="169" t="str">
        <f t="shared" si="77"/>
        <v/>
      </c>
      <c r="P132" s="171" t="str">
        <f>IF(A132="","",ROUND(SUMIFS(aditivos!$L$2:$L$200,aditivos!$A$2:$A$200,A132,aditivos!$C$2:$C$200,"C3"),2))</f>
        <v/>
      </c>
      <c r="Q132" s="167" t="str">
        <f t="shared" si="78"/>
        <v/>
      </c>
      <c r="R132" s="167" t="str">
        <f>IF(A132="","",IF(itens_Remanesc!I132="","",itens_Remanesc!I132))</f>
        <v/>
      </c>
      <c r="S132" s="173" t="str">
        <f t="shared" si="79"/>
        <v/>
      </c>
      <c r="T132" s="165" t="str">
        <f>IF(A132="","",ROUND(SUMIFS(aditivos!$L$2:$L$200,aditivos!$A$2:$A$200,A132,aditivos!$C$2:$C$200,"C4"),2))</f>
        <v/>
      </c>
      <c r="U132" s="161" t="str">
        <f t="shared" si="80"/>
        <v/>
      </c>
      <c r="V132" s="161" t="str">
        <f>IF(A132="","",IF(itens_Remanesc!K132="","",itens_Remanesc!K132))</f>
        <v/>
      </c>
      <c r="W132" s="161" t="str">
        <f t="shared" si="81"/>
        <v/>
      </c>
      <c r="X132" s="148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1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48" t="str">
        <f>IF(itens_Remanesc!A133="","",itens_Remanesc!A133)</f>
        <v/>
      </c>
      <c r="B133" s="200" t="str">
        <f>IF(A133="","",itens_Remanesc!C133)</f>
        <v/>
      </c>
      <c r="C133" s="163" t="str">
        <f>IF(A133="","",IF(itens_Remanesc!B133="",0,itens_Remanesc!B133))</f>
        <v/>
      </c>
      <c r="D133" s="165" t="str">
        <f>IF(A133="","",ROUND(SUMIFS(aditivos!$L$2:$L$200,aditivos!$A$2:$A$200,A133,aditivos!$C$2:$C$200,"C0"),2))</f>
        <v/>
      </c>
      <c r="E133" s="161" t="str">
        <f t="shared" si="72"/>
        <v/>
      </c>
      <c r="F133" s="161" t="str">
        <f>IF(A133="","",IF(itens_Remanesc!B133&lt;&gt;"",itens_Remanesc!B133,IF($Z133,0,"")))</f>
        <v/>
      </c>
      <c r="G133" s="169" t="str">
        <f t="shared" si="73"/>
        <v/>
      </c>
      <c r="H133" s="171" t="str">
        <f>IF(A133="","",ROUND(SUMIFS(aditivos!$L$2:$L$200,aditivos!$A$2:$A$200,A133,aditivos!$C$2:$C$200,"C1"),2))</f>
        <v/>
      </c>
      <c r="I133" s="167" t="str">
        <f t="shared" si="74"/>
        <v/>
      </c>
      <c r="J133" s="167" t="str">
        <f>IF(A133="","",IF(itens_Remanesc!E133="","",itens_Remanesc!E133))</f>
        <v/>
      </c>
      <c r="K133" s="173" t="str">
        <f t="shared" si="75"/>
        <v/>
      </c>
      <c r="L133" s="165" t="str">
        <f>IF(A133="","",ROUND(SUMIFS(aditivos!$L$2:$L$200,aditivos!$A$2:$A$200,A133,aditivos!$C$2:$C$200,"C2"),2))</f>
        <v/>
      </c>
      <c r="M133" s="161" t="str">
        <f t="shared" si="76"/>
        <v/>
      </c>
      <c r="N133" s="161" t="str">
        <f>IF(A133="","",IF(itens_Remanesc!G133="","",itens_Remanesc!G133))</f>
        <v/>
      </c>
      <c r="O133" s="169" t="str">
        <f t="shared" si="77"/>
        <v/>
      </c>
      <c r="P133" s="171" t="str">
        <f>IF(A133="","",ROUND(SUMIFS(aditivos!$L$2:$L$200,aditivos!$A$2:$A$200,A133,aditivos!$C$2:$C$200,"C3"),2))</f>
        <v/>
      </c>
      <c r="Q133" s="167" t="str">
        <f t="shared" si="78"/>
        <v/>
      </c>
      <c r="R133" s="167" t="str">
        <f>IF(A133="","",IF(itens_Remanesc!I133="","",itens_Remanesc!I133))</f>
        <v/>
      </c>
      <c r="S133" s="173" t="str">
        <f t="shared" si="79"/>
        <v/>
      </c>
      <c r="T133" s="165" t="str">
        <f>IF(A133="","",ROUND(SUMIFS(aditivos!$L$2:$L$200,aditivos!$A$2:$A$200,A133,aditivos!$C$2:$C$200,"C4"),2))</f>
        <v/>
      </c>
      <c r="U133" s="161" t="str">
        <f t="shared" si="80"/>
        <v/>
      </c>
      <c r="V133" s="161" t="str">
        <f>IF(A133="","",IF(itens_Remanesc!K133="","",itens_Remanesc!K133))</f>
        <v/>
      </c>
      <c r="W133" s="161" t="str">
        <f t="shared" si="81"/>
        <v/>
      </c>
      <c r="X133" s="148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1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48" t="str">
        <f>IF(itens_Remanesc!A134="","",itens_Remanesc!A134)</f>
        <v/>
      </c>
      <c r="B134" s="200" t="str">
        <f>IF(A134="","",itens_Remanesc!C134)</f>
        <v/>
      </c>
      <c r="C134" s="163" t="str">
        <f>IF(A134="","",IF(itens_Remanesc!B134="",0,itens_Remanesc!B134))</f>
        <v/>
      </c>
      <c r="D134" s="165" t="str">
        <f>IF(A134="","",ROUND(SUMIFS(aditivos!$L$2:$L$200,aditivos!$A$2:$A$200,A134,aditivos!$C$2:$C$200,"C0"),2))</f>
        <v/>
      </c>
      <c r="E134" s="161" t="str">
        <f t="shared" si="72"/>
        <v/>
      </c>
      <c r="F134" s="161" t="str">
        <f>IF(A134="","",IF(itens_Remanesc!B134&lt;&gt;"",itens_Remanesc!B134,IF($Z134,0,"")))</f>
        <v/>
      </c>
      <c r="G134" s="169" t="str">
        <f t="shared" si="73"/>
        <v/>
      </c>
      <c r="H134" s="171" t="str">
        <f>IF(A134="","",ROUND(SUMIFS(aditivos!$L$2:$L$200,aditivos!$A$2:$A$200,A134,aditivos!$C$2:$C$200,"C1"),2))</f>
        <v/>
      </c>
      <c r="I134" s="167" t="str">
        <f t="shared" si="74"/>
        <v/>
      </c>
      <c r="J134" s="167" t="str">
        <f>IF(A134="","",IF(itens_Remanesc!E134="","",itens_Remanesc!E134))</f>
        <v/>
      </c>
      <c r="K134" s="173" t="str">
        <f t="shared" si="75"/>
        <v/>
      </c>
      <c r="L134" s="165" t="str">
        <f>IF(A134="","",ROUND(SUMIFS(aditivos!$L$2:$L$200,aditivos!$A$2:$A$200,A134,aditivos!$C$2:$C$200,"C2"),2))</f>
        <v/>
      </c>
      <c r="M134" s="161" t="str">
        <f t="shared" si="76"/>
        <v/>
      </c>
      <c r="N134" s="161" t="str">
        <f>IF(A134="","",IF(itens_Remanesc!G134="","",itens_Remanesc!G134))</f>
        <v/>
      </c>
      <c r="O134" s="169" t="str">
        <f t="shared" si="77"/>
        <v/>
      </c>
      <c r="P134" s="171" t="str">
        <f>IF(A134="","",ROUND(SUMIFS(aditivos!$L$2:$L$200,aditivos!$A$2:$A$200,A134,aditivos!$C$2:$C$200,"C3"),2))</f>
        <v/>
      </c>
      <c r="Q134" s="167" t="str">
        <f t="shared" si="78"/>
        <v/>
      </c>
      <c r="R134" s="167" t="str">
        <f>IF(A134="","",IF(itens_Remanesc!I134="","",itens_Remanesc!I134))</f>
        <v/>
      </c>
      <c r="S134" s="173" t="str">
        <f t="shared" si="79"/>
        <v/>
      </c>
      <c r="T134" s="165" t="str">
        <f>IF(A134="","",ROUND(SUMIFS(aditivos!$L$2:$L$200,aditivos!$A$2:$A$200,A134,aditivos!$C$2:$C$200,"C4"),2))</f>
        <v/>
      </c>
      <c r="U134" s="161" t="str">
        <f t="shared" si="80"/>
        <v/>
      </c>
      <c r="V134" s="161" t="str">
        <f>IF(A134="","",IF(itens_Remanesc!K134="","",itens_Remanesc!K134))</f>
        <v/>
      </c>
      <c r="W134" s="161" t="str">
        <f t="shared" si="81"/>
        <v/>
      </c>
      <c r="X134" s="148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1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48" t="str">
        <f>IF(itens_Remanesc!A135="","",itens_Remanesc!A135)</f>
        <v/>
      </c>
      <c r="B135" s="200" t="str">
        <f>IF(A135="","",itens_Remanesc!C135)</f>
        <v/>
      </c>
      <c r="C135" s="163" t="str">
        <f>IF(A135="","",IF(itens_Remanesc!B135="",0,itens_Remanesc!B135))</f>
        <v/>
      </c>
      <c r="D135" s="165" t="str">
        <f>IF(A135="","",ROUND(SUMIFS(aditivos!$L$2:$L$200,aditivos!$A$2:$A$200,A135,aditivos!$C$2:$C$200,"C0"),2))</f>
        <v/>
      </c>
      <c r="E135" s="161" t="str">
        <f t="shared" si="72"/>
        <v/>
      </c>
      <c r="F135" s="161" t="str">
        <f>IF(A135="","",IF(itens_Remanesc!B135&lt;&gt;"",itens_Remanesc!B135,IF($Z135,0,"")))</f>
        <v/>
      </c>
      <c r="G135" s="169" t="str">
        <f t="shared" si="73"/>
        <v/>
      </c>
      <c r="H135" s="171" t="str">
        <f>IF(A135="","",ROUND(SUMIFS(aditivos!$L$2:$L$200,aditivos!$A$2:$A$200,A135,aditivos!$C$2:$C$200,"C1"),2))</f>
        <v/>
      </c>
      <c r="I135" s="167" t="str">
        <f t="shared" si="74"/>
        <v/>
      </c>
      <c r="J135" s="167" t="str">
        <f>IF(A135="","",IF(itens_Remanesc!E135="","",itens_Remanesc!E135))</f>
        <v/>
      </c>
      <c r="K135" s="173" t="str">
        <f t="shared" si="75"/>
        <v/>
      </c>
      <c r="L135" s="165" t="str">
        <f>IF(A135="","",ROUND(SUMIFS(aditivos!$L$2:$L$200,aditivos!$A$2:$A$200,A135,aditivos!$C$2:$C$200,"C2"),2))</f>
        <v/>
      </c>
      <c r="M135" s="161" t="str">
        <f t="shared" si="76"/>
        <v/>
      </c>
      <c r="N135" s="161" t="str">
        <f>IF(A135="","",IF(itens_Remanesc!G135="","",itens_Remanesc!G135))</f>
        <v/>
      </c>
      <c r="O135" s="169" t="str">
        <f t="shared" si="77"/>
        <v/>
      </c>
      <c r="P135" s="171" t="str">
        <f>IF(A135="","",ROUND(SUMIFS(aditivos!$L$2:$L$200,aditivos!$A$2:$A$200,A135,aditivos!$C$2:$C$200,"C3"),2))</f>
        <v/>
      </c>
      <c r="Q135" s="167" t="str">
        <f t="shared" si="78"/>
        <v/>
      </c>
      <c r="R135" s="167" t="str">
        <f>IF(A135="","",IF(itens_Remanesc!I135="","",itens_Remanesc!I135))</f>
        <v/>
      </c>
      <c r="S135" s="173" t="str">
        <f t="shared" si="79"/>
        <v/>
      </c>
      <c r="T135" s="165" t="str">
        <f>IF(A135="","",ROUND(SUMIFS(aditivos!$L$2:$L$200,aditivos!$A$2:$A$200,A135,aditivos!$C$2:$C$200,"C4"),2))</f>
        <v/>
      </c>
      <c r="U135" s="161" t="str">
        <f t="shared" si="80"/>
        <v/>
      </c>
      <c r="V135" s="161" t="str">
        <f>IF(A135="","",IF(itens_Remanesc!K135="","",itens_Remanesc!K135))</f>
        <v/>
      </c>
      <c r="W135" s="161" t="str">
        <f t="shared" si="81"/>
        <v/>
      </c>
      <c r="X135" s="148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1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48" t="str">
        <f>IF(itens_Remanesc!A136="","",itens_Remanesc!A136)</f>
        <v/>
      </c>
      <c r="B136" s="200" t="str">
        <f>IF(A136="","",itens_Remanesc!C136)</f>
        <v/>
      </c>
      <c r="C136" s="163" t="str">
        <f>IF(A136="","",IF(itens_Remanesc!B136="",0,itens_Remanesc!B136))</f>
        <v/>
      </c>
      <c r="D136" s="165" t="str">
        <f>IF(A136="","",ROUND(SUMIFS(aditivos!$L$2:$L$200,aditivos!$A$2:$A$200,A136,aditivos!$C$2:$C$200,"C0"),2))</f>
        <v/>
      </c>
      <c r="E136" s="161" t="str">
        <f t="shared" si="72"/>
        <v/>
      </c>
      <c r="F136" s="161" t="str">
        <f>IF(A136="","",IF(itens_Remanesc!B136&lt;&gt;"",itens_Remanesc!B136,IF($Z136,0,"")))</f>
        <v/>
      </c>
      <c r="G136" s="169" t="str">
        <f t="shared" si="73"/>
        <v/>
      </c>
      <c r="H136" s="171" t="str">
        <f>IF(A136="","",ROUND(SUMIFS(aditivos!$L$2:$L$200,aditivos!$A$2:$A$200,A136,aditivos!$C$2:$C$200,"C1"),2))</f>
        <v/>
      </c>
      <c r="I136" s="167" t="str">
        <f t="shared" si="74"/>
        <v/>
      </c>
      <c r="J136" s="167" t="str">
        <f>IF(A136="","",IF(itens_Remanesc!E136="","",itens_Remanesc!E136))</f>
        <v/>
      </c>
      <c r="K136" s="173" t="str">
        <f t="shared" si="75"/>
        <v/>
      </c>
      <c r="L136" s="165" t="str">
        <f>IF(A136="","",ROUND(SUMIFS(aditivos!$L$2:$L$200,aditivos!$A$2:$A$200,A136,aditivos!$C$2:$C$200,"C2"),2))</f>
        <v/>
      </c>
      <c r="M136" s="161" t="str">
        <f t="shared" si="76"/>
        <v/>
      </c>
      <c r="N136" s="161" t="str">
        <f>IF(A136="","",IF(itens_Remanesc!G136="","",itens_Remanesc!G136))</f>
        <v/>
      </c>
      <c r="O136" s="169" t="str">
        <f t="shared" si="77"/>
        <v/>
      </c>
      <c r="P136" s="171" t="str">
        <f>IF(A136="","",ROUND(SUMIFS(aditivos!$L$2:$L$200,aditivos!$A$2:$A$200,A136,aditivos!$C$2:$C$200,"C3"),2))</f>
        <v/>
      </c>
      <c r="Q136" s="167" t="str">
        <f t="shared" si="78"/>
        <v/>
      </c>
      <c r="R136" s="167" t="str">
        <f>IF(A136="","",IF(itens_Remanesc!I136="","",itens_Remanesc!I136))</f>
        <v/>
      </c>
      <c r="S136" s="173" t="str">
        <f t="shared" si="79"/>
        <v/>
      </c>
      <c r="T136" s="165" t="str">
        <f>IF(A136="","",ROUND(SUMIFS(aditivos!$L$2:$L$200,aditivos!$A$2:$A$200,A136,aditivos!$C$2:$C$200,"C4"),2))</f>
        <v/>
      </c>
      <c r="U136" s="161" t="str">
        <f t="shared" si="80"/>
        <v/>
      </c>
      <c r="V136" s="161" t="str">
        <f>IF(A136="","",IF(itens_Remanesc!K136="","",itens_Remanesc!K136))</f>
        <v/>
      </c>
      <c r="W136" s="161" t="str">
        <f t="shared" si="81"/>
        <v/>
      </c>
      <c r="X136" s="148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1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48" t="str">
        <f>IF(itens_Remanesc!A137="","",itens_Remanesc!A137)</f>
        <v/>
      </c>
      <c r="B137" s="200" t="str">
        <f>IF(A137="","",itens_Remanesc!C137)</f>
        <v/>
      </c>
      <c r="C137" s="163" t="str">
        <f>IF(A137="","",IF(itens_Remanesc!B137="",0,itens_Remanesc!B137))</f>
        <v/>
      </c>
      <c r="D137" s="165" t="str">
        <f>IF(A137="","",ROUND(SUMIFS(aditivos!$L$2:$L$200,aditivos!$A$2:$A$200,A137,aditivos!$C$2:$C$200,"C0"),2))</f>
        <v/>
      </c>
      <c r="E137" s="161" t="str">
        <f t="shared" si="72"/>
        <v/>
      </c>
      <c r="F137" s="161" t="str">
        <f>IF(A137="","",IF(itens_Remanesc!B137&lt;&gt;"",itens_Remanesc!B137,IF($Z137,0,"")))</f>
        <v/>
      </c>
      <c r="G137" s="169" t="str">
        <f t="shared" si="73"/>
        <v/>
      </c>
      <c r="H137" s="171" t="str">
        <f>IF(A137="","",ROUND(SUMIFS(aditivos!$L$2:$L$200,aditivos!$A$2:$A$200,A137,aditivos!$C$2:$C$200,"C1"),2))</f>
        <v/>
      </c>
      <c r="I137" s="167" t="str">
        <f t="shared" si="74"/>
        <v/>
      </c>
      <c r="J137" s="167" t="str">
        <f>IF(A137="","",IF(itens_Remanesc!E137="","",itens_Remanesc!E137))</f>
        <v/>
      </c>
      <c r="K137" s="173" t="str">
        <f t="shared" si="75"/>
        <v/>
      </c>
      <c r="L137" s="165" t="str">
        <f>IF(A137="","",ROUND(SUMIFS(aditivos!$L$2:$L$200,aditivos!$A$2:$A$200,A137,aditivos!$C$2:$C$200,"C2"),2))</f>
        <v/>
      </c>
      <c r="M137" s="161" t="str">
        <f t="shared" si="76"/>
        <v/>
      </c>
      <c r="N137" s="161" t="str">
        <f>IF(A137="","",IF(itens_Remanesc!G137="","",itens_Remanesc!G137))</f>
        <v/>
      </c>
      <c r="O137" s="169" t="str">
        <f t="shared" si="77"/>
        <v/>
      </c>
      <c r="P137" s="171" t="str">
        <f>IF(A137="","",ROUND(SUMIFS(aditivos!$L$2:$L$200,aditivos!$A$2:$A$200,A137,aditivos!$C$2:$C$200,"C3"),2))</f>
        <v/>
      </c>
      <c r="Q137" s="167" t="str">
        <f t="shared" si="78"/>
        <v/>
      </c>
      <c r="R137" s="167" t="str">
        <f>IF(A137="","",IF(itens_Remanesc!I137="","",itens_Remanesc!I137))</f>
        <v/>
      </c>
      <c r="S137" s="173" t="str">
        <f t="shared" si="79"/>
        <v/>
      </c>
      <c r="T137" s="165" t="str">
        <f>IF(A137="","",ROUND(SUMIFS(aditivos!$L$2:$L$200,aditivos!$A$2:$A$200,A137,aditivos!$C$2:$C$200,"C4"),2))</f>
        <v/>
      </c>
      <c r="U137" s="161" t="str">
        <f t="shared" si="80"/>
        <v/>
      </c>
      <c r="V137" s="161" t="str">
        <f>IF(A137="","",IF(itens_Remanesc!K137="","",itens_Remanesc!K137))</f>
        <v/>
      </c>
      <c r="W137" s="161" t="str">
        <f t="shared" si="81"/>
        <v/>
      </c>
      <c r="X137" s="148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1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48" t="str">
        <f>IF(itens_Remanesc!A138="","",itens_Remanesc!A138)</f>
        <v/>
      </c>
      <c r="B138" s="200" t="str">
        <f>IF(A138="","",itens_Remanesc!C138)</f>
        <v/>
      </c>
      <c r="C138" s="163" t="str">
        <f>IF(A138="","",IF(itens_Remanesc!B138="",0,itens_Remanesc!B138))</f>
        <v/>
      </c>
      <c r="D138" s="165" t="str">
        <f>IF(A138="","",ROUND(SUMIFS(aditivos!$L$2:$L$200,aditivos!$A$2:$A$200,A138,aditivos!$C$2:$C$200,"C0"),2))</f>
        <v/>
      </c>
      <c r="E138" s="161" t="str">
        <f t="shared" si="72"/>
        <v/>
      </c>
      <c r="F138" s="161" t="str">
        <f>IF(A138="","",IF(itens_Remanesc!B138&lt;&gt;"",itens_Remanesc!B138,IF($Z138,0,"")))</f>
        <v/>
      </c>
      <c r="G138" s="169" t="str">
        <f t="shared" si="73"/>
        <v/>
      </c>
      <c r="H138" s="171" t="str">
        <f>IF(A138="","",ROUND(SUMIFS(aditivos!$L$2:$L$200,aditivos!$A$2:$A$200,A138,aditivos!$C$2:$C$200,"C1"),2))</f>
        <v/>
      </c>
      <c r="I138" s="167" t="str">
        <f t="shared" si="74"/>
        <v/>
      </c>
      <c r="J138" s="167" t="str">
        <f>IF(A138="","",IF(itens_Remanesc!E138="","",itens_Remanesc!E138))</f>
        <v/>
      </c>
      <c r="K138" s="173" t="str">
        <f t="shared" si="75"/>
        <v/>
      </c>
      <c r="L138" s="165" t="str">
        <f>IF(A138="","",ROUND(SUMIFS(aditivos!$L$2:$L$200,aditivos!$A$2:$A$200,A138,aditivos!$C$2:$C$200,"C2"),2))</f>
        <v/>
      </c>
      <c r="M138" s="161" t="str">
        <f t="shared" si="76"/>
        <v/>
      </c>
      <c r="N138" s="161" t="str">
        <f>IF(A138="","",IF(itens_Remanesc!G138="","",itens_Remanesc!G138))</f>
        <v/>
      </c>
      <c r="O138" s="169" t="str">
        <f t="shared" si="77"/>
        <v/>
      </c>
      <c r="P138" s="171" t="str">
        <f>IF(A138="","",ROUND(SUMIFS(aditivos!$L$2:$L$200,aditivos!$A$2:$A$200,A138,aditivos!$C$2:$C$200,"C3"),2))</f>
        <v/>
      </c>
      <c r="Q138" s="167" t="str">
        <f t="shared" si="78"/>
        <v/>
      </c>
      <c r="R138" s="167" t="str">
        <f>IF(A138="","",IF(itens_Remanesc!I138="","",itens_Remanesc!I138))</f>
        <v/>
      </c>
      <c r="S138" s="173" t="str">
        <f t="shared" si="79"/>
        <v/>
      </c>
      <c r="T138" s="165" t="str">
        <f>IF(A138="","",ROUND(SUMIFS(aditivos!$L$2:$L$200,aditivos!$A$2:$A$200,A138,aditivos!$C$2:$C$200,"C4"),2))</f>
        <v/>
      </c>
      <c r="U138" s="161" t="str">
        <f t="shared" si="80"/>
        <v/>
      </c>
      <c r="V138" s="161" t="str">
        <f>IF(A138="","",IF(itens_Remanesc!K138="","",itens_Remanesc!K138))</f>
        <v/>
      </c>
      <c r="W138" s="161" t="str">
        <f t="shared" si="81"/>
        <v/>
      </c>
      <c r="X138" s="148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1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48" t="str">
        <f>IF(itens_Remanesc!A139="","",itens_Remanesc!A139)</f>
        <v/>
      </c>
      <c r="B139" s="200" t="str">
        <f>IF(A139="","",itens_Remanesc!C139)</f>
        <v/>
      </c>
      <c r="C139" s="163" t="str">
        <f>IF(A139="","",IF(itens_Remanesc!B139="",0,itens_Remanesc!B139))</f>
        <v/>
      </c>
      <c r="D139" s="165" t="str">
        <f>IF(A139="","",ROUND(SUMIFS(aditivos!$L$2:$L$200,aditivos!$A$2:$A$200,A139,aditivos!$C$2:$C$200,"C0"),2))</f>
        <v/>
      </c>
      <c r="E139" s="161" t="str">
        <f t="shared" si="72"/>
        <v/>
      </c>
      <c r="F139" s="161" t="str">
        <f>IF(A139="","",IF(itens_Remanesc!B139&lt;&gt;"",itens_Remanesc!B139,IF($Z139,0,"")))</f>
        <v/>
      </c>
      <c r="G139" s="169" t="str">
        <f t="shared" si="73"/>
        <v/>
      </c>
      <c r="H139" s="171" t="str">
        <f>IF(A139="","",ROUND(SUMIFS(aditivos!$L$2:$L$200,aditivos!$A$2:$A$200,A139,aditivos!$C$2:$C$200,"C1"),2))</f>
        <v/>
      </c>
      <c r="I139" s="167" t="str">
        <f t="shared" si="74"/>
        <v/>
      </c>
      <c r="J139" s="167" t="str">
        <f>IF(A139="","",IF(itens_Remanesc!E139="","",itens_Remanesc!E139))</f>
        <v/>
      </c>
      <c r="K139" s="173" t="str">
        <f t="shared" si="75"/>
        <v/>
      </c>
      <c r="L139" s="165" t="str">
        <f>IF(A139="","",ROUND(SUMIFS(aditivos!$L$2:$L$200,aditivos!$A$2:$A$200,A139,aditivos!$C$2:$C$200,"C2"),2))</f>
        <v/>
      </c>
      <c r="M139" s="161" t="str">
        <f t="shared" si="76"/>
        <v/>
      </c>
      <c r="N139" s="161" t="str">
        <f>IF(A139="","",IF(itens_Remanesc!G139="","",itens_Remanesc!G139))</f>
        <v/>
      </c>
      <c r="O139" s="169" t="str">
        <f t="shared" si="77"/>
        <v/>
      </c>
      <c r="P139" s="171" t="str">
        <f>IF(A139="","",ROUND(SUMIFS(aditivos!$L$2:$L$200,aditivos!$A$2:$A$200,A139,aditivos!$C$2:$C$200,"C3"),2))</f>
        <v/>
      </c>
      <c r="Q139" s="167" t="str">
        <f t="shared" si="78"/>
        <v/>
      </c>
      <c r="R139" s="167" t="str">
        <f>IF(A139="","",IF(itens_Remanesc!I139="","",itens_Remanesc!I139))</f>
        <v/>
      </c>
      <c r="S139" s="173" t="str">
        <f t="shared" si="79"/>
        <v/>
      </c>
      <c r="T139" s="165" t="str">
        <f>IF(A139="","",ROUND(SUMIFS(aditivos!$L$2:$L$200,aditivos!$A$2:$A$200,A139,aditivos!$C$2:$C$200,"C4"),2))</f>
        <v/>
      </c>
      <c r="U139" s="161" t="str">
        <f t="shared" si="80"/>
        <v/>
      </c>
      <c r="V139" s="161" t="str">
        <f>IF(A139="","",IF(itens_Remanesc!K139="","",itens_Remanesc!K139))</f>
        <v/>
      </c>
      <c r="W139" s="161" t="str">
        <f t="shared" si="81"/>
        <v/>
      </c>
      <c r="X139" s="148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1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48" t="str">
        <f>IF(itens_Remanesc!A140="","",itens_Remanesc!A140)</f>
        <v/>
      </c>
      <c r="B140" s="200" t="str">
        <f>IF(A140="","",itens_Remanesc!C140)</f>
        <v/>
      </c>
      <c r="C140" s="163" t="str">
        <f>IF(A140="","",IF(itens_Remanesc!B140="",0,itens_Remanesc!B140))</f>
        <v/>
      </c>
      <c r="D140" s="165" t="str">
        <f>IF(A140="","",ROUND(SUMIFS(aditivos!$L$2:$L$200,aditivos!$A$2:$A$200,A140,aditivos!$C$2:$C$200,"C0"),2))</f>
        <v/>
      </c>
      <c r="E140" s="161" t="str">
        <f t="shared" si="72"/>
        <v/>
      </c>
      <c r="F140" s="161" t="str">
        <f>IF(A140="","",IF(itens_Remanesc!B140&lt;&gt;"",itens_Remanesc!B140,IF($Z140,0,"")))</f>
        <v/>
      </c>
      <c r="G140" s="169" t="str">
        <f t="shared" si="73"/>
        <v/>
      </c>
      <c r="H140" s="171" t="str">
        <f>IF(A140="","",ROUND(SUMIFS(aditivos!$L$2:$L$200,aditivos!$A$2:$A$200,A140,aditivos!$C$2:$C$200,"C1"),2))</f>
        <v/>
      </c>
      <c r="I140" s="167" t="str">
        <f t="shared" si="74"/>
        <v/>
      </c>
      <c r="J140" s="167" t="str">
        <f>IF(A140="","",IF(itens_Remanesc!E140="","",itens_Remanesc!E140))</f>
        <v/>
      </c>
      <c r="K140" s="173" t="str">
        <f t="shared" si="75"/>
        <v/>
      </c>
      <c r="L140" s="165" t="str">
        <f>IF(A140="","",ROUND(SUMIFS(aditivos!$L$2:$L$200,aditivos!$A$2:$A$200,A140,aditivos!$C$2:$C$200,"C2"),2))</f>
        <v/>
      </c>
      <c r="M140" s="161" t="str">
        <f t="shared" si="76"/>
        <v/>
      </c>
      <c r="N140" s="161" t="str">
        <f>IF(A140="","",IF(itens_Remanesc!G140="","",itens_Remanesc!G140))</f>
        <v/>
      </c>
      <c r="O140" s="169" t="str">
        <f t="shared" si="77"/>
        <v/>
      </c>
      <c r="P140" s="171" t="str">
        <f>IF(A140="","",ROUND(SUMIFS(aditivos!$L$2:$L$200,aditivos!$A$2:$A$200,A140,aditivos!$C$2:$C$200,"C3"),2))</f>
        <v/>
      </c>
      <c r="Q140" s="167" t="str">
        <f t="shared" si="78"/>
        <v/>
      </c>
      <c r="R140" s="167" t="str">
        <f>IF(A140="","",IF(itens_Remanesc!I140="","",itens_Remanesc!I140))</f>
        <v/>
      </c>
      <c r="S140" s="173" t="str">
        <f t="shared" si="79"/>
        <v/>
      </c>
      <c r="T140" s="165" t="str">
        <f>IF(A140="","",ROUND(SUMIFS(aditivos!$L$2:$L$200,aditivos!$A$2:$A$200,A140,aditivos!$C$2:$C$200,"C4"),2))</f>
        <v/>
      </c>
      <c r="U140" s="161" t="str">
        <f t="shared" si="80"/>
        <v/>
      </c>
      <c r="V140" s="161" t="str">
        <f>IF(A140="","",IF(itens_Remanesc!K140="","",itens_Remanesc!K140))</f>
        <v/>
      </c>
      <c r="W140" s="161" t="str">
        <f t="shared" si="81"/>
        <v/>
      </c>
      <c r="X140" s="148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1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48" t="str">
        <f>IF(itens_Remanesc!A141="","",itens_Remanesc!A141)</f>
        <v/>
      </c>
      <c r="B141" s="200" t="str">
        <f>IF(A141="","",itens_Remanesc!C141)</f>
        <v/>
      </c>
      <c r="C141" s="163" t="str">
        <f>IF(A141="","",IF(itens_Remanesc!B141="",0,itens_Remanesc!B141))</f>
        <v/>
      </c>
      <c r="D141" s="165" t="str">
        <f>IF(A141="","",ROUND(SUMIFS(aditivos!$L$2:$L$200,aditivos!$A$2:$A$200,A141,aditivos!$C$2:$C$200,"C0"),2))</f>
        <v/>
      </c>
      <c r="E141" s="161" t="str">
        <f t="shared" si="72"/>
        <v/>
      </c>
      <c r="F141" s="161" t="str">
        <f>IF(A141="","",IF(itens_Remanesc!B141&lt;&gt;"",itens_Remanesc!B141,IF($Z141,0,"")))</f>
        <v/>
      </c>
      <c r="G141" s="169" t="str">
        <f t="shared" si="73"/>
        <v/>
      </c>
      <c r="H141" s="171" t="str">
        <f>IF(A141="","",ROUND(SUMIFS(aditivos!$L$2:$L$200,aditivos!$A$2:$A$200,A141,aditivos!$C$2:$C$200,"C1"),2))</f>
        <v/>
      </c>
      <c r="I141" s="167" t="str">
        <f t="shared" si="74"/>
        <v/>
      </c>
      <c r="J141" s="167" t="str">
        <f>IF(A141="","",IF(itens_Remanesc!E141="","",itens_Remanesc!E141))</f>
        <v/>
      </c>
      <c r="K141" s="173" t="str">
        <f t="shared" si="75"/>
        <v/>
      </c>
      <c r="L141" s="165" t="str">
        <f>IF(A141="","",ROUND(SUMIFS(aditivos!$L$2:$L$200,aditivos!$A$2:$A$200,A141,aditivos!$C$2:$C$200,"C2"),2))</f>
        <v/>
      </c>
      <c r="M141" s="161" t="str">
        <f t="shared" si="76"/>
        <v/>
      </c>
      <c r="N141" s="161" t="str">
        <f>IF(A141="","",IF(itens_Remanesc!G141="","",itens_Remanesc!G141))</f>
        <v/>
      </c>
      <c r="O141" s="169" t="str">
        <f t="shared" si="77"/>
        <v/>
      </c>
      <c r="P141" s="171" t="str">
        <f>IF(A141="","",ROUND(SUMIFS(aditivos!$L$2:$L$200,aditivos!$A$2:$A$200,A141,aditivos!$C$2:$C$200,"C3"),2))</f>
        <v/>
      </c>
      <c r="Q141" s="167" t="str">
        <f t="shared" si="78"/>
        <v/>
      </c>
      <c r="R141" s="167" t="str">
        <f>IF(A141="","",IF(itens_Remanesc!I141="","",itens_Remanesc!I141))</f>
        <v/>
      </c>
      <c r="S141" s="173" t="str">
        <f t="shared" si="79"/>
        <v/>
      </c>
      <c r="T141" s="165" t="str">
        <f>IF(A141="","",ROUND(SUMIFS(aditivos!$L$2:$L$200,aditivos!$A$2:$A$200,A141,aditivos!$C$2:$C$200,"C4"),2))</f>
        <v/>
      </c>
      <c r="U141" s="161" t="str">
        <f t="shared" si="80"/>
        <v/>
      </c>
      <c r="V141" s="161" t="str">
        <f>IF(A141="","",IF(itens_Remanesc!K141="","",itens_Remanesc!K141))</f>
        <v/>
      </c>
      <c r="W141" s="161" t="str">
        <f t="shared" si="81"/>
        <v/>
      </c>
      <c r="X141" s="148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1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48" t="str">
        <f>IF(itens_Remanesc!A142="","",itens_Remanesc!A142)</f>
        <v/>
      </c>
      <c r="B142" s="200" t="str">
        <f>IF(A142="","",itens_Remanesc!C142)</f>
        <v/>
      </c>
      <c r="C142" s="163" t="str">
        <f>IF(A142="","",IF(itens_Remanesc!B142="",0,itens_Remanesc!B142))</f>
        <v/>
      </c>
      <c r="D142" s="165" t="str">
        <f>IF(A142="","",ROUND(SUMIFS(aditivos!$L$2:$L$200,aditivos!$A$2:$A$200,A142,aditivos!$C$2:$C$200,"C0"),2))</f>
        <v/>
      </c>
      <c r="E142" s="161" t="str">
        <f t="shared" si="72"/>
        <v/>
      </c>
      <c r="F142" s="161" t="str">
        <f>IF(A142="","",IF(itens_Remanesc!B142&lt;&gt;"",itens_Remanesc!B142,IF($Z142,0,"")))</f>
        <v/>
      </c>
      <c r="G142" s="169" t="str">
        <f t="shared" si="73"/>
        <v/>
      </c>
      <c r="H142" s="171" t="str">
        <f>IF(A142="","",ROUND(SUMIFS(aditivos!$L$2:$L$200,aditivos!$A$2:$A$200,A142,aditivos!$C$2:$C$200,"C1"),2))</f>
        <v/>
      </c>
      <c r="I142" s="167" t="str">
        <f t="shared" si="74"/>
        <v/>
      </c>
      <c r="J142" s="167" t="str">
        <f>IF(A142="","",IF(itens_Remanesc!E142="","",itens_Remanesc!E142))</f>
        <v/>
      </c>
      <c r="K142" s="173" t="str">
        <f t="shared" si="75"/>
        <v/>
      </c>
      <c r="L142" s="165" t="str">
        <f>IF(A142="","",ROUND(SUMIFS(aditivos!$L$2:$L$200,aditivos!$A$2:$A$200,A142,aditivos!$C$2:$C$200,"C2"),2))</f>
        <v/>
      </c>
      <c r="M142" s="161" t="str">
        <f t="shared" si="76"/>
        <v/>
      </c>
      <c r="N142" s="161" t="str">
        <f>IF(A142="","",IF(itens_Remanesc!G142="","",itens_Remanesc!G142))</f>
        <v/>
      </c>
      <c r="O142" s="169" t="str">
        <f t="shared" si="77"/>
        <v/>
      </c>
      <c r="P142" s="171" t="str">
        <f>IF(A142="","",ROUND(SUMIFS(aditivos!$L$2:$L$200,aditivos!$A$2:$A$200,A142,aditivos!$C$2:$C$200,"C3"),2))</f>
        <v/>
      </c>
      <c r="Q142" s="167" t="str">
        <f t="shared" si="78"/>
        <v/>
      </c>
      <c r="R142" s="167" t="str">
        <f>IF(A142="","",IF(itens_Remanesc!I142="","",itens_Remanesc!I142))</f>
        <v/>
      </c>
      <c r="S142" s="173" t="str">
        <f t="shared" si="79"/>
        <v/>
      </c>
      <c r="T142" s="165" t="str">
        <f>IF(A142="","",ROUND(SUMIFS(aditivos!$L$2:$L$200,aditivos!$A$2:$A$200,A142,aditivos!$C$2:$C$200,"C4"),2))</f>
        <v/>
      </c>
      <c r="U142" s="161" t="str">
        <f t="shared" si="80"/>
        <v/>
      </c>
      <c r="V142" s="161" t="str">
        <f>IF(A142="","",IF(itens_Remanesc!K142="","",itens_Remanesc!K142))</f>
        <v/>
      </c>
      <c r="W142" s="161" t="str">
        <f t="shared" si="81"/>
        <v/>
      </c>
      <c r="X142" s="148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1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48" t="str">
        <f>IF(itens_Remanesc!A143="","",itens_Remanesc!A143)</f>
        <v/>
      </c>
      <c r="B143" s="200" t="str">
        <f>IF(A143="","",itens_Remanesc!C143)</f>
        <v/>
      </c>
      <c r="C143" s="163" t="str">
        <f>IF(A143="","",IF(itens_Remanesc!B143="",0,itens_Remanesc!B143))</f>
        <v/>
      </c>
      <c r="D143" s="165" t="str">
        <f>IF(A143="","",ROUND(SUMIFS(aditivos!$L$2:$L$200,aditivos!$A$2:$A$200,A143,aditivos!$C$2:$C$200,"C0"),2))</f>
        <v/>
      </c>
      <c r="E143" s="161" t="str">
        <f t="shared" si="72"/>
        <v/>
      </c>
      <c r="F143" s="161" t="str">
        <f>IF(A143="","",IF(itens_Remanesc!B143&lt;&gt;"",itens_Remanesc!B143,IF($Z143,0,"")))</f>
        <v/>
      </c>
      <c r="G143" s="169" t="str">
        <f t="shared" si="73"/>
        <v/>
      </c>
      <c r="H143" s="171" t="str">
        <f>IF(A143="","",ROUND(SUMIFS(aditivos!$L$2:$L$200,aditivos!$A$2:$A$200,A143,aditivos!$C$2:$C$200,"C1"),2))</f>
        <v/>
      </c>
      <c r="I143" s="167" t="str">
        <f t="shared" si="74"/>
        <v/>
      </c>
      <c r="J143" s="167" t="str">
        <f>IF(A143="","",IF(itens_Remanesc!E143="","",itens_Remanesc!E143))</f>
        <v/>
      </c>
      <c r="K143" s="173" t="str">
        <f t="shared" si="75"/>
        <v/>
      </c>
      <c r="L143" s="165" t="str">
        <f>IF(A143="","",ROUND(SUMIFS(aditivos!$L$2:$L$200,aditivos!$A$2:$A$200,A143,aditivos!$C$2:$C$200,"C2"),2))</f>
        <v/>
      </c>
      <c r="M143" s="161" t="str">
        <f t="shared" si="76"/>
        <v/>
      </c>
      <c r="N143" s="161" t="str">
        <f>IF(A143="","",IF(itens_Remanesc!G143="","",itens_Remanesc!G143))</f>
        <v/>
      </c>
      <c r="O143" s="169" t="str">
        <f t="shared" si="77"/>
        <v/>
      </c>
      <c r="P143" s="171" t="str">
        <f>IF(A143="","",ROUND(SUMIFS(aditivos!$L$2:$L$200,aditivos!$A$2:$A$200,A143,aditivos!$C$2:$C$200,"C3"),2))</f>
        <v/>
      </c>
      <c r="Q143" s="167" t="str">
        <f t="shared" si="78"/>
        <v/>
      </c>
      <c r="R143" s="167" t="str">
        <f>IF(A143="","",IF(itens_Remanesc!I143="","",itens_Remanesc!I143))</f>
        <v/>
      </c>
      <c r="S143" s="173" t="str">
        <f t="shared" si="79"/>
        <v/>
      </c>
      <c r="T143" s="165" t="str">
        <f>IF(A143="","",ROUND(SUMIFS(aditivos!$L$2:$L$200,aditivos!$A$2:$A$200,A143,aditivos!$C$2:$C$200,"C4"),2))</f>
        <v/>
      </c>
      <c r="U143" s="161" t="str">
        <f t="shared" si="80"/>
        <v/>
      </c>
      <c r="V143" s="161" t="str">
        <f>IF(A143="","",IF(itens_Remanesc!K143="","",itens_Remanesc!K143))</f>
        <v/>
      </c>
      <c r="W143" s="161" t="str">
        <f t="shared" si="81"/>
        <v/>
      </c>
      <c r="X143" s="148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1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48" t="str">
        <f>IF(itens_Remanesc!A144="","",itens_Remanesc!A144)</f>
        <v/>
      </c>
      <c r="B144" s="200" t="str">
        <f>IF(A144="","",itens_Remanesc!C144)</f>
        <v/>
      </c>
      <c r="C144" s="163" t="str">
        <f>IF(A144="","",IF(itens_Remanesc!B144="",0,itens_Remanesc!B144))</f>
        <v/>
      </c>
      <c r="D144" s="165" t="str">
        <f>IF(A144="","",ROUND(SUMIFS(aditivos!$L$2:$L$200,aditivos!$A$2:$A$200,A144,aditivos!$C$2:$C$200,"C0"),2))</f>
        <v/>
      </c>
      <c r="E144" s="161" t="str">
        <f t="shared" si="72"/>
        <v/>
      </c>
      <c r="F144" s="161" t="str">
        <f>IF(A144="","",IF(itens_Remanesc!B144&lt;&gt;"",itens_Remanesc!B144,IF($Z144,0,"")))</f>
        <v/>
      </c>
      <c r="G144" s="169" t="str">
        <f t="shared" si="73"/>
        <v/>
      </c>
      <c r="H144" s="171" t="str">
        <f>IF(A144="","",ROUND(SUMIFS(aditivos!$L$2:$L$200,aditivos!$A$2:$A$200,A144,aditivos!$C$2:$C$200,"C1"),2))</f>
        <v/>
      </c>
      <c r="I144" s="167" t="str">
        <f t="shared" si="74"/>
        <v/>
      </c>
      <c r="J144" s="167" t="str">
        <f>IF(A144="","",IF(itens_Remanesc!E144="","",itens_Remanesc!E144))</f>
        <v/>
      </c>
      <c r="K144" s="173" t="str">
        <f t="shared" si="75"/>
        <v/>
      </c>
      <c r="L144" s="165" t="str">
        <f>IF(A144="","",ROUND(SUMIFS(aditivos!$L$2:$L$200,aditivos!$A$2:$A$200,A144,aditivos!$C$2:$C$200,"C2"),2))</f>
        <v/>
      </c>
      <c r="M144" s="161" t="str">
        <f t="shared" si="76"/>
        <v/>
      </c>
      <c r="N144" s="161" t="str">
        <f>IF(A144="","",IF(itens_Remanesc!G144="","",itens_Remanesc!G144))</f>
        <v/>
      </c>
      <c r="O144" s="169" t="str">
        <f t="shared" si="77"/>
        <v/>
      </c>
      <c r="P144" s="171" t="str">
        <f>IF(A144="","",ROUND(SUMIFS(aditivos!$L$2:$L$200,aditivos!$A$2:$A$200,A144,aditivos!$C$2:$C$200,"C3"),2))</f>
        <v/>
      </c>
      <c r="Q144" s="167" t="str">
        <f t="shared" si="78"/>
        <v/>
      </c>
      <c r="R144" s="167" t="str">
        <f>IF(A144="","",IF(itens_Remanesc!I144="","",itens_Remanesc!I144))</f>
        <v/>
      </c>
      <c r="S144" s="173" t="str">
        <f t="shared" si="79"/>
        <v/>
      </c>
      <c r="T144" s="165" t="str">
        <f>IF(A144="","",ROUND(SUMIFS(aditivos!$L$2:$L$200,aditivos!$A$2:$A$200,A144,aditivos!$C$2:$C$200,"C4"),2))</f>
        <v/>
      </c>
      <c r="U144" s="161" t="str">
        <f t="shared" si="80"/>
        <v/>
      </c>
      <c r="V144" s="161" t="str">
        <f>IF(A144="","",IF(itens_Remanesc!K144="","",itens_Remanesc!K144))</f>
        <v/>
      </c>
      <c r="W144" s="161" t="str">
        <f t="shared" si="81"/>
        <v/>
      </c>
      <c r="X144" s="148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1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48" t="str">
        <f>IF(itens_Remanesc!A145="","",itens_Remanesc!A145)</f>
        <v/>
      </c>
      <c r="B145" s="200" t="str">
        <f>IF(A145="","",itens_Remanesc!C145)</f>
        <v/>
      </c>
      <c r="C145" s="163" t="str">
        <f>IF(A145="","",IF(itens_Remanesc!B145="",0,itens_Remanesc!B145))</f>
        <v/>
      </c>
      <c r="D145" s="165" t="str">
        <f>IF(A145="","",ROUND(SUMIFS(aditivos!$L$2:$L$200,aditivos!$A$2:$A$200,A145,aditivos!$C$2:$C$200,"C0"),2))</f>
        <v/>
      </c>
      <c r="E145" s="161" t="str">
        <f t="shared" si="72"/>
        <v/>
      </c>
      <c r="F145" s="161" t="str">
        <f>IF(A145="","",IF(itens_Remanesc!B145&lt;&gt;"",itens_Remanesc!B145,IF($Z145,0,"")))</f>
        <v/>
      </c>
      <c r="G145" s="169" t="str">
        <f t="shared" si="73"/>
        <v/>
      </c>
      <c r="H145" s="171" t="str">
        <f>IF(A145="","",ROUND(SUMIFS(aditivos!$L$2:$L$200,aditivos!$A$2:$A$200,A145,aditivos!$C$2:$C$200,"C1"),2))</f>
        <v/>
      </c>
      <c r="I145" s="167" t="str">
        <f t="shared" si="74"/>
        <v/>
      </c>
      <c r="J145" s="167" t="str">
        <f>IF(A145="","",IF(itens_Remanesc!E145="","",itens_Remanesc!E145))</f>
        <v/>
      </c>
      <c r="K145" s="173" t="str">
        <f t="shared" si="75"/>
        <v/>
      </c>
      <c r="L145" s="165" t="str">
        <f>IF(A145="","",ROUND(SUMIFS(aditivos!$L$2:$L$200,aditivos!$A$2:$A$200,A145,aditivos!$C$2:$C$200,"C2"),2))</f>
        <v/>
      </c>
      <c r="M145" s="161" t="str">
        <f t="shared" si="76"/>
        <v/>
      </c>
      <c r="N145" s="161" t="str">
        <f>IF(A145="","",IF(itens_Remanesc!G145="","",itens_Remanesc!G145))</f>
        <v/>
      </c>
      <c r="O145" s="169" t="str">
        <f t="shared" si="77"/>
        <v/>
      </c>
      <c r="P145" s="171" t="str">
        <f>IF(A145="","",ROUND(SUMIFS(aditivos!$L$2:$L$200,aditivos!$A$2:$A$200,A145,aditivos!$C$2:$C$200,"C3"),2))</f>
        <v/>
      </c>
      <c r="Q145" s="167" t="str">
        <f t="shared" si="78"/>
        <v/>
      </c>
      <c r="R145" s="167" t="str">
        <f>IF(A145="","",IF(itens_Remanesc!I145="","",itens_Remanesc!I145))</f>
        <v/>
      </c>
      <c r="S145" s="173" t="str">
        <f t="shared" si="79"/>
        <v/>
      </c>
      <c r="T145" s="165" t="str">
        <f>IF(A145="","",ROUND(SUMIFS(aditivos!$L$2:$L$200,aditivos!$A$2:$A$200,A145,aditivos!$C$2:$C$200,"C4"),2))</f>
        <v/>
      </c>
      <c r="U145" s="161" t="str">
        <f t="shared" si="80"/>
        <v/>
      </c>
      <c r="V145" s="161" t="str">
        <f>IF(A145="","",IF(itens_Remanesc!K145="","",itens_Remanesc!K145))</f>
        <v/>
      </c>
      <c r="W145" s="161" t="str">
        <f t="shared" si="81"/>
        <v/>
      </c>
      <c r="X145" s="148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1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48" t="str">
        <f>IF(itens_Remanesc!A146="","",itens_Remanesc!A146)</f>
        <v/>
      </c>
      <c r="B146" s="200" t="str">
        <f>IF(A146="","",itens_Remanesc!C146)</f>
        <v/>
      </c>
      <c r="C146" s="163" t="str">
        <f>IF(A146="","",IF(itens_Remanesc!B146="",0,itens_Remanesc!B146))</f>
        <v/>
      </c>
      <c r="D146" s="165" t="str">
        <f>IF(A146="","",ROUND(SUMIFS(aditivos!$L$2:$L$200,aditivos!$A$2:$A$200,A146,aditivos!$C$2:$C$200,"C0"),2))</f>
        <v/>
      </c>
      <c r="E146" s="161" t="str">
        <f t="shared" si="72"/>
        <v/>
      </c>
      <c r="F146" s="161" t="str">
        <f>IF(A146="","",IF(itens_Remanesc!B146&lt;&gt;"",itens_Remanesc!B146,IF($Z146,0,"")))</f>
        <v/>
      </c>
      <c r="G146" s="169" t="str">
        <f t="shared" si="73"/>
        <v/>
      </c>
      <c r="H146" s="171" t="str">
        <f>IF(A146="","",ROUND(SUMIFS(aditivos!$L$2:$L$200,aditivos!$A$2:$A$200,A146,aditivos!$C$2:$C$200,"C1"),2))</f>
        <v/>
      </c>
      <c r="I146" s="167" t="str">
        <f t="shared" si="74"/>
        <v/>
      </c>
      <c r="J146" s="167" t="str">
        <f>IF(A146="","",IF(itens_Remanesc!E146="","",itens_Remanesc!E146))</f>
        <v/>
      </c>
      <c r="K146" s="173" t="str">
        <f t="shared" si="75"/>
        <v/>
      </c>
      <c r="L146" s="165" t="str">
        <f>IF(A146="","",ROUND(SUMIFS(aditivos!$L$2:$L$200,aditivos!$A$2:$A$200,A146,aditivos!$C$2:$C$200,"C2"),2))</f>
        <v/>
      </c>
      <c r="M146" s="161" t="str">
        <f t="shared" si="76"/>
        <v/>
      </c>
      <c r="N146" s="161" t="str">
        <f>IF(A146="","",IF(itens_Remanesc!G146="","",itens_Remanesc!G146))</f>
        <v/>
      </c>
      <c r="O146" s="169" t="str">
        <f t="shared" si="77"/>
        <v/>
      </c>
      <c r="P146" s="171" t="str">
        <f>IF(A146="","",ROUND(SUMIFS(aditivos!$L$2:$L$200,aditivos!$A$2:$A$200,A146,aditivos!$C$2:$C$200,"C3"),2))</f>
        <v/>
      </c>
      <c r="Q146" s="167" t="str">
        <f t="shared" si="78"/>
        <v/>
      </c>
      <c r="R146" s="167" t="str">
        <f>IF(A146="","",IF(itens_Remanesc!I146="","",itens_Remanesc!I146))</f>
        <v/>
      </c>
      <c r="S146" s="173" t="str">
        <f t="shared" si="79"/>
        <v/>
      </c>
      <c r="T146" s="165" t="str">
        <f>IF(A146="","",ROUND(SUMIFS(aditivos!$L$2:$L$200,aditivos!$A$2:$A$200,A146,aditivos!$C$2:$C$200,"C4"),2))</f>
        <v/>
      </c>
      <c r="U146" s="161" t="str">
        <f t="shared" si="80"/>
        <v/>
      </c>
      <c r="V146" s="161" t="str">
        <f>IF(A146="","",IF(itens_Remanesc!K146="","",itens_Remanesc!K146))</f>
        <v/>
      </c>
      <c r="W146" s="161" t="str">
        <f t="shared" si="81"/>
        <v/>
      </c>
      <c r="X146" s="148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1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48" t="str">
        <f>IF(itens_Remanesc!A147="","",itens_Remanesc!A147)</f>
        <v/>
      </c>
      <c r="B147" s="200" t="str">
        <f>IF(A147="","",itens_Remanesc!C147)</f>
        <v/>
      </c>
      <c r="C147" s="163" t="str">
        <f>IF(A147="","",IF(itens_Remanesc!B147="",0,itens_Remanesc!B147))</f>
        <v/>
      </c>
      <c r="D147" s="165" t="str">
        <f>IF(A147="","",ROUND(SUMIFS(aditivos!$L$2:$L$200,aditivos!$A$2:$A$200,A147,aditivos!$C$2:$C$200,"C0"),2))</f>
        <v/>
      </c>
      <c r="E147" s="161" t="str">
        <f t="shared" si="72"/>
        <v/>
      </c>
      <c r="F147" s="161" t="str">
        <f>IF(A147="","",IF(itens_Remanesc!B147&lt;&gt;"",itens_Remanesc!B147,IF($Z147,0,"")))</f>
        <v/>
      </c>
      <c r="G147" s="169" t="str">
        <f t="shared" si="73"/>
        <v/>
      </c>
      <c r="H147" s="171" t="str">
        <f>IF(A147="","",ROUND(SUMIFS(aditivos!$L$2:$L$200,aditivos!$A$2:$A$200,A147,aditivos!$C$2:$C$200,"C1"),2))</f>
        <v/>
      </c>
      <c r="I147" s="167" t="str">
        <f t="shared" si="74"/>
        <v/>
      </c>
      <c r="J147" s="167" t="str">
        <f>IF(A147="","",IF(itens_Remanesc!E147="","",itens_Remanesc!E147))</f>
        <v/>
      </c>
      <c r="K147" s="173" t="str">
        <f t="shared" si="75"/>
        <v/>
      </c>
      <c r="L147" s="165" t="str">
        <f>IF(A147="","",ROUND(SUMIFS(aditivos!$L$2:$L$200,aditivos!$A$2:$A$200,A147,aditivos!$C$2:$C$200,"C2"),2))</f>
        <v/>
      </c>
      <c r="M147" s="161" t="str">
        <f t="shared" si="76"/>
        <v/>
      </c>
      <c r="N147" s="161" t="str">
        <f>IF(A147="","",IF(itens_Remanesc!G147="","",itens_Remanesc!G147))</f>
        <v/>
      </c>
      <c r="O147" s="169" t="str">
        <f t="shared" si="77"/>
        <v/>
      </c>
      <c r="P147" s="171" t="str">
        <f>IF(A147="","",ROUND(SUMIFS(aditivos!$L$2:$L$200,aditivos!$A$2:$A$200,A147,aditivos!$C$2:$C$200,"C3"),2))</f>
        <v/>
      </c>
      <c r="Q147" s="167" t="str">
        <f t="shared" si="78"/>
        <v/>
      </c>
      <c r="R147" s="167" t="str">
        <f>IF(A147="","",IF(itens_Remanesc!I147="","",itens_Remanesc!I147))</f>
        <v/>
      </c>
      <c r="S147" s="173" t="str">
        <f t="shared" si="79"/>
        <v/>
      </c>
      <c r="T147" s="165" t="str">
        <f>IF(A147="","",ROUND(SUMIFS(aditivos!$L$2:$L$200,aditivos!$A$2:$A$200,A147,aditivos!$C$2:$C$200,"C4"),2))</f>
        <v/>
      </c>
      <c r="U147" s="161" t="str">
        <f t="shared" si="80"/>
        <v/>
      </c>
      <c r="V147" s="161" t="str">
        <f>IF(A147="","",IF(itens_Remanesc!K147="","",itens_Remanesc!K147))</f>
        <v/>
      </c>
      <c r="W147" s="161" t="str">
        <f t="shared" si="81"/>
        <v/>
      </c>
      <c r="X147" s="148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1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48" t="str">
        <f>IF(itens_Remanesc!A148="","",itens_Remanesc!A148)</f>
        <v/>
      </c>
      <c r="B148" s="200" t="str">
        <f>IF(A148="","",itens_Remanesc!C148)</f>
        <v/>
      </c>
      <c r="C148" s="163" t="str">
        <f>IF(A148="","",IF(itens_Remanesc!B148="",0,itens_Remanesc!B148))</f>
        <v/>
      </c>
      <c r="D148" s="165" t="str">
        <f>IF(A148="","",ROUND(SUMIFS(aditivos!$L$2:$L$200,aditivos!$A$2:$A$200,A148,aditivos!$C$2:$C$200,"C0"),2))</f>
        <v/>
      </c>
      <c r="E148" s="161" t="str">
        <f t="shared" si="72"/>
        <v/>
      </c>
      <c r="F148" s="161" t="str">
        <f>IF(A148="","",IF(itens_Remanesc!B148&lt;&gt;"",itens_Remanesc!B148,IF($Z148,0,"")))</f>
        <v/>
      </c>
      <c r="G148" s="169" t="str">
        <f t="shared" si="73"/>
        <v/>
      </c>
      <c r="H148" s="171" t="str">
        <f>IF(A148="","",ROUND(SUMIFS(aditivos!$L$2:$L$200,aditivos!$A$2:$A$200,A148,aditivos!$C$2:$C$200,"C1"),2))</f>
        <v/>
      </c>
      <c r="I148" s="167" t="str">
        <f t="shared" si="74"/>
        <v/>
      </c>
      <c r="J148" s="167" t="str">
        <f>IF(A148="","",IF(itens_Remanesc!E148="","",itens_Remanesc!E148))</f>
        <v/>
      </c>
      <c r="K148" s="173" t="str">
        <f t="shared" si="75"/>
        <v/>
      </c>
      <c r="L148" s="165" t="str">
        <f>IF(A148="","",ROUND(SUMIFS(aditivos!$L$2:$L$200,aditivos!$A$2:$A$200,A148,aditivos!$C$2:$C$200,"C2"),2))</f>
        <v/>
      </c>
      <c r="M148" s="161" t="str">
        <f t="shared" si="76"/>
        <v/>
      </c>
      <c r="N148" s="161" t="str">
        <f>IF(A148="","",IF(itens_Remanesc!G148="","",itens_Remanesc!G148))</f>
        <v/>
      </c>
      <c r="O148" s="169" t="str">
        <f t="shared" si="77"/>
        <v/>
      </c>
      <c r="P148" s="171" t="str">
        <f>IF(A148="","",ROUND(SUMIFS(aditivos!$L$2:$L$200,aditivos!$A$2:$A$200,A148,aditivos!$C$2:$C$200,"C3"),2))</f>
        <v/>
      </c>
      <c r="Q148" s="167" t="str">
        <f t="shared" si="78"/>
        <v/>
      </c>
      <c r="R148" s="167" t="str">
        <f>IF(A148="","",IF(itens_Remanesc!I148="","",itens_Remanesc!I148))</f>
        <v/>
      </c>
      <c r="S148" s="173" t="str">
        <f t="shared" si="79"/>
        <v/>
      </c>
      <c r="T148" s="165" t="str">
        <f>IF(A148="","",ROUND(SUMIFS(aditivos!$L$2:$L$200,aditivos!$A$2:$A$200,A148,aditivos!$C$2:$C$200,"C4"),2))</f>
        <v/>
      </c>
      <c r="U148" s="161" t="str">
        <f t="shared" si="80"/>
        <v/>
      </c>
      <c r="V148" s="161" t="str">
        <f>IF(A148="","",IF(itens_Remanesc!K148="","",itens_Remanesc!K148))</f>
        <v/>
      </c>
      <c r="W148" s="161" t="str">
        <f t="shared" si="81"/>
        <v/>
      </c>
      <c r="X148" s="148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1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48" t="str">
        <f>IF(itens_Remanesc!A149="","",itens_Remanesc!A149)</f>
        <v/>
      </c>
      <c r="B149" s="200" t="str">
        <f>IF(A149="","",itens_Remanesc!C149)</f>
        <v/>
      </c>
      <c r="C149" s="163" t="str">
        <f>IF(A149="","",IF(itens_Remanesc!B149="",0,itens_Remanesc!B149))</f>
        <v/>
      </c>
      <c r="D149" s="165" t="str">
        <f>IF(A149="","",ROUND(SUMIFS(aditivos!$L$2:$L$200,aditivos!$A$2:$A$200,A149,aditivos!$C$2:$C$200,"C0"),2))</f>
        <v/>
      </c>
      <c r="E149" s="161" t="str">
        <f t="shared" si="72"/>
        <v/>
      </c>
      <c r="F149" s="161" t="str">
        <f>IF(A149="","",IF(itens_Remanesc!B149&lt;&gt;"",itens_Remanesc!B149,IF($Z149,0,"")))</f>
        <v/>
      </c>
      <c r="G149" s="169" t="str">
        <f t="shared" si="73"/>
        <v/>
      </c>
      <c r="H149" s="171" t="str">
        <f>IF(A149="","",ROUND(SUMIFS(aditivos!$L$2:$L$200,aditivos!$A$2:$A$200,A149,aditivos!$C$2:$C$200,"C1"),2))</f>
        <v/>
      </c>
      <c r="I149" s="167" t="str">
        <f t="shared" si="74"/>
        <v/>
      </c>
      <c r="J149" s="167" t="str">
        <f>IF(A149="","",IF(itens_Remanesc!E149="","",itens_Remanesc!E149))</f>
        <v/>
      </c>
      <c r="K149" s="173" t="str">
        <f t="shared" si="75"/>
        <v/>
      </c>
      <c r="L149" s="165" t="str">
        <f>IF(A149="","",ROUND(SUMIFS(aditivos!$L$2:$L$200,aditivos!$A$2:$A$200,A149,aditivos!$C$2:$C$200,"C2"),2))</f>
        <v/>
      </c>
      <c r="M149" s="161" t="str">
        <f t="shared" si="76"/>
        <v/>
      </c>
      <c r="N149" s="161" t="str">
        <f>IF(A149="","",IF(itens_Remanesc!G149="","",itens_Remanesc!G149))</f>
        <v/>
      </c>
      <c r="O149" s="169" t="str">
        <f t="shared" si="77"/>
        <v/>
      </c>
      <c r="P149" s="171" t="str">
        <f>IF(A149="","",ROUND(SUMIFS(aditivos!$L$2:$L$200,aditivos!$A$2:$A$200,A149,aditivos!$C$2:$C$200,"C3"),2))</f>
        <v/>
      </c>
      <c r="Q149" s="167" t="str">
        <f t="shared" si="78"/>
        <v/>
      </c>
      <c r="R149" s="167" t="str">
        <f>IF(A149="","",IF(itens_Remanesc!I149="","",itens_Remanesc!I149))</f>
        <v/>
      </c>
      <c r="S149" s="173" t="str">
        <f t="shared" si="79"/>
        <v/>
      </c>
      <c r="T149" s="165" t="str">
        <f>IF(A149="","",ROUND(SUMIFS(aditivos!$L$2:$L$200,aditivos!$A$2:$A$200,A149,aditivos!$C$2:$C$200,"C4"),2))</f>
        <v/>
      </c>
      <c r="U149" s="161" t="str">
        <f t="shared" si="80"/>
        <v/>
      </c>
      <c r="V149" s="161" t="str">
        <f>IF(A149="","",IF(itens_Remanesc!K149="","",itens_Remanesc!K149))</f>
        <v/>
      </c>
      <c r="W149" s="161" t="str">
        <f t="shared" si="81"/>
        <v/>
      </c>
      <c r="X149" s="148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1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48" t="str">
        <f>IF(itens_Remanesc!A150="","",itens_Remanesc!A150)</f>
        <v/>
      </c>
      <c r="B150" s="200" t="str">
        <f>IF(A150="","",itens_Remanesc!C150)</f>
        <v/>
      </c>
      <c r="C150" s="163" t="str">
        <f>IF(A150="","",IF(itens_Remanesc!B150="",0,itens_Remanesc!B150))</f>
        <v/>
      </c>
      <c r="D150" s="165" t="str">
        <f>IF(A150="","",ROUND(SUMIFS(aditivos!$L$2:$L$200,aditivos!$A$2:$A$200,A150,aditivos!$C$2:$C$200,"C0"),2))</f>
        <v/>
      </c>
      <c r="E150" s="161" t="str">
        <f t="shared" si="72"/>
        <v/>
      </c>
      <c r="F150" s="161" t="str">
        <f>IF(A150="","",IF(itens_Remanesc!B150&lt;&gt;"",itens_Remanesc!B150,IF($Z150,0,"")))</f>
        <v/>
      </c>
      <c r="G150" s="169" t="str">
        <f t="shared" si="73"/>
        <v/>
      </c>
      <c r="H150" s="171" t="str">
        <f>IF(A150="","",ROUND(SUMIFS(aditivos!$L$2:$L$200,aditivos!$A$2:$A$200,A150,aditivos!$C$2:$C$200,"C1"),2))</f>
        <v/>
      </c>
      <c r="I150" s="167" t="str">
        <f t="shared" si="74"/>
        <v/>
      </c>
      <c r="J150" s="167" t="str">
        <f>IF(A150="","",IF(itens_Remanesc!E150="","",itens_Remanesc!E150))</f>
        <v/>
      </c>
      <c r="K150" s="173" t="str">
        <f t="shared" si="75"/>
        <v/>
      </c>
      <c r="L150" s="165" t="str">
        <f>IF(A150="","",ROUND(SUMIFS(aditivos!$L$2:$L$200,aditivos!$A$2:$A$200,A150,aditivos!$C$2:$C$200,"C2"),2))</f>
        <v/>
      </c>
      <c r="M150" s="161" t="str">
        <f t="shared" si="76"/>
        <v/>
      </c>
      <c r="N150" s="161" t="str">
        <f>IF(A150="","",IF(itens_Remanesc!G150="","",itens_Remanesc!G150))</f>
        <v/>
      </c>
      <c r="O150" s="169" t="str">
        <f t="shared" si="77"/>
        <v/>
      </c>
      <c r="P150" s="171" t="str">
        <f>IF(A150="","",ROUND(SUMIFS(aditivos!$L$2:$L$200,aditivos!$A$2:$A$200,A150,aditivos!$C$2:$C$200,"C3"),2))</f>
        <v/>
      </c>
      <c r="Q150" s="167" t="str">
        <f t="shared" si="78"/>
        <v/>
      </c>
      <c r="R150" s="167" t="str">
        <f>IF(A150="","",IF(itens_Remanesc!I150="","",itens_Remanesc!I150))</f>
        <v/>
      </c>
      <c r="S150" s="173" t="str">
        <f t="shared" si="79"/>
        <v/>
      </c>
      <c r="T150" s="165" t="str">
        <f>IF(A150="","",ROUND(SUMIFS(aditivos!$L$2:$L$200,aditivos!$A$2:$A$200,A150,aditivos!$C$2:$C$200,"C4"),2))</f>
        <v/>
      </c>
      <c r="U150" s="161" t="str">
        <f t="shared" si="80"/>
        <v/>
      </c>
      <c r="V150" s="161" t="str">
        <f>IF(A150="","",IF(itens_Remanesc!K150="","",itens_Remanesc!K150))</f>
        <v/>
      </c>
      <c r="W150" s="161" t="str">
        <f t="shared" si="81"/>
        <v/>
      </c>
      <c r="X150" s="148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1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48" t="str">
        <f>IF(itens_Remanesc!A151="","",itens_Remanesc!A151)</f>
        <v/>
      </c>
      <c r="B151" s="200" t="str">
        <f>IF(A151="","",itens_Remanesc!C151)</f>
        <v/>
      </c>
      <c r="C151" s="163" t="str">
        <f>IF(A151="","",IF(itens_Remanesc!B151="",0,itens_Remanesc!B151))</f>
        <v/>
      </c>
      <c r="D151" s="165" t="str">
        <f>IF(A151="","",ROUND(SUMIFS(aditivos!$L$2:$L$200,aditivos!$A$2:$A$200,A151,aditivos!$C$2:$C$200,"C0"),2))</f>
        <v/>
      </c>
      <c r="E151" s="161" t="str">
        <f t="shared" si="72"/>
        <v/>
      </c>
      <c r="F151" s="161" t="str">
        <f>IF(A151="","",IF(itens_Remanesc!B151&lt;&gt;"",itens_Remanesc!B151,IF($Z151,0,"")))</f>
        <v/>
      </c>
      <c r="G151" s="169" t="str">
        <f t="shared" si="73"/>
        <v/>
      </c>
      <c r="H151" s="171" t="str">
        <f>IF(A151="","",ROUND(SUMIFS(aditivos!$L$2:$L$200,aditivos!$A$2:$A$200,A151,aditivos!$C$2:$C$200,"C1"),2))</f>
        <v/>
      </c>
      <c r="I151" s="167" t="str">
        <f t="shared" si="74"/>
        <v/>
      </c>
      <c r="J151" s="167" t="str">
        <f>IF(A151="","",IF(itens_Remanesc!E151="","",itens_Remanesc!E151))</f>
        <v/>
      </c>
      <c r="K151" s="173" t="str">
        <f t="shared" si="75"/>
        <v/>
      </c>
      <c r="L151" s="165" t="str">
        <f>IF(A151="","",ROUND(SUMIFS(aditivos!$L$2:$L$200,aditivos!$A$2:$A$200,A151,aditivos!$C$2:$C$200,"C2"),2))</f>
        <v/>
      </c>
      <c r="M151" s="161" t="str">
        <f t="shared" si="76"/>
        <v/>
      </c>
      <c r="N151" s="161" t="str">
        <f>IF(A151="","",IF(itens_Remanesc!G151="","",itens_Remanesc!G151))</f>
        <v/>
      </c>
      <c r="O151" s="169" t="str">
        <f t="shared" si="77"/>
        <v/>
      </c>
      <c r="P151" s="171" t="str">
        <f>IF(A151="","",ROUND(SUMIFS(aditivos!$L$2:$L$200,aditivos!$A$2:$A$200,A151,aditivos!$C$2:$C$200,"C3"),2))</f>
        <v/>
      </c>
      <c r="Q151" s="167" t="str">
        <f t="shared" si="78"/>
        <v/>
      </c>
      <c r="R151" s="167" t="str">
        <f>IF(A151="","",IF(itens_Remanesc!I151="","",itens_Remanesc!I151))</f>
        <v/>
      </c>
      <c r="S151" s="173" t="str">
        <f t="shared" si="79"/>
        <v/>
      </c>
      <c r="T151" s="165" t="str">
        <f>IF(A151="","",ROUND(SUMIFS(aditivos!$L$2:$L$200,aditivos!$A$2:$A$200,A151,aditivos!$C$2:$C$200,"C4"),2))</f>
        <v/>
      </c>
      <c r="U151" s="161" t="str">
        <f t="shared" si="80"/>
        <v/>
      </c>
      <c r="V151" s="161" t="str">
        <f>IF(A151="","",IF(itens_Remanesc!K151="","",itens_Remanesc!K151))</f>
        <v/>
      </c>
      <c r="W151" s="161" t="str">
        <f t="shared" si="81"/>
        <v/>
      </c>
      <c r="X151" s="148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1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48" t="str">
        <f>IF(itens_Remanesc!A152="","",itens_Remanesc!A152)</f>
        <v/>
      </c>
      <c r="B152" s="200" t="str">
        <f>IF(A152="","",itens_Remanesc!C152)</f>
        <v/>
      </c>
      <c r="C152" s="163" t="str">
        <f>IF(A152="","",IF(itens_Remanesc!B152="",0,itens_Remanesc!B152))</f>
        <v/>
      </c>
      <c r="D152" s="165" t="str">
        <f>IF(A152="","",ROUND(SUMIFS(aditivos!$L$2:$L$200,aditivos!$A$2:$A$200,A152,aditivos!$C$2:$C$200,"C0"),2))</f>
        <v/>
      </c>
      <c r="E152" s="161" t="str">
        <f t="shared" si="72"/>
        <v/>
      </c>
      <c r="F152" s="161" t="str">
        <f>IF(A152="","",IF(itens_Remanesc!B152&lt;&gt;"",itens_Remanesc!B152,IF($Z152,0,"")))</f>
        <v/>
      </c>
      <c r="G152" s="169" t="str">
        <f t="shared" si="73"/>
        <v/>
      </c>
      <c r="H152" s="171" t="str">
        <f>IF(A152="","",ROUND(SUMIFS(aditivos!$L$2:$L$200,aditivos!$A$2:$A$200,A152,aditivos!$C$2:$C$200,"C1"),2))</f>
        <v/>
      </c>
      <c r="I152" s="167" t="str">
        <f t="shared" si="74"/>
        <v/>
      </c>
      <c r="J152" s="167" t="str">
        <f>IF(A152="","",IF(itens_Remanesc!E152="","",itens_Remanesc!E152))</f>
        <v/>
      </c>
      <c r="K152" s="173" t="str">
        <f t="shared" si="75"/>
        <v/>
      </c>
      <c r="L152" s="165" t="str">
        <f>IF(A152="","",ROUND(SUMIFS(aditivos!$L$2:$L$200,aditivos!$A$2:$A$200,A152,aditivos!$C$2:$C$200,"C2"),2))</f>
        <v/>
      </c>
      <c r="M152" s="161" t="str">
        <f t="shared" si="76"/>
        <v/>
      </c>
      <c r="N152" s="161" t="str">
        <f>IF(A152="","",IF(itens_Remanesc!G152="","",itens_Remanesc!G152))</f>
        <v/>
      </c>
      <c r="O152" s="169" t="str">
        <f t="shared" si="77"/>
        <v/>
      </c>
      <c r="P152" s="171" t="str">
        <f>IF(A152="","",ROUND(SUMIFS(aditivos!$L$2:$L$200,aditivos!$A$2:$A$200,A152,aditivos!$C$2:$C$200,"C3"),2))</f>
        <v/>
      </c>
      <c r="Q152" s="167" t="str">
        <f t="shared" si="78"/>
        <v/>
      </c>
      <c r="R152" s="167" t="str">
        <f>IF(A152="","",IF(itens_Remanesc!I152="","",itens_Remanesc!I152))</f>
        <v/>
      </c>
      <c r="S152" s="173" t="str">
        <f t="shared" si="79"/>
        <v/>
      </c>
      <c r="T152" s="165" t="str">
        <f>IF(A152="","",ROUND(SUMIFS(aditivos!$L$2:$L$200,aditivos!$A$2:$A$200,A152,aditivos!$C$2:$C$200,"C4"),2))</f>
        <v/>
      </c>
      <c r="U152" s="161" t="str">
        <f t="shared" si="80"/>
        <v/>
      </c>
      <c r="V152" s="161" t="str">
        <f>IF(A152="","",IF(itens_Remanesc!K152="","",itens_Remanesc!K152))</f>
        <v/>
      </c>
      <c r="W152" s="161" t="str">
        <f t="shared" si="81"/>
        <v/>
      </c>
      <c r="X152" s="148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1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48" t="str">
        <f>IF(itens_Remanesc!A153="","",itens_Remanesc!A153)</f>
        <v/>
      </c>
      <c r="B153" s="200" t="str">
        <f>IF(A153="","",itens_Remanesc!C153)</f>
        <v/>
      </c>
      <c r="C153" s="163" t="str">
        <f>IF(A153="","",IF(itens_Remanesc!B153="",0,itens_Remanesc!B153))</f>
        <v/>
      </c>
      <c r="D153" s="165" t="str">
        <f>IF(A153="","",ROUND(SUMIFS(aditivos!$L$2:$L$200,aditivos!$A$2:$A$200,A153,aditivos!$C$2:$C$200,"C0"),2))</f>
        <v/>
      </c>
      <c r="E153" s="161" t="str">
        <f t="shared" si="72"/>
        <v/>
      </c>
      <c r="F153" s="161" t="str">
        <f>IF(A153="","",IF(itens_Remanesc!B153&lt;&gt;"",itens_Remanesc!B153,IF($Z153,0,"")))</f>
        <v/>
      </c>
      <c r="G153" s="169" t="str">
        <f t="shared" si="73"/>
        <v/>
      </c>
      <c r="H153" s="171" t="str">
        <f>IF(A153="","",ROUND(SUMIFS(aditivos!$L$2:$L$200,aditivos!$A$2:$A$200,A153,aditivos!$C$2:$C$200,"C1"),2))</f>
        <v/>
      </c>
      <c r="I153" s="167" t="str">
        <f t="shared" si="74"/>
        <v/>
      </c>
      <c r="J153" s="167" t="str">
        <f>IF(A153="","",IF(itens_Remanesc!E153="","",itens_Remanesc!E153))</f>
        <v/>
      </c>
      <c r="K153" s="173" t="str">
        <f t="shared" si="75"/>
        <v/>
      </c>
      <c r="L153" s="165" t="str">
        <f>IF(A153="","",ROUND(SUMIFS(aditivos!$L$2:$L$200,aditivos!$A$2:$A$200,A153,aditivos!$C$2:$C$200,"C2"),2))</f>
        <v/>
      </c>
      <c r="M153" s="161" t="str">
        <f t="shared" si="76"/>
        <v/>
      </c>
      <c r="N153" s="161" t="str">
        <f>IF(A153="","",IF(itens_Remanesc!G153="","",itens_Remanesc!G153))</f>
        <v/>
      </c>
      <c r="O153" s="169" t="str">
        <f t="shared" si="77"/>
        <v/>
      </c>
      <c r="P153" s="171" t="str">
        <f>IF(A153="","",ROUND(SUMIFS(aditivos!$L$2:$L$200,aditivos!$A$2:$A$200,A153,aditivos!$C$2:$C$200,"C3"),2))</f>
        <v/>
      </c>
      <c r="Q153" s="167" t="str">
        <f t="shared" si="78"/>
        <v/>
      </c>
      <c r="R153" s="167" t="str">
        <f>IF(A153="","",IF(itens_Remanesc!I153="","",itens_Remanesc!I153))</f>
        <v/>
      </c>
      <c r="S153" s="173" t="str">
        <f t="shared" si="79"/>
        <v/>
      </c>
      <c r="T153" s="165" t="str">
        <f>IF(A153="","",ROUND(SUMIFS(aditivos!$L$2:$L$200,aditivos!$A$2:$A$200,A153,aditivos!$C$2:$C$200,"C4"),2))</f>
        <v/>
      </c>
      <c r="U153" s="161" t="str">
        <f t="shared" si="80"/>
        <v/>
      </c>
      <c r="V153" s="161" t="str">
        <f>IF(A153="","",IF(itens_Remanesc!K153="","",itens_Remanesc!K153))</f>
        <v/>
      </c>
      <c r="W153" s="161" t="str">
        <f t="shared" si="81"/>
        <v/>
      </c>
      <c r="X153" s="148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1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48" t="str">
        <f>IF(itens_Remanesc!A154="","",itens_Remanesc!A154)</f>
        <v/>
      </c>
      <c r="B154" s="200" t="str">
        <f>IF(A154="","",itens_Remanesc!C154)</f>
        <v/>
      </c>
      <c r="C154" s="163" t="str">
        <f>IF(A154="","",IF(itens_Remanesc!B154="",0,itens_Remanesc!B154))</f>
        <v/>
      </c>
      <c r="D154" s="165" t="str">
        <f>IF(A154="","",ROUND(SUMIFS(aditivos!$L$2:$L$200,aditivos!$A$2:$A$200,A154,aditivos!$C$2:$C$200,"C0"),2))</f>
        <v/>
      </c>
      <c r="E154" s="161" t="str">
        <f t="shared" si="72"/>
        <v/>
      </c>
      <c r="F154" s="161" t="str">
        <f>IF(A154="","",IF(itens_Remanesc!B154&lt;&gt;"",itens_Remanesc!B154,IF($Z154,0,"")))</f>
        <v/>
      </c>
      <c r="G154" s="169" t="str">
        <f t="shared" si="73"/>
        <v/>
      </c>
      <c r="H154" s="171" t="str">
        <f>IF(A154="","",ROUND(SUMIFS(aditivos!$L$2:$L$200,aditivos!$A$2:$A$200,A154,aditivos!$C$2:$C$200,"C1"),2))</f>
        <v/>
      </c>
      <c r="I154" s="167" t="str">
        <f t="shared" si="74"/>
        <v/>
      </c>
      <c r="J154" s="167" t="str">
        <f>IF(A154="","",IF(itens_Remanesc!E154="","",itens_Remanesc!E154))</f>
        <v/>
      </c>
      <c r="K154" s="173" t="str">
        <f t="shared" si="75"/>
        <v/>
      </c>
      <c r="L154" s="165" t="str">
        <f>IF(A154="","",ROUND(SUMIFS(aditivos!$L$2:$L$200,aditivos!$A$2:$A$200,A154,aditivos!$C$2:$C$200,"C2"),2))</f>
        <v/>
      </c>
      <c r="M154" s="161" t="str">
        <f t="shared" si="76"/>
        <v/>
      </c>
      <c r="N154" s="161" t="str">
        <f>IF(A154="","",IF(itens_Remanesc!G154="","",itens_Remanesc!G154))</f>
        <v/>
      </c>
      <c r="O154" s="169" t="str">
        <f t="shared" si="77"/>
        <v/>
      </c>
      <c r="P154" s="171" t="str">
        <f>IF(A154="","",ROUND(SUMIFS(aditivos!$L$2:$L$200,aditivos!$A$2:$A$200,A154,aditivos!$C$2:$C$200,"C3"),2))</f>
        <v/>
      </c>
      <c r="Q154" s="167" t="str">
        <f t="shared" si="78"/>
        <v/>
      </c>
      <c r="R154" s="167" t="str">
        <f>IF(A154="","",IF(itens_Remanesc!I154="","",itens_Remanesc!I154))</f>
        <v/>
      </c>
      <c r="S154" s="173" t="str">
        <f t="shared" si="79"/>
        <v/>
      </c>
      <c r="T154" s="165" t="str">
        <f>IF(A154="","",ROUND(SUMIFS(aditivos!$L$2:$L$200,aditivos!$A$2:$A$200,A154,aditivos!$C$2:$C$200,"C4"),2))</f>
        <v/>
      </c>
      <c r="U154" s="161" t="str">
        <f t="shared" si="80"/>
        <v/>
      </c>
      <c r="V154" s="161" t="str">
        <f>IF(A154="","",IF(itens_Remanesc!K154="","",itens_Remanesc!K154))</f>
        <v/>
      </c>
      <c r="W154" s="161" t="str">
        <f t="shared" si="81"/>
        <v/>
      </c>
      <c r="X154" s="148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1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48" t="str">
        <f>IF(itens_Remanesc!A155="","",itens_Remanesc!A155)</f>
        <v/>
      </c>
      <c r="B155" s="200" t="str">
        <f>IF(A155="","",itens_Remanesc!C155)</f>
        <v/>
      </c>
      <c r="C155" s="163" t="str">
        <f>IF(A155="","",IF(itens_Remanesc!B155="",0,itens_Remanesc!B155))</f>
        <v/>
      </c>
      <c r="D155" s="165" t="str">
        <f>IF(A155="","",ROUND(SUMIFS(aditivos!$L$2:$L$200,aditivos!$A$2:$A$200,A155,aditivos!$C$2:$C$200,"C0"),2))</f>
        <v/>
      </c>
      <c r="E155" s="161" t="str">
        <f t="shared" si="72"/>
        <v/>
      </c>
      <c r="F155" s="161" t="str">
        <f>IF(A155="","",IF(itens_Remanesc!B155&lt;&gt;"",itens_Remanesc!B155,IF($Z155,0,"")))</f>
        <v/>
      </c>
      <c r="G155" s="169" t="str">
        <f t="shared" si="73"/>
        <v/>
      </c>
      <c r="H155" s="171" t="str">
        <f>IF(A155="","",ROUND(SUMIFS(aditivos!$L$2:$L$200,aditivos!$A$2:$A$200,A155,aditivos!$C$2:$C$200,"C1"),2))</f>
        <v/>
      </c>
      <c r="I155" s="167" t="str">
        <f t="shared" si="74"/>
        <v/>
      </c>
      <c r="J155" s="167" t="str">
        <f>IF(A155="","",IF(itens_Remanesc!E155="","",itens_Remanesc!E155))</f>
        <v/>
      </c>
      <c r="K155" s="173" t="str">
        <f t="shared" si="75"/>
        <v/>
      </c>
      <c r="L155" s="165" t="str">
        <f>IF(A155="","",ROUND(SUMIFS(aditivos!$L$2:$L$200,aditivos!$A$2:$A$200,A155,aditivos!$C$2:$C$200,"C2"),2))</f>
        <v/>
      </c>
      <c r="M155" s="161" t="str">
        <f t="shared" si="76"/>
        <v/>
      </c>
      <c r="N155" s="161" t="str">
        <f>IF(A155="","",IF(itens_Remanesc!G155="","",itens_Remanesc!G155))</f>
        <v/>
      </c>
      <c r="O155" s="169" t="str">
        <f t="shared" si="77"/>
        <v/>
      </c>
      <c r="P155" s="171" t="str">
        <f>IF(A155="","",ROUND(SUMIFS(aditivos!$L$2:$L$200,aditivos!$A$2:$A$200,A155,aditivos!$C$2:$C$200,"C3"),2))</f>
        <v/>
      </c>
      <c r="Q155" s="167" t="str">
        <f t="shared" si="78"/>
        <v/>
      </c>
      <c r="R155" s="167" t="str">
        <f>IF(A155="","",IF(itens_Remanesc!I155="","",itens_Remanesc!I155))</f>
        <v/>
      </c>
      <c r="S155" s="173" t="str">
        <f t="shared" si="79"/>
        <v/>
      </c>
      <c r="T155" s="165" t="str">
        <f>IF(A155="","",ROUND(SUMIFS(aditivos!$L$2:$L$200,aditivos!$A$2:$A$200,A155,aditivos!$C$2:$C$200,"C4"),2))</f>
        <v/>
      </c>
      <c r="U155" s="161" t="str">
        <f t="shared" si="80"/>
        <v/>
      </c>
      <c r="V155" s="161" t="str">
        <f>IF(A155="","",IF(itens_Remanesc!K155="","",itens_Remanesc!K155))</f>
        <v/>
      </c>
      <c r="W155" s="161" t="str">
        <f t="shared" si="81"/>
        <v/>
      </c>
      <c r="X155" s="148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1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48" t="str">
        <f>IF(itens_Remanesc!A156="","",itens_Remanesc!A156)</f>
        <v/>
      </c>
      <c r="B156" s="200" t="str">
        <f>IF(A156="","",itens_Remanesc!C156)</f>
        <v/>
      </c>
      <c r="C156" s="163" t="str">
        <f>IF(A156="","",IF(itens_Remanesc!B156="",0,itens_Remanesc!B156))</f>
        <v/>
      </c>
      <c r="D156" s="165" t="str">
        <f>IF(A156="","",ROUND(SUMIFS(aditivos!$L$2:$L$200,aditivos!$A$2:$A$200,A156,aditivos!$C$2:$C$200,"C0"),2))</f>
        <v/>
      </c>
      <c r="E156" s="161" t="str">
        <f t="shared" si="72"/>
        <v/>
      </c>
      <c r="F156" s="161" t="str">
        <f>IF(A156="","",IF(itens_Remanesc!B156&lt;&gt;"",itens_Remanesc!B156,IF($Z156,0,"")))</f>
        <v/>
      </c>
      <c r="G156" s="169" t="str">
        <f t="shared" si="73"/>
        <v/>
      </c>
      <c r="H156" s="171" t="str">
        <f>IF(A156="","",ROUND(SUMIFS(aditivos!$L$2:$L$200,aditivos!$A$2:$A$200,A156,aditivos!$C$2:$C$200,"C1"),2))</f>
        <v/>
      </c>
      <c r="I156" s="167" t="str">
        <f t="shared" si="74"/>
        <v/>
      </c>
      <c r="J156" s="167" t="str">
        <f>IF(A156="","",IF(itens_Remanesc!E156="","",itens_Remanesc!E156))</f>
        <v/>
      </c>
      <c r="K156" s="173" t="str">
        <f t="shared" si="75"/>
        <v/>
      </c>
      <c r="L156" s="165" t="str">
        <f>IF(A156="","",ROUND(SUMIFS(aditivos!$L$2:$L$200,aditivos!$A$2:$A$200,A156,aditivos!$C$2:$C$200,"C2"),2))</f>
        <v/>
      </c>
      <c r="M156" s="161" t="str">
        <f t="shared" si="76"/>
        <v/>
      </c>
      <c r="N156" s="161" t="str">
        <f>IF(A156="","",IF(itens_Remanesc!G156="","",itens_Remanesc!G156))</f>
        <v/>
      </c>
      <c r="O156" s="169" t="str">
        <f t="shared" si="77"/>
        <v/>
      </c>
      <c r="P156" s="171" t="str">
        <f>IF(A156="","",ROUND(SUMIFS(aditivos!$L$2:$L$200,aditivos!$A$2:$A$200,A156,aditivos!$C$2:$C$200,"C3"),2))</f>
        <v/>
      </c>
      <c r="Q156" s="167" t="str">
        <f t="shared" si="78"/>
        <v/>
      </c>
      <c r="R156" s="167" t="str">
        <f>IF(A156="","",IF(itens_Remanesc!I156="","",itens_Remanesc!I156))</f>
        <v/>
      </c>
      <c r="S156" s="173" t="str">
        <f t="shared" si="79"/>
        <v/>
      </c>
      <c r="T156" s="165" t="str">
        <f>IF(A156="","",ROUND(SUMIFS(aditivos!$L$2:$L$200,aditivos!$A$2:$A$200,A156,aditivos!$C$2:$C$200,"C4"),2))</f>
        <v/>
      </c>
      <c r="U156" s="161" t="str">
        <f t="shared" si="80"/>
        <v/>
      </c>
      <c r="V156" s="161" t="str">
        <f>IF(A156="","",IF(itens_Remanesc!K156="","",itens_Remanesc!K156))</f>
        <v/>
      </c>
      <c r="W156" s="161" t="str">
        <f t="shared" si="81"/>
        <v/>
      </c>
      <c r="X156" s="148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1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48" t="str">
        <f>IF(itens_Remanesc!A157="","",itens_Remanesc!A157)</f>
        <v/>
      </c>
      <c r="B157" s="200" t="str">
        <f>IF(A157="","",itens_Remanesc!C157)</f>
        <v/>
      </c>
      <c r="C157" s="163" t="str">
        <f>IF(A157="","",IF(itens_Remanesc!B157="",0,itens_Remanesc!B157))</f>
        <v/>
      </c>
      <c r="D157" s="165" t="str">
        <f>IF(A157="","",ROUND(SUMIFS(aditivos!$L$2:$L$200,aditivos!$A$2:$A$200,A157,aditivos!$C$2:$C$200,"C0"),2))</f>
        <v/>
      </c>
      <c r="E157" s="161" t="str">
        <f t="shared" si="72"/>
        <v/>
      </c>
      <c r="F157" s="161" t="str">
        <f>IF(A157="","",IF(itens_Remanesc!B157&lt;&gt;"",itens_Remanesc!B157,IF($Z157,0,"")))</f>
        <v/>
      </c>
      <c r="G157" s="169" t="str">
        <f t="shared" si="73"/>
        <v/>
      </c>
      <c r="H157" s="171" t="str">
        <f>IF(A157="","",ROUND(SUMIFS(aditivos!$L$2:$L$200,aditivos!$A$2:$A$200,A157,aditivos!$C$2:$C$200,"C1"),2))</f>
        <v/>
      </c>
      <c r="I157" s="167" t="str">
        <f t="shared" si="74"/>
        <v/>
      </c>
      <c r="J157" s="167" t="str">
        <f>IF(A157="","",IF(itens_Remanesc!E157="","",itens_Remanesc!E157))</f>
        <v/>
      </c>
      <c r="K157" s="173" t="str">
        <f t="shared" si="75"/>
        <v/>
      </c>
      <c r="L157" s="165" t="str">
        <f>IF(A157="","",ROUND(SUMIFS(aditivos!$L$2:$L$200,aditivos!$A$2:$A$200,A157,aditivos!$C$2:$C$200,"C2"),2))</f>
        <v/>
      </c>
      <c r="M157" s="161" t="str">
        <f t="shared" si="76"/>
        <v/>
      </c>
      <c r="N157" s="161" t="str">
        <f>IF(A157="","",IF(itens_Remanesc!G157="","",itens_Remanesc!G157))</f>
        <v/>
      </c>
      <c r="O157" s="169" t="str">
        <f t="shared" si="77"/>
        <v/>
      </c>
      <c r="P157" s="171" t="str">
        <f>IF(A157="","",ROUND(SUMIFS(aditivos!$L$2:$L$200,aditivos!$A$2:$A$200,A157,aditivos!$C$2:$C$200,"C3"),2))</f>
        <v/>
      </c>
      <c r="Q157" s="167" t="str">
        <f t="shared" si="78"/>
        <v/>
      </c>
      <c r="R157" s="167" t="str">
        <f>IF(A157="","",IF(itens_Remanesc!I157="","",itens_Remanesc!I157))</f>
        <v/>
      </c>
      <c r="S157" s="173" t="str">
        <f t="shared" si="79"/>
        <v/>
      </c>
      <c r="T157" s="165" t="str">
        <f>IF(A157="","",ROUND(SUMIFS(aditivos!$L$2:$L$200,aditivos!$A$2:$A$200,A157,aditivos!$C$2:$C$200,"C4"),2))</f>
        <v/>
      </c>
      <c r="U157" s="161" t="str">
        <f t="shared" si="80"/>
        <v/>
      </c>
      <c r="V157" s="161" t="str">
        <f>IF(A157="","",IF(itens_Remanesc!K157="","",itens_Remanesc!K157))</f>
        <v/>
      </c>
      <c r="W157" s="161" t="str">
        <f t="shared" si="81"/>
        <v/>
      </c>
      <c r="X157" s="148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1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48" t="str">
        <f>IF(itens_Remanesc!A158="","",itens_Remanesc!A158)</f>
        <v/>
      </c>
      <c r="B158" s="200" t="str">
        <f>IF(A158="","",itens_Remanesc!C158)</f>
        <v/>
      </c>
      <c r="C158" s="163" t="str">
        <f>IF(A158="","",IF(itens_Remanesc!B158="",0,itens_Remanesc!B158))</f>
        <v/>
      </c>
      <c r="D158" s="165" t="str">
        <f>IF(A158="","",ROUND(SUMIFS(aditivos!$L$2:$L$200,aditivos!$A$2:$A$200,A158,aditivos!$C$2:$C$200,"C0"),2))</f>
        <v/>
      </c>
      <c r="E158" s="161" t="str">
        <f t="shared" si="72"/>
        <v/>
      </c>
      <c r="F158" s="161" t="str">
        <f>IF(A158="","",IF(itens_Remanesc!B158&lt;&gt;"",itens_Remanesc!B158,IF($Z158,0,"")))</f>
        <v/>
      </c>
      <c r="G158" s="169" t="str">
        <f t="shared" si="73"/>
        <v/>
      </c>
      <c r="H158" s="171" t="str">
        <f>IF(A158="","",ROUND(SUMIFS(aditivos!$L$2:$L$200,aditivos!$A$2:$A$200,A158,aditivos!$C$2:$C$200,"C1"),2))</f>
        <v/>
      </c>
      <c r="I158" s="167" t="str">
        <f t="shared" si="74"/>
        <v/>
      </c>
      <c r="J158" s="167" t="str">
        <f>IF(A158="","",IF(itens_Remanesc!E158="","",itens_Remanesc!E158))</f>
        <v/>
      </c>
      <c r="K158" s="173" t="str">
        <f t="shared" si="75"/>
        <v/>
      </c>
      <c r="L158" s="165" t="str">
        <f>IF(A158="","",ROUND(SUMIFS(aditivos!$L$2:$L$200,aditivos!$A$2:$A$200,A158,aditivos!$C$2:$C$200,"C2"),2))</f>
        <v/>
      </c>
      <c r="M158" s="161" t="str">
        <f t="shared" si="76"/>
        <v/>
      </c>
      <c r="N158" s="161" t="str">
        <f>IF(A158="","",IF(itens_Remanesc!G158="","",itens_Remanesc!G158))</f>
        <v/>
      </c>
      <c r="O158" s="169" t="str">
        <f t="shared" si="77"/>
        <v/>
      </c>
      <c r="P158" s="171" t="str">
        <f>IF(A158="","",ROUND(SUMIFS(aditivos!$L$2:$L$200,aditivos!$A$2:$A$200,A158,aditivos!$C$2:$C$200,"C3"),2))</f>
        <v/>
      </c>
      <c r="Q158" s="167" t="str">
        <f t="shared" si="78"/>
        <v/>
      </c>
      <c r="R158" s="167" t="str">
        <f>IF(A158="","",IF(itens_Remanesc!I158="","",itens_Remanesc!I158))</f>
        <v/>
      </c>
      <c r="S158" s="173" t="str">
        <f t="shared" si="79"/>
        <v/>
      </c>
      <c r="T158" s="165" t="str">
        <f>IF(A158="","",ROUND(SUMIFS(aditivos!$L$2:$L$200,aditivos!$A$2:$A$200,A158,aditivos!$C$2:$C$200,"C4"),2))</f>
        <v/>
      </c>
      <c r="U158" s="161" t="str">
        <f t="shared" si="80"/>
        <v/>
      </c>
      <c r="V158" s="161" t="str">
        <f>IF(A158="","",IF(itens_Remanesc!K158="","",itens_Remanesc!K158))</f>
        <v/>
      </c>
      <c r="W158" s="161" t="str">
        <f t="shared" si="81"/>
        <v/>
      </c>
      <c r="X158" s="148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1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48" t="str">
        <f>IF(itens_Remanesc!A159="","",itens_Remanesc!A159)</f>
        <v/>
      </c>
      <c r="B159" s="200" t="str">
        <f>IF(A159="","",itens_Remanesc!C159)</f>
        <v/>
      </c>
      <c r="C159" s="163" t="str">
        <f>IF(A159="","",IF(itens_Remanesc!B159="",0,itens_Remanesc!B159))</f>
        <v/>
      </c>
      <c r="D159" s="165" t="str">
        <f>IF(A159="","",ROUND(SUMIFS(aditivos!$L$2:$L$200,aditivos!$A$2:$A$200,A159,aditivos!$C$2:$C$200,"C0"),2))</f>
        <v/>
      </c>
      <c r="E159" s="161" t="str">
        <f t="shared" si="72"/>
        <v/>
      </c>
      <c r="F159" s="161" t="str">
        <f>IF(A159="","",IF(itens_Remanesc!B159&lt;&gt;"",itens_Remanesc!B159,IF($Z159,0,"")))</f>
        <v/>
      </c>
      <c r="G159" s="169" t="str">
        <f t="shared" si="73"/>
        <v/>
      </c>
      <c r="H159" s="171" t="str">
        <f>IF(A159="","",ROUND(SUMIFS(aditivos!$L$2:$L$200,aditivos!$A$2:$A$200,A159,aditivos!$C$2:$C$200,"C1"),2))</f>
        <v/>
      </c>
      <c r="I159" s="167" t="str">
        <f t="shared" si="74"/>
        <v/>
      </c>
      <c r="J159" s="167" t="str">
        <f>IF(A159="","",IF(itens_Remanesc!E159="","",itens_Remanesc!E159))</f>
        <v/>
      </c>
      <c r="K159" s="173" t="str">
        <f t="shared" si="75"/>
        <v/>
      </c>
      <c r="L159" s="165" t="str">
        <f>IF(A159="","",ROUND(SUMIFS(aditivos!$L$2:$L$200,aditivos!$A$2:$A$200,A159,aditivos!$C$2:$C$200,"C2"),2))</f>
        <v/>
      </c>
      <c r="M159" s="161" t="str">
        <f t="shared" si="76"/>
        <v/>
      </c>
      <c r="N159" s="161" t="str">
        <f>IF(A159="","",IF(itens_Remanesc!G159="","",itens_Remanesc!G159))</f>
        <v/>
      </c>
      <c r="O159" s="169" t="str">
        <f t="shared" si="77"/>
        <v/>
      </c>
      <c r="P159" s="171" t="str">
        <f>IF(A159="","",ROUND(SUMIFS(aditivos!$L$2:$L$200,aditivos!$A$2:$A$200,A159,aditivos!$C$2:$C$200,"C3"),2))</f>
        <v/>
      </c>
      <c r="Q159" s="167" t="str">
        <f t="shared" si="78"/>
        <v/>
      </c>
      <c r="R159" s="167" t="str">
        <f>IF(A159="","",IF(itens_Remanesc!I159="","",itens_Remanesc!I159))</f>
        <v/>
      </c>
      <c r="S159" s="173" t="str">
        <f t="shared" si="79"/>
        <v/>
      </c>
      <c r="T159" s="165" t="str">
        <f>IF(A159="","",ROUND(SUMIFS(aditivos!$L$2:$L$200,aditivos!$A$2:$A$200,A159,aditivos!$C$2:$C$200,"C4"),2))</f>
        <v/>
      </c>
      <c r="U159" s="161" t="str">
        <f t="shared" si="80"/>
        <v/>
      </c>
      <c r="V159" s="161" t="str">
        <f>IF(A159="","",IF(itens_Remanesc!K159="","",itens_Remanesc!K159))</f>
        <v/>
      </c>
      <c r="W159" s="161" t="str">
        <f t="shared" si="81"/>
        <v/>
      </c>
      <c r="X159" s="148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1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48" t="str">
        <f>IF(itens_Remanesc!A160="","",itens_Remanesc!A160)</f>
        <v/>
      </c>
      <c r="B160" s="200" t="str">
        <f>IF(A160="","",itens_Remanesc!C160)</f>
        <v/>
      </c>
      <c r="C160" s="163" t="str">
        <f>IF(A160="","",IF(itens_Remanesc!B160="",0,itens_Remanesc!B160))</f>
        <v/>
      </c>
      <c r="D160" s="165" t="str">
        <f>IF(A160="","",ROUND(SUMIFS(aditivos!$L$2:$L$200,aditivos!$A$2:$A$200,A160,aditivos!$C$2:$C$200,"C0"),2))</f>
        <v/>
      </c>
      <c r="E160" s="161" t="str">
        <f t="shared" si="72"/>
        <v/>
      </c>
      <c r="F160" s="161" t="str">
        <f>IF(A160="","",IF(itens_Remanesc!B160&lt;&gt;"",itens_Remanesc!B160,IF($Z160,0,"")))</f>
        <v/>
      </c>
      <c r="G160" s="169" t="str">
        <f t="shared" si="73"/>
        <v/>
      </c>
      <c r="H160" s="171" t="str">
        <f>IF(A160="","",ROUND(SUMIFS(aditivos!$L$2:$L$200,aditivos!$A$2:$A$200,A160,aditivos!$C$2:$C$200,"C1"),2))</f>
        <v/>
      </c>
      <c r="I160" s="167" t="str">
        <f t="shared" si="74"/>
        <v/>
      </c>
      <c r="J160" s="167" t="str">
        <f>IF(A160="","",IF(itens_Remanesc!E160="","",itens_Remanesc!E160))</f>
        <v/>
      </c>
      <c r="K160" s="173" t="str">
        <f t="shared" si="75"/>
        <v/>
      </c>
      <c r="L160" s="165" t="str">
        <f>IF(A160="","",ROUND(SUMIFS(aditivos!$L$2:$L$200,aditivos!$A$2:$A$200,A160,aditivos!$C$2:$C$200,"C2"),2))</f>
        <v/>
      </c>
      <c r="M160" s="161" t="str">
        <f t="shared" si="76"/>
        <v/>
      </c>
      <c r="N160" s="161" t="str">
        <f>IF(A160="","",IF(itens_Remanesc!G160="","",itens_Remanesc!G160))</f>
        <v/>
      </c>
      <c r="O160" s="169" t="str">
        <f t="shared" si="77"/>
        <v/>
      </c>
      <c r="P160" s="171" t="str">
        <f>IF(A160="","",ROUND(SUMIFS(aditivos!$L$2:$L$200,aditivos!$A$2:$A$200,A160,aditivos!$C$2:$C$200,"C3"),2))</f>
        <v/>
      </c>
      <c r="Q160" s="167" t="str">
        <f t="shared" si="78"/>
        <v/>
      </c>
      <c r="R160" s="167" t="str">
        <f>IF(A160="","",IF(itens_Remanesc!I160="","",itens_Remanesc!I160))</f>
        <v/>
      </c>
      <c r="S160" s="173" t="str">
        <f t="shared" si="79"/>
        <v/>
      </c>
      <c r="T160" s="165" t="str">
        <f>IF(A160="","",ROUND(SUMIFS(aditivos!$L$2:$L$200,aditivos!$A$2:$A$200,A160,aditivos!$C$2:$C$200,"C4"),2))</f>
        <v/>
      </c>
      <c r="U160" s="161" t="str">
        <f t="shared" si="80"/>
        <v/>
      </c>
      <c r="V160" s="161" t="str">
        <f>IF(A160="","",IF(itens_Remanesc!K160="","",itens_Remanesc!K160))</f>
        <v/>
      </c>
      <c r="W160" s="161" t="str">
        <f t="shared" si="81"/>
        <v/>
      </c>
      <c r="X160" s="148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1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48" t="str">
        <f>IF(itens_Remanesc!A161="","",itens_Remanesc!A161)</f>
        <v/>
      </c>
      <c r="B161" s="200" t="str">
        <f>IF(A161="","",itens_Remanesc!C161)</f>
        <v/>
      </c>
      <c r="C161" s="163" t="str">
        <f>IF(A161="","",IF(itens_Remanesc!B161="",0,itens_Remanesc!B161))</f>
        <v/>
      </c>
      <c r="D161" s="165" t="str">
        <f>IF(A161="","",ROUND(SUMIFS(aditivos!$L$2:$L$200,aditivos!$A$2:$A$200,A161,aditivos!$C$2:$C$200,"C0"),2))</f>
        <v/>
      </c>
      <c r="E161" s="161" t="str">
        <f t="shared" si="72"/>
        <v/>
      </c>
      <c r="F161" s="161" t="str">
        <f>IF(A161="","",IF(itens_Remanesc!B161&lt;&gt;"",itens_Remanesc!B161,IF($Z161,0,"")))</f>
        <v/>
      </c>
      <c r="G161" s="169" t="str">
        <f t="shared" si="73"/>
        <v/>
      </c>
      <c r="H161" s="171" t="str">
        <f>IF(A161="","",ROUND(SUMIFS(aditivos!$L$2:$L$200,aditivos!$A$2:$A$200,A161,aditivos!$C$2:$C$200,"C1"),2))</f>
        <v/>
      </c>
      <c r="I161" s="167" t="str">
        <f t="shared" si="74"/>
        <v/>
      </c>
      <c r="J161" s="167" t="str">
        <f>IF(A161="","",IF(itens_Remanesc!E161="","",itens_Remanesc!E161))</f>
        <v/>
      </c>
      <c r="K161" s="173" t="str">
        <f t="shared" si="75"/>
        <v/>
      </c>
      <c r="L161" s="165" t="str">
        <f>IF(A161="","",ROUND(SUMIFS(aditivos!$L$2:$L$200,aditivos!$A$2:$A$200,A161,aditivos!$C$2:$C$200,"C2"),2))</f>
        <v/>
      </c>
      <c r="M161" s="161" t="str">
        <f t="shared" si="76"/>
        <v/>
      </c>
      <c r="N161" s="161" t="str">
        <f>IF(A161="","",IF(itens_Remanesc!G161="","",itens_Remanesc!G161))</f>
        <v/>
      </c>
      <c r="O161" s="169" t="str">
        <f t="shared" si="77"/>
        <v/>
      </c>
      <c r="P161" s="171" t="str">
        <f>IF(A161="","",ROUND(SUMIFS(aditivos!$L$2:$L$200,aditivos!$A$2:$A$200,A161,aditivos!$C$2:$C$200,"C3"),2))</f>
        <v/>
      </c>
      <c r="Q161" s="167" t="str">
        <f t="shared" si="78"/>
        <v/>
      </c>
      <c r="R161" s="167" t="str">
        <f>IF(A161="","",IF(itens_Remanesc!I161="","",itens_Remanesc!I161))</f>
        <v/>
      </c>
      <c r="S161" s="173" t="str">
        <f t="shared" si="79"/>
        <v/>
      </c>
      <c r="T161" s="165" t="str">
        <f>IF(A161="","",ROUND(SUMIFS(aditivos!$L$2:$L$200,aditivos!$A$2:$A$200,A161,aditivos!$C$2:$C$200,"C4"),2))</f>
        <v/>
      </c>
      <c r="U161" s="161" t="str">
        <f t="shared" si="80"/>
        <v/>
      </c>
      <c r="V161" s="161" t="str">
        <f>IF(A161="","",IF(itens_Remanesc!K161="","",itens_Remanesc!K161))</f>
        <v/>
      </c>
      <c r="W161" s="161" t="str">
        <f t="shared" si="81"/>
        <v/>
      </c>
      <c r="X161" s="148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1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48" t="str">
        <f>IF(itens_Remanesc!A162="","",itens_Remanesc!A162)</f>
        <v/>
      </c>
      <c r="B162" s="200" t="str">
        <f>IF(A162="","",itens_Remanesc!C162)</f>
        <v/>
      </c>
      <c r="C162" s="163" t="str">
        <f>IF(A162="","",IF(itens_Remanesc!B162="",0,itens_Remanesc!B162))</f>
        <v/>
      </c>
      <c r="D162" s="165" t="str">
        <f>IF(A162="","",ROUND(SUMIFS(aditivos!$L$2:$L$200,aditivos!$A$2:$A$200,A162,aditivos!$C$2:$C$200,"C0"),2))</f>
        <v/>
      </c>
      <c r="E162" s="161" t="str">
        <f t="shared" ref="E162:E193" si="90">IF(A162="","",ROUND(C162+D162,2))</f>
        <v/>
      </c>
      <c r="F162" s="161" t="str">
        <f>IF(A162="","",IF(itens_Remanesc!B162&lt;&gt;"",itens_Remanesc!B162,IF($Z162,0,"")))</f>
        <v/>
      </c>
      <c r="G162" s="169" t="str">
        <f t="shared" ref="G162:G193" si="91">IF(A162="","",IF($Y162="","",IF($Y162&gt;0,"",ROUND(E162,2))))</f>
        <v/>
      </c>
      <c r="H162" s="171" t="str">
        <f>IF(A162="","",ROUND(SUMIFS(aditivos!$L$2:$L$200,aditivos!$A$2:$A$200,A162,aditivos!$C$2:$C$200,"C1"),2))</f>
        <v/>
      </c>
      <c r="I162" s="167" t="str">
        <f t="shared" ref="I162:I193" si="92">IF(A162="","",ROUND(E162+H162,2))</f>
        <v/>
      </c>
      <c r="J162" s="167" t="str">
        <f>IF(A162="","",IF(itens_Remanesc!E162="","",itens_Remanesc!E162))</f>
        <v/>
      </c>
      <c r="K162" s="173" t="str">
        <f t="shared" ref="K162:K193" si="93">IF(A162="","",IF($Y162="","",IF($Y162&gt;1,"",IF(ISNUMBER(J162),ROUND(J162+H162,2),IF($Y162=1,ROUND(H162,2),"")))))</f>
        <v/>
      </c>
      <c r="L162" s="165" t="str">
        <f>IF(A162="","",ROUND(SUMIFS(aditivos!$L$2:$L$200,aditivos!$A$2:$A$200,A162,aditivos!$C$2:$C$200,"C2"),2))</f>
        <v/>
      </c>
      <c r="M162" s="161" t="str">
        <f t="shared" ref="M162:M193" si="94">IF(A162="","",ROUND(I162+L162,2))</f>
        <v/>
      </c>
      <c r="N162" s="161" t="str">
        <f>IF(A162="","",IF(itens_Remanesc!G162="","",itens_Remanesc!G162))</f>
        <v/>
      </c>
      <c r="O162" s="169" t="str">
        <f t="shared" ref="O162:O193" si="95">IF(A162="","",IF($Y162="","",IF($Y162&gt;2,"",IF(ISNUMBER(N162),ROUND(N162+L162,2),IF($Y162=2,ROUND(L162,2),"")))))</f>
        <v/>
      </c>
      <c r="P162" s="171" t="str">
        <f>IF(A162="","",ROUND(SUMIFS(aditivos!$L$2:$L$200,aditivos!$A$2:$A$200,A162,aditivos!$C$2:$C$200,"C3"),2))</f>
        <v/>
      </c>
      <c r="Q162" s="167" t="str">
        <f t="shared" ref="Q162:Q193" si="96">IF(A162="","",ROUND(M162+P162,2))</f>
        <v/>
      </c>
      <c r="R162" s="167" t="str">
        <f>IF(A162="","",IF(itens_Remanesc!I162="","",itens_Remanesc!I162))</f>
        <v/>
      </c>
      <c r="S162" s="173" t="str">
        <f t="shared" ref="S162:S193" si="97">IF(A162="","",IF($Y162="","",IF($Y162&gt;3,"",IF(ISNUMBER(R162),ROUND(R162+P162,2),IF($Y162=3,ROUND(P162,2),"")))))</f>
        <v/>
      </c>
      <c r="T162" s="165" t="str">
        <f>IF(A162="","",ROUND(SUMIFS(aditivos!$L$2:$L$200,aditivos!$A$2:$A$200,A162,aditivos!$C$2:$C$200,"C4"),2))</f>
        <v/>
      </c>
      <c r="U162" s="161" t="str">
        <f t="shared" ref="U162:U193" si="98">IF(A162="","",ROUND(Q162+T162,2))</f>
        <v/>
      </c>
      <c r="V162" s="161" t="str">
        <f>IF(A162="","",IF(itens_Remanesc!K162="","",itens_Remanesc!K162))</f>
        <v/>
      </c>
      <c r="W162" s="161" t="str">
        <f t="shared" ref="W162:W193" si="99">IF(A162="","",IF($Y162="","",IF($Y162&gt;4,"",IF(ISNUMBER(V162),ROUND(V162+T162,2),IF($Y162=4,ROUND(T162,2),"")))))</f>
        <v/>
      </c>
      <c r="X162" s="148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1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48" t="str">
        <f>IF(itens_Remanesc!A163="","",itens_Remanesc!A163)</f>
        <v/>
      </c>
      <c r="B163" s="200" t="str">
        <f>IF(A163="","",itens_Remanesc!C163)</f>
        <v/>
      </c>
      <c r="C163" s="163" t="str">
        <f>IF(A163="","",IF(itens_Remanesc!B163="",0,itens_Remanesc!B163))</f>
        <v/>
      </c>
      <c r="D163" s="165" t="str">
        <f>IF(A163="","",ROUND(SUMIFS(aditivos!$L$2:$L$200,aditivos!$A$2:$A$200,A163,aditivos!$C$2:$C$200,"C0"),2))</f>
        <v/>
      </c>
      <c r="E163" s="161" t="str">
        <f t="shared" si="90"/>
        <v/>
      </c>
      <c r="F163" s="161" t="str">
        <f>IF(A163="","",IF(itens_Remanesc!B163&lt;&gt;"",itens_Remanesc!B163,IF($Z163,0,"")))</f>
        <v/>
      </c>
      <c r="G163" s="169" t="str">
        <f t="shared" si="91"/>
        <v/>
      </c>
      <c r="H163" s="171" t="str">
        <f>IF(A163="","",ROUND(SUMIFS(aditivos!$L$2:$L$200,aditivos!$A$2:$A$200,A163,aditivos!$C$2:$C$200,"C1"),2))</f>
        <v/>
      </c>
      <c r="I163" s="167" t="str">
        <f t="shared" si="92"/>
        <v/>
      </c>
      <c r="J163" s="167" t="str">
        <f>IF(A163="","",IF(itens_Remanesc!E163="","",itens_Remanesc!E163))</f>
        <v/>
      </c>
      <c r="K163" s="173" t="str">
        <f t="shared" si="93"/>
        <v/>
      </c>
      <c r="L163" s="165" t="str">
        <f>IF(A163="","",ROUND(SUMIFS(aditivos!$L$2:$L$200,aditivos!$A$2:$A$200,A163,aditivos!$C$2:$C$200,"C2"),2))</f>
        <v/>
      </c>
      <c r="M163" s="161" t="str">
        <f t="shared" si="94"/>
        <v/>
      </c>
      <c r="N163" s="161" t="str">
        <f>IF(A163="","",IF(itens_Remanesc!G163="","",itens_Remanesc!G163))</f>
        <v/>
      </c>
      <c r="O163" s="169" t="str">
        <f t="shared" si="95"/>
        <v/>
      </c>
      <c r="P163" s="171" t="str">
        <f>IF(A163="","",ROUND(SUMIFS(aditivos!$L$2:$L$200,aditivos!$A$2:$A$200,A163,aditivos!$C$2:$C$200,"C3"),2))</f>
        <v/>
      </c>
      <c r="Q163" s="167" t="str">
        <f t="shared" si="96"/>
        <v/>
      </c>
      <c r="R163" s="167" t="str">
        <f>IF(A163="","",IF(itens_Remanesc!I163="","",itens_Remanesc!I163))</f>
        <v/>
      </c>
      <c r="S163" s="173" t="str">
        <f t="shared" si="97"/>
        <v/>
      </c>
      <c r="T163" s="165" t="str">
        <f>IF(A163="","",ROUND(SUMIFS(aditivos!$L$2:$L$200,aditivos!$A$2:$A$200,A163,aditivos!$C$2:$C$200,"C4"),2))</f>
        <v/>
      </c>
      <c r="U163" s="161" t="str">
        <f t="shared" si="98"/>
        <v/>
      </c>
      <c r="V163" s="161" t="str">
        <f>IF(A163="","",IF(itens_Remanesc!K163="","",itens_Remanesc!K163))</f>
        <v/>
      </c>
      <c r="W163" s="161" t="str">
        <f t="shared" si="99"/>
        <v/>
      </c>
      <c r="X163" s="148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1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48" t="str">
        <f>IF(itens_Remanesc!A164="","",itens_Remanesc!A164)</f>
        <v/>
      </c>
      <c r="B164" s="200" t="str">
        <f>IF(A164="","",itens_Remanesc!C164)</f>
        <v/>
      </c>
      <c r="C164" s="163" t="str">
        <f>IF(A164="","",IF(itens_Remanesc!B164="",0,itens_Remanesc!B164))</f>
        <v/>
      </c>
      <c r="D164" s="165" t="str">
        <f>IF(A164="","",ROUND(SUMIFS(aditivos!$L$2:$L$200,aditivos!$A$2:$A$200,A164,aditivos!$C$2:$C$200,"C0"),2))</f>
        <v/>
      </c>
      <c r="E164" s="161" t="str">
        <f t="shared" si="90"/>
        <v/>
      </c>
      <c r="F164" s="161" t="str">
        <f>IF(A164="","",IF(itens_Remanesc!B164&lt;&gt;"",itens_Remanesc!B164,IF($Z164,0,"")))</f>
        <v/>
      </c>
      <c r="G164" s="169" t="str">
        <f t="shared" si="91"/>
        <v/>
      </c>
      <c r="H164" s="171" t="str">
        <f>IF(A164="","",ROUND(SUMIFS(aditivos!$L$2:$L$200,aditivos!$A$2:$A$200,A164,aditivos!$C$2:$C$200,"C1"),2))</f>
        <v/>
      </c>
      <c r="I164" s="167" t="str">
        <f t="shared" si="92"/>
        <v/>
      </c>
      <c r="J164" s="167" t="str">
        <f>IF(A164="","",IF(itens_Remanesc!E164="","",itens_Remanesc!E164))</f>
        <v/>
      </c>
      <c r="K164" s="173" t="str">
        <f t="shared" si="93"/>
        <v/>
      </c>
      <c r="L164" s="165" t="str">
        <f>IF(A164="","",ROUND(SUMIFS(aditivos!$L$2:$L$200,aditivos!$A$2:$A$200,A164,aditivos!$C$2:$C$200,"C2"),2))</f>
        <v/>
      </c>
      <c r="M164" s="161" t="str">
        <f t="shared" si="94"/>
        <v/>
      </c>
      <c r="N164" s="161" t="str">
        <f>IF(A164="","",IF(itens_Remanesc!G164="","",itens_Remanesc!G164))</f>
        <v/>
      </c>
      <c r="O164" s="169" t="str">
        <f t="shared" si="95"/>
        <v/>
      </c>
      <c r="P164" s="171" t="str">
        <f>IF(A164="","",ROUND(SUMIFS(aditivos!$L$2:$L$200,aditivos!$A$2:$A$200,A164,aditivos!$C$2:$C$200,"C3"),2))</f>
        <v/>
      </c>
      <c r="Q164" s="167" t="str">
        <f t="shared" si="96"/>
        <v/>
      </c>
      <c r="R164" s="167" t="str">
        <f>IF(A164="","",IF(itens_Remanesc!I164="","",itens_Remanesc!I164))</f>
        <v/>
      </c>
      <c r="S164" s="173" t="str">
        <f t="shared" si="97"/>
        <v/>
      </c>
      <c r="T164" s="165" t="str">
        <f>IF(A164="","",ROUND(SUMIFS(aditivos!$L$2:$L$200,aditivos!$A$2:$A$200,A164,aditivos!$C$2:$C$200,"C4"),2))</f>
        <v/>
      </c>
      <c r="U164" s="161" t="str">
        <f t="shared" si="98"/>
        <v/>
      </c>
      <c r="V164" s="161" t="str">
        <f>IF(A164="","",IF(itens_Remanesc!K164="","",itens_Remanesc!K164))</f>
        <v/>
      </c>
      <c r="W164" s="161" t="str">
        <f t="shared" si="99"/>
        <v/>
      </c>
      <c r="X164" s="148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1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48" t="str">
        <f>IF(itens_Remanesc!A165="","",itens_Remanesc!A165)</f>
        <v/>
      </c>
      <c r="B165" s="200" t="str">
        <f>IF(A165="","",itens_Remanesc!C165)</f>
        <v/>
      </c>
      <c r="C165" s="163" t="str">
        <f>IF(A165="","",IF(itens_Remanesc!B165="",0,itens_Remanesc!B165))</f>
        <v/>
      </c>
      <c r="D165" s="165" t="str">
        <f>IF(A165="","",ROUND(SUMIFS(aditivos!$L$2:$L$200,aditivos!$A$2:$A$200,A165,aditivos!$C$2:$C$200,"C0"),2))</f>
        <v/>
      </c>
      <c r="E165" s="161" t="str">
        <f t="shared" si="90"/>
        <v/>
      </c>
      <c r="F165" s="161" t="str">
        <f>IF(A165="","",IF(itens_Remanesc!B165&lt;&gt;"",itens_Remanesc!B165,IF($Z165,0,"")))</f>
        <v/>
      </c>
      <c r="G165" s="169" t="str">
        <f t="shared" si="91"/>
        <v/>
      </c>
      <c r="H165" s="171" t="str">
        <f>IF(A165="","",ROUND(SUMIFS(aditivos!$L$2:$L$200,aditivos!$A$2:$A$200,A165,aditivos!$C$2:$C$200,"C1"),2))</f>
        <v/>
      </c>
      <c r="I165" s="167" t="str">
        <f t="shared" si="92"/>
        <v/>
      </c>
      <c r="J165" s="167" t="str">
        <f>IF(A165="","",IF(itens_Remanesc!E165="","",itens_Remanesc!E165))</f>
        <v/>
      </c>
      <c r="K165" s="173" t="str">
        <f t="shared" si="93"/>
        <v/>
      </c>
      <c r="L165" s="165" t="str">
        <f>IF(A165="","",ROUND(SUMIFS(aditivos!$L$2:$L$200,aditivos!$A$2:$A$200,A165,aditivos!$C$2:$C$200,"C2"),2))</f>
        <v/>
      </c>
      <c r="M165" s="161" t="str">
        <f t="shared" si="94"/>
        <v/>
      </c>
      <c r="N165" s="161" t="str">
        <f>IF(A165="","",IF(itens_Remanesc!G165="","",itens_Remanesc!G165))</f>
        <v/>
      </c>
      <c r="O165" s="169" t="str">
        <f t="shared" si="95"/>
        <v/>
      </c>
      <c r="P165" s="171" t="str">
        <f>IF(A165="","",ROUND(SUMIFS(aditivos!$L$2:$L$200,aditivos!$A$2:$A$200,A165,aditivos!$C$2:$C$200,"C3"),2))</f>
        <v/>
      </c>
      <c r="Q165" s="167" t="str">
        <f t="shared" si="96"/>
        <v/>
      </c>
      <c r="R165" s="167" t="str">
        <f>IF(A165="","",IF(itens_Remanesc!I165="","",itens_Remanesc!I165))</f>
        <v/>
      </c>
      <c r="S165" s="173" t="str">
        <f t="shared" si="97"/>
        <v/>
      </c>
      <c r="T165" s="165" t="str">
        <f>IF(A165="","",ROUND(SUMIFS(aditivos!$L$2:$L$200,aditivos!$A$2:$A$200,A165,aditivos!$C$2:$C$200,"C4"),2))</f>
        <v/>
      </c>
      <c r="U165" s="161" t="str">
        <f t="shared" si="98"/>
        <v/>
      </c>
      <c r="V165" s="161" t="str">
        <f>IF(A165="","",IF(itens_Remanesc!K165="","",itens_Remanesc!K165))</f>
        <v/>
      </c>
      <c r="W165" s="161" t="str">
        <f t="shared" si="99"/>
        <v/>
      </c>
      <c r="X165" s="148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1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48" t="str">
        <f>IF(itens_Remanesc!A166="","",itens_Remanesc!A166)</f>
        <v/>
      </c>
      <c r="B166" s="200" t="str">
        <f>IF(A166="","",itens_Remanesc!C166)</f>
        <v/>
      </c>
      <c r="C166" s="163" t="str">
        <f>IF(A166="","",IF(itens_Remanesc!B166="",0,itens_Remanesc!B166))</f>
        <v/>
      </c>
      <c r="D166" s="165" t="str">
        <f>IF(A166="","",ROUND(SUMIFS(aditivos!$L$2:$L$200,aditivos!$A$2:$A$200,A166,aditivos!$C$2:$C$200,"C0"),2))</f>
        <v/>
      </c>
      <c r="E166" s="161" t="str">
        <f t="shared" si="90"/>
        <v/>
      </c>
      <c r="F166" s="161" t="str">
        <f>IF(A166="","",IF(itens_Remanesc!B166&lt;&gt;"",itens_Remanesc!B166,IF($Z166,0,"")))</f>
        <v/>
      </c>
      <c r="G166" s="169" t="str">
        <f t="shared" si="91"/>
        <v/>
      </c>
      <c r="H166" s="171" t="str">
        <f>IF(A166="","",ROUND(SUMIFS(aditivos!$L$2:$L$200,aditivos!$A$2:$A$200,A166,aditivos!$C$2:$C$200,"C1"),2))</f>
        <v/>
      </c>
      <c r="I166" s="167" t="str">
        <f t="shared" si="92"/>
        <v/>
      </c>
      <c r="J166" s="167" t="str">
        <f>IF(A166="","",IF(itens_Remanesc!E166="","",itens_Remanesc!E166))</f>
        <v/>
      </c>
      <c r="K166" s="173" t="str">
        <f t="shared" si="93"/>
        <v/>
      </c>
      <c r="L166" s="165" t="str">
        <f>IF(A166="","",ROUND(SUMIFS(aditivos!$L$2:$L$200,aditivos!$A$2:$A$200,A166,aditivos!$C$2:$C$200,"C2"),2))</f>
        <v/>
      </c>
      <c r="M166" s="161" t="str">
        <f t="shared" si="94"/>
        <v/>
      </c>
      <c r="N166" s="161" t="str">
        <f>IF(A166="","",IF(itens_Remanesc!G166="","",itens_Remanesc!G166))</f>
        <v/>
      </c>
      <c r="O166" s="169" t="str">
        <f t="shared" si="95"/>
        <v/>
      </c>
      <c r="P166" s="171" t="str">
        <f>IF(A166="","",ROUND(SUMIFS(aditivos!$L$2:$L$200,aditivos!$A$2:$A$200,A166,aditivos!$C$2:$C$200,"C3"),2))</f>
        <v/>
      </c>
      <c r="Q166" s="167" t="str">
        <f t="shared" si="96"/>
        <v/>
      </c>
      <c r="R166" s="167" t="str">
        <f>IF(A166="","",IF(itens_Remanesc!I166="","",itens_Remanesc!I166))</f>
        <v/>
      </c>
      <c r="S166" s="173" t="str">
        <f t="shared" si="97"/>
        <v/>
      </c>
      <c r="T166" s="165" t="str">
        <f>IF(A166="","",ROUND(SUMIFS(aditivos!$L$2:$L$200,aditivos!$A$2:$A$200,A166,aditivos!$C$2:$C$200,"C4"),2))</f>
        <v/>
      </c>
      <c r="U166" s="161" t="str">
        <f t="shared" si="98"/>
        <v/>
      </c>
      <c r="V166" s="161" t="str">
        <f>IF(A166="","",IF(itens_Remanesc!K166="","",itens_Remanesc!K166))</f>
        <v/>
      </c>
      <c r="W166" s="161" t="str">
        <f t="shared" si="99"/>
        <v/>
      </c>
      <c r="X166" s="148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1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48" t="str">
        <f>IF(itens_Remanesc!A167="","",itens_Remanesc!A167)</f>
        <v/>
      </c>
      <c r="B167" s="200" t="str">
        <f>IF(A167="","",itens_Remanesc!C167)</f>
        <v/>
      </c>
      <c r="C167" s="163" t="str">
        <f>IF(A167="","",IF(itens_Remanesc!B167="",0,itens_Remanesc!B167))</f>
        <v/>
      </c>
      <c r="D167" s="165" t="str">
        <f>IF(A167="","",ROUND(SUMIFS(aditivos!$L$2:$L$200,aditivos!$A$2:$A$200,A167,aditivos!$C$2:$C$200,"C0"),2))</f>
        <v/>
      </c>
      <c r="E167" s="161" t="str">
        <f t="shared" si="90"/>
        <v/>
      </c>
      <c r="F167" s="161" t="str">
        <f>IF(A167="","",IF(itens_Remanesc!B167&lt;&gt;"",itens_Remanesc!B167,IF($Z167,0,"")))</f>
        <v/>
      </c>
      <c r="G167" s="169" t="str">
        <f t="shared" si="91"/>
        <v/>
      </c>
      <c r="H167" s="171" t="str">
        <f>IF(A167="","",ROUND(SUMIFS(aditivos!$L$2:$L$200,aditivos!$A$2:$A$200,A167,aditivos!$C$2:$C$200,"C1"),2))</f>
        <v/>
      </c>
      <c r="I167" s="167" t="str">
        <f t="shared" si="92"/>
        <v/>
      </c>
      <c r="J167" s="167" t="str">
        <f>IF(A167="","",IF(itens_Remanesc!E167="","",itens_Remanesc!E167))</f>
        <v/>
      </c>
      <c r="K167" s="173" t="str">
        <f t="shared" si="93"/>
        <v/>
      </c>
      <c r="L167" s="165" t="str">
        <f>IF(A167="","",ROUND(SUMIFS(aditivos!$L$2:$L$200,aditivos!$A$2:$A$200,A167,aditivos!$C$2:$C$200,"C2"),2))</f>
        <v/>
      </c>
      <c r="M167" s="161" t="str">
        <f t="shared" si="94"/>
        <v/>
      </c>
      <c r="N167" s="161" t="str">
        <f>IF(A167="","",IF(itens_Remanesc!G167="","",itens_Remanesc!G167))</f>
        <v/>
      </c>
      <c r="O167" s="169" t="str">
        <f t="shared" si="95"/>
        <v/>
      </c>
      <c r="P167" s="171" t="str">
        <f>IF(A167="","",ROUND(SUMIFS(aditivos!$L$2:$L$200,aditivos!$A$2:$A$200,A167,aditivos!$C$2:$C$200,"C3"),2))</f>
        <v/>
      </c>
      <c r="Q167" s="167" t="str">
        <f t="shared" si="96"/>
        <v/>
      </c>
      <c r="R167" s="167" t="str">
        <f>IF(A167="","",IF(itens_Remanesc!I167="","",itens_Remanesc!I167))</f>
        <v/>
      </c>
      <c r="S167" s="173" t="str">
        <f t="shared" si="97"/>
        <v/>
      </c>
      <c r="T167" s="165" t="str">
        <f>IF(A167="","",ROUND(SUMIFS(aditivos!$L$2:$L$200,aditivos!$A$2:$A$200,A167,aditivos!$C$2:$C$200,"C4"),2))</f>
        <v/>
      </c>
      <c r="U167" s="161" t="str">
        <f t="shared" si="98"/>
        <v/>
      </c>
      <c r="V167" s="161" t="str">
        <f>IF(A167="","",IF(itens_Remanesc!K167="","",itens_Remanesc!K167))</f>
        <v/>
      </c>
      <c r="W167" s="161" t="str">
        <f t="shared" si="99"/>
        <v/>
      </c>
      <c r="X167" s="148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1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48" t="str">
        <f>IF(itens_Remanesc!A168="","",itens_Remanesc!A168)</f>
        <v/>
      </c>
      <c r="B168" s="200" t="str">
        <f>IF(A168="","",itens_Remanesc!C168)</f>
        <v/>
      </c>
      <c r="C168" s="163" t="str">
        <f>IF(A168="","",IF(itens_Remanesc!B168="",0,itens_Remanesc!B168))</f>
        <v/>
      </c>
      <c r="D168" s="165" t="str">
        <f>IF(A168="","",ROUND(SUMIFS(aditivos!$L$2:$L$200,aditivos!$A$2:$A$200,A168,aditivos!$C$2:$C$200,"C0"),2))</f>
        <v/>
      </c>
      <c r="E168" s="161" t="str">
        <f t="shared" si="90"/>
        <v/>
      </c>
      <c r="F168" s="161" t="str">
        <f>IF(A168="","",IF(itens_Remanesc!B168&lt;&gt;"",itens_Remanesc!B168,IF($Z168,0,"")))</f>
        <v/>
      </c>
      <c r="G168" s="169" t="str">
        <f t="shared" si="91"/>
        <v/>
      </c>
      <c r="H168" s="171" t="str">
        <f>IF(A168="","",ROUND(SUMIFS(aditivos!$L$2:$L$200,aditivos!$A$2:$A$200,A168,aditivos!$C$2:$C$200,"C1"),2))</f>
        <v/>
      </c>
      <c r="I168" s="167" t="str">
        <f t="shared" si="92"/>
        <v/>
      </c>
      <c r="J168" s="167" t="str">
        <f>IF(A168="","",IF(itens_Remanesc!E168="","",itens_Remanesc!E168))</f>
        <v/>
      </c>
      <c r="K168" s="173" t="str">
        <f t="shared" si="93"/>
        <v/>
      </c>
      <c r="L168" s="165" t="str">
        <f>IF(A168="","",ROUND(SUMIFS(aditivos!$L$2:$L$200,aditivos!$A$2:$A$200,A168,aditivos!$C$2:$C$200,"C2"),2))</f>
        <v/>
      </c>
      <c r="M168" s="161" t="str">
        <f t="shared" si="94"/>
        <v/>
      </c>
      <c r="N168" s="161" t="str">
        <f>IF(A168="","",IF(itens_Remanesc!G168="","",itens_Remanesc!G168))</f>
        <v/>
      </c>
      <c r="O168" s="169" t="str">
        <f t="shared" si="95"/>
        <v/>
      </c>
      <c r="P168" s="171" t="str">
        <f>IF(A168="","",ROUND(SUMIFS(aditivos!$L$2:$L$200,aditivos!$A$2:$A$200,A168,aditivos!$C$2:$C$200,"C3"),2))</f>
        <v/>
      </c>
      <c r="Q168" s="167" t="str">
        <f t="shared" si="96"/>
        <v/>
      </c>
      <c r="R168" s="167" t="str">
        <f>IF(A168="","",IF(itens_Remanesc!I168="","",itens_Remanesc!I168))</f>
        <v/>
      </c>
      <c r="S168" s="173" t="str">
        <f t="shared" si="97"/>
        <v/>
      </c>
      <c r="T168" s="165" t="str">
        <f>IF(A168="","",ROUND(SUMIFS(aditivos!$L$2:$L$200,aditivos!$A$2:$A$200,A168,aditivos!$C$2:$C$200,"C4"),2))</f>
        <v/>
      </c>
      <c r="U168" s="161" t="str">
        <f t="shared" si="98"/>
        <v/>
      </c>
      <c r="V168" s="161" t="str">
        <f>IF(A168="","",IF(itens_Remanesc!K168="","",itens_Remanesc!K168))</f>
        <v/>
      </c>
      <c r="W168" s="161" t="str">
        <f t="shared" si="99"/>
        <v/>
      </c>
      <c r="X168" s="148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1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48" t="str">
        <f>IF(itens_Remanesc!A169="","",itens_Remanesc!A169)</f>
        <v/>
      </c>
      <c r="B169" s="200" t="str">
        <f>IF(A169="","",itens_Remanesc!C169)</f>
        <v/>
      </c>
      <c r="C169" s="163" t="str">
        <f>IF(A169="","",IF(itens_Remanesc!B169="",0,itens_Remanesc!B169))</f>
        <v/>
      </c>
      <c r="D169" s="165" t="str">
        <f>IF(A169="","",ROUND(SUMIFS(aditivos!$L$2:$L$200,aditivos!$A$2:$A$200,A169,aditivos!$C$2:$C$200,"C0"),2))</f>
        <v/>
      </c>
      <c r="E169" s="161" t="str">
        <f t="shared" si="90"/>
        <v/>
      </c>
      <c r="F169" s="161" t="str">
        <f>IF(A169="","",IF(itens_Remanesc!B169&lt;&gt;"",itens_Remanesc!B169,IF($Z169,0,"")))</f>
        <v/>
      </c>
      <c r="G169" s="169" t="str">
        <f t="shared" si="91"/>
        <v/>
      </c>
      <c r="H169" s="171" t="str">
        <f>IF(A169="","",ROUND(SUMIFS(aditivos!$L$2:$L$200,aditivos!$A$2:$A$200,A169,aditivos!$C$2:$C$200,"C1"),2))</f>
        <v/>
      </c>
      <c r="I169" s="167" t="str">
        <f t="shared" si="92"/>
        <v/>
      </c>
      <c r="J169" s="167" t="str">
        <f>IF(A169="","",IF(itens_Remanesc!E169="","",itens_Remanesc!E169))</f>
        <v/>
      </c>
      <c r="K169" s="173" t="str">
        <f t="shared" si="93"/>
        <v/>
      </c>
      <c r="L169" s="165" t="str">
        <f>IF(A169="","",ROUND(SUMIFS(aditivos!$L$2:$L$200,aditivos!$A$2:$A$200,A169,aditivos!$C$2:$C$200,"C2"),2))</f>
        <v/>
      </c>
      <c r="M169" s="161" t="str">
        <f t="shared" si="94"/>
        <v/>
      </c>
      <c r="N169" s="161" t="str">
        <f>IF(A169="","",IF(itens_Remanesc!G169="","",itens_Remanesc!G169))</f>
        <v/>
      </c>
      <c r="O169" s="169" t="str">
        <f t="shared" si="95"/>
        <v/>
      </c>
      <c r="P169" s="171" t="str">
        <f>IF(A169="","",ROUND(SUMIFS(aditivos!$L$2:$L$200,aditivos!$A$2:$A$200,A169,aditivos!$C$2:$C$200,"C3"),2))</f>
        <v/>
      </c>
      <c r="Q169" s="167" t="str">
        <f t="shared" si="96"/>
        <v/>
      </c>
      <c r="R169" s="167" t="str">
        <f>IF(A169="","",IF(itens_Remanesc!I169="","",itens_Remanesc!I169))</f>
        <v/>
      </c>
      <c r="S169" s="173" t="str">
        <f t="shared" si="97"/>
        <v/>
      </c>
      <c r="T169" s="165" t="str">
        <f>IF(A169="","",ROUND(SUMIFS(aditivos!$L$2:$L$200,aditivos!$A$2:$A$200,A169,aditivos!$C$2:$C$200,"C4"),2))</f>
        <v/>
      </c>
      <c r="U169" s="161" t="str">
        <f t="shared" si="98"/>
        <v/>
      </c>
      <c r="V169" s="161" t="str">
        <f>IF(A169="","",IF(itens_Remanesc!K169="","",itens_Remanesc!K169))</f>
        <v/>
      </c>
      <c r="W169" s="161" t="str">
        <f t="shared" si="99"/>
        <v/>
      </c>
      <c r="X169" s="148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1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48" t="str">
        <f>IF(itens_Remanesc!A170="","",itens_Remanesc!A170)</f>
        <v/>
      </c>
      <c r="B170" s="200" t="str">
        <f>IF(A170="","",itens_Remanesc!C170)</f>
        <v/>
      </c>
      <c r="C170" s="163" t="str">
        <f>IF(A170="","",IF(itens_Remanesc!B170="",0,itens_Remanesc!B170))</f>
        <v/>
      </c>
      <c r="D170" s="165" t="str">
        <f>IF(A170="","",ROUND(SUMIFS(aditivos!$L$2:$L$200,aditivos!$A$2:$A$200,A170,aditivos!$C$2:$C$200,"C0"),2))</f>
        <v/>
      </c>
      <c r="E170" s="161" t="str">
        <f t="shared" si="90"/>
        <v/>
      </c>
      <c r="F170" s="161" t="str">
        <f>IF(A170="","",IF(itens_Remanesc!B170&lt;&gt;"",itens_Remanesc!B170,IF($Z170,0,"")))</f>
        <v/>
      </c>
      <c r="G170" s="169" t="str">
        <f t="shared" si="91"/>
        <v/>
      </c>
      <c r="H170" s="171" t="str">
        <f>IF(A170="","",ROUND(SUMIFS(aditivos!$L$2:$L$200,aditivos!$A$2:$A$200,A170,aditivos!$C$2:$C$200,"C1"),2))</f>
        <v/>
      </c>
      <c r="I170" s="167" t="str">
        <f t="shared" si="92"/>
        <v/>
      </c>
      <c r="J170" s="167" t="str">
        <f>IF(A170="","",IF(itens_Remanesc!E170="","",itens_Remanesc!E170))</f>
        <v/>
      </c>
      <c r="K170" s="173" t="str">
        <f t="shared" si="93"/>
        <v/>
      </c>
      <c r="L170" s="165" t="str">
        <f>IF(A170="","",ROUND(SUMIFS(aditivos!$L$2:$L$200,aditivos!$A$2:$A$200,A170,aditivos!$C$2:$C$200,"C2"),2))</f>
        <v/>
      </c>
      <c r="M170" s="161" t="str">
        <f t="shared" si="94"/>
        <v/>
      </c>
      <c r="N170" s="161" t="str">
        <f>IF(A170="","",IF(itens_Remanesc!G170="","",itens_Remanesc!G170))</f>
        <v/>
      </c>
      <c r="O170" s="169" t="str">
        <f t="shared" si="95"/>
        <v/>
      </c>
      <c r="P170" s="171" t="str">
        <f>IF(A170="","",ROUND(SUMIFS(aditivos!$L$2:$L$200,aditivos!$A$2:$A$200,A170,aditivos!$C$2:$C$200,"C3"),2))</f>
        <v/>
      </c>
      <c r="Q170" s="167" t="str">
        <f t="shared" si="96"/>
        <v/>
      </c>
      <c r="R170" s="167" t="str">
        <f>IF(A170="","",IF(itens_Remanesc!I170="","",itens_Remanesc!I170))</f>
        <v/>
      </c>
      <c r="S170" s="173" t="str">
        <f t="shared" si="97"/>
        <v/>
      </c>
      <c r="T170" s="165" t="str">
        <f>IF(A170="","",ROUND(SUMIFS(aditivos!$L$2:$L$200,aditivos!$A$2:$A$200,A170,aditivos!$C$2:$C$200,"C4"),2))</f>
        <v/>
      </c>
      <c r="U170" s="161" t="str">
        <f t="shared" si="98"/>
        <v/>
      </c>
      <c r="V170" s="161" t="str">
        <f>IF(A170="","",IF(itens_Remanesc!K170="","",itens_Remanesc!K170))</f>
        <v/>
      </c>
      <c r="W170" s="161" t="str">
        <f t="shared" si="99"/>
        <v/>
      </c>
      <c r="X170" s="148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1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48" t="str">
        <f>IF(itens_Remanesc!A171="","",itens_Remanesc!A171)</f>
        <v/>
      </c>
      <c r="B171" s="200" t="str">
        <f>IF(A171="","",itens_Remanesc!C171)</f>
        <v/>
      </c>
      <c r="C171" s="163" t="str">
        <f>IF(A171="","",IF(itens_Remanesc!B171="",0,itens_Remanesc!B171))</f>
        <v/>
      </c>
      <c r="D171" s="165" t="str">
        <f>IF(A171="","",ROUND(SUMIFS(aditivos!$L$2:$L$200,aditivos!$A$2:$A$200,A171,aditivos!$C$2:$C$200,"C0"),2))</f>
        <v/>
      </c>
      <c r="E171" s="161" t="str">
        <f t="shared" si="90"/>
        <v/>
      </c>
      <c r="F171" s="161" t="str">
        <f>IF(A171="","",IF(itens_Remanesc!B171&lt;&gt;"",itens_Remanesc!B171,IF($Z171,0,"")))</f>
        <v/>
      </c>
      <c r="G171" s="169" t="str">
        <f t="shared" si="91"/>
        <v/>
      </c>
      <c r="H171" s="171" t="str">
        <f>IF(A171="","",ROUND(SUMIFS(aditivos!$L$2:$L$200,aditivos!$A$2:$A$200,A171,aditivos!$C$2:$C$200,"C1"),2))</f>
        <v/>
      </c>
      <c r="I171" s="167" t="str">
        <f t="shared" si="92"/>
        <v/>
      </c>
      <c r="J171" s="167" t="str">
        <f>IF(A171="","",IF(itens_Remanesc!E171="","",itens_Remanesc!E171))</f>
        <v/>
      </c>
      <c r="K171" s="173" t="str">
        <f t="shared" si="93"/>
        <v/>
      </c>
      <c r="L171" s="165" t="str">
        <f>IF(A171="","",ROUND(SUMIFS(aditivos!$L$2:$L$200,aditivos!$A$2:$A$200,A171,aditivos!$C$2:$C$200,"C2"),2))</f>
        <v/>
      </c>
      <c r="M171" s="161" t="str">
        <f t="shared" si="94"/>
        <v/>
      </c>
      <c r="N171" s="161" t="str">
        <f>IF(A171="","",IF(itens_Remanesc!G171="","",itens_Remanesc!G171))</f>
        <v/>
      </c>
      <c r="O171" s="169" t="str">
        <f t="shared" si="95"/>
        <v/>
      </c>
      <c r="P171" s="171" t="str">
        <f>IF(A171="","",ROUND(SUMIFS(aditivos!$L$2:$L$200,aditivos!$A$2:$A$200,A171,aditivos!$C$2:$C$200,"C3"),2))</f>
        <v/>
      </c>
      <c r="Q171" s="167" t="str">
        <f t="shared" si="96"/>
        <v/>
      </c>
      <c r="R171" s="167" t="str">
        <f>IF(A171="","",IF(itens_Remanesc!I171="","",itens_Remanesc!I171))</f>
        <v/>
      </c>
      <c r="S171" s="173" t="str">
        <f t="shared" si="97"/>
        <v/>
      </c>
      <c r="T171" s="165" t="str">
        <f>IF(A171="","",ROUND(SUMIFS(aditivos!$L$2:$L$200,aditivos!$A$2:$A$200,A171,aditivos!$C$2:$C$200,"C4"),2))</f>
        <v/>
      </c>
      <c r="U171" s="161" t="str">
        <f t="shared" si="98"/>
        <v/>
      </c>
      <c r="V171" s="161" t="str">
        <f>IF(A171="","",IF(itens_Remanesc!K171="","",itens_Remanesc!K171))</f>
        <v/>
      </c>
      <c r="W171" s="161" t="str">
        <f t="shared" si="99"/>
        <v/>
      </c>
      <c r="X171" s="148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1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48" t="str">
        <f>IF(itens_Remanesc!A172="","",itens_Remanesc!A172)</f>
        <v/>
      </c>
      <c r="B172" s="200" t="str">
        <f>IF(A172="","",itens_Remanesc!C172)</f>
        <v/>
      </c>
      <c r="C172" s="163" t="str">
        <f>IF(A172="","",IF(itens_Remanesc!B172="",0,itens_Remanesc!B172))</f>
        <v/>
      </c>
      <c r="D172" s="165" t="str">
        <f>IF(A172="","",ROUND(SUMIFS(aditivos!$L$2:$L$200,aditivos!$A$2:$A$200,A172,aditivos!$C$2:$C$200,"C0"),2))</f>
        <v/>
      </c>
      <c r="E172" s="161" t="str">
        <f t="shared" si="90"/>
        <v/>
      </c>
      <c r="F172" s="161" t="str">
        <f>IF(A172="","",IF(itens_Remanesc!B172&lt;&gt;"",itens_Remanesc!B172,IF($Z172,0,"")))</f>
        <v/>
      </c>
      <c r="G172" s="169" t="str">
        <f t="shared" si="91"/>
        <v/>
      </c>
      <c r="H172" s="171" t="str">
        <f>IF(A172="","",ROUND(SUMIFS(aditivos!$L$2:$L$200,aditivos!$A$2:$A$200,A172,aditivos!$C$2:$C$200,"C1"),2))</f>
        <v/>
      </c>
      <c r="I172" s="167" t="str">
        <f t="shared" si="92"/>
        <v/>
      </c>
      <c r="J172" s="167" t="str">
        <f>IF(A172="","",IF(itens_Remanesc!E172="","",itens_Remanesc!E172))</f>
        <v/>
      </c>
      <c r="K172" s="173" t="str">
        <f t="shared" si="93"/>
        <v/>
      </c>
      <c r="L172" s="165" t="str">
        <f>IF(A172="","",ROUND(SUMIFS(aditivos!$L$2:$L$200,aditivos!$A$2:$A$200,A172,aditivos!$C$2:$C$200,"C2"),2))</f>
        <v/>
      </c>
      <c r="M172" s="161" t="str">
        <f t="shared" si="94"/>
        <v/>
      </c>
      <c r="N172" s="161" t="str">
        <f>IF(A172="","",IF(itens_Remanesc!G172="","",itens_Remanesc!G172))</f>
        <v/>
      </c>
      <c r="O172" s="169" t="str">
        <f t="shared" si="95"/>
        <v/>
      </c>
      <c r="P172" s="171" t="str">
        <f>IF(A172="","",ROUND(SUMIFS(aditivos!$L$2:$L$200,aditivos!$A$2:$A$200,A172,aditivos!$C$2:$C$200,"C3"),2))</f>
        <v/>
      </c>
      <c r="Q172" s="167" t="str">
        <f t="shared" si="96"/>
        <v/>
      </c>
      <c r="R172" s="167" t="str">
        <f>IF(A172="","",IF(itens_Remanesc!I172="","",itens_Remanesc!I172))</f>
        <v/>
      </c>
      <c r="S172" s="173" t="str">
        <f t="shared" si="97"/>
        <v/>
      </c>
      <c r="T172" s="165" t="str">
        <f>IF(A172="","",ROUND(SUMIFS(aditivos!$L$2:$L$200,aditivos!$A$2:$A$200,A172,aditivos!$C$2:$C$200,"C4"),2))</f>
        <v/>
      </c>
      <c r="U172" s="161" t="str">
        <f t="shared" si="98"/>
        <v/>
      </c>
      <c r="V172" s="161" t="str">
        <f>IF(A172="","",IF(itens_Remanesc!K172="","",itens_Remanesc!K172))</f>
        <v/>
      </c>
      <c r="W172" s="161" t="str">
        <f t="shared" si="99"/>
        <v/>
      </c>
      <c r="X172" s="148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1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48" t="str">
        <f>IF(itens_Remanesc!A173="","",itens_Remanesc!A173)</f>
        <v/>
      </c>
      <c r="B173" s="200" t="str">
        <f>IF(A173="","",itens_Remanesc!C173)</f>
        <v/>
      </c>
      <c r="C173" s="163" t="str">
        <f>IF(A173="","",IF(itens_Remanesc!B173="",0,itens_Remanesc!B173))</f>
        <v/>
      </c>
      <c r="D173" s="165" t="str">
        <f>IF(A173="","",ROUND(SUMIFS(aditivos!$L$2:$L$200,aditivos!$A$2:$A$200,A173,aditivos!$C$2:$C$200,"C0"),2))</f>
        <v/>
      </c>
      <c r="E173" s="161" t="str">
        <f t="shared" si="90"/>
        <v/>
      </c>
      <c r="F173" s="161" t="str">
        <f>IF(A173="","",IF(itens_Remanesc!B173&lt;&gt;"",itens_Remanesc!B173,IF($Z173,0,"")))</f>
        <v/>
      </c>
      <c r="G173" s="169" t="str">
        <f t="shared" si="91"/>
        <v/>
      </c>
      <c r="H173" s="171" t="str">
        <f>IF(A173="","",ROUND(SUMIFS(aditivos!$L$2:$L$200,aditivos!$A$2:$A$200,A173,aditivos!$C$2:$C$200,"C1"),2))</f>
        <v/>
      </c>
      <c r="I173" s="167" t="str">
        <f t="shared" si="92"/>
        <v/>
      </c>
      <c r="J173" s="167" t="str">
        <f>IF(A173="","",IF(itens_Remanesc!E173="","",itens_Remanesc!E173))</f>
        <v/>
      </c>
      <c r="K173" s="173" t="str">
        <f t="shared" si="93"/>
        <v/>
      </c>
      <c r="L173" s="165" t="str">
        <f>IF(A173="","",ROUND(SUMIFS(aditivos!$L$2:$L$200,aditivos!$A$2:$A$200,A173,aditivos!$C$2:$C$200,"C2"),2))</f>
        <v/>
      </c>
      <c r="M173" s="161" t="str">
        <f t="shared" si="94"/>
        <v/>
      </c>
      <c r="N173" s="161" t="str">
        <f>IF(A173="","",IF(itens_Remanesc!G173="","",itens_Remanesc!G173))</f>
        <v/>
      </c>
      <c r="O173" s="169" t="str">
        <f t="shared" si="95"/>
        <v/>
      </c>
      <c r="P173" s="171" t="str">
        <f>IF(A173="","",ROUND(SUMIFS(aditivos!$L$2:$L$200,aditivos!$A$2:$A$200,A173,aditivos!$C$2:$C$200,"C3"),2))</f>
        <v/>
      </c>
      <c r="Q173" s="167" t="str">
        <f t="shared" si="96"/>
        <v/>
      </c>
      <c r="R173" s="167" t="str">
        <f>IF(A173="","",IF(itens_Remanesc!I173="","",itens_Remanesc!I173))</f>
        <v/>
      </c>
      <c r="S173" s="173" t="str">
        <f t="shared" si="97"/>
        <v/>
      </c>
      <c r="T173" s="165" t="str">
        <f>IF(A173="","",ROUND(SUMIFS(aditivos!$L$2:$L$200,aditivos!$A$2:$A$200,A173,aditivos!$C$2:$C$200,"C4"),2))</f>
        <v/>
      </c>
      <c r="U173" s="161" t="str">
        <f t="shared" si="98"/>
        <v/>
      </c>
      <c r="V173" s="161" t="str">
        <f>IF(A173="","",IF(itens_Remanesc!K173="","",itens_Remanesc!K173))</f>
        <v/>
      </c>
      <c r="W173" s="161" t="str">
        <f t="shared" si="99"/>
        <v/>
      </c>
      <c r="X173" s="148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1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48" t="str">
        <f>IF(itens_Remanesc!A174="","",itens_Remanesc!A174)</f>
        <v/>
      </c>
      <c r="B174" s="200" t="str">
        <f>IF(A174="","",itens_Remanesc!C174)</f>
        <v/>
      </c>
      <c r="C174" s="163" t="str">
        <f>IF(A174="","",IF(itens_Remanesc!B174="",0,itens_Remanesc!B174))</f>
        <v/>
      </c>
      <c r="D174" s="165" t="str">
        <f>IF(A174="","",ROUND(SUMIFS(aditivos!$L$2:$L$200,aditivos!$A$2:$A$200,A174,aditivos!$C$2:$C$200,"C0"),2))</f>
        <v/>
      </c>
      <c r="E174" s="161" t="str">
        <f t="shared" si="90"/>
        <v/>
      </c>
      <c r="F174" s="161" t="str">
        <f>IF(A174="","",IF(itens_Remanesc!B174&lt;&gt;"",itens_Remanesc!B174,IF($Z174,0,"")))</f>
        <v/>
      </c>
      <c r="G174" s="169" t="str">
        <f t="shared" si="91"/>
        <v/>
      </c>
      <c r="H174" s="171" t="str">
        <f>IF(A174="","",ROUND(SUMIFS(aditivos!$L$2:$L$200,aditivos!$A$2:$A$200,A174,aditivos!$C$2:$C$200,"C1"),2))</f>
        <v/>
      </c>
      <c r="I174" s="167" t="str">
        <f t="shared" si="92"/>
        <v/>
      </c>
      <c r="J174" s="167" t="str">
        <f>IF(A174="","",IF(itens_Remanesc!E174="","",itens_Remanesc!E174))</f>
        <v/>
      </c>
      <c r="K174" s="173" t="str">
        <f t="shared" si="93"/>
        <v/>
      </c>
      <c r="L174" s="165" t="str">
        <f>IF(A174="","",ROUND(SUMIFS(aditivos!$L$2:$L$200,aditivos!$A$2:$A$200,A174,aditivos!$C$2:$C$200,"C2"),2))</f>
        <v/>
      </c>
      <c r="M174" s="161" t="str">
        <f t="shared" si="94"/>
        <v/>
      </c>
      <c r="N174" s="161" t="str">
        <f>IF(A174="","",IF(itens_Remanesc!G174="","",itens_Remanesc!G174))</f>
        <v/>
      </c>
      <c r="O174" s="169" t="str">
        <f t="shared" si="95"/>
        <v/>
      </c>
      <c r="P174" s="171" t="str">
        <f>IF(A174="","",ROUND(SUMIFS(aditivos!$L$2:$L$200,aditivos!$A$2:$A$200,A174,aditivos!$C$2:$C$200,"C3"),2))</f>
        <v/>
      </c>
      <c r="Q174" s="167" t="str">
        <f t="shared" si="96"/>
        <v/>
      </c>
      <c r="R174" s="167" t="str">
        <f>IF(A174="","",IF(itens_Remanesc!I174="","",itens_Remanesc!I174))</f>
        <v/>
      </c>
      <c r="S174" s="173" t="str">
        <f t="shared" si="97"/>
        <v/>
      </c>
      <c r="T174" s="165" t="str">
        <f>IF(A174="","",ROUND(SUMIFS(aditivos!$L$2:$L$200,aditivos!$A$2:$A$200,A174,aditivos!$C$2:$C$200,"C4"),2))</f>
        <v/>
      </c>
      <c r="U174" s="161" t="str">
        <f t="shared" si="98"/>
        <v/>
      </c>
      <c r="V174" s="161" t="str">
        <f>IF(A174="","",IF(itens_Remanesc!K174="","",itens_Remanesc!K174))</f>
        <v/>
      </c>
      <c r="W174" s="161" t="str">
        <f t="shared" si="99"/>
        <v/>
      </c>
      <c r="X174" s="148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1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48" t="str">
        <f>IF(itens_Remanesc!A175="","",itens_Remanesc!A175)</f>
        <v/>
      </c>
      <c r="B175" s="200" t="str">
        <f>IF(A175="","",itens_Remanesc!C175)</f>
        <v/>
      </c>
      <c r="C175" s="163" t="str">
        <f>IF(A175="","",IF(itens_Remanesc!B175="",0,itens_Remanesc!B175))</f>
        <v/>
      </c>
      <c r="D175" s="165" t="str">
        <f>IF(A175="","",ROUND(SUMIFS(aditivos!$L$2:$L$200,aditivos!$A$2:$A$200,A175,aditivos!$C$2:$C$200,"C0"),2))</f>
        <v/>
      </c>
      <c r="E175" s="161" t="str">
        <f t="shared" si="90"/>
        <v/>
      </c>
      <c r="F175" s="161" t="str">
        <f>IF(A175="","",IF(itens_Remanesc!B175&lt;&gt;"",itens_Remanesc!B175,IF($Z175,0,"")))</f>
        <v/>
      </c>
      <c r="G175" s="169" t="str">
        <f t="shared" si="91"/>
        <v/>
      </c>
      <c r="H175" s="171" t="str">
        <f>IF(A175="","",ROUND(SUMIFS(aditivos!$L$2:$L$200,aditivos!$A$2:$A$200,A175,aditivos!$C$2:$C$200,"C1"),2))</f>
        <v/>
      </c>
      <c r="I175" s="167" t="str">
        <f t="shared" si="92"/>
        <v/>
      </c>
      <c r="J175" s="167" t="str">
        <f>IF(A175="","",IF(itens_Remanesc!E175="","",itens_Remanesc!E175))</f>
        <v/>
      </c>
      <c r="K175" s="173" t="str">
        <f t="shared" si="93"/>
        <v/>
      </c>
      <c r="L175" s="165" t="str">
        <f>IF(A175="","",ROUND(SUMIFS(aditivos!$L$2:$L$200,aditivos!$A$2:$A$200,A175,aditivos!$C$2:$C$200,"C2"),2))</f>
        <v/>
      </c>
      <c r="M175" s="161" t="str">
        <f t="shared" si="94"/>
        <v/>
      </c>
      <c r="N175" s="161" t="str">
        <f>IF(A175="","",IF(itens_Remanesc!G175="","",itens_Remanesc!G175))</f>
        <v/>
      </c>
      <c r="O175" s="169" t="str">
        <f t="shared" si="95"/>
        <v/>
      </c>
      <c r="P175" s="171" t="str">
        <f>IF(A175="","",ROUND(SUMIFS(aditivos!$L$2:$L$200,aditivos!$A$2:$A$200,A175,aditivos!$C$2:$C$200,"C3"),2))</f>
        <v/>
      </c>
      <c r="Q175" s="167" t="str">
        <f t="shared" si="96"/>
        <v/>
      </c>
      <c r="R175" s="167" t="str">
        <f>IF(A175="","",IF(itens_Remanesc!I175="","",itens_Remanesc!I175))</f>
        <v/>
      </c>
      <c r="S175" s="173" t="str">
        <f t="shared" si="97"/>
        <v/>
      </c>
      <c r="T175" s="165" t="str">
        <f>IF(A175="","",ROUND(SUMIFS(aditivos!$L$2:$L$200,aditivos!$A$2:$A$200,A175,aditivos!$C$2:$C$200,"C4"),2))</f>
        <v/>
      </c>
      <c r="U175" s="161" t="str">
        <f t="shared" si="98"/>
        <v/>
      </c>
      <c r="V175" s="161" t="str">
        <f>IF(A175="","",IF(itens_Remanesc!K175="","",itens_Remanesc!K175))</f>
        <v/>
      </c>
      <c r="W175" s="161" t="str">
        <f t="shared" si="99"/>
        <v/>
      </c>
      <c r="X175" s="148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1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48" t="str">
        <f>IF(itens_Remanesc!A176="","",itens_Remanesc!A176)</f>
        <v/>
      </c>
      <c r="B176" s="200" t="str">
        <f>IF(A176="","",itens_Remanesc!C176)</f>
        <v/>
      </c>
      <c r="C176" s="163" t="str">
        <f>IF(A176="","",IF(itens_Remanesc!B176="",0,itens_Remanesc!B176))</f>
        <v/>
      </c>
      <c r="D176" s="165" t="str">
        <f>IF(A176="","",ROUND(SUMIFS(aditivos!$L$2:$L$200,aditivos!$A$2:$A$200,A176,aditivos!$C$2:$C$200,"C0"),2))</f>
        <v/>
      </c>
      <c r="E176" s="161" t="str">
        <f t="shared" si="90"/>
        <v/>
      </c>
      <c r="F176" s="161" t="str">
        <f>IF(A176="","",IF(itens_Remanesc!B176&lt;&gt;"",itens_Remanesc!B176,IF($Z176,0,"")))</f>
        <v/>
      </c>
      <c r="G176" s="169" t="str">
        <f t="shared" si="91"/>
        <v/>
      </c>
      <c r="H176" s="171" t="str">
        <f>IF(A176="","",ROUND(SUMIFS(aditivos!$L$2:$L$200,aditivos!$A$2:$A$200,A176,aditivos!$C$2:$C$200,"C1"),2))</f>
        <v/>
      </c>
      <c r="I176" s="167" t="str">
        <f t="shared" si="92"/>
        <v/>
      </c>
      <c r="J176" s="167" t="str">
        <f>IF(A176="","",IF(itens_Remanesc!E176="","",itens_Remanesc!E176))</f>
        <v/>
      </c>
      <c r="K176" s="173" t="str">
        <f t="shared" si="93"/>
        <v/>
      </c>
      <c r="L176" s="165" t="str">
        <f>IF(A176="","",ROUND(SUMIFS(aditivos!$L$2:$L$200,aditivos!$A$2:$A$200,A176,aditivos!$C$2:$C$200,"C2"),2))</f>
        <v/>
      </c>
      <c r="M176" s="161" t="str">
        <f t="shared" si="94"/>
        <v/>
      </c>
      <c r="N176" s="161" t="str">
        <f>IF(A176="","",IF(itens_Remanesc!G176="","",itens_Remanesc!G176))</f>
        <v/>
      </c>
      <c r="O176" s="169" t="str">
        <f t="shared" si="95"/>
        <v/>
      </c>
      <c r="P176" s="171" t="str">
        <f>IF(A176="","",ROUND(SUMIFS(aditivos!$L$2:$L$200,aditivos!$A$2:$A$200,A176,aditivos!$C$2:$C$200,"C3"),2))</f>
        <v/>
      </c>
      <c r="Q176" s="167" t="str">
        <f t="shared" si="96"/>
        <v/>
      </c>
      <c r="R176" s="167" t="str">
        <f>IF(A176="","",IF(itens_Remanesc!I176="","",itens_Remanesc!I176))</f>
        <v/>
      </c>
      <c r="S176" s="173" t="str">
        <f t="shared" si="97"/>
        <v/>
      </c>
      <c r="T176" s="165" t="str">
        <f>IF(A176="","",ROUND(SUMIFS(aditivos!$L$2:$L$200,aditivos!$A$2:$A$200,A176,aditivos!$C$2:$C$200,"C4"),2))</f>
        <v/>
      </c>
      <c r="U176" s="161" t="str">
        <f t="shared" si="98"/>
        <v/>
      </c>
      <c r="V176" s="161" t="str">
        <f>IF(A176="","",IF(itens_Remanesc!K176="","",itens_Remanesc!K176))</f>
        <v/>
      </c>
      <c r="W176" s="161" t="str">
        <f t="shared" si="99"/>
        <v/>
      </c>
      <c r="X176" s="148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1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48" t="str">
        <f>IF(itens_Remanesc!A177="","",itens_Remanesc!A177)</f>
        <v/>
      </c>
      <c r="B177" s="200" t="str">
        <f>IF(A177="","",itens_Remanesc!C177)</f>
        <v/>
      </c>
      <c r="C177" s="163" t="str">
        <f>IF(A177="","",IF(itens_Remanesc!B177="",0,itens_Remanesc!B177))</f>
        <v/>
      </c>
      <c r="D177" s="165" t="str">
        <f>IF(A177="","",ROUND(SUMIFS(aditivos!$L$2:$L$200,aditivos!$A$2:$A$200,A177,aditivos!$C$2:$C$200,"C0"),2))</f>
        <v/>
      </c>
      <c r="E177" s="161" t="str">
        <f t="shared" si="90"/>
        <v/>
      </c>
      <c r="F177" s="161" t="str">
        <f>IF(A177="","",IF(itens_Remanesc!B177&lt;&gt;"",itens_Remanesc!B177,IF($Z177,0,"")))</f>
        <v/>
      </c>
      <c r="G177" s="169" t="str">
        <f t="shared" si="91"/>
        <v/>
      </c>
      <c r="H177" s="171" t="str">
        <f>IF(A177="","",ROUND(SUMIFS(aditivos!$L$2:$L$200,aditivos!$A$2:$A$200,A177,aditivos!$C$2:$C$200,"C1"),2))</f>
        <v/>
      </c>
      <c r="I177" s="167" t="str">
        <f t="shared" si="92"/>
        <v/>
      </c>
      <c r="J177" s="167" t="str">
        <f>IF(A177="","",IF(itens_Remanesc!E177="","",itens_Remanesc!E177))</f>
        <v/>
      </c>
      <c r="K177" s="173" t="str">
        <f t="shared" si="93"/>
        <v/>
      </c>
      <c r="L177" s="165" t="str">
        <f>IF(A177="","",ROUND(SUMIFS(aditivos!$L$2:$L$200,aditivos!$A$2:$A$200,A177,aditivos!$C$2:$C$200,"C2"),2))</f>
        <v/>
      </c>
      <c r="M177" s="161" t="str">
        <f t="shared" si="94"/>
        <v/>
      </c>
      <c r="N177" s="161" t="str">
        <f>IF(A177="","",IF(itens_Remanesc!G177="","",itens_Remanesc!G177))</f>
        <v/>
      </c>
      <c r="O177" s="169" t="str">
        <f t="shared" si="95"/>
        <v/>
      </c>
      <c r="P177" s="171" t="str">
        <f>IF(A177="","",ROUND(SUMIFS(aditivos!$L$2:$L$200,aditivos!$A$2:$A$200,A177,aditivos!$C$2:$C$200,"C3"),2))</f>
        <v/>
      </c>
      <c r="Q177" s="167" t="str">
        <f t="shared" si="96"/>
        <v/>
      </c>
      <c r="R177" s="167" t="str">
        <f>IF(A177="","",IF(itens_Remanesc!I177="","",itens_Remanesc!I177))</f>
        <v/>
      </c>
      <c r="S177" s="173" t="str">
        <f t="shared" si="97"/>
        <v/>
      </c>
      <c r="T177" s="165" t="str">
        <f>IF(A177="","",ROUND(SUMIFS(aditivos!$L$2:$L$200,aditivos!$A$2:$A$200,A177,aditivos!$C$2:$C$200,"C4"),2))</f>
        <v/>
      </c>
      <c r="U177" s="161" t="str">
        <f t="shared" si="98"/>
        <v/>
      </c>
      <c r="V177" s="161" t="str">
        <f>IF(A177="","",IF(itens_Remanesc!K177="","",itens_Remanesc!K177))</f>
        <v/>
      </c>
      <c r="W177" s="161" t="str">
        <f t="shared" si="99"/>
        <v/>
      </c>
      <c r="X177" s="148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1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48" t="str">
        <f>IF(itens_Remanesc!A178="","",itens_Remanesc!A178)</f>
        <v/>
      </c>
      <c r="B178" s="200" t="str">
        <f>IF(A178="","",itens_Remanesc!C178)</f>
        <v/>
      </c>
      <c r="C178" s="163" t="str">
        <f>IF(A178="","",IF(itens_Remanesc!B178="",0,itens_Remanesc!B178))</f>
        <v/>
      </c>
      <c r="D178" s="165" t="str">
        <f>IF(A178="","",ROUND(SUMIFS(aditivos!$L$2:$L$200,aditivos!$A$2:$A$200,A178,aditivos!$C$2:$C$200,"C0"),2))</f>
        <v/>
      </c>
      <c r="E178" s="161" t="str">
        <f t="shared" si="90"/>
        <v/>
      </c>
      <c r="F178" s="161" t="str">
        <f>IF(A178="","",IF(itens_Remanesc!B178&lt;&gt;"",itens_Remanesc!B178,IF($Z178,0,"")))</f>
        <v/>
      </c>
      <c r="G178" s="169" t="str">
        <f t="shared" si="91"/>
        <v/>
      </c>
      <c r="H178" s="171" t="str">
        <f>IF(A178="","",ROUND(SUMIFS(aditivos!$L$2:$L$200,aditivos!$A$2:$A$200,A178,aditivos!$C$2:$C$200,"C1"),2))</f>
        <v/>
      </c>
      <c r="I178" s="167" t="str">
        <f t="shared" si="92"/>
        <v/>
      </c>
      <c r="J178" s="167" t="str">
        <f>IF(A178="","",IF(itens_Remanesc!E178="","",itens_Remanesc!E178))</f>
        <v/>
      </c>
      <c r="K178" s="173" t="str">
        <f t="shared" si="93"/>
        <v/>
      </c>
      <c r="L178" s="165" t="str">
        <f>IF(A178="","",ROUND(SUMIFS(aditivos!$L$2:$L$200,aditivos!$A$2:$A$200,A178,aditivos!$C$2:$C$200,"C2"),2))</f>
        <v/>
      </c>
      <c r="M178" s="161" t="str">
        <f t="shared" si="94"/>
        <v/>
      </c>
      <c r="N178" s="161" t="str">
        <f>IF(A178="","",IF(itens_Remanesc!G178="","",itens_Remanesc!G178))</f>
        <v/>
      </c>
      <c r="O178" s="169" t="str">
        <f t="shared" si="95"/>
        <v/>
      </c>
      <c r="P178" s="171" t="str">
        <f>IF(A178="","",ROUND(SUMIFS(aditivos!$L$2:$L$200,aditivos!$A$2:$A$200,A178,aditivos!$C$2:$C$200,"C3"),2))</f>
        <v/>
      </c>
      <c r="Q178" s="167" t="str">
        <f t="shared" si="96"/>
        <v/>
      </c>
      <c r="R178" s="167" t="str">
        <f>IF(A178="","",IF(itens_Remanesc!I178="","",itens_Remanesc!I178))</f>
        <v/>
      </c>
      <c r="S178" s="173" t="str">
        <f t="shared" si="97"/>
        <v/>
      </c>
      <c r="T178" s="165" t="str">
        <f>IF(A178="","",ROUND(SUMIFS(aditivos!$L$2:$L$200,aditivos!$A$2:$A$200,A178,aditivos!$C$2:$C$200,"C4"),2))</f>
        <v/>
      </c>
      <c r="U178" s="161" t="str">
        <f t="shared" si="98"/>
        <v/>
      </c>
      <c r="V178" s="161" t="str">
        <f>IF(A178="","",IF(itens_Remanesc!K178="","",itens_Remanesc!K178))</f>
        <v/>
      </c>
      <c r="W178" s="161" t="str">
        <f t="shared" si="99"/>
        <v/>
      </c>
      <c r="X178" s="148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1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48" t="str">
        <f>IF(itens_Remanesc!A179="","",itens_Remanesc!A179)</f>
        <v/>
      </c>
      <c r="B179" s="200" t="str">
        <f>IF(A179="","",itens_Remanesc!C179)</f>
        <v/>
      </c>
      <c r="C179" s="163" t="str">
        <f>IF(A179="","",IF(itens_Remanesc!B179="",0,itens_Remanesc!B179))</f>
        <v/>
      </c>
      <c r="D179" s="165" t="str">
        <f>IF(A179="","",ROUND(SUMIFS(aditivos!$L$2:$L$200,aditivos!$A$2:$A$200,A179,aditivos!$C$2:$C$200,"C0"),2))</f>
        <v/>
      </c>
      <c r="E179" s="161" t="str">
        <f t="shared" si="90"/>
        <v/>
      </c>
      <c r="F179" s="161" t="str">
        <f>IF(A179="","",IF(itens_Remanesc!B179&lt;&gt;"",itens_Remanesc!B179,IF($Z179,0,"")))</f>
        <v/>
      </c>
      <c r="G179" s="169" t="str">
        <f t="shared" si="91"/>
        <v/>
      </c>
      <c r="H179" s="171" t="str">
        <f>IF(A179="","",ROUND(SUMIFS(aditivos!$L$2:$L$200,aditivos!$A$2:$A$200,A179,aditivos!$C$2:$C$200,"C1"),2))</f>
        <v/>
      </c>
      <c r="I179" s="167" t="str">
        <f t="shared" si="92"/>
        <v/>
      </c>
      <c r="J179" s="167" t="str">
        <f>IF(A179="","",IF(itens_Remanesc!E179="","",itens_Remanesc!E179))</f>
        <v/>
      </c>
      <c r="K179" s="173" t="str">
        <f t="shared" si="93"/>
        <v/>
      </c>
      <c r="L179" s="165" t="str">
        <f>IF(A179="","",ROUND(SUMIFS(aditivos!$L$2:$L$200,aditivos!$A$2:$A$200,A179,aditivos!$C$2:$C$200,"C2"),2))</f>
        <v/>
      </c>
      <c r="M179" s="161" t="str">
        <f t="shared" si="94"/>
        <v/>
      </c>
      <c r="N179" s="161" t="str">
        <f>IF(A179="","",IF(itens_Remanesc!G179="","",itens_Remanesc!G179))</f>
        <v/>
      </c>
      <c r="O179" s="169" t="str">
        <f t="shared" si="95"/>
        <v/>
      </c>
      <c r="P179" s="171" t="str">
        <f>IF(A179="","",ROUND(SUMIFS(aditivos!$L$2:$L$200,aditivos!$A$2:$A$200,A179,aditivos!$C$2:$C$200,"C3"),2))</f>
        <v/>
      </c>
      <c r="Q179" s="167" t="str">
        <f t="shared" si="96"/>
        <v/>
      </c>
      <c r="R179" s="167" t="str">
        <f>IF(A179="","",IF(itens_Remanesc!I179="","",itens_Remanesc!I179))</f>
        <v/>
      </c>
      <c r="S179" s="173" t="str">
        <f t="shared" si="97"/>
        <v/>
      </c>
      <c r="T179" s="165" t="str">
        <f>IF(A179="","",ROUND(SUMIFS(aditivos!$L$2:$L$200,aditivos!$A$2:$A$200,A179,aditivos!$C$2:$C$200,"C4"),2))</f>
        <v/>
      </c>
      <c r="U179" s="161" t="str">
        <f t="shared" si="98"/>
        <v/>
      </c>
      <c r="V179" s="161" t="str">
        <f>IF(A179="","",IF(itens_Remanesc!K179="","",itens_Remanesc!K179))</f>
        <v/>
      </c>
      <c r="W179" s="161" t="str">
        <f t="shared" si="99"/>
        <v/>
      </c>
      <c r="X179" s="148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1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48" t="str">
        <f>IF(itens_Remanesc!A180="","",itens_Remanesc!A180)</f>
        <v/>
      </c>
      <c r="B180" s="200" t="str">
        <f>IF(A180="","",itens_Remanesc!C180)</f>
        <v/>
      </c>
      <c r="C180" s="163" t="str">
        <f>IF(A180="","",IF(itens_Remanesc!B180="",0,itens_Remanesc!B180))</f>
        <v/>
      </c>
      <c r="D180" s="165" t="str">
        <f>IF(A180="","",ROUND(SUMIFS(aditivos!$L$2:$L$200,aditivos!$A$2:$A$200,A180,aditivos!$C$2:$C$200,"C0"),2))</f>
        <v/>
      </c>
      <c r="E180" s="161" t="str">
        <f t="shared" si="90"/>
        <v/>
      </c>
      <c r="F180" s="161" t="str">
        <f>IF(A180="","",IF(itens_Remanesc!B180&lt;&gt;"",itens_Remanesc!B180,IF($Z180,0,"")))</f>
        <v/>
      </c>
      <c r="G180" s="169" t="str">
        <f t="shared" si="91"/>
        <v/>
      </c>
      <c r="H180" s="171" t="str">
        <f>IF(A180="","",ROUND(SUMIFS(aditivos!$L$2:$L$200,aditivos!$A$2:$A$200,A180,aditivos!$C$2:$C$200,"C1"),2))</f>
        <v/>
      </c>
      <c r="I180" s="167" t="str">
        <f t="shared" si="92"/>
        <v/>
      </c>
      <c r="J180" s="167" t="str">
        <f>IF(A180="","",IF(itens_Remanesc!E180="","",itens_Remanesc!E180))</f>
        <v/>
      </c>
      <c r="K180" s="173" t="str">
        <f t="shared" si="93"/>
        <v/>
      </c>
      <c r="L180" s="165" t="str">
        <f>IF(A180="","",ROUND(SUMIFS(aditivos!$L$2:$L$200,aditivos!$A$2:$A$200,A180,aditivos!$C$2:$C$200,"C2"),2))</f>
        <v/>
      </c>
      <c r="M180" s="161" t="str">
        <f t="shared" si="94"/>
        <v/>
      </c>
      <c r="N180" s="161" t="str">
        <f>IF(A180="","",IF(itens_Remanesc!G180="","",itens_Remanesc!G180))</f>
        <v/>
      </c>
      <c r="O180" s="169" t="str">
        <f t="shared" si="95"/>
        <v/>
      </c>
      <c r="P180" s="171" t="str">
        <f>IF(A180="","",ROUND(SUMIFS(aditivos!$L$2:$L$200,aditivos!$A$2:$A$200,A180,aditivos!$C$2:$C$200,"C3"),2))</f>
        <v/>
      </c>
      <c r="Q180" s="167" t="str">
        <f t="shared" si="96"/>
        <v/>
      </c>
      <c r="R180" s="167" t="str">
        <f>IF(A180="","",IF(itens_Remanesc!I180="","",itens_Remanesc!I180))</f>
        <v/>
      </c>
      <c r="S180" s="173" t="str">
        <f t="shared" si="97"/>
        <v/>
      </c>
      <c r="T180" s="165" t="str">
        <f>IF(A180="","",ROUND(SUMIFS(aditivos!$L$2:$L$200,aditivos!$A$2:$A$200,A180,aditivos!$C$2:$C$200,"C4"),2))</f>
        <v/>
      </c>
      <c r="U180" s="161" t="str">
        <f t="shared" si="98"/>
        <v/>
      </c>
      <c r="V180" s="161" t="str">
        <f>IF(A180="","",IF(itens_Remanesc!K180="","",itens_Remanesc!K180))</f>
        <v/>
      </c>
      <c r="W180" s="161" t="str">
        <f t="shared" si="99"/>
        <v/>
      </c>
      <c r="X180" s="148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1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48" t="str">
        <f>IF(itens_Remanesc!A181="","",itens_Remanesc!A181)</f>
        <v/>
      </c>
      <c r="B181" s="200" t="str">
        <f>IF(A181="","",itens_Remanesc!C181)</f>
        <v/>
      </c>
      <c r="C181" s="163" t="str">
        <f>IF(A181="","",IF(itens_Remanesc!B181="",0,itens_Remanesc!B181))</f>
        <v/>
      </c>
      <c r="D181" s="165" t="str">
        <f>IF(A181="","",ROUND(SUMIFS(aditivos!$L$2:$L$200,aditivos!$A$2:$A$200,A181,aditivos!$C$2:$C$200,"C0"),2))</f>
        <v/>
      </c>
      <c r="E181" s="161" t="str">
        <f t="shared" si="90"/>
        <v/>
      </c>
      <c r="F181" s="161" t="str">
        <f>IF(A181="","",IF(itens_Remanesc!B181&lt;&gt;"",itens_Remanesc!B181,IF($Z181,0,"")))</f>
        <v/>
      </c>
      <c r="G181" s="169" t="str">
        <f t="shared" si="91"/>
        <v/>
      </c>
      <c r="H181" s="171" t="str">
        <f>IF(A181="","",ROUND(SUMIFS(aditivos!$L$2:$L$200,aditivos!$A$2:$A$200,A181,aditivos!$C$2:$C$200,"C1"),2))</f>
        <v/>
      </c>
      <c r="I181" s="167" t="str">
        <f t="shared" si="92"/>
        <v/>
      </c>
      <c r="J181" s="167" t="str">
        <f>IF(A181="","",IF(itens_Remanesc!E181="","",itens_Remanesc!E181))</f>
        <v/>
      </c>
      <c r="K181" s="173" t="str">
        <f t="shared" si="93"/>
        <v/>
      </c>
      <c r="L181" s="165" t="str">
        <f>IF(A181="","",ROUND(SUMIFS(aditivos!$L$2:$L$200,aditivos!$A$2:$A$200,A181,aditivos!$C$2:$C$200,"C2"),2))</f>
        <v/>
      </c>
      <c r="M181" s="161" t="str">
        <f t="shared" si="94"/>
        <v/>
      </c>
      <c r="N181" s="161" t="str">
        <f>IF(A181="","",IF(itens_Remanesc!G181="","",itens_Remanesc!G181))</f>
        <v/>
      </c>
      <c r="O181" s="169" t="str">
        <f t="shared" si="95"/>
        <v/>
      </c>
      <c r="P181" s="171" t="str">
        <f>IF(A181="","",ROUND(SUMIFS(aditivos!$L$2:$L$200,aditivos!$A$2:$A$200,A181,aditivos!$C$2:$C$200,"C3"),2))</f>
        <v/>
      </c>
      <c r="Q181" s="167" t="str">
        <f t="shared" si="96"/>
        <v/>
      </c>
      <c r="R181" s="167" t="str">
        <f>IF(A181="","",IF(itens_Remanesc!I181="","",itens_Remanesc!I181))</f>
        <v/>
      </c>
      <c r="S181" s="173" t="str">
        <f t="shared" si="97"/>
        <v/>
      </c>
      <c r="T181" s="165" t="str">
        <f>IF(A181="","",ROUND(SUMIFS(aditivos!$L$2:$L$200,aditivos!$A$2:$A$200,A181,aditivos!$C$2:$C$200,"C4"),2))</f>
        <v/>
      </c>
      <c r="U181" s="161" t="str">
        <f t="shared" si="98"/>
        <v/>
      </c>
      <c r="V181" s="161" t="str">
        <f>IF(A181="","",IF(itens_Remanesc!K181="","",itens_Remanesc!K181))</f>
        <v/>
      </c>
      <c r="W181" s="161" t="str">
        <f t="shared" si="99"/>
        <v/>
      </c>
      <c r="X181" s="148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1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48" t="str">
        <f>IF(itens_Remanesc!A182="","",itens_Remanesc!A182)</f>
        <v/>
      </c>
      <c r="B182" s="200" t="str">
        <f>IF(A182="","",itens_Remanesc!C182)</f>
        <v/>
      </c>
      <c r="C182" s="163" t="str">
        <f>IF(A182="","",IF(itens_Remanesc!B182="",0,itens_Remanesc!B182))</f>
        <v/>
      </c>
      <c r="D182" s="165" t="str">
        <f>IF(A182="","",ROUND(SUMIFS(aditivos!$L$2:$L$200,aditivos!$A$2:$A$200,A182,aditivos!$C$2:$C$200,"C0"),2))</f>
        <v/>
      </c>
      <c r="E182" s="161" t="str">
        <f t="shared" si="90"/>
        <v/>
      </c>
      <c r="F182" s="161" t="str">
        <f>IF(A182="","",IF(itens_Remanesc!B182&lt;&gt;"",itens_Remanesc!B182,IF($Z182,0,"")))</f>
        <v/>
      </c>
      <c r="G182" s="169" t="str">
        <f t="shared" si="91"/>
        <v/>
      </c>
      <c r="H182" s="171" t="str">
        <f>IF(A182="","",ROUND(SUMIFS(aditivos!$L$2:$L$200,aditivos!$A$2:$A$200,A182,aditivos!$C$2:$C$200,"C1"),2))</f>
        <v/>
      </c>
      <c r="I182" s="167" t="str">
        <f t="shared" si="92"/>
        <v/>
      </c>
      <c r="J182" s="167" t="str">
        <f>IF(A182="","",IF(itens_Remanesc!E182="","",itens_Remanesc!E182))</f>
        <v/>
      </c>
      <c r="K182" s="173" t="str">
        <f t="shared" si="93"/>
        <v/>
      </c>
      <c r="L182" s="165" t="str">
        <f>IF(A182="","",ROUND(SUMIFS(aditivos!$L$2:$L$200,aditivos!$A$2:$A$200,A182,aditivos!$C$2:$C$200,"C2"),2))</f>
        <v/>
      </c>
      <c r="M182" s="161" t="str">
        <f t="shared" si="94"/>
        <v/>
      </c>
      <c r="N182" s="161" t="str">
        <f>IF(A182="","",IF(itens_Remanesc!G182="","",itens_Remanesc!G182))</f>
        <v/>
      </c>
      <c r="O182" s="169" t="str">
        <f t="shared" si="95"/>
        <v/>
      </c>
      <c r="P182" s="171" t="str">
        <f>IF(A182="","",ROUND(SUMIFS(aditivos!$L$2:$L$200,aditivos!$A$2:$A$200,A182,aditivos!$C$2:$C$200,"C3"),2))</f>
        <v/>
      </c>
      <c r="Q182" s="167" t="str">
        <f t="shared" si="96"/>
        <v/>
      </c>
      <c r="R182" s="167" t="str">
        <f>IF(A182="","",IF(itens_Remanesc!I182="","",itens_Remanesc!I182))</f>
        <v/>
      </c>
      <c r="S182" s="173" t="str">
        <f t="shared" si="97"/>
        <v/>
      </c>
      <c r="T182" s="165" t="str">
        <f>IF(A182="","",ROUND(SUMIFS(aditivos!$L$2:$L$200,aditivos!$A$2:$A$200,A182,aditivos!$C$2:$C$200,"C4"),2))</f>
        <v/>
      </c>
      <c r="U182" s="161" t="str">
        <f t="shared" si="98"/>
        <v/>
      </c>
      <c r="V182" s="161" t="str">
        <f>IF(A182="","",IF(itens_Remanesc!K182="","",itens_Remanesc!K182))</f>
        <v/>
      </c>
      <c r="W182" s="161" t="str">
        <f t="shared" si="99"/>
        <v/>
      </c>
      <c r="X182" s="148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1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48" t="str">
        <f>IF(itens_Remanesc!A183="","",itens_Remanesc!A183)</f>
        <v/>
      </c>
      <c r="B183" s="200" t="str">
        <f>IF(A183="","",itens_Remanesc!C183)</f>
        <v/>
      </c>
      <c r="C183" s="163" t="str">
        <f>IF(A183="","",IF(itens_Remanesc!B183="",0,itens_Remanesc!B183))</f>
        <v/>
      </c>
      <c r="D183" s="165" t="str">
        <f>IF(A183="","",ROUND(SUMIFS(aditivos!$L$2:$L$200,aditivos!$A$2:$A$200,A183,aditivos!$C$2:$C$200,"C0"),2))</f>
        <v/>
      </c>
      <c r="E183" s="161" t="str">
        <f t="shared" si="90"/>
        <v/>
      </c>
      <c r="F183" s="161" t="str">
        <f>IF(A183="","",IF(itens_Remanesc!B183&lt;&gt;"",itens_Remanesc!B183,IF($Z183,0,"")))</f>
        <v/>
      </c>
      <c r="G183" s="169" t="str">
        <f t="shared" si="91"/>
        <v/>
      </c>
      <c r="H183" s="171" t="str">
        <f>IF(A183="","",ROUND(SUMIFS(aditivos!$L$2:$L$200,aditivos!$A$2:$A$200,A183,aditivos!$C$2:$C$200,"C1"),2))</f>
        <v/>
      </c>
      <c r="I183" s="167" t="str">
        <f t="shared" si="92"/>
        <v/>
      </c>
      <c r="J183" s="167" t="str">
        <f>IF(A183="","",IF(itens_Remanesc!E183="","",itens_Remanesc!E183))</f>
        <v/>
      </c>
      <c r="K183" s="173" t="str">
        <f t="shared" si="93"/>
        <v/>
      </c>
      <c r="L183" s="165" t="str">
        <f>IF(A183="","",ROUND(SUMIFS(aditivos!$L$2:$L$200,aditivos!$A$2:$A$200,A183,aditivos!$C$2:$C$200,"C2"),2))</f>
        <v/>
      </c>
      <c r="M183" s="161" t="str">
        <f t="shared" si="94"/>
        <v/>
      </c>
      <c r="N183" s="161" t="str">
        <f>IF(A183="","",IF(itens_Remanesc!G183="","",itens_Remanesc!G183))</f>
        <v/>
      </c>
      <c r="O183" s="169" t="str">
        <f t="shared" si="95"/>
        <v/>
      </c>
      <c r="P183" s="171" t="str">
        <f>IF(A183="","",ROUND(SUMIFS(aditivos!$L$2:$L$200,aditivos!$A$2:$A$200,A183,aditivos!$C$2:$C$200,"C3"),2))</f>
        <v/>
      </c>
      <c r="Q183" s="167" t="str">
        <f t="shared" si="96"/>
        <v/>
      </c>
      <c r="R183" s="167" t="str">
        <f>IF(A183="","",IF(itens_Remanesc!I183="","",itens_Remanesc!I183))</f>
        <v/>
      </c>
      <c r="S183" s="173" t="str">
        <f t="shared" si="97"/>
        <v/>
      </c>
      <c r="T183" s="165" t="str">
        <f>IF(A183="","",ROUND(SUMIFS(aditivos!$L$2:$L$200,aditivos!$A$2:$A$200,A183,aditivos!$C$2:$C$200,"C4"),2))</f>
        <v/>
      </c>
      <c r="U183" s="161" t="str">
        <f t="shared" si="98"/>
        <v/>
      </c>
      <c r="V183" s="161" t="str">
        <f>IF(A183="","",IF(itens_Remanesc!K183="","",itens_Remanesc!K183))</f>
        <v/>
      </c>
      <c r="W183" s="161" t="str">
        <f t="shared" si="99"/>
        <v/>
      </c>
      <c r="X183" s="148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1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48" t="str">
        <f>IF(itens_Remanesc!A184="","",itens_Remanesc!A184)</f>
        <v/>
      </c>
      <c r="B184" s="200" t="str">
        <f>IF(A184="","",itens_Remanesc!C184)</f>
        <v/>
      </c>
      <c r="C184" s="163" t="str">
        <f>IF(A184="","",IF(itens_Remanesc!B184="",0,itens_Remanesc!B184))</f>
        <v/>
      </c>
      <c r="D184" s="165" t="str">
        <f>IF(A184="","",ROUND(SUMIFS(aditivos!$L$2:$L$200,aditivos!$A$2:$A$200,A184,aditivos!$C$2:$C$200,"C0"),2))</f>
        <v/>
      </c>
      <c r="E184" s="161" t="str">
        <f t="shared" si="90"/>
        <v/>
      </c>
      <c r="F184" s="161" t="str">
        <f>IF(A184="","",IF(itens_Remanesc!B184&lt;&gt;"",itens_Remanesc!B184,IF($Z184,0,"")))</f>
        <v/>
      </c>
      <c r="G184" s="169" t="str">
        <f t="shared" si="91"/>
        <v/>
      </c>
      <c r="H184" s="171" t="str">
        <f>IF(A184="","",ROUND(SUMIFS(aditivos!$L$2:$L$200,aditivos!$A$2:$A$200,A184,aditivos!$C$2:$C$200,"C1"),2))</f>
        <v/>
      </c>
      <c r="I184" s="167" t="str">
        <f t="shared" si="92"/>
        <v/>
      </c>
      <c r="J184" s="167" t="str">
        <f>IF(A184="","",IF(itens_Remanesc!E184="","",itens_Remanesc!E184))</f>
        <v/>
      </c>
      <c r="K184" s="173" t="str">
        <f t="shared" si="93"/>
        <v/>
      </c>
      <c r="L184" s="165" t="str">
        <f>IF(A184="","",ROUND(SUMIFS(aditivos!$L$2:$L$200,aditivos!$A$2:$A$200,A184,aditivos!$C$2:$C$200,"C2"),2))</f>
        <v/>
      </c>
      <c r="M184" s="161" t="str">
        <f t="shared" si="94"/>
        <v/>
      </c>
      <c r="N184" s="161" t="str">
        <f>IF(A184="","",IF(itens_Remanesc!G184="","",itens_Remanesc!G184))</f>
        <v/>
      </c>
      <c r="O184" s="169" t="str">
        <f t="shared" si="95"/>
        <v/>
      </c>
      <c r="P184" s="171" t="str">
        <f>IF(A184="","",ROUND(SUMIFS(aditivos!$L$2:$L$200,aditivos!$A$2:$A$200,A184,aditivos!$C$2:$C$200,"C3"),2))</f>
        <v/>
      </c>
      <c r="Q184" s="167" t="str">
        <f t="shared" si="96"/>
        <v/>
      </c>
      <c r="R184" s="167" t="str">
        <f>IF(A184="","",IF(itens_Remanesc!I184="","",itens_Remanesc!I184))</f>
        <v/>
      </c>
      <c r="S184" s="173" t="str">
        <f t="shared" si="97"/>
        <v/>
      </c>
      <c r="T184" s="165" t="str">
        <f>IF(A184="","",ROUND(SUMIFS(aditivos!$L$2:$L$200,aditivos!$A$2:$A$200,A184,aditivos!$C$2:$C$200,"C4"),2))</f>
        <v/>
      </c>
      <c r="U184" s="161" t="str">
        <f t="shared" si="98"/>
        <v/>
      </c>
      <c r="V184" s="161" t="str">
        <f>IF(A184="","",IF(itens_Remanesc!K184="","",itens_Remanesc!K184))</f>
        <v/>
      </c>
      <c r="W184" s="161" t="str">
        <f t="shared" si="99"/>
        <v/>
      </c>
      <c r="X184" s="148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1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48" t="str">
        <f>IF(itens_Remanesc!A185="","",itens_Remanesc!A185)</f>
        <v/>
      </c>
      <c r="B185" s="200" t="str">
        <f>IF(A185="","",itens_Remanesc!C185)</f>
        <v/>
      </c>
      <c r="C185" s="163" t="str">
        <f>IF(A185="","",IF(itens_Remanesc!B185="",0,itens_Remanesc!B185))</f>
        <v/>
      </c>
      <c r="D185" s="165" t="str">
        <f>IF(A185="","",ROUND(SUMIFS(aditivos!$L$2:$L$200,aditivos!$A$2:$A$200,A185,aditivos!$C$2:$C$200,"C0"),2))</f>
        <v/>
      </c>
      <c r="E185" s="161" t="str">
        <f t="shared" si="90"/>
        <v/>
      </c>
      <c r="F185" s="161" t="str">
        <f>IF(A185="","",IF(itens_Remanesc!B185&lt;&gt;"",itens_Remanesc!B185,IF($Z185,0,"")))</f>
        <v/>
      </c>
      <c r="G185" s="169" t="str">
        <f t="shared" si="91"/>
        <v/>
      </c>
      <c r="H185" s="171" t="str">
        <f>IF(A185="","",ROUND(SUMIFS(aditivos!$L$2:$L$200,aditivos!$A$2:$A$200,A185,aditivos!$C$2:$C$200,"C1"),2))</f>
        <v/>
      </c>
      <c r="I185" s="167" t="str">
        <f t="shared" si="92"/>
        <v/>
      </c>
      <c r="J185" s="167" t="str">
        <f>IF(A185="","",IF(itens_Remanesc!E185="","",itens_Remanesc!E185))</f>
        <v/>
      </c>
      <c r="K185" s="173" t="str">
        <f t="shared" si="93"/>
        <v/>
      </c>
      <c r="L185" s="165" t="str">
        <f>IF(A185="","",ROUND(SUMIFS(aditivos!$L$2:$L$200,aditivos!$A$2:$A$200,A185,aditivos!$C$2:$C$200,"C2"),2))</f>
        <v/>
      </c>
      <c r="M185" s="161" t="str">
        <f t="shared" si="94"/>
        <v/>
      </c>
      <c r="N185" s="161" t="str">
        <f>IF(A185="","",IF(itens_Remanesc!G185="","",itens_Remanesc!G185))</f>
        <v/>
      </c>
      <c r="O185" s="169" t="str">
        <f t="shared" si="95"/>
        <v/>
      </c>
      <c r="P185" s="171" t="str">
        <f>IF(A185="","",ROUND(SUMIFS(aditivos!$L$2:$L$200,aditivos!$A$2:$A$200,A185,aditivos!$C$2:$C$200,"C3"),2))</f>
        <v/>
      </c>
      <c r="Q185" s="167" t="str">
        <f t="shared" si="96"/>
        <v/>
      </c>
      <c r="R185" s="167" t="str">
        <f>IF(A185="","",IF(itens_Remanesc!I185="","",itens_Remanesc!I185))</f>
        <v/>
      </c>
      <c r="S185" s="173" t="str">
        <f t="shared" si="97"/>
        <v/>
      </c>
      <c r="T185" s="165" t="str">
        <f>IF(A185="","",ROUND(SUMIFS(aditivos!$L$2:$L$200,aditivos!$A$2:$A$200,A185,aditivos!$C$2:$C$200,"C4"),2))</f>
        <v/>
      </c>
      <c r="U185" s="161" t="str">
        <f t="shared" si="98"/>
        <v/>
      </c>
      <c r="V185" s="161" t="str">
        <f>IF(A185="","",IF(itens_Remanesc!K185="","",itens_Remanesc!K185))</f>
        <v/>
      </c>
      <c r="W185" s="161" t="str">
        <f t="shared" si="99"/>
        <v/>
      </c>
      <c r="X185" s="148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1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48" t="str">
        <f>IF(itens_Remanesc!A186="","",itens_Remanesc!A186)</f>
        <v/>
      </c>
      <c r="B186" s="200" t="str">
        <f>IF(A186="","",itens_Remanesc!C186)</f>
        <v/>
      </c>
      <c r="C186" s="163" t="str">
        <f>IF(A186="","",IF(itens_Remanesc!B186="",0,itens_Remanesc!B186))</f>
        <v/>
      </c>
      <c r="D186" s="165" t="str">
        <f>IF(A186="","",ROUND(SUMIFS(aditivos!$L$2:$L$200,aditivos!$A$2:$A$200,A186,aditivos!$C$2:$C$200,"C0"),2))</f>
        <v/>
      </c>
      <c r="E186" s="161" t="str">
        <f t="shared" si="90"/>
        <v/>
      </c>
      <c r="F186" s="161" t="str">
        <f>IF(A186="","",IF(itens_Remanesc!B186&lt;&gt;"",itens_Remanesc!B186,IF($Z186,0,"")))</f>
        <v/>
      </c>
      <c r="G186" s="169" t="str">
        <f t="shared" si="91"/>
        <v/>
      </c>
      <c r="H186" s="171" t="str">
        <f>IF(A186="","",ROUND(SUMIFS(aditivos!$L$2:$L$200,aditivos!$A$2:$A$200,A186,aditivos!$C$2:$C$200,"C1"),2))</f>
        <v/>
      </c>
      <c r="I186" s="167" t="str">
        <f t="shared" si="92"/>
        <v/>
      </c>
      <c r="J186" s="167" t="str">
        <f>IF(A186="","",IF(itens_Remanesc!E186="","",itens_Remanesc!E186))</f>
        <v/>
      </c>
      <c r="K186" s="173" t="str">
        <f t="shared" si="93"/>
        <v/>
      </c>
      <c r="L186" s="165" t="str">
        <f>IF(A186="","",ROUND(SUMIFS(aditivos!$L$2:$L$200,aditivos!$A$2:$A$200,A186,aditivos!$C$2:$C$200,"C2"),2))</f>
        <v/>
      </c>
      <c r="M186" s="161" t="str">
        <f t="shared" si="94"/>
        <v/>
      </c>
      <c r="N186" s="161" t="str">
        <f>IF(A186="","",IF(itens_Remanesc!G186="","",itens_Remanesc!G186))</f>
        <v/>
      </c>
      <c r="O186" s="169" t="str">
        <f t="shared" si="95"/>
        <v/>
      </c>
      <c r="P186" s="171" t="str">
        <f>IF(A186="","",ROUND(SUMIFS(aditivos!$L$2:$L$200,aditivos!$A$2:$A$200,A186,aditivos!$C$2:$C$200,"C3"),2))</f>
        <v/>
      </c>
      <c r="Q186" s="167" t="str">
        <f t="shared" si="96"/>
        <v/>
      </c>
      <c r="R186" s="167" t="str">
        <f>IF(A186="","",IF(itens_Remanesc!I186="","",itens_Remanesc!I186))</f>
        <v/>
      </c>
      <c r="S186" s="173" t="str">
        <f t="shared" si="97"/>
        <v/>
      </c>
      <c r="T186" s="165" t="str">
        <f>IF(A186="","",ROUND(SUMIFS(aditivos!$L$2:$L$200,aditivos!$A$2:$A$200,A186,aditivos!$C$2:$C$200,"C4"),2))</f>
        <v/>
      </c>
      <c r="U186" s="161" t="str">
        <f t="shared" si="98"/>
        <v/>
      </c>
      <c r="V186" s="161" t="str">
        <f>IF(A186="","",IF(itens_Remanesc!K186="","",itens_Remanesc!K186))</f>
        <v/>
      </c>
      <c r="W186" s="161" t="str">
        <f t="shared" si="99"/>
        <v/>
      </c>
      <c r="X186" s="148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1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48" t="str">
        <f>IF(itens_Remanesc!A187="","",itens_Remanesc!A187)</f>
        <v/>
      </c>
      <c r="B187" s="200" t="str">
        <f>IF(A187="","",itens_Remanesc!C187)</f>
        <v/>
      </c>
      <c r="C187" s="163" t="str">
        <f>IF(A187="","",IF(itens_Remanesc!B187="",0,itens_Remanesc!B187))</f>
        <v/>
      </c>
      <c r="D187" s="165" t="str">
        <f>IF(A187="","",ROUND(SUMIFS(aditivos!$L$2:$L$200,aditivos!$A$2:$A$200,A187,aditivos!$C$2:$C$200,"C0"),2))</f>
        <v/>
      </c>
      <c r="E187" s="161" t="str">
        <f t="shared" si="90"/>
        <v/>
      </c>
      <c r="F187" s="161" t="str">
        <f>IF(A187="","",IF(itens_Remanesc!B187&lt;&gt;"",itens_Remanesc!B187,IF($Z187,0,"")))</f>
        <v/>
      </c>
      <c r="G187" s="169" t="str">
        <f t="shared" si="91"/>
        <v/>
      </c>
      <c r="H187" s="171" t="str">
        <f>IF(A187="","",ROUND(SUMIFS(aditivos!$L$2:$L$200,aditivos!$A$2:$A$200,A187,aditivos!$C$2:$C$200,"C1"),2))</f>
        <v/>
      </c>
      <c r="I187" s="167" t="str">
        <f t="shared" si="92"/>
        <v/>
      </c>
      <c r="J187" s="167" t="str">
        <f>IF(A187="","",IF(itens_Remanesc!E187="","",itens_Remanesc!E187))</f>
        <v/>
      </c>
      <c r="K187" s="173" t="str">
        <f t="shared" si="93"/>
        <v/>
      </c>
      <c r="L187" s="165" t="str">
        <f>IF(A187="","",ROUND(SUMIFS(aditivos!$L$2:$L$200,aditivos!$A$2:$A$200,A187,aditivos!$C$2:$C$200,"C2"),2))</f>
        <v/>
      </c>
      <c r="M187" s="161" t="str">
        <f t="shared" si="94"/>
        <v/>
      </c>
      <c r="N187" s="161" t="str">
        <f>IF(A187="","",IF(itens_Remanesc!G187="","",itens_Remanesc!G187))</f>
        <v/>
      </c>
      <c r="O187" s="169" t="str">
        <f t="shared" si="95"/>
        <v/>
      </c>
      <c r="P187" s="171" t="str">
        <f>IF(A187="","",ROUND(SUMIFS(aditivos!$L$2:$L$200,aditivos!$A$2:$A$200,A187,aditivos!$C$2:$C$200,"C3"),2))</f>
        <v/>
      </c>
      <c r="Q187" s="167" t="str">
        <f t="shared" si="96"/>
        <v/>
      </c>
      <c r="R187" s="167" t="str">
        <f>IF(A187="","",IF(itens_Remanesc!I187="","",itens_Remanesc!I187))</f>
        <v/>
      </c>
      <c r="S187" s="173" t="str">
        <f t="shared" si="97"/>
        <v/>
      </c>
      <c r="T187" s="165" t="str">
        <f>IF(A187="","",ROUND(SUMIFS(aditivos!$L$2:$L$200,aditivos!$A$2:$A$200,A187,aditivos!$C$2:$C$200,"C4"),2))</f>
        <v/>
      </c>
      <c r="U187" s="161" t="str">
        <f t="shared" si="98"/>
        <v/>
      </c>
      <c r="V187" s="161" t="str">
        <f>IF(A187="","",IF(itens_Remanesc!K187="","",itens_Remanesc!K187))</f>
        <v/>
      </c>
      <c r="W187" s="161" t="str">
        <f t="shared" si="99"/>
        <v/>
      </c>
      <c r="X187" s="148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1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48" t="str">
        <f>IF(itens_Remanesc!A188="","",itens_Remanesc!A188)</f>
        <v/>
      </c>
      <c r="B188" s="200" t="str">
        <f>IF(A188="","",itens_Remanesc!C188)</f>
        <v/>
      </c>
      <c r="C188" s="163" t="str">
        <f>IF(A188="","",IF(itens_Remanesc!B188="",0,itens_Remanesc!B188))</f>
        <v/>
      </c>
      <c r="D188" s="165" t="str">
        <f>IF(A188="","",ROUND(SUMIFS(aditivos!$L$2:$L$200,aditivos!$A$2:$A$200,A188,aditivos!$C$2:$C$200,"C0"),2))</f>
        <v/>
      </c>
      <c r="E188" s="161" t="str">
        <f t="shared" si="90"/>
        <v/>
      </c>
      <c r="F188" s="161" t="str">
        <f>IF(A188="","",IF(itens_Remanesc!B188&lt;&gt;"",itens_Remanesc!B188,IF($Z188,0,"")))</f>
        <v/>
      </c>
      <c r="G188" s="169" t="str">
        <f t="shared" si="91"/>
        <v/>
      </c>
      <c r="H188" s="171" t="str">
        <f>IF(A188="","",ROUND(SUMIFS(aditivos!$L$2:$L$200,aditivos!$A$2:$A$200,A188,aditivos!$C$2:$C$200,"C1"),2))</f>
        <v/>
      </c>
      <c r="I188" s="167" t="str">
        <f t="shared" si="92"/>
        <v/>
      </c>
      <c r="J188" s="167" t="str">
        <f>IF(A188="","",IF(itens_Remanesc!E188="","",itens_Remanesc!E188))</f>
        <v/>
      </c>
      <c r="K188" s="173" t="str">
        <f t="shared" si="93"/>
        <v/>
      </c>
      <c r="L188" s="165" t="str">
        <f>IF(A188="","",ROUND(SUMIFS(aditivos!$L$2:$L$200,aditivos!$A$2:$A$200,A188,aditivos!$C$2:$C$200,"C2"),2))</f>
        <v/>
      </c>
      <c r="M188" s="161" t="str">
        <f t="shared" si="94"/>
        <v/>
      </c>
      <c r="N188" s="161" t="str">
        <f>IF(A188="","",IF(itens_Remanesc!G188="","",itens_Remanesc!G188))</f>
        <v/>
      </c>
      <c r="O188" s="169" t="str">
        <f t="shared" si="95"/>
        <v/>
      </c>
      <c r="P188" s="171" t="str">
        <f>IF(A188="","",ROUND(SUMIFS(aditivos!$L$2:$L$200,aditivos!$A$2:$A$200,A188,aditivos!$C$2:$C$200,"C3"),2))</f>
        <v/>
      </c>
      <c r="Q188" s="167" t="str">
        <f t="shared" si="96"/>
        <v/>
      </c>
      <c r="R188" s="167" t="str">
        <f>IF(A188="","",IF(itens_Remanesc!I188="","",itens_Remanesc!I188))</f>
        <v/>
      </c>
      <c r="S188" s="173" t="str">
        <f t="shared" si="97"/>
        <v/>
      </c>
      <c r="T188" s="165" t="str">
        <f>IF(A188="","",ROUND(SUMIFS(aditivos!$L$2:$L$200,aditivos!$A$2:$A$200,A188,aditivos!$C$2:$C$200,"C4"),2))</f>
        <v/>
      </c>
      <c r="U188" s="161" t="str">
        <f t="shared" si="98"/>
        <v/>
      </c>
      <c r="V188" s="161" t="str">
        <f>IF(A188="","",IF(itens_Remanesc!K188="","",itens_Remanesc!K188))</f>
        <v/>
      </c>
      <c r="W188" s="161" t="str">
        <f t="shared" si="99"/>
        <v/>
      </c>
      <c r="X188" s="148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1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48" t="str">
        <f>IF(itens_Remanesc!A189="","",itens_Remanesc!A189)</f>
        <v/>
      </c>
      <c r="B189" s="200" t="str">
        <f>IF(A189="","",itens_Remanesc!C189)</f>
        <v/>
      </c>
      <c r="C189" s="163" t="str">
        <f>IF(A189="","",IF(itens_Remanesc!B189="",0,itens_Remanesc!B189))</f>
        <v/>
      </c>
      <c r="D189" s="165" t="str">
        <f>IF(A189="","",ROUND(SUMIFS(aditivos!$L$2:$L$200,aditivos!$A$2:$A$200,A189,aditivos!$C$2:$C$200,"C0"),2))</f>
        <v/>
      </c>
      <c r="E189" s="161" t="str">
        <f t="shared" si="90"/>
        <v/>
      </c>
      <c r="F189" s="161" t="str">
        <f>IF(A189="","",IF(itens_Remanesc!B189&lt;&gt;"",itens_Remanesc!B189,IF($Z189,0,"")))</f>
        <v/>
      </c>
      <c r="G189" s="169" t="str">
        <f t="shared" si="91"/>
        <v/>
      </c>
      <c r="H189" s="171" t="str">
        <f>IF(A189="","",ROUND(SUMIFS(aditivos!$L$2:$L$200,aditivos!$A$2:$A$200,A189,aditivos!$C$2:$C$200,"C1"),2))</f>
        <v/>
      </c>
      <c r="I189" s="167" t="str">
        <f t="shared" si="92"/>
        <v/>
      </c>
      <c r="J189" s="167" t="str">
        <f>IF(A189="","",IF(itens_Remanesc!E189="","",itens_Remanesc!E189))</f>
        <v/>
      </c>
      <c r="K189" s="173" t="str">
        <f t="shared" si="93"/>
        <v/>
      </c>
      <c r="L189" s="165" t="str">
        <f>IF(A189="","",ROUND(SUMIFS(aditivos!$L$2:$L$200,aditivos!$A$2:$A$200,A189,aditivos!$C$2:$C$200,"C2"),2))</f>
        <v/>
      </c>
      <c r="M189" s="161" t="str">
        <f t="shared" si="94"/>
        <v/>
      </c>
      <c r="N189" s="161" t="str">
        <f>IF(A189="","",IF(itens_Remanesc!G189="","",itens_Remanesc!G189))</f>
        <v/>
      </c>
      <c r="O189" s="169" t="str">
        <f t="shared" si="95"/>
        <v/>
      </c>
      <c r="P189" s="171" t="str">
        <f>IF(A189="","",ROUND(SUMIFS(aditivos!$L$2:$L$200,aditivos!$A$2:$A$200,A189,aditivos!$C$2:$C$200,"C3"),2))</f>
        <v/>
      </c>
      <c r="Q189" s="167" t="str">
        <f t="shared" si="96"/>
        <v/>
      </c>
      <c r="R189" s="167" t="str">
        <f>IF(A189="","",IF(itens_Remanesc!I189="","",itens_Remanesc!I189))</f>
        <v/>
      </c>
      <c r="S189" s="173" t="str">
        <f t="shared" si="97"/>
        <v/>
      </c>
      <c r="T189" s="165" t="str">
        <f>IF(A189="","",ROUND(SUMIFS(aditivos!$L$2:$L$200,aditivos!$A$2:$A$200,A189,aditivos!$C$2:$C$200,"C4"),2))</f>
        <v/>
      </c>
      <c r="U189" s="161" t="str">
        <f t="shared" si="98"/>
        <v/>
      </c>
      <c r="V189" s="161" t="str">
        <f>IF(A189="","",IF(itens_Remanesc!K189="","",itens_Remanesc!K189))</f>
        <v/>
      </c>
      <c r="W189" s="161" t="str">
        <f t="shared" si="99"/>
        <v/>
      </c>
      <c r="X189" s="148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1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48" t="str">
        <f>IF(itens_Remanesc!A190="","",itens_Remanesc!A190)</f>
        <v/>
      </c>
      <c r="B190" s="200" t="str">
        <f>IF(A190="","",itens_Remanesc!C190)</f>
        <v/>
      </c>
      <c r="C190" s="163" t="str">
        <f>IF(A190="","",IF(itens_Remanesc!B190="",0,itens_Remanesc!B190))</f>
        <v/>
      </c>
      <c r="D190" s="165" t="str">
        <f>IF(A190="","",ROUND(SUMIFS(aditivos!$L$2:$L$200,aditivos!$A$2:$A$200,A190,aditivos!$C$2:$C$200,"C0"),2))</f>
        <v/>
      </c>
      <c r="E190" s="161" t="str">
        <f t="shared" si="90"/>
        <v/>
      </c>
      <c r="F190" s="161" t="str">
        <f>IF(A190="","",IF(itens_Remanesc!B190&lt;&gt;"",itens_Remanesc!B190,IF($Z190,0,"")))</f>
        <v/>
      </c>
      <c r="G190" s="169" t="str">
        <f t="shared" si="91"/>
        <v/>
      </c>
      <c r="H190" s="171" t="str">
        <f>IF(A190="","",ROUND(SUMIFS(aditivos!$L$2:$L$200,aditivos!$A$2:$A$200,A190,aditivos!$C$2:$C$200,"C1"),2))</f>
        <v/>
      </c>
      <c r="I190" s="167" t="str">
        <f t="shared" si="92"/>
        <v/>
      </c>
      <c r="J190" s="167" t="str">
        <f>IF(A190="","",IF(itens_Remanesc!E190="","",itens_Remanesc!E190))</f>
        <v/>
      </c>
      <c r="K190" s="173" t="str">
        <f t="shared" si="93"/>
        <v/>
      </c>
      <c r="L190" s="165" t="str">
        <f>IF(A190="","",ROUND(SUMIFS(aditivos!$L$2:$L$200,aditivos!$A$2:$A$200,A190,aditivos!$C$2:$C$200,"C2"),2))</f>
        <v/>
      </c>
      <c r="M190" s="161" t="str">
        <f t="shared" si="94"/>
        <v/>
      </c>
      <c r="N190" s="161" t="str">
        <f>IF(A190="","",IF(itens_Remanesc!G190="","",itens_Remanesc!G190))</f>
        <v/>
      </c>
      <c r="O190" s="169" t="str">
        <f t="shared" si="95"/>
        <v/>
      </c>
      <c r="P190" s="171" t="str">
        <f>IF(A190="","",ROUND(SUMIFS(aditivos!$L$2:$L$200,aditivos!$A$2:$A$200,A190,aditivos!$C$2:$C$200,"C3"),2))</f>
        <v/>
      </c>
      <c r="Q190" s="167" t="str">
        <f t="shared" si="96"/>
        <v/>
      </c>
      <c r="R190" s="167" t="str">
        <f>IF(A190="","",IF(itens_Remanesc!I190="","",itens_Remanesc!I190))</f>
        <v/>
      </c>
      <c r="S190" s="173" t="str">
        <f t="shared" si="97"/>
        <v/>
      </c>
      <c r="T190" s="165" t="str">
        <f>IF(A190="","",ROUND(SUMIFS(aditivos!$L$2:$L$200,aditivos!$A$2:$A$200,A190,aditivos!$C$2:$C$200,"C4"),2))</f>
        <v/>
      </c>
      <c r="U190" s="161" t="str">
        <f t="shared" si="98"/>
        <v/>
      </c>
      <c r="V190" s="161" t="str">
        <f>IF(A190="","",IF(itens_Remanesc!K190="","",itens_Remanesc!K190))</f>
        <v/>
      </c>
      <c r="W190" s="161" t="str">
        <f t="shared" si="99"/>
        <v/>
      </c>
      <c r="X190" s="148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1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48" t="str">
        <f>IF(itens_Remanesc!A191="","",itens_Remanesc!A191)</f>
        <v/>
      </c>
      <c r="B191" s="200" t="str">
        <f>IF(A191="","",itens_Remanesc!C191)</f>
        <v/>
      </c>
      <c r="C191" s="163" t="str">
        <f>IF(A191="","",IF(itens_Remanesc!B191="",0,itens_Remanesc!B191))</f>
        <v/>
      </c>
      <c r="D191" s="165" t="str">
        <f>IF(A191="","",ROUND(SUMIFS(aditivos!$L$2:$L$200,aditivos!$A$2:$A$200,A191,aditivos!$C$2:$C$200,"C0"),2))</f>
        <v/>
      </c>
      <c r="E191" s="161" t="str">
        <f t="shared" si="90"/>
        <v/>
      </c>
      <c r="F191" s="161" t="str">
        <f>IF(A191="","",IF(itens_Remanesc!B191&lt;&gt;"",itens_Remanesc!B191,IF($Z191,0,"")))</f>
        <v/>
      </c>
      <c r="G191" s="169" t="str">
        <f t="shared" si="91"/>
        <v/>
      </c>
      <c r="H191" s="171" t="str">
        <f>IF(A191="","",ROUND(SUMIFS(aditivos!$L$2:$L$200,aditivos!$A$2:$A$200,A191,aditivos!$C$2:$C$200,"C1"),2))</f>
        <v/>
      </c>
      <c r="I191" s="167" t="str">
        <f t="shared" si="92"/>
        <v/>
      </c>
      <c r="J191" s="167" t="str">
        <f>IF(A191="","",IF(itens_Remanesc!E191="","",itens_Remanesc!E191))</f>
        <v/>
      </c>
      <c r="K191" s="173" t="str">
        <f t="shared" si="93"/>
        <v/>
      </c>
      <c r="L191" s="165" t="str">
        <f>IF(A191="","",ROUND(SUMIFS(aditivos!$L$2:$L$200,aditivos!$A$2:$A$200,A191,aditivos!$C$2:$C$200,"C2"),2))</f>
        <v/>
      </c>
      <c r="M191" s="161" t="str">
        <f t="shared" si="94"/>
        <v/>
      </c>
      <c r="N191" s="161" t="str">
        <f>IF(A191="","",IF(itens_Remanesc!G191="","",itens_Remanesc!G191))</f>
        <v/>
      </c>
      <c r="O191" s="169" t="str">
        <f t="shared" si="95"/>
        <v/>
      </c>
      <c r="P191" s="171" t="str">
        <f>IF(A191="","",ROUND(SUMIFS(aditivos!$L$2:$L$200,aditivos!$A$2:$A$200,A191,aditivos!$C$2:$C$200,"C3"),2))</f>
        <v/>
      </c>
      <c r="Q191" s="167" t="str">
        <f t="shared" si="96"/>
        <v/>
      </c>
      <c r="R191" s="167" t="str">
        <f>IF(A191="","",IF(itens_Remanesc!I191="","",itens_Remanesc!I191))</f>
        <v/>
      </c>
      <c r="S191" s="173" t="str">
        <f t="shared" si="97"/>
        <v/>
      </c>
      <c r="T191" s="165" t="str">
        <f>IF(A191="","",ROUND(SUMIFS(aditivos!$L$2:$L$200,aditivos!$A$2:$A$200,A191,aditivos!$C$2:$C$200,"C4"),2))</f>
        <v/>
      </c>
      <c r="U191" s="161" t="str">
        <f t="shared" si="98"/>
        <v/>
      </c>
      <c r="V191" s="161" t="str">
        <f>IF(A191="","",IF(itens_Remanesc!K191="","",itens_Remanesc!K191))</f>
        <v/>
      </c>
      <c r="W191" s="161" t="str">
        <f t="shared" si="99"/>
        <v/>
      </c>
      <c r="X191" s="148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1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48" t="str">
        <f>IF(itens_Remanesc!A192="","",itens_Remanesc!A192)</f>
        <v/>
      </c>
      <c r="B192" s="200" t="str">
        <f>IF(A192="","",itens_Remanesc!C192)</f>
        <v/>
      </c>
      <c r="C192" s="163" t="str">
        <f>IF(A192="","",IF(itens_Remanesc!B192="",0,itens_Remanesc!B192))</f>
        <v/>
      </c>
      <c r="D192" s="165" t="str">
        <f>IF(A192="","",ROUND(SUMIFS(aditivos!$L$2:$L$200,aditivos!$A$2:$A$200,A192,aditivos!$C$2:$C$200,"C0"),2))</f>
        <v/>
      </c>
      <c r="E192" s="161" t="str">
        <f t="shared" si="90"/>
        <v/>
      </c>
      <c r="F192" s="161" t="str">
        <f>IF(A192="","",IF(itens_Remanesc!B192&lt;&gt;"",itens_Remanesc!B192,IF($Z192,0,"")))</f>
        <v/>
      </c>
      <c r="G192" s="169" t="str">
        <f t="shared" si="91"/>
        <v/>
      </c>
      <c r="H192" s="171" t="str">
        <f>IF(A192="","",ROUND(SUMIFS(aditivos!$L$2:$L$200,aditivos!$A$2:$A$200,A192,aditivos!$C$2:$C$200,"C1"),2))</f>
        <v/>
      </c>
      <c r="I192" s="167" t="str">
        <f t="shared" si="92"/>
        <v/>
      </c>
      <c r="J192" s="167" t="str">
        <f>IF(A192="","",IF(itens_Remanesc!E192="","",itens_Remanesc!E192))</f>
        <v/>
      </c>
      <c r="K192" s="173" t="str">
        <f t="shared" si="93"/>
        <v/>
      </c>
      <c r="L192" s="165" t="str">
        <f>IF(A192="","",ROUND(SUMIFS(aditivos!$L$2:$L$200,aditivos!$A$2:$A$200,A192,aditivos!$C$2:$C$200,"C2"),2))</f>
        <v/>
      </c>
      <c r="M192" s="161" t="str">
        <f t="shared" si="94"/>
        <v/>
      </c>
      <c r="N192" s="161" t="str">
        <f>IF(A192="","",IF(itens_Remanesc!G192="","",itens_Remanesc!G192))</f>
        <v/>
      </c>
      <c r="O192" s="169" t="str">
        <f t="shared" si="95"/>
        <v/>
      </c>
      <c r="P192" s="171" t="str">
        <f>IF(A192="","",ROUND(SUMIFS(aditivos!$L$2:$L$200,aditivos!$A$2:$A$200,A192,aditivos!$C$2:$C$200,"C3"),2))</f>
        <v/>
      </c>
      <c r="Q192" s="167" t="str">
        <f t="shared" si="96"/>
        <v/>
      </c>
      <c r="R192" s="167" t="str">
        <f>IF(A192="","",IF(itens_Remanesc!I192="","",itens_Remanesc!I192))</f>
        <v/>
      </c>
      <c r="S192" s="173" t="str">
        <f t="shared" si="97"/>
        <v/>
      </c>
      <c r="T192" s="165" t="str">
        <f>IF(A192="","",ROUND(SUMIFS(aditivos!$L$2:$L$200,aditivos!$A$2:$A$200,A192,aditivos!$C$2:$C$200,"C4"),2))</f>
        <v/>
      </c>
      <c r="U192" s="161" t="str">
        <f t="shared" si="98"/>
        <v/>
      </c>
      <c r="V192" s="161" t="str">
        <f>IF(A192="","",IF(itens_Remanesc!K192="","",itens_Remanesc!K192))</f>
        <v/>
      </c>
      <c r="W192" s="161" t="str">
        <f t="shared" si="99"/>
        <v/>
      </c>
      <c r="X192" s="148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1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48" t="str">
        <f>IF(itens_Remanesc!A193="","",itens_Remanesc!A193)</f>
        <v/>
      </c>
      <c r="B193" s="200" t="str">
        <f>IF(A193="","",itens_Remanesc!C193)</f>
        <v/>
      </c>
      <c r="C193" s="163" t="str">
        <f>IF(A193="","",IF(itens_Remanesc!B193="",0,itens_Remanesc!B193))</f>
        <v/>
      </c>
      <c r="D193" s="165" t="str">
        <f>IF(A193="","",ROUND(SUMIFS(aditivos!$L$2:$L$200,aditivos!$A$2:$A$200,A193,aditivos!$C$2:$C$200,"C0"),2))</f>
        <v/>
      </c>
      <c r="E193" s="161" t="str">
        <f t="shared" si="90"/>
        <v/>
      </c>
      <c r="F193" s="161" t="str">
        <f>IF(A193="","",IF(itens_Remanesc!B193&lt;&gt;"",itens_Remanesc!B193,IF($Z193,0,"")))</f>
        <v/>
      </c>
      <c r="G193" s="169" t="str">
        <f t="shared" si="91"/>
        <v/>
      </c>
      <c r="H193" s="171" t="str">
        <f>IF(A193="","",ROUND(SUMIFS(aditivos!$L$2:$L$200,aditivos!$A$2:$A$200,A193,aditivos!$C$2:$C$200,"C1"),2))</f>
        <v/>
      </c>
      <c r="I193" s="167" t="str">
        <f t="shared" si="92"/>
        <v/>
      </c>
      <c r="J193" s="167" t="str">
        <f>IF(A193="","",IF(itens_Remanesc!E193="","",itens_Remanesc!E193))</f>
        <v/>
      </c>
      <c r="K193" s="173" t="str">
        <f t="shared" si="93"/>
        <v/>
      </c>
      <c r="L193" s="165" t="str">
        <f>IF(A193="","",ROUND(SUMIFS(aditivos!$L$2:$L$200,aditivos!$A$2:$A$200,A193,aditivos!$C$2:$C$200,"C2"),2))</f>
        <v/>
      </c>
      <c r="M193" s="161" t="str">
        <f t="shared" si="94"/>
        <v/>
      </c>
      <c r="N193" s="161" t="str">
        <f>IF(A193="","",IF(itens_Remanesc!G193="","",itens_Remanesc!G193))</f>
        <v/>
      </c>
      <c r="O193" s="169" t="str">
        <f t="shared" si="95"/>
        <v/>
      </c>
      <c r="P193" s="171" t="str">
        <f>IF(A193="","",ROUND(SUMIFS(aditivos!$L$2:$L$200,aditivos!$A$2:$A$200,A193,aditivos!$C$2:$C$200,"C3"),2))</f>
        <v/>
      </c>
      <c r="Q193" s="167" t="str">
        <f t="shared" si="96"/>
        <v/>
      </c>
      <c r="R193" s="167" t="str">
        <f>IF(A193="","",IF(itens_Remanesc!I193="","",itens_Remanesc!I193))</f>
        <v/>
      </c>
      <c r="S193" s="173" t="str">
        <f t="shared" si="97"/>
        <v/>
      </c>
      <c r="T193" s="165" t="str">
        <f>IF(A193="","",ROUND(SUMIFS(aditivos!$L$2:$L$200,aditivos!$A$2:$A$200,A193,aditivos!$C$2:$C$200,"C4"),2))</f>
        <v/>
      </c>
      <c r="U193" s="161" t="str">
        <f t="shared" si="98"/>
        <v/>
      </c>
      <c r="V193" s="161" t="str">
        <f>IF(A193="","",IF(itens_Remanesc!K193="","",itens_Remanesc!K193))</f>
        <v/>
      </c>
      <c r="W193" s="161" t="str">
        <f t="shared" si="99"/>
        <v/>
      </c>
      <c r="X193" s="148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1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48" t="str">
        <f>IF(itens_Remanesc!A194="","",itens_Remanesc!A194)</f>
        <v/>
      </c>
      <c r="B194" s="200" t="str">
        <f>IF(A194="","",itens_Remanesc!C194)</f>
        <v/>
      </c>
      <c r="C194" s="163" t="str">
        <f>IF(A194="","",IF(itens_Remanesc!B194="",0,itens_Remanesc!B194))</f>
        <v/>
      </c>
      <c r="D194" s="165" t="str">
        <f>IF(A194="","",ROUND(SUMIFS(aditivos!$L$2:$L$200,aditivos!$A$2:$A$200,A194,aditivos!$C$2:$C$200,"C0"),2))</f>
        <v/>
      </c>
      <c r="E194" s="161" t="str">
        <f t="shared" ref="E194:E200" si="108">IF(A194="","",ROUND(C194+D194,2))</f>
        <v/>
      </c>
      <c r="F194" s="161" t="str">
        <f>IF(A194="","",IF(itens_Remanesc!B194&lt;&gt;"",itens_Remanesc!B194,IF($Z194,0,"")))</f>
        <v/>
      </c>
      <c r="G194" s="169" t="str">
        <f t="shared" ref="G194:G200" si="109">IF(A194="","",IF($Y194="","",IF($Y194&gt;0,"",ROUND(E194,2))))</f>
        <v/>
      </c>
      <c r="H194" s="171" t="str">
        <f>IF(A194="","",ROUND(SUMIFS(aditivos!$L$2:$L$200,aditivos!$A$2:$A$200,A194,aditivos!$C$2:$C$200,"C1"),2))</f>
        <v/>
      </c>
      <c r="I194" s="167" t="str">
        <f t="shared" ref="I194:I200" si="110">IF(A194="","",ROUND(E194+H194,2))</f>
        <v/>
      </c>
      <c r="J194" s="167" t="str">
        <f>IF(A194="","",IF(itens_Remanesc!E194="","",itens_Remanesc!E194))</f>
        <v/>
      </c>
      <c r="K194" s="173" t="str">
        <f t="shared" ref="K194:K200" si="111">IF(A194="","",IF($Y194="","",IF($Y194&gt;1,"",IF(ISNUMBER(J194),ROUND(J194+H194,2),IF($Y194=1,ROUND(H194,2),"")))))</f>
        <v/>
      </c>
      <c r="L194" s="165" t="str">
        <f>IF(A194="","",ROUND(SUMIFS(aditivos!$L$2:$L$200,aditivos!$A$2:$A$200,A194,aditivos!$C$2:$C$200,"C2"),2))</f>
        <v/>
      </c>
      <c r="M194" s="161" t="str">
        <f t="shared" ref="M194:M200" si="112">IF(A194="","",ROUND(I194+L194,2))</f>
        <v/>
      </c>
      <c r="N194" s="161" t="str">
        <f>IF(A194="","",IF(itens_Remanesc!G194="","",itens_Remanesc!G194))</f>
        <v/>
      </c>
      <c r="O194" s="169" t="str">
        <f t="shared" ref="O194:O200" si="113">IF(A194="","",IF($Y194="","",IF($Y194&gt;2,"",IF(ISNUMBER(N194),ROUND(N194+L194,2),IF($Y194=2,ROUND(L194,2),"")))))</f>
        <v/>
      </c>
      <c r="P194" s="171" t="str">
        <f>IF(A194="","",ROUND(SUMIFS(aditivos!$L$2:$L$200,aditivos!$A$2:$A$200,A194,aditivos!$C$2:$C$200,"C3"),2))</f>
        <v/>
      </c>
      <c r="Q194" s="167" t="str">
        <f t="shared" ref="Q194:Q200" si="114">IF(A194="","",ROUND(M194+P194,2))</f>
        <v/>
      </c>
      <c r="R194" s="167" t="str">
        <f>IF(A194="","",IF(itens_Remanesc!I194="","",itens_Remanesc!I194))</f>
        <v/>
      </c>
      <c r="S194" s="173" t="str">
        <f t="shared" ref="S194:S200" si="115">IF(A194="","",IF($Y194="","",IF($Y194&gt;3,"",IF(ISNUMBER(R194),ROUND(R194+P194,2),IF($Y194=3,ROUND(P194,2),"")))))</f>
        <v/>
      </c>
      <c r="T194" s="165" t="str">
        <f>IF(A194="","",ROUND(SUMIFS(aditivos!$L$2:$L$200,aditivos!$A$2:$A$200,A194,aditivos!$C$2:$C$200,"C4"),2))</f>
        <v/>
      </c>
      <c r="U194" s="161" t="str">
        <f t="shared" ref="U194:U200" si="116">IF(A194="","",ROUND(Q194+T194,2))</f>
        <v/>
      </c>
      <c r="V194" s="161" t="str">
        <f>IF(A194="","",IF(itens_Remanesc!K194="","",itens_Remanesc!K194))</f>
        <v/>
      </c>
      <c r="W194" s="161" t="str">
        <f t="shared" ref="W194:W200" si="117">IF(A194="","",IF($Y194="","",IF($Y194&gt;4,"",IF(ISNUMBER(V194),ROUND(V194+T194,2),IF($Y194=4,ROUND(T194,2),"")))))</f>
        <v/>
      </c>
      <c r="X194" s="148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1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48" t="str">
        <f>IF(itens_Remanesc!A195="","",itens_Remanesc!A195)</f>
        <v/>
      </c>
      <c r="B195" s="200" t="str">
        <f>IF(A195="","",itens_Remanesc!C195)</f>
        <v/>
      </c>
      <c r="C195" s="163" t="str">
        <f>IF(A195="","",IF(itens_Remanesc!B195="",0,itens_Remanesc!B195))</f>
        <v/>
      </c>
      <c r="D195" s="165" t="str">
        <f>IF(A195="","",ROUND(SUMIFS(aditivos!$L$2:$L$200,aditivos!$A$2:$A$200,A195,aditivos!$C$2:$C$200,"C0"),2))</f>
        <v/>
      </c>
      <c r="E195" s="161" t="str">
        <f t="shared" si="108"/>
        <v/>
      </c>
      <c r="F195" s="161" t="str">
        <f>IF(A195="","",IF(itens_Remanesc!B195&lt;&gt;"",itens_Remanesc!B195,IF($Z195,0,"")))</f>
        <v/>
      </c>
      <c r="G195" s="169" t="str">
        <f t="shared" si="109"/>
        <v/>
      </c>
      <c r="H195" s="171" t="str">
        <f>IF(A195="","",ROUND(SUMIFS(aditivos!$L$2:$L$200,aditivos!$A$2:$A$200,A195,aditivos!$C$2:$C$200,"C1"),2))</f>
        <v/>
      </c>
      <c r="I195" s="167" t="str">
        <f t="shared" si="110"/>
        <v/>
      </c>
      <c r="J195" s="167" t="str">
        <f>IF(A195="","",IF(itens_Remanesc!E195="","",itens_Remanesc!E195))</f>
        <v/>
      </c>
      <c r="K195" s="173" t="str">
        <f t="shared" si="111"/>
        <v/>
      </c>
      <c r="L195" s="165" t="str">
        <f>IF(A195="","",ROUND(SUMIFS(aditivos!$L$2:$L$200,aditivos!$A$2:$A$200,A195,aditivos!$C$2:$C$200,"C2"),2))</f>
        <v/>
      </c>
      <c r="M195" s="161" t="str">
        <f t="shared" si="112"/>
        <v/>
      </c>
      <c r="N195" s="161" t="str">
        <f>IF(A195="","",IF(itens_Remanesc!G195="","",itens_Remanesc!G195))</f>
        <v/>
      </c>
      <c r="O195" s="169" t="str">
        <f t="shared" si="113"/>
        <v/>
      </c>
      <c r="P195" s="171" t="str">
        <f>IF(A195="","",ROUND(SUMIFS(aditivos!$L$2:$L$200,aditivos!$A$2:$A$200,A195,aditivos!$C$2:$C$200,"C3"),2))</f>
        <v/>
      </c>
      <c r="Q195" s="167" t="str">
        <f t="shared" si="114"/>
        <v/>
      </c>
      <c r="R195" s="167" t="str">
        <f>IF(A195="","",IF(itens_Remanesc!I195="","",itens_Remanesc!I195))</f>
        <v/>
      </c>
      <c r="S195" s="173" t="str">
        <f t="shared" si="115"/>
        <v/>
      </c>
      <c r="T195" s="165" t="str">
        <f>IF(A195="","",ROUND(SUMIFS(aditivos!$L$2:$L$200,aditivos!$A$2:$A$200,A195,aditivos!$C$2:$C$200,"C4"),2))</f>
        <v/>
      </c>
      <c r="U195" s="161" t="str">
        <f t="shared" si="116"/>
        <v/>
      </c>
      <c r="V195" s="161" t="str">
        <f>IF(A195="","",IF(itens_Remanesc!K195="","",itens_Remanesc!K195))</f>
        <v/>
      </c>
      <c r="W195" s="161" t="str">
        <f t="shared" si="117"/>
        <v/>
      </c>
      <c r="X195" s="148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1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48" t="str">
        <f>IF(itens_Remanesc!A196="","",itens_Remanesc!A196)</f>
        <v/>
      </c>
      <c r="B196" s="200" t="str">
        <f>IF(A196="","",itens_Remanesc!C196)</f>
        <v/>
      </c>
      <c r="C196" s="163" t="str">
        <f>IF(A196="","",IF(itens_Remanesc!B196="",0,itens_Remanesc!B196))</f>
        <v/>
      </c>
      <c r="D196" s="165" t="str">
        <f>IF(A196="","",ROUND(SUMIFS(aditivos!$L$2:$L$200,aditivos!$A$2:$A$200,A196,aditivos!$C$2:$C$200,"C0"),2))</f>
        <v/>
      </c>
      <c r="E196" s="161" t="str">
        <f t="shared" si="108"/>
        <v/>
      </c>
      <c r="F196" s="161" t="str">
        <f>IF(A196="","",IF(itens_Remanesc!B196&lt;&gt;"",itens_Remanesc!B196,IF($Z196,0,"")))</f>
        <v/>
      </c>
      <c r="G196" s="169" t="str">
        <f t="shared" si="109"/>
        <v/>
      </c>
      <c r="H196" s="171" t="str">
        <f>IF(A196="","",ROUND(SUMIFS(aditivos!$L$2:$L$200,aditivos!$A$2:$A$200,A196,aditivos!$C$2:$C$200,"C1"),2))</f>
        <v/>
      </c>
      <c r="I196" s="167" t="str">
        <f t="shared" si="110"/>
        <v/>
      </c>
      <c r="J196" s="167" t="str">
        <f>IF(A196="","",IF(itens_Remanesc!E196="","",itens_Remanesc!E196))</f>
        <v/>
      </c>
      <c r="K196" s="173" t="str">
        <f t="shared" si="111"/>
        <v/>
      </c>
      <c r="L196" s="165" t="str">
        <f>IF(A196="","",ROUND(SUMIFS(aditivos!$L$2:$L$200,aditivos!$A$2:$A$200,A196,aditivos!$C$2:$C$200,"C2"),2))</f>
        <v/>
      </c>
      <c r="M196" s="161" t="str">
        <f t="shared" si="112"/>
        <v/>
      </c>
      <c r="N196" s="161" t="str">
        <f>IF(A196="","",IF(itens_Remanesc!G196="","",itens_Remanesc!G196))</f>
        <v/>
      </c>
      <c r="O196" s="169" t="str">
        <f t="shared" si="113"/>
        <v/>
      </c>
      <c r="P196" s="171" t="str">
        <f>IF(A196="","",ROUND(SUMIFS(aditivos!$L$2:$L$200,aditivos!$A$2:$A$200,A196,aditivos!$C$2:$C$200,"C3"),2))</f>
        <v/>
      </c>
      <c r="Q196" s="167" t="str">
        <f t="shared" si="114"/>
        <v/>
      </c>
      <c r="R196" s="167" t="str">
        <f>IF(A196="","",IF(itens_Remanesc!I196="","",itens_Remanesc!I196))</f>
        <v/>
      </c>
      <c r="S196" s="173" t="str">
        <f t="shared" si="115"/>
        <v/>
      </c>
      <c r="T196" s="165" t="str">
        <f>IF(A196="","",ROUND(SUMIFS(aditivos!$L$2:$L$200,aditivos!$A$2:$A$200,A196,aditivos!$C$2:$C$200,"C4"),2))</f>
        <v/>
      </c>
      <c r="U196" s="161" t="str">
        <f t="shared" si="116"/>
        <v/>
      </c>
      <c r="V196" s="161" t="str">
        <f>IF(A196="","",IF(itens_Remanesc!K196="","",itens_Remanesc!K196))</f>
        <v/>
      </c>
      <c r="W196" s="161" t="str">
        <f t="shared" si="117"/>
        <v/>
      </c>
      <c r="X196" s="148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1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48" t="str">
        <f>IF(itens_Remanesc!A197="","",itens_Remanesc!A197)</f>
        <v/>
      </c>
      <c r="B197" s="200" t="str">
        <f>IF(A197="","",itens_Remanesc!C197)</f>
        <v/>
      </c>
      <c r="C197" s="163" t="str">
        <f>IF(A197="","",IF(itens_Remanesc!B197="",0,itens_Remanesc!B197))</f>
        <v/>
      </c>
      <c r="D197" s="165" t="str">
        <f>IF(A197="","",ROUND(SUMIFS(aditivos!$L$2:$L$200,aditivos!$A$2:$A$200,A197,aditivos!$C$2:$C$200,"C0"),2))</f>
        <v/>
      </c>
      <c r="E197" s="161" t="str">
        <f t="shared" si="108"/>
        <v/>
      </c>
      <c r="F197" s="161" t="str">
        <f>IF(A197="","",IF(itens_Remanesc!B197&lt;&gt;"",itens_Remanesc!B197,IF($Z197,0,"")))</f>
        <v/>
      </c>
      <c r="G197" s="169" t="str">
        <f t="shared" si="109"/>
        <v/>
      </c>
      <c r="H197" s="171" t="str">
        <f>IF(A197="","",ROUND(SUMIFS(aditivos!$L$2:$L$200,aditivos!$A$2:$A$200,A197,aditivos!$C$2:$C$200,"C1"),2))</f>
        <v/>
      </c>
      <c r="I197" s="167" t="str">
        <f t="shared" si="110"/>
        <v/>
      </c>
      <c r="J197" s="167" t="str">
        <f>IF(A197="","",IF(itens_Remanesc!E197="","",itens_Remanesc!E197))</f>
        <v/>
      </c>
      <c r="K197" s="173" t="str">
        <f t="shared" si="111"/>
        <v/>
      </c>
      <c r="L197" s="165" t="str">
        <f>IF(A197="","",ROUND(SUMIFS(aditivos!$L$2:$L$200,aditivos!$A$2:$A$200,A197,aditivos!$C$2:$C$200,"C2"),2))</f>
        <v/>
      </c>
      <c r="M197" s="161" t="str">
        <f t="shared" si="112"/>
        <v/>
      </c>
      <c r="N197" s="161" t="str">
        <f>IF(A197="","",IF(itens_Remanesc!G197="","",itens_Remanesc!G197))</f>
        <v/>
      </c>
      <c r="O197" s="169" t="str">
        <f t="shared" si="113"/>
        <v/>
      </c>
      <c r="P197" s="171" t="str">
        <f>IF(A197="","",ROUND(SUMIFS(aditivos!$L$2:$L$200,aditivos!$A$2:$A$200,A197,aditivos!$C$2:$C$200,"C3"),2))</f>
        <v/>
      </c>
      <c r="Q197" s="167" t="str">
        <f t="shared" si="114"/>
        <v/>
      </c>
      <c r="R197" s="167" t="str">
        <f>IF(A197="","",IF(itens_Remanesc!I197="","",itens_Remanesc!I197))</f>
        <v/>
      </c>
      <c r="S197" s="173" t="str">
        <f t="shared" si="115"/>
        <v/>
      </c>
      <c r="T197" s="165" t="str">
        <f>IF(A197="","",ROUND(SUMIFS(aditivos!$L$2:$L$200,aditivos!$A$2:$A$200,A197,aditivos!$C$2:$C$200,"C4"),2))</f>
        <v/>
      </c>
      <c r="U197" s="161" t="str">
        <f t="shared" si="116"/>
        <v/>
      </c>
      <c r="V197" s="161" t="str">
        <f>IF(A197="","",IF(itens_Remanesc!K197="","",itens_Remanesc!K197))</f>
        <v/>
      </c>
      <c r="W197" s="161" t="str">
        <f t="shared" si="117"/>
        <v/>
      </c>
      <c r="X197" s="148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1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48" t="str">
        <f>IF(itens_Remanesc!A198="","",itens_Remanesc!A198)</f>
        <v/>
      </c>
      <c r="B198" s="200" t="str">
        <f>IF(A198="","",itens_Remanesc!C198)</f>
        <v/>
      </c>
      <c r="C198" s="163" t="str">
        <f>IF(A198="","",IF(itens_Remanesc!B198="",0,itens_Remanesc!B198))</f>
        <v/>
      </c>
      <c r="D198" s="165" t="str">
        <f>IF(A198="","",ROUND(SUMIFS(aditivos!$L$2:$L$200,aditivos!$A$2:$A$200,A198,aditivos!$C$2:$C$200,"C0"),2))</f>
        <v/>
      </c>
      <c r="E198" s="161" t="str">
        <f t="shared" si="108"/>
        <v/>
      </c>
      <c r="F198" s="161" t="str">
        <f>IF(A198="","",IF(itens_Remanesc!B198&lt;&gt;"",itens_Remanesc!B198,IF($Z198,0,"")))</f>
        <v/>
      </c>
      <c r="G198" s="169" t="str">
        <f t="shared" si="109"/>
        <v/>
      </c>
      <c r="H198" s="171" t="str">
        <f>IF(A198="","",ROUND(SUMIFS(aditivos!$L$2:$L$200,aditivos!$A$2:$A$200,A198,aditivos!$C$2:$C$200,"C1"),2))</f>
        <v/>
      </c>
      <c r="I198" s="167" t="str">
        <f t="shared" si="110"/>
        <v/>
      </c>
      <c r="J198" s="167" t="str">
        <f>IF(A198="","",IF(itens_Remanesc!E198="","",itens_Remanesc!E198))</f>
        <v/>
      </c>
      <c r="K198" s="173" t="str">
        <f t="shared" si="111"/>
        <v/>
      </c>
      <c r="L198" s="165" t="str">
        <f>IF(A198="","",ROUND(SUMIFS(aditivos!$L$2:$L$200,aditivos!$A$2:$A$200,A198,aditivos!$C$2:$C$200,"C2"),2))</f>
        <v/>
      </c>
      <c r="M198" s="161" t="str">
        <f t="shared" si="112"/>
        <v/>
      </c>
      <c r="N198" s="161" t="str">
        <f>IF(A198="","",IF(itens_Remanesc!G198="","",itens_Remanesc!G198))</f>
        <v/>
      </c>
      <c r="O198" s="169" t="str">
        <f t="shared" si="113"/>
        <v/>
      </c>
      <c r="P198" s="171" t="str">
        <f>IF(A198="","",ROUND(SUMIFS(aditivos!$L$2:$L$200,aditivos!$A$2:$A$200,A198,aditivos!$C$2:$C$200,"C3"),2))</f>
        <v/>
      </c>
      <c r="Q198" s="167" t="str">
        <f t="shared" si="114"/>
        <v/>
      </c>
      <c r="R198" s="167" t="str">
        <f>IF(A198="","",IF(itens_Remanesc!I198="","",itens_Remanesc!I198))</f>
        <v/>
      </c>
      <c r="S198" s="173" t="str">
        <f t="shared" si="115"/>
        <v/>
      </c>
      <c r="T198" s="165" t="str">
        <f>IF(A198="","",ROUND(SUMIFS(aditivos!$L$2:$L$200,aditivos!$A$2:$A$200,A198,aditivos!$C$2:$C$200,"C4"),2))</f>
        <v/>
      </c>
      <c r="U198" s="161" t="str">
        <f t="shared" si="116"/>
        <v/>
      </c>
      <c r="V198" s="161" t="str">
        <f>IF(A198="","",IF(itens_Remanesc!K198="","",itens_Remanesc!K198))</f>
        <v/>
      </c>
      <c r="W198" s="161" t="str">
        <f t="shared" si="117"/>
        <v/>
      </c>
      <c r="X198" s="148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1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48" t="str">
        <f>IF(itens_Remanesc!A199="","",itens_Remanesc!A199)</f>
        <v/>
      </c>
      <c r="B199" s="200" t="str">
        <f>IF(A199="","",itens_Remanesc!C199)</f>
        <v/>
      </c>
      <c r="C199" s="163" t="str">
        <f>IF(A199="","",IF(itens_Remanesc!B199="",0,itens_Remanesc!B199))</f>
        <v/>
      </c>
      <c r="D199" s="165" t="str">
        <f>IF(A199="","",ROUND(SUMIFS(aditivos!$L$2:$L$200,aditivos!$A$2:$A$200,A199,aditivos!$C$2:$C$200,"C0"),2))</f>
        <v/>
      </c>
      <c r="E199" s="161" t="str">
        <f t="shared" si="108"/>
        <v/>
      </c>
      <c r="F199" s="161" t="str">
        <f>IF(A199="","",IF(itens_Remanesc!B199&lt;&gt;"",itens_Remanesc!B199,IF($Z199,0,"")))</f>
        <v/>
      </c>
      <c r="G199" s="169" t="str">
        <f t="shared" si="109"/>
        <v/>
      </c>
      <c r="H199" s="171" t="str">
        <f>IF(A199="","",ROUND(SUMIFS(aditivos!$L$2:$L$200,aditivos!$A$2:$A$200,A199,aditivos!$C$2:$C$200,"C1"),2))</f>
        <v/>
      </c>
      <c r="I199" s="167" t="str">
        <f t="shared" si="110"/>
        <v/>
      </c>
      <c r="J199" s="167" t="str">
        <f>IF(A199="","",IF(itens_Remanesc!E199="","",itens_Remanesc!E199))</f>
        <v/>
      </c>
      <c r="K199" s="173" t="str">
        <f t="shared" si="111"/>
        <v/>
      </c>
      <c r="L199" s="165" t="str">
        <f>IF(A199="","",ROUND(SUMIFS(aditivos!$L$2:$L$200,aditivos!$A$2:$A$200,A199,aditivos!$C$2:$C$200,"C2"),2))</f>
        <v/>
      </c>
      <c r="M199" s="161" t="str">
        <f t="shared" si="112"/>
        <v/>
      </c>
      <c r="N199" s="161" t="str">
        <f>IF(A199="","",IF(itens_Remanesc!G199="","",itens_Remanesc!G199))</f>
        <v/>
      </c>
      <c r="O199" s="169" t="str">
        <f t="shared" si="113"/>
        <v/>
      </c>
      <c r="P199" s="171" t="str">
        <f>IF(A199="","",ROUND(SUMIFS(aditivos!$L$2:$L$200,aditivos!$A$2:$A$200,A199,aditivos!$C$2:$C$200,"C3"),2))</f>
        <v/>
      </c>
      <c r="Q199" s="167" t="str">
        <f t="shared" si="114"/>
        <v/>
      </c>
      <c r="R199" s="167" t="str">
        <f>IF(A199="","",IF(itens_Remanesc!I199="","",itens_Remanesc!I199))</f>
        <v/>
      </c>
      <c r="S199" s="173" t="str">
        <f t="shared" si="115"/>
        <v/>
      </c>
      <c r="T199" s="165" t="str">
        <f>IF(A199="","",ROUND(SUMIFS(aditivos!$L$2:$L$200,aditivos!$A$2:$A$200,A199,aditivos!$C$2:$C$200,"C4"),2))</f>
        <v/>
      </c>
      <c r="U199" s="161" t="str">
        <f t="shared" si="116"/>
        <v/>
      </c>
      <c r="V199" s="161" t="str">
        <f>IF(A199="","",IF(itens_Remanesc!K199="","",itens_Remanesc!K199))</f>
        <v/>
      </c>
      <c r="W199" s="161" t="str">
        <f t="shared" si="117"/>
        <v/>
      </c>
      <c r="X199" s="148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1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48" t="str">
        <f>IF(itens_Remanesc!A200="","",itens_Remanesc!A200)</f>
        <v/>
      </c>
      <c r="B200" s="200" t="str">
        <f>IF(A200="","",itens_Remanesc!C200)</f>
        <v/>
      </c>
      <c r="C200" s="163" t="str">
        <f>IF(A200="","",IF(itens_Remanesc!B200="",0,itens_Remanesc!B200))</f>
        <v/>
      </c>
      <c r="D200" s="165" t="str">
        <f>IF(A200="","",ROUND(SUMIFS(aditivos!$L$2:$L$200,aditivos!$A$2:$A$200,A200,aditivos!$C$2:$C$200,"C0"),2))</f>
        <v/>
      </c>
      <c r="E200" s="161" t="str">
        <f t="shared" si="108"/>
        <v/>
      </c>
      <c r="F200" s="161" t="str">
        <f>IF(A200="","",IF(itens_Remanesc!B200&lt;&gt;"",itens_Remanesc!B200,IF($Z200,0,"")))</f>
        <v/>
      </c>
      <c r="G200" s="169" t="str">
        <f t="shared" si="109"/>
        <v/>
      </c>
      <c r="H200" s="171" t="str">
        <f>IF(A200="","",ROUND(SUMIFS(aditivos!$L$2:$L$200,aditivos!$A$2:$A$200,A200,aditivos!$C$2:$C$200,"C1"),2))</f>
        <v/>
      </c>
      <c r="I200" s="167" t="str">
        <f t="shared" si="110"/>
        <v/>
      </c>
      <c r="J200" s="167" t="str">
        <f>IF(A200="","",IF(itens_Remanesc!E200="","",itens_Remanesc!E200))</f>
        <v/>
      </c>
      <c r="K200" s="173" t="str">
        <f t="shared" si="111"/>
        <v/>
      </c>
      <c r="L200" s="165" t="str">
        <f>IF(A200="","",ROUND(SUMIFS(aditivos!$L$2:$L$200,aditivos!$A$2:$A$200,A200,aditivos!$C$2:$C$200,"C2"),2))</f>
        <v/>
      </c>
      <c r="M200" s="161" t="str">
        <f t="shared" si="112"/>
        <v/>
      </c>
      <c r="N200" s="161" t="str">
        <f>IF(A200="","",IF(itens_Remanesc!G200="","",itens_Remanesc!G200))</f>
        <v/>
      </c>
      <c r="O200" s="169" t="str">
        <f t="shared" si="113"/>
        <v/>
      </c>
      <c r="P200" s="171" t="str">
        <f>IF(A200="","",ROUND(SUMIFS(aditivos!$L$2:$L$200,aditivos!$A$2:$A$200,A200,aditivos!$C$2:$C$200,"C3"),2))</f>
        <v/>
      </c>
      <c r="Q200" s="167" t="str">
        <f t="shared" si="114"/>
        <v/>
      </c>
      <c r="R200" s="167" t="str">
        <f>IF(A200="","",IF(itens_Remanesc!I200="","",itens_Remanesc!I200))</f>
        <v/>
      </c>
      <c r="S200" s="173" t="str">
        <f t="shared" si="115"/>
        <v/>
      </c>
      <c r="T200" s="165" t="str">
        <f>IF(A200="","",ROUND(SUMIFS(aditivos!$L$2:$L$200,aditivos!$A$2:$A$200,A200,aditivos!$C$2:$C$200,"C4"),2))</f>
        <v/>
      </c>
      <c r="U200" s="161" t="str">
        <f t="shared" si="116"/>
        <v/>
      </c>
      <c r="V200" s="161" t="str">
        <f>IF(A200="","",IF(itens_Remanesc!K200="","",itens_Remanesc!K200))</f>
        <v/>
      </c>
      <c r="W200" s="161" t="str">
        <f t="shared" si="117"/>
        <v/>
      </c>
      <c r="X200" s="148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1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195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511" t="s">
        <v>198</v>
      </c>
      <c r="B1" s="511" t="s">
        <v>199</v>
      </c>
      <c r="C1" s="512"/>
      <c r="D1" s="512"/>
      <c r="E1" s="512"/>
      <c r="F1" s="512"/>
      <c r="G1" s="512"/>
      <c r="H1" s="512"/>
      <c r="I1" s="512"/>
      <c r="J1" s="512"/>
      <c r="K1" s="512"/>
      <c r="L1" s="512"/>
      <c r="M1" s="512"/>
      <c r="N1" s="512"/>
      <c r="O1" s="512"/>
      <c r="P1" s="513"/>
      <c r="Q1" s="509" t="s">
        <v>200</v>
      </c>
      <c r="R1" s="510"/>
      <c r="S1" s="510"/>
      <c r="T1" s="510"/>
      <c r="U1" s="510"/>
      <c r="V1" s="510"/>
      <c r="W1" s="510"/>
      <c r="X1" s="510"/>
      <c r="Y1" s="510"/>
      <c r="Z1" s="514" t="s">
        <v>201</v>
      </c>
      <c r="AA1" s="510"/>
      <c r="AB1" s="510"/>
      <c r="AC1" s="510"/>
      <c r="AE1" s="515" t="s">
        <v>202</v>
      </c>
    </row>
    <row r="2" spans="1:31" ht="43.5" customHeight="1" x14ac:dyDescent="0.35">
      <c r="A2" s="516"/>
      <c r="B2" s="52" t="s">
        <v>203</v>
      </c>
      <c r="C2" s="52" t="s">
        <v>204</v>
      </c>
      <c r="D2" s="52" t="s">
        <v>205</v>
      </c>
      <c r="E2" s="53" t="s">
        <v>206</v>
      </c>
      <c r="F2" s="53" t="s">
        <v>207</v>
      </c>
      <c r="G2" s="53" t="s">
        <v>208</v>
      </c>
      <c r="H2" s="52" t="s">
        <v>209</v>
      </c>
      <c r="I2" s="52" t="s">
        <v>210</v>
      </c>
      <c r="J2" s="52" t="s">
        <v>211</v>
      </c>
      <c r="K2" s="53" t="s">
        <v>212</v>
      </c>
      <c r="L2" s="53" t="s">
        <v>213</v>
      </c>
      <c r="M2" s="53" t="s">
        <v>214</v>
      </c>
      <c r="N2" s="52" t="s">
        <v>215</v>
      </c>
      <c r="O2" s="52" t="s">
        <v>216</v>
      </c>
      <c r="P2" s="52" t="s">
        <v>217</v>
      </c>
      <c r="Q2" s="209" t="s">
        <v>218</v>
      </c>
      <c r="R2" s="209" t="s">
        <v>219</v>
      </c>
      <c r="S2" s="209" t="s">
        <v>220</v>
      </c>
      <c r="T2" s="209" t="s">
        <v>221</v>
      </c>
      <c r="U2" s="209" t="s">
        <v>222</v>
      </c>
      <c r="V2" s="209" t="s">
        <v>223</v>
      </c>
      <c r="W2" s="209" t="s">
        <v>224</v>
      </c>
      <c r="X2" s="209" t="s">
        <v>225</v>
      </c>
      <c r="Y2" s="209" t="s">
        <v>226</v>
      </c>
      <c r="Z2" s="212" t="s">
        <v>227</v>
      </c>
      <c r="AA2" s="212" t="s">
        <v>228</v>
      </c>
      <c r="AB2" s="212" t="s">
        <v>229</v>
      </c>
      <c r="AC2" s="212" t="s">
        <v>230</v>
      </c>
      <c r="AE2" s="510"/>
    </row>
    <row r="3" spans="1:31" x14ac:dyDescent="0.35">
      <c r="A3" s="108" t="str">
        <f>IF(FALSE,"TOTAL",IF(itens_Remanesc!A2="","",itens_Remanesc!A2))</f>
        <v/>
      </c>
      <c r="B3" s="109" t="str">
        <f>IF(OR(historico_VU!A2="",historico_VU!C2=""),"",historico_VU!C2)</f>
        <v/>
      </c>
      <c r="C3" s="110" t="str">
        <f>IF(posicao_contratual!A2="","",posicao_contratual!G2)</f>
        <v/>
      </c>
      <c r="D3" s="109" t="str">
        <f>IF(A3="TOTAL",ROUND(SUM($D2:D$3),2),IF(OR(A3="",B3="",C3=""),"",ROUND(B3*C3,2)))</f>
        <v/>
      </c>
      <c r="E3" s="111" t="str">
        <f>IF(OR(historico_VU!A2="",historico_VU!D2=""),"",historico_VU!D2)</f>
        <v/>
      </c>
      <c r="F3" s="112" t="str">
        <f>IF(posicao_contratual!A2="","",posicao_contratual!K2)</f>
        <v/>
      </c>
      <c r="G3" s="111" t="str">
        <f>IF(A3="TOTAL",ROUND(SUM($G2:G$3),2),IF(OR(A3="",E3="",F3=""),"",ROUND(E3*F3,2)))</f>
        <v/>
      </c>
      <c r="H3" s="109" t="str">
        <f>IF(OR(historico_VU!A2="",historico_VU!E2=""),"",historico_VU!E2)</f>
        <v/>
      </c>
      <c r="I3" s="110" t="str">
        <f>IF(posicao_contratual!A2="","",posicao_contratual!O2)</f>
        <v/>
      </c>
      <c r="J3" s="113" t="str">
        <f>IF(A3="TOTAL",ROUND(SUM($J2:J$3),2),IF(OR(A3="",H3="",I3=""),"",ROUND(H3*I3,2)))</f>
        <v/>
      </c>
      <c r="K3" s="111" t="str">
        <f>IF(OR(historico_VU!A2="",historico_VU!F2=""),"",historico_VU!F2)</f>
        <v/>
      </c>
      <c r="L3" s="112" t="str">
        <f>IF(posicao_contratual!A2="","",posicao_contratual!S2)</f>
        <v/>
      </c>
      <c r="M3" s="114" t="str">
        <f>IF(A3="TOTAL",ROUND(SUM($M2:M$3),2),IF(OR(A3="",K3="",L3=""),"",ROUND(K3*L3,2)))</f>
        <v/>
      </c>
      <c r="N3" s="109" t="str">
        <f>IF(OR(historico_VU!A2="",historico_VU!G2=""),"",historico_VU!G2)</f>
        <v/>
      </c>
      <c r="O3" s="110" t="str">
        <f>IF(posicao_contratual!A2="","",posicao_contratual!W2)</f>
        <v/>
      </c>
      <c r="P3" s="113" t="str">
        <f>IF(A3="TOTAL",ROUND(SUM($P2:P$3),2),IF(OR(A3="",N3="",O3=""),"",ROUND(N3*O3,2)))</f>
        <v/>
      </c>
      <c r="Q3" s="183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0" t="str">
        <f t="shared" ref="S3:S34" ca="1" si="1">IF($A3="","",IFERROR(IF(INDIRECT("CICLO_EM_EXECUCAO!B"&amp;(ROW()+10))="","",INDIRECT("CICLO_EM_EXECUCAO!B"&amp;(ROW()+10))),""))</f>
        <v/>
      </c>
      <c r="T3" s="210" t="str">
        <f t="shared" ref="T3:T34" ca="1" si="2">IF($A3="","",IFERROR(IF(INDIRECT("CICLO_EM_EXECUCAO!D"&amp;(ROW()+10))="","",INDIRECT("CICLO_EM_EXECUCAO!D"&amp;(ROW()+10))),""))</f>
        <v/>
      </c>
      <c r="U3" s="210" t="str">
        <f t="shared" ref="U3:U34" ca="1" si="3">IF($A3="","",IFERROR(IF(INDIRECT("CICLO_EM_EXECUCAO!C"&amp;(ROW()+10))="","",INDIRECT("CICLO_EM_EXECUCAO!C"&amp;(ROW()+10))),""))</f>
        <v/>
      </c>
      <c r="V3" s="195" t="str">
        <f t="shared" ref="V3:V34" ca="1" si="4">IF($A3="","",IFERROR(IF(INDIRECT("CICLO_EM_EXECUCAO!E"&amp;(ROW()+10))="","",INDIRECT("CICLO_EM_EXECUCAO!E"&amp;(ROW()+10))),""))</f>
        <v/>
      </c>
      <c r="W3" s="195" t="str">
        <f t="shared" ref="W3:W34" ca="1" si="5">IF($A3="","",IFERROR(IF(INDIRECT("CICLO_EM_EXECUCAO!F"&amp;(ROW()+10))="","",INDIRECT("CICLO_EM_EXECUCAO!F"&amp;(ROW()+10))),""))</f>
        <v/>
      </c>
      <c r="X3" s="195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1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08" t="str">
        <f>IF(AND(itens_Remanesc!A3="",itens_Remanesc!A2&lt;&gt;"",COUNTIF(itens_Remanesc!A4:$A$200,"&lt;&gt;")=0),"TOTAL",IF(itens_Remanesc!A3="","",itens_Remanesc!A3))</f>
        <v/>
      </c>
      <c r="B4" s="109" t="str">
        <f>IF(OR(historico_VU!A3="",historico_VU!C3=""),"",historico_VU!C3)</f>
        <v/>
      </c>
      <c r="C4" s="110" t="str">
        <f>IF(posicao_contratual!A3="","",posicao_contratual!G3)</f>
        <v/>
      </c>
      <c r="D4" s="109" t="str">
        <f>IF(A4="TOTAL",ROUND(SUM($D3:D$3),2),IF(OR(A4="",B4="",C4=""),"",ROUND(B4*C4,2)))</f>
        <v/>
      </c>
      <c r="E4" s="111" t="str">
        <f>IF(OR(historico_VU!A3="",historico_VU!D3=""),"",historico_VU!D3)</f>
        <v/>
      </c>
      <c r="F4" s="112" t="str">
        <f>IF(posicao_contratual!A3="","",posicao_contratual!K3)</f>
        <v/>
      </c>
      <c r="G4" s="111" t="str">
        <f>IF(A4="TOTAL",ROUND(SUM($G3:G$3),2),IF(OR(A4="",E4="",F4=""),"",ROUND(E4*F4,2)))</f>
        <v/>
      </c>
      <c r="H4" s="109" t="str">
        <f>IF(OR(historico_VU!A3="",historico_VU!E3=""),"",historico_VU!E3)</f>
        <v/>
      </c>
      <c r="I4" s="110" t="str">
        <f>IF(posicao_contratual!A3="","",posicao_contratual!O3)</f>
        <v/>
      </c>
      <c r="J4" s="113" t="str">
        <f>IF(A4="TOTAL",ROUND(SUM($J3:J$3),2),IF(OR(A4="",H4="",I4=""),"",ROUND(H4*I4,2)))</f>
        <v/>
      </c>
      <c r="K4" s="111" t="str">
        <f>IF(OR(historico_VU!A3="",historico_VU!F3=""),"",historico_VU!F3)</f>
        <v/>
      </c>
      <c r="L4" s="112" t="str">
        <f>IF(posicao_contratual!A3="","",posicao_contratual!S3)</f>
        <v/>
      </c>
      <c r="M4" s="114" t="str">
        <f>IF(A4="TOTAL",ROUND(SUM($M3:M$3),2),IF(OR(A4="",K4="",L4=""),"",ROUND(K4*L4,2)))</f>
        <v/>
      </c>
      <c r="N4" s="109" t="str">
        <f>IF(OR(historico_VU!A3="",historico_VU!G3=""),"",historico_VU!G3)</f>
        <v/>
      </c>
      <c r="O4" s="110" t="str">
        <f>IF(posicao_contratual!A3="","",posicao_contratual!W3)</f>
        <v/>
      </c>
      <c r="P4" s="113" t="str">
        <f>IF(A4="TOTAL",ROUND(SUM($P3:P$3),2),IF(OR(A4="",N4="",O4=""),"",ROUND(N4*O4,2)))</f>
        <v/>
      </c>
      <c r="Q4" s="183" t="str">
        <f t="shared" ca="1" si="0"/>
        <v/>
      </c>
      <c r="R4" t="str">
        <f>IF($A4="","",IF(MEMORIA_RESULTADOS!$W$46="","","C"&amp;MEMORIA_RESULTADOS!$W$46))</f>
        <v/>
      </c>
      <c r="S4" s="210" t="str">
        <f t="shared" ca="1" si="1"/>
        <v/>
      </c>
      <c r="T4" s="210" t="str">
        <f t="shared" ca="1" si="2"/>
        <v/>
      </c>
      <c r="U4" s="210" t="str">
        <f t="shared" ca="1" si="3"/>
        <v/>
      </c>
      <c r="V4" s="195" t="str">
        <f t="shared" ca="1" si="4"/>
        <v/>
      </c>
      <c r="W4" s="195" t="str">
        <f t="shared" ca="1" si="5"/>
        <v/>
      </c>
      <c r="X4" s="195" t="str">
        <f t="shared" ca="1" si="6"/>
        <v/>
      </c>
      <c r="Y4" t="str">
        <f t="shared" ca="1" si="7"/>
        <v/>
      </c>
      <c r="Z4" s="211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08" t="str">
        <f>IF(AND(itens_Remanesc!A4="",itens_Remanesc!A3&lt;&gt;"",COUNTIF(itens_Remanesc!A5:$A$200,"&lt;&gt;")=0),"TOTAL",IF(itens_Remanesc!A4="","",itens_Remanesc!A4))</f>
        <v/>
      </c>
      <c r="B5" s="109" t="str">
        <f>IF(OR(historico_VU!A4="",historico_VU!C4=""),"",historico_VU!C4)</f>
        <v/>
      </c>
      <c r="C5" s="110" t="str">
        <f>IF(posicao_contratual!A4="","",posicao_contratual!G4)</f>
        <v/>
      </c>
      <c r="D5" s="109" t="str">
        <f>IF(A5="TOTAL",ROUND(SUM($D$3:D4),2),IF(OR(A5="",B5="",C5=""),"",ROUND(B5*C5,2)))</f>
        <v/>
      </c>
      <c r="E5" s="111" t="str">
        <f>IF(OR(historico_VU!A4="",historico_VU!D4=""),"",historico_VU!D4)</f>
        <v/>
      </c>
      <c r="F5" s="112" t="str">
        <f>IF(posicao_contratual!A4="","",posicao_contratual!K4)</f>
        <v/>
      </c>
      <c r="G5" s="111" t="str">
        <f>IF(A5="TOTAL",ROUND(SUM($G$3:G4),2),IF(OR(A5="",E5="",F5=""),"",ROUND(E5*F5,2)))</f>
        <v/>
      </c>
      <c r="H5" s="109" t="str">
        <f>IF(OR(historico_VU!A4="",historico_VU!E4=""),"",historico_VU!E4)</f>
        <v/>
      </c>
      <c r="I5" s="110" t="str">
        <f>IF(posicao_contratual!A4="","",posicao_contratual!O4)</f>
        <v/>
      </c>
      <c r="J5" s="113" t="str">
        <f>IF(A5="TOTAL",ROUND(SUM($J$3:J4),2),IF(OR(A5="",H5="",I5=""),"",ROUND(H5*I5,2)))</f>
        <v/>
      </c>
      <c r="K5" s="111" t="str">
        <f>IF(OR(historico_VU!A4="",historico_VU!F4=""),"",historico_VU!F4)</f>
        <v/>
      </c>
      <c r="L5" s="112" t="str">
        <f>IF(posicao_contratual!A4="","",posicao_contratual!S4)</f>
        <v/>
      </c>
      <c r="M5" s="114" t="str">
        <f>IF(A5="TOTAL",ROUND(SUM($M$3:M4),2),IF(OR(A5="",K5="",L5=""),"",ROUND(K5*L5,2)))</f>
        <v/>
      </c>
      <c r="N5" s="109" t="str">
        <f>IF(OR(historico_VU!A4="",historico_VU!G4=""),"",historico_VU!G4)</f>
        <v/>
      </c>
      <c r="O5" s="110" t="str">
        <f>IF(posicao_contratual!A4="","",posicao_contratual!W4)</f>
        <v/>
      </c>
      <c r="P5" s="113" t="str">
        <f>IF(A5="TOTAL",ROUND(SUM($P$3:P4),2),IF(OR(A5="",N5="",O5=""),"",ROUND(N5*O5,2)))</f>
        <v/>
      </c>
      <c r="Q5" s="183" t="str">
        <f t="shared" ca="1" si="0"/>
        <v/>
      </c>
      <c r="R5" t="str">
        <f>IF($A5="","",IF(MEMORIA_RESULTADOS!$W$46="","","C"&amp;MEMORIA_RESULTADOS!$W$46))</f>
        <v/>
      </c>
      <c r="S5" s="210" t="str">
        <f t="shared" ca="1" si="1"/>
        <v/>
      </c>
      <c r="T5" s="210" t="str">
        <f t="shared" ca="1" si="2"/>
        <v/>
      </c>
      <c r="U5" s="210" t="str">
        <f t="shared" ca="1" si="3"/>
        <v/>
      </c>
      <c r="V5" s="195" t="str">
        <f t="shared" ca="1" si="4"/>
        <v/>
      </c>
      <c r="W5" s="195" t="str">
        <f t="shared" ca="1" si="5"/>
        <v/>
      </c>
      <c r="X5" s="195" t="str">
        <f t="shared" ca="1" si="6"/>
        <v/>
      </c>
      <c r="Y5" t="str">
        <f t="shared" ca="1" si="7"/>
        <v/>
      </c>
      <c r="Z5" s="211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08" t="str">
        <f>IF(AND(itens_Remanesc!A5="",itens_Remanesc!A4&lt;&gt;"",COUNTIF(itens_Remanesc!A6:$A$200,"&lt;&gt;")=0),"TOTAL",IF(itens_Remanesc!A5="","",itens_Remanesc!A5))</f>
        <v/>
      </c>
      <c r="B6" s="109" t="str">
        <f>IF(OR(historico_VU!A5="",historico_VU!C5=""),"",historico_VU!C5)</f>
        <v/>
      </c>
      <c r="C6" s="110" t="str">
        <f>IF(posicao_contratual!A5="","",posicao_contratual!G5)</f>
        <v/>
      </c>
      <c r="D6" s="109" t="str">
        <f>IF(A6="TOTAL",ROUND(SUM($D$3:D5),2),IF(OR(A6="",B6="",C6=""),"",ROUND(B6*C6,2)))</f>
        <v/>
      </c>
      <c r="E6" s="111" t="str">
        <f>IF(OR(historico_VU!A5="",historico_VU!D5=""),"",historico_VU!D5)</f>
        <v/>
      </c>
      <c r="F6" s="112" t="str">
        <f>IF(posicao_contratual!A5="","",posicao_contratual!K5)</f>
        <v/>
      </c>
      <c r="G6" s="111" t="str">
        <f>IF(A6="TOTAL",ROUND(SUM($G$3:G5),2),IF(OR(A6="",E6="",F6=""),"",ROUND(E6*F6,2)))</f>
        <v/>
      </c>
      <c r="H6" s="109" t="str">
        <f>IF(OR(historico_VU!A5="",historico_VU!E5=""),"",historico_VU!E5)</f>
        <v/>
      </c>
      <c r="I6" s="110" t="str">
        <f>IF(posicao_contratual!A5="","",posicao_contratual!O5)</f>
        <v/>
      </c>
      <c r="J6" s="113" t="str">
        <f>IF(A6="TOTAL",ROUND(SUM($J$3:J5),2),IF(OR(A6="",H6="",I6=""),"",ROUND(H6*I6,2)))</f>
        <v/>
      </c>
      <c r="K6" s="111" t="str">
        <f>IF(OR(historico_VU!A5="",historico_VU!F5=""),"",historico_VU!F5)</f>
        <v/>
      </c>
      <c r="L6" s="112" t="str">
        <f>IF(posicao_contratual!A5="","",posicao_contratual!S5)</f>
        <v/>
      </c>
      <c r="M6" s="114" t="str">
        <f>IF(A6="TOTAL",ROUND(SUM($M$3:M5),2),IF(OR(A6="",K6="",L6=""),"",ROUND(K6*L6,2)))</f>
        <v/>
      </c>
      <c r="N6" s="109" t="str">
        <f>IF(OR(historico_VU!A5="",historico_VU!G5=""),"",historico_VU!G5)</f>
        <v/>
      </c>
      <c r="O6" s="110" t="str">
        <f>IF(posicao_contratual!A5="","",posicao_contratual!W5)</f>
        <v/>
      </c>
      <c r="P6" s="113" t="str">
        <f>IF(A6="TOTAL",ROUND(SUM($P$3:P5),2),IF(OR(A6="",N6="",O6=""),"",ROUND(N6*O6,2)))</f>
        <v/>
      </c>
      <c r="Q6" s="183" t="str">
        <f t="shared" ca="1" si="0"/>
        <v/>
      </c>
      <c r="R6" t="str">
        <f>IF($A6="","",IF(MEMORIA_RESULTADOS!$W$46="","","C"&amp;MEMORIA_RESULTADOS!$W$46))</f>
        <v/>
      </c>
      <c r="S6" s="210" t="str">
        <f t="shared" ca="1" si="1"/>
        <v/>
      </c>
      <c r="T6" s="210" t="str">
        <f t="shared" ca="1" si="2"/>
        <v/>
      </c>
      <c r="U6" s="210" t="str">
        <f t="shared" ca="1" si="3"/>
        <v/>
      </c>
      <c r="V6" s="195" t="str">
        <f t="shared" ca="1" si="4"/>
        <v/>
      </c>
      <c r="W6" s="195" t="str">
        <f t="shared" ca="1" si="5"/>
        <v/>
      </c>
      <c r="X6" s="195" t="str">
        <f t="shared" ca="1" si="6"/>
        <v/>
      </c>
      <c r="Y6" t="str">
        <f t="shared" ca="1" si="7"/>
        <v/>
      </c>
      <c r="Z6" s="211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08" t="str">
        <f>IF(AND(itens_Remanesc!A6="",itens_Remanesc!A5&lt;&gt;"",COUNTIF(itens_Remanesc!A7:$A$200,"&lt;&gt;")=0),"TOTAL",IF(itens_Remanesc!A6="","",itens_Remanesc!A6))</f>
        <v/>
      </c>
      <c r="B7" s="109" t="str">
        <f>IF(OR(historico_VU!A6="",historico_VU!C6=""),"",historico_VU!C6)</f>
        <v/>
      </c>
      <c r="C7" s="110" t="str">
        <f>IF(posicao_contratual!A6="","",posicao_contratual!G6)</f>
        <v/>
      </c>
      <c r="D7" s="109" t="str">
        <f>IF(A7="TOTAL",ROUND(SUM($D$3:D6),2),IF(OR(A7="",B7="",C7=""),"",ROUND(B7*C7,2)))</f>
        <v/>
      </c>
      <c r="E7" s="111" t="str">
        <f>IF(OR(historico_VU!A6="",historico_VU!D6=""),"",historico_VU!D6)</f>
        <v/>
      </c>
      <c r="F7" s="112" t="str">
        <f>IF(posicao_contratual!A6="","",posicao_contratual!K6)</f>
        <v/>
      </c>
      <c r="G7" s="111" t="str">
        <f>IF(A7="TOTAL",ROUND(SUM($G$3:G6),2),IF(OR(A7="",E7="",F7=""),"",ROUND(E7*F7,2)))</f>
        <v/>
      </c>
      <c r="H7" s="109" t="str">
        <f>IF(OR(historico_VU!A6="",historico_VU!E6=""),"",historico_VU!E6)</f>
        <v/>
      </c>
      <c r="I7" s="110" t="str">
        <f>IF(posicao_contratual!A6="","",posicao_contratual!O6)</f>
        <v/>
      </c>
      <c r="J7" s="113" t="str">
        <f>IF(A7="TOTAL",ROUND(SUM($J$3:J6),2),IF(OR(A7="",H7="",I7=""),"",ROUND(H7*I7,2)))</f>
        <v/>
      </c>
      <c r="K7" s="111" t="str">
        <f>IF(OR(historico_VU!A6="",historico_VU!F6=""),"",historico_VU!F6)</f>
        <v/>
      </c>
      <c r="L7" s="112" t="str">
        <f>IF(posicao_contratual!A6="","",posicao_contratual!S6)</f>
        <v/>
      </c>
      <c r="M7" s="114" t="str">
        <f>IF(A7="TOTAL",ROUND(SUM($M$3:M6),2),IF(OR(A7="",K7="",L7=""),"",ROUND(K7*L7,2)))</f>
        <v/>
      </c>
      <c r="N7" s="109" t="str">
        <f>IF(OR(historico_VU!A6="",historico_VU!G6=""),"",historico_VU!G6)</f>
        <v/>
      </c>
      <c r="O7" s="110" t="str">
        <f>IF(posicao_contratual!A6="","",posicao_contratual!W6)</f>
        <v/>
      </c>
      <c r="P7" s="113" t="str">
        <f>IF(A7="TOTAL",ROUND(SUM($P$3:P6),2),IF(OR(A7="",N7="",O7=""),"",ROUND(N7*O7,2)))</f>
        <v/>
      </c>
      <c r="Q7" s="183" t="str">
        <f t="shared" ca="1" si="0"/>
        <v/>
      </c>
      <c r="R7" t="str">
        <f>IF($A7="","",IF(MEMORIA_RESULTADOS!$W$46="","","C"&amp;MEMORIA_RESULTADOS!$W$46))</f>
        <v/>
      </c>
      <c r="S7" s="210" t="str">
        <f t="shared" ca="1" si="1"/>
        <v/>
      </c>
      <c r="T7" s="210" t="str">
        <f t="shared" ca="1" si="2"/>
        <v/>
      </c>
      <c r="U7" s="210" t="str">
        <f t="shared" ca="1" si="3"/>
        <v/>
      </c>
      <c r="V7" s="195" t="str">
        <f t="shared" ca="1" si="4"/>
        <v/>
      </c>
      <c r="W7" s="195" t="str">
        <f t="shared" ca="1" si="5"/>
        <v/>
      </c>
      <c r="X7" s="195" t="str">
        <f t="shared" ca="1" si="6"/>
        <v/>
      </c>
      <c r="Y7" t="str">
        <f t="shared" ca="1" si="7"/>
        <v/>
      </c>
      <c r="Z7" s="211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08" t="str">
        <f>IF(AND(itens_Remanesc!A7="",itens_Remanesc!A6&lt;&gt;"",COUNTIF(itens_Remanesc!A8:$A$200,"&lt;&gt;")=0),"TOTAL",IF(itens_Remanesc!A7="","",itens_Remanesc!A7))</f>
        <v/>
      </c>
      <c r="B8" s="109" t="str">
        <f>IF(OR(historico_VU!A7="",historico_VU!C7=""),"",historico_VU!C7)</f>
        <v/>
      </c>
      <c r="C8" s="110" t="str">
        <f>IF(posicao_contratual!A7="","",posicao_contratual!G7)</f>
        <v/>
      </c>
      <c r="D8" s="109" t="str">
        <f>IF(A8="TOTAL",ROUND(SUM($D$3:D7),2),IF(OR(A8="",B8="",C8=""),"",ROUND(B8*C8,2)))</f>
        <v/>
      </c>
      <c r="E8" s="111" t="str">
        <f>IF(OR(historico_VU!A7="",historico_VU!D7=""),"",historico_VU!D7)</f>
        <v/>
      </c>
      <c r="F8" s="112" t="str">
        <f>IF(posicao_contratual!A7="","",posicao_contratual!K7)</f>
        <v/>
      </c>
      <c r="G8" s="111" t="str">
        <f>IF(A8="TOTAL",ROUND(SUM($G$3:G7),2),IF(OR(A8="",E8="",F8=""),"",ROUND(E8*F8,2)))</f>
        <v/>
      </c>
      <c r="H8" s="109" t="str">
        <f>IF(OR(historico_VU!A7="",historico_VU!E7=""),"",historico_VU!E7)</f>
        <v/>
      </c>
      <c r="I8" s="110" t="str">
        <f>IF(posicao_contratual!A7="","",posicao_contratual!O7)</f>
        <v/>
      </c>
      <c r="J8" s="113" t="str">
        <f>IF(A8="TOTAL",ROUND(SUM($J$3:J7),2),IF(OR(A8="",H8="",I8=""),"",ROUND(H8*I8,2)))</f>
        <v/>
      </c>
      <c r="K8" s="111" t="str">
        <f>IF(OR(historico_VU!A7="",historico_VU!F7=""),"",historico_VU!F7)</f>
        <v/>
      </c>
      <c r="L8" s="112" t="str">
        <f>IF(posicao_contratual!A7="","",posicao_contratual!S7)</f>
        <v/>
      </c>
      <c r="M8" s="114" t="str">
        <f>IF(A8="TOTAL",ROUND(SUM($M$3:M7),2),IF(OR(A8="",K8="",L8=""),"",ROUND(K8*L8,2)))</f>
        <v/>
      </c>
      <c r="N8" s="109" t="str">
        <f>IF(OR(historico_VU!A7="",historico_VU!G7=""),"",historico_VU!G7)</f>
        <v/>
      </c>
      <c r="O8" s="110" t="str">
        <f>IF(posicao_contratual!A7="","",posicao_contratual!W7)</f>
        <v/>
      </c>
      <c r="P8" s="113" t="str">
        <f>IF(A8="TOTAL",ROUND(SUM($P$3:P7),2),IF(OR(A8="",N8="",O8=""),"",ROUND(N8*O8,2)))</f>
        <v/>
      </c>
      <c r="Q8" s="183" t="str">
        <f t="shared" ca="1" si="0"/>
        <v/>
      </c>
      <c r="R8" t="str">
        <f>IF($A8="","",IF(MEMORIA_RESULTADOS!$W$46="","","C"&amp;MEMORIA_RESULTADOS!$W$46))</f>
        <v/>
      </c>
      <c r="S8" s="210" t="str">
        <f t="shared" ca="1" si="1"/>
        <v/>
      </c>
      <c r="T8" s="210" t="str">
        <f t="shared" ca="1" si="2"/>
        <v/>
      </c>
      <c r="U8" s="210" t="str">
        <f t="shared" ca="1" si="3"/>
        <v/>
      </c>
      <c r="V8" s="195" t="str">
        <f t="shared" ca="1" si="4"/>
        <v/>
      </c>
      <c r="W8" s="195" t="str">
        <f t="shared" ca="1" si="5"/>
        <v/>
      </c>
      <c r="X8" s="195" t="str">
        <f t="shared" ca="1" si="6"/>
        <v/>
      </c>
      <c r="Y8" t="str">
        <f t="shared" ca="1" si="7"/>
        <v/>
      </c>
      <c r="Z8" s="211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08" t="str">
        <f>IF(AND(itens_Remanesc!A8="",itens_Remanesc!A7&lt;&gt;"",COUNTIF(itens_Remanesc!A9:$A$200,"&lt;&gt;")=0),"TOTAL",IF(itens_Remanesc!A8="","",itens_Remanesc!A8))</f>
        <v/>
      </c>
      <c r="B9" s="109" t="str">
        <f>IF(OR(historico_VU!A8="",historico_VU!C8=""),"",historico_VU!C8)</f>
        <v/>
      </c>
      <c r="C9" s="110" t="str">
        <f>IF(posicao_contratual!A8="","",posicao_contratual!G8)</f>
        <v/>
      </c>
      <c r="D9" s="109" t="str">
        <f>IF(A9="TOTAL",ROUND(SUM($D$3:D8),2),IF(OR(A9="",B9="",C9=""),"",ROUND(B9*C9,2)))</f>
        <v/>
      </c>
      <c r="E9" s="111" t="str">
        <f>IF(OR(historico_VU!A8="",historico_VU!D8=""),"",historico_VU!D8)</f>
        <v/>
      </c>
      <c r="F9" s="112" t="str">
        <f>IF(posicao_contratual!A8="","",posicao_contratual!K8)</f>
        <v/>
      </c>
      <c r="G9" s="111" t="str">
        <f>IF(A9="TOTAL",ROUND(SUM($G$3:G8),2),IF(OR(A9="",E9="",F9=""),"",ROUND(E9*F9,2)))</f>
        <v/>
      </c>
      <c r="H9" s="109" t="str">
        <f>IF(OR(historico_VU!A8="",historico_VU!E8=""),"",historico_VU!E8)</f>
        <v/>
      </c>
      <c r="I9" s="110" t="str">
        <f>IF(posicao_contratual!A8="","",posicao_contratual!O8)</f>
        <v/>
      </c>
      <c r="J9" s="113" t="str">
        <f>IF(A9="TOTAL",ROUND(SUM($J$3:J8),2),IF(OR(A9="",H9="",I9=""),"",ROUND(H9*I9,2)))</f>
        <v/>
      </c>
      <c r="K9" s="111" t="str">
        <f>IF(OR(historico_VU!A8="",historico_VU!F8=""),"",historico_VU!F8)</f>
        <v/>
      </c>
      <c r="L9" s="112" t="str">
        <f>IF(posicao_contratual!A8="","",posicao_contratual!S8)</f>
        <v/>
      </c>
      <c r="M9" s="114" t="str">
        <f>IF(A9="TOTAL",ROUND(SUM($M$3:M8),2),IF(OR(A9="",K9="",L9=""),"",ROUND(K9*L9,2)))</f>
        <v/>
      </c>
      <c r="N9" s="109" t="str">
        <f>IF(OR(historico_VU!A8="",historico_VU!G8=""),"",historico_VU!G8)</f>
        <v/>
      </c>
      <c r="O9" s="110" t="str">
        <f>IF(posicao_contratual!A8="","",posicao_contratual!W8)</f>
        <v/>
      </c>
      <c r="P9" s="113" t="str">
        <f>IF(A9="TOTAL",ROUND(SUM($P$3:P8),2),IF(OR(A9="",N9="",O9=""),"",ROUND(N9*O9,2)))</f>
        <v/>
      </c>
      <c r="Q9" s="183" t="str">
        <f t="shared" ca="1" si="0"/>
        <v/>
      </c>
      <c r="R9" t="str">
        <f>IF($A9="","",IF(MEMORIA_RESULTADOS!$W$46="","","C"&amp;MEMORIA_RESULTADOS!$W$46))</f>
        <v/>
      </c>
      <c r="S9" s="210" t="str">
        <f t="shared" ca="1" si="1"/>
        <v/>
      </c>
      <c r="T9" s="210" t="str">
        <f t="shared" ca="1" si="2"/>
        <v/>
      </c>
      <c r="U9" s="210" t="str">
        <f t="shared" ca="1" si="3"/>
        <v/>
      </c>
      <c r="V9" s="195" t="str">
        <f t="shared" ca="1" si="4"/>
        <v/>
      </c>
      <c r="W9" s="195" t="str">
        <f t="shared" ca="1" si="5"/>
        <v/>
      </c>
      <c r="X9" s="195" t="str">
        <f t="shared" ca="1" si="6"/>
        <v/>
      </c>
      <c r="Y9" t="str">
        <f t="shared" ca="1" si="7"/>
        <v/>
      </c>
      <c r="Z9" s="211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08" t="str">
        <f>IF(AND(itens_Remanesc!A9="",itens_Remanesc!A8&lt;&gt;"",COUNTIF(itens_Remanesc!A10:$A$200,"&lt;&gt;")=0),"TOTAL",IF(itens_Remanesc!A9="","",itens_Remanesc!A9))</f>
        <v/>
      </c>
      <c r="B10" s="109" t="str">
        <f>IF(OR(historico_VU!A9="",historico_VU!C9=""),"",historico_VU!C9)</f>
        <v/>
      </c>
      <c r="C10" s="110" t="str">
        <f>IF(posicao_contratual!A9="","",posicao_contratual!G9)</f>
        <v/>
      </c>
      <c r="D10" s="109" t="str">
        <f>IF(A10="TOTAL",ROUND(SUM($D$3:D9),2),IF(OR(A10="",B10="",C10=""),"",ROUND(B10*C10,2)))</f>
        <v/>
      </c>
      <c r="E10" s="111" t="str">
        <f>IF(OR(historico_VU!A9="",historico_VU!D9=""),"",historico_VU!D9)</f>
        <v/>
      </c>
      <c r="F10" s="112" t="str">
        <f>IF(posicao_contratual!A9="","",posicao_contratual!K9)</f>
        <v/>
      </c>
      <c r="G10" s="111" t="str">
        <f>IF(A10="TOTAL",ROUND(SUM($G$3:G9),2),IF(OR(A10="",E10="",F10=""),"",ROUND(E10*F10,2)))</f>
        <v/>
      </c>
      <c r="H10" s="109" t="str">
        <f>IF(OR(historico_VU!A9="",historico_VU!E9=""),"",historico_VU!E9)</f>
        <v/>
      </c>
      <c r="I10" s="110" t="str">
        <f>IF(posicao_contratual!A9="","",posicao_contratual!O9)</f>
        <v/>
      </c>
      <c r="J10" s="113" t="str">
        <f>IF(A10="TOTAL",ROUND(SUM($J$3:J9),2),IF(OR(A10="",H10="",I10=""),"",ROUND(H10*I10,2)))</f>
        <v/>
      </c>
      <c r="K10" s="111" t="str">
        <f>IF(OR(historico_VU!A9="",historico_VU!F9=""),"",historico_VU!F9)</f>
        <v/>
      </c>
      <c r="L10" s="112" t="str">
        <f>IF(posicao_contratual!A9="","",posicao_contratual!S9)</f>
        <v/>
      </c>
      <c r="M10" s="114" t="str">
        <f>IF(A10="TOTAL",ROUND(SUM($M$3:M9),2),IF(OR(A10="",K10="",L10=""),"",ROUND(K10*L10,2)))</f>
        <v/>
      </c>
      <c r="N10" s="109" t="str">
        <f>IF(OR(historico_VU!A9="",historico_VU!G9=""),"",historico_VU!G9)</f>
        <v/>
      </c>
      <c r="O10" s="110" t="str">
        <f>IF(posicao_contratual!A9="","",posicao_contratual!W9)</f>
        <v/>
      </c>
      <c r="P10" s="113" t="str">
        <f>IF(A10="TOTAL",ROUND(SUM($P$3:P9),2),IF(OR(A10="",N10="",O10=""),"",ROUND(N10*O10,2)))</f>
        <v/>
      </c>
      <c r="Q10" s="183" t="str">
        <f t="shared" ca="1" si="0"/>
        <v/>
      </c>
      <c r="R10" t="str">
        <f>IF($A10="","",IF(MEMORIA_RESULTADOS!$W$46="","","C"&amp;MEMORIA_RESULTADOS!$W$46))</f>
        <v/>
      </c>
      <c r="S10" s="210" t="str">
        <f t="shared" ca="1" si="1"/>
        <v/>
      </c>
      <c r="T10" s="210" t="str">
        <f t="shared" ca="1" si="2"/>
        <v/>
      </c>
      <c r="U10" s="210" t="str">
        <f t="shared" ca="1" si="3"/>
        <v/>
      </c>
      <c r="V10" s="195" t="str">
        <f t="shared" ca="1" si="4"/>
        <v/>
      </c>
      <c r="W10" s="195" t="str">
        <f t="shared" ca="1" si="5"/>
        <v/>
      </c>
      <c r="X10" s="195" t="str">
        <f t="shared" ca="1" si="6"/>
        <v/>
      </c>
      <c r="Y10" t="str">
        <f t="shared" ca="1" si="7"/>
        <v/>
      </c>
      <c r="Z10" s="211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08" t="str">
        <f>IF(AND(itens_Remanesc!A10="",itens_Remanesc!A9&lt;&gt;"",COUNTIF(itens_Remanesc!A11:$A$200,"&lt;&gt;")=0),"TOTAL",IF(itens_Remanesc!A10="","",itens_Remanesc!A10))</f>
        <v/>
      </c>
      <c r="B11" s="109" t="str">
        <f>IF(OR(historico_VU!A10="",historico_VU!C10=""),"",historico_VU!C10)</f>
        <v/>
      </c>
      <c r="C11" s="110" t="str">
        <f>IF(posicao_contratual!A10="","",posicao_contratual!G10)</f>
        <v/>
      </c>
      <c r="D11" s="109" t="str">
        <f>IF(A11="TOTAL",ROUND(SUM($D$3:D10),2),IF(OR(A11="",B11="",C11=""),"",ROUND(B11*C11,2)))</f>
        <v/>
      </c>
      <c r="E11" s="111" t="str">
        <f>IF(OR(historico_VU!A10="",historico_VU!D10=""),"",historico_VU!D10)</f>
        <v/>
      </c>
      <c r="F11" s="112" t="str">
        <f>IF(posicao_contratual!A10="","",posicao_contratual!K10)</f>
        <v/>
      </c>
      <c r="G11" s="111" t="str">
        <f>IF(A11="TOTAL",ROUND(SUM($G$3:G10),2),IF(OR(A11="",E11="",F11=""),"",ROUND(E11*F11,2)))</f>
        <v/>
      </c>
      <c r="H11" s="109" t="str">
        <f>IF(OR(historico_VU!A10="",historico_VU!E10=""),"",historico_VU!E10)</f>
        <v/>
      </c>
      <c r="I11" s="110" t="str">
        <f>IF(posicao_contratual!A10="","",posicao_contratual!O10)</f>
        <v/>
      </c>
      <c r="J11" s="113" t="str">
        <f>IF(A11="TOTAL",ROUND(SUM($J$3:J10),2),IF(OR(A11="",H11="",I11=""),"",ROUND(H11*I11,2)))</f>
        <v/>
      </c>
      <c r="K11" s="111" t="str">
        <f>IF(OR(historico_VU!A10="",historico_VU!F10=""),"",historico_VU!F10)</f>
        <v/>
      </c>
      <c r="L11" s="112" t="str">
        <f>IF(posicao_contratual!A10="","",posicao_contratual!S10)</f>
        <v/>
      </c>
      <c r="M11" s="114" t="str">
        <f>IF(A11="TOTAL",ROUND(SUM($M$3:M10),2),IF(OR(A11="",K11="",L11=""),"",ROUND(K11*L11,2)))</f>
        <v/>
      </c>
      <c r="N11" s="109" t="str">
        <f>IF(OR(historico_VU!A10="",historico_VU!G10=""),"",historico_VU!G10)</f>
        <v/>
      </c>
      <c r="O11" s="110" t="str">
        <f>IF(posicao_contratual!A10="","",posicao_contratual!W10)</f>
        <v/>
      </c>
      <c r="P11" s="113" t="str">
        <f>IF(A11="TOTAL",ROUND(SUM($P$3:P10),2),IF(OR(A11="",N11="",O11=""),"",ROUND(N11*O11,2)))</f>
        <v/>
      </c>
      <c r="Q11" s="183" t="str">
        <f t="shared" ca="1" si="0"/>
        <v/>
      </c>
      <c r="R11" t="str">
        <f>IF($A11="","",IF(MEMORIA_RESULTADOS!$W$46="","","C"&amp;MEMORIA_RESULTADOS!$W$46))</f>
        <v/>
      </c>
      <c r="S11" s="210" t="str">
        <f t="shared" ca="1" si="1"/>
        <v/>
      </c>
      <c r="T11" s="210" t="str">
        <f t="shared" ca="1" si="2"/>
        <v/>
      </c>
      <c r="U11" s="210" t="str">
        <f t="shared" ca="1" si="3"/>
        <v/>
      </c>
      <c r="V11" s="195" t="str">
        <f t="shared" ca="1" si="4"/>
        <v/>
      </c>
      <c r="W11" s="195" t="str">
        <f t="shared" ca="1" si="5"/>
        <v/>
      </c>
      <c r="X11" s="195" t="str">
        <f t="shared" ca="1" si="6"/>
        <v/>
      </c>
      <c r="Y11" t="str">
        <f t="shared" ca="1" si="7"/>
        <v/>
      </c>
      <c r="Z11" s="211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08" t="str">
        <f>IF(AND(itens_Remanesc!A11="",itens_Remanesc!A10&lt;&gt;"",COUNTIF(itens_Remanesc!A12:$A$200,"&lt;&gt;")=0),"TOTAL",IF(itens_Remanesc!A11="","",itens_Remanesc!A11))</f>
        <v/>
      </c>
      <c r="B12" s="109" t="str">
        <f>IF(OR(historico_VU!A11="",historico_VU!C11=""),"",historico_VU!C11)</f>
        <v/>
      </c>
      <c r="C12" s="110" t="str">
        <f>IF(posicao_contratual!A11="","",posicao_contratual!G11)</f>
        <v/>
      </c>
      <c r="D12" s="109" t="str">
        <f>IF(A12="TOTAL",ROUND(SUM($D$3:D11),2),IF(OR(A12="",B12="",C12=""),"",ROUND(B12*C12,2)))</f>
        <v/>
      </c>
      <c r="E12" s="111" t="str">
        <f>IF(OR(historico_VU!A11="",historico_VU!D11=""),"",historico_VU!D11)</f>
        <v/>
      </c>
      <c r="F12" s="112" t="str">
        <f>IF(posicao_contratual!A11="","",posicao_contratual!K11)</f>
        <v/>
      </c>
      <c r="G12" s="111" t="str">
        <f>IF(A12="TOTAL",ROUND(SUM($G$3:G11),2),IF(OR(A12="",E12="",F12=""),"",ROUND(E12*F12,2)))</f>
        <v/>
      </c>
      <c r="H12" s="109" t="str">
        <f>IF(OR(historico_VU!A11="",historico_VU!E11=""),"",historico_VU!E11)</f>
        <v/>
      </c>
      <c r="I12" s="110" t="str">
        <f>IF(posicao_contratual!A11="","",posicao_contratual!O11)</f>
        <v/>
      </c>
      <c r="J12" s="113" t="str">
        <f>IF(A12="TOTAL",ROUND(SUM($J$3:J11),2),IF(OR(A12="",H12="",I12=""),"",ROUND(H12*I12,2)))</f>
        <v/>
      </c>
      <c r="K12" s="111" t="str">
        <f>IF(OR(historico_VU!A11="",historico_VU!F11=""),"",historico_VU!F11)</f>
        <v/>
      </c>
      <c r="L12" s="112" t="str">
        <f>IF(posicao_contratual!A11="","",posicao_contratual!S11)</f>
        <v/>
      </c>
      <c r="M12" s="111" t="str">
        <f>IF(A12="TOTAL",ROUND(SUM($M$3:M11),2),IF(OR(A12="",K12="",L12=""),"",ROUND(K12*L12,2)))</f>
        <v/>
      </c>
      <c r="N12" s="109" t="str">
        <f>IF(OR(historico_VU!A11="",historico_VU!G11=""),"",historico_VU!G11)</f>
        <v/>
      </c>
      <c r="O12" s="110" t="str">
        <f>IF(posicao_contratual!A11="","",posicao_contratual!W11)</f>
        <v/>
      </c>
      <c r="P12" s="113" t="str">
        <f>IF(A12="TOTAL",ROUND(SUM($P$3:P11),2),IF(OR(A12="",N12="",O12=""),"",ROUND(N12*O12,2)))</f>
        <v/>
      </c>
      <c r="Q12" s="183" t="str">
        <f t="shared" ca="1" si="0"/>
        <v/>
      </c>
      <c r="R12" t="str">
        <f>IF($A12="","",IF(MEMORIA_RESULTADOS!$W$46="","","C"&amp;MEMORIA_RESULTADOS!$W$46))</f>
        <v/>
      </c>
      <c r="S12" s="210" t="str">
        <f t="shared" ca="1" si="1"/>
        <v/>
      </c>
      <c r="T12" s="210" t="str">
        <f t="shared" ca="1" si="2"/>
        <v/>
      </c>
      <c r="U12" s="210" t="str">
        <f t="shared" ca="1" si="3"/>
        <v/>
      </c>
      <c r="V12" s="195" t="str">
        <f t="shared" ca="1" si="4"/>
        <v/>
      </c>
      <c r="W12" s="195" t="str">
        <f t="shared" ca="1" si="5"/>
        <v/>
      </c>
      <c r="X12" s="195" t="str">
        <f t="shared" ca="1" si="6"/>
        <v/>
      </c>
      <c r="Y12" t="str">
        <f t="shared" ca="1" si="7"/>
        <v/>
      </c>
      <c r="Z12" s="211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08" t="str">
        <f>IF(AND(itens_Remanesc!A12="",itens_Remanesc!A11&lt;&gt;"",COUNTIF(itens_Remanesc!A13:$A$200,"&lt;&gt;")=0),"TOTAL",IF(itens_Remanesc!A12="","",itens_Remanesc!A12))</f>
        <v/>
      </c>
      <c r="B13" s="109" t="str">
        <f>IF(OR(historico_VU!A12="",historico_VU!C12=""),"",historico_VU!C12)</f>
        <v/>
      </c>
      <c r="C13" s="110" t="str">
        <f>IF(posicao_contratual!A12="","",posicao_contratual!G12)</f>
        <v/>
      </c>
      <c r="D13" s="109" t="str">
        <f>IF(A13="TOTAL",ROUND(SUM($D$3:D12),2),IF(OR(A13="",B13="",C13=""),"",ROUND(B13*C13,2)))</f>
        <v/>
      </c>
      <c r="E13" s="111" t="str">
        <f>IF(OR(historico_VU!A12="",historico_VU!D12=""),"",historico_VU!D12)</f>
        <v/>
      </c>
      <c r="F13" s="112" t="str">
        <f>IF(posicao_contratual!A12="","",posicao_contratual!K12)</f>
        <v/>
      </c>
      <c r="G13" s="111" t="str">
        <f>IF(A13="TOTAL",ROUND(SUM($G$3:G12),2),IF(OR(A13="",E13="",F13=""),"",ROUND(E13*F13,2)))</f>
        <v/>
      </c>
      <c r="H13" s="109" t="str">
        <f>IF(OR(historico_VU!A12="",historico_VU!E12=""),"",historico_VU!E12)</f>
        <v/>
      </c>
      <c r="I13" s="110" t="str">
        <f>IF(posicao_contratual!A12="","",posicao_contratual!O12)</f>
        <v/>
      </c>
      <c r="J13" s="109" t="str">
        <f>IF(A13="TOTAL",ROUND(SUM($J$3:J12),2),IF(OR(A13="",H13="",I13=""),"",ROUND(H13*I13,2)))</f>
        <v/>
      </c>
      <c r="K13" s="111" t="str">
        <f>IF(OR(historico_VU!A12="",historico_VU!F12=""),"",historico_VU!F12)</f>
        <v/>
      </c>
      <c r="L13" s="112" t="str">
        <f>IF(posicao_contratual!A12="","",posicao_contratual!S12)</f>
        <v/>
      </c>
      <c r="M13" s="111" t="str">
        <f>IF(A13="TOTAL",ROUND(SUM($M$3:M12),2),IF(OR(A13="",K13="",L13=""),"",ROUND(K13*L13,2)))</f>
        <v/>
      </c>
      <c r="N13" s="109" t="str">
        <f>IF(OR(historico_VU!A12="",historico_VU!G12=""),"",historico_VU!G12)</f>
        <v/>
      </c>
      <c r="O13" s="110" t="str">
        <f>IF(posicao_contratual!A12="","",posicao_contratual!W12)</f>
        <v/>
      </c>
      <c r="P13" s="109" t="str">
        <f>IF(A13="TOTAL",ROUND(SUM($P$3:P12),2),IF(OR(A13="",N13="",O13=""),"",ROUND(N13*O13,2)))</f>
        <v/>
      </c>
      <c r="Q13" s="183" t="str">
        <f t="shared" ca="1" si="0"/>
        <v/>
      </c>
      <c r="R13" t="str">
        <f>IF($A13="","",IF(MEMORIA_RESULTADOS!$W$46="","","C"&amp;MEMORIA_RESULTADOS!$W$46))</f>
        <v/>
      </c>
      <c r="S13" s="210" t="str">
        <f t="shared" ca="1" si="1"/>
        <v/>
      </c>
      <c r="T13" s="210" t="str">
        <f t="shared" ca="1" si="2"/>
        <v/>
      </c>
      <c r="U13" s="210" t="str">
        <f t="shared" ca="1" si="3"/>
        <v/>
      </c>
      <c r="V13" s="195" t="str">
        <f t="shared" ca="1" si="4"/>
        <v/>
      </c>
      <c r="W13" s="195" t="str">
        <f t="shared" ca="1" si="5"/>
        <v/>
      </c>
      <c r="X13" s="195" t="str">
        <f t="shared" ca="1" si="6"/>
        <v/>
      </c>
      <c r="Y13" t="str">
        <f t="shared" ca="1" si="7"/>
        <v/>
      </c>
      <c r="Z13" s="211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08" t="str">
        <f>IF(AND(itens_Remanesc!A13="",itens_Remanesc!A12&lt;&gt;"",COUNTIF(itens_Remanesc!A14:$A$200,"&lt;&gt;")=0),"TOTAL",IF(itens_Remanesc!A13="","",itens_Remanesc!A13))</f>
        <v/>
      </c>
      <c r="B14" s="109" t="str">
        <f>IF(OR(historico_VU!A13="",historico_VU!C13=""),"",historico_VU!C13)</f>
        <v/>
      </c>
      <c r="C14" s="110" t="str">
        <f>IF(posicao_contratual!A13="","",posicao_contratual!G13)</f>
        <v/>
      </c>
      <c r="D14" s="109" t="str">
        <f>IF(A14="TOTAL",ROUND(SUM($D$3:D13),2),IF(OR(A14="",B14="",C14=""),"",ROUND(B14*C14,2)))</f>
        <v/>
      </c>
      <c r="E14" s="111" t="str">
        <f>IF(OR(historico_VU!A13="",historico_VU!D13=""),"",historico_VU!D13)</f>
        <v/>
      </c>
      <c r="F14" s="112" t="str">
        <f>IF(posicao_contratual!A13="","",posicao_contratual!K13)</f>
        <v/>
      </c>
      <c r="G14" s="111" t="str">
        <f>IF(A14="TOTAL",ROUND(SUM($G$3:G13),2),IF(OR(A14="",E14="",F14=""),"",ROUND(E14*F14,2)))</f>
        <v/>
      </c>
      <c r="H14" s="109" t="str">
        <f>IF(OR(historico_VU!A13="",historico_VU!E13=""),"",historico_VU!E13)</f>
        <v/>
      </c>
      <c r="I14" s="110" t="str">
        <f>IF(posicao_contratual!A13="","",posicao_contratual!O13)</f>
        <v/>
      </c>
      <c r="J14" s="109" t="str">
        <f>IF(A14="TOTAL",ROUND(SUM($J$3:J13),2),IF(OR(A14="",H14="",I14=""),"",ROUND(H14*I14,2)))</f>
        <v/>
      </c>
      <c r="K14" s="111" t="str">
        <f>IF(OR(historico_VU!A13="",historico_VU!F13=""),"",historico_VU!F13)</f>
        <v/>
      </c>
      <c r="L14" s="112" t="str">
        <f>IF(posicao_contratual!A13="","",posicao_contratual!S13)</f>
        <v/>
      </c>
      <c r="M14" s="111" t="str">
        <f>IF(A14="TOTAL",ROUND(SUM($M$3:M13),2),IF(OR(A14="",K14="",L14=""),"",ROUND(K14*L14,2)))</f>
        <v/>
      </c>
      <c r="N14" s="109" t="str">
        <f>IF(OR(historico_VU!A13="",historico_VU!G13=""),"",historico_VU!G13)</f>
        <v/>
      </c>
      <c r="O14" s="110" t="str">
        <f>IF(posicao_contratual!A13="","",posicao_contratual!W13)</f>
        <v/>
      </c>
      <c r="P14" s="109" t="str">
        <f>IF(A14="TOTAL",ROUND(SUM($P$3:P13),2),IF(OR(A14="",N14="",O14=""),"",ROUND(N14*O14,2)))</f>
        <v/>
      </c>
      <c r="Q14" s="183" t="str">
        <f t="shared" ca="1" si="0"/>
        <v/>
      </c>
      <c r="R14" t="str">
        <f>IF($A14="","",IF(MEMORIA_RESULTADOS!$W$46="","","C"&amp;MEMORIA_RESULTADOS!$W$46))</f>
        <v/>
      </c>
      <c r="S14" s="210" t="str">
        <f t="shared" ca="1" si="1"/>
        <v/>
      </c>
      <c r="T14" s="210" t="str">
        <f t="shared" ca="1" si="2"/>
        <v/>
      </c>
      <c r="U14" s="210" t="str">
        <f t="shared" ca="1" si="3"/>
        <v/>
      </c>
      <c r="V14" s="195" t="str">
        <f t="shared" ca="1" si="4"/>
        <v/>
      </c>
      <c r="W14" s="195" t="str">
        <f t="shared" ca="1" si="5"/>
        <v/>
      </c>
      <c r="X14" s="195" t="str">
        <f t="shared" ca="1" si="6"/>
        <v/>
      </c>
      <c r="Y14" t="str">
        <f t="shared" ca="1" si="7"/>
        <v/>
      </c>
      <c r="Z14" s="211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08" t="str">
        <f>IF(AND(itens_Remanesc!A14="",itens_Remanesc!A13&lt;&gt;"",COUNTIF(itens_Remanesc!A15:$A$200,"&lt;&gt;")=0),"TOTAL",IF(itens_Remanesc!A14="","",itens_Remanesc!A14))</f>
        <v/>
      </c>
      <c r="B15" s="109" t="str">
        <f>IF(OR(historico_VU!A14="",historico_VU!C14=""),"",historico_VU!C14)</f>
        <v/>
      </c>
      <c r="C15" s="110" t="str">
        <f>IF(posicao_contratual!A14="","",posicao_contratual!G14)</f>
        <v/>
      </c>
      <c r="D15" s="109" t="str">
        <f>IF(A15="TOTAL",ROUND(SUM($D$3:D14),2),IF(OR(A15="",B15="",C15=""),"",ROUND(B15*C15,2)))</f>
        <v/>
      </c>
      <c r="E15" s="111" t="str">
        <f>IF(OR(historico_VU!A14="",historico_VU!D14=""),"",historico_VU!D14)</f>
        <v/>
      </c>
      <c r="F15" s="112" t="str">
        <f>IF(posicao_contratual!A14="","",posicao_contratual!K14)</f>
        <v/>
      </c>
      <c r="G15" s="111" t="str">
        <f>IF(A15="TOTAL",ROUND(SUM($G$3:G14),2),IF(OR(A15="",E15="",F15=""),"",ROUND(E15*F15,2)))</f>
        <v/>
      </c>
      <c r="H15" s="109" t="str">
        <f>IF(OR(historico_VU!A14="",historico_VU!E14=""),"",historico_VU!E14)</f>
        <v/>
      </c>
      <c r="I15" s="110" t="str">
        <f>IF(posicao_contratual!A14="","",posicao_contratual!O14)</f>
        <v/>
      </c>
      <c r="J15" s="109" t="str">
        <f>IF(A15="TOTAL",ROUND(SUM($J$3:J14),2),IF(OR(A15="",H15="",I15=""),"",ROUND(H15*I15,2)))</f>
        <v/>
      </c>
      <c r="K15" s="111" t="str">
        <f>IF(OR(historico_VU!A14="",historico_VU!F14=""),"",historico_VU!F14)</f>
        <v/>
      </c>
      <c r="L15" s="112" t="str">
        <f>IF(posicao_contratual!A14="","",posicao_contratual!S14)</f>
        <v/>
      </c>
      <c r="M15" s="111" t="str">
        <f>IF(A15="TOTAL",ROUND(SUM($M$3:M14),2),IF(OR(A15="",K15="",L15=""),"",ROUND(K15*L15,2)))</f>
        <v/>
      </c>
      <c r="N15" s="109" t="str">
        <f>IF(OR(historico_VU!A14="",historico_VU!G14=""),"",historico_VU!G14)</f>
        <v/>
      </c>
      <c r="O15" s="110" t="str">
        <f>IF(posicao_contratual!A14="","",posicao_contratual!W14)</f>
        <v/>
      </c>
      <c r="P15" s="109" t="str">
        <f>IF(A15="TOTAL",ROUND(SUM($P$3:P14),2),IF(OR(A15="",N15="",O15=""),"",ROUND(N15*O15,2)))</f>
        <v/>
      </c>
      <c r="Q15" s="183" t="str">
        <f t="shared" ca="1" si="0"/>
        <v/>
      </c>
      <c r="R15" t="str">
        <f>IF($A15="","",IF(MEMORIA_RESULTADOS!$W$46="","","C"&amp;MEMORIA_RESULTADOS!$W$46))</f>
        <v/>
      </c>
      <c r="S15" s="210" t="str">
        <f t="shared" ca="1" si="1"/>
        <v/>
      </c>
      <c r="T15" s="210" t="str">
        <f t="shared" ca="1" si="2"/>
        <v/>
      </c>
      <c r="U15" s="210" t="str">
        <f t="shared" ca="1" si="3"/>
        <v/>
      </c>
      <c r="V15" s="195" t="str">
        <f t="shared" ca="1" si="4"/>
        <v/>
      </c>
      <c r="W15" s="195" t="str">
        <f t="shared" ca="1" si="5"/>
        <v/>
      </c>
      <c r="X15" s="195" t="str">
        <f t="shared" ca="1" si="6"/>
        <v/>
      </c>
      <c r="Y15" t="str">
        <f t="shared" ca="1" si="7"/>
        <v/>
      </c>
      <c r="Z15" s="211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08" t="str">
        <f>IF(AND(itens_Remanesc!A15="",itens_Remanesc!A14&lt;&gt;"",COUNTIF(itens_Remanesc!A16:$A$200,"&lt;&gt;")=0),"TOTAL",IF(itens_Remanesc!A15="","",itens_Remanesc!A15))</f>
        <v/>
      </c>
      <c r="B16" s="109" t="str">
        <f>IF(OR(historico_VU!A15="",historico_VU!C15=""),"",historico_VU!C15)</f>
        <v/>
      </c>
      <c r="C16" s="110" t="str">
        <f>IF(posicao_contratual!A15="","",posicao_contratual!G15)</f>
        <v/>
      </c>
      <c r="D16" s="109" t="str">
        <f>IF(A16="TOTAL",ROUND(SUM($D$3:D15),2),IF(OR(A16="",B16="",C16=""),"",ROUND(B16*C16,2)))</f>
        <v/>
      </c>
      <c r="E16" s="111" t="str">
        <f>IF(OR(historico_VU!A15="",historico_VU!D15=""),"",historico_VU!D15)</f>
        <v/>
      </c>
      <c r="F16" s="112" t="str">
        <f>IF(posicao_contratual!A15="","",posicao_contratual!K15)</f>
        <v/>
      </c>
      <c r="G16" s="111" t="str">
        <f>IF(A16="TOTAL",ROUND(SUM($G$3:G15),2),IF(OR(A16="",E16="",F16=""),"",ROUND(E16*F16,2)))</f>
        <v/>
      </c>
      <c r="H16" s="109" t="str">
        <f>IF(OR(historico_VU!A15="",historico_VU!E15=""),"",historico_VU!E15)</f>
        <v/>
      </c>
      <c r="I16" s="110" t="str">
        <f>IF(posicao_contratual!A15="","",posicao_contratual!O15)</f>
        <v/>
      </c>
      <c r="J16" s="109" t="str">
        <f>IF(A16="TOTAL",ROUND(SUM($J$3:J15),2),IF(OR(A16="",H16="",I16=""),"",ROUND(H16*I16,2)))</f>
        <v/>
      </c>
      <c r="K16" s="111" t="str">
        <f>IF(OR(historico_VU!A15="",historico_VU!F15=""),"",historico_VU!F15)</f>
        <v/>
      </c>
      <c r="L16" s="112" t="str">
        <f>IF(posicao_contratual!A15="","",posicao_contratual!S15)</f>
        <v/>
      </c>
      <c r="M16" s="111" t="str">
        <f>IF(A16="TOTAL",ROUND(SUM($M$3:M15),2),IF(OR(A16="",K16="",L16=""),"",ROUND(K16*L16,2)))</f>
        <v/>
      </c>
      <c r="N16" s="109" t="str">
        <f>IF(OR(historico_VU!A15="",historico_VU!G15=""),"",historico_VU!G15)</f>
        <v/>
      </c>
      <c r="O16" s="110" t="str">
        <f>IF(posicao_contratual!A15="","",posicao_contratual!W15)</f>
        <v/>
      </c>
      <c r="P16" s="109" t="str">
        <f>IF(A16="TOTAL",ROUND(SUM($P$3:P15),2),IF(OR(A16="",N16="",O16=""),"",ROUND(N16*O16,2)))</f>
        <v/>
      </c>
      <c r="Q16" s="183" t="str">
        <f t="shared" ca="1" si="0"/>
        <v/>
      </c>
      <c r="R16" t="str">
        <f>IF($A16="","",IF(MEMORIA_RESULTADOS!$W$46="","","C"&amp;MEMORIA_RESULTADOS!$W$46))</f>
        <v/>
      </c>
      <c r="S16" s="210" t="str">
        <f t="shared" ca="1" si="1"/>
        <v/>
      </c>
      <c r="T16" s="210" t="str">
        <f t="shared" ca="1" si="2"/>
        <v/>
      </c>
      <c r="U16" s="210" t="str">
        <f t="shared" ca="1" si="3"/>
        <v/>
      </c>
      <c r="V16" s="195" t="str">
        <f t="shared" ca="1" si="4"/>
        <v/>
      </c>
      <c r="W16" s="195" t="str">
        <f t="shared" ca="1" si="5"/>
        <v/>
      </c>
      <c r="X16" s="195" t="str">
        <f t="shared" ca="1" si="6"/>
        <v/>
      </c>
      <c r="Y16" t="str">
        <f t="shared" ca="1" si="7"/>
        <v/>
      </c>
      <c r="Z16" s="211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08" t="str">
        <f>IF(AND(itens_Remanesc!A16="",itens_Remanesc!A15&lt;&gt;"",COUNTIF(itens_Remanesc!A17:$A$200,"&lt;&gt;")=0),"TOTAL",IF(itens_Remanesc!A16="","",itens_Remanesc!A16))</f>
        <v/>
      </c>
      <c r="B17" s="109" t="str">
        <f>IF(OR(historico_VU!A16="",historico_VU!C16=""),"",historico_VU!C16)</f>
        <v/>
      </c>
      <c r="C17" s="110" t="str">
        <f>IF(posicao_contratual!A16="","",posicao_contratual!G16)</f>
        <v/>
      </c>
      <c r="D17" s="109" t="str">
        <f>IF(A17="TOTAL",ROUND(SUM($D$3:D16),2),IF(OR(A17="",B17="",C17=""),"",ROUND(B17*C17,2)))</f>
        <v/>
      </c>
      <c r="E17" s="111" t="str">
        <f>IF(OR(historico_VU!A16="",historico_VU!D16=""),"",historico_VU!D16)</f>
        <v/>
      </c>
      <c r="F17" s="112" t="str">
        <f>IF(posicao_contratual!A16="","",posicao_contratual!K16)</f>
        <v/>
      </c>
      <c r="G17" s="111" t="str">
        <f>IF(A17="TOTAL",ROUND(SUM($G$3:G16),2),IF(OR(A17="",E17="",F17=""),"",ROUND(E17*F17,2)))</f>
        <v/>
      </c>
      <c r="H17" s="109" t="str">
        <f>IF(OR(historico_VU!A16="",historico_VU!E16=""),"",historico_VU!E16)</f>
        <v/>
      </c>
      <c r="I17" s="110" t="str">
        <f>IF(posicao_contratual!A16="","",posicao_contratual!O16)</f>
        <v/>
      </c>
      <c r="J17" s="109" t="str">
        <f>IF(A17="TOTAL",ROUND(SUM($J$3:J16),2),IF(OR(A17="",H17="",I17=""),"",ROUND(H17*I17,2)))</f>
        <v/>
      </c>
      <c r="K17" s="111" t="str">
        <f>IF(OR(historico_VU!A16="",historico_VU!F16=""),"",historico_VU!F16)</f>
        <v/>
      </c>
      <c r="L17" s="112" t="str">
        <f>IF(posicao_contratual!A16="","",posicao_contratual!S16)</f>
        <v/>
      </c>
      <c r="M17" s="111" t="str">
        <f>IF(A17="TOTAL",ROUND(SUM($M$3:M16),2),IF(OR(A17="",K17="",L17=""),"",ROUND(K17*L17,2)))</f>
        <v/>
      </c>
      <c r="N17" s="109" t="str">
        <f>IF(OR(historico_VU!A16="",historico_VU!G16=""),"",historico_VU!G16)</f>
        <v/>
      </c>
      <c r="O17" s="110" t="str">
        <f>IF(posicao_contratual!A16="","",posicao_contratual!W16)</f>
        <v/>
      </c>
      <c r="P17" s="109" t="str">
        <f>IF(A17="TOTAL",ROUND(SUM($P$3:P16),2),IF(OR(A17="",N17="",O17=""),"",ROUND(N17*O17,2)))</f>
        <v/>
      </c>
      <c r="Q17" s="183" t="str">
        <f t="shared" ca="1" si="0"/>
        <v/>
      </c>
      <c r="R17" t="str">
        <f>IF($A17="","",IF(MEMORIA_RESULTADOS!$W$46="","","C"&amp;MEMORIA_RESULTADOS!$W$46))</f>
        <v/>
      </c>
      <c r="S17" s="210" t="str">
        <f t="shared" ca="1" si="1"/>
        <v/>
      </c>
      <c r="T17" s="210" t="str">
        <f t="shared" ca="1" si="2"/>
        <v/>
      </c>
      <c r="U17" s="210" t="str">
        <f t="shared" ca="1" si="3"/>
        <v/>
      </c>
      <c r="V17" s="195" t="str">
        <f t="shared" ca="1" si="4"/>
        <v/>
      </c>
      <c r="W17" s="195" t="str">
        <f t="shared" ca="1" si="5"/>
        <v/>
      </c>
      <c r="X17" s="195" t="str">
        <f t="shared" ca="1" si="6"/>
        <v/>
      </c>
      <c r="Y17" t="str">
        <f t="shared" ca="1" si="7"/>
        <v/>
      </c>
      <c r="Z17" s="211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08" t="str">
        <f>IF(AND(itens_Remanesc!A17="",itens_Remanesc!A16&lt;&gt;"",COUNTIF(itens_Remanesc!A18:$A$200,"&lt;&gt;")=0),"TOTAL",IF(itens_Remanesc!A17="","",itens_Remanesc!A17))</f>
        <v/>
      </c>
      <c r="B18" s="109" t="str">
        <f>IF(OR(historico_VU!A17="",historico_VU!C17=""),"",historico_VU!C17)</f>
        <v/>
      </c>
      <c r="C18" s="110" t="str">
        <f>IF(posicao_contratual!A17="","",posicao_contratual!G17)</f>
        <v/>
      </c>
      <c r="D18" s="109" t="str">
        <f>IF(A18="TOTAL",ROUND(SUM($D$3:D17),2),IF(OR(A18="",B18="",C18=""),"",ROUND(B18*C18,2)))</f>
        <v/>
      </c>
      <c r="E18" s="111" t="str">
        <f>IF(OR(historico_VU!A17="",historico_VU!D17=""),"",historico_VU!D17)</f>
        <v/>
      </c>
      <c r="F18" s="112" t="str">
        <f>IF(posicao_contratual!A17="","",posicao_contratual!K17)</f>
        <v/>
      </c>
      <c r="G18" s="111" t="str">
        <f>IF(A18="TOTAL",ROUND(SUM($G$3:G17),2),IF(OR(A18="",E18="",F18=""),"",ROUND(E18*F18,2)))</f>
        <v/>
      </c>
      <c r="H18" s="109" t="str">
        <f>IF(OR(historico_VU!A17="",historico_VU!E17=""),"",historico_VU!E17)</f>
        <v/>
      </c>
      <c r="I18" s="110" t="str">
        <f>IF(posicao_contratual!A17="","",posicao_contratual!O17)</f>
        <v/>
      </c>
      <c r="J18" s="109" t="str">
        <f>IF(A18="TOTAL",ROUND(SUM($J$3:J17),2),IF(OR(A18="",H18="",I18=""),"",ROUND(H18*I18,2)))</f>
        <v/>
      </c>
      <c r="K18" s="111" t="str">
        <f>IF(OR(historico_VU!A17="",historico_VU!F17=""),"",historico_VU!F17)</f>
        <v/>
      </c>
      <c r="L18" s="112" t="str">
        <f>IF(posicao_contratual!A17="","",posicao_contratual!S17)</f>
        <v/>
      </c>
      <c r="M18" s="111" t="str">
        <f>IF(A18="TOTAL",ROUND(SUM($M$3:M17),2),IF(OR(A18="",K18="",L18=""),"",ROUND(K18*L18,2)))</f>
        <v/>
      </c>
      <c r="N18" s="109" t="str">
        <f>IF(OR(historico_VU!A17="",historico_VU!G17=""),"",historico_VU!G17)</f>
        <v/>
      </c>
      <c r="O18" s="110" t="str">
        <f>IF(posicao_contratual!A17="","",posicao_contratual!W17)</f>
        <v/>
      </c>
      <c r="P18" s="109" t="str">
        <f>IF(A18="TOTAL",ROUND(SUM($P$3:P17),2),IF(OR(A18="",N18="",O18=""),"",ROUND(N18*O18,2)))</f>
        <v/>
      </c>
      <c r="Q18" s="183" t="str">
        <f t="shared" ca="1" si="0"/>
        <v/>
      </c>
      <c r="R18" t="str">
        <f>IF($A18="","",IF(MEMORIA_RESULTADOS!$W$46="","","C"&amp;MEMORIA_RESULTADOS!$W$46))</f>
        <v/>
      </c>
      <c r="S18" s="210" t="str">
        <f t="shared" ca="1" si="1"/>
        <v/>
      </c>
      <c r="T18" s="210" t="str">
        <f t="shared" ca="1" si="2"/>
        <v/>
      </c>
      <c r="U18" s="210" t="str">
        <f t="shared" ca="1" si="3"/>
        <v/>
      </c>
      <c r="V18" s="195" t="str">
        <f t="shared" ca="1" si="4"/>
        <v/>
      </c>
      <c r="W18" s="195" t="str">
        <f t="shared" ca="1" si="5"/>
        <v/>
      </c>
      <c r="X18" s="195" t="str">
        <f t="shared" ca="1" si="6"/>
        <v/>
      </c>
      <c r="Y18" t="str">
        <f t="shared" ca="1" si="7"/>
        <v/>
      </c>
      <c r="Z18" s="211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08" t="str">
        <f>IF(AND(itens_Remanesc!A18="",itens_Remanesc!A17&lt;&gt;"",COUNTIF(itens_Remanesc!A19:$A$200,"&lt;&gt;")=0),"TOTAL",IF(itens_Remanesc!A18="","",itens_Remanesc!A18))</f>
        <v/>
      </c>
      <c r="B19" s="109" t="str">
        <f>IF(OR(historico_VU!A18="",historico_VU!C18=""),"",historico_VU!C18)</f>
        <v/>
      </c>
      <c r="C19" s="110" t="str">
        <f>IF(posicao_contratual!A18="","",posicao_contratual!G18)</f>
        <v/>
      </c>
      <c r="D19" s="109" t="str">
        <f>IF(A19="TOTAL",ROUND(SUM($D$3:D18),2),IF(OR(A19="",B19="",C19=""),"",ROUND(B19*C19,2)))</f>
        <v/>
      </c>
      <c r="E19" s="111" t="str">
        <f>IF(OR(historico_VU!A18="",historico_VU!D18=""),"",historico_VU!D18)</f>
        <v/>
      </c>
      <c r="F19" s="112" t="str">
        <f>IF(posicao_contratual!A18="","",posicao_contratual!K18)</f>
        <v/>
      </c>
      <c r="G19" s="111" t="str">
        <f>IF(A19="TOTAL",ROUND(SUM($G$3:G18),2),IF(OR(A19="",E19="",F19=""),"",ROUND(E19*F19,2)))</f>
        <v/>
      </c>
      <c r="H19" s="109" t="str">
        <f>IF(OR(historico_VU!A18="",historico_VU!E18=""),"",historico_VU!E18)</f>
        <v/>
      </c>
      <c r="I19" s="110" t="str">
        <f>IF(posicao_contratual!A18="","",posicao_contratual!O18)</f>
        <v/>
      </c>
      <c r="J19" s="109" t="str">
        <f>IF(A19="TOTAL",ROUND(SUM($J$3:J18),2),IF(OR(A19="",H19="",I19=""),"",ROUND(H19*I19,2)))</f>
        <v/>
      </c>
      <c r="K19" s="111" t="str">
        <f>IF(OR(historico_VU!A18="",historico_VU!F18=""),"",historico_VU!F18)</f>
        <v/>
      </c>
      <c r="L19" s="112" t="str">
        <f>IF(posicao_contratual!A18="","",posicao_contratual!S18)</f>
        <v/>
      </c>
      <c r="M19" s="111" t="str">
        <f>IF(A19="TOTAL",ROUND(SUM($M$3:M18),2),IF(OR(A19="",K19="",L19=""),"",ROUND(K19*L19,2)))</f>
        <v/>
      </c>
      <c r="N19" s="109" t="str">
        <f>IF(OR(historico_VU!A18="",historico_VU!G18=""),"",historico_VU!G18)</f>
        <v/>
      </c>
      <c r="O19" s="110" t="str">
        <f>IF(posicao_contratual!A18="","",posicao_contratual!W18)</f>
        <v/>
      </c>
      <c r="P19" s="109" t="str">
        <f>IF(A19="TOTAL",ROUND(SUM($P$3:P18),2),IF(OR(A19="",N19="",O19=""),"",ROUND(N19*O19,2)))</f>
        <v/>
      </c>
      <c r="Q19" s="183" t="str">
        <f t="shared" ca="1" si="0"/>
        <v/>
      </c>
      <c r="R19" t="str">
        <f>IF($A19="","",IF(MEMORIA_RESULTADOS!$W$46="","","C"&amp;MEMORIA_RESULTADOS!$W$46))</f>
        <v/>
      </c>
      <c r="S19" s="210" t="str">
        <f t="shared" ca="1" si="1"/>
        <v/>
      </c>
      <c r="T19" s="210" t="str">
        <f t="shared" ca="1" si="2"/>
        <v/>
      </c>
      <c r="U19" s="210" t="str">
        <f t="shared" ca="1" si="3"/>
        <v/>
      </c>
      <c r="V19" s="195" t="str">
        <f t="shared" ca="1" si="4"/>
        <v/>
      </c>
      <c r="W19" s="195" t="str">
        <f t="shared" ca="1" si="5"/>
        <v/>
      </c>
      <c r="X19" s="195" t="str">
        <f t="shared" ca="1" si="6"/>
        <v/>
      </c>
      <c r="Y19" t="str">
        <f t="shared" ca="1" si="7"/>
        <v/>
      </c>
      <c r="Z19" s="211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08" t="str">
        <f>IF(AND(itens_Remanesc!A19="",itens_Remanesc!A18&lt;&gt;"",COUNTIF(itens_Remanesc!A20:$A$200,"&lt;&gt;")=0),"TOTAL",IF(itens_Remanesc!A19="","",itens_Remanesc!A19))</f>
        <v/>
      </c>
      <c r="B20" s="109" t="str">
        <f>IF(OR(historico_VU!A19="",historico_VU!C19=""),"",historico_VU!C19)</f>
        <v/>
      </c>
      <c r="C20" s="110" t="str">
        <f>IF(posicao_contratual!A19="","",posicao_contratual!G19)</f>
        <v/>
      </c>
      <c r="D20" s="109" t="str">
        <f>IF(A20="TOTAL",ROUND(SUM($D$3:D19),2),IF(OR(A20="",B20="",C20=""),"",ROUND(B20*C20,2)))</f>
        <v/>
      </c>
      <c r="E20" s="111" t="str">
        <f>IF(OR(historico_VU!A19="",historico_VU!D19=""),"",historico_VU!D19)</f>
        <v/>
      </c>
      <c r="F20" s="112" t="str">
        <f>IF(posicao_contratual!A19="","",posicao_contratual!K19)</f>
        <v/>
      </c>
      <c r="G20" s="111" t="str">
        <f>IF(A20="TOTAL",ROUND(SUM($G$3:G19),2),IF(OR(A20="",E20="",F20=""),"",ROUND(E20*F20,2)))</f>
        <v/>
      </c>
      <c r="H20" s="109" t="str">
        <f>IF(OR(historico_VU!A19="",historico_VU!E19=""),"",historico_VU!E19)</f>
        <v/>
      </c>
      <c r="I20" s="110" t="str">
        <f>IF(posicao_contratual!A19="","",posicao_contratual!O19)</f>
        <v/>
      </c>
      <c r="J20" s="109" t="str">
        <f>IF(A20="TOTAL",ROUND(SUM($J$3:J19),2),IF(OR(A20="",H20="",I20=""),"",ROUND(H20*I20,2)))</f>
        <v/>
      </c>
      <c r="K20" s="111" t="str">
        <f>IF(OR(historico_VU!A19="",historico_VU!F19=""),"",historico_VU!F19)</f>
        <v/>
      </c>
      <c r="L20" s="112" t="str">
        <f>IF(posicao_contratual!A19="","",posicao_contratual!S19)</f>
        <v/>
      </c>
      <c r="M20" s="111" t="str">
        <f>IF(A20="TOTAL",ROUND(SUM($M$3:M19),2),IF(OR(A20="",K20="",L20=""),"",ROUND(K20*L20,2)))</f>
        <v/>
      </c>
      <c r="N20" s="109" t="str">
        <f>IF(OR(historico_VU!A19="",historico_VU!G19=""),"",historico_VU!G19)</f>
        <v/>
      </c>
      <c r="O20" s="110" t="str">
        <f>IF(posicao_contratual!A19="","",posicao_contratual!W19)</f>
        <v/>
      </c>
      <c r="P20" s="109" t="str">
        <f>IF(A20="TOTAL",ROUND(SUM($P$3:P19),2),IF(OR(A20="",N20="",O20=""),"",ROUND(N20*O20,2)))</f>
        <v/>
      </c>
      <c r="Q20" s="183" t="str">
        <f t="shared" ca="1" si="0"/>
        <v/>
      </c>
      <c r="R20" t="str">
        <f>IF($A20="","",IF(MEMORIA_RESULTADOS!$W$46="","","C"&amp;MEMORIA_RESULTADOS!$W$46))</f>
        <v/>
      </c>
      <c r="S20" s="210" t="str">
        <f t="shared" ca="1" si="1"/>
        <v/>
      </c>
      <c r="T20" s="210" t="str">
        <f t="shared" ca="1" si="2"/>
        <v/>
      </c>
      <c r="U20" s="210" t="str">
        <f t="shared" ca="1" si="3"/>
        <v/>
      </c>
      <c r="V20" s="195" t="str">
        <f t="shared" ca="1" si="4"/>
        <v/>
      </c>
      <c r="W20" s="195" t="str">
        <f t="shared" ca="1" si="5"/>
        <v/>
      </c>
      <c r="X20" s="195" t="str">
        <f t="shared" ca="1" si="6"/>
        <v/>
      </c>
      <c r="Y20" t="str">
        <f t="shared" ca="1" si="7"/>
        <v/>
      </c>
      <c r="Z20" s="211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08" t="str">
        <f>IF(AND(itens_Remanesc!A20="",itens_Remanesc!A19&lt;&gt;"",COUNTIF(itens_Remanesc!A21:$A$200,"&lt;&gt;")=0),"TOTAL",IF(itens_Remanesc!A20="","",itens_Remanesc!A20))</f>
        <v/>
      </c>
      <c r="B21" s="109" t="str">
        <f>IF(OR(historico_VU!A20="",historico_VU!C20=""),"",historico_VU!C20)</f>
        <v/>
      </c>
      <c r="C21" s="110" t="str">
        <f>IF(posicao_contratual!A20="","",posicao_contratual!G20)</f>
        <v/>
      </c>
      <c r="D21" s="109" t="str">
        <f>IF(A21="TOTAL",ROUND(SUM($D$3:D20),2),IF(OR(A21="",B21="",C21=""),"",ROUND(B21*C21,2)))</f>
        <v/>
      </c>
      <c r="E21" s="111" t="str">
        <f>IF(OR(historico_VU!A20="",historico_VU!D20=""),"",historico_VU!D20)</f>
        <v/>
      </c>
      <c r="F21" s="112" t="str">
        <f>IF(posicao_contratual!A20="","",posicao_contratual!K20)</f>
        <v/>
      </c>
      <c r="G21" s="111" t="str">
        <f>IF(A21="TOTAL",ROUND(SUM($G$3:G20),2),IF(OR(A21="",E21="",F21=""),"",ROUND(E21*F21,2)))</f>
        <v/>
      </c>
      <c r="H21" s="109" t="str">
        <f>IF(OR(historico_VU!A20="",historico_VU!E20=""),"",historico_VU!E20)</f>
        <v/>
      </c>
      <c r="I21" s="110" t="str">
        <f>IF(posicao_contratual!A20="","",posicao_contratual!O20)</f>
        <v/>
      </c>
      <c r="J21" s="109" t="str">
        <f>IF(A21="TOTAL",ROUND(SUM($J$3:J20),2),IF(OR(A21="",H21="",I21=""),"",ROUND(H21*I21,2)))</f>
        <v/>
      </c>
      <c r="K21" s="111" t="str">
        <f>IF(OR(historico_VU!A20="",historico_VU!F20=""),"",historico_VU!F20)</f>
        <v/>
      </c>
      <c r="L21" s="112" t="str">
        <f>IF(posicao_contratual!A20="","",posicao_contratual!S20)</f>
        <v/>
      </c>
      <c r="M21" s="111" t="str">
        <f>IF(A21="TOTAL",ROUND(SUM($M$3:M20),2),IF(OR(A21="",K21="",L21=""),"",ROUND(K21*L21,2)))</f>
        <v/>
      </c>
      <c r="N21" s="109" t="str">
        <f>IF(OR(historico_VU!A20="",historico_VU!G20=""),"",historico_VU!G20)</f>
        <v/>
      </c>
      <c r="O21" s="110" t="str">
        <f>IF(posicao_contratual!A20="","",posicao_contratual!W20)</f>
        <v/>
      </c>
      <c r="P21" s="109" t="str">
        <f>IF(A21="TOTAL",ROUND(SUM($P$3:P20),2),IF(OR(A21="",N21="",O21=""),"",ROUND(N21*O21,2)))</f>
        <v/>
      </c>
      <c r="Q21" s="183" t="str">
        <f t="shared" ca="1" si="0"/>
        <v/>
      </c>
      <c r="R21" t="str">
        <f>IF($A21="","",IF(MEMORIA_RESULTADOS!$W$46="","","C"&amp;MEMORIA_RESULTADOS!$W$46))</f>
        <v/>
      </c>
      <c r="S21" s="210" t="str">
        <f t="shared" ca="1" si="1"/>
        <v/>
      </c>
      <c r="T21" s="210" t="str">
        <f t="shared" ca="1" si="2"/>
        <v/>
      </c>
      <c r="U21" s="210" t="str">
        <f t="shared" ca="1" si="3"/>
        <v/>
      </c>
      <c r="V21" s="195" t="str">
        <f t="shared" ca="1" si="4"/>
        <v/>
      </c>
      <c r="W21" s="195" t="str">
        <f t="shared" ca="1" si="5"/>
        <v/>
      </c>
      <c r="X21" s="195" t="str">
        <f t="shared" ca="1" si="6"/>
        <v/>
      </c>
      <c r="Y21" t="str">
        <f t="shared" ca="1" si="7"/>
        <v/>
      </c>
      <c r="Z21" s="211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08" t="str">
        <f>IF(AND(itens_Remanesc!A21="",itens_Remanesc!A20&lt;&gt;"",COUNTIF(itens_Remanesc!A22:$A$200,"&lt;&gt;")=0),"TOTAL",IF(itens_Remanesc!A21="","",itens_Remanesc!A21))</f>
        <v/>
      </c>
      <c r="B22" s="109" t="str">
        <f>IF(OR(historico_VU!A21="",historico_VU!C21=""),"",historico_VU!C21)</f>
        <v/>
      </c>
      <c r="C22" s="110" t="str">
        <f>IF(posicao_contratual!A21="","",posicao_contratual!G21)</f>
        <v/>
      </c>
      <c r="D22" s="109" t="str">
        <f>IF(A22="TOTAL",ROUND(SUM($D$3:D21),2),IF(OR(A22="",B22="",C22=""),"",ROUND(B22*C22,2)))</f>
        <v/>
      </c>
      <c r="E22" s="111" t="str">
        <f>IF(OR(historico_VU!A21="",historico_VU!D21=""),"",historico_VU!D21)</f>
        <v/>
      </c>
      <c r="F22" s="112" t="str">
        <f>IF(posicao_contratual!A21="","",posicao_contratual!K21)</f>
        <v/>
      </c>
      <c r="G22" s="111" t="str">
        <f>IF(A22="TOTAL",ROUND(SUM($G$3:G21),2),IF(OR(A22="",E22="",F22=""),"",ROUND(E22*F22,2)))</f>
        <v/>
      </c>
      <c r="H22" s="109" t="str">
        <f>IF(OR(historico_VU!A21="",historico_VU!E21=""),"",historico_VU!E21)</f>
        <v/>
      </c>
      <c r="I22" s="110" t="str">
        <f>IF(posicao_contratual!A21="","",posicao_contratual!O21)</f>
        <v/>
      </c>
      <c r="J22" s="109" t="str">
        <f>IF(A22="TOTAL",ROUND(SUM($J$3:J21),2),IF(OR(A22="",H22="",I22=""),"",ROUND(H22*I22,2)))</f>
        <v/>
      </c>
      <c r="K22" s="111" t="str">
        <f>IF(OR(historico_VU!A21="",historico_VU!F21=""),"",historico_VU!F21)</f>
        <v/>
      </c>
      <c r="L22" s="112" t="str">
        <f>IF(posicao_contratual!A21="","",posicao_contratual!S21)</f>
        <v/>
      </c>
      <c r="M22" s="111" t="str">
        <f>IF(A22="TOTAL",ROUND(SUM($M$3:M21),2),IF(OR(A22="",K22="",L22=""),"",ROUND(K22*L22,2)))</f>
        <v/>
      </c>
      <c r="N22" s="109" t="str">
        <f>IF(OR(historico_VU!A21="",historico_VU!G21=""),"",historico_VU!G21)</f>
        <v/>
      </c>
      <c r="O22" s="110" t="str">
        <f>IF(posicao_contratual!A21="","",posicao_contratual!W21)</f>
        <v/>
      </c>
      <c r="P22" s="109" t="str">
        <f>IF(A22="TOTAL",ROUND(SUM($P$3:P21),2),IF(OR(A22="",N22="",O22=""),"",ROUND(N22*O22,2)))</f>
        <v/>
      </c>
      <c r="Q22" s="183" t="str">
        <f t="shared" ca="1" si="0"/>
        <v/>
      </c>
      <c r="R22" t="str">
        <f>IF($A22="","",IF(MEMORIA_RESULTADOS!$W$46="","","C"&amp;MEMORIA_RESULTADOS!$W$46))</f>
        <v/>
      </c>
      <c r="S22" s="210" t="str">
        <f t="shared" ca="1" si="1"/>
        <v/>
      </c>
      <c r="T22" s="210" t="str">
        <f t="shared" ca="1" si="2"/>
        <v/>
      </c>
      <c r="U22" s="210" t="str">
        <f t="shared" ca="1" si="3"/>
        <v/>
      </c>
      <c r="V22" s="195" t="str">
        <f t="shared" ca="1" si="4"/>
        <v/>
      </c>
      <c r="W22" s="195" t="str">
        <f t="shared" ca="1" si="5"/>
        <v/>
      </c>
      <c r="X22" s="195" t="str">
        <f t="shared" ca="1" si="6"/>
        <v/>
      </c>
      <c r="Y22" t="str">
        <f t="shared" ca="1" si="7"/>
        <v/>
      </c>
      <c r="Z22" s="211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08" t="str">
        <f>IF(AND(itens_Remanesc!A22="",itens_Remanesc!A21&lt;&gt;"",COUNTIF(itens_Remanesc!A23:$A$200,"&lt;&gt;")=0),"TOTAL",IF(itens_Remanesc!A22="","",itens_Remanesc!A22))</f>
        <v/>
      </c>
      <c r="B23" s="109" t="str">
        <f>IF(OR(historico_VU!A22="",historico_VU!C22=""),"",historico_VU!C22)</f>
        <v/>
      </c>
      <c r="C23" s="110" t="str">
        <f>IF(posicao_contratual!A22="","",posicao_contratual!G22)</f>
        <v/>
      </c>
      <c r="D23" s="109" t="str">
        <f>IF(A23="TOTAL",ROUND(SUM($D$3:D22),2),IF(OR(A23="",B23="",C23=""),"",ROUND(B23*C23,2)))</f>
        <v/>
      </c>
      <c r="E23" s="111" t="str">
        <f>IF(OR(historico_VU!A22="",historico_VU!D22=""),"",historico_VU!D22)</f>
        <v/>
      </c>
      <c r="F23" s="112" t="str">
        <f>IF(posicao_contratual!A22="","",posicao_contratual!K22)</f>
        <v/>
      </c>
      <c r="G23" s="111" t="str">
        <f>IF(A23="TOTAL",ROUND(SUM($G$3:G22),2),IF(OR(A23="",E23="",F23=""),"",ROUND(E23*F23,2)))</f>
        <v/>
      </c>
      <c r="H23" s="109" t="str">
        <f>IF(OR(historico_VU!A22="",historico_VU!E22=""),"",historico_VU!E22)</f>
        <v/>
      </c>
      <c r="I23" s="110" t="str">
        <f>IF(posicao_contratual!A22="","",posicao_contratual!O22)</f>
        <v/>
      </c>
      <c r="J23" s="109" t="str">
        <f>IF(A23="TOTAL",ROUND(SUM($J$3:J22),2),IF(OR(A23="",H23="",I23=""),"",ROUND(H23*I23,2)))</f>
        <v/>
      </c>
      <c r="K23" s="111" t="str">
        <f>IF(OR(historico_VU!A22="",historico_VU!F22=""),"",historico_VU!F22)</f>
        <v/>
      </c>
      <c r="L23" s="112" t="str">
        <f>IF(posicao_contratual!A22="","",posicao_contratual!S22)</f>
        <v/>
      </c>
      <c r="M23" s="111" t="str">
        <f>IF(A23="TOTAL",ROUND(SUM($M$3:M22),2),IF(OR(A23="",K23="",L23=""),"",ROUND(K23*L23,2)))</f>
        <v/>
      </c>
      <c r="N23" s="109" t="str">
        <f>IF(OR(historico_VU!A22="",historico_VU!G22=""),"",historico_VU!G22)</f>
        <v/>
      </c>
      <c r="O23" s="110" t="str">
        <f>IF(posicao_contratual!A22="","",posicao_contratual!W22)</f>
        <v/>
      </c>
      <c r="P23" s="109" t="str">
        <f>IF(A23="TOTAL",ROUND(SUM($P$3:P22),2),IF(OR(A23="",N23="",O23=""),"",ROUND(N23*O23,2)))</f>
        <v/>
      </c>
      <c r="Q23" s="183" t="str">
        <f t="shared" ca="1" si="0"/>
        <v/>
      </c>
      <c r="R23" t="str">
        <f>IF($A23="","",IF(MEMORIA_RESULTADOS!$W$46="","","C"&amp;MEMORIA_RESULTADOS!$W$46))</f>
        <v/>
      </c>
      <c r="S23" s="210" t="str">
        <f t="shared" ca="1" si="1"/>
        <v/>
      </c>
      <c r="T23" s="210" t="str">
        <f t="shared" ca="1" si="2"/>
        <v/>
      </c>
      <c r="U23" s="210" t="str">
        <f t="shared" ca="1" si="3"/>
        <v/>
      </c>
      <c r="V23" s="195" t="str">
        <f t="shared" ca="1" si="4"/>
        <v/>
      </c>
      <c r="W23" s="195" t="str">
        <f t="shared" ca="1" si="5"/>
        <v/>
      </c>
      <c r="X23" s="195" t="str">
        <f t="shared" ca="1" si="6"/>
        <v/>
      </c>
      <c r="Y23" t="str">
        <f t="shared" ca="1" si="7"/>
        <v/>
      </c>
      <c r="Z23" s="211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08" t="str">
        <f>IF(AND(itens_Remanesc!A23="",itens_Remanesc!A22&lt;&gt;"",COUNTIF(itens_Remanesc!A24:$A$200,"&lt;&gt;")=0),"TOTAL",IF(itens_Remanesc!A23="","",itens_Remanesc!A23))</f>
        <v/>
      </c>
      <c r="B24" s="109" t="str">
        <f>IF(OR(historico_VU!A23="",historico_VU!C23=""),"",historico_VU!C23)</f>
        <v/>
      </c>
      <c r="C24" s="110" t="str">
        <f>IF(posicao_contratual!A23="","",posicao_contratual!G23)</f>
        <v/>
      </c>
      <c r="D24" s="109" t="str">
        <f>IF(A24="TOTAL",ROUND(SUM($D$3:D23),2),IF(OR(A24="",B24="",C24=""),"",ROUND(B24*C24,2)))</f>
        <v/>
      </c>
      <c r="E24" s="111" t="str">
        <f>IF(OR(historico_VU!A23="",historico_VU!D23=""),"",historico_VU!D23)</f>
        <v/>
      </c>
      <c r="F24" s="112" t="str">
        <f>IF(posicao_contratual!A23="","",posicao_contratual!K23)</f>
        <v/>
      </c>
      <c r="G24" s="111" t="str">
        <f>IF(A24="TOTAL",ROUND(SUM($G$3:G23),2),IF(OR(A24="",E24="",F24=""),"",ROUND(E24*F24,2)))</f>
        <v/>
      </c>
      <c r="H24" s="109" t="str">
        <f>IF(OR(historico_VU!A23="",historico_VU!E23=""),"",historico_VU!E23)</f>
        <v/>
      </c>
      <c r="I24" s="110" t="str">
        <f>IF(posicao_contratual!A23="","",posicao_contratual!O23)</f>
        <v/>
      </c>
      <c r="J24" s="109" t="str">
        <f>IF(A24="TOTAL",ROUND(SUM($J$3:J23),2),IF(OR(A24="",H24="",I24=""),"",ROUND(H24*I24,2)))</f>
        <v/>
      </c>
      <c r="K24" s="111" t="str">
        <f>IF(OR(historico_VU!A23="",historico_VU!F23=""),"",historico_VU!F23)</f>
        <v/>
      </c>
      <c r="L24" s="112" t="str">
        <f>IF(posicao_contratual!A23="","",posicao_contratual!S23)</f>
        <v/>
      </c>
      <c r="M24" s="111" t="str">
        <f>IF(A24="TOTAL",ROUND(SUM($M$3:M23),2),IF(OR(A24="",K24="",L24=""),"",ROUND(K24*L24,2)))</f>
        <v/>
      </c>
      <c r="N24" s="109" t="str">
        <f>IF(OR(historico_VU!A23="",historico_VU!G23=""),"",historico_VU!G23)</f>
        <v/>
      </c>
      <c r="O24" s="110" t="str">
        <f>IF(posicao_contratual!A23="","",posicao_contratual!W23)</f>
        <v/>
      </c>
      <c r="P24" s="109" t="str">
        <f>IF(A24="TOTAL",ROUND(SUM($P$3:P23),2),IF(OR(A24="",N24="",O24=""),"",ROUND(N24*O24,2)))</f>
        <v/>
      </c>
      <c r="Q24" s="183" t="str">
        <f t="shared" ca="1" si="0"/>
        <v/>
      </c>
      <c r="R24" t="str">
        <f>IF($A24="","",IF(MEMORIA_RESULTADOS!$W$46="","","C"&amp;MEMORIA_RESULTADOS!$W$46))</f>
        <v/>
      </c>
      <c r="S24" s="210" t="str">
        <f t="shared" ca="1" si="1"/>
        <v/>
      </c>
      <c r="T24" s="210" t="str">
        <f t="shared" ca="1" si="2"/>
        <v/>
      </c>
      <c r="U24" s="210" t="str">
        <f t="shared" ca="1" si="3"/>
        <v/>
      </c>
      <c r="V24" s="195" t="str">
        <f t="shared" ca="1" si="4"/>
        <v/>
      </c>
      <c r="W24" s="195" t="str">
        <f t="shared" ca="1" si="5"/>
        <v/>
      </c>
      <c r="X24" s="195" t="str">
        <f t="shared" ca="1" si="6"/>
        <v/>
      </c>
      <c r="Y24" t="str">
        <f t="shared" ca="1" si="7"/>
        <v/>
      </c>
      <c r="Z24" s="211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08" t="str">
        <f>IF(AND(itens_Remanesc!A24="",itens_Remanesc!A23&lt;&gt;"",COUNTIF(itens_Remanesc!A25:$A$200,"&lt;&gt;")=0),"TOTAL",IF(itens_Remanesc!A24="","",itens_Remanesc!A24))</f>
        <v/>
      </c>
      <c r="B25" s="109" t="str">
        <f>IF(OR(historico_VU!A24="",historico_VU!C24=""),"",historico_VU!C24)</f>
        <v/>
      </c>
      <c r="C25" s="110" t="str">
        <f>IF(posicao_contratual!A24="","",posicao_contratual!G24)</f>
        <v/>
      </c>
      <c r="D25" s="109" t="str">
        <f>IF(A25="TOTAL",ROUND(SUM($D$3:D24),2),IF(OR(A25="",B25="",C25=""),"",ROUND(B25*C25,2)))</f>
        <v/>
      </c>
      <c r="E25" s="111" t="str">
        <f>IF(OR(historico_VU!A24="",historico_VU!D24=""),"",historico_VU!D24)</f>
        <v/>
      </c>
      <c r="F25" s="112" t="str">
        <f>IF(posicao_contratual!A24="","",posicao_contratual!K24)</f>
        <v/>
      </c>
      <c r="G25" s="111" t="str">
        <f>IF(A25="TOTAL",ROUND(SUM($G$3:G24),2),IF(OR(A25="",E25="",F25=""),"",ROUND(E25*F25,2)))</f>
        <v/>
      </c>
      <c r="H25" s="109" t="str">
        <f>IF(OR(historico_VU!A24="",historico_VU!E24=""),"",historico_VU!E24)</f>
        <v/>
      </c>
      <c r="I25" s="110" t="str">
        <f>IF(posicao_contratual!A24="","",posicao_contratual!O24)</f>
        <v/>
      </c>
      <c r="J25" s="109" t="str">
        <f>IF(A25="TOTAL",ROUND(SUM($J$3:J24),2),IF(OR(A25="",H25="",I25=""),"",ROUND(H25*I25,2)))</f>
        <v/>
      </c>
      <c r="K25" s="111" t="str">
        <f>IF(OR(historico_VU!A24="",historico_VU!F24=""),"",historico_VU!F24)</f>
        <v/>
      </c>
      <c r="L25" s="112" t="str">
        <f>IF(posicao_contratual!A24="","",posicao_contratual!S24)</f>
        <v/>
      </c>
      <c r="M25" s="111" t="str">
        <f>IF(A25="TOTAL",ROUND(SUM($M$3:M24),2),IF(OR(A25="",K25="",L25=""),"",ROUND(K25*L25,2)))</f>
        <v/>
      </c>
      <c r="N25" s="109" t="str">
        <f>IF(OR(historico_VU!A24="",historico_VU!G24=""),"",historico_VU!G24)</f>
        <v/>
      </c>
      <c r="O25" s="110" t="str">
        <f>IF(posicao_contratual!A24="","",posicao_contratual!W24)</f>
        <v/>
      </c>
      <c r="P25" s="109" t="str">
        <f>IF(A25="TOTAL",ROUND(SUM($P$3:P24),2),IF(OR(A25="",N25="",O25=""),"",ROUND(N25*O25,2)))</f>
        <v/>
      </c>
      <c r="Q25" s="183" t="str">
        <f t="shared" ca="1" si="0"/>
        <v/>
      </c>
      <c r="R25" t="str">
        <f>IF($A25="","",IF(MEMORIA_RESULTADOS!$W$46="","","C"&amp;MEMORIA_RESULTADOS!$W$46))</f>
        <v/>
      </c>
      <c r="S25" s="210" t="str">
        <f t="shared" ca="1" si="1"/>
        <v/>
      </c>
      <c r="T25" s="210" t="str">
        <f t="shared" ca="1" si="2"/>
        <v/>
      </c>
      <c r="U25" s="210" t="str">
        <f t="shared" ca="1" si="3"/>
        <v/>
      </c>
      <c r="V25" s="195" t="str">
        <f t="shared" ca="1" si="4"/>
        <v/>
      </c>
      <c r="W25" s="195" t="str">
        <f t="shared" ca="1" si="5"/>
        <v/>
      </c>
      <c r="X25" s="195" t="str">
        <f t="shared" ca="1" si="6"/>
        <v/>
      </c>
      <c r="Y25" t="str">
        <f t="shared" ca="1" si="7"/>
        <v/>
      </c>
      <c r="Z25" s="211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08" t="str">
        <f>IF(AND(itens_Remanesc!A25="",itens_Remanesc!A24&lt;&gt;"",COUNTIF(itens_Remanesc!A26:$A$200,"&lt;&gt;")=0),"TOTAL",IF(itens_Remanesc!A25="","",itens_Remanesc!A25))</f>
        <v/>
      </c>
      <c r="B26" s="109" t="str">
        <f>IF(OR(historico_VU!A25="",historico_VU!C25=""),"",historico_VU!C25)</f>
        <v/>
      </c>
      <c r="C26" s="110" t="str">
        <f>IF(posicao_contratual!A25="","",posicao_contratual!G25)</f>
        <v/>
      </c>
      <c r="D26" s="109" t="str">
        <f>IF(A26="TOTAL",ROUND(SUM($D$3:D25),2),IF(OR(A26="",B26="",C26=""),"",ROUND(B26*C26,2)))</f>
        <v/>
      </c>
      <c r="E26" s="111" t="str">
        <f>IF(OR(historico_VU!A25="",historico_VU!D25=""),"",historico_VU!D25)</f>
        <v/>
      </c>
      <c r="F26" s="112" t="str">
        <f>IF(posicao_contratual!A25="","",posicao_contratual!K25)</f>
        <v/>
      </c>
      <c r="G26" s="111" t="str">
        <f>IF(A26="TOTAL",ROUND(SUM($G$3:G25),2),IF(OR(A26="",E26="",F26=""),"",ROUND(E26*F26,2)))</f>
        <v/>
      </c>
      <c r="H26" s="109" t="str">
        <f>IF(OR(historico_VU!A25="",historico_VU!E25=""),"",historico_VU!E25)</f>
        <v/>
      </c>
      <c r="I26" s="110" t="str">
        <f>IF(posicao_contratual!A25="","",posicao_contratual!O25)</f>
        <v/>
      </c>
      <c r="J26" s="109" t="str">
        <f>IF(A26="TOTAL",ROUND(SUM($J$3:J25),2),IF(OR(A26="",H26="",I26=""),"",ROUND(H26*I26,2)))</f>
        <v/>
      </c>
      <c r="K26" s="111" t="str">
        <f>IF(OR(historico_VU!A25="",historico_VU!F25=""),"",historico_VU!F25)</f>
        <v/>
      </c>
      <c r="L26" s="112" t="str">
        <f>IF(posicao_contratual!A25="","",posicao_contratual!S25)</f>
        <v/>
      </c>
      <c r="M26" s="111" t="str">
        <f>IF(A26="TOTAL",ROUND(SUM($M$3:M25),2),IF(OR(A26="",K26="",L26=""),"",ROUND(K26*L26,2)))</f>
        <v/>
      </c>
      <c r="N26" s="109" t="str">
        <f>IF(OR(historico_VU!A25="",historico_VU!G25=""),"",historico_VU!G25)</f>
        <v/>
      </c>
      <c r="O26" s="110" t="str">
        <f>IF(posicao_contratual!A25="","",posicao_contratual!W25)</f>
        <v/>
      </c>
      <c r="P26" s="109" t="str">
        <f>IF(A26="TOTAL",ROUND(SUM($P$3:P25),2),IF(OR(A26="",N26="",O26=""),"",ROUND(N26*O26,2)))</f>
        <v/>
      </c>
      <c r="Q26" s="183" t="str">
        <f t="shared" ca="1" si="0"/>
        <v/>
      </c>
      <c r="R26" t="str">
        <f>IF($A26="","",IF(MEMORIA_RESULTADOS!$W$46="","","C"&amp;MEMORIA_RESULTADOS!$W$46))</f>
        <v/>
      </c>
      <c r="S26" s="210" t="str">
        <f t="shared" ca="1" si="1"/>
        <v/>
      </c>
      <c r="T26" s="210" t="str">
        <f t="shared" ca="1" si="2"/>
        <v/>
      </c>
      <c r="U26" s="210" t="str">
        <f t="shared" ca="1" si="3"/>
        <v/>
      </c>
      <c r="V26" s="195" t="str">
        <f t="shared" ca="1" si="4"/>
        <v/>
      </c>
      <c r="W26" s="195" t="str">
        <f t="shared" ca="1" si="5"/>
        <v/>
      </c>
      <c r="X26" s="195" t="str">
        <f t="shared" ca="1" si="6"/>
        <v/>
      </c>
      <c r="Y26" t="str">
        <f t="shared" ca="1" si="7"/>
        <v/>
      </c>
      <c r="Z26" s="211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08" t="str">
        <f>IF(AND(itens_Remanesc!A26="",itens_Remanesc!A25&lt;&gt;"",COUNTIF(itens_Remanesc!A27:$A$200,"&lt;&gt;")=0),"TOTAL",IF(itens_Remanesc!A26="","",itens_Remanesc!A26))</f>
        <v/>
      </c>
      <c r="B27" s="109" t="str">
        <f>IF(OR(historico_VU!A26="",historico_VU!C26=""),"",historico_VU!C26)</f>
        <v/>
      </c>
      <c r="C27" s="110" t="str">
        <f>IF(posicao_contratual!A26="","",posicao_contratual!G26)</f>
        <v/>
      </c>
      <c r="D27" s="109" t="str">
        <f>IF(A27="TOTAL",ROUND(SUM($D$3:D26),2),IF(OR(A27="",B27="",C27=""),"",ROUND(B27*C27,2)))</f>
        <v/>
      </c>
      <c r="E27" s="111" t="str">
        <f>IF(OR(historico_VU!A26="",historico_VU!D26=""),"",historico_VU!D26)</f>
        <v/>
      </c>
      <c r="F27" s="112" t="str">
        <f>IF(posicao_contratual!A26="","",posicao_contratual!K26)</f>
        <v/>
      </c>
      <c r="G27" s="111" t="str">
        <f>IF(A27="TOTAL",ROUND(SUM($G$3:G26),2),IF(OR(A27="",E27="",F27=""),"",ROUND(E27*F27,2)))</f>
        <v/>
      </c>
      <c r="H27" s="109" t="str">
        <f>IF(OR(historico_VU!A26="",historico_VU!E26=""),"",historico_VU!E26)</f>
        <v/>
      </c>
      <c r="I27" s="110" t="str">
        <f>IF(posicao_contratual!A26="","",posicao_contratual!O26)</f>
        <v/>
      </c>
      <c r="J27" s="109" t="str">
        <f>IF(A27="TOTAL",ROUND(SUM($J$3:J26),2),IF(OR(A27="",H27="",I27=""),"",ROUND(H27*I27,2)))</f>
        <v/>
      </c>
      <c r="K27" s="111" t="str">
        <f>IF(OR(historico_VU!A26="",historico_VU!F26=""),"",historico_VU!F26)</f>
        <v/>
      </c>
      <c r="L27" s="112" t="str">
        <f>IF(posicao_contratual!A26="","",posicao_contratual!S26)</f>
        <v/>
      </c>
      <c r="M27" s="111" t="str">
        <f>IF(A27="TOTAL",ROUND(SUM($M$3:M26),2),IF(OR(A27="",K27="",L27=""),"",ROUND(K27*L27,2)))</f>
        <v/>
      </c>
      <c r="N27" s="109" t="str">
        <f>IF(OR(historico_VU!A26="",historico_VU!G26=""),"",historico_VU!G26)</f>
        <v/>
      </c>
      <c r="O27" s="110" t="str">
        <f>IF(posicao_contratual!A26="","",posicao_contratual!W26)</f>
        <v/>
      </c>
      <c r="P27" s="109" t="str">
        <f>IF(A27="TOTAL",ROUND(SUM($P$3:P26),2),IF(OR(A27="",N27="",O27=""),"",ROUND(N27*O27,2)))</f>
        <v/>
      </c>
      <c r="Q27" s="183" t="str">
        <f t="shared" ca="1" si="0"/>
        <v/>
      </c>
      <c r="R27" t="str">
        <f>IF($A27="","",IF(MEMORIA_RESULTADOS!$W$46="","","C"&amp;MEMORIA_RESULTADOS!$W$46))</f>
        <v/>
      </c>
      <c r="S27" s="210" t="str">
        <f t="shared" ca="1" si="1"/>
        <v/>
      </c>
      <c r="T27" s="210" t="str">
        <f t="shared" ca="1" si="2"/>
        <v/>
      </c>
      <c r="U27" s="210" t="str">
        <f t="shared" ca="1" si="3"/>
        <v/>
      </c>
      <c r="V27" s="195" t="str">
        <f t="shared" ca="1" si="4"/>
        <v/>
      </c>
      <c r="W27" s="195" t="str">
        <f t="shared" ca="1" si="5"/>
        <v/>
      </c>
      <c r="X27" s="195" t="str">
        <f t="shared" ca="1" si="6"/>
        <v/>
      </c>
      <c r="Y27" t="str">
        <f t="shared" ca="1" si="7"/>
        <v/>
      </c>
      <c r="Z27" s="211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08" t="str">
        <f>IF(AND(itens_Remanesc!A27="",itens_Remanesc!A26&lt;&gt;"",COUNTIF(itens_Remanesc!A28:$A$200,"&lt;&gt;")=0),"TOTAL",IF(itens_Remanesc!A27="","",itens_Remanesc!A27))</f>
        <v/>
      </c>
      <c r="B28" s="109" t="str">
        <f>IF(OR(historico_VU!A27="",historico_VU!C27=""),"",historico_VU!C27)</f>
        <v/>
      </c>
      <c r="C28" s="110" t="str">
        <f>IF(posicao_contratual!A27="","",posicao_contratual!G27)</f>
        <v/>
      </c>
      <c r="D28" s="109" t="str">
        <f>IF(A28="TOTAL",ROUND(SUM($D$3:D27),2),IF(OR(A28="",B28="",C28=""),"",ROUND(B28*C28,2)))</f>
        <v/>
      </c>
      <c r="E28" s="111" t="str">
        <f>IF(OR(historico_VU!A27="",historico_VU!D27=""),"",historico_VU!D27)</f>
        <v/>
      </c>
      <c r="F28" s="112" t="str">
        <f>IF(posicao_contratual!A27="","",posicao_contratual!K27)</f>
        <v/>
      </c>
      <c r="G28" s="111" t="str">
        <f>IF(A28="TOTAL",ROUND(SUM($G$3:G27),2),IF(OR(A28="",E28="",F28=""),"",ROUND(E28*F28,2)))</f>
        <v/>
      </c>
      <c r="H28" s="109" t="str">
        <f>IF(OR(historico_VU!A27="",historico_VU!E27=""),"",historico_VU!E27)</f>
        <v/>
      </c>
      <c r="I28" s="110" t="str">
        <f>IF(posicao_contratual!A27="","",posicao_contratual!O27)</f>
        <v/>
      </c>
      <c r="J28" s="109" t="str">
        <f>IF(A28="TOTAL",ROUND(SUM($J$3:J27),2),IF(OR(A28="",H28="",I28=""),"",ROUND(H28*I28,2)))</f>
        <v/>
      </c>
      <c r="K28" s="111" t="str">
        <f>IF(OR(historico_VU!A27="",historico_VU!F27=""),"",historico_VU!F27)</f>
        <v/>
      </c>
      <c r="L28" s="112" t="str">
        <f>IF(posicao_contratual!A27="","",posicao_contratual!S27)</f>
        <v/>
      </c>
      <c r="M28" s="111" t="str">
        <f>IF(A28="TOTAL",ROUND(SUM($M$3:M27),2),IF(OR(A28="",K28="",L28=""),"",ROUND(K28*L28,2)))</f>
        <v/>
      </c>
      <c r="N28" s="109" t="str">
        <f>IF(OR(historico_VU!A27="",historico_VU!G27=""),"",historico_VU!G27)</f>
        <v/>
      </c>
      <c r="O28" s="110" t="str">
        <f>IF(posicao_contratual!A27="","",posicao_contratual!W27)</f>
        <v/>
      </c>
      <c r="P28" s="109" t="str">
        <f>IF(A28="TOTAL",ROUND(SUM($P$3:P27),2),IF(OR(A28="",N28="",O28=""),"",ROUND(N28*O28,2)))</f>
        <v/>
      </c>
      <c r="Q28" s="183" t="str">
        <f t="shared" ca="1" si="0"/>
        <v/>
      </c>
      <c r="R28" t="str">
        <f>IF($A28="","",IF(MEMORIA_RESULTADOS!$W$46="","","C"&amp;MEMORIA_RESULTADOS!$W$46))</f>
        <v/>
      </c>
      <c r="S28" s="210" t="str">
        <f t="shared" ca="1" si="1"/>
        <v/>
      </c>
      <c r="T28" s="210" t="str">
        <f t="shared" ca="1" si="2"/>
        <v/>
      </c>
      <c r="U28" s="210" t="str">
        <f t="shared" ca="1" si="3"/>
        <v/>
      </c>
      <c r="V28" s="195" t="str">
        <f t="shared" ca="1" si="4"/>
        <v/>
      </c>
      <c r="W28" s="195" t="str">
        <f t="shared" ca="1" si="5"/>
        <v/>
      </c>
      <c r="X28" s="195" t="str">
        <f t="shared" ca="1" si="6"/>
        <v/>
      </c>
      <c r="Y28" t="str">
        <f t="shared" ca="1" si="7"/>
        <v/>
      </c>
      <c r="Z28" s="211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08" t="str">
        <f>IF(AND(itens_Remanesc!A28="",itens_Remanesc!A27&lt;&gt;"",COUNTIF(itens_Remanesc!A29:$A$200,"&lt;&gt;")=0),"TOTAL",IF(itens_Remanesc!A28="","",itens_Remanesc!A28))</f>
        <v/>
      </c>
      <c r="B29" s="109" t="str">
        <f>IF(OR(historico_VU!A28="",historico_VU!C28=""),"",historico_VU!C28)</f>
        <v/>
      </c>
      <c r="C29" s="110" t="str">
        <f>IF(posicao_contratual!A28="","",posicao_contratual!G28)</f>
        <v/>
      </c>
      <c r="D29" s="109" t="str">
        <f>IF(A29="TOTAL",ROUND(SUM($D$3:D28),2),IF(OR(A29="",B29="",C29=""),"",ROUND(B29*C29,2)))</f>
        <v/>
      </c>
      <c r="E29" s="111" t="str">
        <f>IF(OR(historico_VU!A28="",historico_VU!D28=""),"",historico_VU!D28)</f>
        <v/>
      </c>
      <c r="F29" s="112" t="str">
        <f>IF(posicao_contratual!A28="","",posicao_contratual!K28)</f>
        <v/>
      </c>
      <c r="G29" s="111" t="str">
        <f>IF(A29="TOTAL",ROUND(SUM($G$3:G28),2),IF(OR(A29="",E29="",F29=""),"",ROUND(E29*F29,2)))</f>
        <v/>
      </c>
      <c r="H29" s="109" t="str">
        <f>IF(OR(historico_VU!A28="",historico_VU!E28=""),"",historico_VU!E28)</f>
        <v/>
      </c>
      <c r="I29" s="110" t="str">
        <f>IF(posicao_contratual!A28="","",posicao_contratual!O28)</f>
        <v/>
      </c>
      <c r="J29" s="109" t="str">
        <f>IF(A29="TOTAL",ROUND(SUM($J$3:J28),2),IF(OR(A29="",H29="",I29=""),"",ROUND(H29*I29,2)))</f>
        <v/>
      </c>
      <c r="K29" s="111" t="str">
        <f>IF(OR(historico_VU!A28="",historico_VU!F28=""),"",historico_VU!F28)</f>
        <v/>
      </c>
      <c r="L29" s="112" t="str">
        <f>IF(posicao_contratual!A28="","",posicao_contratual!S28)</f>
        <v/>
      </c>
      <c r="M29" s="111" t="str">
        <f>IF(A29="TOTAL",ROUND(SUM($M$3:M28),2),IF(OR(A29="",K29="",L29=""),"",ROUND(K29*L29,2)))</f>
        <v/>
      </c>
      <c r="N29" s="109" t="str">
        <f>IF(OR(historico_VU!A28="",historico_VU!G28=""),"",historico_VU!G28)</f>
        <v/>
      </c>
      <c r="O29" s="110" t="str">
        <f>IF(posicao_contratual!A28="","",posicao_contratual!W28)</f>
        <v/>
      </c>
      <c r="P29" s="109" t="str">
        <f>IF(A29="TOTAL",ROUND(SUM($P$3:P28),2),IF(OR(A29="",N29="",O29=""),"",ROUND(N29*O29,2)))</f>
        <v/>
      </c>
      <c r="Q29" s="183" t="str">
        <f t="shared" ca="1" si="0"/>
        <v/>
      </c>
      <c r="R29" t="str">
        <f>IF($A29="","",IF(MEMORIA_RESULTADOS!$W$46="","","C"&amp;MEMORIA_RESULTADOS!$W$46))</f>
        <v/>
      </c>
      <c r="S29" s="210" t="str">
        <f t="shared" ca="1" si="1"/>
        <v/>
      </c>
      <c r="T29" s="210" t="str">
        <f t="shared" ca="1" si="2"/>
        <v/>
      </c>
      <c r="U29" s="210" t="str">
        <f t="shared" ca="1" si="3"/>
        <v/>
      </c>
      <c r="V29" s="195" t="str">
        <f t="shared" ca="1" si="4"/>
        <v/>
      </c>
      <c r="W29" s="195" t="str">
        <f t="shared" ca="1" si="5"/>
        <v/>
      </c>
      <c r="X29" s="195" t="str">
        <f t="shared" ca="1" si="6"/>
        <v/>
      </c>
      <c r="Y29" t="str">
        <f t="shared" ca="1" si="7"/>
        <v/>
      </c>
      <c r="Z29" s="211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08" t="str">
        <f>IF(AND(itens_Remanesc!A29="",itens_Remanesc!A28&lt;&gt;"",COUNTIF(itens_Remanesc!A30:$A$200,"&lt;&gt;")=0),"TOTAL",IF(itens_Remanesc!A29="","",itens_Remanesc!A29))</f>
        <v/>
      </c>
      <c r="B30" s="109" t="str">
        <f>IF(OR(historico_VU!A29="",historico_VU!C29=""),"",historico_VU!C29)</f>
        <v/>
      </c>
      <c r="C30" s="110" t="str">
        <f>IF(posicao_contratual!A29="","",posicao_contratual!G29)</f>
        <v/>
      </c>
      <c r="D30" s="109" t="str">
        <f>IF(A30="TOTAL",ROUND(SUM($D$3:D29),2),IF(OR(A30="",B30="",C30=""),"",ROUND(B30*C30,2)))</f>
        <v/>
      </c>
      <c r="E30" s="111" t="str">
        <f>IF(OR(historico_VU!A29="",historico_VU!D29=""),"",historico_VU!D29)</f>
        <v/>
      </c>
      <c r="F30" s="112" t="str">
        <f>IF(posicao_contratual!A29="","",posicao_contratual!K29)</f>
        <v/>
      </c>
      <c r="G30" s="111" t="str">
        <f>IF(A30="TOTAL",ROUND(SUM($G$3:G29),2),IF(OR(A30="",E30="",F30=""),"",ROUND(E30*F30,2)))</f>
        <v/>
      </c>
      <c r="H30" s="109" t="str">
        <f>IF(OR(historico_VU!A29="",historico_VU!E29=""),"",historico_VU!E29)</f>
        <v/>
      </c>
      <c r="I30" s="110" t="str">
        <f>IF(posicao_contratual!A29="","",posicao_contratual!O29)</f>
        <v/>
      </c>
      <c r="J30" s="109" t="str">
        <f>IF(A30="TOTAL",ROUND(SUM($J$3:J29),2),IF(OR(A30="",H30="",I30=""),"",ROUND(H30*I30,2)))</f>
        <v/>
      </c>
      <c r="K30" s="111" t="str">
        <f>IF(OR(historico_VU!A29="",historico_VU!F29=""),"",historico_VU!F29)</f>
        <v/>
      </c>
      <c r="L30" s="112" t="str">
        <f>IF(posicao_contratual!A29="","",posicao_contratual!S29)</f>
        <v/>
      </c>
      <c r="M30" s="111" t="str">
        <f>IF(A30="TOTAL",ROUND(SUM($M$3:M29),2),IF(OR(A30="",K30="",L30=""),"",ROUND(K30*L30,2)))</f>
        <v/>
      </c>
      <c r="N30" s="109" t="str">
        <f>IF(OR(historico_VU!A29="",historico_VU!G29=""),"",historico_VU!G29)</f>
        <v/>
      </c>
      <c r="O30" s="110" t="str">
        <f>IF(posicao_contratual!A29="","",posicao_contratual!W29)</f>
        <v/>
      </c>
      <c r="P30" s="109" t="str">
        <f>IF(A30="TOTAL",ROUND(SUM($P$3:P29),2),IF(OR(A30="",N30="",O30=""),"",ROUND(N30*O30,2)))</f>
        <v/>
      </c>
      <c r="Q30" s="183" t="str">
        <f t="shared" ca="1" si="0"/>
        <v/>
      </c>
      <c r="R30" t="str">
        <f>IF($A30="","",IF(MEMORIA_RESULTADOS!$W$46="","","C"&amp;MEMORIA_RESULTADOS!$W$46))</f>
        <v/>
      </c>
      <c r="S30" s="210" t="str">
        <f t="shared" ca="1" si="1"/>
        <v/>
      </c>
      <c r="T30" s="210" t="str">
        <f t="shared" ca="1" si="2"/>
        <v/>
      </c>
      <c r="U30" s="210" t="str">
        <f t="shared" ca="1" si="3"/>
        <v/>
      </c>
      <c r="V30" s="195" t="str">
        <f t="shared" ca="1" si="4"/>
        <v/>
      </c>
      <c r="W30" s="195" t="str">
        <f t="shared" ca="1" si="5"/>
        <v/>
      </c>
      <c r="X30" s="195" t="str">
        <f t="shared" ca="1" si="6"/>
        <v/>
      </c>
      <c r="Y30" t="str">
        <f t="shared" ca="1" si="7"/>
        <v/>
      </c>
      <c r="Z30" s="211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08" t="str">
        <f>IF(AND(itens_Remanesc!A30="",itens_Remanesc!A29&lt;&gt;"",COUNTIF(itens_Remanesc!A31:$A$200,"&lt;&gt;")=0),"TOTAL",IF(itens_Remanesc!A30="","",itens_Remanesc!A30))</f>
        <v/>
      </c>
      <c r="B31" s="109" t="str">
        <f>IF(OR(historico_VU!A30="",historico_VU!C30=""),"",historico_VU!C30)</f>
        <v/>
      </c>
      <c r="C31" s="110" t="str">
        <f>IF(posicao_contratual!A30="","",posicao_contratual!G30)</f>
        <v/>
      </c>
      <c r="D31" s="109" t="str">
        <f>IF(A31="TOTAL",ROUND(SUM($D$3:D30),2),IF(OR(A31="",B31="",C31=""),"",ROUND(B31*C31,2)))</f>
        <v/>
      </c>
      <c r="E31" s="111" t="str">
        <f>IF(OR(historico_VU!A30="",historico_VU!D30=""),"",historico_VU!D30)</f>
        <v/>
      </c>
      <c r="F31" s="112" t="str">
        <f>IF(posicao_contratual!A30="","",posicao_contratual!K30)</f>
        <v/>
      </c>
      <c r="G31" s="111" t="str">
        <f>IF(A31="TOTAL",ROUND(SUM($G$3:G30),2),IF(OR(A31="",E31="",F31=""),"",ROUND(E31*F31,2)))</f>
        <v/>
      </c>
      <c r="H31" s="109" t="str">
        <f>IF(OR(historico_VU!A30="",historico_VU!E30=""),"",historico_VU!E30)</f>
        <v/>
      </c>
      <c r="I31" s="110" t="str">
        <f>IF(posicao_contratual!A30="","",posicao_contratual!O30)</f>
        <v/>
      </c>
      <c r="J31" s="109" t="str">
        <f>IF(A31="TOTAL",ROUND(SUM($J$3:J30),2),IF(OR(A31="",H31="",I31=""),"",ROUND(H31*I31,2)))</f>
        <v/>
      </c>
      <c r="K31" s="111" t="str">
        <f>IF(OR(historico_VU!A30="",historico_VU!F30=""),"",historico_VU!F30)</f>
        <v/>
      </c>
      <c r="L31" s="112" t="str">
        <f>IF(posicao_contratual!A30="","",posicao_contratual!S30)</f>
        <v/>
      </c>
      <c r="M31" s="111" t="str">
        <f>IF(A31="TOTAL",ROUND(SUM($M$3:M30),2),IF(OR(A31="",K31="",L31=""),"",ROUND(K31*L31,2)))</f>
        <v/>
      </c>
      <c r="N31" s="109" t="str">
        <f>IF(OR(historico_VU!A30="",historico_VU!G30=""),"",historico_VU!G30)</f>
        <v/>
      </c>
      <c r="O31" s="110" t="str">
        <f>IF(posicao_contratual!A30="","",posicao_contratual!W30)</f>
        <v/>
      </c>
      <c r="P31" s="109" t="str">
        <f>IF(A31="TOTAL",ROUND(SUM($P$3:P30),2),IF(OR(A31="",N31="",O31=""),"",ROUND(N31*O31,2)))</f>
        <v/>
      </c>
      <c r="Q31" s="183" t="str">
        <f t="shared" ca="1" si="0"/>
        <v/>
      </c>
      <c r="R31" t="str">
        <f>IF($A31="","",IF(MEMORIA_RESULTADOS!$W$46="","","C"&amp;MEMORIA_RESULTADOS!$W$46))</f>
        <v/>
      </c>
      <c r="S31" s="210" t="str">
        <f t="shared" ca="1" si="1"/>
        <v/>
      </c>
      <c r="T31" s="210" t="str">
        <f t="shared" ca="1" si="2"/>
        <v/>
      </c>
      <c r="U31" s="210" t="str">
        <f t="shared" ca="1" si="3"/>
        <v/>
      </c>
      <c r="V31" s="195" t="str">
        <f t="shared" ca="1" si="4"/>
        <v/>
      </c>
      <c r="W31" s="195" t="str">
        <f t="shared" ca="1" si="5"/>
        <v/>
      </c>
      <c r="X31" s="195" t="str">
        <f t="shared" ca="1" si="6"/>
        <v/>
      </c>
      <c r="Y31" t="str">
        <f t="shared" ca="1" si="7"/>
        <v/>
      </c>
      <c r="Z31" s="211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08" t="str">
        <f>IF(AND(itens_Remanesc!A31="",itens_Remanesc!A30&lt;&gt;"",COUNTIF(itens_Remanesc!A32:$A$200,"&lt;&gt;")=0),"TOTAL",IF(itens_Remanesc!A31="","",itens_Remanesc!A31))</f>
        <v/>
      </c>
      <c r="B32" s="109" t="str">
        <f>IF(OR(historico_VU!A31="",historico_VU!C31=""),"",historico_VU!C31)</f>
        <v/>
      </c>
      <c r="C32" s="110" t="str">
        <f>IF(posicao_contratual!A31="","",posicao_contratual!G31)</f>
        <v/>
      </c>
      <c r="D32" s="109" t="str">
        <f>IF(A32="TOTAL",ROUND(SUM($D$3:D31),2),IF(OR(A32="",B32="",C32=""),"",ROUND(B32*C32,2)))</f>
        <v/>
      </c>
      <c r="E32" s="111" t="str">
        <f>IF(OR(historico_VU!A31="",historico_VU!D31=""),"",historico_VU!D31)</f>
        <v/>
      </c>
      <c r="F32" s="112" t="str">
        <f>IF(posicao_contratual!A31="","",posicao_contratual!K31)</f>
        <v/>
      </c>
      <c r="G32" s="111" t="str">
        <f>IF(A32="TOTAL",ROUND(SUM($G$3:G31),2),IF(OR(A32="",E32="",F32=""),"",ROUND(E32*F32,2)))</f>
        <v/>
      </c>
      <c r="H32" s="109" t="str">
        <f>IF(OR(historico_VU!A31="",historico_VU!E31=""),"",historico_VU!E31)</f>
        <v/>
      </c>
      <c r="I32" s="110" t="str">
        <f>IF(posicao_contratual!A31="","",posicao_contratual!O31)</f>
        <v/>
      </c>
      <c r="J32" s="109" t="str">
        <f>IF(A32="TOTAL",ROUND(SUM($J$3:J31),2),IF(OR(A32="",H32="",I32=""),"",ROUND(H32*I32,2)))</f>
        <v/>
      </c>
      <c r="K32" s="111" t="str">
        <f>IF(OR(historico_VU!A31="",historico_VU!F31=""),"",historico_VU!F31)</f>
        <v/>
      </c>
      <c r="L32" s="112" t="str">
        <f>IF(posicao_contratual!A31="","",posicao_contratual!S31)</f>
        <v/>
      </c>
      <c r="M32" s="111" t="str">
        <f>IF(A32="TOTAL",ROUND(SUM($M$3:M31),2),IF(OR(A32="",K32="",L32=""),"",ROUND(K32*L32,2)))</f>
        <v/>
      </c>
      <c r="N32" s="109" t="str">
        <f>IF(OR(historico_VU!A31="",historico_VU!G31=""),"",historico_VU!G31)</f>
        <v/>
      </c>
      <c r="O32" s="110" t="str">
        <f>IF(posicao_contratual!A31="","",posicao_contratual!W31)</f>
        <v/>
      </c>
      <c r="P32" s="109" t="str">
        <f>IF(A32="TOTAL",ROUND(SUM($P$3:P31),2),IF(OR(A32="",N32="",O32=""),"",ROUND(N32*O32,2)))</f>
        <v/>
      </c>
      <c r="Q32" s="183" t="str">
        <f t="shared" ca="1" si="0"/>
        <v/>
      </c>
      <c r="R32" t="str">
        <f>IF($A32="","",IF(MEMORIA_RESULTADOS!$W$46="","","C"&amp;MEMORIA_RESULTADOS!$W$46))</f>
        <v/>
      </c>
      <c r="S32" s="210" t="str">
        <f t="shared" ca="1" si="1"/>
        <v/>
      </c>
      <c r="T32" s="210" t="str">
        <f t="shared" ca="1" si="2"/>
        <v/>
      </c>
      <c r="U32" s="210" t="str">
        <f t="shared" ca="1" si="3"/>
        <v/>
      </c>
      <c r="V32" s="195" t="str">
        <f t="shared" ca="1" si="4"/>
        <v/>
      </c>
      <c r="W32" s="195" t="str">
        <f t="shared" ca="1" si="5"/>
        <v/>
      </c>
      <c r="X32" s="195" t="str">
        <f t="shared" ca="1" si="6"/>
        <v/>
      </c>
      <c r="Y32" t="str">
        <f t="shared" ca="1" si="7"/>
        <v/>
      </c>
      <c r="Z32" s="211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15" t="str">
        <f>IF(AND(itens_Remanesc!A32="",itens_Remanesc!A31&lt;&gt;"",COUNTIF(itens_Remanesc!A33:$A$200,"&lt;&gt;")=0),"TOTAL",IF(itens_Remanesc!A32="","",itens_Remanesc!A32))</f>
        <v/>
      </c>
      <c r="B33" s="109" t="str">
        <f>IF(OR(historico_VU!A32="",historico_VU!C32=""),"",historico_VU!C32)</f>
        <v/>
      </c>
      <c r="C33" s="110" t="str">
        <f>IF(posicao_contratual!A32="","",posicao_contratual!G32)</f>
        <v/>
      </c>
      <c r="D33" s="109" t="str">
        <f>IF(A33="TOTAL",ROUND(SUM($D$3:D32),2),IF(OR(A33="",B33="",C33=""),"",ROUND(B33*C33,2)))</f>
        <v/>
      </c>
      <c r="E33" s="111" t="str">
        <f>IF(OR(historico_VU!A32="",historico_VU!D32=""),"",historico_VU!D32)</f>
        <v/>
      </c>
      <c r="F33" s="112" t="str">
        <f>IF(posicao_contratual!A32="","",posicao_contratual!K32)</f>
        <v/>
      </c>
      <c r="G33" s="111" t="str">
        <f>IF(A33="TOTAL",ROUND(SUM($G$3:G32),2),IF(OR(A33="",E33="",F33=""),"",ROUND(E33*F33,2)))</f>
        <v/>
      </c>
      <c r="H33" s="109" t="str">
        <f>IF(OR(historico_VU!A32="",historico_VU!E32=""),"",historico_VU!E32)</f>
        <v/>
      </c>
      <c r="I33" s="110" t="str">
        <f>IF(posicao_contratual!A32="","",posicao_contratual!O32)</f>
        <v/>
      </c>
      <c r="J33" s="109" t="str">
        <f>IF(A33="TOTAL",ROUND(SUM($J$3:J32),2),IF(OR(A33="",H33="",I33=""),"",ROUND(H33*I33,2)))</f>
        <v/>
      </c>
      <c r="K33" s="111" t="str">
        <f>IF(OR(historico_VU!A32="",historico_VU!F32=""),"",historico_VU!F32)</f>
        <v/>
      </c>
      <c r="L33" s="112" t="str">
        <f>IF(posicao_contratual!A32="","",posicao_contratual!S32)</f>
        <v/>
      </c>
      <c r="M33" s="111" t="str">
        <f>IF(A33="TOTAL",ROUND(SUM($M$3:M32),2),IF(OR(A33="",K33="",L33=""),"",ROUND(K33*L33,2)))</f>
        <v/>
      </c>
      <c r="N33" s="109" t="str">
        <f>IF(OR(historico_VU!A32="",historico_VU!G32=""),"",historico_VU!G32)</f>
        <v/>
      </c>
      <c r="O33" s="110" t="str">
        <f>IF(posicao_contratual!A32="","",posicao_contratual!W32)</f>
        <v/>
      </c>
      <c r="P33" s="109" t="str">
        <f>IF(A33="TOTAL",ROUND(SUM($P$3:P32),2),IF(OR(A33="",N33="",O33=""),"",ROUND(N33*O33,2)))</f>
        <v/>
      </c>
      <c r="Q33" s="183" t="str">
        <f t="shared" ca="1" si="0"/>
        <v/>
      </c>
      <c r="R33" t="str">
        <f>IF($A33="","",IF(MEMORIA_RESULTADOS!$W$46="","","C"&amp;MEMORIA_RESULTADOS!$W$46))</f>
        <v/>
      </c>
      <c r="S33" s="210" t="str">
        <f t="shared" ca="1" si="1"/>
        <v/>
      </c>
      <c r="T33" s="210" t="str">
        <f t="shared" ca="1" si="2"/>
        <v/>
      </c>
      <c r="U33" s="210" t="str">
        <f t="shared" ca="1" si="3"/>
        <v/>
      </c>
      <c r="V33" s="195" t="str">
        <f t="shared" ca="1" si="4"/>
        <v/>
      </c>
      <c r="W33" s="195" t="str">
        <f t="shared" ca="1" si="5"/>
        <v/>
      </c>
      <c r="X33" s="195" t="str">
        <f t="shared" ca="1" si="6"/>
        <v/>
      </c>
      <c r="Y33" t="str">
        <f t="shared" ca="1" si="7"/>
        <v/>
      </c>
      <c r="Z33" s="211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08" t="str">
        <f>IF(AND(itens_Remanesc!A33="",itens_Remanesc!A32&lt;&gt;"",COUNTIF(itens_Remanesc!A34:$A$200,"&lt;&gt;")=0),"TOTAL",IF(itens_Remanesc!A33="","",itens_Remanesc!A33))</f>
        <v/>
      </c>
      <c r="B34" s="109" t="str">
        <f>IF(OR(historico_VU!A33="",historico_VU!C33=""),"",historico_VU!C33)</f>
        <v/>
      </c>
      <c r="C34" s="110" t="str">
        <f>IF(posicao_contratual!A33="","",posicao_contratual!G33)</f>
        <v/>
      </c>
      <c r="D34" s="109" t="str">
        <f>IF(A34="TOTAL",ROUND(SUM($D$3:D33),2),IF(OR(A34="",B34="",C34=""),"",ROUND(B34*C34,2)))</f>
        <v/>
      </c>
      <c r="E34" s="111" t="str">
        <f>IF(OR(historico_VU!A33="",historico_VU!D33=""),"",historico_VU!D33)</f>
        <v/>
      </c>
      <c r="F34" s="112" t="str">
        <f>IF(posicao_contratual!A33="","",posicao_contratual!K33)</f>
        <v/>
      </c>
      <c r="G34" s="111" t="str">
        <f>IF(A34="TOTAL",ROUND(SUM($G$3:G33),2),IF(OR(A34="",E34="",F34=""),"",ROUND(E34*F34,2)))</f>
        <v/>
      </c>
      <c r="H34" s="109" t="str">
        <f>IF(OR(historico_VU!A33="",historico_VU!E33=""),"",historico_VU!E33)</f>
        <v/>
      </c>
      <c r="I34" s="110" t="str">
        <f>IF(posicao_contratual!A33="","",posicao_contratual!O33)</f>
        <v/>
      </c>
      <c r="J34" s="109" t="str">
        <f>IF(A34="TOTAL",ROUND(SUM($J$3:J33),2),IF(OR(A34="",H34="",I34=""),"",ROUND(H34*I34,2)))</f>
        <v/>
      </c>
      <c r="K34" s="111" t="str">
        <f>IF(OR(historico_VU!A33="",historico_VU!F33=""),"",historico_VU!F33)</f>
        <v/>
      </c>
      <c r="L34" s="112" t="str">
        <f>IF(posicao_contratual!A33="","",posicao_contratual!S33)</f>
        <v/>
      </c>
      <c r="M34" s="111" t="str">
        <f>IF(A34="TOTAL",ROUND(SUM($M$3:M33),2),IF(OR(A34="",K34="",L34=""),"",ROUND(K34*L34,2)))</f>
        <v/>
      </c>
      <c r="N34" s="109" t="str">
        <f>IF(OR(historico_VU!A33="",historico_VU!G33=""),"",historico_VU!G33)</f>
        <v/>
      </c>
      <c r="O34" s="110" t="str">
        <f>IF(posicao_contratual!A33="","",posicao_contratual!W33)</f>
        <v/>
      </c>
      <c r="P34" s="109" t="str">
        <f>IF(A34="TOTAL",ROUND(SUM($P$3:P33),2),IF(OR(A34="",N34="",O34=""),"",ROUND(N34*O34,2)))</f>
        <v/>
      </c>
      <c r="Q34" s="183" t="str">
        <f t="shared" ca="1" si="0"/>
        <v/>
      </c>
      <c r="R34" t="str">
        <f>IF($A34="","",IF(MEMORIA_RESULTADOS!$W$46="","","C"&amp;MEMORIA_RESULTADOS!$W$46))</f>
        <v/>
      </c>
      <c r="S34" s="210" t="str">
        <f t="shared" ca="1" si="1"/>
        <v/>
      </c>
      <c r="T34" s="210" t="str">
        <f t="shared" ca="1" si="2"/>
        <v/>
      </c>
      <c r="U34" s="210" t="str">
        <f t="shared" ca="1" si="3"/>
        <v/>
      </c>
      <c r="V34" s="195" t="str">
        <f t="shared" ca="1" si="4"/>
        <v/>
      </c>
      <c r="W34" s="195" t="str">
        <f t="shared" ca="1" si="5"/>
        <v/>
      </c>
      <c r="X34" s="195" t="str">
        <f t="shared" ca="1" si="6"/>
        <v/>
      </c>
      <c r="Y34" t="str">
        <f t="shared" ca="1" si="7"/>
        <v/>
      </c>
      <c r="Z34" s="211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08" t="str">
        <f>IF(AND(itens_Remanesc!A34="",itens_Remanesc!A33&lt;&gt;"",COUNTIF(itens_Remanesc!A35:$A$200,"&lt;&gt;")=0),"TOTAL",IF(itens_Remanesc!A34="","",itens_Remanesc!A34))</f>
        <v/>
      </c>
      <c r="B35" s="109" t="str">
        <f>IF(OR(historico_VU!A34="",historico_VU!C34=""),"",historico_VU!C34)</f>
        <v/>
      </c>
      <c r="C35" s="110" t="str">
        <f>IF(posicao_contratual!A34="","",posicao_contratual!G34)</f>
        <v/>
      </c>
      <c r="D35" s="109" t="str">
        <f>IF(A35="TOTAL",ROUND(SUM($D$3:D34),2),IF(OR(A35="",B35="",C35=""),"",ROUND(B35*C35,2)))</f>
        <v/>
      </c>
      <c r="E35" s="111" t="str">
        <f>IF(OR(historico_VU!A34="",historico_VU!D34=""),"",historico_VU!D34)</f>
        <v/>
      </c>
      <c r="F35" s="112" t="str">
        <f>IF(posicao_contratual!A34="","",posicao_contratual!K34)</f>
        <v/>
      </c>
      <c r="G35" s="111" t="str">
        <f>IF(A35="TOTAL",ROUND(SUM($G$3:G34),2),IF(OR(A35="",E35="",F35=""),"",ROUND(E35*F35,2)))</f>
        <v/>
      </c>
      <c r="H35" s="109" t="str">
        <f>IF(OR(historico_VU!A34="",historico_VU!E34=""),"",historico_VU!E34)</f>
        <v/>
      </c>
      <c r="I35" s="110" t="str">
        <f>IF(posicao_contratual!A34="","",posicao_contratual!O34)</f>
        <v/>
      </c>
      <c r="J35" s="109" t="str">
        <f>IF(A35="TOTAL",ROUND(SUM($J$3:J34),2),IF(OR(A35="",H35="",I35=""),"",ROUND(H35*I35,2)))</f>
        <v/>
      </c>
      <c r="K35" s="111" t="str">
        <f>IF(OR(historico_VU!A34="",historico_VU!F34=""),"",historico_VU!F34)</f>
        <v/>
      </c>
      <c r="L35" s="112" t="str">
        <f>IF(posicao_contratual!A34="","",posicao_contratual!S34)</f>
        <v/>
      </c>
      <c r="M35" s="111" t="str">
        <f>IF(A35="TOTAL",ROUND(SUM($M$3:M34),2),IF(OR(A35="",K35="",L35=""),"",ROUND(K35*L35,2)))</f>
        <v/>
      </c>
      <c r="N35" s="109" t="str">
        <f>IF(OR(historico_VU!A34="",historico_VU!G34=""),"",historico_VU!G34)</f>
        <v/>
      </c>
      <c r="O35" s="110" t="str">
        <f>IF(posicao_contratual!A34="","",posicao_contratual!W34)</f>
        <v/>
      </c>
      <c r="P35" s="109" t="str">
        <f>IF(A35="TOTAL",ROUND(SUM($P$3:P34),2),IF(OR(A35="",N35="",O35=""),"",ROUND(N35*O35,2)))</f>
        <v/>
      </c>
      <c r="Q35" s="183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0" t="str">
        <f t="shared" ref="S35:S66" ca="1" si="9">IF($A35="","",IFERROR(IF(INDIRECT("CICLO_EM_EXECUCAO!B"&amp;(ROW()+10))="","",INDIRECT("CICLO_EM_EXECUCAO!B"&amp;(ROW()+10))),""))</f>
        <v/>
      </c>
      <c r="T35" s="210" t="str">
        <f t="shared" ref="T35:T66" ca="1" si="10">IF($A35="","",IFERROR(IF(INDIRECT("CICLO_EM_EXECUCAO!D"&amp;(ROW()+10))="","",INDIRECT("CICLO_EM_EXECUCAO!D"&amp;(ROW()+10))),""))</f>
        <v/>
      </c>
      <c r="U35" s="210" t="str">
        <f t="shared" ref="U35:U66" ca="1" si="11">IF($A35="","",IFERROR(IF(INDIRECT("CICLO_EM_EXECUCAO!C"&amp;(ROW()+10))="","",INDIRECT("CICLO_EM_EXECUCAO!C"&amp;(ROW()+10))),""))</f>
        <v/>
      </c>
      <c r="V35" s="195" t="str">
        <f t="shared" ref="V35:V66" ca="1" si="12">IF($A35="","",IFERROR(IF(INDIRECT("CICLO_EM_EXECUCAO!E"&amp;(ROW()+10))="","",INDIRECT("CICLO_EM_EXECUCAO!E"&amp;(ROW()+10))),""))</f>
        <v/>
      </c>
      <c r="W35" s="195" t="str">
        <f t="shared" ref="W35:W66" ca="1" si="13">IF($A35="","",IFERROR(IF(INDIRECT("CICLO_EM_EXECUCAO!F"&amp;(ROW()+10))="","",INDIRECT("CICLO_EM_EXECUCAO!F"&amp;(ROW()+10))),""))</f>
        <v/>
      </c>
      <c r="X35" s="195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1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08" t="str">
        <f>IF(AND(itens_Remanesc!A35="",itens_Remanesc!A34&lt;&gt;"",COUNTIF(itens_Remanesc!A36:$A$200,"&lt;&gt;")=0),"TOTAL",IF(itens_Remanesc!A35="","",itens_Remanesc!A35))</f>
        <v/>
      </c>
      <c r="B36" s="109" t="str">
        <f>IF(OR(historico_VU!A35="",historico_VU!C35=""),"",historico_VU!C35)</f>
        <v/>
      </c>
      <c r="C36" s="110" t="str">
        <f>IF(posicao_contratual!A35="","",posicao_contratual!G35)</f>
        <v/>
      </c>
      <c r="D36" s="109" t="str">
        <f>IF(A36="TOTAL",ROUND(SUM($D$3:D35),2),IF(OR(A36="",B36="",C36=""),"",ROUND(B36*C36,2)))</f>
        <v/>
      </c>
      <c r="E36" s="111" t="str">
        <f>IF(OR(historico_VU!A35="",historico_VU!D35=""),"",historico_VU!D35)</f>
        <v/>
      </c>
      <c r="F36" s="112" t="str">
        <f>IF(posicao_contratual!A35="","",posicao_contratual!K35)</f>
        <v/>
      </c>
      <c r="G36" s="111" t="str">
        <f>IF(A36="TOTAL",ROUND(SUM($G$3:G35),2),IF(OR(A36="",E36="",F36=""),"",ROUND(E36*F36,2)))</f>
        <v/>
      </c>
      <c r="H36" s="109" t="str">
        <f>IF(OR(historico_VU!A35="",historico_VU!E35=""),"",historico_VU!E35)</f>
        <v/>
      </c>
      <c r="I36" s="110" t="str">
        <f>IF(posicao_contratual!A35="","",posicao_contratual!O35)</f>
        <v/>
      </c>
      <c r="J36" s="109" t="str">
        <f>IF(A36="TOTAL",ROUND(SUM($J$3:J35),2),IF(OR(A36="",H36="",I36=""),"",ROUND(H36*I36,2)))</f>
        <v/>
      </c>
      <c r="K36" s="111" t="str">
        <f>IF(OR(historico_VU!A35="",historico_VU!F35=""),"",historico_VU!F35)</f>
        <v/>
      </c>
      <c r="L36" s="112" t="str">
        <f>IF(posicao_contratual!A35="","",posicao_contratual!S35)</f>
        <v/>
      </c>
      <c r="M36" s="111" t="str">
        <f>IF(A36="TOTAL",ROUND(SUM($M$3:M35),2),IF(OR(A36="",K36="",L36=""),"",ROUND(K36*L36,2)))</f>
        <v/>
      </c>
      <c r="N36" s="109" t="str">
        <f>IF(OR(historico_VU!A35="",historico_VU!G35=""),"",historico_VU!G35)</f>
        <v/>
      </c>
      <c r="O36" s="110" t="str">
        <f>IF(posicao_contratual!A35="","",posicao_contratual!W35)</f>
        <v/>
      </c>
      <c r="P36" s="109" t="str">
        <f>IF(A36="TOTAL",ROUND(SUM($P$3:P35),2),IF(OR(A36="",N36="",O36=""),"",ROUND(N36*O36,2)))</f>
        <v/>
      </c>
      <c r="Q36" s="183" t="str">
        <f t="shared" ca="1" si="8"/>
        <v/>
      </c>
      <c r="R36" t="str">
        <f>IF($A36="","",IF(MEMORIA_RESULTADOS!$W$46="","","C"&amp;MEMORIA_RESULTADOS!$W$46))</f>
        <v/>
      </c>
      <c r="S36" s="210" t="str">
        <f t="shared" ca="1" si="9"/>
        <v/>
      </c>
      <c r="T36" s="210" t="str">
        <f t="shared" ca="1" si="10"/>
        <v/>
      </c>
      <c r="U36" s="210" t="str">
        <f t="shared" ca="1" si="11"/>
        <v/>
      </c>
      <c r="V36" s="195" t="str">
        <f t="shared" ca="1" si="12"/>
        <v/>
      </c>
      <c r="W36" s="195" t="str">
        <f t="shared" ca="1" si="13"/>
        <v/>
      </c>
      <c r="X36" s="195" t="str">
        <f t="shared" ca="1" si="14"/>
        <v/>
      </c>
      <c r="Y36" t="str">
        <f t="shared" ca="1" si="15"/>
        <v/>
      </c>
      <c r="Z36" s="211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08" t="str">
        <f>IF(AND(itens_Remanesc!A36="",itens_Remanesc!A35&lt;&gt;"",COUNTIF(itens_Remanesc!A37:$A$200,"&lt;&gt;")=0),"TOTAL",IF(itens_Remanesc!A36="","",itens_Remanesc!A36))</f>
        <v/>
      </c>
      <c r="B37" s="109" t="str">
        <f>IF(OR(historico_VU!A36="",historico_VU!C36=""),"",historico_VU!C36)</f>
        <v/>
      </c>
      <c r="C37" s="110" t="str">
        <f>IF(posicao_contratual!A36="","",posicao_contratual!G36)</f>
        <v/>
      </c>
      <c r="D37" s="109" t="str">
        <f>IF(A37="TOTAL",ROUND(SUM($D$3:D36),2),IF(OR(A37="",B37="",C37=""),"",ROUND(B37*C37,2)))</f>
        <v/>
      </c>
      <c r="E37" s="111" t="str">
        <f>IF(OR(historico_VU!A36="",historico_VU!D36=""),"",historico_VU!D36)</f>
        <v/>
      </c>
      <c r="F37" s="112" t="str">
        <f>IF(posicao_contratual!A36="","",posicao_contratual!K36)</f>
        <v/>
      </c>
      <c r="G37" s="111" t="str">
        <f>IF(A37="TOTAL",ROUND(SUM($G$3:G36),2),IF(OR(A37="",E37="",F37=""),"",ROUND(E37*F37,2)))</f>
        <v/>
      </c>
      <c r="H37" s="109" t="str">
        <f>IF(OR(historico_VU!A36="",historico_VU!E36=""),"",historico_VU!E36)</f>
        <v/>
      </c>
      <c r="I37" s="110" t="str">
        <f>IF(posicao_contratual!A36="","",posicao_contratual!O36)</f>
        <v/>
      </c>
      <c r="J37" s="109" t="str">
        <f>IF(A37="TOTAL",ROUND(SUM($J$3:J36),2),IF(OR(A37="",H37="",I37=""),"",ROUND(H37*I37,2)))</f>
        <v/>
      </c>
      <c r="K37" s="111" t="str">
        <f>IF(OR(historico_VU!A36="",historico_VU!F36=""),"",historico_VU!F36)</f>
        <v/>
      </c>
      <c r="L37" s="112" t="str">
        <f>IF(posicao_contratual!A36="","",posicao_contratual!S36)</f>
        <v/>
      </c>
      <c r="M37" s="111" t="str">
        <f>IF(A37="TOTAL",ROUND(SUM($M$3:M36),2),IF(OR(A37="",K37="",L37=""),"",ROUND(K37*L37,2)))</f>
        <v/>
      </c>
      <c r="N37" s="109" t="str">
        <f>IF(OR(historico_VU!A36="",historico_VU!G36=""),"",historico_VU!G36)</f>
        <v/>
      </c>
      <c r="O37" s="110" t="str">
        <f>IF(posicao_contratual!A36="","",posicao_contratual!W36)</f>
        <v/>
      </c>
      <c r="P37" s="109" t="str">
        <f>IF(A37="TOTAL",ROUND(SUM($P$3:P36),2),IF(OR(A37="",N37="",O37=""),"",ROUND(N37*O37,2)))</f>
        <v/>
      </c>
      <c r="Q37" s="183" t="str">
        <f t="shared" ca="1" si="8"/>
        <v/>
      </c>
      <c r="R37" t="str">
        <f>IF($A37="","",IF(MEMORIA_RESULTADOS!$W$46="","","C"&amp;MEMORIA_RESULTADOS!$W$46))</f>
        <v/>
      </c>
      <c r="S37" s="210" t="str">
        <f t="shared" ca="1" si="9"/>
        <v/>
      </c>
      <c r="T37" s="210" t="str">
        <f t="shared" ca="1" si="10"/>
        <v/>
      </c>
      <c r="U37" s="210" t="str">
        <f t="shared" ca="1" si="11"/>
        <v/>
      </c>
      <c r="V37" s="195" t="str">
        <f t="shared" ca="1" si="12"/>
        <v/>
      </c>
      <c r="W37" s="195" t="str">
        <f t="shared" ca="1" si="13"/>
        <v/>
      </c>
      <c r="X37" s="195" t="str">
        <f t="shared" ca="1" si="14"/>
        <v/>
      </c>
      <c r="Y37" t="str">
        <f t="shared" ca="1" si="15"/>
        <v/>
      </c>
      <c r="Z37" s="211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08" t="str">
        <f>IF(AND(itens_Remanesc!A37="",itens_Remanesc!A36&lt;&gt;"",COUNTIF(itens_Remanesc!A38:$A$200,"&lt;&gt;")=0),"TOTAL",IF(itens_Remanesc!A37="","",itens_Remanesc!A37))</f>
        <v/>
      </c>
      <c r="B38" s="109" t="str">
        <f>IF(OR(historico_VU!A37="",historico_VU!C37=""),"",historico_VU!C37)</f>
        <v/>
      </c>
      <c r="C38" s="110" t="str">
        <f>IF(posicao_contratual!A37="","",posicao_contratual!G37)</f>
        <v/>
      </c>
      <c r="D38" s="109" t="str">
        <f>IF(A38="TOTAL",ROUND(SUM($D$3:D37),2),IF(OR(A38="",B38="",C38=""),"",ROUND(B38*C38,2)))</f>
        <v/>
      </c>
      <c r="E38" s="111" t="str">
        <f>IF(OR(historico_VU!A37="",historico_VU!D37=""),"",historico_VU!D37)</f>
        <v/>
      </c>
      <c r="F38" s="112" t="str">
        <f>IF(posicao_contratual!A37="","",posicao_contratual!K37)</f>
        <v/>
      </c>
      <c r="G38" s="111" t="str">
        <f>IF(A38="TOTAL",ROUND(SUM($G$3:G37),2),IF(OR(A38="",E38="",F38=""),"",ROUND(E38*F38,2)))</f>
        <v/>
      </c>
      <c r="H38" s="109" t="str">
        <f>IF(OR(historico_VU!A37="",historico_VU!E37=""),"",historico_VU!E37)</f>
        <v/>
      </c>
      <c r="I38" s="110" t="str">
        <f>IF(posicao_contratual!A37="","",posicao_contratual!O37)</f>
        <v/>
      </c>
      <c r="J38" s="109" t="str">
        <f>IF(A38="TOTAL",ROUND(SUM($J$3:J37),2),IF(OR(A38="",H38="",I38=""),"",ROUND(H38*I38,2)))</f>
        <v/>
      </c>
      <c r="K38" s="111" t="str">
        <f>IF(OR(historico_VU!A37="",historico_VU!F37=""),"",historico_VU!F37)</f>
        <v/>
      </c>
      <c r="L38" s="112" t="str">
        <f>IF(posicao_contratual!A37="","",posicao_contratual!S37)</f>
        <v/>
      </c>
      <c r="M38" s="111" t="str">
        <f>IF(A38="TOTAL",ROUND(SUM($M$3:M37),2),IF(OR(A38="",K38="",L38=""),"",ROUND(K38*L38,2)))</f>
        <v/>
      </c>
      <c r="N38" s="109" t="str">
        <f>IF(OR(historico_VU!A37="",historico_VU!G37=""),"",historico_VU!G37)</f>
        <v/>
      </c>
      <c r="O38" s="110" t="str">
        <f>IF(posicao_contratual!A37="","",posicao_contratual!W37)</f>
        <v/>
      </c>
      <c r="P38" s="109" t="str">
        <f>IF(A38="TOTAL",ROUND(SUM($P$3:P37),2),IF(OR(A38="",N38="",O38=""),"",ROUND(N38*O38,2)))</f>
        <v/>
      </c>
      <c r="Q38" s="183" t="str">
        <f t="shared" ca="1" si="8"/>
        <v/>
      </c>
      <c r="R38" t="str">
        <f>IF($A38="","",IF(MEMORIA_RESULTADOS!$W$46="","","C"&amp;MEMORIA_RESULTADOS!$W$46))</f>
        <v/>
      </c>
      <c r="S38" s="210" t="str">
        <f t="shared" ca="1" si="9"/>
        <v/>
      </c>
      <c r="T38" s="210" t="str">
        <f t="shared" ca="1" si="10"/>
        <v/>
      </c>
      <c r="U38" s="210" t="str">
        <f t="shared" ca="1" si="11"/>
        <v/>
      </c>
      <c r="V38" s="195" t="str">
        <f t="shared" ca="1" si="12"/>
        <v/>
      </c>
      <c r="W38" s="195" t="str">
        <f t="shared" ca="1" si="13"/>
        <v/>
      </c>
      <c r="X38" s="195" t="str">
        <f t="shared" ca="1" si="14"/>
        <v/>
      </c>
      <c r="Y38" t="str">
        <f t="shared" ca="1" si="15"/>
        <v/>
      </c>
      <c r="Z38" s="211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08" t="str">
        <f>IF(AND(itens_Remanesc!A38="",itens_Remanesc!A37&lt;&gt;"",COUNTIF(itens_Remanesc!A39:$A$200,"&lt;&gt;")=0),"TOTAL",IF(itens_Remanesc!A38="","",itens_Remanesc!A38))</f>
        <v/>
      </c>
      <c r="B39" s="109" t="str">
        <f>IF(OR(historico_VU!A38="",historico_VU!C38=""),"",historico_VU!C38)</f>
        <v/>
      </c>
      <c r="C39" s="110" t="str">
        <f>IF(posicao_contratual!A38="","",posicao_contratual!G38)</f>
        <v/>
      </c>
      <c r="D39" s="109" t="str">
        <f>IF(A39="TOTAL",ROUND(SUM($D$3:D38),2),IF(OR(A39="",B39="",C39=""),"",ROUND(B39*C39,2)))</f>
        <v/>
      </c>
      <c r="E39" s="111" t="str">
        <f>IF(OR(historico_VU!A38="",historico_VU!D38=""),"",historico_VU!D38)</f>
        <v/>
      </c>
      <c r="F39" s="112" t="str">
        <f>IF(posicao_contratual!A38="","",posicao_contratual!K38)</f>
        <v/>
      </c>
      <c r="G39" s="111" t="str">
        <f>IF(A39="TOTAL",ROUND(SUM($G$3:G38),2),IF(OR(A39="",E39="",F39=""),"",ROUND(E39*F39,2)))</f>
        <v/>
      </c>
      <c r="H39" s="109" t="str">
        <f>IF(OR(historico_VU!A38="",historico_VU!E38=""),"",historico_VU!E38)</f>
        <v/>
      </c>
      <c r="I39" s="110" t="str">
        <f>IF(posicao_contratual!A38="","",posicao_contratual!O38)</f>
        <v/>
      </c>
      <c r="J39" s="109" t="str">
        <f>IF(A39="TOTAL",ROUND(SUM($J$3:J38),2),IF(OR(A39="",H39="",I39=""),"",ROUND(H39*I39,2)))</f>
        <v/>
      </c>
      <c r="K39" s="111" t="str">
        <f>IF(OR(historico_VU!A38="",historico_VU!F38=""),"",historico_VU!F38)</f>
        <v/>
      </c>
      <c r="L39" s="112" t="str">
        <f>IF(posicao_contratual!A38="","",posicao_contratual!S38)</f>
        <v/>
      </c>
      <c r="M39" s="111" t="str">
        <f>IF(A39="TOTAL",ROUND(SUM($M$3:M38),2),IF(OR(A39="",K39="",L39=""),"",ROUND(K39*L39,2)))</f>
        <v/>
      </c>
      <c r="N39" s="109" t="str">
        <f>IF(OR(historico_VU!A38="",historico_VU!G38=""),"",historico_VU!G38)</f>
        <v/>
      </c>
      <c r="O39" s="110" t="str">
        <f>IF(posicao_contratual!A38="","",posicao_contratual!W38)</f>
        <v/>
      </c>
      <c r="P39" s="109" t="str">
        <f>IF(A39="TOTAL",ROUND(SUM($P$3:P38),2),IF(OR(A39="",N39="",O39=""),"",ROUND(N39*O39,2)))</f>
        <v/>
      </c>
      <c r="Q39" s="183" t="str">
        <f t="shared" ca="1" si="8"/>
        <v/>
      </c>
      <c r="R39" t="str">
        <f>IF($A39="","",IF(MEMORIA_RESULTADOS!$W$46="","","C"&amp;MEMORIA_RESULTADOS!$W$46))</f>
        <v/>
      </c>
      <c r="S39" s="210" t="str">
        <f t="shared" ca="1" si="9"/>
        <v/>
      </c>
      <c r="T39" s="210" t="str">
        <f t="shared" ca="1" si="10"/>
        <v/>
      </c>
      <c r="U39" s="210" t="str">
        <f t="shared" ca="1" si="11"/>
        <v/>
      </c>
      <c r="V39" s="195" t="str">
        <f t="shared" ca="1" si="12"/>
        <v/>
      </c>
      <c r="W39" s="195" t="str">
        <f t="shared" ca="1" si="13"/>
        <v/>
      </c>
      <c r="X39" s="195" t="str">
        <f t="shared" ca="1" si="14"/>
        <v/>
      </c>
      <c r="Y39" t="str">
        <f t="shared" ca="1" si="15"/>
        <v/>
      </c>
      <c r="Z39" s="211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08" t="str">
        <f>IF(AND(itens_Remanesc!A39="",itens_Remanesc!A38&lt;&gt;"",COUNTIF(itens_Remanesc!A40:$A$200,"&lt;&gt;")=0),"TOTAL",IF(itens_Remanesc!A39="","",itens_Remanesc!A39))</f>
        <v/>
      </c>
      <c r="B40" s="109" t="str">
        <f>IF(OR(historico_VU!A39="",historico_VU!C39=""),"",historico_VU!C39)</f>
        <v/>
      </c>
      <c r="C40" s="110" t="str">
        <f>IF(posicao_contratual!A39="","",posicao_contratual!G39)</f>
        <v/>
      </c>
      <c r="D40" s="109" t="str">
        <f>IF(A40="TOTAL",ROUND(SUM($D$3:D39),2),IF(OR(A40="",B40="",C40=""),"",ROUND(B40*C40,2)))</f>
        <v/>
      </c>
      <c r="E40" s="111" t="str">
        <f>IF(OR(historico_VU!A39="",historico_VU!D39=""),"",historico_VU!D39)</f>
        <v/>
      </c>
      <c r="F40" s="112" t="str">
        <f>IF(posicao_contratual!A39="","",posicao_contratual!K39)</f>
        <v/>
      </c>
      <c r="G40" s="111" t="str">
        <f>IF(A40="TOTAL",ROUND(SUM($G$3:G39),2),IF(OR(A40="",E40="",F40=""),"",ROUND(E40*F40,2)))</f>
        <v/>
      </c>
      <c r="H40" s="109" t="str">
        <f>IF(OR(historico_VU!A39="",historico_VU!E39=""),"",historico_VU!E39)</f>
        <v/>
      </c>
      <c r="I40" s="110" t="str">
        <f>IF(posicao_contratual!A39="","",posicao_contratual!O39)</f>
        <v/>
      </c>
      <c r="J40" s="109" t="str">
        <f>IF(A40="TOTAL",ROUND(SUM($J$3:J39),2),IF(OR(A40="",H40="",I40=""),"",ROUND(H40*I40,2)))</f>
        <v/>
      </c>
      <c r="K40" s="111" t="str">
        <f>IF(OR(historico_VU!A39="",historico_VU!F39=""),"",historico_VU!F39)</f>
        <v/>
      </c>
      <c r="L40" s="112" t="str">
        <f>IF(posicao_contratual!A39="","",posicao_contratual!S39)</f>
        <v/>
      </c>
      <c r="M40" s="111" t="str">
        <f>IF(A40="TOTAL",ROUND(SUM($M$3:M39),2),IF(OR(A40="",K40="",L40=""),"",ROUND(K40*L40,2)))</f>
        <v/>
      </c>
      <c r="N40" s="109" t="str">
        <f>IF(OR(historico_VU!A39="",historico_VU!G39=""),"",historico_VU!G39)</f>
        <v/>
      </c>
      <c r="O40" s="110" t="str">
        <f>IF(posicao_contratual!A39="","",posicao_contratual!W39)</f>
        <v/>
      </c>
      <c r="P40" s="109" t="str">
        <f>IF(A40="TOTAL",ROUND(SUM($P$3:P39),2),IF(OR(A40="",N40="",O40=""),"",ROUND(N40*O40,2)))</f>
        <v/>
      </c>
      <c r="Q40" s="183" t="str">
        <f t="shared" ca="1" si="8"/>
        <v/>
      </c>
      <c r="R40" t="str">
        <f>IF($A40="","",IF(MEMORIA_RESULTADOS!$W$46="","","C"&amp;MEMORIA_RESULTADOS!$W$46))</f>
        <v/>
      </c>
      <c r="S40" s="210" t="str">
        <f t="shared" ca="1" si="9"/>
        <v/>
      </c>
      <c r="T40" s="210" t="str">
        <f t="shared" ca="1" si="10"/>
        <v/>
      </c>
      <c r="U40" s="210" t="str">
        <f t="shared" ca="1" si="11"/>
        <v/>
      </c>
      <c r="V40" s="195" t="str">
        <f t="shared" ca="1" si="12"/>
        <v/>
      </c>
      <c r="W40" s="195" t="str">
        <f t="shared" ca="1" si="13"/>
        <v/>
      </c>
      <c r="X40" s="195" t="str">
        <f t="shared" ca="1" si="14"/>
        <v/>
      </c>
      <c r="Y40" t="str">
        <f t="shared" ca="1" si="15"/>
        <v/>
      </c>
      <c r="Z40" s="211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08" t="str">
        <f>IF(AND(itens_Remanesc!A40="",itens_Remanesc!A39&lt;&gt;"",COUNTIF(itens_Remanesc!A41:$A$200,"&lt;&gt;")=0),"TOTAL",IF(itens_Remanesc!A40="","",itens_Remanesc!A40))</f>
        <v/>
      </c>
      <c r="B41" s="109" t="str">
        <f>IF(OR(historico_VU!A40="",historico_VU!C40=""),"",historico_VU!C40)</f>
        <v/>
      </c>
      <c r="C41" s="110" t="str">
        <f>IF(posicao_contratual!A40="","",posicao_contratual!G40)</f>
        <v/>
      </c>
      <c r="D41" s="109" t="str">
        <f>IF(A41="TOTAL",ROUND(SUM($D$3:D40),2),IF(OR(A41="",B41="",C41=""),"",ROUND(B41*C41,2)))</f>
        <v/>
      </c>
      <c r="E41" s="111" t="str">
        <f>IF(OR(historico_VU!A40="",historico_VU!D40=""),"",historico_VU!D40)</f>
        <v/>
      </c>
      <c r="F41" s="112" t="str">
        <f>IF(posicao_contratual!A40="","",posicao_contratual!K40)</f>
        <v/>
      </c>
      <c r="G41" s="111" t="str">
        <f>IF(A41="TOTAL",ROUND(SUM($G$3:G40),2),IF(OR(A41="",E41="",F41=""),"",ROUND(E41*F41,2)))</f>
        <v/>
      </c>
      <c r="H41" s="109" t="str">
        <f>IF(OR(historico_VU!A40="",historico_VU!E40=""),"",historico_VU!E40)</f>
        <v/>
      </c>
      <c r="I41" s="110" t="str">
        <f>IF(posicao_contratual!A40="","",posicao_contratual!O40)</f>
        <v/>
      </c>
      <c r="J41" s="109" t="str">
        <f>IF(A41="TOTAL",ROUND(SUM($J$3:J40),2),IF(OR(A41="",H41="",I41=""),"",ROUND(H41*I41,2)))</f>
        <v/>
      </c>
      <c r="K41" s="111" t="str">
        <f>IF(OR(historico_VU!A40="",historico_VU!F40=""),"",historico_VU!F40)</f>
        <v/>
      </c>
      <c r="L41" s="112" t="str">
        <f>IF(posicao_contratual!A40="","",posicao_contratual!S40)</f>
        <v/>
      </c>
      <c r="M41" s="111" t="str">
        <f>IF(A41="TOTAL",ROUND(SUM($M$3:M40),2),IF(OR(A41="",K41="",L41=""),"",ROUND(K41*L41,2)))</f>
        <v/>
      </c>
      <c r="N41" s="109" t="str">
        <f>IF(OR(historico_VU!A40="",historico_VU!G40=""),"",historico_VU!G40)</f>
        <v/>
      </c>
      <c r="O41" s="110" t="str">
        <f>IF(posicao_contratual!A40="","",posicao_contratual!W40)</f>
        <v/>
      </c>
      <c r="P41" s="109" t="str">
        <f>IF(A41="TOTAL",ROUND(SUM($P$3:P40),2),IF(OR(A41="",N41="",O41=""),"",ROUND(N41*O41,2)))</f>
        <v/>
      </c>
      <c r="Q41" s="183" t="str">
        <f t="shared" ca="1" si="8"/>
        <v/>
      </c>
      <c r="R41" t="str">
        <f>IF($A41="","",IF(MEMORIA_RESULTADOS!$W$46="","","C"&amp;MEMORIA_RESULTADOS!$W$46))</f>
        <v/>
      </c>
      <c r="S41" s="210" t="str">
        <f t="shared" ca="1" si="9"/>
        <v/>
      </c>
      <c r="T41" s="210" t="str">
        <f t="shared" ca="1" si="10"/>
        <v/>
      </c>
      <c r="U41" s="210" t="str">
        <f t="shared" ca="1" si="11"/>
        <v/>
      </c>
      <c r="V41" s="195" t="str">
        <f t="shared" ca="1" si="12"/>
        <v/>
      </c>
      <c r="W41" s="195" t="str">
        <f t="shared" ca="1" si="13"/>
        <v/>
      </c>
      <c r="X41" s="195" t="str">
        <f t="shared" ca="1" si="14"/>
        <v/>
      </c>
      <c r="Y41" t="str">
        <f t="shared" ca="1" si="15"/>
        <v/>
      </c>
      <c r="Z41" s="211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08" t="str">
        <f>IF(AND(itens_Remanesc!A41="",itens_Remanesc!A40&lt;&gt;"",COUNTIF(itens_Remanesc!A42:$A$200,"&lt;&gt;")=0),"TOTAL",IF(itens_Remanesc!A41="","",itens_Remanesc!A41))</f>
        <v/>
      </c>
      <c r="B42" s="109" t="str">
        <f>IF(OR(historico_VU!A41="",historico_VU!C41=""),"",historico_VU!C41)</f>
        <v/>
      </c>
      <c r="C42" s="110" t="str">
        <f>IF(posicao_contratual!A41="","",posicao_contratual!G41)</f>
        <v/>
      </c>
      <c r="D42" s="109" t="str">
        <f>IF(A42="TOTAL",ROUND(SUM($D$3:D41),2),IF(OR(A42="",B42="",C42=""),"",ROUND(B42*C42,2)))</f>
        <v/>
      </c>
      <c r="E42" s="111" t="str">
        <f>IF(OR(historico_VU!A41="",historico_VU!D41=""),"",historico_VU!D41)</f>
        <v/>
      </c>
      <c r="F42" s="112" t="str">
        <f>IF(posicao_contratual!A41="","",posicao_contratual!K41)</f>
        <v/>
      </c>
      <c r="G42" s="111" t="str">
        <f>IF(A42="TOTAL",ROUND(SUM($G$3:G41),2),IF(OR(A42="",E42="",F42=""),"",ROUND(E42*F42,2)))</f>
        <v/>
      </c>
      <c r="H42" s="109" t="str">
        <f>IF(OR(historico_VU!A41="",historico_VU!E41=""),"",historico_VU!E41)</f>
        <v/>
      </c>
      <c r="I42" s="110" t="str">
        <f>IF(posicao_contratual!A41="","",posicao_contratual!O41)</f>
        <v/>
      </c>
      <c r="J42" s="109" t="str">
        <f>IF(A42="TOTAL",ROUND(SUM($J$3:J41),2),IF(OR(A42="",H42="",I42=""),"",ROUND(H42*I42,2)))</f>
        <v/>
      </c>
      <c r="K42" s="111" t="str">
        <f>IF(OR(historico_VU!A41="",historico_VU!F41=""),"",historico_VU!F41)</f>
        <v/>
      </c>
      <c r="L42" s="112" t="str">
        <f>IF(posicao_contratual!A41="","",posicao_contratual!S41)</f>
        <v/>
      </c>
      <c r="M42" s="111" t="str">
        <f>IF(A42="TOTAL",ROUND(SUM($M$3:M41),2),IF(OR(A42="",K42="",L42=""),"",ROUND(K42*L42,2)))</f>
        <v/>
      </c>
      <c r="N42" s="109" t="str">
        <f>IF(OR(historico_VU!A41="",historico_VU!G41=""),"",historico_VU!G41)</f>
        <v/>
      </c>
      <c r="O42" s="110" t="str">
        <f>IF(posicao_contratual!A41="","",posicao_contratual!W41)</f>
        <v/>
      </c>
      <c r="P42" s="109" t="str">
        <f>IF(A42="TOTAL",ROUND(SUM($P$3:P41),2),IF(OR(A42="",N42="",O42=""),"",ROUND(N42*O42,2)))</f>
        <v/>
      </c>
      <c r="Q42" s="183" t="str">
        <f t="shared" ca="1" si="8"/>
        <v/>
      </c>
      <c r="R42" t="str">
        <f>IF($A42="","",IF(MEMORIA_RESULTADOS!$W$46="","","C"&amp;MEMORIA_RESULTADOS!$W$46))</f>
        <v/>
      </c>
      <c r="S42" s="210" t="str">
        <f t="shared" ca="1" si="9"/>
        <v/>
      </c>
      <c r="T42" s="210" t="str">
        <f t="shared" ca="1" si="10"/>
        <v/>
      </c>
      <c r="U42" s="210" t="str">
        <f t="shared" ca="1" si="11"/>
        <v/>
      </c>
      <c r="V42" s="195" t="str">
        <f t="shared" ca="1" si="12"/>
        <v/>
      </c>
      <c r="W42" s="195" t="str">
        <f t="shared" ca="1" si="13"/>
        <v/>
      </c>
      <c r="X42" s="195" t="str">
        <f t="shared" ca="1" si="14"/>
        <v/>
      </c>
      <c r="Y42" t="str">
        <f t="shared" ca="1" si="15"/>
        <v/>
      </c>
      <c r="Z42" s="211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08" t="str">
        <f>IF(AND(itens_Remanesc!A42="",itens_Remanesc!A41&lt;&gt;"",COUNTIF(itens_Remanesc!A43:$A$200,"&lt;&gt;")=0),"TOTAL",IF(itens_Remanesc!A42="","",itens_Remanesc!A42))</f>
        <v/>
      </c>
      <c r="B43" s="109" t="str">
        <f>IF(OR(historico_VU!A42="",historico_VU!C42=""),"",historico_VU!C42)</f>
        <v/>
      </c>
      <c r="C43" s="110" t="str">
        <f>IF(posicao_contratual!A42="","",posicao_contratual!G42)</f>
        <v/>
      </c>
      <c r="D43" s="109" t="str">
        <f>IF(A43="TOTAL",ROUND(SUM($D$3:D42),2),IF(OR(A43="",B43="",C43=""),"",ROUND(B43*C43,2)))</f>
        <v/>
      </c>
      <c r="E43" s="111" t="str">
        <f>IF(OR(historico_VU!A42="",historico_VU!D42=""),"",historico_VU!D42)</f>
        <v/>
      </c>
      <c r="F43" s="112" t="str">
        <f>IF(posicao_contratual!A42="","",posicao_contratual!K42)</f>
        <v/>
      </c>
      <c r="G43" s="111" t="str">
        <f>IF(A43="TOTAL",ROUND(SUM($G$3:G42),2),IF(OR(A43="",E43="",F43=""),"",ROUND(E43*F43,2)))</f>
        <v/>
      </c>
      <c r="H43" s="109" t="str">
        <f>IF(OR(historico_VU!A42="",historico_VU!E42=""),"",historico_VU!E42)</f>
        <v/>
      </c>
      <c r="I43" s="110" t="str">
        <f>IF(posicao_contratual!A42="","",posicao_contratual!O42)</f>
        <v/>
      </c>
      <c r="J43" s="109" t="str">
        <f>IF(A43="TOTAL",ROUND(SUM($J$3:J42),2),IF(OR(A43="",H43="",I43=""),"",ROUND(H43*I43,2)))</f>
        <v/>
      </c>
      <c r="K43" s="111" t="str">
        <f>IF(OR(historico_VU!A42="",historico_VU!F42=""),"",historico_VU!F42)</f>
        <v/>
      </c>
      <c r="L43" s="112" t="str">
        <f>IF(posicao_contratual!A42="","",posicao_contratual!S42)</f>
        <v/>
      </c>
      <c r="M43" s="111" t="str">
        <f>IF(A43="TOTAL",ROUND(SUM($M$3:M42),2),IF(OR(A43="",K43="",L43=""),"",ROUND(K43*L43,2)))</f>
        <v/>
      </c>
      <c r="N43" s="109" t="str">
        <f>IF(OR(historico_VU!A42="",historico_VU!G42=""),"",historico_VU!G42)</f>
        <v/>
      </c>
      <c r="O43" s="110" t="str">
        <f>IF(posicao_contratual!A42="","",posicao_contratual!W42)</f>
        <v/>
      </c>
      <c r="P43" s="109" t="str">
        <f>IF(A43="TOTAL",ROUND(SUM($P$3:P42),2),IF(OR(A43="",N43="",O43=""),"",ROUND(N43*O43,2)))</f>
        <v/>
      </c>
      <c r="Q43" s="183" t="str">
        <f t="shared" ca="1" si="8"/>
        <v/>
      </c>
      <c r="R43" t="str">
        <f>IF($A43="","",IF(MEMORIA_RESULTADOS!$W$46="","","C"&amp;MEMORIA_RESULTADOS!$W$46))</f>
        <v/>
      </c>
      <c r="S43" s="210" t="str">
        <f t="shared" ca="1" si="9"/>
        <v/>
      </c>
      <c r="T43" s="210" t="str">
        <f t="shared" ca="1" si="10"/>
        <v/>
      </c>
      <c r="U43" s="210" t="str">
        <f t="shared" ca="1" si="11"/>
        <v/>
      </c>
      <c r="V43" s="195" t="str">
        <f t="shared" ca="1" si="12"/>
        <v/>
      </c>
      <c r="W43" s="195" t="str">
        <f t="shared" ca="1" si="13"/>
        <v/>
      </c>
      <c r="X43" s="195" t="str">
        <f t="shared" ca="1" si="14"/>
        <v/>
      </c>
      <c r="Y43" t="str">
        <f t="shared" ca="1" si="15"/>
        <v/>
      </c>
      <c r="Z43" s="211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08" t="str">
        <f>IF(AND(itens_Remanesc!A43="",itens_Remanesc!A42&lt;&gt;"",COUNTIF(itens_Remanesc!A44:$A$200,"&lt;&gt;")=0),"TOTAL",IF(itens_Remanesc!A43="","",itens_Remanesc!A43))</f>
        <v/>
      </c>
      <c r="B44" s="109" t="str">
        <f>IF(OR(historico_VU!A43="",historico_VU!C43=""),"",historico_VU!C43)</f>
        <v/>
      </c>
      <c r="C44" s="110" t="str">
        <f>IF(posicao_contratual!A43="","",posicao_contratual!G43)</f>
        <v/>
      </c>
      <c r="D44" s="109" t="str">
        <f>IF(A44="TOTAL",ROUND(SUM($D$3:D43),2),IF(OR(A44="",B44="",C44=""),"",ROUND(B44*C44,2)))</f>
        <v/>
      </c>
      <c r="E44" s="111" t="str">
        <f>IF(OR(historico_VU!A43="",historico_VU!D43=""),"",historico_VU!D43)</f>
        <v/>
      </c>
      <c r="F44" s="112" t="str">
        <f>IF(posicao_contratual!A43="","",posicao_contratual!K43)</f>
        <v/>
      </c>
      <c r="G44" s="111" t="str">
        <f>IF(A44="TOTAL",ROUND(SUM($G$3:G43),2),IF(OR(A44="",E44="",F44=""),"",ROUND(E44*F44,2)))</f>
        <v/>
      </c>
      <c r="H44" s="109" t="str">
        <f>IF(OR(historico_VU!A43="",historico_VU!E43=""),"",historico_VU!E43)</f>
        <v/>
      </c>
      <c r="I44" s="110" t="str">
        <f>IF(posicao_contratual!A43="","",posicao_contratual!O43)</f>
        <v/>
      </c>
      <c r="J44" s="109" t="str">
        <f>IF(A44="TOTAL",ROUND(SUM($J$3:J43),2),IF(OR(A44="",H44="",I44=""),"",ROUND(H44*I44,2)))</f>
        <v/>
      </c>
      <c r="K44" s="111" t="str">
        <f>IF(OR(historico_VU!A43="",historico_VU!F43=""),"",historico_VU!F43)</f>
        <v/>
      </c>
      <c r="L44" s="112" t="str">
        <f>IF(posicao_contratual!A43="","",posicao_contratual!S43)</f>
        <v/>
      </c>
      <c r="M44" s="111" t="str">
        <f>IF(A44="TOTAL",ROUND(SUM($M$3:M43),2),IF(OR(A44="",K44="",L44=""),"",ROUND(K44*L44,2)))</f>
        <v/>
      </c>
      <c r="N44" s="109" t="str">
        <f>IF(OR(historico_VU!A43="",historico_VU!G43=""),"",historico_VU!G43)</f>
        <v/>
      </c>
      <c r="O44" s="110" t="str">
        <f>IF(posicao_contratual!A43="","",posicao_contratual!W43)</f>
        <v/>
      </c>
      <c r="P44" s="109" t="str">
        <f>IF(A44="TOTAL",ROUND(SUM($P$3:P43),2),IF(OR(A44="",N44="",O44=""),"",ROUND(N44*O44,2)))</f>
        <v/>
      </c>
      <c r="Q44" s="183" t="str">
        <f t="shared" ca="1" si="8"/>
        <v/>
      </c>
      <c r="R44" t="str">
        <f>IF($A44="","",IF(MEMORIA_RESULTADOS!$W$46="","","C"&amp;MEMORIA_RESULTADOS!$W$46))</f>
        <v/>
      </c>
      <c r="S44" s="210" t="str">
        <f t="shared" ca="1" si="9"/>
        <v/>
      </c>
      <c r="T44" s="210" t="str">
        <f t="shared" ca="1" si="10"/>
        <v/>
      </c>
      <c r="U44" s="210" t="str">
        <f t="shared" ca="1" si="11"/>
        <v/>
      </c>
      <c r="V44" s="195" t="str">
        <f t="shared" ca="1" si="12"/>
        <v/>
      </c>
      <c r="W44" s="195" t="str">
        <f t="shared" ca="1" si="13"/>
        <v/>
      </c>
      <c r="X44" s="195" t="str">
        <f t="shared" ca="1" si="14"/>
        <v/>
      </c>
      <c r="Y44" t="str">
        <f t="shared" ca="1" si="15"/>
        <v/>
      </c>
      <c r="Z44" s="211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08" t="str">
        <f>IF(AND(itens_Remanesc!A44="",itens_Remanesc!A43&lt;&gt;"",COUNTIF(itens_Remanesc!A45:$A$200,"&lt;&gt;")=0),"TOTAL",IF(itens_Remanesc!A44="","",itens_Remanesc!A44))</f>
        <v/>
      </c>
      <c r="B45" s="109" t="str">
        <f>IF(OR(historico_VU!A44="",historico_VU!C44=""),"",historico_VU!C44)</f>
        <v/>
      </c>
      <c r="C45" s="110" t="str">
        <f>IF(posicao_contratual!A44="","",posicao_contratual!G44)</f>
        <v/>
      </c>
      <c r="D45" s="109" t="str">
        <f>IF(A45="TOTAL",ROUND(SUM($D$3:D44),2),IF(OR(A45="",B45="",C45=""),"",ROUND(B45*C45,2)))</f>
        <v/>
      </c>
      <c r="E45" s="111" t="str">
        <f>IF(OR(historico_VU!A44="",historico_VU!D44=""),"",historico_VU!D44)</f>
        <v/>
      </c>
      <c r="F45" s="112" t="str">
        <f>IF(posicao_contratual!A44="","",posicao_contratual!K44)</f>
        <v/>
      </c>
      <c r="G45" s="111" t="str">
        <f>IF(A45="TOTAL",ROUND(SUM($G$3:G44),2),IF(OR(A45="",E45="",F45=""),"",ROUND(E45*F45,2)))</f>
        <v/>
      </c>
      <c r="H45" s="109" t="str">
        <f>IF(OR(historico_VU!A44="",historico_VU!E44=""),"",historico_VU!E44)</f>
        <v/>
      </c>
      <c r="I45" s="110" t="str">
        <f>IF(posicao_contratual!A44="","",posicao_contratual!O44)</f>
        <v/>
      </c>
      <c r="J45" s="109" t="str">
        <f>IF(A45="TOTAL",ROUND(SUM($J$3:J44),2),IF(OR(A45="",H45="",I45=""),"",ROUND(H45*I45,2)))</f>
        <v/>
      </c>
      <c r="K45" s="111" t="str">
        <f>IF(OR(historico_VU!A44="",historico_VU!F44=""),"",historico_VU!F44)</f>
        <v/>
      </c>
      <c r="L45" s="112" t="str">
        <f>IF(posicao_contratual!A44="","",posicao_contratual!S44)</f>
        <v/>
      </c>
      <c r="M45" s="111" t="str">
        <f>IF(A45="TOTAL",ROUND(SUM($M$3:M44),2),IF(OR(A45="",K45="",L45=""),"",ROUND(K45*L45,2)))</f>
        <v/>
      </c>
      <c r="N45" s="109" t="str">
        <f>IF(OR(historico_VU!A44="",historico_VU!G44=""),"",historico_VU!G44)</f>
        <v/>
      </c>
      <c r="O45" s="110" t="str">
        <f>IF(posicao_contratual!A44="","",posicao_contratual!W44)</f>
        <v/>
      </c>
      <c r="P45" s="109" t="str">
        <f>IF(A45="TOTAL",ROUND(SUM($P$3:P44),2),IF(OR(A45="",N45="",O45=""),"",ROUND(N45*O45,2)))</f>
        <v/>
      </c>
      <c r="Q45" s="183" t="str">
        <f t="shared" ca="1" si="8"/>
        <v/>
      </c>
      <c r="R45" t="str">
        <f>IF($A45="","",IF(MEMORIA_RESULTADOS!$W$46="","","C"&amp;MEMORIA_RESULTADOS!$W$46))</f>
        <v/>
      </c>
      <c r="S45" s="210" t="str">
        <f t="shared" ca="1" si="9"/>
        <v/>
      </c>
      <c r="T45" s="210" t="str">
        <f t="shared" ca="1" si="10"/>
        <v/>
      </c>
      <c r="U45" s="210" t="str">
        <f t="shared" ca="1" si="11"/>
        <v/>
      </c>
      <c r="V45" s="195" t="str">
        <f t="shared" ca="1" si="12"/>
        <v/>
      </c>
      <c r="W45" s="195" t="str">
        <f t="shared" ca="1" si="13"/>
        <v/>
      </c>
      <c r="X45" s="195" t="str">
        <f t="shared" ca="1" si="14"/>
        <v/>
      </c>
      <c r="Y45" t="str">
        <f t="shared" ca="1" si="15"/>
        <v/>
      </c>
      <c r="Z45" s="211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08" t="str">
        <f>IF(AND(itens_Remanesc!A45="",itens_Remanesc!A44&lt;&gt;"",COUNTIF(itens_Remanesc!A46:$A$200,"&lt;&gt;")=0),"TOTAL",IF(itens_Remanesc!A45="","",itens_Remanesc!A45))</f>
        <v/>
      </c>
      <c r="B46" s="109" t="str">
        <f>IF(OR(historico_VU!A45="",historico_VU!C45=""),"",historico_VU!C45)</f>
        <v/>
      </c>
      <c r="C46" s="110" t="str">
        <f>IF(posicao_contratual!A45="","",posicao_contratual!G45)</f>
        <v/>
      </c>
      <c r="D46" s="109" t="str">
        <f>IF(A46="TOTAL",ROUND(SUM($D$3:D45),2),IF(OR(A46="",B46="",C46=""),"",ROUND(B46*C46,2)))</f>
        <v/>
      </c>
      <c r="E46" s="111" t="str">
        <f>IF(OR(historico_VU!A45="",historico_VU!D45=""),"",historico_VU!D45)</f>
        <v/>
      </c>
      <c r="F46" s="112" t="str">
        <f>IF(posicao_contratual!A45="","",posicao_contratual!K45)</f>
        <v/>
      </c>
      <c r="G46" s="111" t="str">
        <f>IF(A46="TOTAL",ROUND(SUM($G$3:G45),2),IF(OR(A46="",E46="",F46=""),"",ROUND(E46*F46,2)))</f>
        <v/>
      </c>
      <c r="H46" s="109" t="str">
        <f>IF(OR(historico_VU!A45="",historico_VU!E45=""),"",historico_VU!E45)</f>
        <v/>
      </c>
      <c r="I46" s="110" t="str">
        <f>IF(posicao_contratual!A45="","",posicao_contratual!O45)</f>
        <v/>
      </c>
      <c r="J46" s="109" t="str">
        <f>IF(A46="TOTAL",ROUND(SUM($J$3:J45),2),IF(OR(A46="",H46="",I46=""),"",ROUND(H46*I46,2)))</f>
        <v/>
      </c>
      <c r="K46" s="111" t="str">
        <f>IF(OR(historico_VU!A45="",historico_VU!F45=""),"",historico_VU!F45)</f>
        <v/>
      </c>
      <c r="L46" s="112" t="str">
        <f>IF(posicao_contratual!A45="","",posicao_contratual!S45)</f>
        <v/>
      </c>
      <c r="M46" s="111" t="str">
        <f>IF(A46="TOTAL",ROUND(SUM($M$3:M45),2),IF(OR(A46="",K46="",L46=""),"",ROUND(K46*L46,2)))</f>
        <v/>
      </c>
      <c r="N46" s="109" t="str">
        <f>IF(OR(historico_VU!A45="",historico_VU!G45=""),"",historico_VU!G45)</f>
        <v/>
      </c>
      <c r="O46" s="110" t="str">
        <f>IF(posicao_contratual!A45="","",posicao_contratual!W45)</f>
        <v/>
      </c>
      <c r="P46" s="109" t="str">
        <f>IF(A46="TOTAL",ROUND(SUM($P$3:P45),2),IF(OR(A46="",N46="",O46=""),"",ROUND(N46*O46,2)))</f>
        <v/>
      </c>
      <c r="Q46" s="183" t="str">
        <f t="shared" ca="1" si="8"/>
        <v/>
      </c>
      <c r="R46" t="str">
        <f>IF($A46="","",IF(MEMORIA_RESULTADOS!$W$46="","","C"&amp;MEMORIA_RESULTADOS!$W$46))</f>
        <v/>
      </c>
      <c r="S46" s="210" t="str">
        <f t="shared" ca="1" si="9"/>
        <v/>
      </c>
      <c r="T46" s="210" t="str">
        <f t="shared" ca="1" si="10"/>
        <v/>
      </c>
      <c r="U46" s="210" t="str">
        <f t="shared" ca="1" si="11"/>
        <v/>
      </c>
      <c r="V46" s="195" t="str">
        <f t="shared" ca="1" si="12"/>
        <v/>
      </c>
      <c r="W46" s="195" t="str">
        <f t="shared" ca="1" si="13"/>
        <v/>
      </c>
      <c r="X46" s="195" t="str">
        <f t="shared" ca="1" si="14"/>
        <v/>
      </c>
      <c r="Y46" t="str">
        <f t="shared" ca="1" si="15"/>
        <v/>
      </c>
      <c r="Z46" s="211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08" t="str">
        <f>IF(AND(itens_Remanesc!A46="",itens_Remanesc!A45&lt;&gt;"",COUNTIF(itens_Remanesc!A47:$A$200,"&lt;&gt;")=0),"TOTAL",IF(itens_Remanesc!A46="","",itens_Remanesc!A46))</f>
        <v/>
      </c>
      <c r="B47" s="109" t="str">
        <f>IF(OR(historico_VU!A46="",historico_VU!C46=""),"",historico_VU!C46)</f>
        <v/>
      </c>
      <c r="C47" s="110" t="str">
        <f>IF(posicao_contratual!A46="","",posicao_contratual!G46)</f>
        <v/>
      </c>
      <c r="D47" s="109" t="str">
        <f>IF(A47="TOTAL",ROUND(SUM($D$3:D46),2),IF(OR(A47="",B47="",C47=""),"",ROUND(B47*C47,2)))</f>
        <v/>
      </c>
      <c r="E47" s="111" t="str">
        <f>IF(OR(historico_VU!A46="",historico_VU!D46=""),"",historico_VU!D46)</f>
        <v/>
      </c>
      <c r="F47" s="112" t="str">
        <f>IF(posicao_contratual!A46="","",posicao_contratual!K46)</f>
        <v/>
      </c>
      <c r="G47" s="111" t="str">
        <f>IF(A47="TOTAL",ROUND(SUM($G$3:G46),2),IF(OR(A47="",E47="",F47=""),"",ROUND(E47*F47,2)))</f>
        <v/>
      </c>
      <c r="H47" s="109" t="str">
        <f>IF(OR(historico_VU!A46="",historico_VU!E46=""),"",historico_VU!E46)</f>
        <v/>
      </c>
      <c r="I47" s="110" t="str">
        <f>IF(posicao_contratual!A46="","",posicao_contratual!O46)</f>
        <v/>
      </c>
      <c r="J47" s="109" t="str">
        <f>IF(A47="TOTAL",ROUND(SUM($J$3:J46),2),IF(OR(A47="",H47="",I47=""),"",ROUND(H47*I47,2)))</f>
        <v/>
      </c>
      <c r="K47" s="111" t="str">
        <f>IF(OR(historico_VU!A46="",historico_VU!F46=""),"",historico_VU!F46)</f>
        <v/>
      </c>
      <c r="L47" s="112" t="str">
        <f>IF(posicao_contratual!A46="","",posicao_contratual!S46)</f>
        <v/>
      </c>
      <c r="M47" s="111" t="str">
        <f>IF(A47="TOTAL",ROUND(SUM($M$3:M46),2),IF(OR(A47="",K47="",L47=""),"",ROUND(K47*L47,2)))</f>
        <v/>
      </c>
      <c r="N47" s="109" t="str">
        <f>IF(OR(historico_VU!A46="",historico_VU!G46=""),"",historico_VU!G46)</f>
        <v/>
      </c>
      <c r="O47" s="110" t="str">
        <f>IF(posicao_contratual!A46="","",posicao_contratual!W46)</f>
        <v/>
      </c>
      <c r="P47" s="109" t="str">
        <f>IF(A47="TOTAL",ROUND(SUM($P$3:P46),2),IF(OR(A47="",N47="",O47=""),"",ROUND(N47*O47,2)))</f>
        <v/>
      </c>
      <c r="Q47" s="183" t="str">
        <f t="shared" ca="1" si="8"/>
        <v/>
      </c>
      <c r="R47" t="str">
        <f>IF($A47="","",IF(MEMORIA_RESULTADOS!$W$46="","","C"&amp;MEMORIA_RESULTADOS!$W$46))</f>
        <v/>
      </c>
      <c r="S47" s="210" t="str">
        <f t="shared" ca="1" si="9"/>
        <v/>
      </c>
      <c r="T47" s="210" t="str">
        <f t="shared" ca="1" si="10"/>
        <v/>
      </c>
      <c r="U47" s="210" t="str">
        <f t="shared" ca="1" si="11"/>
        <v/>
      </c>
      <c r="V47" s="195" t="str">
        <f t="shared" ca="1" si="12"/>
        <v/>
      </c>
      <c r="W47" s="195" t="str">
        <f t="shared" ca="1" si="13"/>
        <v/>
      </c>
      <c r="X47" s="195" t="str">
        <f t="shared" ca="1" si="14"/>
        <v/>
      </c>
      <c r="Y47" t="str">
        <f t="shared" ca="1" si="15"/>
        <v/>
      </c>
      <c r="Z47" s="211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08" t="str">
        <f>IF(AND(itens_Remanesc!A47="",itens_Remanesc!A46&lt;&gt;"",COUNTIF(itens_Remanesc!A48:$A$200,"&lt;&gt;")=0),"TOTAL",IF(itens_Remanesc!A47="","",itens_Remanesc!A47))</f>
        <v/>
      </c>
      <c r="B48" s="109" t="str">
        <f>IF(OR(historico_VU!A47="",historico_VU!C47=""),"",historico_VU!C47)</f>
        <v/>
      </c>
      <c r="C48" s="110" t="str">
        <f>IF(posicao_contratual!A47="","",posicao_contratual!G47)</f>
        <v/>
      </c>
      <c r="D48" s="109" t="str">
        <f>IF(A48="TOTAL",ROUND(SUM($D$3:D47),2),IF(OR(A48="",B48="",C48=""),"",ROUND(B48*C48,2)))</f>
        <v/>
      </c>
      <c r="E48" s="111" t="str">
        <f>IF(OR(historico_VU!A47="",historico_VU!D47=""),"",historico_VU!D47)</f>
        <v/>
      </c>
      <c r="F48" s="112" t="str">
        <f>IF(posicao_contratual!A47="","",posicao_contratual!K47)</f>
        <v/>
      </c>
      <c r="G48" s="111" t="str">
        <f>IF(A48="TOTAL",ROUND(SUM($G$3:G47),2),IF(OR(A48="",E48="",F48=""),"",ROUND(E48*F48,2)))</f>
        <v/>
      </c>
      <c r="H48" s="109" t="str">
        <f>IF(OR(historico_VU!A47="",historico_VU!E47=""),"",historico_VU!E47)</f>
        <v/>
      </c>
      <c r="I48" s="110" t="str">
        <f>IF(posicao_contratual!A47="","",posicao_contratual!O47)</f>
        <v/>
      </c>
      <c r="J48" s="109" t="str">
        <f>IF(A48="TOTAL",ROUND(SUM($J$3:J47),2),IF(OR(A48="",H48="",I48=""),"",ROUND(H48*I48,2)))</f>
        <v/>
      </c>
      <c r="K48" s="111" t="str">
        <f>IF(OR(historico_VU!A47="",historico_VU!F47=""),"",historico_VU!F47)</f>
        <v/>
      </c>
      <c r="L48" s="112" t="str">
        <f>IF(posicao_contratual!A47="","",posicao_contratual!S47)</f>
        <v/>
      </c>
      <c r="M48" s="111" t="str">
        <f>IF(A48="TOTAL",ROUND(SUM($M$3:M47),2),IF(OR(A48="",K48="",L48=""),"",ROUND(K48*L48,2)))</f>
        <v/>
      </c>
      <c r="N48" s="109" t="str">
        <f>IF(OR(historico_VU!A47="",historico_VU!G47=""),"",historico_VU!G47)</f>
        <v/>
      </c>
      <c r="O48" s="110" t="str">
        <f>IF(posicao_contratual!A47="","",posicao_contratual!W47)</f>
        <v/>
      </c>
      <c r="P48" s="109" t="str">
        <f>IF(A48="TOTAL",ROUND(SUM($P$3:P47),2),IF(OR(A48="",N48="",O48=""),"",ROUND(N48*O48,2)))</f>
        <v/>
      </c>
      <c r="Q48" s="183" t="str">
        <f t="shared" ca="1" si="8"/>
        <v/>
      </c>
      <c r="R48" t="str">
        <f>IF($A48="","",IF(MEMORIA_RESULTADOS!$W$46="","","C"&amp;MEMORIA_RESULTADOS!$W$46))</f>
        <v/>
      </c>
      <c r="S48" s="210" t="str">
        <f t="shared" ca="1" si="9"/>
        <v/>
      </c>
      <c r="T48" s="210" t="str">
        <f t="shared" ca="1" si="10"/>
        <v/>
      </c>
      <c r="U48" s="210" t="str">
        <f t="shared" ca="1" si="11"/>
        <v/>
      </c>
      <c r="V48" s="195" t="str">
        <f t="shared" ca="1" si="12"/>
        <v/>
      </c>
      <c r="W48" s="195" t="str">
        <f t="shared" ca="1" si="13"/>
        <v/>
      </c>
      <c r="X48" s="195" t="str">
        <f t="shared" ca="1" si="14"/>
        <v/>
      </c>
      <c r="Y48" t="str">
        <f t="shared" ca="1" si="15"/>
        <v/>
      </c>
      <c r="Z48" s="211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08" t="str">
        <f>IF(AND(itens_Remanesc!A48="",itens_Remanesc!A47&lt;&gt;"",COUNTIF(itens_Remanesc!A49:$A$200,"&lt;&gt;")=0),"TOTAL",IF(itens_Remanesc!A48="","",itens_Remanesc!A48))</f>
        <v/>
      </c>
      <c r="B49" s="109" t="str">
        <f>IF(OR(historico_VU!A48="",historico_VU!C48=""),"",historico_VU!C48)</f>
        <v/>
      </c>
      <c r="C49" s="110" t="str">
        <f>IF(posicao_contratual!A48="","",posicao_contratual!G48)</f>
        <v/>
      </c>
      <c r="D49" s="109" t="str">
        <f>IF(A49="TOTAL",ROUND(SUM($D$3:D48),2),IF(OR(A49="",B49="",C49=""),"",ROUND(B49*C49,2)))</f>
        <v/>
      </c>
      <c r="E49" s="111" t="str">
        <f>IF(OR(historico_VU!A48="",historico_VU!D48=""),"",historico_VU!D48)</f>
        <v/>
      </c>
      <c r="F49" s="112" t="str">
        <f>IF(posicao_contratual!A48="","",posicao_contratual!K48)</f>
        <v/>
      </c>
      <c r="G49" s="111" t="str">
        <f>IF(A49="TOTAL",ROUND(SUM($G$3:G48),2),IF(OR(A49="",E49="",F49=""),"",ROUND(E49*F49,2)))</f>
        <v/>
      </c>
      <c r="H49" s="109" t="str">
        <f>IF(OR(historico_VU!A48="",historico_VU!E48=""),"",historico_VU!E48)</f>
        <v/>
      </c>
      <c r="I49" s="110" t="str">
        <f>IF(posicao_contratual!A48="","",posicao_contratual!O48)</f>
        <v/>
      </c>
      <c r="J49" s="109" t="str">
        <f>IF(A49="TOTAL",ROUND(SUM($J$3:J48),2),IF(OR(A49="",H49="",I49=""),"",ROUND(H49*I49,2)))</f>
        <v/>
      </c>
      <c r="K49" s="111" t="str">
        <f>IF(OR(historico_VU!A48="",historico_VU!F48=""),"",historico_VU!F48)</f>
        <v/>
      </c>
      <c r="L49" s="112" t="str">
        <f>IF(posicao_contratual!A48="","",posicao_contratual!S48)</f>
        <v/>
      </c>
      <c r="M49" s="111" t="str">
        <f>IF(A49="TOTAL",ROUND(SUM($M$3:M48),2),IF(OR(A49="",K49="",L49=""),"",ROUND(K49*L49,2)))</f>
        <v/>
      </c>
      <c r="N49" s="109" t="str">
        <f>IF(OR(historico_VU!A48="",historico_VU!G48=""),"",historico_VU!G48)</f>
        <v/>
      </c>
      <c r="O49" s="110" t="str">
        <f>IF(posicao_contratual!A48="","",posicao_contratual!W48)</f>
        <v/>
      </c>
      <c r="P49" s="109" t="str">
        <f>IF(A49="TOTAL",ROUND(SUM($P$3:P48),2),IF(OR(A49="",N49="",O49=""),"",ROUND(N49*O49,2)))</f>
        <v/>
      </c>
      <c r="Q49" s="183" t="str">
        <f t="shared" ca="1" si="8"/>
        <v/>
      </c>
      <c r="R49" t="str">
        <f>IF($A49="","",IF(MEMORIA_RESULTADOS!$W$46="","","C"&amp;MEMORIA_RESULTADOS!$W$46))</f>
        <v/>
      </c>
      <c r="S49" s="210" t="str">
        <f t="shared" ca="1" si="9"/>
        <v/>
      </c>
      <c r="T49" s="210" t="str">
        <f t="shared" ca="1" si="10"/>
        <v/>
      </c>
      <c r="U49" s="210" t="str">
        <f t="shared" ca="1" si="11"/>
        <v/>
      </c>
      <c r="V49" s="195" t="str">
        <f t="shared" ca="1" si="12"/>
        <v/>
      </c>
      <c r="W49" s="195" t="str">
        <f t="shared" ca="1" si="13"/>
        <v/>
      </c>
      <c r="X49" s="195" t="str">
        <f t="shared" ca="1" si="14"/>
        <v/>
      </c>
      <c r="Y49" t="str">
        <f t="shared" ca="1" si="15"/>
        <v/>
      </c>
      <c r="Z49" s="211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08" t="str">
        <f>IF(AND(itens_Remanesc!A49="",itens_Remanesc!A48&lt;&gt;"",COUNTIF(itens_Remanesc!A50:$A$200,"&lt;&gt;")=0),"TOTAL",IF(itens_Remanesc!A49="","",itens_Remanesc!A49))</f>
        <v/>
      </c>
      <c r="B50" s="109" t="str">
        <f>IF(OR(historico_VU!A49="",historico_VU!C49=""),"",historico_VU!C49)</f>
        <v/>
      </c>
      <c r="C50" s="110" t="str">
        <f>IF(posicao_contratual!A49="","",posicao_contratual!G49)</f>
        <v/>
      </c>
      <c r="D50" s="109" t="str">
        <f>IF(A50="TOTAL",ROUND(SUM($D$3:D49),2),IF(OR(A50="",B50="",C50=""),"",ROUND(B50*C50,2)))</f>
        <v/>
      </c>
      <c r="E50" s="111" t="str">
        <f>IF(OR(historico_VU!A49="",historico_VU!D49=""),"",historico_VU!D49)</f>
        <v/>
      </c>
      <c r="F50" s="112" t="str">
        <f>IF(posicao_contratual!A49="","",posicao_contratual!K49)</f>
        <v/>
      </c>
      <c r="G50" s="111" t="str">
        <f>IF(A50="TOTAL",ROUND(SUM($G$3:G49),2),IF(OR(A50="",E50="",F50=""),"",ROUND(E50*F50,2)))</f>
        <v/>
      </c>
      <c r="H50" s="109" t="str">
        <f>IF(OR(historico_VU!A49="",historico_VU!E49=""),"",historico_VU!E49)</f>
        <v/>
      </c>
      <c r="I50" s="110" t="str">
        <f>IF(posicao_contratual!A49="","",posicao_contratual!O49)</f>
        <v/>
      </c>
      <c r="J50" s="109" t="str">
        <f>IF(A50="TOTAL",ROUND(SUM($J$3:J49),2),IF(OR(A50="",H50="",I50=""),"",ROUND(H50*I50,2)))</f>
        <v/>
      </c>
      <c r="K50" s="111" t="str">
        <f>IF(OR(historico_VU!A49="",historico_VU!F49=""),"",historico_VU!F49)</f>
        <v/>
      </c>
      <c r="L50" s="112" t="str">
        <f>IF(posicao_contratual!A49="","",posicao_contratual!S49)</f>
        <v/>
      </c>
      <c r="M50" s="111" t="str">
        <f>IF(A50="TOTAL",ROUND(SUM($M$3:M49),2),IF(OR(A50="",K50="",L50=""),"",ROUND(K50*L50,2)))</f>
        <v/>
      </c>
      <c r="N50" s="109" t="str">
        <f>IF(OR(historico_VU!A49="",historico_VU!G49=""),"",historico_VU!G49)</f>
        <v/>
      </c>
      <c r="O50" s="110" t="str">
        <f>IF(posicao_contratual!A49="","",posicao_contratual!W49)</f>
        <v/>
      </c>
      <c r="P50" s="109" t="str">
        <f>IF(A50="TOTAL",ROUND(SUM($P$3:P49),2),IF(OR(A50="",N50="",O50=""),"",ROUND(N50*O50,2)))</f>
        <v/>
      </c>
      <c r="Q50" s="183" t="str">
        <f t="shared" ca="1" si="8"/>
        <v/>
      </c>
      <c r="R50" t="str">
        <f>IF($A50="","",IF(MEMORIA_RESULTADOS!$W$46="","","C"&amp;MEMORIA_RESULTADOS!$W$46))</f>
        <v/>
      </c>
      <c r="S50" s="210" t="str">
        <f t="shared" ca="1" si="9"/>
        <v/>
      </c>
      <c r="T50" s="210" t="str">
        <f t="shared" ca="1" si="10"/>
        <v/>
      </c>
      <c r="U50" s="210" t="str">
        <f t="shared" ca="1" si="11"/>
        <v/>
      </c>
      <c r="V50" s="195" t="str">
        <f t="shared" ca="1" si="12"/>
        <v/>
      </c>
      <c r="W50" s="195" t="str">
        <f t="shared" ca="1" si="13"/>
        <v/>
      </c>
      <c r="X50" s="195" t="str">
        <f t="shared" ca="1" si="14"/>
        <v/>
      </c>
      <c r="Y50" t="str">
        <f t="shared" ca="1" si="15"/>
        <v/>
      </c>
      <c r="Z50" s="211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08" t="str">
        <f>IF(AND(itens_Remanesc!A50="",itens_Remanesc!A49&lt;&gt;"",COUNTIF(itens_Remanesc!A51:$A$200,"&lt;&gt;")=0),"TOTAL",IF(itens_Remanesc!A50="","",itens_Remanesc!A50))</f>
        <v/>
      </c>
      <c r="B51" s="109" t="str">
        <f>IF(OR(historico_VU!A50="",historico_VU!C50=""),"",historico_VU!C50)</f>
        <v/>
      </c>
      <c r="C51" s="110" t="str">
        <f>IF(posicao_contratual!A50="","",posicao_contratual!G50)</f>
        <v/>
      </c>
      <c r="D51" s="109" t="str">
        <f>IF(A51="TOTAL",ROUND(SUM($D$3:D50),2),IF(OR(A51="",B51="",C51=""),"",ROUND(B51*C51,2)))</f>
        <v/>
      </c>
      <c r="E51" s="111" t="str">
        <f>IF(OR(historico_VU!A50="",historico_VU!D50=""),"",historico_VU!D50)</f>
        <v/>
      </c>
      <c r="F51" s="112" t="str">
        <f>IF(posicao_contratual!A50="","",posicao_contratual!K50)</f>
        <v/>
      </c>
      <c r="G51" s="111" t="str">
        <f>IF(A51="TOTAL",ROUND(SUM($G$3:G50),2),IF(OR(A51="",E51="",F51=""),"",ROUND(E51*F51,2)))</f>
        <v/>
      </c>
      <c r="H51" s="109" t="str">
        <f>IF(OR(historico_VU!A50="",historico_VU!E50=""),"",historico_VU!E50)</f>
        <v/>
      </c>
      <c r="I51" s="110" t="str">
        <f>IF(posicao_contratual!A50="","",posicao_contratual!O50)</f>
        <v/>
      </c>
      <c r="J51" s="109" t="str">
        <f>IF(A51="TOTAL",ROUND(SUM($J$3:J50),2),IF(OR(A51="",H51="",I51=""),"",ROUND(H51*I51,2)))</f>
        <v/>
      </c>
      <c r="K51" s="111" t="str">
        <f>IF(OR(historico_VU!A50="",historico_VU!F50=""),"",historico_VU!F50)</f>
        <v/>
      </c>
      <c r="L51" s="112" t="str">
        <f>IF(posicao_contratual!A50="","",posicao_contratual!S50)</f>
        <v/>
      </c>
      <c r="M51" s="111" t="str">
        <f>IF(A51="TOTAL",ROUND(SUM($M$3:M50),2),IF(OR(A51="",K51="",L51=""),"",ROUND(K51*L51,2)))</f>
        <v/>
      </c>
      <c r="N51" s="109" t="str">
        <f>IF(OR(historico_VU!A50="",historico_VU!G50=""),"",historico_VU!G50)</f>
        <v/>
      </c>
      <c r="O51" s="110" t="str">
        <f>IF(posicao_contratual!A50="","",posicao_contratual!W50)</f>
        <v/>
      </c>
      <c r="P51" s="109" t="str">
        <f>IF(A51="TOTAL",ROUND(SUM($P$3:P50),2),IF(OR(A51="",N51="",O51=""),"",ROUND(N51*O51,2)))</f>
        <v/>
      </c>
      <c r="Q51" s="183" t="str">
        <f t="shared" ca="1" si="8"/>
        <v/>
      </c>
      <c r="R51" t="str">
        <f>IF($A51="","",IF(MEMORIA_RESULTADOS!$W$46="","","C"&amp;MEMORIA_RESULTADOS!$W$46))</f>
        <v/>
      </c>
      <c r="S51" s="210" t="str">
        <f t="shared" ca="1" si="9"/>
        <v/>
      </c>
      <c r="T51" s="210" t="str">
        <f t="shared" ca="1" si="10"/>
        <v/>
      </c>
      <c r="U51" s="210" t="str">
        <f t="shared" ca="1" si="11"/>
        <v/>
      </c>
      <c r="V51" s="195" t="str">
        <f t="shared" ca="1" si="12"/>
        <v/>
      </c>
      <c r="W51" s="195" t="str">
        <f t="shared" ca="1" si="13"/>
        <v/>
      </c>
      <c r="X51" s="195" t="str">
        <f t="shared" ca="1" si="14"/>
        <v/>
      </c>
      <c r="Y51" t="str">
        <f t="shared" ca="1" si="15"/>
        <v/>
      </c>
      <c r="Z51" s="211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08" t="str">
        <f>IF(AND(itens_Remanesc!A51="",itens_Remanesc!A50&lt;&gt;"",COUNTIF(itens_Remanesc!A52:$A$200,"&lt;&gt;")=0),"TOTAL",IF(itens_Remanesc!A51="","",itens_Remanesc!A51))</f>
        <v/>
      </c>
      <c r="B52" s="109" t="str">
        <f>IF(OR(historico_VU!A51="",historico_VU!C51=""),"",historico_VU!C51)</f>
        <v/>
      </c>
      <c r="C52" s="110" t="str">
        <f>IF(posicao_contratual!A51="","",posicao_contratual!G51)</f>
        <v/>
      </c>
      <c r="D52" s="109" t="str">
        <f>IF(A52="TOTAL",ROUND(SUM($D$3:D51),2),IF(OR(A52="",B52="",C52=""),"",ROUND(B52*C52,2)))</f>
        <v/>
      </c>
      <c r="E52" s="111" t="str">
        <f>IF(OR(historico_VU!A51="",historico_VU!D51=""),"",historico_VU!D51)</f>
        <v/>
      </c>
      <c r="F52" s="112" t="str">
        <f>IF(posicao_contratual!A51="","",posicao_contratual!K51)</f>
        <v/>
      </c>
      <c r="G52" s="111" t="str">
        <f>IF(A52="TOTAL",ROUND(SUM($G$3:G51),2),IF(OR(A52="",E52="",F52=""),"",ROUND(E52*F52,2)))</f>
        <v/>
      </c>
      <c r="H52" s="109" t="str">
        <f>IF(OR(historico_VU!A51="",historico_VU!E51=""),"",historico_VU!E51)</f>
        <v/>
      </c>
      <c r="I52" s="110" t="str">
        <f>IF(posicao_contratual!A51="","",posicao_contratual!O51)</f>
        <v/>
      </c>
      <c r="J52" s="109" t="str">
        <f>IF(A52="TOTAL",ROUND(SUM($J$3:J51),2),IF(OR(A52="",H52="",I52=""),"",ROUND(H52*I52,2)))</f>
        <v/>
      </c>
      <c r="K52" s="111" t="str">
        <f>IF(OR(historico_VU!A51="",historico_VU!F51=""),"",historico_VU!F51)</f>
        <v/>
      </c>
      <c r="L52" s="112" t="str">
        <f>IF(posicao_contratual!A51="","",posicao_contratual!S51)</f>
        <v/>
      </c>
      <c r="M52" s="111" t="str">
        <f>IF(A52="TOTAL",ROUND(SUM($M$3:M51),2),IF(OR(A52="",K52="",L52=""),"",ROUND(K52*L52,2)))</f>
        <v/>
      </c>
      <c r="N52" s="109" t="str">
        <f>IF(OR(historico_VU!A51="",historico_VU!G51=""),"",historico_VU!G51)</f>
        <v/>
      </c>
      <c r="O52" s="110" t="str">
        <f>IF(posicao_contratual!A51="","",posicao_contratual!W51)</f>
        <v/>
      </c>
      <c r="P52" s="109" t="str">
        <f>IF(A52="TOTAL",ROUND(SUM($P$3:P51),2),IF(OR(A52="",N52="",O52=""),"",ROUND(N52*O52,2)))</f>
        <v/>
      </c>
      <c r="Q52" s="183" t="str">
        <f t="shared" ca="1" si="8"/>
        <v/>
      </c>
      <c r="R52" t="str">
        <f>IF($A52="","",IF(MEMORIA_RESULTADOS!$W$46="","","C"&amp;MEMORIA_RESULTADOS!$W$46))</f>
        <v/>
      </c>
      <c r="S52" s="210" t="str">
        <f t="shared" ca="1" si="9"/>
        <v/>
      </c>
      <c r="T52" s="210" t="str">
        <f t="shared" ca="1" si="10"/>
        <v/>
      </c>
      <c r="U52" s="210" t="str">
        <f t="shared" ca="1" si="11"/>
        <v/>
      </c>
      <c r="V52" s="195" t="str">
        <f t="shared" ca="1" si="12"/>
        <v/>
      </c>
      <c r="W52" s="195" t="str">
        <f t="shared" ca="1" si="13"/>
        <v/>
      </c>
      <c r="X52" s="195" t="str">
        <f t="shared" ca="1" si="14"/>
        <v/>
      </c>
      <c r="Y52" t="str">
        <f t="shared" ca="1" si="15"/>
        <v/>
      </c>
      <c r="Z52" s="211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08" t="str">
        <f>IF(AND(itens_Remanesc!A52="",itens_Remanesc!A51&lt;&gt;"",COUNTIF(itens_Remanesc!A53:$A$200,"&lt;&gt;")=0),"TOTAL",IF(itens_Remanesc!A52="","",itens_Remanesc!A52))</f>
        <v/>
      </c>
      <c r="B53" s="109" t="str">
        <f>IF(OR(historico_VU!A52="",historico_VU!C52=""),"",historico_VU!C52)</f>
        <v/>
      </c>
      <c r="C53" s="110" t="str">
        <f>IF(posicao_contratual!A52="","",posicao_contratual!G52)</f>
        <v/>
      </c>
      <c r="D53" s="109" t="str">
        <f>IF(A53="TOTAL",ROUND(SUM($D$3:D52),2),IF(OR(A53="",B53="",C53=""),"",ROUND(B53*C53,2)))</f>
        <v/>
      </c>
      <c r="E53" s="111" t="str">
        <f>IF(OR(historico_VU!A52="",historico_VU!D52=""),"",historico_VU!D52)</f>
        <v/>
      </c>
      <c r="F53" s="112" t="str">
        <f>IF(posicao_contratual!A52="","",posicao_contratual!K52)</f>
        <v/>
      </c>
      <c r="G53" s="111" t="str">
        <f>IF(A53="TOTAL",ROUND(SUM($G$3:G52),2),IF(OR(A53="",E53="",F53=""),"",ROUND(E53*F53,2)))</f>
        <v/>
      </c>
      <c r="H53" s="109" t="str">
        <f>IF(OR(historico_VU!A52="",historico_VU!E52=""),"",historico_VU!E52)</f>
        <v/>
      </c>
      <c r="I53" s="110" t="str">
        <f>IF(posicao_contratual!A52="","",posicao_contratual!O52)</f>
        <v/>
      </c>
      <c r="J53" s="109" t="str">
        <f>IF(A53="TOTAL",ROUND(SUM($J$3:J52),2),IF(OR(A53="",H53="",I53=""),"",ROUND(H53*I53,2)))</f>
        <v/>
      </c>
      <c r="K53" s="111" t="str">
        <f>IF(OR(historico_VU!A52="",historico_VU!F52=""),"",historico_VU!F52)</f>
        <v/>
      </c>
      <c r="L53" s="112" t="str">
        <f>IF(posicao_contratual!A52="","",posicao_contratual!S52)</f>
        <v/>
      </c>
      <c r="M53" s="111" t="str">
        <f>IF(A53="TOTAL",ROUND(SUM($M$3:M52),2),IF(OR(A53="",K53="",L53=""),"",ROUND(K53*L53,2)))</f>
        <v/>
      </c>
      <c r="N53" s="109" t="str">
        <f>IF(OR(historico_VU!A52="",historico_VU!G52=""),"",historico_VU!G52)</f>
        <v/>
      </c>
      <c r="O53" s="110" t="str">
        <f>IF(posicao_contratual!A52="","",posicao_contratual!W52)</f>
        <v/>
      </c>
      <c r="P53" s="109" t="str">
        <f>IF(A53="TOTAL",ROUND(SUM($P$3:P52),2),IF(OR(A53="",N53="",O53=""),"",ROUND(N53*O53,2)))</f>
        <v/>
      </c>
      <c r="Q53" s="183" t="str">
        <f t="shared" ca="1" si="8"/>
        <v/>
      </c>
      <c r="R53" t="str">
        <f>IF($A53="","",IF(MEMORIA_RESULTADOS!$W$46="","","C"&amp;MEMORIA_RESULTADOS!$W$46))</f>
        <v/>
      </c>
      <c r="S53" s="210" t="str">
        <f t="shared" ca="1" si="9"/>
        <v/>
      </c>
      <c r="T53" s="210" t="str">
        <f t="shared" ca="1" si="10"/>
        <v/>
      </c>
      <c r="U53" s="210" t="str">
        <f t="shared" ca="1" si="11"/>
        <v/>
      </c>
      <c r="V53" s="195" t="str">
        <f t="shared" ca="1" si="12"/>
        <v/>
      </c>
      <c r="W53" s="195" t="str">
        <f t="shared" ca="1" si="13"/>
        <v/>
      </c>
      <c r="X53" s="195" t="str">
        <f t="shared" ca="1" si="14"/>
        <v/>
      </c>
      <c r="Y53" t="str">
        <f t="shared" ca="1" si="15"/>
        <v/>
      </c>
      <c r="Z53" s="211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08" t="str">
        <f>IF(AND(itens_Remanesc!A53="",itens_Remanesc!A52&lt;&gt;"",COUNTIF(itens_Remanesc!A54:$A$200,"&lt;&gt;")=0),"TOTAL",IF(itens_Remanesc!A53="","",itens_Remanesc!A53))</f>
        <v/>
      </c>
      <c r="B54" s="109" t="str">
        <f>IF(OR(historico_VU!A53="",historico_VU!C53=""),"",historico_VU!C53)</f>
        <v/>
      </c>
      <c r="C54" s="110" t="str">
        <f>IF(posicao_contratual!A53="","",posicao_contratual!G53)</f>
        <v/>
      </c>
      <c r="D54" s="109" t="str">
        <f>IF(A54="TOTAL",ROUND(SUM($D$3:D53),2),IF(OR(A54="",B54="",C54=""),"",ROUND(B54*C54,2)))</f>
        <v/>
      </c>
      <c r="E54" s="111" t="str">
        <f>IF(OR(historico_VU!A53="",historico_VU!D53=""),"",historico_VU!D53)</f>
        <v/>
      </c>
      <c r="F54" s="112" t="str">
        <f>IF(posicao_contratual!A53="","",posicao_contratual!K53)</f>
        <v/>
      </c>
      <c r="G54" s="111" t="str">
        <f>IF(A54="TOTAL",ROUND(SUM($G$3:G53),2),IF(OR(A54="",E54="",F54=""),"",ROUND(E54*F54,2)))</f>
        <v/>
      </c>
      <c r="H54" s="109" t="str">
        <f>IF(OR(historico_VU!A53="",historico_VU!E53=""),"",historico_VU!E53)</f>
        <v/>
      </c>
      <c r="I54" s="110" t="str">
        <f>IF(posicao_contratual!A53="","",posicao_contratual!O53)</f>
        <v/>
      </c>
      <c r="J54" s="109" t="str">
        <f>IF(A54="TOTAL",ROUND(SUM($J$3:J53),2),IF(OR(A54="",H54="",I54=""),"",ROUND(H54*I54,2)))</f>
        <v/>
      </c>
      <c r="K54" s="111" t="str">
        <f>IF(OR(historico_VU!A53="",historico_VU!F53=""),"",historico_VU!F53)</f>
        <v/>
      </c>
      <c r="L54" s="112" t="str">
        <f>IF(posicao_contratual!A53="","",posicao_contratual!S53)</f>
        <v/>
      </c>
      <c r="M54" s="111" t="str">
        <f>IF(A54="TOTAL",ROUND(SUM($M$3:M53),2),IF(OR(A54="",K54="",L54=""),"",ROUND(K54*L54,2)))</f>
        <v/>
      </c>
      <c r="N54" s="109" t="str">
        <f>IF(OR(historico_VU!A53="",historico_VU!G53=""),"",historico_VU!G53)</f>
        <v/>
      </c>
      <c r="O54" s="110" t="str">
        <f>IF(posicao_contratual!A53="","",posicao_contratual!W53)</f>
        <v/>
      </c>
      <c r="P54" s="109" t="str">
        <f>IF(A54="TOTAL",ROUND(SUM($P$3:P53),2),IF(OR(A54="",N54="",O54=""),"",ROUND(N54*O54,2)))</f>
        <v/>
      </c>
      <c r="Q54" s="183" t="str">
        <f t="shared" ca="1" si="8"/>
        <v/>
      </c>
      <c r="R54" t="str">
        <f>IF($A54="","",IF(MEMORIA_RESULTADOS!$W$46="","","C"&amp;MEMORIA_RESULTADOS!$W$46))</f>
        <v/>
      </c>
      <c r="S54" s="210" t="str">
        <f t="shared" ca="1" si="9"/>
        <v/>
      </c>
      <c r="T54" s="210" t="str">
        <f t="shared" ca="1" si="10"/>
        <v/>
      </c>
      <c r="U54" s="210" t="str">
        <f t="shared" ca="1" si="11"/>
        <v/>
      </c>
      <c r="V54" s="195" t="str">
        <f t="shared" ca="1" si="12"/>
        <v/>
      </c>
      <c r="W54" s="195" t="str">
        <f t="shared" ca="1" si="13"/>
        <v/>
      </c>
      <c r="X54" s="195" t="str">
        <f t="shared" ca="1" si="14"/>
        <v/>
      </c>
      <c r="Y54" t="str">
        <f t="shared" ca="1" si="15"/>
        <v/>
      </c>
      <c r="Z54" s="211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08" t="str">
        <f>IF(AND(itens_Remanesc!A54="",itens_Remanesc!A53&lt;&gt;"",COUNTIF(itens_Remanesc!A55:$A$200,"&lt;&gt;")=0),"TOTAL",IF(itens_Remanesc!A54="","",itens_Remanesc!A54))</f>
        <v/>
      </c>
      <c r="B55" s="109" t="str">
        <f>IF(OR(historico_VU!A54="",historico_VU!C54=""),"",historico_VU!C54)</f>
        <v/>
      </c>
      <c r="C55" s="110" t="str">
        <f>IF(posicao_contratual!A54="","",posicao_contratual!G54)</f>
        <v/>
      </c>
      <c r="D55" s="109" t="str">
        <f>IF(A55="TOTAL",ROUND(SUM($D$3:D54),2),IF(OR(A55="",B55="",C55=""),"",ROUND(B55*C55,2)))</f>
        <v/>
      </c>
      <c r="E55" s="111" t="str">
        <f>IF(OR(historico_VU!A54="",historico_VU!D54=""),"",historico_VU!D54)</f>
        <v/>
      </c>
      <c r="F55" s="112" t="str">
        <f>IF(posicao_contratual!A54="","",posicao_contratual!K54)</f>
        <v/>
      </c>
      <c r="G55" s="111" t="str">
        <f>IF(A55="TOTAL",ROUND(SUM($G$3:G54),2),IF(OR(A55="",E55="",F55=""),"",ROUND(E55*F55,2)))</f>
        <v/>
      </c>
      <c r="H55" s="109" t="str">
        <f>IF(OR(historico_VU!A54="",historico_VU!E54=""),"",historico_VU!E54)</f>
        <v/>
      </c>
      <c r="I55" s="110" t="str">
        <f>IF(posicao_contratual!A54="","",posicao_contratual!O54)</f>
        <v/>
      </c>
      <c r="J55" s="109" t="str">
        <f>IF(A55="TOTAL",ROUND(SUM($J$3:J54),2),IF(OR(A55="",H55="",I55=""),"",ROUND(H55*I55,2)))</f>
        <v/>
      </c>
      <c r="K55" s="111" t="str">
        <f>IF(OR(historico_VU!A54="",historico_VU!F54=""),"",historico_VU!F54)</f>
        <v/>
      </c>
      <c r="L55" s="112" t="str">
        <f>IF(posicao_contratual!A54="","",posicao_contratual!S54)</f>
        <v/>
      </c>
      <c r="M55" s="111" t="str">
        <f>IF(A55="TOTAL",ROUND(SUM($M$3:M54),2),IF(OR(A55="",K55="",L55=""),"",ROUND(K55*L55,2)))</f>
        <v/>
      </c>
      <c r="N55" s="109" t="str">
        <f>IF(OR(historico_VU!A54="",historico_VU!G54=""),"",historico_VU!G54)</f>
        <v/>
      </c>
      <c r="O55" s="110" t="str">
        <f>IF(posicao_contratual!A54="","",posicao_contratual!W54)</f>
        <v/>
      </c>
      <c r="P55" s="109" t="str">
        <f>IF(A55="TOTAL",ROUND(SUM($P$3:P54),2),IF(OR(A55="",N55="",O55=""),"",ROUND(N55*O55,2)))</f>
        <v/>
      </c>
      <c r="Q55" s="183" t="str">
        <f t="shared" ca="1" si="8"/>
        <v/>
      </c>
      <c r="R55" t="str">
        <f>IF($A55="","",IF(MEMORIA_RESULTADOS!$W$46="","","C"&amp;MEMORIA_RESULTADOS!$W$46))</f>
        <v/>
      </c>
      <c r="S55" s="210" t="str">
        <f t="shared" ca="1" si="9"/>
        <v/>
      </c>
      <c r="T55" s="210" t="str">
        <f t="shared" ca="1" si="10"/>
        <v/>
      </c>
      <c r="U55" s="210" t="str">
        <f t="shared" ca="1" si="11"/>
        <v/>
      </c>
      <c r="V55" s="195" t="str">
        <f t="shared" ca="1" si="12"/>
        <v/>
      </c>
      <c r="W55" s="195" t="str">
        <f t="shared" ca="1" si="13"/>
        <v/>
      </c>
      <c r="X55" s="195" t="str">
        <f t="shared" ca="1" si="14"/>
        <v/>
      </c>
      <c r="Y55" t="str">
        <f t="shared" ca="1" si="15"/>
        <v/>
      </c>
      <c r="Z55" s="211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08" t="str">
        <f>IF(AND(itens_Remanesc!A55="",itens_Remanesc!A54&lt;&gt;"",COUNTIF(itens_Remanesc!A56:$A$200,"&lt;&gt;")=0),"TOTAL",IF(itens_Remanesc!A55="","",itens_Remanesc!A55))</f>
        <v/>
      </c>
      <c r="B56" s="109" t="str">
        <f>IF(OR(historico_VU!A55="",historico_VU!C55=""),"",historico_VU!C55)</f>
        <v/>
      </c>
      <c r="C56" s="110" t="str">
        <f>IF(posicao_contratual!A55="","",posicao_contratual!G55)</f>
        <v/>
      </c>
      <c r="D56" s="109" t="str">
        <f>IF(A56="TOTAL",ROUND(SUM($D$3:D55),2),IF(OR(A56="",B56="",C56=""),"",ROUND(B56*C56,2)))</f>
        <v/>
      </c>
      <c r="E56" s="111" t="str">
        <f>IF(OR(historico_VU!A55="",historico_VU!D55=""),"",historico_VU!D55)</f>
        <v/>
      </c>
      <c r="F56" s="112" t="str">
        <f>IF(posicao_contratual!A55="","",posicao_contratual!K55)</f>
        <v/>
      </c>
      <c r="G56" s="111" t="str">
        <f>IF(A56="TOTAL",ROUND(SUM($G$3:G55),2),IF(OR(A56="",E56="",F56=""),"",ROUND(E56*F56,2)))</f>
        <v/>
      </c>
      <c r="H56" s="109" t="str">
        <f>IF(OR(historico_VU!A55="",historico_VU!E55=""),"",historico_VU!E55)</f>
        <v/>
      </c>
      <c r="I56" s="110" t="str">
        <f>IF(posicao_contratual!A55="","",posicao_contratual!O55)</f>
        <v/>
      </c>
      <c r="J56" s="109" t="str">
        <f>IF(A56="TOTAL",ROUND(SUM($J$3:J55),2),IF(OR(A56="",H56="",I56=""),"",ROUND(H56*I56,2)))</f>
        <v/>
      </c>
      <c r="K56" s="111" t="str">
        <f>IF(OR(historico_VU!A55="",historico_VU!F55=""),"",historico_VU!F55)</f>
        <v/>
      </c>
      <c r="L56" s="112" t="str">
        <f>IF(posicao_contratual!A55="","",posicao_contratual!S55)</f>
        <v/>
      </c>
      <c r="M56" s="111" t="str">
        <f>IF(A56="TOTAL",ROUND(SUM($M$3:M55),2),IF(OR(A56="",K56="",L56=""),"",ROUND(K56*L56,2)))</f>
        <v/>
      </c>
      <c r="N56" s="109" t="str">
        <f>IF(OR(historico_VU!A55="",historico_VU!G55=""),"",historico_VU!G55)</f>
        <v/>
      </c>
      <c r="O56" s="110" t="str">
        <f>IF(posicao_contratual!A55="","",posicao_contratual!W55)</f>
        <v/>
      </c>
      <c r="P56" s="109" t="str">
        <f>IF(A56="TOTAL",ROUND(SUM($P$3:P55),2),IF(OR(A56="",N56="",O56=""),"",ROUND(N56*O56,2)))</f>
        <v/>
      </c>
      <c r="Q56" s="183" t="str">
        <f t="shared" ca="1" si="8"/>
        <v/>
      </c>
      <c r="R56" t="str">
        <f>IF($A56="","",IF(MEMORIA_RESULTADOS!$W$46="","","C"&amp;MEMORIA_RESULTADOS!$W$46))</f>
        <v/>
      </c>
      <c r="S56" s="210" t="str">
        <f t="shared" ca="1" si="9"/>
        <v/>
      </c>
      <c r="T56" s="210" t="str">
        <f t="shared" ca="1" si="10"/>
        <v/>
      </c>
      <c r="U56" s="210" t="str">
        <f t="shared" ca="1" si="11"/>
        <v/>
      </c>
      <c r="V56" s="195" t="str">
        <f t="shared" ca="1" si="12"/>
        <v/>
      </c>
      <c r="W56" s="195" t="str">
        <f t="shared" ca="1" si="13"/>
        <v/>
      </c>
      <c r="X56" s="195" t="str">
        <f t="shared" ca="1" si="14"/>
        <v/>
      </c>
      <c r="Y56" t="str">
        <f t="shared" ca="1" si="15"/>
        <v/>
      </c>
      <c r="Z56" s="211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08" t="str">
        <f>IF(AND(itens_Remanesc!A56="",itens_Remanesc!A55&lt;&gt;"",COUNTIF(itens_Remanesc!A57:$A$200,"&lt;&gt;")=0),"TOTAL",IF(itens_Remanesc!A56="","",itens_Remanesc!A56))</f>
        <v/>
      </c>
      <c r="B57" s="109" t="str">
        <f>IF(OR(historico_VU!A56="",historico_VU!C56=""),"",historico_VU!C56)</f>
        <v/>
      </c>
      <c r="C57" s="110" t="str">
        <f>IF(posicao_contratual!A56="","",posicao_contratual!G56)</f>
        <v/>
      </c>
      <c r="D57" s="109" t="str">
        <f>IF(A57="TOTAL",ROUND(SUM($D$3:D56),2),IF(OR(A57="",B57="",C57=""),"",ROUND(B57*C57,2)))</f>
        <v/>
      </c>
      <c r="E57" s="111" t="str">
        <f>IF(OR(historico_VU!A56="",historico_VU!D56=""),"",historico_VU!D56)</f>
        <v/>
      </c>
      <c r="F57" s="112" t="str">
        <f>IF(posicao_contratual!A56="","",posicao_contratual!K56)</f>
        <v/>
      </c>
      <c r="G57" s="111" t="str">
        <f>IF(A57="TOTAL",ROUND(SUM($G$3:G56),2),IF(OR(A57="",E57="",F57=""),"",ROUND(E57*F57,2)))</f>
        <v/>
      </c>
      <c r="H57" s="109" t="str">
        <f>IF(OR(historico_VU!A56="",historico_VU!E56=""),"",historico_VU!E56)</f>
        <v/>
      </c>
      <c r="I57" s="110" t="str">
        <f>IF(posicao_contratual!A56="","",posicao_contratual!O56)</f>
        <v/>
      </c>
      <c r="J57" s="109" t="str">
        <f>IF(A57="TOTAL",ROUND(SUM($J$3:J56),2),IF(OR(A57="",H57="",I57=""),"",ROUND(H57*I57,2)))</f>
        <v/>
      </c>
      <c r="K57" s="111" t="str">
        <f>IF(OR(historico_VU!A56="",historico_VU!F56=""),"",historico_VU!F56)</f>
        <v/>
      </c>
      <c r="L57" s="112" t="str">
        <f>IF(posicao_contratual!A56="","",posicao_contratual!S56)</f>
        <v/>
      </c>
      <c r="M57" s="111" t="str">
        <f>IF(A57="TOTAL",ROUND(SUM($M$3:M56),2),IF(OR(A57="",K57="",L57=""),"",ROUND(K57*L57,2)))</f>
        <v/>
      </c>
      <c r="N57" s="109" t="str">
        <f>IF(OR(historico_VU!A56="",historico_VU!G56=""),"",historico_VU!G56)</f>
        <v/>
      </c>
      <c r="O57" s="110" t="str">
        <f>IF(posicao_contratual!A56="","",posicao_contratual!W56)</f>
        <v/>
      </c>
      <c r="P57" s="109" t="str">
        <f>IF(A57="TOTAL",ROUND(SUM($P$3:P56),2),IF(OR(A57="",N57="",O57=""),"",ROUND(N57*O57,2)))</f>
        <v/>
      </c>
      <c r="Q57" s="183" t="str">
        <f t="shared" ca="1" si="8"/>
        <v/>
      </c>
      <c r="R57" t="str">
        <f>IF($A57="","",IF(MEMORIA_RESULTADOS!$W$46="","","C"&amp;MEMORIA_RESULTADOS!$W$46))</f>
        <v/>
      </c>
      <c r="S57" s="210" t="str">
        <f t="shared" ca="1" si="9"/>
        <v/>
      </c>
      <c r="T57" s="210" t="str">
        <f t="shared" ca="1" si="10"/>
        <v/>
      </c>
      <c r="U57" s="210" t="str">
        <f t="shared" ca="1" si="11"/>
        <v/>
      </c>
      <c r="V57" s="195" t="str">
        <f t="shared" ca="1" si="12"/>
        <v/>
      </c>
      <c r="W57" s="195" t="str">
        <f t="shared" ca="1" si="13"/>
        <v/>
      </c>
      <c r="X57" s="195" t="str">
        <f t="shared" ca="1" si="14"/>
        <v/>
      </c>
      <c r="Y57" t="str">
        <f t="shared" ca="1" si="15"/>
        <v/>
      </c>
      <c r="Z57" s="211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08" t="str">
        <f>IF(AND(itens_Remanesc!A57="",itens_Remanesc!A56&lt;&gt;"",COUNTIF(itens_Remanesc!A58:$A$200,"&lt;&gt;")=0),"TOTAL",IF(itens_Remanesc!A57="","",itens_Remanesc!A57))</f>
        <v/>
      </c>
      <c r="B58" s="109" t="str">
        <f>IF(OR(historico_VU!A57="",historico_VU!C57=""),"",historico_VU!C57)</f>
        <v/>
      </c>
      <c r="C58" s="110" t="str">
        <f>IF(posicao_contratual!A57="","",posicao_contratual!G57)</f>
        <v/>
      </c>
      <c r="D58" s="109" t="str">
        <f>IF(A58="TOTAL",ROUND(SUM($D$3:D57),2),IF(OR(A58="",B58="",C58=""),"",ROUND(B58*C58,2)))</f>
        <v/>
      </c>
      <c r="E58" s="111" t="str">
        <f>IF(OR(historico_VU!A57="",historico_VU!D57=""),"",historico_VU!D57)</f>
        <v/>
      </c>
      <c r="F58" s="112" t="str">
        <f>IF(posicao_contratual!A57="","",posicao_contratual!K57)</f>
        <v/>
      </c>
      <c r="G58" s="111" t="str">
        <f>IF(A58="TOTAL",ROUND(SUM($G$3:G57),2),IF(OR(A58="",E58="",F58=""),"",ROUND(E58*F58,2)))</f>
        <v/>
      </c>
      <c r="H58" s="109" t="str">
        <f>IF(OR(historico_VU!A57="",historico_VU!E57=""),"",historico_VU!E57)</f>
        <v/>
      </c>
      <c r="I58" s="110" t="str">
        <f>IF(posicao_contratual!A57="","",posicao_contratual!O57)</f>
        <v/>
      </c>
      <c r="J58" s="109" t="str">
        <f>IF(A58="TOTAL",ROUND(SUM($J$3:J57),2),IF(OR(A58="",H58="",I58=""),"",ROUND(H58*I58,2)))</f>
        <v/>
      </c>
      <c r="K58" s="111" t="str">
        <f>IF(OR(historico_VU!A57="",historico_VU!F57=""),"",historico_VU!F57)</f>
        <v/>
      </c>
      <c r="L58" s="112" t="str">
        <f>IF(posicao_contratual!A57="","",posicao_contratual!S57)</f>
        <v/>
      </c>
      <c r="M58" s="111" t="str">
        <f>IF(A58="TOTAL",ROUND(SUM($M$3:M57),2),IF(OR(A58="",K58="",L58=""),"",ROUND(K58*L58,2)))</f>
        <v/>
      </c>
      <c r="N58" s="109" t="str">
        <f>IF(OR(historico_VU!A57="",historico_VU!G57=""),"",historico_VU!G57)</f>
        <v/>
      </c>
      <c r="O58" s="110" t="str">
        <f>IF(posicao_contratual!A57="","",posicao_contratual!W57)</f>
        <v/>
      </c>
      <c r="P58" s="109" t="str">
        <f>IF(A58="TOTAL",ROUND(SUM($P$3:P57),2),IF(OR(A58="",N58="",O58=""),"",ROUND(N58*O58,2)))</f>
        <v/>
      </c>
      <c r="Q58" s="183" t="str">
        <f t="shared" ca="1" si="8"/>
        <v/>
      </c>
      <c r="R58" t="str">
        <f>IF($A58="","",IF(MEMORIA_RESULTADOS!$W$46="","","C"&amp;MEMORIA_RESULTADOS!$W$46))</f>
        <v/>
      </c>
      <c r="S58" s="210" t="str">
        <f t="shared" ca="1" si="9"/>
        <v/>
      </c>
      <c r="T58" s="210" t="str">
        <f t="shared" ca="1" si="10"/>
        <v/>
      </c>
      <c r="U58" s="210" t="str">
        <f t="shared" ca="1" si="11"/>
        <v/>
      </c>
      <c r="V58" s="195" t="str">
        <f t="shared" ca="1" si="12"/>
        <v/>
      </c>
      <c r="W58" s="195" t="str">
        <f t="shared" ca="1" si="13"/>
        <v/>
      </c>
      <c r="X58" s="195" t="str">
        <f t="shared" ca="1" si="14"/>
        <v/>
      </c>
      <c r="Y58" t="str">
        <f t="shared" ca="1" si="15"/>
        <v/>
      </c>
      <c r="Z58" s="211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08" t="str">
        <f>IF(AND(itens_Remanesc!A58="",itens_Remanesc!A57&lt;&gt;"",COUNTIF(itens_Remanesc!A59:$A$200,"&lt;&gt;")=0),"TOTAL",IF(itens_Remanesc!A58="","",itens_Remanesc!A58))</f>
        <v/>
      </c>
      <c r="B59" s="109" t="str">
        <f>IF(OR(historico_VU!A58="",historico_VU!C58=""),"",historico_VU!C58)</f>
        <v/>
      </c>
      <c r="C59" s="110" t="str">
        <f>IF(posicao_contratual!A58="","",posicao_contratual!G58)</f>
        <v/>
      </c>
      <c r="D59" s="109" t="str">
        <f>IF(A59="TOTAL",ROUND(SUM($D$3:D58),2),IF(OR(A59="",B59="",C59=""),"",ROUND(B59*C59,2)))</f>
        <v/>
      </c>
      <c r="E59" s="111" t="str">
        <f>IF(OR(historico_VU!A58="",historico_VU!D58=""),"",historico_VU!D58)</f>
        <v/>
      </c>
      <c r="F59" s="112" t="str">
        <f>IF(posicao_contratual!A58="","",posicao_contratual!K58)</f>
        <v/>
      </c>
      <c r="G59" s="111" t="str">
        <f>IF(A59="TOTAL",ROUND(SUM($G$3:G58),2),IF(OR(A59="",E59="",F59=""),"",ROUND(E59*F59,2)))</f>
        <v/>
      </c>
      <c r="H59" s="109" t="str">
        <f>IF(OR(historico_VU!A58="",historico_VU!E58=""),"",historico_VU!E58)</f>
        <v/>
      </c>
      <c r="I59" s="110" t="str">
        <f>IF(posicao_contratual!A58="","",posicao_contratual!O58)</f>
        <v/>
      </c>
      <c r="J59" s="109" t="str">
        <f>IF(A59="TOTAL",ROUND(SUM($J$3:J58),2),IF(OR(A59="",H59="",I59=""),"",ROUND(H59*I59,2)))</f>
        <v/>
      </c>
      <c r="K59" s="111" t="str">
        <f>IF(OR(historico_VU!A58="",historico_VU!F58=""),"",historico_VU!F58)</f>
        <v/>
      </c>
      <c r="L59" s="112" t="str">
        <f>IF(posicao_contratual!A58="","",posicao_contratual!S58)</f>
        <v/>
      </c>
      <c r="M59" s="111" t="str">
        <f>IF(A59="TOTAL",ROUND(SUM($M$3:M58),2),IF(OR(A59="",K59="",L59=""),"",ROUND(K59*L59,2)))</f>
        <v/>
      </c>
      <c r="N59" s="109" t="str">
        <f>IF(OR(historico_VU!A58="",historico_VU!G58=""),"",historico_VU!G58)</f>
        <v/>
      </c>
      <c r="O59" s="110" t="str">
        <f>IF(posicao_contratual!A58="","",posicao_contratual!W58)</f>
        <v/>
      </c>
      <c r="P59" s="109" t="str">
        <f>IF(A59="TOTAL",ROUND(SUM($P$3:P58),2),IF(OR(A59="",N59="",O59=""),"",ROUND(N59*O59,2)))</f>
        <v/>
      </c>
      <c r="Q59" s="183" t="str">
        <f t="shared" ca="1" si="8"/>
        <v/>
      </c>
      <c r="R59" t="str">
        <f>IF($A59="","",IF(MEMORIA_RESULTADOS!$W$46="","","C"&amp;MEMORIA_RESULTADOS!$W$46))</f>
        <v/>
      </c>
      <c r="S59" s="210" t="str">
        <f t="shared" ca="1" si="9"/>
        <v/>
      </c>
      <c r="T59" s="210" t="str">
        <f t="shared" ca="1" si="10"/>
        <v/>
      </c>
      <c r="U59" s="210" t="str">
        <f t="shared" ca="1" si="11"/>
        <v/>
      </c>
      <c r="V59" s="195" t="str">
        <f t="shared" ca="1" si="12"/>
        <v/>
      </c>
      <c r="W59" s="195" t="str">
        <f t="shared" ca="1" si="13"/>
        <v/>
      </c>
      <c r="X59" s="195" t="str">
        <f t="shared" ca="1" si="14"/>
        <v/>
      </c>
      <c r="Y59" t="str">
        <f t="shared" ca="1" si="15"/>
        <v/>
      </c>
      <c r="Z59" s="211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08" t="str">
        <f>IF(AND(itens_Remanesc!A59="",itens_Remanesc!A58&lt;&gt;"",COUNTIF(itens_Remanesc!A60:$A$200,"&lt;&gt;")=0),"TOTAL",IF(itens_Remanesc!A59="","",itens_Remanesc!A59))</f>
        <v/>
      </c>
      <c r="B60" s="109" t="str">
        <f>IF(OR(historico_VU!A59="",historico_VU!C59=""),"",historico_VU!C59)</f>
        <v/>
      </c>
      <c r="C60" s="110" t="str">
        <f>IF(posicao_contratual!A59="","",posicao_contratual!G59)</f>
        <v/>
      </c>
      <c r="D60" s="109" t="str">
        <f>IF(A60="TOTAL",ROUND(SUM($D$3:D59),2),IF(OR(A60="",B60="",C60=""),"",ROUND(B60*C60,2)))</f>
        <v/>
      </c>
      <c r="E60" s="111" t="str">
        <f>IF(OR(historico_VU!A59="",historico_VU!D59=""),"",historico_VU!D59)</f>
        <v/>
      </c>
      <c r="F60" s="112" t="str">
        <f>IF(posicao_contratual!A59="","",posicao_contratual!K59)</f>
        <v/>
      </c>
      <c r="G60" s="111" t="str">
        <f>IF(A60="TOTAL",ROUND(SUM($G$3:G59),2),IF(OR(A60="",E60="",F60=""),"",ROUND(E60*F60,2)))</f>
        <v/>
      </c>
      <c r="H60" s="109" t="str">
        <f>IF(OR(historico_VU!A59="",historico_VU!E59=""),"",historico_VU!E59)</f>
        <v/>
      </c>
      <c r="I60" s="110" t="str">
        <f>IF(posicao_contratual!A59="","",posicao_contratual!O59)</f>
        <v/>
      </c>
      <c r="J60" s="109" t="str">
        <f>IF(A60="TOTAL",ROUND(SUM($J$3:J59),2),IF(OR(A60="",H60="",I60=""),"",ROUND(H60*I60,2)))</f>
        <v/>
      </c>
      <c r="K60" s="111" t="str">
        <f>IF(OR(historico_VU!A59="",historico_VU!F59=""),"",historico_VU!F59)</f>
        <v/>
      </c>
      <c r="L60" s="112" t="str">
        <f>IF(posicao_contratual!A59="","",posicao_contratual!S59)</f>
        <v/>
      </c>
      <c r="M60" s="111" t="str">
        <f>IF(A60="TOTAL",ROUND(SUM($M$3:M59),2),IF(OR(A60="",K60="",L60=""),"",ROUND(K60*L60,2)))</f>
        <v/>
      </c>
      <c r="N60" s="109" t="str">
        <f>IF(OR(historico_VU!A59="",historico_VU!G59=""),"",historico_VU!G59)</f>
        <v/>
      </c>
      <c r="O60" s="110" t="str">
        <f>IF(posicao_contratual!A59="","",posicao_contratual!W59)</f>
        <v/>
      </c>
      <c r="P60" s="109" t="str">
        <f>IF(A60="TOTAL",ROUND(SUM($P$3:P59),2),IF(OR(A60="",N60="",O60=""),"",ROUND(N60*O60,2)))</f>
        <v/>
      </c>
      <c r="Q60" s="183" t="str">
        <f t="shared" ca="1" si="8"/>
        <v/>
      </c>
      <c r="R60" t="str">
        <f>IF($A60="","",IF(MEMORIA_RESULTADOS!$W$46="","","C"&amp;MEMORIA_RESULTADOS!$W$46))</f>
        <v/>
      </c>
      <c r="S60" s="210" t="str">
        <f t="shared" ca="1" si="9"/>
        <v/>
      </c>
      <c r="T60" s="210" t="str">
        <f t="shared" ca="1" si="10"/>
        <v/>
      </c>
      <c r="U60" s="210" t="str">
        <f t="shared" ca="1" si="11"/>
        <v/>
      </c>
      <c r="V60" s="195" t="str">
        <f t="shared" ca="1" si="12"/>
        <v/>
      </c>
      <c r="W60" s="195" t="str">
        <f t="shared" ca="1" si="13"/>
        <v/>
      </c>
      <c r="X60" s="195" t="str">
        <f t="shared" ca="1" si="14"/>
        <v/>
      </c>
      <c r="Y60" t="str">
        <f t="shared" ca="1" si="15"/>
        <v/>
      </c>
      <c r="Z60" s="211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08" t="str">
        <f>IF(AND(itens_Remanesc!A60="",itens_Remanesc!A59&lt;&gt;"",COUNTIF(itens_Remanesc!A61:$A$200,"&lt;&gt;")=0),"TOTAL",IF(itens_Remanesc!A60="","",itens_Remanesc!A60))</f>
        <v/>
      </c>
      <c r="B61" s="109" t="str">
        <f>IF(OR(historico_VU!A60="",historico_VU!C60=""),"",historico_VU!C60)</f>
        <v/>
      </c>
      <c r="C61" s="110" t="str">
        <f>IF(posicao_contratual!A60="","",posicao_contratual!G60)</f>
        <v/>
      </c>
      <c r="D61" s="109" t="str">
        <f>IF(A61="TOTAL",ROUND(SUM($D$3:D60),2),IF(OR(A61="",B61="",C61=""),"",ROUND(B61*C61,2)))</f>
        <v/>
      </c>
      <c r="E61" s="111" t="str">
        <f>IF(OR(historico_VU!A60="",historico_VU!D60=""),"",historico_VU!D60)</f>
        <v/>
      </c>
      <c r="F61" s="112" t="str">
        <f>IF(posicao_contratual!A60="","",posicao_contratual!K60)</f>
        <v/>
      </c>
      <c r="G61" s="111" t="str">
        <f>IF(A61="TOTAL",ROUND(SUM($G$3:G60),2),IF(OR(A61="",E61="",F61=""),"",ROUND(E61*F61,2)))</f>
        <v/>
      </c>
      <c r="H61" s="109" t="str">
        <f>IF(OR(historico_VU!A60="",historico_VU!E60=""),"",historico_VU!E60)</f>
        <v/>
      </c>
      <c r="I61" s="110" t="str">
        <f>IF(posicao_contratual!A60="","",posicao_contratual!O60)</f>
        <v/>
      </c>
      <c r="J61" s="109" t="str">
        <f>IF(A61="TOTAL",ROUND(SUM($J$3:J60),2),IF(OR(A61="",H61="",I61=""),"",ROUND(H61*I61,2)))</f>
        <v/>
      </c>
      <c r="K61" s="111" t="str">
        <f>IF(OR(historico_VU!A60="",historico_VU!F60=""),"",historico_VU!F60)</f>
        <v/>
      </c>
      <c r="L61" s="112" t="str">
        <f>IF(posicao_contratual!A60="","",posicao_contratual!S60)</f>
        <v/>
      </c>
      <c r="M61" s="111" t="str">
        <f>IF(A61="TOTAL",ROUND(SUM($M$3:M60),2),IF(OR(A61="",K61="",L61=""),"",ROUND(K61*L61,2)))</f>
        <v/>
      </c>
      <c r="N61" s="109" t="str">
        <f>IF(OR(historico_VU!A60="",historico_VU!G60=""),"",historico_VU!G60)</f>
        <v/>
      </c>
      <c r="O61" s="110" t="str">
        <f>IF(posicao_contratual!A60="","",posicao_contratual!W60)</f>
        <v/>
      </c>
      <c r="P61" s="109" t="str">
        <f>IF(A61="TOTAL",ROUND(SUM($P$3:P60),2),IF(OR(A61="",N61="",O61=""),"",ROUND(N61*O61,2)))</f>
        <v/>
      </c>
      <c r="Q61" s="183" t="str">
        <f t="shared" ca="1" si="8"/>
        <v/>
      </c>
      <c r="R61" t="str">
        <f>IF($A61="","",IF(MEMORIA_RESULTADOS!$W$46="","","C"&amp;MEMORIA_RESULTADOS!$W$46))</f>
        <v/>
      </c>
      <c r="S61" s="210" t="str">
        <f t="shared" ca="1" si="9"/>
        <v/>
      </c>
      <c r="T61" s="210" t="str">
        <f t="shared" ca="1" si="10"/>
        <v/>
      </c>
      <c r="U61" s="210" t="str">
        <f t="shared" ca="1" si="11"/>
        <v/>
      </c>
      <c r="V61" s="195" t="str">
        <f t="shared" ca="1" si="12"/>
        <v/>
      </c>
      <c r="W61" s="195" t="str">
        <f t="shared" ca="1" si="13"/>
        <v/>
      </c>
      <c r="X61" s="195" t="str">
        <f t="shared" ca="1" si="14"/>
        <v/>
      </c>
      <c r="Y61" t="str">
        <f t="shared" ca="1" si="15"/>
        <v/>
      </c>
      <c r="Z61" s="211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08" t="str">
        <f>IF(AND(itens_Remanesc!A61="",itens_Remanesc!A60&lt;&gt;"",COUNTIF(itens_Remanesc!A62:$A$200,"&lt;&gt;")=0),"TOTAL",IF(itens_Remanesc!A61="","",itens_Remanesc!A61))</f>
        <v/>
      </c>
      <c r="B62" s="109" t="str">
        <f>IF(OR(historico_VU!A61="",historico_VU!C61=""),"",historico_VU!C61)</f>
        <v/>
      </c>
      <c r="C62" s="110" t="str">
        <f>IF(posicao_contratual!A61="","",posicao_contratual!G61)</f>
        <v/>
      </c>
      <c r="D62" s="109" t="str">
        <f>IF(A62="TOTAL",ROUND(SUM($D$3:D61),2),IF(OR(A62="",B62="",C62=""),"",ROUND(B62*C62,2)))</f>
        <v/>
      </c>
      <c r="E62" s="111" t="str">
        <f>IF(OR(historico_VU!A61="",historico_VU!D61=""),"",historico_VU!D61)</f>
        <v/>
      </c>
      <c r="F62" s="112" t="str">
        <f>IF(posicao_contratual!A61="","",posicao_contratual!K61)</f>
        <v/>
      </c>
      <c r="G62" s="111" t="str">
        <f>IF(A62="TOTAL",ROUND(SUM($G$3:G61),2),IF(OR(A62="",E62="",F62=""),"",ROUND(E62*F62,2)))</f>
        <v/>
      </c>
      <c r="H62" s="109" t="str">
        <f>IF(OR(historico_VU!A61="",historico_VU!E61=""),"",historico_VU!E61)</f>
        <v/>
      </c>
      <c r="I62" s="110" t="str">
        <f>IF(posicao_contratual!A61="","",posicao_contratual!O61)</f>
        <v/>
      </c>
      <c r="J62" s="109" t="str">
        <f>IF(A62="TOTAL",ROUND(SUM($J$3:J61),2),IF(OR(A62="",H62="",I62=""),"",ROUND(H62*I62,2)))</f>
        <v/>
      </c>
      <c r="K62" s="111" t="str">
        <f>IF(OR(historico_VU!A61="",historico_VU!F61=""),"",historico_VU!F61)</f>
        <v/>
      </c>
      <c r="L62" s="112" t="str">
        <f>IF(posicao_contratual!A61="","",posicao_contratual!S61)</f>
        <v/>
      </c>
      <c r="M62" s="111" t="str">
        <f>IF(A62="TOTAL",ROUND(SUM($M$3:M61),2),IF(OR(A62="",K62="",L62=""),"",ROUND(K62*L62,2)))</f>
        <v/>
      </c>
      <c r="N62" s="109" t="str">
        <f>IF(OR(historico_VU!A61="",historico_VU!G61=""),"",historico_VU!G61)</f>
        <v/>
      </c>
      <c r="O62" s="110" t="str">
        <f>IF(posicao_contratual!A61="","",posicao_contratual!W61)</f>
        <v/>
      </c>
      <c r="P62" s="109" t="str">
        <f>IF(A62="TOTAL",ROUND(SUM($P$3:P61),2),IF(OR(A62="",N62="",O62=""),"",ROUND(N62*O62,2)))</f>
        <v/>
      </c>
      <c r="Q62" s="183" t="str">
        <f t="shared" ca="1" si="8"/>
        <v/>
      </c>
      <c r="R62" t="str">
        <f>IF($A62="","",IF(MEMORIA_RESULTADOS!$W$46="","","C"&amp;MEMORIA_RESULTADOS!$W$46))</f>
        <v/>
      </c>
      <c r="S62" s="210" t="str">
        <f t="shared" ca="1" si="9"/>
        <v/>
      </c>
      <c r="T62" s="210" t="str">
        <f t="shared" ca="1" si="10"/>
        <v/>
      </c>
      <c r="U62" s="210" t="str">
        <f t="shared" ca="1" si="11"/>
        <v/>
      </c>
      <c r="V62" s="195" t="str">
        <f t="shared" ca="1" si="12"/>
        <v/>
      </c>
      <c r="W62" s="195" t="str">
        <f t="shared" ca="1" si="13"/>
        <v/>
      </c>
      <c r="X62" s="195" t="str">
        <f t="shared" ca="1" si="14"/>
        <v/>
      </c>
      <c r="Y62" t="str">
        <f t="shared" ca="1" si="15"/>
        <v/>
      </c>
      <c r="Z62" s="211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08" t="str">
        <f>IF(AND(itens_Remanesc!A62="",itens_Remanesc!A61&lt;&gt;"",COUNTIF(itens_Remanesc!A63:$A$200,"&lt;&gt;")=0),"TOTAL",IF(itens_Remanesc!A62="","",itens_Remanesc!A62))</f>
        <v/>
      </c>
      <c r="B63" s="109" t="str">
        <f>IF(OR(historico_VU!A62="",historico_VU!C62=""),"",historico_VU!C62)</f>
        <v/>
      </c>
      <c r="C63" s="110" t="str">
        <f>IF(posicao_contratual!A62="","",posicao_contratual!G62)</f>
        <v/>
      </c>
      <c r="D63" s="109" t="str">
        <f>IF(A63="TOTAL",ROUND(SUM($D$3:D62),2),IF(OR(A63="",B63="",C63=""),"",ROUND(B63*C63,2)))</f>
        <v/>
      </c>
      <c r="E63" s="111" t="str">
        <f>IF(OR(historico_VU!A62="",historico_VU!D62=""),"",historico_VU!D62)</f>
        <v/>
      </c>
      <c r="F63" s="112" t="str">
        <f>IF(posicao_contratual!A62="","",posicao_contratual!K62)</f>
        <v/>
      </c>
      <c r="G63" s="111" t="str">
        <f>IF(A63="TOTAL",ROUND(SUM($G$3:G62),2),IF(OR(A63="",E63="",F63=""),"",ROUND(E63*F63,2)))</f>
        <v/>
      </c>
      <c r="H63" s="109" t="str">
        <f>IF(OR(historico_VU!A62="",historico_VU!E62=""),"",historico_VU!E62)</f>
        <v/>
      </c>
      <c r="I63" s="110" t="str">
        <f>IF(posicao_contratual!A62="","",posicao_contratual!O62)</f>
        <v/>
      </c>
      <c r="J63" s="109" t="str">
        <f>IF(A63="TOTAL",ROUND(SUM($J$3:J62),2),IF(OR(A63="",H63="",I63=""),"",ROUND(H63*I63,2)))</f>
        <v/>
      </c>
      <c r="K63" s="111" t="str">
        <f>IF(OR(historico_VU!A62="",historico_VU!F62=""),"",historico_VU!F62)</f>
        <v/>
      </c>
      <c r="L63" s="112" t="str">
        <f>IF(posicao_contratual!A62="","",posicao_contratual!S62)</f>
        <v/>
      </c>
      <c r="M63" s="111" t="str">
        <f>IF(A63="TOTAL",ROUND(SUM($M$3:M62),2),IF(OR(A63="",K63="",L63=""),"",ROUND(K63*L63,2)))</f>
        <v/>
      </c>
      <c r="N63" s="109" t="str">
        <f>IF(OR(historico_VU!A62="",historico_VU!G62=""),"",historico_VU!G62)</f>
        <v/>
      </c>
      <c r="O63" s="110" t="str">
        <f>IF(posicao_contratual!A62="","",posicao_contratual!W62)</f>
        <v/>
      </c>
      <c r="P63" s="109" t="str">
        <f>IF(A63="TOTAL",ROUND(SUM($P$3:P62),2),IF(OR(A63="",N63="",O63=""),"",ROUND(N63*O63,2)))</f>
        <v/>
      </c>
      <c r="Q63" s="183" t="str">
        <f t="shared" ca="1" si="8"/>
        <v/>
      </c>
      <c r="R63" t="str">
        <f>IF($A63="","",IF(MEMORIA_RESULTADOS!$W$46="","","C"&amp;MEMORIA_RESULTADOS!$W$46))</f>
        <v/>
      </c>
      <c r="S63" s="210" t="str">
        <f t="shared" ca="1" si="9"/>
        <v/>
      </c>
      <c r="T63" s="210" t="str">
        <f t="shared" ca="1" si="10"/>
        <v/>
      </c>
      <c r="U63" s="210" t="str">
        <f t="shared" ca="1" si="11"/>
        <v/>
      </c>
      <c r="V63" s="195" t="str">
        <f t="shared" ca="1" si="12"/>
        <v/>
      </c>
      <c r="W63" s="195" t="str">
        <f t="shared" ca="1" si="13"/>
        <v/>
      </c>
      <c r="X63" s="195" t="str">
        <f t="shared" ca="1" si="14"/>
        <v/>
      </c>
      <c r="Y63" t="str">
        <f t="shared" ca="1" si="15"/>
        <v/>
      </c>
      <c r="Z63" s="211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08" t="str">
        <f>IF(AND(itens_Remanesc!A63="",itens_Remanesc!A62&lt;&gt;"",COUNTIF(itens_Remanesc!A64:$A$200,"&lt;&gt;")=0),"TOTAL",IF(itens_Remanesc!A63="","",itens_Remanesc!A63))</f>
        <v/>
      </c>
      <c r="B64" s="109" t="str">
        <f>IF(OR(historico_VU!A63="",historico_VU!C63=""),"",historico_VU!C63)</f>
        <v/>
      </c>
      <c r="C64" s="110" t="str">
        <f>IF(posicao_contratual!A63="","",posicao_contratual!G63)</f>
        <v/>
      </c>
      <c r="D64" s="109" t="str">
        <f>IF(A64="TOTAL",ROUND(SUM($D$3:D63),2),IF(OR(A64="",B64="",C64=""),"",ROUND(B64*C64,2)))</f>
        <v/>
      </c>
      <c r="E64" s="111" t="str">
        <f>IF(OR(historico_VU!A63="",historico_VU!D63=""),"",historico_VU!D63)</f>
        <v/>
      </c>
      <c r="F64" s="112" t="str">
        <f>IF(posicao_contratual!A63="","",posicao_contratual!K63)</f>
        <v/>
      </c>
      <c r="G64" s="111" t="str">
        <f>IF(A64="TOTAL",ROUND(SUM($G$3:G63),2),IF(OR(A64="",E64="",F64=""),"",ROUND(E64*F64,2)))</f>
        <v/>
      </c>
      <c r="H64" s="109" t="str">
        <f>IF(OR(historico_VU!A63="",historico_VU!E63=""),"",historico_VU!E63)</f>
        <v/>
      </c>
      <c r="I64" s="110" t="str">
        <f>IF(posicao_contratual!A63="","",posicao_contratual!O63)</f>
        <v/>
      </c>
      <c r="J64" s="109" t="str">
        <f>IF(A64="TOTAL",ROUND(SUM($J$3:J63),2),IF(OR(A64="",H64="",I64=""),"",ROUND(H64*I64,2)))</f>
        <v/>
      </c>
      <c r="K64" s="111" t="str">
        <f>IF(OR(historico_VU!A63="",historico_VU!F63=""),"",historico_VU!F63)</f>
        <v/>
      </c>
      <c r="L64" s="112" t="str">
        <f>IF(posicao_contratual!A63="","",posicao_contratual!S63)</f>
        <v/>
      </c>
      <c r="M64" s="111" t="str">
        <f>IF(A64="TOTAL",ROUND(SUM($M$3:M63),2),IF(OR(A64="",K64="",L64=""),"",ROUND(K64*L64,2)))</f>
        <v/>
      </c>
      <c r="N64" s="109" t="str">
        <f>IF(OR(historico_VU!A63="",historico_VU!G63=""),"",historico_VU!G63)</f>
        <v/>
      </c>
      <c r="O64" s="110" t="str">
        <f>IF(posicao_contratual!A63="","",posicao_contratual!W63)</f>
        <v/>
      </c>
      <c r="P64" s="109" t="str">
        <f>IF(A64="TOTAL",ROUND(SUM($P$3:P63),2),IF(OR(A64="",N64="",O64=""),"",ROUND(N64*O64,2)))</f>
        <v/>
      </c>
      <c r="Q64" s="183" t="str">
        <f t="shared" ca="1" si="8"/>
        <v/>
      </c>
      <c r="R64" t="str">
        <f>IF($A64="","",IF(MEMORIA_RESULTADOS!$W$46="","","C"&amp;MEMORIA_RESULTADOS!$W$46))</f>
        <v/>
      </c>
      <c r="S64" s="210" t="str">
        <f t="shared" ca="1" si="9"/>
        <v/>
      </c>
      <c r="T64" s="210" t="str">
        <f t="shared" ca="1" si="10"/>
        <v/>
      </c>
      <c r="U64" s="210" t="str">
        <f t="shared" ca="1" si="11"/>
        <v/>
      </c>
      <c r="V64" s="195" t="str">
        <f t="shared" ca="1" si="12"/>
        <v/>
      </c>
      <c r="W64" s="195" t="str">
        <f t="shared" ca="1" si="13"/>
        <v/>
      </c>
      <c r="X64" s="195" t="str">
        <f t="shared" ca="1" si="14"/>
        <v/>
      </c>
      <c r="Y64" t="str">
        <f t="shared" ca="1" si="15"/>
        <v/>
      </c>
      <c r="Z64" s="211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08" t="str">
        <f>IF(AND(itens_Remanesc!A64="",itens_Remanesc!A63&lt;&gt;"",COUNTIF(itens_Remanesc!A65:$A$200,"&lt;&gt;")=0),"TOTAL",IF(itens_Remanesc!A64="","",itens_Remanesc!A64))</f>
        <v/>
      </c>
      <c r="B65" s="109" t="str">
        <f>IF(OR(historico_VU!A64="",historico_VU!C64=""),"",historico_VU!C64)</f>
        <v/>
      </c>
      <c r="C65" s="110" t="str">
        <f>IF(posicao_contratual!A64="","",posicao_contratual!G64)</f>
        <v/>
      </c>
      <c r="D65" s="109" t="str">
        <f>IF(A65="TOTAL",ROUND(SUM($D$3:D64),2),IF(OR(A65="",B65="",C65=""),"",ROUND(B65*C65,2)))</f>
        <v/>
      </c>
      <c r="E65" s="111" t="str">
        <f>IF(OR(historico_VU!A64="",historico_VU!D64=""),"",historico_VU!D64)</f>
        <v/>
      </c>
      <c r="F65" s="112" t="str">
        <f>IF(posicao_contratual!A64="","",posicao_contratual!K64)</f>
        <v/>
      </c>
      <c r="G65" s="111" t="str">
        <f>IF(A65="TOTAL",ROUND(SUM($G$3:G64),2),IF(OR(A65="",E65="",F65=""),"",ROUND(E65*F65,2)))</f>
        <v/>
      </c>
      <c r="H65" s="109" t="str">
        <f>IF(OR(historico_VU!A64="",historico_VU!E64=""),"",historico_VU!E64)</f>
        <v/>
      </c>
      <c r="I65" s="110" t="str">
        <f>IF(posicao_contratual!A64="","",posicao_contratual!O64)</f>
        <v/>
      </c>
      <c r="J65" s="109" t="str">
        <f>IF(A65="TOTAL",ROUND(SUM($J$3:J64),2),IF(OR(A65="",H65="",I65=""),"",ROUND(H65*I65,2)))</f>
        <v/>
      </c>
      <c r="K65" s="111" t="str">
        <f>IF(OR(historico_VU!A64="",historico_VU!F64=""),"",historico_VU!F64)</f>
        <v/>
      </c>
      <c r="L65" s="112" t="str">
        <f>IF(posicao_contratual!A64="","",posicao_contratual!S64)</f>
        <v/>
      </c>
      <c r="M65" s="111" t="str">
        <f>IF(A65="TOTAL",ROUND(SUM($M$3:M64),2),IF(OR(A65="",K65="",L65=""),"",ROUND(K65*L65,2)))</f>
        <v/>
      </c>
      <c r="N65" s="109" t="str">
        <f>IF(OR(historico_VU!A64="",historico_VU!G64=""),"",historico_VU!G64)</f>
        <v/>
      </c>
      <c r="O65" s="110" t="str">
        <f>IF(posicao_contratual!A64="","",posicao_contratual!W64)</f>
        <v/>
      </c>
      <c r="P65" s="109" t="str">
        <f>IF(A65="TOTAL",ROUND(SUM($P$3:P64),2),IF(OR(A65="",N65="",O65=""),"",ROUND(N65*O65,2)))</f>
        <v/>
      </c>
      <c r="Q65" s="183" t="str">
        <f t="shared" ca="1" si="8"/>
        <v/>
      </c>
      <c r="R65" t="str">
        <f>IF($A65="","",IF(MEMORIA_RESULTADOS!$W$46="","","C"&amp;MEMORIA_RESULTADOS!$W$46))</f>
        <v/>
      </c>
      <c r="S65" s="210" t="str">
        <f t="shared" ca="1" si="9"/>
        <v/>
      </c>
      <c r="T65" s="210" t="str">
        <f t="shared" ca="1" si="10"/>
        <v/>
      </c>
      <c r="U65" s="210" t="str">
        <f t="shared" ca="1" si="11"/>
        <v/>
      </c>
      <c r="V65" s="195" t="str">
        <f t="shared" ca="1" si="12"/>
        <v/>
      </c>
      <c r="W65" s="195" t="str">
        <f t="shared" ca="1" si="13"/>
        <v/>
      </c>
      <c r="X65" s="195" t="str">
        <f t="shared" ca="1" si="14"/>
        <v/>
      </c>
      <c r="Y65" t="str">
        <f t="shared" ca="1" si="15"/>
        <v/>
      </c>
      <c r="Z65" s="211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08" t="str">
        <f>IF(AND(itens_Remanesc!A65="",itens_Remanesc!A64&lt;&gt;"",COUNTIF(itens_Remanesc!A66:$A$200,"&lt;&gt;")=0),"TOTAL",IF(itens_Remanesc!A65="","",itens_Remanesc!A65))</f>
        <v/>
      </c>
      <c r="B66" s="109" t="str">
        <f>IF(OR(historico_VU!A65="",historico_VU!C65=""),"",historico_VU!C65)</f>
        <v/>
      </c>
      <c r="C66" s="110" t="str">
        <f>IF(posicao_contratual!A65="","",posicao_contratual!G65)</f>
        <v/>
      </c>
      <c r="D66" s="109" t="str">
        <f>IF(A66="TOTAL",ROUND(SUM($D$3:D65),2),IF(OR(A66="",B66="",C66=""),"",ROUND(B66*C66,2)))</f>
        <v/>
      </c>
      <c r="E66" s="111" t="str">
        <f>IF(OR(historico_VU!A65="",historico_VU!D65=""),"",historico_VU!D65)</f>
        <v/>
      </c>
      <c r="F66" s="112" t="str">
        <f>IF(posicao_contratual!A65="","",posicao_contratual!K65)</f>
        <v/>
      </c>
      <c r="G66" s="111" t="str">
        <f>IF(A66="TOTAL",ROUND(SUM($G$3:G65),2),IF(OR(A66="",E66="",F66=""),"",ROUND(E66*F66,2)))</f>
        <v/>
      </c>
      <c r="H66" s="109" t="str">
        <f>IF(OR(historico_VU!A65="",historico_VU!E65=""),"",historico_VU!E65)</f>
        <v/>
      </c>
      <c r="I66" s="110" t="str">
        <f>IF(posicao_contratual!A65="","",posicao_contratual!O65)</f>
        <v/>
      </c>
      <c r="J66" s="109" t="str">
        <f>IF(A66="TOTAL",ROUND(SUM($J$3:J65),2),IF(OR(A66="",H66="",I66=""),"",ROUND(H66*I66,2)))</f>
        <v/>
      </c>
      <c r="K66" s="111" t="str">
        <f>IF(OR(historico_VU!A65="",historico_VU!F65=""),"",historico_VU!F65)</f>
        <v/>
      </c>
      <c r="L66" s="112" t="str">
        <f>IF(posicao_contratual!A65="","",posicao_contratual!S65)</f>
        <v/>
      </c>
      <c r="M66" s="111" t="str">
        <f>IF(A66="TOTAL",ROUND(SUM($M$3:M65),2),IF(OR(A66="",K66="",L66=""),"",ROUND(K66*L66,2)))</f>
        <v/>
      </c>
      <c r="N66" s="109" t="str">
        <f>IF(OR(historico_VU!A65="",historico_VU!G65=""),"",historico_VU!G65)</f>
        <v/>
      </c>
      <c r="O66" s="110" t="str">
        <f>IF(posicao_contratual!A65="","",posicao_contratual!W65)</f>
        <v/>
      </c>
      <c r="P66" s="109" t="str">
        <f>IF(A66="TOTAL",ROUND(SUM($P$3:P65),2),IF(OR(A66="",N66="",O66=""),"",ROUND(N66*O66,2)))</f>
        <v/>
      </c>
      <c r="Q66" s="183" t="str">
        <f t="shared" ca="1" si="8"/>
        <v/>
      </c>
      <c r="R66" t="str">
        <f>IF($A66="","",IF(MEMORIA_RESULTADOS!$W$46="","","C"&amp;MEMORIA_RESULTADOS!$W$46))</f>
        <v/>
      </c>
      <c r="S66" s="210" t="str">
        <f t="shared" ca="1" si="9"/>
        <v/>
      </c>
      <c r="T66" s="210" t="str">
        <f t="shared" ca="1" si="10"/>
        <v/>
      </c>
      <c r="U66" s="210" t="str">
        <f t="shared" ca="1" si="11"/>
        <v/>
      </c>
      <c r="V66" s="195" t="str">
        <f t="shared" ca="1" si="12"/>
        <v/>
      </c>
      <c r="W66" s="195" t="str">
        <f t="shared" ca="1" si="13"/>
        <v/>
      </c>
      <c r="X66" s="195" t="str">
        <f t="shared" ca="1" si="14"/>
        <v/>
      </c>
      <c r="Y66" t="str">
        <f t="shared" ca="1" si="15"/>
        <v/>
      </c>
      <c r="Z66" s="211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08" t="str">
        <f>IF(AND(itens_Remanesc!A66="",itens_Remanesc!A65&lt;&gt;"",COUNTIF(itens_Remanesc!A67:$A$200,"&lt;&gt;")=0),"TOTAL",IF(itens_Remanesc!A66="","",itens_Remanesc!A66))</f>
        <v/>
      </c>
      <c r="B67" s="109" t="str">
        <f>IF(OR(historico_VU!A66="",historico_VU!C66=""),"",historico_VU!C66)</f>
        <v/>
      </c>
      <c r="C67" s="110" t="str">
        <f>IF(posicao_contratual!A66="","",posicao_contratual!G66)</f>
        <v/>
      </c>
      <c r="D67" s="109" t="str">
        <f>IF(A67="TOTAL",ROUND(SUM($D$3:D66),2),IF(OR(A67="",B67="",C67=""),"",ROUND(B67*C67,2)))</f>
        <v/>
      </c>
      <c r="E67" s="111" t="str">
        <f>IF(OR(historico_VU!A66="",historico_VU!D66=""),"",historico_VU!D66)</f>
        <v/>
      </c>
      <c r="F67" s="112" t="str">
        <f>IF(posicao_contratual!A66="","",posicao_contratual!K66)</f>
        <v/>
      </c>
      <c r="G67" s="111" t="str">
        <f>IF(A67="TOTAL",ROUND(SUM($G$3:G66),2),IF(OR(A67="",E67="",F67=""),"",ROUND(E67*F67,2)))</f>
        <v/>
      </c>
      <c r="H67" s="109" t="str">
        <f>IF(OR(historico_VU!A66="",historico_VU!E66=""),"",historico_VU!E66)</f>
        <v/>
      </c>
      <c r="I67" s="110" t="str">
        <f>IF(posicao_contratual!A66="","",posicao_contratual!O66)</f>
        <v/>
      </c>
      <c r="J67" s="109" t="str">
        <f>IF(A67="TOTAL",ROUND(SUM($J$3:J66),2),IF(OR(A67="",H67="",I67=""),"",ROUND(H67*I67,2)))</f>
        <v/>
      </c>
      <c r="K67" s="111" t="str">
        <f>IF(OR(historico_VU!A66="",historico_VU!F66=""),"",historico_VU!F66)</f>
        <v/>
      </c>
      <c r="L67" s="112" t="str">
        <f>IF(posicao_contratual!A66="","",posicao_contratual!S66)</f>
        <v/>
      </c>
      <c r="M67" s="111" t="str">
        <f>IF(A67="TOTAL",ROUND(SUM($M$3:M66),2),IF(OR(A67="",K67="",L67=""),"",ROUND(K67*L67,2)))</f>
        <v/>
      </c>
      <c r="N67" s="109" t="str">
        <f>IF(OR(historico_VU!A66="",historico_VU!G66=""),"",historico_VU!G66)</f>
        <v/>
      </c>
      <c r="O67" s="110" t="str">
        <f>IF(posicao_contratual!A66="","",posicao_contratual!W66)</f>
        <v/>
      </c>
      <c r="P67" s="109" t="str">
        <f>IF(A67="TOTAL",ROUND(SUM($P$3:P66),2),IF(OR(A67="",N67="",O67=""),"",ROUND(N67*O67,2)))</f>
        <v/>
      </c>
      <c r="Q67" s="183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0" t="str">
        <f t="shared" ref="S67:S98" ca="1" si="17">IF($A67="","",IFERROR(IF(INDIRECT("CICLO_EM_EXECUCAO!B"&amp;(ROW()+10))="","",INDIRECT("CICLO_EM_EXECUCAO!B"&amp;(ROW()+10))),""))</f>
        <v/>
      </c>
      <c r="T67" s="210" t="str">
        <f t="shared" ref="T67:T98" ca="1" si="18">IF($A67="","",IFERROR(IF(INDIRECT("CICLO_EM_EXECUCAO!D"&amp;(ROW()+10))="","",INDIRECT("CICLO_EM_EXECUCAO!D"&amp;(ROW()+10))),""))</f>
        <v/>
      </c>
      <c r="U67" s="210" t="str">
        <f t="shared" ref="U67:U98" ca="1" si="19">IF($A67="","",IFERROR(IF(INDIRECT("CICLO_EM_EXECUCAO!C"&amp;(ROW()+10))="","",INDIRECT("CICLO_EM_EXECUCAO!C"&amp;(ROW()+10))),""))</f>
        <v/>
      </c>
      <c r="V67" s="195" t="str">
        <f t="shared" ref="V67:V98" ca="1" si="20">IF($A67="","",IFERROR(IF(INDIRECT("CICLO_EM_EXECUCAO!E"&amp;(ROW()+10))="","",INDIRECT("CICLO_EM_EXECUCAO!E"&amp;(ROW()+10))),""))</f>
        <v/>
      </c>
      <c r="W67" s="195" t="str">
        <f t="shared" ref="W67:W98" ca="1" si="21">IF($A67="","",IFERROR(IF(INDIRECT("CICLO_EM_EXECUCAO!F"&amp;(ROW()+10))="","",INDIRECT("CICLO_EM_EXECUCAO!F"&amp;(ROW()+10))),""))</f>
        <v/>
      </c>
      <c r="X67" s="195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1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08" t="str">
        <f>IF(AND(itens_Remanesc!A67="",itens_Remanesc!A66&lt;&gt;"",COUNTIF(itens_Remanesc!A68:$A$200,"&lt;&gt;")=0),"TOTAL",IF(itens_Remanesc!A67="","",itens_Remanesc!A67))</f>
        <v/>
      </c>
      <c r="B68" s="109" t="str">
        <f>IF(OR(historico_VU!A67="",historico_VU!C67=""),"",historico_VU!C67)</f>
        <v/>
      </c>
      <c r="C68" s="110" t="str">
        <f>IF(posicao_contratual!A67="","",posicao_contratual!G67)</f>
        <v/>
      </c>
      <c r="D68" s="109" t="str">
        <f>IF(A68="TOTAL",ROUND(SUM($D$3:D67),2),IF(OR(A68="",B68="",C68=""),"",ROUND(B68*C68,2)))</f>
        <v/>
      </c>
      <c r="E68" s="111" t="str">
        <f>IF(OR(historico_VU!A67="",historico_VU!D67=""),"",historico_VU!D67)</f>
        <v/>
      </c>
      <c r="F68" s="112" t="str">
        <f>IF(posicao_contratual!A67="","",posicao_contratual!K67)</f>
        <v/>
      </c>
      <c r="G68" s="111" t="str">
        <f>IF(A68="TOTAL",ROUND(SUM($G$3:G67),2),IF(OR(A68="",E68="",F68=""),"",ROUND(E68*F68,2)))</f>
        <v/>
      </c>
      <c r="H68" s="109" t="str">
        <f>IF(OR(historico_VU!A67="",historico_VU!E67=""),"",historico_VU!E67)</f>
        <v/>
      </c>
      <c r="I68" s="110" t="str">
        <f>IF(posicao_contratual!A67="","",posicao_contratual!O67)</f>
        <v/>
      </c>
      <c r="J68" s="109" t="str">
        <f>IF(A68="TOTAL",ROUND(SUM($J$3:J67),2),IF(OR(A68="",H68="",I68=""),"",ROUND(H68*I68,2)))</f>
        <v/>
      </c>
      <c r="K68" s="111" t="str">
        <f>IF(OR(historico_VU!A67="",historico_VU!F67=""),"",historico_VU!F67)</f>
        <v/>
      </c>
      <c r="L68" s="112" t="str">
        <f>IF(posicao_contratual!A67="","",posicao_contratual!S67)</f>
        <v/>
      </c>
      <c r="M68" s="111" t="str">
        <f>IF(A68="TOTAL",ROUND(SUM($M$3:M67),2),IF(OR(A68="",K68="",L68=""),"",ROUND(K68*L68,2)))</f>
        <v/>
      </c>
      <c r="N68" s="109" t="str">
        <f>IF(OR(historico_VU!A67="",historico_VU!G67=""),"",historico_VU!G67)</f>
        <v/>
      </c>
      <c r="O68" s="110" t="str">
        <f>IF(posicao_contratual!A67="","",posicao_contratual!W67)</f>
        <v/>
      </c>
      <c r="P68" s="109" t="str">
        <f>IF(A68="TOTAL",ROUND(SUM($P$3:P67),2),IF(OR(A68="",N68="",O68=""),"",ROUND(N68*O68,2)))</f>
        <v/>
      </c>
      <c r="Q68" s="183" t="str">
        <f t="shared" ca="1" si="16"/>
        <v/>
      </c>
      <c r="R68" t="str">
        <f>IF($A68="","",IF(MEMORIA_RESULTADOS!$W$46="","","C"&amp;MEMORIA_RESULTADOS!$W$46))</f>
        <v/>
      </c>
      <c r="S68" s="210" t="str">
        <f t="shared" ca="1" si="17"/>
        <v/>
      </c>
      <c r="T68" s="210" t="str">
        <f t="shared" ca="1" si="18"/>
        <v/>
      </c>
      <c r="U68" s="210" t="str">
        <f t="shared" ca="1" si="19"/>
        <v/>
      </c>
      <c r="V68" s="195" t="str">
        <f t="shared" ca="1" si="20"/>
        <v/>
      </c>
      <c r="W68" s="195" t="str">
        <f t="shared" ca="1" si="21"/>
        <v/>
      </c>
      <c r="X68" s="195" t="str">
        <f t="shared" ca="1" si="22"/>
        <v/>
      </c>
      <c r="Y68" t="str">
        <f t="shared" ca="1" si="23"/>
        <v/>
      </c>
      <c r="Z68" s="211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08" t="str">
        <f>IF(AND(itens_Remanesc!A68="",itens_Remanesc!A67&lt;&gt;"",COUNTIF(itens_Remanesc!A69:$A$200,"&lt;&gt;")=0),"TOTAL",IF(itens_Remanesc!A68="","",itens_Remanesc!A68))</f>
        <v/>
      </c>
      <c r="B69" s="109" t="str">
        <f>IF(OR(historico_VU!A68="",historico_VU!C68=""),"",historico_VU!C68)</f>
        <v/>
      </c>
      <c r="C69" s="110" t="str">
        <f>IF(posicao_contratual!A68="","",posicao_contratual!G68)</f>
        <v/>
      </c>
      <c r="D69" s="109" t="str">
        <f>IF(A69="TOTAL",ROUND(SUM($D$3:D68),2),IF(OR(A69="",B69="",C69=""),"",ROUND(B69*C69,2)))</f>
        <v/>
      </c>
      <c r="E69" s="111" t="str">
        <f>IF(OR(historico_VU!A68="",historico_VU!D68=""),"",historico_VU!D68)</f>
        <v/>
      </c>
      <c r="F69" s="112" t="str">
        <f>IF(posicao_contratual!A68="","",posicao_contratual!K68)</f>
        <v/>
      </c>
      <c r="G69" s="111" t="str">
        <f>IF(A69="TOTAL",ROUND(SUM($G$3:G68),2),IF(OR(A69="",E69="",F69=""),"",ROUND(E69*F69,2)))</f>
        <v/>
      </c>
      <c r="H69" s="109" t="str">
        <f>IF(OR(historico_VU!A68="",historico_VU!E68=""),"",historico_VU!E68)</f>
        <v/>
      </c>
      <c r="I69" s="110" t="str">
        <f>IF(posicao_contratual!A68="","",posicao_contratual!O68)</f>
        <v/>
      </c>
      <c r="J69" s="109" t="str">
        <f>IF(A69="TOTAL",ROUND(SUM($J$3:J68),2),IF(OR(A69="",H69="",I69=""),"",ROUND(H69*I69,2)))</f>
        <v/>
      </c>
      <c r="K69" s="111" t="str">
        <f>IF(OR(historico_VU!A68="",historico_VU!F68=""),"",historico_VU!F68)</f>
        <v/>
      </c>
      <c r="L69" s="112" t="str">
        <f>IF(posicao_contratual!A68="","",posicao_contratual!S68)</f>
        <v/>
      </c>
      <c r="M69" s="111" t="str">
        <f>IF(A69="TOTAL",ROUND(SUM($M$3:M68),2),IF(OR(A69="",K69="",L69=""),"",ROUND(K69*L69,2)))</f>
        <v/>
      </c>
      <c r="N69" s="109" t="str">
        <f>IF(OR(historico_VU!A68="",historico_VU!G68=""),"",historico_VU!G68)</f>
        <v/>
      </c>
      <c r="O69" s="110" t="str">
        <f>IF(posicao_contratual!A68="","",posicao_contratual!W68)</f>
        <v/>
      </c>
      <c r="P69" s="109" t="str">
        <f>IF(A69="TOTAL",ROUND(SUM($P$3:P68),2),IF(OR(A69="",N69="",O69=""),"",ROUND(N69*O69,2)))</f>
        <v/>
      </c>
      <c r="Q69" s="183" t="str">
        <f t="shared" ca="1" si="16"/>
        <v/>
      </c>
      <c r="R69" t="str">
        <f>IF($A69="","",IF(MEMORIA_RESULTADOS!$W$46="","","C"&amp;MEMORIA_RESULTADOS!$W$46))</f>
        <v/>
      </c>
      <c r="S69" s="210" t="str">
        <f t="shared" ca="1" si="17"/>
        <v/>
      </c>
      <c r="T69" s="210" t="str">
        <f t="shared" ca="1" si="18"/>
        <v/>
      </c>
      <c r="U69" s="210" t="str">
        <f t="shared" ca="1" si="19"/>
        <v/>
      </c>
      <c r="V69" s="195" t="str">
        <f t="shared" ca="1" si="20"/>
        <v/>
      </c>
      <c r="W69" s="195" t="str">
        <f t="shared" ca="1" si="21"/>
        <v/>
      </c>
      <c r="X69" s="195" t="str">
        <f t="shared" ca="1" si="22"/>
        <v/>
      </c>
      <c r="Y69" t="str">
        <f t="shared" ca="1" si="23"/>
        <v/>
      </c>
      <c r="Z69" s="211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08" t="str">
        <f>IF(AND(itens_Remanesc!A69="",itens_Remanesc!A68&lt;&gt;"",COUNTIF(itens_Remanesc!A70:$A$200,"&lt;&gt;")=0),"TOTAL",IF(itens_Remanesc!A69="","",itens_Remanesc!A69))</f>
        <v/>
      </c>
      <c r="B70" s="109" t="str">
        <f>IF(OR(historico_VU!A69="",historico_VU!C69=""),"",historico_VU!C69)</f>
        <v/>
      </c>
      <c r="C70" s="110" t="str">
        <f>IF(posicao_contratual!A69="","",posicao_contratual!G69)</f>
        <v/>
      </c>
      <c r="D70" s="109" t="str">
        <f>IF(A70="TOTAL",ROUND(SUM($D$3:D69),2),IF(OR(A70="",B70="",C70=""),"",ROUND(B70*C70,2)))</f>
        <v/>
      </c>
      <c r="E70" s="111" t="str">
        <f>IF(OR(historico_VU!A69="",historico_VU!D69=""),"",historico_VU!D69)</f>
        <v/>
      </c>
      <c r="F70" s="112" t="str">
        <f>IF(posicao_contratual!A69="","",posicao_contratual!K69)</f>
        <v/>
      </c>
      <c r="G70" s="111" t="str">
        <f>IF(A70="TOTAL",ROUND(SUM($G$3:G69),2),IF(OR(A70="",E70="",F70=""),"",ROUND(E70*F70,2)))</f>
        <v/>
      </c>
      <c r="H70" s="109" t="str">
        <f>IF(OR(historico_VU!A69="",historico_VU!E69=""),"",historico_VU!E69)</f>
        <v/>
      </c>
      <c r="I70" s="110" t="str">
        <f>IF(posicao_contratual!A69="","",posicao_contratual!O69)</f>
        <v/>
      </c>
      <c r="J70" s="109" t="str">
        <f>IF(A70="TOTAL",ROUND(SUM($J$3:J69),2),IF(OR(A70="",H70="",I70=""),"",ROUND(H70*I70,2)))</f>
        <v/>
      </c>
      <c r="K70" s="111" t="str">
        <f>IF(OR(historico_VU!A69="",historico_VU!F69=""),"",historico_VU!F69)</f>
        <v/>
      </c>
      <c r="L70" s="112" t="str">
        <f>IF(posicao_contratual!A69="","",posicao_contratual!S69)</f>
        <v/>
      </c>
      <c r="M70" s="111" t="str">
        <f>IF(A70="TOTAL",ROUND(SUM($M$3:M69),2),IF(OR(A70="",K70="",L70=""),"",ROUND(K70*L70,2)))</f>
        <v/>
      </c>
      <c r="N70" s="109" t="str">
        <f>IF(OR(historico_VU!A69="",historico_VU!G69=""),"",historico_VU!G69)</f>
        <v/>
      </c>
      <c r="O70" s="110" t="str">
        <f>IF(posicao_contratual!A69="","",posicao_contratual!W69)</f>
        <v/>
      </c>
      <c r="P70" s="109" t="str">
        <f>IF(A70="TOTAL",ROUND(SUM($P$3:P69),2),IF(OR(A70="",N70="",O70=""),"",ROUND(N70*O70,2)))</f>
        <v/>
      </c>
      <c r="Q70" s="183" t="str">
        <f t="shared" ca="1" si="16"/>
        <v/>
      </c>
      <c r="R70" t="str">
        <f>IF($A70="","",IF(MEMORIA_RESULTADOS!$W$46="","","C"&amp;MEMORIA_RESULTADOS!$W$46))</f>
        <v/>
      </c>
      <c r="S70" s="210" t="str">
        <f t="shared" ca="1" si="17"/>
        <v/>
      </c>
      <c r="T70" s="210" t="str">
        <f t="shared" ca="1" si="18"/>
        <v/>
      </c>
      <c r="U70" s="210" t="str">
        <f t="shared" ca="1" si="19"/>
        <v/>
      </c>
      <c r="V70" s="195" t="str">
        <f t="shared" ca="1" si="20"/>
        <v/>
      </c>
      <c r="W70" s="195" t="str">
        <f t="shared" ca="1" si="21"/>
        <v/>
      </c>
      <c r="X70" s="195" t="str">
        <f t="shared" ca="1" si="22"/>
        <v/>
      </c>
      <c r="Y70" t="str">
        <f t="shared" ca="1" si="23"/>
        <v/>
      </c>
      <c r="Z70" s="211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08" t="str">
        <f>IF(AND(itens_Remanesc!A70="",itens_Remanesc!A69&lt;&gt;"",COUNTIF(itens_Remanesc!A71:$A$200,"&lt;&gt;")=0),"TOTAL",IF(itens_Remanesc!A70="","",itens_Remanesc!A70))</f>
        <v/>
      </c>
      <c r="B71" s="109" t="str">
        <f>IF(OR(historico_VU!A70="",historico_VU!C70=""),"",historico_VU!C70)</f>
        <v/>
      </c>
      <c r="C71" s="110" t="str">
        <f>IF(posicao_contratual!A70="","",posicao_contratual!G70)</f>
        <v/>
      </c>
      <c r="D71" s="109" t="str">
        <f>IF(A71="TOTAL",ROUND(SUM($D$3:D70),2),IF(OR(A71="",B71="",C71=""),"",ROUND(B71*C71,2)))</f>
        <v/>
      </c>
      <c r="E71" s="111" t="str">
        <f>IF(OR(historico_VU!A70="",historico_VU!D70=""),"",historico_VU!D70)</f>
        <v/>
      </c>
      <c r="F71" s="112" t="str">
        <f>IF(posicao_contratual!A70="","",posicao_contratual!K70)</f>
        <v/>
      </c>
      <c r="G71" s="111" t="str">
        <f>IF(A71="TOTAL",ROUND(SUM($G$3:G70),2),IF(OR(A71="",E71="",F71=""),"",ROUND(E71*F71,2)))</f>
        <v/>
      </c>
      <c r="H71" s="109" t="str">
        <f>IF(OR(historico_VU!A70="",historico_VU!E70=""),"",historico_VU!E70)</f>
        <v/>
      </c>
      <c r="I71" s="110" t="str">
        <f>IF(posicao_contratual!A70="","",posicao_contratual!O70)</f>
        <v/>
      </c>
      <c r="J71" s="109" t="str">
        <f>IF(A71="TOTAL",ROUND(SUM($J$3:J70),2),IF(OR(A71="",H71="",I71=""),"",ROUND(H71*I71,2)))</f>
        <v/>
      </c>
      <c r="K71" s="111" t="str">
        <f>IF(OR(historico_VU!A70="",historico_VU!F70=""),"",historico_VU!F70)</f>
        <v/>
      </c>
      <c r="L71" s="112" t="str">
        <f>IF(posicao_contratual!A70="","",posicao_contratual!S70)</f>
        <v/>
      </c>
      <c r="M71" s="111" t="str">
        <f>IF(A71="TOTAL",ROUND(SUM($M$3:M70),2),IF(OR(A71="",K71="",L71=""),"",ROUND(K71*L71,2)))</f>
        <v/>
      </c>
      <c r="N71" s="109" t="str">
        <f>IF(OR(historico_VU!A70="",historico_VU!G70=""),"",historico_VU!G70)</f>
        <v/>
      </c>
      <c r="O71" s="110" t="str">
        <f>IF(posicao_contratual!A70="","",posicao_contratual!W70)</f>
        <v/>
      </c>
      <c r="P71" s="109" t="str">
        <f>IF(A71="TOTAL",ROUND(SUM($P$3:P70),2),IF(OR(A71="",N71="",O71=""),"",ROUND(N71*O71,2)))</f>
        <v/>
      </c>
      <c r="Q71" s="183" t="str">
        <f t="shared" ca="1" si="16"/>
        <v/>
      </c>
      <c r="R71" t="str">
        <f>IF($A71="","",IF(MEMORIA_RESULTADOS!$W$46="","","C"&amp;MEMORIA_RESULTADOS!$W$46))</f>
        <v/>
      </c>
      <c r="S71" s="210" t="str">
        <f t="shared" ca="1" si="17"/>
        <v/>
      </c>
      <c r="T71" s="210" t="str">
        <f t="shared" ca="1" si="18"/>
        <v/>
      </c>
      <c r="U71" s="210" t="str">
        <f t="shared" ca="1" si="19"/>
        <v/>
      </c>
      <c r="V71" s="195" t="str">
        <f t="shared" ca="1" si="20"/>
        <v/>
      </c>
      <c r="W71" s="195" t="str">
        <f t="shared" ca="1" si="21"/>
        <v/>
      </c>
      <c r="X71" s="195" t="str">
        <f t="shared" ca="1" si="22"/>
        <v/>
      </c>
      <c r="Y71" t="str">
        <f t="shared" ca="1" si="23"/>
        <v/>
      </c>
      <c r="Z71" s="211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08" t="str">
        <f>IF(AND(itens_Remanesc!A71="",itens_Remanesc!A70&lt;&gt;"",COUNTIF(itens_Remanesc!A72:$A$200,"&lt;&gt;")=0),"TOTAL",IF(itens_Remanesc!A71="","",itens_Remanesc!A71))</f>
        <v/>
      </c>
      <c r="B72" s="109" t="str">
        <f>IF(OR(historico_VU!A71="",historico_VU!C71=""),"",historico_VU!C71)</f>
        <v/>
      </c>
      <c r="C72" s="110" t="str">
        <f>IF(posicao_contratual!A71="","",posicao_contratual!G71)</f>
        <v/>
      </c>
      <c r="D72" s="109" t="str">
        <f>IF(A72="TOTAL",ROUND(SUM($D$3:D71),2),IF(OR(A72="",B72="",C72=""),"",ROUND(B72*C72,2)))</f>
        <v/>
      </c>
      <c r="E72" s="111" t="str">
        <f>IF(OR(historico_VU!A71="",historico_VU!D71=""),"",historico_VU!D71)</f>
        <v/>
      </c>
      <c r="F72" s="112" t="str">
        <f>IF(posicao_contratual!A71="","",posicao_contratual!K71)</f>
        <v/>
      </c>
      <c r="G72" s="111" t="str">
        <f>IF(A72="TOTAL",ROUND(SUM($G$3:G71),2),IF(OR(A72="",E72="",F72=""),"",ROUND(E72*F72,2)))</f>
        <v/>
      </c>
      <c r="H72" s="109" t="str">
        <f>IF(OR(historico_VU!A71="",historico_VU!E71=""),"",historico_VU!E71)</f>
        <v/>
      </c>
      <c r="I72" s="110" t="str">
        <f>IF(posicao_contratual!A71="","",posicao_contratual!O71)</f>
        <v/>
      </c>
      <c r="J72" s="109" t="str">
        <f>IF(A72="TOTAL",ROUND(SUM($J$3:J71),2),IF(OR(A72="",H72="",I72=""),"",ROUND(H72*I72,2)))</f>
        <v/>
      </c>
      <c r="K72" s="111" t="str">
        <f>IF(OR(historico_VU!A71="",historico_VU!F71=""),"",historico_VU!F71)</f>
        <v/>
      </c>
      <c r="L72" s="112" t="str">
        <f>IF(posicao_contratual!A71="","",posicao_contratual!S71)</f>
        <v/>
      </c>
      <c r="M72" s="111" t="str">
        <f>IF(A72="TOTAL",ROUND(SUM($M$3:M71),2),IF(OR(A72="",K72="",L72=""),"",ROUND(K72*L72,2)))</f>
        <v/>
      </c>
      <c r="N72" s="109" t="str">
        <f>IF(OR(historico_VU!A71="",historico_VU!G71=""),"",historico_VU!G71)</f>
        <v/>
      </c>
      <c r="O72" s="110" t="str">
        <f>IF(posicao_contratual!A71="","",posicao_contratual!W71)</f>
        <v/>
      </c>
      <c r="P72" s="109" t="str">
        <f>IF(A72="TOTAL",ROUND(SUM($P$3:P71),2),IF(OR(A72="",N72="",O72=""),"",ROUND(N72*O72,2)))</f>
        <v/>
      </c>
      <c r="Q72" s="183" t="str">
        <f t="shared" ca="1" si="16"/>
        <v/>
      </c>
      <c r="R72" t="str">
        <f>IF($A72="","",IF(MEMORIA_RESULTADOS!$W$46="","","C"&amp;MEMORIA_RESULTADOS!$W$46))</f>
        <v/>
      </c>
      <c r="S72" s="210" t="str">
        <f t="shared" ca="1" si="17"/>
        <v/>
      </c>
      <c r="T72" s="210" t="str">
        <f t="shared" ca="1" si="18"/>
        <v/>
      </c>
      <c r="U72" s="210" t="str">
        <f t="shared" ca="1" si="19"/>
        <v/>
      </c>
      <c r="V72" s="195" t="str">
        <f t="shared" ca="1" si="20"/>
        <v/>
      </c>
      <c r="W72" s="195" t="str">
        <f t="shared" ca="1" si="21"/>
        <v/>
      </c>
      <c r="X72" s="195" t="str">
        <f t="shared" ca="1" si="22"/>
        <v/>
      </c>
      <c r="Y72" t="str">
        <f t="shared" ca="1" si="23"/>
        <v/>
      </c>
      <c r="Z72" s="211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08" t="str">
        <f>IF(AND(itens_Remanesc!A72="",itens_Remanesc!A71&lt;&gt;"",COUNTIF(itens_Remanesc!A73:$A$200,"&lt;&gt;")=0),"TOTAL",IF(itens_Remanesc!A72="","",itens_Remanesc!A72))</f>
        <v/>
      </c>
      <c r="B73" s="109" t="str">
        <f>IF(OR(historico_VU!A72="",historico_VU!C72=""),"",historico_VU!C72)</f>
        <v/>
      </c>
      <c r="C73" s="110" t="str">
        <f>IF(posicao_contratual!A72="","",posicao_contratual!G72)</f>
        <v/>
      </c>
      <c r="D73" s="109" t="str">
        <f>IF(A73="TOTAL",ROUND(SUM($D$3:D72),2),IF(OR(A73="",B73="",C73=""),"",ROUND(B73*C73,2)))</f>
        <v/>
      </c>
      <c r="E73" s="111" t="str">
        <f>IF(OR(historico_VU!A72="",historico_VU!D72=""),"",historico_VU!D72)</f>
        <v/>
      </c>
      <c r="F73" s="112" t="str">
        <f>IF(posicao_contratual!A72="","",posicao_contratual!K72)</f>
        <v/>
      </c>
      <c r="G73" s="111" t="str">
        <f>IF(A73="TOTAL",ROUND(SUM($G$3:G72),2),IF(OR(A73="",E73="",F73=""),"",ROUND(E73*F73,2)))</f>
        <v/>
      </c>
      <c r="H73" s="109" t="str">
        <f>IF(OR(historico_VU!A72="",historico_VU!E72=""),"",historico_VU!E72)</f>
        <v/>
      </c>
      <c r="I73" s="110" t="str">
        <f>IF(posicao_contratual!A72="","",posicao_contratual!O72)</f>
        <v/>
      </c>
      <c r="J73" s="109" t="str">
        <f>IF(A73="TOTAL",ROUND(SUM($J$3:J72),2),IF(OR(A73="",H73="",I73=""),"",ROUND(H73*I73,2)))</f>
        <v/>
      </c>
      <c r="K73" s="111" t="str">
        <f>IF(OR(historico_VU!A72="",historico_VU!F72=""),"",historico_VU!F72)</f>
        <v/>
      </c>
      <c r="L73" s="112" t="str">
        <f>IF(posicao_contratual!A72="","",posicao_contratual!S72)</f>
        <v/>
      </c>
      <c r="M73" s="111" t="str">
        <f>IF(A73="TOTAL",ROUND(SUM($M$3:M72),2),IF(OR(A73="",K73="",L73=""),"",ROUND(K73*L73,2)))</f>
        <v/>
      </c>
      <c r="N73" s="109" t="str">
        <f>IF(OR(historico_VU!A72="",historico_VU!G72=""),"",historico_VU!G72)</f>
        <v/>
      </c>
      <c r="O73" s="110" t="str">
        <f>IF(posicao_contratual!A72="","",posicao_contratual!W72)</f>
        <v/>
      </c>
      <c r="P73" s="109" t="str">
        <f>IF(A73="TOTAL",ROUND(SUM($P$3:P72),2),IF(OR(A73="",N73="",O73=""),"",ROUND(N73*O73,2)))</f>
        <v/>
      </c>
      <c r="Q73" s="183" t="str">
        <f t="shared" ca="1" si="16"/>
        <v/>
      </c>
      <c r="R73" t="str">
        <f>IF($A73="","",IF(MEMORIA_RESULTADOS!$W$46="","","C"&amp;MEMORIA_RESULTADOS!$W$46))</f>
        <v/>
      </c>
      <c r="S73" s="210" t="str">
        <f t="shared" ca="1" si="17"/>
        <v/>
      </c>
      <c r="T73" s="210" t="str">
        <f t="shared" ca="1" si="18"/>
        <v/>
      </c>
      <c r="U73" s="210" t="str">
        <f t="shared" ca="1" si="19"/>
        <v/>
      </c>
      <c r="V73" s="195" t="str">
        <f t="shared" ca="1" si="20"/>
        <v/>
      </c>
      <c r="W73" s="195" t="str">
        <f t="shared" ca="1" si="21"/>
        <v/>
      </c>
      <c r="X73" s="195" t="str">
        <f t="shared" ca="1" si="22"/>
        <v/>
      </c>
      <c r="Y73" t="str">
        <f t="shared" ca="1" si="23"/>
        <v/>
      </c>
      <c r="Z73" s="211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08" t="str">
        <f>IF(AND(itens_Remanesc!A73="",itens_Remanesc!A72&lt;&gt;"",COUNTIF(itens_Remanesc!A74:$A$200,"&lt;&gt;")=0),"TOTAL",IF(itens_Remanesc!A73="","",itens_Remanesc!A73))</f>
        <v/>
      </c>
      <c r="B74" s="109" t="str">
        <f>IF(OR(historico_VU!A73="",historico_VU!C73=""),"",historico_VU!C73)</f>
        <v/>
      </c>
      <c r="C74" s="110" t="str">
        <f>IF(posicao_contratual!A73="","",posicao_contratual!G73)</f>
        <v/>
      </c>
      <c r="D74" s="109" t="str">
        <f>IF(A74="TOTAL",ROUND(SUM($D$3:D73),2),IF(OR(A74="",B74="",C74=""),"",ROUND(B74*C74,2)))</f>
        <v/>
      </c>
      <c r="E74" s="111" t="str">
        <f>IF(OR(historico_VU!A73="",historico_VU!D73=""),"",historico_VU!D73)</f>
        <v/>
      </c>
      <c r="F74" s="112" t="str">
        <f>IF(posicao_contratual!A73="","",posicao_contratual!K73)</f>
        <v/>
      </c>
      <c r="G74" s="111" t="str">
        <f>IF(A74="TOTAL",ROUND(SUM($G$3:G73),2),IF(OR(A74="",E74="",F74=""),"",ROUND(E74*F74,2)))</f>
        <v/>
      </c>
      <c r="H74" s="109" t="str">
        <f>IF(OR(historico_VU!A73="",historico_VU!E73=""),"",historico_VU!E73)</f>
        <v/>
      </c>
      <c r="I74" s="110" t="str">
        <f>IF(posicao_contratual!A73="","",posicao_contratual!O73)</f>
        <v/>
      </c>
      <c r="J74" s="109" t="str">
        <f>IF(A74="TOTAL",ROUND(SUM($J$3:J73),2),IF(OR(A74="",H74="",I74=""),"",ROUND(H74*I74,2)))</f>
        <v/>
      </c>
      <c r="K74" s="111" t="str">
        <f>IF(OR(historico_VU!A73="",historico_VU!F73=""),"",historico_VU!F73)</f>
        <v/>
      </c>
      <c r="L74" s="112" t="str">
        <f>IF(posicao_contratual!A73="","",posicao_contratual!S73)</f>
        <v/>
      </c>
      <c r="M74" s="111" t="str">
        <f>IF(A74="TOTAL",ROUND(SUM($M$3:M73),2),IF(OR(A74="",K74="",L74=""),"",ROUND(K74*L74,2)))</f>
        <v/>
      </c>
      <c r="N74" s="109" t="str">
        <f>IF(OR(historico_VU!A73="",historico_VU!G73=""),"",historico_VU!G73)</f>
        <v/>
      </c>
      <c r="O74" s="110" t="str">
        <f>IF(posicao_contratual!A73="","",posicao_contratual!W73)</f>
        <v/>
      </c>
      <c r="P74" s="109" t="str">
        <f>IF(A74="TOTAL",ROUND(SUM($P$3:P73),2),IF(OR(A74="",N74="",O74=""),"",ROUND(N74*O74,2)))</f>
        <v/>
      </c>
      <c r="Q74" s="183" t="str">
        <f t="shared" ca="1" si="16"/>
        <v/>
      </c>
      <c r="R74" t="str">
        <f>IF($A74="","",IF(MEMORIA_RESULTADOS!$W$46="","","C"&amp;MEMORIA_RESULTADOS!$W$46))</f>
        <v/>
      </c>
      <c r="S74" s="210" t="str">
        <f t="shared" ca="1" si="17"/>
        <v/>
      </c>
      <c r="T74" s="210" t="str">
        <f t="shared" ca="1" si="18"/>
        <v/>
      </c>
      <c r="U74" s="210" t="str">
        <f t="shared" ca="1" si="19"/>
        <v/>
      </c>
      <c r="V74" s="195" t="str">
        <f t="shared" ca="1" si="20"/>
        <v/>
      </c>
      <c r="W74" s="195" t="str">
        <f t="shared" ca="1" si="21"/>
        <v/>
      </c>
      <c r="X74" s="195" t="str">
        <f t="shared" ca="1" si="22"/>
        <v/>
      </c>
      <c r="Y74" t="str">
        <f t="shared" ca="1" si="23"/>
        <v/>
      </c>
      <c r="Z74" s="211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08" t="str">
        <f>IF(AND(itens_Remanesc!A74="",itens_Remanesc!A73&lt;&gt;"",COUNTIF(itens_Remanesc!A75:$A$200,"&lt;&gt;")=0),"TOTAL",IF(itens_Remanesc!A74="","",itens_Remanesc!A74))</f>
        <v/>
      </c>
      <c r="B75" s="109" t="str">
        <f>IF(OR(historico_VU!A74="",historico_VU!C74=""),"",historico_VU!C74)</f>
        <v/>
      </c>
      <c r="C75" s="110" t="str">
        <f>IF(posicao_contratual!A74="","",posicao_contratual!G74)</f>
        <v/>
      </c>
      <c r="D75" s="109" t="str">
        <f>IF(A75="TOTAL",ROUND(SUM($D$3:D74),2),IF(OR(A75="",B75="",C75=""),"",ROUND(B75*C75,2)))</f>
        <v/>
      </c>
      <c r="E75" s="111" t="str">
        <f>IF(OR(historico_VU!A74="",historico_VU!D74=""),"",historico_VU!D74)</f>
        <v/>
      </c>
      <c r="F75" s="112" t="str">
        <f>IF(posicao_contratual!A74="","",posicao_contratual!K74)</f>
        <v/>
      </c>
      <c r="G75" s="111" t="str">
        <f>IF(A75="TOTAL",ROUND(SUM($G$3:G74),2),IF(OR(A75="",E75="",F75=""),"",ROUND(E75*F75,2)))</f>
        <v/>
      </c>
      <c r="H75" s="109" t="str">
        <f>IF(OR(historico_VU!A74="",historico_VU!E74=""),"",historico_VU!E74)</f>
        <v/>
      </c>
      <c r="I75" s="110" t="str">
        <f>IF(posicao_contratual!A74="","",posicao_contratual!O74)</f>
        <v/>
      </c>
      <c r="J75" s="109" t="str">
        <f>IF(A75="TOTAL",ROUND(SUM($J$3:J74),2),IF(OR(A75="",H75="",I75=""),"",ROUND(H75*I75,2)))</f>
        <v/>
      </c>
      <c r="K75" s="111" t="str">
        <f>IF(OR(historico_VU!A74="",historico_VU!F74=""),"",historico_VU!F74)</f>
        <v/>
      </c>
      <c r="L75" s="112" t="str">
        <f>IF(posicao_contratual!A74="","",posicao_contratual!S74)</f>
        <v/>
      </c>
      <c r="M75" s="111" t="str">
        <f>IF(A75="TOTAL",ROUND(SUM($M$3:M74),2),IF(OR(A75="",K75="",L75=""),"",ROUND(K75*L75,2)))</f>
        <v/>
      </c>
      <c r="N75" s="109" t="str">
        <f>IF(OR(historico_VU!A74="",historico_VU!G74=""),"",historico_VU!G74)</f>
        <v/>
      </c>
      <c r="O75" s="110" t="str">
        <f>IF(posicao_contratual!A74="","",posicao_contratual!W74)</f>
        <v/>
      </c>
      <c r="P75" s="109" t="str">
        <f>IF(A75="TOTAL",ROUND(SUM($P$3:P74),2),IF(OR(A75="",N75="",O75=""),"",ROUND(N75*O75,2)))</f>
        <v/>
      </c>
      <c r="Q75" s="183" t="str">
        <f t="shared" ca="1" si="16"/>
        <v/>
      </c>
      <c r="R75" t="str">
        <f>IF($A75="","",IF(MEMORIA_RESULTADOS!$W$46="","","C"&amp;MEMORIA_RESULTADOS!$W$46))</f>
        <v/>
      </c>
      <c r="S75" s="210" t="str">
        <f t="shared" ca="1" si="17"/>
        <v/>
      </c>
      <c r="T75" s="210" t="str">
        <f t="shared" ca="1" si="18"/>
        <v/>
      </c>
      <c r="U75" s="210" t="str">
        <f t="shared" ca="1" si="19"/>
        <v/>
      </c>
      <c r="V75" s="195" t="str">
        <f t="shared" ca="1" si="20"/>
        <v/>
      </c>
      <c r="W75" s="195" t="str">
        <f t="shared" ca="1" si="21"/>
        <v/>
      </c>
      <c r="X75" s="195" t="str">
        <f t="shared" ca="1" si="22"/>
        <v/>
      </c>
      <c r="Y75" t="str">
        <f t="shared" ca="1" si="23"/>
        <v/>
      </c>
      <c r="Z75" s="211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08" t="str">
        <f>IF(AND(itens_Remanesc!A75="",itens_Remanesc!A74&lt;&gt;"",COUNTIF(itens_Remanesc!A76:$A$200,"&lt;&gt;")=0),"TOTAL",IF(itens_Remanesc!A75="","",itens_Remanesc!A75))</f>
        <v/>
      </c>
      <c r="B76" s="109" t="str">
        <f>IF(OR(historico_VU!A75="",historico_VU!C75=""),"",historico_VU!C75)</f>
        <v/>
      </c>
      <c r="C76" s="110" t="str">
        <f>IF(posicao_contratual!A75="","",posicao_contratual!G75)</f>
        <v/>
      </c>
      <c r="D76" s="109" t="str">
        <f>IF(A76="TOTAL",ROUND(SUM($D$3:D75),2),IF(OR(A76="",B76="",C76=""),"",ROUND(B76*C76,2)))</f>
        <v/>
      </c>
      <c r="E76" s="111" t="str">
        <f>IF(OR(historico_VU!A75="",historico_VU!D75=""),"",historico_VU!D75)</f>
        <v/>
      </c>
      <c r="F76" s="112" t="str">
        <f>IF(posicao_contratual!A75="","",posicao_contratual!K75)</f>
        <v/>
      </c>
      <c r="G76" s="111" t="str">
        <f>IF(A76="TOTAL",ROUND(SUM($G$3:G75),2),IF(OR(A76="",E76="",F76=""),"",ROUND(E76*F76,2)))</f>
        <v/>
      </c>
      <c r="H76" s="109" t="str">
        <f>IF(OR(historico_VU!A75="",historico_VU!E75=""),"",historico_VU!E75)</f>
        <v/>
      </c>
      <c r="I76" s="110" t="str">
        <f>IF(posicao_contratual!A75="","",posicao_contratual!O75)</f>
        <v/>
      </c>
      <c r="J76" s="109" t="str">
        <f>IF(A76="TOTAL",ROUND(SUM($J$3:J75),2),IF(OR(A76="",H76="",I76=""),"",ROUND(H76*I76,2)))</f>
        <v/>
      </c>
      <c r="K76" s="111" t="str">
        <f>IF(OR(historico_VU!A75="",historico_VU!F75=""),"",historico_VU!F75)</f>
        <v/>
      </c>
      <c r="L76" s="112" t="str">
        <f>IF(posicao_contratual!A75="","",posicao_contratual!S75)</f>
        <v/>
      </c>
      <c r="M76" s="111" t="str">
        <f>IF(A76="TOTAL",ROUND(SUM($M$3:M75),2),IF(OR(A76="",K76="",L76=""),"",ROUND(K76*L76,2)))</f>
        <v/>
      </c>
      <c r="N76" s="109" t="str">
        <f>IF(OR(historico_VU!A75="",historico_VU!G75=""),"",historico_VU!G75)</f>
        <v/>
      </c>
      <c r="O76" s="110" t="str">
        <f>IF(posicao_contratual!A75="","",posicao_contratual!W75)</f>
        <v/>
      </c>
      <c r="P76" s="109" t="str">
        <f>IF(A76="TOTAL",ROUND(SUM($P$3:P75),2),IF(OR(A76="",N76="",O76=""),"",ROUND(N76*O76,2)))</f>
        <v/>
      </c>
      <c r="Q76" s="183" t="str">
        <f t="shared" ca="1" si="16"/>
        <v/>
      </c>
      <c r="R76" t="str">
        <f>IF($A76="","",IF(MEMORIA_RESULTADOS!$W$46="","","C"&amp;MEMORIA_RESULTADOS!$W$46))</f>
        <v/>
      </c>
      <c r="S76" s="210" t="str">
        <f t="shared" ca="1" si="17"/>
        <v/>
      </c>
      <c r="T76" s="210" t="str">
        <f t="shared" ca="1" si="18"/>
        <v/>
      </c>
      <c r="U76" s="210" t="str">
        <f t="shared" ca="1" si="19"/>
        <v/>
      </c>
      <c r="V76" s="195" t="str">
        <f t="shared" ca="1" si="20"/>
        <v/>
      </c>
      <c r="W76" s="195" t="str">
        <f t="shared" ca="1" si="21"/>
        <v/>
      </c>
      <c r="X76" s="195" t="str">
        <f t="shared" ca="1" si="22"/>
        <v/>
      </c>
      <c r="Y76" t="str">
        <f t="shared" ca="1" si="23"/>
        <v/>
      </c>
      <c r="Z76" s="211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08" t="str">
        <f>IF(AND(itens_Remanesc!A76="",itens_Remanesc!A75&lt;&gt;"",COUNTIF(itens_Remanesc!A77:$A$200,"&lt;&gt;")=0),"TOTAL",IF(itens_Remanesc!A76="","",itens_Remanesc!A76))</f>
        <v/>
      </c>
      <c r="B77" s="109" t="str">
        <f>IF(OR(historico_VU!A76="",historico_VU!C76=""),"",historico_VU!C76)</f>
        <v/>
      </c>
      <c r="C77" s="110" t="str">
        <f>IF(posicao_contratual!A76="","",posicao_contratual!G76)</f>
        <v/>
      </c>
      <c r="D77" s="109" t="str">
        <f>IF(A77="TOTAL",ROUND(SUM($D$3:D76),2),IF(OR(A77="",B77="",C77=""),"",ROUND(B77*C77,2)))</f>
        <v/>
      </c>
      <c r="E77" s="111" t="str">
        <f>IF(OR(historico_VU!A76="",historico_VU!D76=""),"",historico_VU!D76)</f>
        <v/>
      </c>
      <c r="F77" s="112" t="str">
        <f>IF(posicao_contratual!A76="","",posicao_contratual!K76)</f>
        <v/>
      </c>
      <c r="G77" s="111" t="str">
        <f>IF(A77="TOTAL",ROUND(SUM($G$3:G76),2),IF(OR(A77="",E77="",F77=""),"",ROUND(E77*F77,2)))</f>
        <v/>
      </c>
      <c r="H77" s="109" t="str">
        <f>IF(OR(historico_VU!A76="",historico_VU!E76=""),"",historico_VU!E76)</f>
        <v/>
      </c>
      <c r="I77" s="110" t="str">
        <f>IF(posicao_contratual!A76="","",posicao_contratual!O76)</f>
        <v/>
      </c>
      <c r="J77" s="109" t="str">
        <f>IF(A77="TOTAL",ROUND(SUM($J$3:J76),2),IF(OR(A77="",H77="",I77=""),"",ROUND(H77*I77,2)))</f>
        <v/>
      </c>
      <c r="K77" s="111" t="str">
        <f>IF(OR(historico_VU!A76="",historico_VU!F76=""),"",historico_VU!F76)</f>
        <v/>
      </c>
      <c r="L77" s="112" t="str">
        <f>IF(posicao_contratual!A76="","",posicao_contratual!S76)</f>
        <v/>
      </c>
      <c r="M77" s="111" t="str">
        <f>IF(A77="TOTAL",ROUND(SUM($M$3:M76),2),IF(OR(A77="",K77="",L77=""),"",ROUND(K77*L77,2)))</f>
        <v/>
      </c>
      <c r="N77" s="109" t="str">
        <f>IF(OR(historico_VU!A76="",historico_VU!G76=""),"",historico_VU!G76)</f>
        <v/>
      </c>
      <c r="O77" s="110" t="str">
        <f>IF(posicao_contratual!A76="","",posicao_contratual!W76)</f>
        <v/>
      </c>
      <c r="P77" s="109" t="str">
        <f>IF(A77="TOTAL",ROUND(SUM($P$3:P76),2),IF(OR(A77="",N77="",O77=""),"",ROUND(N77*O77,2)))</f>
        <v/>
      </c>
      <c r="Q77" s="183" t="str">
        <f t="shared" ca="1" si="16"/>
        <v/>
      </c>
      <c r="R77" t="str">
        <f>IF($A77="","",IF(MEMORIA_RESULTADOS!$W$46="","","C"&amp;MEMORIA_RESULTADOS!$W$46))</f>
        <v/>
      </c>
      <c r="S77" s="210" t="str">
        <f t="shared" ca="1" si="17"/>
        <v/>
      </c>
      <c r="T77" s="210" t="str">
        <f t="shared" ca="1" si="18"/>
        <v/>
      </c>
      <c r="U77" s="210" t="str">
        <f t="shared" ca="1" si="19"/>
        <v/>
      </c>
      <c r="V77" s="195" t="str">
        <f t="shared" ca="1" si="20"/>
        <v/>
      </c>
      <c r="W77" s="195" t="str">
        <f t="shared" ca="1" si="21"/>
        <v/>
      </c>
      <c r="X77" s="195" t="str">
        <f t="shared" ca="1" si="22"/>
        <v/>
      </c>
      <c r="Y77" t="str">
        <f t="shared" ca="1" si="23"/>
        <v/>
      </c>
      <c r="Z77" s="211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08" t="str">
        <f>IF(AND(itens_Remanesc!A77="",itens_Remanesc!A76&lt;&gt;"",COUNTIF(itens_Remanesc!A78:$A$200,"&lt;&gt;")=0),"TOTAL",IF(itens_Remanesc!A77="","",itens_Remanesc!A77))</f>
        <v/>
      </c>
      <c r="B78" s="109" t="str">
        <f>IF(OR(historico_VU!A77="",historico_VU!C77=""),"",historico_VU!C77)</f>
        <v/>
      </c>
      <c r="C78" s="110" t="str">
        <f>IF(posicao_contratual!A77="","",posicao_contratual!G77)</f>
        <v/>
      </c>
      <c r="D78" s="109" t="str">
        <f>IF(A78="TOTAL",ROUND(SUM($D$3:D77),2),IF(OR(A78="",B78="",C78=""),"",ROUND(B78*C78,2)))</f>
        <v/>
      </c>
      <c r="E78" s="111" t="str">
        <f>IF(OR(historico_VU!A77="",historico_VU!D77=""),"",historico_VU!D77)</f>
        <v/>
      </c>
      <c r="F78" s="112" t="str">
        <f>IF(posicao_contratual!A77="","",posicao_contratual!K77)</f>
        <v/>
      </c>
      <c r="G78" s="111" t="str">
        <f>IF(A78="TOTAL",ROUND(SUM($G$3:G77),2),IF(OR(A78="",E78="",F78=""),"",ROUND(E78*F78,2)))</f>
        <v/>
      </c>
      <c r="H78" s="109" t="str">
        <f>IF(OR(historico_VU!A77="",historico_VU!E77=""),"",historico_VU!E77)</f>
        <v/>
      </c>
      <c r="I78" s="110" t="str">
        <f>IF(posicao_contratual!A77="","",posicao_contratual!O77)</f>
        <v/>
      </c>
      <c r="J78" s="109" t="str">
        <f>IF(A78="TOTAL",ROUND(SUM($J$3:J77),2),IF(OR(A78="",H78="",I78=""),"",ROUND(H78*I78,2)))</f>
        <v/>
      </c>
      <c r="K78" s="111" t="str">
        <f>IF(OR(historico_VU!A77="",historico_VU!F77=""),"",historico_VU!F77)</f>
        <v/>
      </c>
      <c r="L78" s="112" t="str">
        <f>IF(posicao_contratual!A77="","",posicao_contratual!S77)</f>
        <v/>
      </c>
      <c r="M78" s="111" t="str">
        <f>IF(A78="TOTAL",ROUND(SUM($M$3:M77),2),IF(OR(A78="",K78="",L78=""),"",ROUND(K78*L78,2)))</f>
        <v/>
      </c>
      <c r="N78" s="109" t="str">
        <f>IF(OR(historico_VU!A77="",historico_VU!G77=""),"",historico_VU!G77)</f>
        <v/>
      </c>
      <c r="O78" s="110" t="str">
        <f>IF(posicao_contratual!A77="","",posicao_contratual!W77)</f>
        <v/>
      </c>
      <c r="P78" s="109" t="str">
        <f>IF(A78="TOTAL",ROUND(SUM($P$3:P77),2),IF(OR(A78="",N78="",O78=""),"",ROUND(N78*O78,2)))</f>
        <v/>
      </c>
      <c r="Q78" s="183" t="str">
        <f t="shared" ca="1" si="16"/>
        <v/>
      </c>
      <c r="R78" t="str">
        <f>IF($A78="","",IF(MEMORIA_RESULTADOS!$W$46="","","C"&amp;MEMORIA_RESULTADOS!$W$46))</f>
        <v/>
      </c>
      <c r="S78" s="210" t="str">
        <f t="shared" ca="1" si="17"/>
        <v/>
      </c>
      <c r="T78" s="210" t="str">
        <f t="shared" ca="1" si="18"/>
        <v/>
      </c>
      <c r="U78" s="210" t="str">
        <f t="shared" ca="1" si="19"/>
        <v/>
      </c>
      <c r="V78" s="195" t="str">
        <f t="shared" ca="1" si="20"/>
        <v/>
      </c>
      <c r="W78" s="195" t="str">
        <f t="shared" ca="1" si="21"/>
        <v/>
      </c>
      <c r="X78" s="195" t="str">
        <f t="shared" ca="1" si="22"/>
        <v/>
      </c>
      <c r="Y78" t="str">
        <f t="shared" ca="1" si="23"/>
        <v/>
      </c>
      <c r="Z78" s="211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08" t="str">
        <f>IF(AND(itens_Remanesc!A78="",itens_Remanesc!A77&lt;&gt;"",COUNTIF(itens_Remanesc!A79:$A$200,"&lt;&gt;")=0),"TOTAL",IF(itens_Remanesc!A78="","",itens_Remanesc!A78))</f>
        <v/>
      </c>
      <c r="B79" s="109" t="str">
        <f>IF(OR(historico_VU!A78="",historico_VU!C78=""),"",historico_VU!C78)</f>
        <v/>
      </c>
      <c r="C79" s="110" t="str">
        <f>IF(posicao_contratual!A78="","",posicao_contratual!G78)</f>
        <v/>
      </c>
      <c r="D79" s="109" t="str">
        <f>IF(A79="TOTAL",ROUND(SUM($D$3:D78),2),IF(OR(A79="",B79="",C79=""),"",ROUND(B79*C79,2)))</f>
        <v/>
      </c>
      <c r="E79" s="111" t="str">
        <f>IF(OR(historico_VU!A78="",historico_VU!D78=""),"",historico_VU!D78)</f>
        <v/>
      </c>
      <c r="F79" s="112" t="str">
        <f>IF(posicao_contratual!A78="","",posicao_contratual!K78)</f>
        <v/>
      </c>
      <c r="G79" s="111" t="str">
        <f>IF(A79="TOTAL",ROUND(SUM($G$3:G78),2),IF(OR(A79="",E79="",F79=""),"",ROUND(E79*F79,2)))</f>
        <v/>
      </c>
      <c r="H79" s="109" t="str">
        <f>IF(OR(historico_VU!A78="",historico_VU!E78=""),"",historico_VU!E78)</f>
        <v/>
      </c>
      <c r="I79" s="110" t="str">
        <f>IF(posicao_contratual!A78="","",posicao_contratual!O78)</f>
        <v/>
      </c>
      <c r="J79" s="109" t="str">
        <f>IF(A79="TOTAL",ROUND(SUM($J$3:J78),2),IF(OR(A79="",H79="",I79=""),"",ROUND(H79*I79,2)))</f>
        <v/>
      </c>
      <c r="K79" s="111" t="str">
        <f>IF(OR(historico_VU!A78="",historico_VU!F78=""),"",historico_VU!F78)</f>
        <v/>
      </c>
      <c r="L79" s="112" t="str">
        <f>IF(posicao_contratual!A78="","",posicao_contratual!S78)</f>
        <v/>
      </c>
      <c r="M79" s="111" t="str">
        <f>IF(A79="TOTAL",ROUND(SUM($M$3:M78),2),IF(OR(A79="",K79="",L79=""),"",ROUND(K79*L79,2)))</f>
        <v/>
      </c>
      <c r="N79" s="109" t="str">
        <f>IF(OR(historico_VU!A78="",historico_VU!G78=""),"",historico_VU!G78)</f>
        <v/>
      </c>
      <c r="O79" s="110" t="str">
        <f>IF(posicao_contratual!A78="","",posicao_contratual!W78)</f>
        <v/>
      </c>
      <c r="P79" s="109" t="str">
        <f>IF(A79="TOTAL",ROUND(SUM($P$3:P78),2),IF(OR(A79="",N79="",O79=""),"",ROUND(N79*O79,2)))</f>
        <v/>
      </c>
      <c r="Q79" s="183" t="str">
        <f t="shared" ca="1" si="16"/>
        <v/>
      </c>
      <c r="R79" t="str">
        <f>IF($A79="","",IF(MEMORIA_RESULTADOS!$W$46="","","C"&amp;MEMORIA_RESULTADOS!$W$46))</f>
        <v/>
      </c>
      <c r="S79" s="210" t="str">
        <f t="shared" ca="1" si="17"/>
        <v/>
      </c>
      <c r="T79" s="210" t="str">
        <f t="shared" ca="1" si="18"/>
        <v/>
      </c>
      <c r="U79" s="210" t="str">
        <f t="shared" ca="1" si="19"/>
        <v/>
      </c>
      <c r="V79" s="195" t="str">
        <f t="shared" ca="1" si="20"/>
        <v/>
      </c>
      <c r="W79" s="195" t="str">
        <f t="shared" ca="1" si="21"/>
        <v/>
      </c>
      <c r="X79" s="195" t="str">
        <f t="shared" ca="1" si="22"/>
        <v/>
      </c>
      <c r="Y79" t="str">
        <f t="shared" ca="1" si="23"/>
        <v/>
      </c>
      <c r="Z79" s="211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08" t="str">
        <f>IF(AND(itens_Remanesc!A79="",itens_Remanesc!A78&lt;&gt;"",COUNTIF(itens_Remanesc!A80:$A$200,"&lt;&gt;")=0),"TOTAL",IF(itens_Remanesc!A79="","",itens_Remanesc!A79))</f>
        <v/>
      </c>
      <c r="B80" s="109" t="str">
        <f>IF(OR(historico_VU!A79="",historico_VU!C79=""),"",historico_VU!C79)</f>
        <v/>
      </c>
      <c r="C80" s="110" t="str">
        <f>IF(posicao_contratual!A79="","",posicao_contratual!G79)</f>
        <v/>
      </c>
      <c r="D80" s="109" t="str">
        <f>IF(A80="TOTAL",ROUND(SUM($D$3:D79),2),IF(OR(A80="",B80="",C80=""),"",ROUND(B80*C80,2)))</f>
        <v/>
      </c>
      <c r="E80" s="111" t="str">
        <f>IF(OR(historico_VU!A79="",historico_VU!D79=""),"",historico_VU!D79)</f>
        <v/>
      </c>
      <c r="F80" s="112" t="str">
        <f>IF(posicao_contratual!A79="","",posicao_contratual!K79)</f>
        <v/>
      </c>
      <c r="G80" s="111" t="str">
        <f>IF(A80="TOTAL",ROUND(SUM($G$3:G79),2),IF(OR(A80="",E80="",F80=""),"",ROUND(E80*F80,2)))</f>
        <v/>
      </c>
      <c r="H80" s="109" t="str">
        <f>IF(OR(historico_VU!A79="",historico_VU!E79=""),"",historico_VU!E79)</f>
        <v/>
      </c>
      <c r="I80" s="110" t="str">
        <f>IF(posicao_contratual!A79="","",posicao_contratual!O79)</f>
        <v/>
      </c>
      <c r="J80" s="109" t="str">
        <f>IF(A80="TOTAL",ROUND(SUM($J$3:J79),2),IF(OR(A80="",H80="",I80=""),"",ROUND(H80*I80,2)))</f>
        <v/>
      </c>
      <c r="K80" s="111" t="str">
        <f>IF(OR(historico_VU!A79="",historico_VU!F79=""),"",historico_VU!F79)</f>
        <v/>
      </c>
      <c r="L80" s="112" t="str">
        <f>IF(posicao_contratual!A79="","",posicao_contratual!S79)</f>
        <v/>
      </c>
      <c r="M80" s="111" t="str">
        <f>IF(A80="TOTAL",ROUND(SUM($M$3:M79),2),IF(OR(A80="",K80="",L80=""),"",ROUND(K80*L80,2)))</f>
        <v/>
      </c>
      <c r="N80" s="109" t="str">
        <f>IF(OR(historico_VU!A79="",historico_VU!G79=""),"",historico_VU!G79)</f>
        <v/>
      </c>
      <c r="O80" s="110" t="str">
        <f>IF(posicao_contratual!A79="","",posicao_contratual!W79)</f>
        <v/>
      </c>
      <c r="P80" s="109" t="str">
        <f>IF(A80="TOTAL",ROUND(SUM($P$3:P79),2),IF(OR(A80="",N80="",O80=""),"",ROUND(N80*O80,2)))</f>
        <v/>
      </c>
      <c r="Q80" s="183" t="str">
        <f t="shared" ca="1" si="16"/>
        <v/>
      </c>
      <c r="R80" t="str">
        <f>IF($A80="","",IF(MEMORIA_RESULTADOS!$W$46="","","C"&amp;MEMORIA_RESULTADOS!$W$46))</f>
        <v/>
      </c>
      <c r="S80" s="210" t="str">
        <f t="shared" ca="1" si="17"/>
        <v/>
      </c>
      <c r="T80" s="210" t="str">
        <f t="shared" ca="1" si="18"/>
        <v/>
      </c>
      <c r="U80" s="210" t="str">
        <f t="shared" ca="1" si="19"/>
        <v/>
      </c>
      <c r="V80" s="195" t="str">
        <f t="shared" ca="1" si="20"/>
        <v/>
      </c>
      <c r="W80" s="195" t="str">
        <f t="shared" ca="1" si="21"/>
        <v/>
      </c>
      <c r="X80" s="195" t="str">
        <f t="shared" ca="1" si="22"/>
        <v/>
      </c>
      <c r="Y80" t="str">
        <f t="shared" ca="1" si="23"/>
        <v/>
      </c>
      <c r="Z80" s="211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08" t="str">
        <f>IF(AND(itens_Remanesc!A80="",itens_Remanesc!A79&lt;&gt;"",COUNTIF(itens_Remanesc!A81:$A$200,"&lt;&gt;")=0),"TOTAL",IF(itens_Remanesc!A80="","",itens_Remanesc!A80))</f>
        <v/>
      </c>
      <c r="B81" s="109" t="str">
        <f>IF(OR(historico_VU!A80="",historico_VU!C80=""),"",historico_VU!C80)</f>
        <v/>
      </c>
      <c r="C81" s="110" t="str">
        <f>IF(posicao_contratual!A80="","",posicao_contratual!G80)</f>
        <v/>
      </c>
      <c r="D81" s="109" t="str">
        <f>IF(A81="TOTAL",ROUND(SUM($D$3:D80),2),IF(OR(A81="",B81="",C81=""),"",ROUND(B81*C81,2)))</f>
        <v/>
      </c>
      <c r="E81" s="111" t="str">
        <f>IF(OR(historico_VU!A80="",historico_VU!D80=""),"",historico_VU!D80)</f>
        <v/>
      </c>
      <c r="F81" s="112" t="str">
        <f>IF(posicao_contratual!A80="","",posicao_contratual!K80)</f>
        <v/>
      </c>
      <c r="G81" s="111" t="str">
        <f>IF(A81="TOTAL",ROUND(SUM($G$3:G80),2),IF(OR(A81="",E81="",F81=""),"",ROUND(E81*F81,2)))</f>
        <v/>
      </c>
      <c r="H81" s="109" t="str">
        <f>IF(OR(historico_VU!A80="",historico_VU!E80=""),"",historico_VU!E80)</f>
        <v/>
      </c>
      <c r="I81" s="110" t="str">
        <f>IF(posicao_contratual!A80="","",posicao_contratual!O80)</f>
        <v/>
      </c>
      <c r="J81" s="109" t="str">
        <f>IF(A81="TOTAL",ROUND(SUM($J$3:J80),2),IF(OR(A81="",H81="",I81=""),"",ROUND(H81*I81,2)))</f>
        <v/>
      </c>
      <c r="K81" s="111" t="str">
        <f>IF(OR(historico_VU!A80="",historico_VU!F80=""),"",historico_VU!F80)</f>
        <v/>
      </c>
      <c r="L81" s="112" t="str">
        <f>IF(posicao_contratual!A80="","",posicao_contratual!S80)</f>
        <v/>
      </c>
      <c r="M81" s="111" t="str">
        <f>IF(A81="TOTAL",ROUND(SUM($M$3:M80),2),IF(OR(A81="",K81="",L81=""),"",ROUND(K81*L81,2)))</f>
        <v/>
      </c>
      <c r="N81" s="109" t="str">
        <f>IF(OR(historico_VU!A80="",historico_VU!G80=""),"",historico_VU!G80)</f>
        <v/>
      </c>
      <c r="O81" s="110" t="str">
        <f>IF(posicao_contratual!A80="","",posicao_contratual!W80)</f>
        <v/>
      </c>
      <c r="P81" s="109" t="str">
        <f>IF(A81="TOTAL",ROUND(SUM($P$3:P80),2),IF(OR(A81="",N81="",O81=""),"",ROUND(N81*O81,2)))</f>
        <v/>
      </c>
      <c r="Q81" s="183" t="str">
        <f t="shared" ca="1" si="16"/>
        <v/>
      </c>
      <c r="R81" t="str">
        <f>IF($A81="","",IF(MEMORIA_RESULTADOS!$W$46="","","C"&amp;MEMORIA_RESULTADOS!$W$46))</f>
        <v/>
      </c>
      <c r="S81" s="210" t="str">
        <f t="shared" ca="1" si="17"/>
        <v/>
      </c>
      <c r="T81" s="210" t="str">
        <f t="shared" ca="1" si="18"/>
        <v/>
      </c>
      <c r="U81" s="210" t="str">
        <f t="shared" ca="1" si="19"/>
        <v/>
      </c>
      <c r="V81" s="195" t="str">
        <f t="shared" ca="1" si="20"/>
        <v/>
      </c>
      <c r="W81" s="195" t="str">
        <f t="shared" ca="1" si="21"/>
        <v/>
      </c>
      <c r="X81" s="195" t="str">
        <f t="shared" ca="1" si="22"/>
        <v/>
      </c>
      <c r="Y81" t="str">
        <f t="shared" ca="1" si="23"/>
        <v/>
      </c>
      <c r="Z81" s="211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08" t="str">
        <f>IF(AND(itens_Remanesc!A81="",itens_Remanesc!A80&lt;&gt;"",COUNTIF(itens_Remanesc!A82:$A$200,"&lt;&gt;")=0),"TOTAL",IF(itens_Remanesc!A81="","",itens_Remanesc!A81))</f>
        <v/>
      </c>
      <c r="B82" s="109" t="str">
        <f>IF(OR(historico_VU!A81="",historico_VU!C81=""),"",historico_VU!C81)</f>
        <v/>
      </c>
      <c r="C82" s="110" t="str">
        <f>IF(posicao_contratual!A81="","",posicao_contratual!G81)</f>
        <v/>
      </c>
      <c r="D82" s="109" t="str">
        <f>IF(A82="TOTAL",ROUND(SUM($D$3:D81),2),IF(OR(A82="",B82="",C82=""),"",ROUND(B82*C82,2)))</f>
        <v/>
      </c>
      <c r="E82" s="111" t="str">
        <f>IF(OR(historico_VU!A81="",historico_VU!D81=""),"",historico_VU!D81)</f>
        <v/>
      </c>
      <c r="F82" s="112" t="str">
        <f>IF(posicao_contratual!A81="","",posicao_contratual!K81)</f>
        <v/>
      </c>
      <c r="G82" s="111" t="str">
        <f>IF(A82="TOTAL",ROUND(SUM($G$3:G81),2),IF(OR(A82="",E82="",F82=""),"",ROUND(E82*F82,2)))</f>
        <v/>
      </c>
      <c r="H82" s="109" t="str">
        <f>IF(OR(historico_VU!A81="",historico_VU!E81=""),"",historico_VU!E81)</f>
        <v/>
      </c>
      <c r="I82" s="110" t="str">
        <f>IF(posicao_contratual!A81="","",posicao_contratual!O81)</f>
        <v/>
      </c>
      <c r="J82" s="109" t="str">
        <f>IF(A82="TOTAL",ROUND(SUM($J$3:J81),2),IF(OR(A82="",H82="",I82=""),"",ROUND(H82*I82,2)))</f>
        <v/>
      </c>
      <c r="K82" s="111" t="str">
        <f>IF(OR(historico_VU!A81="",historico_VU!F81=""),"",historico_VU!F81)</f>
        <v/>
      </c>
      <c r="L82" s="112" t="str">
        <f>IF(posicao_contratual!A81="","",posicao_contratual!S81)</f>
        <v/>
      </c>
      <c r="M82" s="111" t="str">
        <f>IF(A82="TOTAL",ROUND(SUM($M$3:M81),2),IF(OR(A82="",K82="",L82=""),"",ROUND(K82*L82,2)))</f>
        <v/>
      </c>
      <c r="N82" s="109" t="str">
        <f>IF(OR(historico_VU!A81="",historico_VU!G81=""),"",historico_VU!G81)</f>
        <v/>
      </c>
      <c r="O82" s="110" t="str">
        <f>IF(posicao_contratual!A81="","",posicao_contratual!W81)</f>
        <v/>
      </c>
      <c r="P82" s="109" t="str">
        <f>IF(A82="TOTAL",ROUND(SUM($P$3:P81),2),IF(OR(A82="",N82="",O82=""),"",ROUND(N82*O82,2)))</f>
        <v/>
      </c>
      <c r="Q82" s="183" t="str">
        <f t="shared" ca="1" si="16"/>
        <v/>
      </c>
      <c r="R82" t="str">
        <f>IF($A82="","",IF(MEMORIA_RESULTADOS!$W$46="","","C"&amp;MEMORIA_RESULTADOS!$W$46))</f>
        <v/>
      </c>
      <c r="S82" s="210" t="str">
        <f t="shared" ca="1" si="17"/>
        <v/>
      </c>
      <c r="T82" s="210" t="str">
        <f t="shared" ca="1" si="18"/>
        <v/>
      </c>
      <c r="U82" s="210" t="str">
        <f t="shared" ca="1" si="19"/>
        <v/>
      </c>
      <c r="V82" s="195" t="str">
        <f t="shared" ca="1" si="20"/>
        <v/>
      </c>
      <c r="W82" s="195" t="str">
        <f t="shared" ca="1" si="21"/>
        <v/>
      </c>
      <c r="X82" s="195" t="str">
        <f t="shared" ca="1" si="22"/>
        <v/>
      </c>
      <c r="Y82" t="str">
        <f t="shared" ca="1" si="23"/>
        <v/>
      </c>
      <c r="Z82" s="211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08" t="str">
        <f>IF(AND(itens_Remanesc!A82="",itens_Remanesc!A81&lt;&gt;"",COUNTIF(itens_Remanesc!A83:$A$200,"&lt;&gt;")=0),"TOTAL",IF(itens_Remanesc!A82="","",itens_Remanesc!A82))</f>
        <v/>
      </c>
      <c r="B83" s="109" t="str">
        <f>IF(OR(historico_VU!A82="",historico_VU!C82=""),"",historico_VU!C82)</f>
        <v/>
      </c>
      <c r="C83" s="110" t="str">
        <f>IF(posicao_contratual!A82="","",posicao_contratual!G82)</f>
        <v/>
      </c>
      <c r="D83" s="109" t="str">
        <f>IF(A83="TOTAL",ROUND(SUM($D$3:D82),2),IF(OR(A83="",B83="",C83=""),"",ROUND(B83*C83,2)))</f>
        <v/>
      </c>
      <c r="E83" s="111" t="str">
        <f>IF(OR(historico_VU!A82="",historico_VU!D82=""),"",historico_VU!D82)</f>
        <v/>
      </c>
      <c r="F83" s="112" t="str">
        <f>IF(posicao_contratual!A82="","",posicao_contratual!K82)</f>
        <v/>
      </c>
      <c r="G83" s="111" t="str">
        <f>IF(A83="TOTAL",ROUND(SUM($G$3:G82),2),IF(OR(A83="",E83="",F83=""),"",ROUND(E83*F83,2)))</f>
        <v/>
      </c>
      <c r="H83" s="109" t="str">
        <f>IF(OR(historico_VU!A82="",historico_VU!E82=""),"",historico_VU!E82)</f>
        <v/>
      </c>
      <c r="I83" s="110" t="str">
        <f>IF(posicao_contratual!A82="","",posicao_contratual!O82)</f>
        <v/>
      </c>
      <c r="J83" s="109" t="str">
        <f>IF(A83="TOTAL",ROUND(SUM($J$3:J82),2),IF(OR(A83="",H83="",I83=""),"",ROUND(H83*I83,2)))</f>
        <v/>
      </c>
      <c r="K83" s="111" t="str">
        <f>IF(OR(historico_VU!A82="",historico_VU!F82=""),"",historico_VU!F82)</f>
        <v/>
      </c>
      <c r="L83" s="112" t="str">
        <f>IF(posicao_contratual!A82="","",posicao_contratual!S82)</f>
        <v/>
      </c>
      <c r="M83" s="111" t="str">
        <f>IF(A83="TOTAL",ROUND(SUM($M$3:M82),2),IF(OR(A83="",K83="",L83=""),"",ROUND(K83*L83,2)))</f>
        <v/>
      </c>
      <c r="N83" s="109" t="str">
        <f>IF(OR(historico_VU!A82="",historico_VU!G82=""),"",historico_VU!G82)</f>
        <v/>
      </c>
      <c r="O83" s="110" t="str">
        <f>IF(posicao_contratual!A82="","",posicao_contratual!W82)</f>
        <v/>
      </c>
      <c r="P83" s="109" t="str">
        <f>IF(A83="TOTAL",ROUND(SUM($P$3:P82),2),IF(OR(A83="",N83="",O83=""),"",ROUND(N83*O83,2)))</f>
        <v/>
      </c>
      <c r="Q83" s="183" t="str">
        <f t="shared" ca="1" si="16"/>
        <v/>
      </c>
      <c r="R83" t="str">
        <f>IF($A83="","",IF(MEMORIA_RESULTADOS!$W$46="","","C"&amp;MEMORIA_RESULTADOS!$W$46))</f>
        <v/>
      </c>
      <c r="S83" s="210" t="str">
        <f t="shared" ca="1" si="17"/>
        <v/>
      </c>
      <c r="T83" s="210" t="str">
        <f t="shared" ca="1" si="18"/>
        <v/>
      </c>
      <c r="U83" s="210" t="str">
        <f t="shared" ca="1" si="19"/>
        <v/>
      </c>
      <c r="V83" s="195" t="str">
        <f t="shared" ca="1" si="20"/>
        <v/>
      </c>
      <c r="W83" s="195" t="str">
        <f t="shared" ca="1" si="21"/>
        <v/>
      </c>
      <c r="X83" s="195" t="str">
        <f t="shared" ca="1" si="22"/>
        <v/>
      </c>
      <c r="Y83" t="str">
        <f t="shared" ca="1" si="23"/>
        <v/>
      </c>
      <c r="Z83" s="211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08" t="str">
        <f>IF(AND(itens_Remanesc!A83="",itens_Remanesc!A82&lt;&gt;"",COUNTIF(itens_Remanesc!A84:$A$200,"&lt;&gt;")=0),"TOTAL",IF(itens_Remanesc!A83="","",itens_Remanesc!A83))</f>
        <v/>
      </c>
      <c r="B84" s="109" t="str">
        <f>IF(OR(historico_VU!A83="",historico_VU!C83=""),"",historico_VU!C83)</f>
        <v/>
      </c>
      <c r="C84" s="110" t="str">
        <f>IF(posicao_contratual!A83="","",posicao_contratual!G83)</f>
        <v/>
      </c>
      <c r="D84" s="109" t="str">
        <f>IF(A84="TOTAL",ROUND(SUM($D$3:D83),2),IF(OR(A84="",B84="",C84=""),"",ROUND(B84*C84,2)))</f>
        <v/>
      </c>
      <c r="E84" s="111" t="str">
        <f>IF(OR(historico_VU!A83="",historico_VU!D83=""),"",historico_VU!D83)</f>
        <v/>
      </c>
      <c r="F84" s="112" t="str">
        <f>IF(posicao_contratual!A83="","",posicao_contratual!K83)</f>
        <v/>
      </c>
      <c r="G84" s="111" t="str">
        <f>IF(A84="TOTAL",ROUND(SUM($G$3:G83),2),IF(OR(A84="",E84="",F84=""),"",ROUND(E84*F84,2)))</f>
        <v/>
      </c>
      <c r="H84" s="109" t="str">
        <f>IF(OR(historico_VU!A83="",historico_VU!E83=""),"",historico_VU!E83)</f>
        <v/>
      </c>
      <c r="I84" s="110" t="str">
        <f>IF(posicao_contratual!A83="","",posicao_contratual!O83)</f>
        <v/>
      </c>
      <c r="J84" s="109" t="str">
        <f>IF(A84="TOTAL",ROUND(SUM($J$3:J83),2),IF(OR(A84="",H84="",I84=""),"",ROUND(H84*I84,2)))</f>
        <v/>
      </c>
      <c r="K84" s="111" t="str">
        <f>IF(OR(historico_VU!A83="",historico_VU!F83=""),"",historico_VU!F83)</f>
        <v/>
      </c>
      <c r="L84" s="112" t="str">
        <f>IF(posicao_contratual!A83="","",posicao_contratual!S83)</f>
        <v/>
      </c>
      <c r="M84" s="111" t="str">
        <f>IF(A84="TOTAL",ROUND(SUM($M$3:M83),2),IF(OR(A84="",K84="",L84=""),"",ROUND(K84*L84,2)))</f>
        <v/>
      </c>
      <c r="N84" s="109" t="str">
        <f>IF(OR(historico_VU!A83="",historico_VU!G83=""),"",historico_VU!G83)</f>
        <v/>
      </c>
      <c r="O84" s="110" t="str">
        <f>IF(posicao_contratual!A83="","",posicao_contratual!W83)</f>
        <v/>
      </c>
      <c r="P84" s="109" t="str">
        <f>IF(A84="TOTAL",ROUND(SUM($P$3:P83),2),IF(OR(A84="",N84="",O84=""),"",ROUND(N84*O84,2)))</f>
        <v/>
      </c>
      <c r="Q84" s="183" t="str">
        <f t="shared" ca="1" si="16"/>
        <v/>
      </c>
      <c r="R84" t="str">
        <f>IF($A84="","",IF(MEMORIA_RESULTADOS!$W$46="","","C"&amp;MEMORIA_RESULTADOS!$W$46))</f>
        <v/>
      </c>
      <c r="S84" s="210" t="str">
        <f t="shared" ca="1" si="17"/>
        <v/>
      </c>
      <c r="T84" s="210" t="str">
        <f t="shared" ca="1" si="18"/>
        <v/>
      </c>
      <c r="U84" s="210" t="str">
        <f t="shared" ca="1" si="19"/>
        <v/>
      </c>
      <c r="V84" s="195" t="str">
        <f t="shared" ca="1" si="20"/>
        <v/>
      </c>
      <c r="W84" s="195" t="str">
        <f t="shared" ca="1" si="21"/>
        <v/>
      </c>
      <c r="X84" s="195" t="str">
        <f t="shared" ca="1" si="22"/>
        <v/>
      </c>
      <c r="Y84" t="str">
        <f t="shared" ca="1" si="23"/>
        <v/>
      </c>
      <c r="Z84" s="211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08" t="str">
        <f>IF(AND(itens_Remanesc!A84="",itens_Remanesc!A83&lt;&gt;"",COUNTIF(itens_Remanesc!A85:$A$200,"&lt;&gt;")=0),"TOTAL",IF(itens_Remanesc!A84="","",itens_Remanesc!A84))</f>
        <v/>
      </c>
      <c r="B85" s="109" t="str">
        <f>IF(OR(historico_VU!A84="",historico_VU!C84=""),"",historico_VU!C84)</f>
        <v/>
      </c>
      <c r="C85" s="110" t="str">
        <f>IF(posicao_contratual!A84="","",posicao_contratual!G84)</f>
        <v/>
      </c>
      <c r="D85" s="109" t="str">
        <f>IF(A85="TOTAL",ROUND(SUM($D$3:D84),2),IF(OR(A85="",B85="",C85=""),"",ROUND(B85*C85,2)))</f>
        <v/>
      </c>
      <c r="E85" s="111" t="str">
        <f>IF(OR(historico_VU!A84="",historico_VU!D84=""),"",historico_VU!D84)</f>
        <v/>
      </c>
      <c r="F85" s="112" t="str">
        <f>IF(posicao_contratual!A84="","",posicao_contratual!K84)</f>
        <v/>
      </c>
      <c r="G85" s="111" t="str">
        <f>IF(A85="TOTAL",ROUND(SUM($G$3:G84),2),IF(OR(A85="",E85="",F85=""),"",ROUND(E85*F85,2)))</f>
        <v/>
      </c>
      <c r="H85" s="109" t="str">
        <f>IF(OR(historico_VU!A84="",historico_VU!E84=""),"",historico_VU!E84)</f>
        <v/>
      </c>
      <c r="I85" s="110" t="str">
        <f>IF(posicao_contratual!A84="","",posicao_contratual!O84)</f>
        <v/>
      </c>
      <c r="J85" s="109" t="str">
        <f>IF(A85="TOTAL",ROUND(SUM($J$3:J84),2),IF(OR(A85="",H85="",I85=""),"",ROUND(H85*I85,2)))</f>
        <v/>
      </c>
      <c r="K85" s="111" t="str">
        <f>IF(OR(historico_VU!A84="",historico_VU!F84=""),"",historico_VU!F84)</f>
        <v/>
      </c>
      <c r="L85" s="112" t="str">
        <f>IF(posicao_contratual!A84="","",posicao_contratual!S84)</f>
        <v/>
      </c>
      <c r="M85" s="111" t="str">
        <f>IF(A85="TOTAL",ROUND(SUM($M$3:M84),2),IF(OR(A85="",K85="",L85=""),"",ROUND(K85*L85,2)))</f>
        <v/>
      </c>
      <c r="N85" s="109" t="str">
        <f>IF(OR(historico_VU!A84="",historico_VU!G84=""),"",historico_VU!G84)</f>
        <v/>
      </c>
      <c r="O85" s="110" t="str">
        <f>IF(posicao_contratual!A84="","",posicao_contratual!W84)</f>
        <v/>
      </c>
      <c r="P85" s="109" t="str">
        <f>IF(A85="TOTAL",ROUND(SUM($P$3:P84),2),IF(OR(A85="",N85="",O85=""),"",ROUND(N85*O85,2)))</f>
        <v/>
      </c>
      <c r="Q85" s="183" t="str">
        <f t="shared" ca="1" si="16"/>
        <v/>
      </c>
      <c r="R85" t="str">
        <f>IF($A85="","",IF(MEMORIA_RESULTADOS!$W$46="","","C"&amp;MEMORIA_RESULTADOS!$W$46))</f>
        <v/>
      </c>
      <c r="S85" s="210" t="str">
        <f t="shared" ca="1" si="17"/>
        <v/>
      </c>
      <c r="T85" s="210" t="str">
        <f t="shared" ca="1" si="18"/>
        <v/>
      </c>
      <c r="U85" s="210" t="str">
        <f t="shared" ca="1" si="19"/>
        <v/>
      </c>
      <c r="V85" s="195" t="str">
        <f t="shared" ca="1" si="20"/>
        <v/>
      </c>
      <c r="W85" s="195" t="str">
        <f t="shared" ca="1" si="21"/>
        <v/>
      </c>
      <c r="X85" s="195" t="str">
        <f t="shared" ca="1" si="22"/>
        <v/>
      </c>
      <c r="Y85" t="str">
        <f t="shared" ca="1" si="23"/>
        <v/>
      </c>
      <c r="Z85" s="211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08" t="str">
        <f>IF(AND(itens_Remanesc!A85="",itens_Remanesc!A84&lt;&gt;"",COUNTIF(itens_Remanesc!A86:$A$200,"&lt;&gt;")=0),"TOTAL",IF(itens_Remanesc!A85="","",itens_Remanesc!A85))</f>
        <v/>
      </c>
      <c r="B86" s="109" t="str">
        <f>IF(OR(historico_VU!A85="",historico_VU!C85=""),"",historico_VU!C85)</f>
        <v/>
      </c>
      <c r="C86" s="110" t="str">
        <f>IF(posicao_contratual!A85="","",posicao_contratual!G85)</f>
        <v/>
      </c>
      <c r="D86" s="109" t="str">
        <f>IF(A86="TOTAL",ROUND(SUM($D$3:D85),2),IF(OR(A86="",B86="",C86=""),"",ROUND(B86*C86,2)))</f>
        <v/>
      </c>
      <c r="E86" s="111" t="str">
        <f>IF(OR(historico_VU!A85="",historico_VU!D85=""),"",historico_VU!D85)</f>
        <v/>
      </c>
      <c r="F86" s="112" t="str">
        <f>IF(posicao_contratual!A85="","",posicao_contratual!K85)</f>
        <v/>
      </c>
      <c r="G86" s="111" t="str">
        <f>IF(A86="TOTAL",ROUND(SUM($G$3:G85),2),IF(OR(A86="",E86="",F86=""),"",ROUND(E86*F86,2)))</f>
        <v/>
      </c>
      <c r="H86" s="109" t="str">
        <f>IF(OR(historico_VU!A85="",historico_VU!E85=""),"",historico_VU!E85)</f>
        <v/>
      </c>
      <c r="I86" s="110" t="str">
        <f>IF(posicao_contratual!A85="","",posicao_contratual!O85)</f>
        <v/>
      </c>
      <c r="J86" s="109" t="str">
        <f>IF(A86="TOTAL",ROUND(SUM($J$3:J85),2),IF(OR(A86="",H86="",I86=""),"",ROUND(H86*I86,2)))</f>
        <v/>
      </c>
      <c r="K86" s="111" t="str">
        <f>IF(OR(historico_VU!A85="",historico_VU!F85=""),"",historico_VU!F85)</f>
        <v/>
      </c>
      <c r="L86" s="112" t="str">
        <f>IF(posicao_contratual!A85="","",posicao_contratual!S85)</f>
        <v/>
      </c>
      <c r="M86" s="111" t="str">
        <f>IF(A86="TOTAL",ROUND(SUM($M$3:M85),2),IF(OR(A86="",K86="",L86=""),"",ROUND(K86*L86,2)))</f>
        <v/>
      </c>
      <c r="N86" s="109" t="str">
        <f>IF(OR(historico_VU!A85="",historico_VU!G85=""),"",historico_VU!G85)</f>
        <v/>
      </c>
      <c r="O86" s="110" t="str">
        <f>IF(posicao_contratual!A85="","",posicao_contratual!W85)</f>
        <v/>
      </c>
      <c r="P86" s="109" t="str">
        <f>IF(A86="TOTAL",ROUND(SUM($P$3:P85),2),IF(OR(A86="",N86="",O86=""),"",ROUND(N86*O86,2)))</f>
        <v/>
      </c>
      <c r="Q86" s="183" t="str">
        <f t="shared" ca="1" si="16"/>
        <v/>
      </c>
      <c r="R86" t="str">
        <f>IF($A86="","",IF(MEMORIA_RESULTADOS!$W$46="","","C"&amp;MEMORIA_RESULTADOS!$W$46))</f>
        <v/>
      </c>
      <c r="S86" s="210" t="str">
        <f t="shared" ca="1" si="17"/>
        <v/>
      </c>
      <c r="T86" s="210" t="str">
        <f t="shared" ca="1" si="18"/>
        <v/>
      </c>
      <c r="U86" s="210" t="str">
        <f t="shared" ca="1" si="19"/>
        <v/>
      </c>
      <c r="V86" s="195" t="str">
        <f t="shared" ca="1" si="20"/>
        <v/>
      </c>
      <c r="W86" s="195" t="str">
        <f t="shared" ca="1" si="21"/>
        <v/>
      </c>
      <c r="X86" s="195" t="str">
        <f t="shared" ca="1" si="22"/>
        <v/>
      </c>
      <c r="Y86" t="str">
        <f t="shared" ca="1" si="23"/>
        <v/>
      </c>
      <c r="Z86" s="211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08" t="str">
        <f>IF(AND(itens_Remanesc!A86="",itens_Remanesc!A85&lt;&gt;"",COUNTIF(itens_Remanesc!A87:$A$200,"&lt;&gt;")=0),"TOTAL",IF(itens_Remanesc!A86="","",itens_Remanesc!A86))</f>
        <v/>
      </c>
      <c r="B87" s="109" t="str">
        <f>IF(OR(historico_VU!A86="",historico_VU!C86=""),"",historico_VU!C86)</f>
        <v/>
      </c>
      <c r="C87" s="110" t="str">
        <f>IF(posicao_contratual!A86="","",posicao_contratual!G86)</f>
        <v/>
      </c>
      <c r="D87" s="109" t="str">
        <f>IF(A87="TOTAL",ROUND(SUM($D$3:D86),2),IF(OR(A87="",B87="",C87=""),"",ROUND(B87*C87,2)))</f>
        <v/>
      </c>
      <c r="E87" s="111" t="str">
        <f>IF(OR(historico_VU!A86="",historico_VU!D86=""),"",historico_VU!D86)</f>
        <v/>
      </c>
      <c r="F87" s="112" t="str">
        <f>IF(posicao_contratual!A86="","",posicao_contratual!K86)</f>
        <v/>
      </c>
      <c r="G87" s="111" t="str">
        <f>IF(A87="TOTAL",ROUND(SUM($G$3:G86),2),IF(OR(A87="",E87="",F87=""),"",ROUND(E87*F87,2)))</f>
        <v/>
      </c>
      <c r="H87" s="109" t="str">
        <f>IF(OR(historico_VU!A86="",historico_VU!E86=""),"",historico_VU!E86)</f>
        <v/>
      </c>
      <c r="I87" s="110" t="str">
        <f>IF(posicao_contratual!A86="","",posicao_contratual!O86)</f>
        <v/>
      </c>
      <c r="J87" s="109" t="str">
        <f>IF(A87="TOTAL",ROUND(SUM($J$3:J86),2),IF(OR(A87="",H87="",I87=""),"",ROUND(H87*I87,2)))</f>
        <v/>
      </c>
      <c r="K87" s="111" t="str">
        <f>IF(OR(historico_VU!A86="",historico_VU!F86=""),"",historico_VU!F86)</f>
        <v/>
      </c>
      <c r="L87" s="112" t="str">
        <f>IF(posicao_contratual!A86="","",posicao_contratual!S86)</f>
        <v/>
      </c>
      <c r="M87" s="111" t="str">
        <f>IF(A87="TOTAL",ROUND(SUM($M$3:M86),2),IF(OR(A87="",K87="",L87=""),"",ROUND(K87*L87,2)))</f>
        <v/>
      </c>
      <c r="N87" s="109" t="str">
        <f>IF(OR(historico_VU!A86="",historico_VU!G86=""),"",historico_VU!G86)</f>
        <v/>
      </c>
      <c r="O87" s="110" t="str">
        <f>IF(posicao_contratual!A86="","",posicao_contratual!W86)</f>
        <v/>
      </c>
      <c r="P87" s="109" t="str">
        <f>IF(A87="TOTAL",ROUND(SUM($P$3:P86),2),IF(OR(A87="",N87="",O87=""),"",ROUND(N87*O87,2)))</f>
        <v/>
      </c>
      <c r="Q87" s="183" t="str">
        <f t="shared" ca="1" si="16"/>
        <v/>
      </c>
      <c r="R87" t="str">
        <f>IF($A87="","",IF(MEMORIA_RESULTADOS!$W$46="","","C"&amp;MEMORIA_RESULTADOS!$W$46))</f>
        <v/>
      </c>
      <c r="S87" s="210" t="str">
        <f t="shared" ca="1" si="17"/>
        <v/>
      </c>
      <c r="T87" s="210" t="str">
        <f t="shared" ca="1" si="18"/>
        <v/>
      </c>
      <c r="U87" s="210" t="str">
        <f t="shared" ca="1" si="19"/>
        <v/>
      </c>
      <c r="V87" s="195" t="str">
        <f t="shared" ca="1" si="20"/>
        <v/>
      </c>
      <c r="W87" s="195" t="str">
        <f t="shared" ca="1" si="21"/>
        <v/>
      </c>
      <c r="X87" s="195" t="str">
        <f t="shared" ca="1" si="22"/>
        <v/>
      </c>
      <c r="Y87" t="str">
        <f t="shared" ca="1" si="23"/>
        <v/>
      </c>
      <c r="Z87" s="211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08" t="str">
        <f>IF(AND(itens_Remanesc!A87="",itens_Remanesc!A86&lt;&gt;"",COUNTIF(itens_Remanesc!A88:$A$200,"&lt;&gt;")=0),"TOTAL",IF(itens_Remanesc!A87="","",itens_Remanesc!A87))</f>
        <v/>
      </c>
      <c r="B88" s="109" t="str">
        <f>IF(OR(historico_VU!A87="",historico_VU!C87=""),"",historico_VU!C87)</f>
        <v/>
      </c>
      <c r="C88" s="110" t="str">
        <f>IF(posicao_contratual!A87="","",posicao_contratual!G87)</f>
        <v/>
      </c>
      <c r="D88" s="109" t="str">
        <f>IF(A88="TOTAL",ROUND(SUM($D$3:D87),2),IF(OR(A88="",B88="",C88=""),"",ROUND(B88*C88,2)))</f>
        <v/>
      </c>
      <c r="E88" s="111" t="str">
        <f>IF(OR(historico_VU!A87="",historico_VU!D87=""),"",historico_VU!D87)</f>
        <v/>
      </c>
      <c r="F88" s="112" t="str">
        <f>IF(posicao_contratual!A87="","",posicao_contratual!K87)</f>
        <v/>
      </c>
      <c r="G88" s="111" t="str">
        <f>IF(A88="TOTAL",ROUND(SUM($G$3:G87),2),IF(OR(A88="",E88="",F88=""),"",ROUND(E88*F88,2)))</f>
        <v/>
      </c>
      <c r="H88" s="109" t="str">
        <f>IF(OR(historico_VU!A87="",historico_VU!E87=""),"",historico_VU!E87)</f>
        <v/>
      </c>
      <c r="I88" s="110" t="str">
        <f>IF(posicao_contratual!A87="","",posicao_contratual!O87)</f>
        <v/>
      </c>
      <c r="J88" s="109" t="str">
        <f>IF(A88="TOTAL",ROUND(SUM($J$3:J87),2),IF(OR(A88="",H88="",I88=""),"",ROUND(H88*I88,2)))</f>
        <v/>
      </c>
      <c r="K88" s="111" t="str">
        <f>IF(OR(historico_VU!A87="",historico_VU!F87=""),"",historico_VU!F87)</f>
        <v/>
      </c>
      <c r="L88" s="112" t="str">
        <f>IF(posicao_contratual!A87="","",posicao_contratual!S87)</f>
        <v/>
      </c>
      <c r="M88" s="111" t="str">
        <f>IF(A88="TOTAL",ROUND(SUM($M$3:M87),2),IF(OR(A88="",K88="",L88=""),"",ROUND(K88*L88,2)))</f>
        <v/>
      </c>
      <c r="N88" s="109" t="str">
        <f>IF(OR(historico_VU!A87="",historico_VU!G87=""),"",historico_VU!G87)</f>
        <v/>
      </c>
      <c r="O88" s="110" t="str">
        <f>IF(posicao_contratual!A87="","",posicao_contratual!W87)</f>
        <v/>
      </c>
      <c r="P88" s="109" t="str">
        <f>IF(A88="TOTAL",ROUND(SUM($P$3:P87),2),IF(OR(A88="",N88="",O88=""),"",ROUND(N88*O88,2)))</f>
        <v/>
      </c>
      <c r="Q88" s="183" t="str">
        <f t="shared" ca="1" si="16"/>
        <v/>
      </c>
      <c r="R88" t="str">
        <f>IF($A88="","",IF(MEMORIA_RESULTADOS!$W$46="","","C"&amp;MEMORIA_RESULTADOS!$W$46))</f>
        <v/>
      </c>
      <c r="S88" s="210" t="str">
        <f t="shared" ca="1" si="17"/>
        <v/>
      </c>
      <c r="T88" s="210" t="str">
        <f t="shared" ca="1" si="18"/>
        <v/>
      </c>
      <c r="U88" s="210" t="str">
        <f t="shared" ca="1" si="19"/>
        <v/>
      </c>
      <c r="V88" s="195" t="str">
        <f t="shared" ca="1" si="20"/>
        <v/>
      </c>
      <c r="W88" s="195" t="str">
        <f t="shared" ca="1" si="21"/>
        <v/>
      </c>
      <c r="X88" s="195" t="str">
        <f t="shared" ca="1" si="22"/>
        <v/>
      </c>
      <c r="Y88" t="str">
        <f t="shared" ca="1" si="23"/>
        <v/>
      </c>
      <c r="Z88" s="211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08" t="str">
        <f>IF(AND(itens_Remanesc!A88="",itens_Remanesc!A87&lt;&gt;"",COUNTIF(itens_Remanesc!A89:$A$200,"&lt;&gt;")=0),"TOTAL",IF(itens_Remanesc!A88="","",itens_Remanesc!A88))</f>
        <v/>
      </c>
      <c r="B89" s="109" t="str">
        <f>IF(OR(historico_VU!A88="",historico_VU!C88=""),"",historico_VU!C88)</f>
        <v/>
      </c>
      <c r="C89" s="110" t="str">
        <f>IF(posicao_contratual!A88="","",posicao_contratual!G88)</f>
        <v/>
      </c>
      <c r="D89" s="109" t="str">
        <f>IF(A89="TOTAL",ROUND(SUM($D$3:D88),2),IF(OR(A89="",B89="",C89=""),"",ROUND(B89*C89,2)))</f>
        <v/>
      </c>
      <c r="E89" s="111" t="str">
        <f>IF(OR(historico_VU!A88="",historico_VU!D88=""),"",historico_VU!D88)</f>
        <v/>
      </c>
      <c r="F89" s="112" t="str">
        <f>IF(posicao_contratual!A88="","",posicao_contratual!K88)</f>
        <v/>
      </c>
      <c r="G89" s="111" t="str">
        <f>IF(A89="TOTAL",ROUND(SUM($G$3:G88),2),IF(OR(A89="",E89="",F89=""),"",ROUND(E89*F89,2)))</f>
        <v/>
      </c>
      <c r="H89" s="109" t="str">
        <f>IF(OR(historico_VU!A88="",historico_VU!E88=""),"",historico_VU!E88)</f>
        <v/>
      </c>
      <c r="I89" s="110" t="str">
        <f>IF(posicao_contratual!A88="","",posicao_contratual!O88)</f>
        <v/>
      </c>
      <c r="J89" s="109" t="str">
        <f>IF(A89="TOTAL",ROUND(SUM($J$3:J88),2),IF(OR(A89="",H89="",I89=""),"",ROUND(H89*I89,2)))</f>
        <v/>
      </c>
      <c r="K89" s="111" t="str">
        <f>IF(OR(historico_VU!A88="",historico_VU!F88=""),"",historico_VU!F88)</f>
        <v/>
      </c>
      <c r="L89" s="112" t="str">
        <f>IF(posicao_contratual!A88="","",posicao_contratual!S88)</f>
        <v/>
      </c>
      <c r="M89" s="111" t="str">
        <f>IF(A89="TOTAL",ROUND(SUM($M$3:M88),2),IF(OR(A89="",K89="",L89=""),"",ROUND(K89*L89,2)))</f>
        <v/>
      </c>
      <c r="N89" s="109" t="str">
        <f>IF(OR(historico_VU!A88="",historico_VU!G88=""),"",historico_VU!G88)</f>
        <v/>
      </c>
      <c r="O89" s="110" t="str">
        <f>IF(posicao_contratual!A88="","",posicao_contratual!W88)</f>
        <v/>
      </c>
      <c r="P89" s="109" t="str">
        <f>IF(A89="TOTAL",ROUND(SUM($P$3:P88),2),IF(OR(A89="",N89="",O89=""),"",ROUND(N89*O89,2)))</f>
        <v/>
      </c>
      <c r="Q89" s="183" t="str">
        <f t="shared" ca="1" si="16"/>
        <v/>
      </c>
      <c r="R89" t="str">
        <f>IF($A89="","",IF(MEMORIA_RESULTADOS!$W$46="","","C"&amp;MEMORIA_RESULTADOS!$W$46))</f>
        <v/>
      </c>
      <c r="S89" s="210" t="str">
        <f t="shared" ca="1" si="17"/>
        <v/>
      </c>
      <c r="T89" s="210" t="str">
        <f t="shared" ca="1" si="18"/>
        <v/>
      </c>
      <c r="U89" s="210" t="str">
        <f t="shared" ca="1" si="19"/>
        <v/>
      </c>
      <c r="V89" s="195" t="str">
        <f t="shared" ca="1" si="20"/>
        <v/>
      </c>
      <c r="W89" s="195" t="str">
        <f t="shared" ca="1" si="21"/>
        <v/>
      </c>
      <c r="X89" s="195" t="str">
        <f t="shared" ca="1" si="22"/>
        <v/>
      </c>
      <c r="Y89" t="str">
        <f t="shared" ca="1" si="23"/>
        <v/>
      </c>
      <c r="Z89" s="211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08" t="str">
        <f>IF(AND(itens_Remanesc!A89="",itens_Remanesc!A88&lt;&gt;"",COUNTIF(itens_Remanesc!A90:$A$200,"&lt;&gt;")=0),"TOTAL",IF(itens_Remanesc!A89="","",itens_Remanesc!A89))</f>
        <v/>
      </c>
      <c r="B90" s="109" t="str">
        <f>IF(OR(historico_VU!A89="",historico_VU!C89=""),"",historico_VU!C89)</f>
        <v/>
      </c>
      <c r="C90" s="110" t="str">
        <f>IF(posicao_contratual!A89="","",posicao_contratual!G89)</f>
        <v/>
      </c>
      <c r="D90" s="109" t="str">
        <f>IF(A90="TOTAL",ROUND(SUM($D$3:D89),2),IF(OR(A90="",B90="",C90=""),"",ROUND(B90*C90,2)))</f>
        <v/>
      </c>
      <c r="E90" s="111" t="str">
        <f>IF(OR(historico_VU!A89="",historico_VU!D89=""),"",historico_VU!D89)</f>
        <v/>
      </c>
      <c r="F90" s="112" t="str">
        <f>IF(posicao_contratual!A89="","",posicao_contratual!K89)</f>
        <v/>
      </c>
      <c r="G90" s="111" t="str">
        <f>IF(A90="TOTAL",ROUND(SUM($G$3:G89),2),IF(OR(A90="",E90="",F90=""),"",ROUND(E90*F90,2)))</f>
        <v/>
      </c>
      <c r="H90" s="109" t="str">
        <f>IF(OR(historico_VU!A89="",historico_VU!E89=""),"",historico_VU!E89)</f>
        <v/>
      </c>
      <c r="I90" s="110" t="str">
        <f>IF(posicao_contratual!A89="","",posicao_contratual!O89)</f>
        <v/>
      </c>
      <c r="J90" s="109" t="str">
        <f>IF(A90="TOTAL",ROUND(SUM($J$3:J89),2),IF(OR(A90="",H90="",I90=""),"",ROUND(H90*I90,2)))</f>
        <v/>
      </c>
      <c r="K90" s="111" t="str">
        <f>IF(OR(historico_VU!A89="",historico_VU!F89=""),"",historico_VU!F89)</f>
        <v/>
      </c>
      <c r="L90" s="112" t="str">
        <f>IF(posicao_contratual!A89="","",posicao_contratual!S89)</f>
        <v/>
      </c>
      <c r="M90" s="111" t="str">
        <f>IF(A90="TOTAL",ROUND(SUM($M$3:M89),2),IF(OR(A90="",K90="",L90=""),"",ROUND(K90*L90,2)))</f>
        <v/>
      </c>
      <c r="N90" s="109" t="str">
        <f>IF(OR(historico_VU!A89="",historico_VU!G89=""),"",historico_VU!G89)</f>
        <v/>
      </c>
      <c r="O90" s="110" t="str">
        <f>IF(posicao_contratual!A89="","",posicao_contratual!W89)</f>
        <v/>
      </c>
      <c r="P90" s="109" t="str">
        <f>IF(A90="TOTAL",ROUND(SUM($P$3:P89),2),IF(OR(A90="",N90="",O90=""),"",ROUND(N90*O90,2)))</f>
        <v/>
      </c>
      <c r="Q90" s="183" t="str">
        <f t="shared" ca="1" si="16"/>
        <v/>
      </c>
      <c r="R90" t="str">
        <f>IF($A90="","",IF(MEMORIA_RESULTADOS!$W$46="","","C"&amp;MEMORIA_RESULTADOS!$W$46))</f>
        <v/>
      </c>
      <c r="S90" s="210" t="str">
        <f t="shared" ca="1" si="17"/>
        <v/>
      </c>
      <c r="T90" s="210" t="str">
        <f t="shared" ca="1" si="18"/>
        <v/>
      </c>
      <c r="U90" s="210" t="str">
        <f t="shared" ca="1" si="19"/>
        <v/>
      </c>
      <c r="V90" s="195" t="str">
        <f t="shared" ca="1" si="20"/>
        <v/>
      </c>
      <c r="W90" s="195" t="str">
        <f t="shared" ca="1" si="21"/>
        <v/>
      </c>
      <c r="X90" s="195" t="str">
        <f t="shared" ca="1" si="22"/>
        <v/>
      </c>
      <c r="Y90" t="str">
        <f t="shared" ca="1" si="23"/>
        <v/>
      </c>
      <c r="Z90" s="211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08" t="str">
        <f>IF(AND(itens_Remanesc!A90="",itens_Remanesc!A89&lt;&gt;"",COUNTIF(itens_Remanesc!A91:$A$200,"&lt;&gt;")=0),"TOTAL",IF(itens_Remanesc!A90="","",itens_Remanesc!A90))</f>
        <v/>
      </c>
      <c r="B91" s="109" t="str">
        <f>IF(OR(historico_VU!A90="",historico_VU!C90=""),"",historico_VU!C90)</f>
        <v/>
      </c>
      <c r="C91" s="110" t="str">
        <f>IF(posicao_contratual!A90="","",posicao_contratual!G90)</f>
        <v/>
      </c>
      <c r="D91" s="109" t="str">
        <f>IF(A91="TOTAL",ROUND(SUM($D$3:D90),2),IF(OR(A91="",B91="",C91=""),"",ROUND(B91*C91,2)))</f>
        <v/>
      </c>
      <c r="E91" s="111" t="str">
        <f>IF(OR(historico_VU!A90="",historico_VU!D90=""),"",historico_VU!D90)</f>
        <v/>
      </c>
      <c r="F91" s="112" t="str">
        <f>IF(posicao_contratual!A90="","",posicao_contratual!K90)</f>
        <v/>
      </c>
      <c r="G91" s="111" t="str">
        <f>IF(A91="TOTAL",ROUND(SUM($G$3:G90),2),IF(OR(A91="",E91="",F91=""),"",ROUND(E91*F91,2)))</f>
        <v/>
      </c>
      <c r="H91" s="109" t="str">
        <f>IF(OR(historico_VU!A90="",historico_VU!E90=""),"",historico_VU!E90)</f>
        <v/>
      </c>
      <c r="I91" s="110" t="str">
        <f>IF(posicao_contratual!A90="","",posicao_contratual!O90)</f>
        <v/>
      </c>
      <c r="J91" s="109" t="str">
        <f>IF(A91="TOTAL",ROUND(SUM($J$3:J90),2),IF(OR(A91="",H91="",I91=""),"",ROUND(H91*I91,2)))</f>
        <v/>
      </c>
      <c r="K91" s="111" t="str">
        <f>IF(OR(historico_VU!A90="",historico_VU!F90=""),"",historico_VU!F90)</f>
        <v/>
      </c>
      <c r="L91" s="112" t="str">
        <f>IF(posicao_contratual!A90="","",posicao_contratual!S90)</f>
        <v/>
      </c>
      <c r="M91" s="111" t="str">
        <f>IF(A91="TOTAL",ROUND(SUM($M$3:M90),2),IF(OR(A91="",K91="",L91=""),"",ROUND(K91*L91,2)))</f>
        <v/>
      </c>
      <c r="N91" s="109" t="str">
        <f>IF(OR(historico_VU!A90="",historico_VU!G90=""),"",historico_VU!G90)</f>
        <v/>
      </c>
      <c r="O91" s="110" t="str">
        <f>IF(posicao_contratual!A90="","",posicao_contratual!W90)</f>
        <v/>
      </c>
      <c r="P91" s="109" t="str">
        <f>IF(A91="TOTAL",ROUND(SUM($P$3:P90),2),IF(OR(A91="",N91="",O91=""),"",ROUND(N91*O91,2)))</f>
        <v/>
      </c>
      <c r="Q91" s="183" t="str">
        <f t="shared" ca="1" si="16"/>
        <v/>
      </c>
      <c r="R91" t="str">
        <f>IF($A91="","",IF(MEMORIA_RESULTADOS!$W$46="","","C"&amp;MEMORIA_RESULTADOS!$W$46))</f>
        <v/>
      </c>
      <c r="S91" s="210" t="str">
        <f t="shared" ca="1" si="17"/>
        <v/>
      </c>
      <c r="T91" s="210" t="str">
        <f t="shared" ca="1" si="18"/>
        <v/>
      </c>
      <c r="U91" s="210" t="str">
        <f t="shared" ca="1" si="19"/>
        <v/>
      </c>
      <c r="V91" s="195" t="str">
        <f t="shared" ca="1" si="20"/>
        <v/>
      </c>
      <c r="W91" s="195" t="str">
        <f t="shared" ca="1" si="21"/>
        <v/>
      </c>
      <c r="X91" s="195" t="str">
        <f t="shared" ca="1" si="22"/>
        <v/>
      </c>
      <c r="Y91" t="str">
        <f t="shared" ca="1" si="23"/>
        <v/>
      </c>
      <c r="Z91" s="211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08" t="str">
        <f>IF(AND(itens_Remanesc!A91="",itens_Remanesc!A90&lt;&gt;"",COUNTIF(itens_Remanesc!A92:$A$200,"&lt;&gt;")=0),"TOTAL",IF(itens_Remanesc!A91="","",itens_Remanesc!A91))</f>
        <v/>
      </c>
      <c r="B92" s="109" t="str">
        <f>IF(OR(historico_VU!A91="",historico_VU!C91=""),"",historico_VU!C91)</f>
        <v/>
      </c>
      <c r="C92" s="110" t="str">
        <f>IF(posicao_contratual!A91="","",posicao_contratual!G91)</f>
        <v/>
      </c>
      <c r="D92" s="109" t="str">
        <f>IF(A92="TOTAL",ROUND(SUM($D$3:D91),2),IF(OR(A92="",B92="",C92=""),"",ROUND(B92*C92,2)))</f>
        <v/>
      </c>
      <c r="E92" s="111" t="str">
        <f>IF(OR(historico_VU!A91="",historico_VU!D91=""),"",historico_VU!D91)</f>
        <v/>
      </c>
      <c r="F92" s="112" t="str">
        <f>IF(posicao_contratual!A91="","",posicao_contratual!K91)</f>
        <v/>
      </c>
      <c r="G92" s="111" t="str">
        <f>IF(A92="TOTAL",ROUND(SUM($G$3:G91),2),IF(OR(A92="",E92="",F92=""),"",ROUND(E92*F92,2)))</f>
        <v/>
      </c>
      <c r="H92" s="109" t="str">
        <f>IF(OR(historico_VU!A91="",historico_VU!E91=""),"",historico_VU!E91)</f>
        <v/>
      </c>
      <c r="I92" s="110" t="str">
        <f>IF(posicao_contratual!A91="","",posicao_contratual!O91)</f>
        <v/>
      </c>
      <c r="J92" s="109" t="str">
        <f>IF(A92="TOTAL",ROUND(SUM($J$3:J91),2),IF(OR(A92="",H92="",I92=""),"",ROUND(H92*I92,2)))</f>
        <v/>
      </c>
      <c r="K92" s="111" t="str">
        <f>IF(OR(historico_VU!A91="",historico_VU!F91=""),"",historico_VU!F91)</f>
        <v/>
      </c>
      <c r="L92" s="112" t="str">
        <f>IF(posicao_contratual!A91="","",posicao_contratual!S91)</f>
        <v/>
      </c>
      <c r="M92" s="111" t="str">
        <f>IF(A92="TOTAL",ROUND(SUM($M$3:M91),2),IF(OR(A92="",K92="",L92=""),"",ROUND(K92*L92,2)))</f>
        <v/>
      </c>
      <c r="N92" s="109" t="str">
        <f>IF(OR(historico_VU!A91="",historico_VU!G91=""),"",historico_VU!G91)</f>
        <v/>
      </c>
      <c r="O92" s="110" t="str">
        <f>IF(posicao_contratual!A91="","",posicao_contratual!W91)</f>
        <v/>
      </c>
      <c r="P92" s="109" t="str">
        <f>IF(A92="TOTAL",ROUND(SUM($P$3:P91),2),IF(OR(A92="",N92="",O92=""),"",ROUND(N92*O92,2)))</f>
        <v/>
      </c>
      <c r="Q92" s="183" t="str">
        <f t="shared" ca="1" si="16"/>
        <v/>
      </c>
      <c r="R92" t="str">
        <f>IF($A92="","",IF(MEMORIA_RESULTADOS!$W$46="","","C"&amp;MEMORIA_RESULTADOS!$W$46))</f>
        <v/>
      </c>
      <c r="S92" s="210" t="str">
        <f t="shared" ca="1" si="17"/>
        <v/>
      </c>
      <c r="T92" s="210" t="str">
        <f t="shared" ca="1" si="18"/>
        <v/>
      </c>
      <c r="U92" s="210" t="str">
        <f t="shared" ca="1" si="19"/>
        <v/>
      </c>
      <c r="V92" s="195" t="str">
        <f t="shared" ca="1" si="20"/>
        <v/>
      </c>
      <c r="W92" s="195" t="str">
        <f t="shared" ca="1" si="21"/>
        <v/>
      </c>
      <c r="X92" s="195" t="str">
        <f t="shared" ca="1" si="22"/>
        <v/>
      </c>
      <c r="Y92" t="str">
        <f t="shared" ca="1" si="23"/>
        <v/>
      </c>
      <c r="Z92" s="211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08" t="str">
        <f>IF(AND(itens_Remanesc!A92="",itens_Remanesc!A91&lt;&gt;"",COUNTIF(itens_Remanesc!A93:$A$200,"&lt;&gt;")=0),"TOTAL",IF(itens_Remanesc!A92="","",itens_Remanesc!A92))</f>
        <v/>
      </c>
      <c r="B93" s="109" t="str">
        <f>IF(OR(historico_VU!A92="",historico_VU!C92=""),"",historico_VU!C92)</f>
        <v/>
      </c>
      <c r="C93" s="110" t="str">
        <f>IF(posicao_contratual!A92="","",posicao_contratual!G92)</f>
        <v/>
      </c>
      <c r="D93" s="109" t="str">
        <f>IF(A93="TOTAL",ROUND(SUM($D$3:D92),2),IF(OR(A93="",B93="",C93=""),"",ROUND(B93*C93,2)))</f>
        <v/>
      </c>
      <c r="E93" s="111" t="str">
        <f>IF(OR(historico_VU!A92="",historico_VU!D92=""),"",historico_VU!D92)</f>
        <v/>
      </c>
      <c r="F93" s="112" t="str">
        <f>IF(posicao_contratual!A92="","",posicao_contratual!K92)</f>
        <v/>
      </c>
      <c r="G93" s="111" t="str">
        <f>IF(A93="TOTAL",ROUND(SUM($G$3:G92),2),IF(OR(A93="",E93="",F93=""),"",ROUND(E93*F93,2)))</f>
        <v/>
      </c>
      <c r="H93" s="109" t="str">
        <f>IF(OR(historico_VU!A92="",historico_VU!E92=""),"",historico_VU!E92)</f>
        <v/>
      </c>
      <c r="I93" s="110" t="str">
        <f>IF(posicao_contratual!A92="","",posicao_contratual!O92)</f>
        <v/>
      </c>
      <c r="J93" s="109" t="str">
        <f>IF(A93="TOTAL",ROUND(SUM($J$3:J92),2),IF(OR(A93="",H93="",I93=""),"",ROUND(H93*I93,2)))</f>
        <v/>
      </c>
      <c r="K93" s="111" t="str">
        <f>IF(OR(historico_VU!A92="",historico_VU!F92=""),"",historico_VU!F92)</f>
        <v/>
      </c>
      <c r="L93" s="112" t="str">
        <f>IF(posicao_contratual!A92="","",posicao_contratual!S92)</f>
        <v/>
      </c>
      <c r="M93" s="111" t="str">
        <f>IF(A93="TOTAL",ROUND(SUM($M$3:M92),2),IF(OR(A93="",K93="",L93=""),"",ROUND(K93*L93,2)))</f>
        <v/>
      </c>
      <c r="N93" s="109" t="str">
        <f>IF(OR(historico_VU!A92="",historico_VU!G92=""),"",historico_VU!G92)</f>
        <v/>
      </c>
      <c r="O93" s="110" t="str">
        <f>IF(posicao_contratual!A92="","",posicao_contratual!W92)</f>
        <v/>
      </c>
      <c r="P93" s="109" t="str">
        <f>IF(A93="TOTAL",ROUND(SUM($P$3:P92),2),IF(OR(A93="",N93="",O93=""),"",ROUND(N93*O93,2)))</f>
        <v/>
      </c>
      <c r="Q93" s="183" t="str">
        <f t="shared" ca="1" si="16"/>
        <v/>
      </c>
      <c r="R93" t="str">
        <f>IF($A93="","",IF(MEMORIA_RESULTADOS!$W$46="","","C"&amp;MEMORIA_RESULTADOS!$W$46))</f>
        <v/>
      </c>
      <c r="S93" s="210" t="str">
        <f t="shared" ca="1" si="17"/>
        <v/>
      </c>
      <c r="T93" s="210" t="str">
        <f t="shared" ca="1" si="18"/>
        <v/>
      </c>
      <c r="U93" s="210" t="str">
        <f t="shared" ca="1" si="19"/>
        <v/>
      </c>
      <c r="V93" s="195" t="str">
        <f t="shared" ca="1" si="20"/>
        <v/>
      </c>
      <c r="W93" s="195" t="str">
        <f t="shared" ca="1" si="21"/>
        <v/>
      </c>
      <c r="X93" s="195" t="str">
        <f t="shared" ca="1" si="22"/>
        <v/>
      </c>
      <c r="Y93" t="str">
        <f t="shared" ca="1" si="23"/>
        <v/>
      </c>
      <c r="Z93" s="211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08" t="str">
        <f>IF(AND(itens_Remanesc!A93="",itens_Remanesc!A92&lt;&gt;"",COUNTIF(itens_Remanesc!A94:$A$200,"&lt;&gt;")=0),"TOTAL",IF(itens_Remanesc!A93="","",itens_Remanesc!A93))</f>
        <v/>
      </c>
      <c r="B94" s="109" t="str">
        <f>IF(OR(historico_VU!A93="",historico_VU!C93=""),"",historico_VU!C93)</f>
        <v/>
      </c>
      <c r="C94" s="110" t="str">
        <f>IF(posicao_contratual!A93="","",posicao_contratual!G93)</f>
        <v/>
      </c>
      <c r="D94" s="109" t="str">
        <f>IF(A94="TOTAL",ROUND(SUM($D$3:D93),2),IF(OR(A94="",B94="",C94=""),"",ROUND(B94*C94,2)))</f>
        <v/>
      </c>
      <c r="E94" s="111" t="str">
        <f>IF(OR(historico_VU!A93="",historico_VU!D93=""),"",historico_VU!D93)</f>
        <v/>
      </c>
      <c r="F94" s="112" t="str">
        <f>IF(posicao_contratual!A93="","",posicao_contratual!K93)</f>
        <v/>
      </c>
      <c r="G94" s="111" t="str">
        <f>IF(A94="TOTAL",ROUND(SUM($G$3:G93),2),IF(OR(A94="",E94="",F94=""),"",ROUND(E94*F94,2)))</f>
        <v/>
      </c>
      <c r="H94" s="109" t="str">
        <f>IF(OR(historico_VU!A93="",historico_VU!E93=""),"",historico_VU!E93)</f>
        <v/>
      </c>
      <c r="I94" s="110" t="str">
        <f>IF(posicao_contratual!A93="","",posicao_contratual!O93)</f>
        <v/>
      </c>
      <c r="J94" s="109" t="str">
        <f>IF(A94="TOTAL",ROUND(SUM($J$3:J93),2),IF(OR(A94="",H94="",I94=""),"",ROUND(H94*I94,2)))</f>
        <v/>
      </c>
      <c r="K94" s="111" t="str">
        <f>IF(OR(historico_VU!A93="",historico_VU!F93=""),"",historico_VU!F93)</f>
        <v/>
      </c>
      <c r="L94" s="112" t="str">
        <f>IF(posicao_contratual!A93="","",posicao_contratual!S93)</f>
        <v/>
      </c>
      <c r="M94" s="111" t="str">
        <f>IF(A94="TOTAL",ROUND(SUM($M$3:M93),2),IF(OR(A94="",K94="",L94=""),"",ROUND(K94*L94,2)))</f>
        <v/>
      </c>
      <c r="N94" s="109" t="str">
        <f>IF(OR(historico_VU!A93="",historico_VU!G93=""),"",historico_VU!G93)</f>
        <v/>
      </c>
      <c r="O94" s="110" t="str">
        <f>IF(posicao_contratual!A93="","",posicao_contratual!W93)</f>
        <v/>
      </c>
      <c r="P94" s="109" t="str">
        <f>IF(A94="TOTAL",ROUND(SUM($P$3:P93),2),IF(OR(A94="",N94="",O94=""),"",ROUND(N94*O94,2)))</f>
        <v/>
      </c>
      <c r="Q94" s="183" t="str">
        <f t="shared" ca="1" si="16"/>
        <v/>
      </c>
      <c r="R94" t="str">
        <f>IF($A94="","",IF(MEMORIA_RESULTADOS!$W$46="","","C"&amp;MEMORIA_RESULTADOS!$W$46))</f>
        <v/>
      </c>
      <c r="S94" s="210" t="str">
        <f t="shared" ca="1" si="17"/>
        <v/>
      </c>
      <c r="T94" s="210" t="str">
        <f t="shared" ca="1" si="18"/>
        <v/>
      </c>
      <c r="U94" s="210" t="str">
        <f t="shared" ca="1" si="19"/>
        <v/>
      </c>
      <c r="V94" s="195" t="str">
        <f t="shared" ca="1" si="20"/>
        <v/>
      </c>
      <c r="W94" s="195" t="str">
        <f t="shared" ca="1" si="21"/>
        <v/>
      </c>
      <c r="X94" s="195" t="str">
        <f t="shared" ca="1" si="22"/>
        <v/>
      </c>
      <c r="Y94" t="str">
        <f t="shared" ca="1" si="23"/>
        <v/>
      </c>
      <c r="Z94" s="211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08" t="str">
        <f>IF(AND(itens_Remanesc!A94="",itens_Remanesc!A93&lt;&gt;"",COUNTIF(itens_Remanesc!A95:$A$200,"&lt;&gt;")=0),"TOTAL",IF(itens_Remanesc!A94="","",itens_Remanesc!A94))</f>
        <v/>
      </c>
      <c r="B95" s="109" t="str">
        <f>IF(OR(historico_VU!A94="",historico_VU!C94=""),"",historico_VU!C94)</f>
        <v/>
      </c>
      <c r="C95" s="110" t="str">
        <f>IF(posicao_contratual!A94="","",posicao_contratual!G94)</f>
        <v/>
      </c>
      <c r="D95" s="109" t="str">
        <f>IF(A95="TOTAL",ROUND(SUM($D$3:D94),2),IF(OR(A95="",B95="",C95=""),"",ROUND(B95*C95,2)))</f>
        <v/>
      </c>
      <c r="E95" s="111" t="str">
        <f>IF(OR(historico_VU!A94="",historico_VU!D94=""),"",historico_VU!D94)</f>
        <v/>
      </c>
      <c r="F95" s="112" t="str">
        <f>IF(posicao_contratual!A94="","",posicao_contratual!K94)</f>
        <v/>
      </c>
      <c r="G95" s="111" t="str">
        <f>IF(A95="TOTAL",ROUND(SUM($G$3:G94),2),IF(OR(A95="",E95="",F95=""),"",ROUND(E95*F95,2)))</f>
        <v/>
      </c>
      <c r="H95" s="109" t="str">
        <f>IF(OR(historico_VU!A94="",historico_VU!E94=""),"",historico_VU!E94)</f>
        <v/>
      </c>
      <c r="I95" s="110" t="str">
        <f>IF(posicao_contratual!A94="","",posicao_contratual!O94)</f>
        <v/>
      </c>
      <c r="J95" s="109" t="str">
        <f>IF(A95="TOTAL",ROUND(SUM($J$3:J94),2),IF(OR(A95="",H95="",I95=""),"",ROUND(H95*I95,2)))</f>
        <v/>
      </c>
      <c r="K95" s="111" t="str">
        <f>IF(OR(historico_VU!A94="",historico_VU!F94=""),"",historico_VU!F94)</f>
        <v/>
      </c>
      <c r="L95" s="112" t="str">
        <f>IF(posicao_contratual!A94="","",posicao_contratual!S94)</f>
        <v/>
      </c>
      <c r="M95" s="111" t="str">
        <f>IF(A95="TOTAL",ROUND(SUM($M$3:M94),2),IF(OR(A95="",K95="",L95=""),"",ROUND(K95*L95,2)))</f>
        <v/>
      </c>
      <c r="N95" s="109" t="str">
        <f>IF(OR(historico_VU!A94="",historico_VU!G94=""),"",historico_VU!G94)</f>
        <v/>
      </c>
      <c r="O95" s="110" t="str">
        <f>IF(posicao_contratual!A94="","",posicao_contratual!W94)</f>
        <v/>
      </c>
      <c r="P95" s="109" t="str">
        <f>IF(A95="TOTAL",ROUND(SUM($P$3:P94),2),IF(OR(A95="",N95="",O95=""),"",ROUND(N95*O95,2)))</f>
        <v/>
      </c>
      <c r="Q95" s="183" t="str">
        <f t="shared" ca="1" si="16"/>
        <v/>
      </c>
      <c r="R95" t="str">
        <f>IF($A95="","",IF(MEMORIA_RESULTADOS!$W$46="","","C"&amp;MEMORIA_RESULTADOS!$W$46))</f>
        <v/>
      </c>
      <c r="S95" s="210" t="str">
        <f t="shared" ca="1" si="17"/>
        <v/>
      </c>
      <c r="T95" s="210" t="str">
        <f t="shared" ca="1" si="18"/>
        <v/>
      </c>
      <c r="U95" s="210" t="str">
        <f t="shared" ca="1" si="19"/>
        <v/>
      </c>
      <c r="V95" s="195" t="str">
        <f t="shared" ca="1" si="20"/>
        <v/>
      </c>
      <c r="W95" s="195" t="str">
        <f t="shared" ca="1" si="21"/>
        <v/>
      </c>
      <c r="X95" s="195" t="str">
        <f t="shared" ca="1" si="22"/>
        <v/>
      </c>
      <c r="Y95" t="str">
        <f t="shared" ca="1" si="23"/>
        <v/>
      </c>
      <c r="Z95" s="211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08" t="str">
        <f>IF(AND(itens_Remanesc!A95="",itens_Remanesc!A94&lt;&gt;"",COUNTIF(itens_Remanesc!A96:$A$200,"&lt;&gt;")=0),"TOTAL",IF(itens_Remanesc!A95="","",itens_Remanesc!A95))</f>
        <v/>
      </c>
      <c r="B96" s="109" t="str">
        <f>IF(OR(historico_VU!A95="",historico_VU!C95=""),"",historico_VU!C95)</f>
        <v/>
      </c>
      <c r="C96" s="110" t="str">
        <f>IF(posicao_contratual!A95="","",posicao_contratual!G95)</f>
        <v/>
      </c>
      <c r="D96" s="109" t="str">
        <f>IF(A96="TOTAL",ROUND(SUM($D$3:D95),2),IF(OR(A96="",B96="",C96=""),"",ROUND(B96*C96,2)))</f>
        <v/>
      </c>
      <c r="E96" s="111" t="str">
        <f>IF(OR(historico_VU!A95="",historico_VU!D95=""),"",historico_VU!D95)</f>
        <v/>
      </c>
      <c r="F96" s="112" t="str">
        <f>IF(posicao_contratual!A95="","",posicao_contratual!K95)</f>
        <v/>
      </c>
      <c r="G96" s="111" t="str">
        <f>IF(A96="TOTAL",ROUND(SUM($G$3:G95),2),IF(OR(A96="",E96="",F96=""),"",ROUND(E96*F96,2)))</f>
        <v/>
      </c>
      <c r="H96" s="109" t="str">
        <f>IF(OR(historico_VU!A95="",historico_VU!E95=""),"",historico_VU!E95)</f>
        <v/>
      </c>
      <c r="I96" s="110" t="str">
        <f>IF(posicao_contratual!A95="","",posicao_contratual!O95)</f>
        <v/>
      </c>
      <c r="J96" s="109" t="str">
        <f>IF(A96="TOTAL",ROUND(SUM($J$3:J95),2),IF(OR(A96="",H96="",I96=""),"",ROUND(H96*I96,2)))</f>
        <v/>
      </c>
      <c r="K96" s="111" t="str">
        <f>IF(OR(historico_VU!A95="",historico_VU!F95=""),"",historico_VU!F95)</f>
        <v/>
      </c>
      <c r="L96" s="112" t="str">
        <f>IF(posicao_contratual!A95="","",posicao_contratual!S95)</f>
        <v/>
      </c>
      <c r="M96" s="111" t="str">
        <f>IF(A96="TOTAL",ROUND(SUM($M$3:M95),2),IF(OR(A96="",K96="",L96=""),"",ROUND(K96*L96,2)))</f>
        <v/>
      </c>
      <c r="N96" s="109" t="str">
        <f>IF(OR(historico_VU!A95="",historico_VU!G95=""),"",historico_VU!G95)</f>
        <v/>
      </c>
      <c r="O96" s="110" t="str">
        <f>IF(posicao_contratual!A95="","",posicao_contratual!W95)</f>
        <v/>
      </c>
      <c r="P96" s="109" t="str">
        <f>IF(A96="TOTAL",ROUND(SUM($P$3:P95),2),IF(OR(A96="",N96="",O96=""),"",ROUND(N96*O96,2)))</f>
        <v/>
      </c>
      <c r="Q96" s="183" t="str">
        <f t="shared" ca="1" si="16"/>
        <v/>
      </c>
      <c r="R96" t="str">
        <f>IF($A96="","",IF(MEMORIA_RESULTADOS!$W$46="","","C"&amp;MEMORIA_RESULTADOS!$W$46))</f>
        <v/>
      </c>
      <c r="S96" s="210" t="str">
        <f t="shared" ca="1" si="17"/>
        <v/>
      </c>
      <c r="T96" s="210" t="str">
        <f t="shared" ca="1" si="18"/>
        <v/>
      </c>
      <c r="U96" s="210" t="str">
        <f t="shared" ca="1" si="19"/>
        <v/>
      </c>
      <c r="V96" s="195" t="str">
        <f t="shared" ca="1" si="20"/>
        <v/>
      </c>
      <c r="W96" s="195" t="str">
        <f t="shared" ca="1" si="21"/>
        <v/>
      </c>
      <c r="X96" s="195" t="str">
        <f t="shared" ca="1" si="22"/>
        <v/>
      </c>
      <c r="Y96" t="str">
        <f t="shared" ca="1" si="23"/>
        <v/>
      </c>
      <c r="Z96" s="211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08" t="str">
        <f>IF(AND(itens_Remanesc!A96="",itens_Remanesc!A95&lt;&gt;"",COUNTIF(itens_Remanesc!A97:$A$200,"&lt;&gt;")=0),"TOTAL",IF(itens_Remanesc!A96="","",itens_Remanesc!A96))</f>
        <v/>
      </c>
      <c r="B97" s="109" t="str">
        <f>IF(OR(historico_VU!A96="",historico_VU!C96=""),"",historico_VU!C96)</f>
        <v/>
      </c>
      <c r="C97" s="110" t="str">
        <f>IF(posicao_contratual!A96="","",posicao_contratual!G96)</f>
        <v/>
      </c>
      <c r="D97" s="109" t="str">
        <f>IF(A97="TOTAL",ROUND(SUM($D$3:D96),2),IF(OR(A97="",B97="",C97=""),"",ROUND(B97*C97,2)))</f>
        <v/>
      </c>
      <c r="E97" s="111" t="str">
        <f>IF(OR(historico_VU!A96="",historico_VU!D96=""),"",historico_VU!D96)</f>
        <v/>
      </c>
      <c r="F97" s="112" t="str">
        <f>IF(posicao_contratual!A96="","",posicao_contratual!K96)</f>
        <v/>
      </c>
      <c r="G97" s="111" t="str">
        <f>IF(A97="TOTAL",ROUND(SUM($G$3:G96),2),IF(OR(A97="",E97="",F97=""),"",ROUND(E97*F97,2)))</f>
        <v/>
      </c>
      <c r="H97" s="109" t="str">
        <f>IF(OR(historico_VU!A96="",historico_VU!E96=""),"",historico_VU!E96)</f>
        <v/>
      </c>
      <c r="I97" s="110" t="str">
        <f>IF(posicao_contratual!A96="","",posicao_contratual!O96)</f>
        <v/>
      </c>
      <c r="J97" s="109" t="str">
        <f>IF(A97="TOTAL",ROUND(SUM($J$3:J96),2),IF(OR(A97="",H97="",I97=""),"",ROUND(H97*I97,2)))</f>
        <v/>
      </c>
      <c r="K97" s="111" t="str">
        <f>IF(OR(historico_VU!A96="",historico_VU!F96=""),"",historico_VU!F96)</f>
        <v/>
      </c>
      <c r="L97" s="112" t="str">
        <f>IF(posicao_contratual!A96="","",posicao_contratual!S96)</f>
        <v/>
      </c>
      <c r="M97" s="111" t="str">
        <f>IF(A97="TOTAL",ROUND(SUM($M$3:M96),2),IF(OR(A97="",K97="",L97=""),"",ROUND(K97*L97,2)))</f>
        <v/>
      </c>
      <c r="N97" s="109" t="str">
        <f>IF(OR(historico_VU!A96="",historico_VU!G96=""),"",historico_VU!G96)</f>
        <v/>
      </c>
      <c r="O97" s="110" t="str">
        <f>IF(posicao_contratual!A96="","",posicao_contratual!W96)</f>
        <v/>
      </c>
      <c r="P97" s="109" t="str">
        <f>IF(A97="TOTAL",ROUND(SUM($P$3:P96),2),IF(OR(A97="",N97="",O97=""),"",ROUND(N97*O97,2)))</f>
        <v/>
      </c>
      <c r="Q97" s="183" t="str">
        <f t="shared" ca="1" si="16"/>
        <v/>
      </c>
      <c r="R97" t="str">
        <f>IF($A97="","",IF(MEMORIA_RESULTADOS!$W$46="","","C"&amp;MEMORIA_RESULTADOS!$W$46))</f>
        <v/>
      </c>
      <c r="S97" s="210" t="str">
        <f t="shared" ca="1" si="17"/>
        <v/>
      </c>
      <c r="T97" s="210" t="str">
        <f t="shared" ca="1" si="18"/>
        <v/>
      </c>
      <c r="U97" s="210" t="str">
        <f t="shared" ca="1" si="19"/>
        <v/>
      </c>
      <c r="V97" s="195" t="str">
        <f t="shared" ca="1" si="20"/>
        <v/>
      </c>
      <c r="W97" s="195" t="str">
        <f t="shared" ca="1" si="21"/>
        <v/>
      </c>
      <c r="X97" s="195" t="str">
        <f t="shared" ca="1" si="22"/>
        <v/>
      </c>
      <c r="Y97" t="str">
        <f t="shared" ca="1" si="23"/>
        <v/>
      </c>
      <c r="Z97" s="211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08" t="str">
        <f>IF(AND(itens_Remanesc!A97="",itens_Remanesc!A96&lt;&gt;"",COUNTIF(itens_Remanesc!A98:$A$200,"&lt;&gt;")=0),"TOTAL",IF(itens_Remanesc!A97="","",itens_Remanesc!A97))</f>
        <v/>
      </c>
      <c r="B98" s="109" t="str">
        <f>IF(OR(historico_VU!A97="",historico_VU!C97=""),"",historico_VU!C97)</f>
        <v/>
      </c>
      <c r="C98" s="110" t="str">
        <f>IF(posicao_contratual!A97="","",posicao_contratual!G97)</f>
        <v/>
      </c>
      <c r="D98" s="109" t="str">
        <f>IF(A98="TOTAL",ROUND(SUM($D$3:D97),2),IF(OR(A98="",B98="",C98=""),"",ROUND(B98*C98,2)))</f>
        <v/>
      </c>
      <c r="E98" s="111" t="str">
        <f>IF(OR(historico_VU!A97="",historico_VU!D97=""),"",historico_VU!D97)</f>
        <v/>
      </c>
      <c r="F98" s="112" t="str">
        <f>IF(posicao_contratual!A97="","",posicao_contratual!K97)</f>
        <v/>
      </c>
      <c r="G98" s="111" t="str">
        <f>IF(A98="TOTAL",ROUND(SUM($G$3:G97),2),IF(OR(A98="",E98="",F98=""),"",ROUND(E98*F98,2)))</f>
        <v/>
      </c>
      <c r="H98" s="109" t="str">
        <f>IF(OR(historico_VU!A97="",historico_VU!E97=""),"",historico_VU!E97)</f>
        <v/>
      </c>
      <c r="I98" s="110" t="str">
        <f>IF(posicao_contratual!A97="","",posicao_contratual!O97)</f>
        <v/>
      </c>
      <c r="J98" s="109" t="str">
        <f>IF(A98="TOTAL",ROUND(SUM($J$3:J97),2),IF(OR(A98="",H98="",I98=""),"",ROUND(H98*I98,2)))</f>
        <v/>
      </c>
      <c r="K98" s="111" t="str">
        <f>IF(OR(historico_VU!A97="",historico_VU!F97=""),"",historico_VU!F97)</f>
        <v/>
      </c>
      <c r="L98" s="112" t="str">
        <f>IF(posicao_contratual!A97="","",posicao_contratual!S97)</f>
        <v/>
      </c>
      <c r="M98" s="111" t="str">
        <f>IF(A98="TOTAL",ROUND(SUM($M$3:M97),2),IF(OR(A98="",K98="",L98=""),"",ROUND(K98*L98,2)))</f>
        <v/>
      </c>
      <c r="N98" s="109" t="str">
        <f>IF(OR(historico_VU!A97="",historico_VU!G97=""),"",historico_VU!G97)</f>
        <v/>
      </c>
      <c r="O98" s="110" t="str">
        <f>IF(posicao_contratual!A97="","",posicao_contratual!W97)</f>
        <v/>
      </c>
      <c r="P98" s="109" t="str">
        <f>IF(A98="TOTAL",ROUND(SUM($P$3:P97),2),IF(OR(A98="",N98="",O98=""),"",ROUND(N98*O98,2)))</f>
        <v/>
      </c>
      <c r="Q98" s="183" t="str">
        <f t="shared" ca="1" si="16"/>
        <v/>
      </c>
      <c r="R98" t="str">
        <f>IF($A98="","",IF(MEMORIA_RESULTADOS!$W$46="","","C"&amp;MEMORIA_RESULTADOS!$W$46))</f>
        <v/>
      </c>
      <c r="S98" s="210" t="str">
        <f t="shared" ca="1" si="17"/>
        <v/>
      </c>
      <c r="T98" s="210" t="str">
        <f t="shared" ca="1" si="18"/>
        <v/>
      </c>
      <c r="U98" s="210" t="str">
        <f t="shared" ca="1" si="19"/>
        <v/>
      </c>
      <c r="V98" s="195" t="str">
        <f t="shared" ca="1" si="20"/>
        <v/>
      </c>
      <c r="W98" s="195" t="str">
        <f t="shared" ca="1" si="21"/>
        <v/>
      </c>
      <c r="X98" s="195" t="str">
        <f t="shared" ca="1" si="22"/>
        <v/>
      </c>
      <c r="Y98" t="str">
        <f t="shared" ca="1" si="23"/>
        <v/>
      </c>
      <c r="Z98" s="211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08" t="str">
        <f>IF(AND(itens_Remanesc!A98="",itens_Remanesc!A97&lt;&gt;"",COUNTIF(itens_Remanesc!A99:$A$200,"&lt;&gt;")=0),"TOTAL",IF(itens_Remanesc!A98="","",itens_Remanesc!A98))</f>
        <v/>
      </c>
      <c r="B99" s="109" t="str">
        <f>IF(OR(historico_VU!A98="",historico_VU!C98=""),"",historico_VU!C98)</f>
        <v/>
      </c>
      <c r="C99" s="110" t="str">
        <f>IF(posicao_contratual!A98="","",posicao_contratual!G98)</f>
        <v/>
      </c>
      <c r="D99" s="109" t="str">
        <f>IF(A99="TOTAL",ROUND(SUM($D$3:D98),2),IF(OR(A99="",B99="",C99=""),"",ROUND(B99*C99,2)))</f>
        <v/>
      </c>
      <c r="E99" s="111" t="str">
        <f>IF(OR(historico_VU!A98="",historico_VU!D98=""),"",historico_VU!D98)</f>
        <v/>
      </c>
      <c r="F99" s="112" t="str">
        <f>IF(posicao_contratual!A98="","",posicao_contratual!K98)</f>
        <v/>
      </c>
      <c r="G99" s="111" t="str">
        <f>IF(A99="TOTAL",ROUND(SUM($G$3:G98),2),IF(OR(A99="",E99="",F99=""),"",ROUND(E99*F99,2)))</f>
        <v/>
      </c>
      <c r="H99" s="109" t="str">
        <f>IF(OR(historico_VU!A98="",historico_VU!E98=""),"",historico_VU!E98)</f>
        <v/>
      </c>
      <c r="I99" s="110" t="str">
        <f>IF(posicao_contratual!A98="","",posicao_contratual!O98)</f>
        <v/>
      </c>
      <c r="J99" s="109" t="str">
        <f>IF(A99="TOTAL",ROUND(SUM($J$3:J98),2),IF(OR(A99="",H99="",I99=""),"",ROUND(H99*I99,2)))</f>
        <v/>
      </c>
      <c r="K99" s="111" t="str">
        <f>IF(OR(historico_VU!A98="",historico_VU!F98=""),"",historico_VU!F98)</f>
        <v/>
      </c>
      <c r="L99" s="112" t="str">
        <f>IF(posicao_contratual!A98="","",posicao_contratual!S98)</f>
        <v/>
      </c>
      <c r="M99" s="111" t="str">
        <f>IF(A99="TOTAL",ROUND(SUM($M$3:M98),2),IF(OR(A99="",K99="",L99=""),"",ROUND(K99*L99,2)))</f>
        <v/>
      </c>
      <c r="N99" s="109" t="str">
        <f>IF(OR(historico_VU!A98="",historico_VU!G98=""),"",historico_VU!G98)</f>
        <v/>
      </c>
      <c r="O99" s="110" t="str">
        <f>IF(posicao_contratual!A98="","",posicao_contratual!W98)</f>
        <v/>
      </c>
      <c r="P99" s="109" t="str">
        <f>IF(A99="TOTAL",ROUND(SUM($P$3:P98),2),IF(OR(A99="",N99="",O99=""),"",ROUND(N99*O99,2)))</f>
        <v/>
      </c>
      <c r="Q99" s="183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0" t="str">
        <f t="shared" ref="S99:S130" ca="1" si="25">IF($A99="","",IFERROR(IF(INDIRECT("CICLO_EM_EXECUCAO!B"&amp;(ROW()+10))="","",INDIRECT("CICLO_EM_EXECUCAO!B"&amp;(ROW()+10))),""))</f>
        <v/>
      </c>
      <c r="T99" s="210" t="str">
        <f t="shared" ref="T99:T130" ca="1" si="26">IF($A99="","",IFERROR(IF(INDIRECT("CICLO_EM_EXECUCAO!D"&amp;(ROW()+10))="","",INDIRECT("CICLO_EM_EXECUCAO!D"&amp;(ROW()+10))),""))</f>
        <v/>
      </c>
      <c r="U99" s="210" t="str">
        <f t="shared" ref="U99:U130" ca="1" si="27">IF($A99="","",IFERROR(IF(INDIRECT("CICLO_EM_EXECUCAO!C"&amp;(ROW()+10))="","",INDIRECT("CICLO_EM_EXECUCAO!C"&amp;(ROW()+10))),""))</f>
        <v/>
      </c>
      <c r="V99" s="195" t="str">
        <f t="shared" ref="V99:V130" ca="1" si="28">IF($A99="","",IFERROR(IF(INDIRECT("CICLO_EM_EXECUCAO!E"&amp;(ROW()+10))="","",INDIRECT("CICLO_EM_EXECUCAO!E"&amp;(ROW()+10))),""))</f>
        <v/>
      </c>
      <c r="W99" s="195" t="str">
        <f t="shared" ref="W99:W130" ca="1" si="29">IF($A99="","",IFERROR(IF(INDIRECT("CICLO_EM_EXECUCAO!F"&amp;(ROW()+10))="","",INDIRECT("CICLO_EM_EXECUCAO!F"&amp;(ROW()+10))),""))</f>
        <v/>
      </c>
      <c r="X99" s="195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1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08" t="str">
        <f>IF(AND(itens_Remanesc!A99="",itens_Remanesc!A98&lt;&gt;"",COUNTIF(itens_Remanesc!A100:$A$200,"&lt;&gt;")=0),"TOTAL",IF(itens_Remanesc!A99="","",itens_Remanesc!A99))</f>
        <v/>
      </c>
      <c r="B100" s="109" t="str">
        <f>IF(OR(historico_VU!A99="",historico_VU!C99=""),"",historico_VU!C99)</f>
        <v/>
      </c>
      <c r="C100" s="110" t="str">
        <f>IF(posicao_contratual!A99="","",posicao_contratual!G99)</f>
        <v/>
      </c>
      <c r="D100" s="109" t="str">
        <f>IF(A100="TOTAL",ROUND(SUM($D$3:D99),2),IF(OR(A100="",B100="",C100=""),"",ROUND(B100*C100,2)))</f>
        <v/>
      </c>
      <c r="E100" s="111" t="str">
        <f>IF(OR(historico_VU!A99="",historico_VU!D99=""),"",historico_VU!D99)</f>
        <v/>
      </c>
      <c r="F100" s="112" t="str">
        <f>IF(posicao_contratual!A99="","",posicao_contratual!K99)</f>
        <v/>
      </c>
      <c r="G100" s="111" t="str">
        <f>IF(A100="TOTAL",ROUND(SUM($G$3:G99),2),IF(OR(A100="",E100="",F100=""),"",ROUND(E100*F100,2)))</f>
        <v/>
      </c>
      <c r="H100" s="109" t="str">
        <f>IF(OR(historico_VU!A99="",historico_VU!E99=""),"",historico_VU!E99)</f>
        <v/>
      </c>
      <c r="I100" s="110" t="str">
        <f>IF(posicao_contratual!A99="","",posicao_contratual!O99)</f>
        <v/>
      </c>
      <c r="J100" s="109" t="str">
        <f>IF(A100="TOTAL",ROUND(SUM($J$3:J99),2),IF(OR(A100="",H100="",I100=""),"",ROUND(H100*I100,2)))</f>
        <v/>
      </c>
      <c r="K100" s="111" t="str">
        <f>IF(OR(historico_VU!A99="",historico_VU!F99=""),"",historico_VU!F99)</f>
        <v/>
      </c>
      <c r="L100" s="112" t="str">
        <f>IF(posicao_contratual!A99="","",posicao_contratual!S99)</f>
        <v/>
      </c>
      <c r="M100" s="111" t="str">
        <f>IF(A100="TOTAL",ROUND(SUM($M$3:M99),2),IF(OR(A100="",K100="",L100=""),"",ROUND(K100*L100,2)))</f>
        <v/>
      </c>
      <c r="N100" s="109" t="str">
        <f>IF(OR(historico_VU!A99="",historico_VU!G99=""),"",historico_VU!G99)</f>
        <v/>
      </c>
      <c r="O100" s="110" t="str">
        <f>IF(posicao_contratual!A99="","",posicao_contratual!W99)</f>
        <v/>
      </c>
      <c r="P100" s="109" t="str">
        <f>IF(A100="TOTAL",ROUND(SUM($P$3:P99),2),IF(OR(A100="",N100="",O100=""),"",ROUND(N100*O100,2)))</f>
        <v/>
      </c>
      <c r="Q100" s="183" t="str">
        <f t="shared" ca="1" si="24"/>
        <v/>
      </c>
      <c r="R100" t="str">
        <f>IF($A100="","",IF(MEMORIA_RESULTADOS!$W$46="","","C"&amp;MEMORIA_RESULTADOS!$W$46))</f>
        <v/>
      </c>
      <c r="S100" s="210" t="str">
        <f t="shared" ca="1" si="25"/>
        <v/>
      </c>
      <c r="T100" s="210" t="str">
        <f t="shared" ca="1" si="26"/>
        <v/>
      </c>
      <c r="U100" s="210" t="str">
        <f t="shared" ca="1" si="27"/>
        <v/>
      </c>
      <c r="V100" s="195" t="str">
        <f t="shared" ca="1" si="28"/>
        <v/>
      </c>
      <c r="W100" s="195" t="str">
        <f t="shared" ca="1" si="29"/>
        <v/>
      </c>
      <c r="X100" s="195" t="str">
        <f t="shared" ca="1" si="30"/>
        <v/>
      </c>
      <c r="Y100" t="str">
        <f t="shared" ca="1" si="31"/>
        <v/>
      </c>
      <c r="Z100" s="211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08" t="str">
        <f>IF(AND(itens_Remanesc!A100="",itens_Remanesc!A99&lt;&gt;"",COUNTIF(itens_Remanesc!A101:$A$200,"&lt;&gt;")=0),"TOTAL",IF(itens_Remanesc!A100="","",itens_Remanesc!A100))</f>
        <v/>
      </c>
      <c r="B101" s="109" t="str">
        <f>IF(OR(historico_VU!A100="",historico_VU!C100=""),"",historico_VU!C100)</f>
        <v/>
      </c>
      <c r="C101" s="110" t="str">
        <f>IF(posicao_contratual!A100="","",posicao_contratual!G100)</f>
        <v/>
      </c>
      <c r="D101" s="109" t="str">
        <f>IF(A101="TOTAL",ROUND(SUM($D$3:D100),2),IF(OR(A101="",B101="",C101=""),"",ROUND(B101*C101,2)))</f>
        <v/>
      </c>
      <c r="E101" s="111" t="str">
        <f>IF(OR(historico_VU!A100="",historico_VU!D100=""),"",historico_VU!D100)</f>
        <v/>
      </c>
      <c r="F101" s="112" t="str">
        <f>IF(posicao_contratual!A100="","",posicao_contratual!K100)</f>
        <v/>
      </c>
      <c r="G101" s="111" t="str">
        <f>IF(A101="TOTAL",ROUND(SUM($G$3:G100),2),IF(OR(A101="",E101="",F101=""),"",ROUND(E101*F101,2)))</f>
        <v/>
      </c>
      <c r="H101" s="109" t="str">
        <f>IF(OR(historico_VU!A100="",historico_VU!E100=""),"",historico_VU!E100)</f>
        <v/>
      </c>
      <c r="I101" s="110" t="str">
        <f>IF(posicao_contratual!A100="","",posicao_contratual!O100)</f>
        <v/>
      </c>
      <c r="J101" s="109" t="str">
        <f>IF(A101="TOTAL",ROUND(SUM($J$3:J100),2),IF(OR(A101="",H101="",I101=""),"",ROUND(H101*I101,2)))</f>
        <v/>
      </c>
      <c r="K101" s="111" t="str">
        <f>IF(OR(historico_VU!A100="",historico_VU!F100=""),"",historico_VU!F100)</f>
        <v/>
      </c>
      <c r="L101" s="112" t="str">
        <f>IF(posicao_contratual!A100="","",posicao_contratual!S100)</f>
        <v/>
      </c>
      <c r="M101" s="111" t="str">
        <f>IF(A101="TOTAL",ROUND(SUM($M$3:M100),2),IF(OR(A101="",K101="",L101=""),"",ROUND(K101*L101,2)))</f>
        <v/>
      </c>
      <c r="N101" s="109" t="str">
        <f>IF(OR(historico_VU!A100="",historico_VU!G100=""),"",historico_VU!G100)</f>
        <v/>
      </c>
      <c r="O101" s="110" t="str">
        <f>IF(posicao_contratual!A100="","",posicao_contratual!W100)</f>
        <v/>
      </c>
      <c r="P101" s="109" t="str">
        <f>IF(A101="TOTAL",ROUND(SUM($P$3:P100),2),IF(OR(A101="",N101="",O101=""),"",ROUND(N101*O101,2)))</f>
        <v/>
      </c>
      <c r="Q101" s="183" t="str">
        <f t="shared" ca="1" si="24"/>
        <v/>
      </c>
      <c r="R101" t="str">
        <f>IF($A101="","",IF(MEMORIA_RESULTADOS!$W$46="","","C"&amp;MEMORIA_RESULTADOS!$W$46))</f>
        <v/>
      </c>
      <c r="S101" s="210" t="str">
        <f t="shared" ca="1" si="25"/>
        <v/>
      </c>
      <c r="T101" s="210" t="str">
        <f t="shared" ca="1" si="26"/>
        <v/>
      </c>
      <c r="U101" s="210" t="str">
        <f t="shared" ca="1" si="27"/>
        <v/>
      </c>
      <c r="V101" s="195" t="str">
        <f t="shared" ca="1" si="28"/>
        <v/>
      </c>
      <c r="W101" s="195" t="str">
        <f t="shared" ca="1" si="29"/>
        <v/>
      </c>
      <c r="X101" s="195" t="str">
        <f t="shared" ca="1" si="30"/>
        <v/>
      </c>
      <c r="Y101" t="str">
        <f t="shared" ca="1" si="31"/>
        <v/>
      </c>
      <c r="Z101" s="211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08" t="str">
        <f>IF(AND(itens_Remanesc!A101="",itens_Remanesc!A100&lt;&gt;"",COUNTIF(itens_Remanesc!A102:$A$200,"&lt;&gt;")=0),"TOTAL",IF(itens_Remanesc!A101="","",itens_Remanesc!A101))</f>
        <v/>
      </c>
      <c r="B102" s="109" t="str">
        <f>IF(OR(historico_VU!A101="",historico_VU!C101=""),"",historico_VU!C101)</f>
        <v/>
      </c>
      <c r="C102" s="110" t="str">
        <f>IF(posicao_contratual!A101="","",posicao_contratual!G101)</f>
        <v/>
      </c>
      <c r="D102" s="109" t="str">
        <f>IF(A102="TOTAL",ROUND(SUM($D$3:D101),2),IF(OR(A102="",B102="",C102=""),"",ROUND(B102*C102,2)))</f>
        <v/>
      </c>
      <c r="E102" s="111" t="str">
        <f>IF(OR(historico_VU!A101="",historico_VU!D101=""),"",historico_VU!D101)</f>
        <v/>
      </c>
      <c r="F102" s="112" t="str">
        <f>IF(posicao_contratual!A101="","",posicao_contratual!K101)</f>
        <v/>
      </c>
      <c r="G102" s="111" t="str">
        <f>IF(A102="TOTAL",ROUND(SUM($G$3:G101),2),IF(OR(A102="",E102="",F102=""),"",ROUND(E102*F102,2)))</f>
        <v/>
      </c>
      <c r="H102" s="109" t="str">
        <f>IF(OR(historico_VU!A101="",historico_VU!E101=""),"",historico_VU!E101)</f>
        <v/>
      </c>
      <c r="I102" s="110" t="str">
        <f>IF(posicao_contratual!A101="","",posicao_contratual!O101)</f>
        <v/>
      </c>
      <c r="J102" s="109" t="str">
        <f>IF(A102="TOTAL",ROUND(SUM($J$3:J101),2),IF(OR(A102="",H102="",I102=""),"",ROUND(H102*I102,2)))</f>
        <v/>
      </c>
      <c r="K102" s="111" t="str">
        <f>IF(OR(historico_VU!A101="",historico_VU!F101=""),"",historico_VU!F101)</f>
        <v/>
      </c>
      <c r="L102" s="112" t="str">
        <f>IF(posicao_contratual!A101="","",posicao_contratual!S101)</f>
        <v/>
      </c>
      <c r="M102" s="111" t="str">
        <f>IF(A102="TOTAL",ROUND(SUM($M$3:M101),2),IF(OR(A102="",K102="",L102=""),"",ROUND(K102*L102,2)))</f>
        <v/>
      </c>
      <c r="N102" s="109" t="str">
        <f>IF(OR(historico_VU!A101="",historico_VU!G101=""),"",historico_VU!G101)</f>
        <v/>
      </c>
      <c r="O102" s="110" t="str">
        <f>IF(posicao_contratual!A101="","",posicao_contratual!W101)</f>
        <v/>
      </c>
      <c r="P102" s="109" t="str">
        <f>IF(A102="TOTAL",ROUND(SUM($P$3:P101),2),IF(OR(A102="",N102="",O102=""),"",ROUND(N102*O102,2)))</f>
        <v/>
      </c>
      <c r="Q102" s="183" t="str">
        <f t="shared" ca="1" si="24"/>
        <v/>
      </c>
      <c r="R102" t="str">
        <f>IF($A102="","",IF(MEMORIA_RESULTADOS!$W$46="","","C"&amp;MEMORIA_RESULTADOS!$W$46))</f>
        <v/>
      </c>
      <c r="S102" s="210" t="str">
        <f t="shared" ca="1" si="25"/>
        <v/>
      </c>
      <c r="T102" s="210" t="str">
        <f t="shared" ca="1" si="26"/>
        <v/>
      </c>
      <c r="U102" s="210" t="str">
        <f t="shared" ca="1" si="27"/>
        <v/>
      </c>
      <c r="V102" s="195" t="str">
        <f t="shared" ca="1" si="28"/>
        <v/>
      </c>
      <c r="W102" s="195" t="str">
        <f t="shared" ca="1" si="29"/>
        <v/>
      </c>
      <c r="X102" s="195" t="str">
        <f t="shared" ca="1" si="30"/>
        <v/>
      </c>
      <c r="Y102" t="str">
        <f t="shared" ca="1" si="31"/>
        <v/>
      </c>
      <c r="Z102" s="211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08" t="str">
        <f>IF(AND(itens_Remanesc!A102="",itens_Remanesc!A101&lt;&gt;"",COUNTIF(itens_Remanesc!A103:$A$200,"&lt;&gt;")=0),"TOTAL",IF(itens_Remanesc!A102="","",itens_Remanesc!A102))</f>
        <v/>
      </c>
      <c r="B103" s="109" t="str">
        <f>IF(OR(historico_VU!A102="",historico_VU!C102=""),"",historico_VU!C102)</f>
        <v/>
      </c>
      <c r="C103" s="110" t="str">
        <f>IF(posicao_contratual!A102="","",posicao_contratual!G102)</f>
        <v/>
      </c>
      <c r="D103" s="109" t="str">
        <f>IF(A103="TOTAL",ROUND(SUM($D$3:D102),2),IF(OR(A103="",B103="",C103=""),"",ROUND(B103*C103,2)))</f>
        <v/>
      </c>
      <c r="E103" s="111" t="str">
        <f>IF(OR(historico_VU!A102="",historico_VU!D102=""),"",historico_VU!D102)</f>
        <v/>
      </c>
      <c r="F103" s="112" t="str">
        <f>IF(posicao_contratual!A102="","",posicao_contratual!K102)</f>
        <v/>
      </c>
      <c r="G103" s="111" t="str">
        <f>IF(A103="TOTAL",ROUND(SUM($G$3:G102),2),IF(OR(A103="",E103="",F103=""),"",ROUND(E103*F103,2)))</f>
        <v/>
      </c>
      <c r="H103" s="109" t="str">
        <f>IF(OR(historico_VU!A102="",historico_VU!E102=""),"",historico_VU!E102)</f>
        <v/>
      </c>
      <c r="I103" s="110" t="str">
        <f>IF(posicao_contratual!A102="","",posicao_contratual!O102)</f>
        <v/>
      </c>
      <c r="J103" s="109" t="str">
        <f>IF(A103="TOTAL",ROUND(SUM($J$3:J102),2),IF(OR(A103="",H103="",I103=""),"",ROUND(H103*I103,2)))</f>
        <v/>
      </c>
      <c r="K103" s="111" t="str">
        <f>IF(OR(historico_VU!A102="",historico_VU!F102=""),"",historico_VU!F102)</f>
        <v/>
      </c>
      <c r="L103" s="112" t="str">
        <f>IF(posicao_contratual!A102="","",posicao_contratual!S102)</f>
        <v/>
      </c>
      <c r="M103" s="111" t="str">
        <f>IF(A103="TOTAL",ROUND(SUM($M$3:M102),2),IF(OR(A103="",K103="",L103=""),"",ROUND(K103*L103,2)))</f>
        <v/>
      </c>
      <c r="N103" s="109" t="str">
        <f>IF(OR(historico_VU!A102="",historico_VU!G102=""),"",historico_VU!G102)</f>
        <v/>
      </c>
      <c r="O103" s="110" t="str">
        <f>IF(posicao_contratual!A102="","",posicao_contratual!W102)</f>
        <v/>
      </c>
      <c r="P103" s="109" t="str">
        <f>IF(A103="TOTAL",ROUND(SUM($P$3:P102),2),IF(OR(A103="",N103="",O103=""),"",ROUND(N103*O103,2)))</f>
        <v/>
      </c>
      <c r="Q103" s="183" t="str">
        <f t="shared" ca="1" si="24"/>
        <v/>
      </c>
      <c r="R103" t="str">
        <f>IF($A103="","",IF(MEMORIA_RESULTADOS!$W$46="","","C"&amp;MEMORIA_RESULTADOS!$W$46))</f>
        <v/>
      </c>
      <c r="S103" s="210" t="str">
        <f t="shared" ca="1" si="25"/>
        <v/>
      </c>
      <c r="T103" s="210" t="str">
        <f t="shared" ca="1" si="26"/>
        <v/>
      </c>
      <c r="U103" s="210" t="str">
        <f t="shared" ca="1" si="27"/>
        <v/>
      </c>
      <c r="V103" s="195" t="str">
        <f t="shared" ca="1" si="28"/>
        <v/>
      </c>
      <c r="W103" s="195" t="str">
        <f t="shared" ca="1" si="29"/>
        <v/>
      </c>
      <c r="X103" s="195" t="str">
        <f t="shared" ca="1" si="30"/>
        <v/>
      </c>
      <c r="Y103" t="str">
        <f t="shared" ca="1" si="31"/>
        <v/>
      </c>
      <c r="Z103" s="211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08" t="str">
        <f>IF(AND(itens_Remanesc!A103="",itens_Remanesc!A102&lt;&gt;"",COUNTIF(itens_Remanesc!A104:$A$200,"&lt;&gt;")=0),"TOTAL",IF(itens_Remanesc!A103="","",itens_Remanesc!A103))</f>
        <v/>
      </c>
      <c r="B104" s="109" t="str">
        <f>IF(OR(historico_VU!A103="",historico_VU!C103=""),"",historico_VU!C103)</f>
        <v/>
      </c>
      <c r="C104" s="110" t="str">
        <f>IF(posicao_contratual!A103="","",posicao_contratual!G103)</f>
        <v/>
      </c>
      <c r="D104" s="109" t="str">
        <f>IF(A104="TOTAL",ROUND(SUM($D$3:D103),2),IF(OR(A104="",B104="",C104=""),"",ROUND(B104*C104,2)))</f>
        <v/>
      </c>
      <c r="E104" s="111" t="str">
        <f>IF(OR(historico_VU!A103="",historico_VU!D103=""),"",historico_VU!D103)</f>
        <v/>
      </c>
      <c r="F104" s="112" t="str">
        <f>IF(posicao_contratual!A103="","",posicao_contratual!K103)</f>
        <v/>
      </c>
      <c r="G104" s="111" t="str">
        <f>IF(A104="TOTAL",ROUND(SUM($G$3:G103),2),IF(OR(A104="",E104="",F104=""),"",ROUND(E104*F104,2)))</f>
        <v/>
      </c>
      <c r="H104" s="109" t="str">
        <f>IF(OR(historico_VU!A103="",historico_VU!E103=""),"",historico_VU!E103)</f>
        <v/>
      </c>
      <c r="I104" s="110" t="str">
        <f>IF(posicao_contratual!A103="","",posicao_contratual!O103)</f>
        <v/>
      </c>
      <c r="J104" s="109" t="str">
        <f>IF(A104="TOTAL",ROUND(SUM($J$3:J103),2),IF(OR(A104="",H104="",I104=""),"",ROUND(H104*I104,2)))</f>
        <v/>
      </c>
      <c r="K104" s="111" t="str">
        <f>IF(OR(historico_VU!A103="",historico_VU!F103=""),"",historico_VU!F103)</f>
        <v/>
      </c>
      <c r="L104" s="112" t="str">
        <f>IF(posicao_contratual!A103="","",posicao_contratual!S103)</f>
        <v/>
      </c>
      <c r="M104" s="111" t="str">
        <f>IF(A104="TOTAL",ROUND(SUM($M$3:M103),2),IF(OR(A104="",K104="",L104=""),"",ROUND(K104*L104,2)))</f>
        <v/>
      </c>
      <c r="N104" s="109" t="str">
        <f>IF(OR(historico_VU!A103="",historico_VU!G103=""),"",historico_VU!G103)</f>
        <v/>
      </c>
      <c r="O104" s="110" t="str">
        <f>IF(posicao_contratual!A103="","",posicao_contratual!W103)</f>
        <v/>
      </c>
      <c r="P104" s="109" t="str">
        <f>IF(A104="TOTAL",ROUND(SUM($P$3:P103),2),IF(OR(A104="",N104="",O104=""),"",ROUND(N104*O104,2)))</f>
        <v/>
      </c>
      <c r="Q104" s="183" t="str">
        <f t="shared" ca="1" si="24"/>
        <v/>
      </c>
      <c r="R104" t="str">
        <f>IF($A104="","",IF(MEMORIA_RESULTADOS!$W$46="","","C"&amp;MEMORIA_RESULTADOS!$W$46))</f>
        <v/>
      </c>
      <c r="S104" s="210" t="str">
        <f t="shared" ca="1" si="25"/>
        <v/>
      </c>
      <c r="T104" s="210" t="str">
        <f t="shared" ca="1" si="26"/>
        <v/>
      </c>
      <c r="U104" s="210" t="str">
        <f t="shared" ca="1" si="27"/>
        <v/>
      </c>
      <c r="V104" s="195" t="str">
        <f t="shared" ca="1" si="28"/>
        <v/>
      </c>
      <c r="W104" s="195" t="str">
        <f t="shared" ca="1" si="29"/>
        <v/>
      </c>
      <c r="X104" s="195" t="str">
        <f t="shared" ca="1" si="30"/>
        <v/>
      </c>
      <c r="Y104" t="str">
        <f t="shared" ca="1" si="31"/>
        <v/>
      </c>
      <c r="Z104" s="211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08" t="str">
        <f>IF(AND(itens_Remanesc!A104="",itens_Remanesc!A103&lt;&gt;"",COUNTIF(itens_Remanesc!A105:$A$200,"&lt;&gt;")=0),"TOTAL",IF(itens_Remanesc!A104="","",itens_Remanesc!A104))</f>
        <v/>
      </c>
      <c r="B105" s="109" t="str">
        <f>IF(OR(historico_VU!A104="",historico_VU!C104=""),"",historico_VU!C104)</f>
        <v/>
      </c>
      <c r="C105" s="110" t="str">
        <f>IF(posicao_contratual!A104="","",posicao_contratual!G104)</f>
        <v/>
      </c>
      <c r="D105" s="109" t="str">
        <f>IF(A105="TOTAL",ROUND(SUM($D$3:D104),2),IF(OR(A105="",B105="",C105=""),"",ROUND(B105*C105,2)))</f>
        <v/>
      </c>
      <c r="E105" s="111" t="str">
        <f>IF(OR(historico_VU!A104="",historico_VU!D104=""),"",historico_VU!D104)</f>
        <v/>
      </c>
      <c r="F105" s="112" t="str">
        <f>IF(posicao_contratual!A104="","",posicao_contratual!K104)</f>
        <v/>
      </c>
      <c r="G105" s="111" t="str">
        <f>IF(A105="TOTAL",ROUND(SUM($G$3:G104),2),IF(OR(A105="",E105="",F105=""),"",ROUND(E105*F105,2)))</f>
        <v/>
      </c>
      <c r="H105" s="109" t="str">
        <f>IF(OR(historico_VU!A104="",historico_VU!E104=""),"",historico_VU!E104)</f>
        <v/>
      </c>
      <c r="I105" s="110" t="str">
        <f>IF(posicao_contratual!A104="","",posicao_contratual!O104)</f>
        <v/>
      </c>
      <c r="J105" s="109" t="str">
        <f>IF(A105="TOTAL",ROUND(SUM($J$3:J104),2),IF(OR(A105="",H105="",I105=""),"",ROUND(H105*I105,2)))</f>
        <v/>
      </c>
      <c r="K105" s="111" t="str">
        <f>IF(OR(historico_VU!A104="",historico_VU!F104=""),"",historico_VU!F104)</f>
        <v/>
      </c>
      <c r="L105" s="112" t="str">
        <f>IF(posicao_contratual!A104="","",posicao_contratual!S104)</f>
        <v/>
      </c>
      <c r="M105" s="111" t="str">
        <f>IF(A105="TOTAL",ROUND(SUM($M$3:M104),2),IF(OR(A105="",K105="",L105=""),"",ROUND(K105*L105,2)))</f>
        <v/>
      </c>
      <c r="N105" s="109" t="str">
        <f>IF(OR(historico_VU!A104="",historico_VU!G104=""),"",historico_VU!G104)</f>
        <v/>
      </c>
      <c r="O105" s="110" t="str">
        <f>IF(posicao_contratual!A104="","",posicao_contratual!W104)</f>
        <v/>
      </c>
      <c r="P105" s="109" t="str">
        <f>IF(A105="TOTAL",ROUND(SUM($P$3:P104),2),IF(OR(A105="",N105="",O105=""),"",ROUND(N105*O105,2)))</f>
        <v/>
      </c>
      <c r="Q105" s="183" t="str">
        <f t="shared" ca="1" si="24"/>
        <v/>
      </c>
      <c r="R105" t="str">
        <f>IF($A105="","",IF(MEMORIA_RESULTADOS!$W$46="","","C"&amp;MEMORIA_RESULTADOS!$W$46))</f>
        <v/>
      </c>
      <c r="S105" s="210" t="str">
        <f t="shared" ca="1" si="25"/>
        <v/>
      </c>
      <c r="T105" s="210" t="str">
        <f t="shared" ca="1" si="26"/>
        <v/>
      </c>
      <c r="U105" s="210" t="str">
        <f t="shared" ca="1" si="27"/>
        <v/>
      </c>
      <c r="V105" s="195" t="str">
        <f t="shared" ca="1" si="28"/>
        <v/>
      </c>
      <c r="W105" s="195" t="str">
        <f t="shared" ca="1" si="29"/>
        <v/>
      </c>
      <c r="X105" s="195" t="str">
        <f t="shared" ca="1" si="30"/>
        <v/>
      </c>
      <c r="Y105" t="str">
        <f t="shared" ca="1" si="31"/>
        <v/>
      </c>
      <c r="Z105" s="211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08" t="str">
        <f>IF(AND(itens_Remanesc!A105="",itens_Remanesc!A104&lt;&gt;"",COUNTIF(itens_Remanesc!A106:$A$200,"&lt;&gt;")=0),"TOTAL",IF(itens_Remanesc!A105="","",itens_Remanesc!A105))</f>
        <v/>
      </c>
      <c r="B106" s="109" t="str">
        <f>IF(OR(historico_VU!A105="",historico_VU!C105=""),"",historico_VU!C105)</f>
        <v/>
      </c>
      <c r="C106" s="110" t="str">
        <f>IF(posicao_contratual!A105="","",posicao_contratual!G105)</f>
        <v/>
      </c>
      <c r="D106" s="109" t="str">
        <f>IF(A106="TOTAL",ROUND(SUM($D$3:D105),2),IF(OR(A106="",B106="",C106=""),"",ROUND(B106*C106,2)))</f>
        <v/>
      </c>
      <c r="E106" s="111" t="str">
        <f>IF(OR(historico_VU!A105="",historico_VU!D105=""),"",historico_VU!D105)</f>
        <v/>
      </c>
      <c r="F106" s="112" t="str">
        <f>IF(posicao_contratual!A105="","",posicao_contratual!K105)</f>
        <v/>
      </c>
      <c r="G106" s="111" t="str">
        <f>IF(A106="TOTAL",ROUND(SUM($G$3:G105),2),IF(OR(A106="",E106="",F106=""),"",ROUND(E106*F106,2)))</f>
        <v/>
      </c>
      <c r="H106" s="109" t="str">
        <f>IF(OR(historico_VU!A105="",historico_VU!E105=""),"",historico_VU!E105)</f>
        <v/>
      </c>
      <c r="I106" s="110" t="str">
        <f>IF(posicao_contratual!A105="","",posicao_contratual!O105)</f>
        <v/>
      </c>
      <c r="J106" s="109" t="str">
        <f>IF(A106="TOTAL",ROUND(SUM($J$3:J105),2),IF(OR(A106="",H106="",I106=""),"",ROUND(H106*I106,2)))</f>
        <v/>
      </c>
      <c r="K106" s="111" t="str">
        <f>IF(OR(historico_VU!A105="",historico_VU!F105=""),"",historico_VU!F105)</f>
        <v/>
      </c>
      <c r="L106" s="112" t="str">
        <f>IF(posicao_contratual!A105="","",posicao_contratual!S105)</f>
        <v/>
      </c>
      <c r="M106" s="111" t="str">
        <f>IF(A106="TOTAL",ROUND(SUM($M$3:M105),2),IF(OR(A106="",K106="",L106=""),"",ROUND(K106*L106,2)))</f>
        <v/>
      </c>
      <c r="N106" s="109" t="str">
        <f>IF(OR(historico_VU!A105="",historico_VU!G105=""),"",historico_VU!G105)</f>
        <v/>
      </c>
      <c r="O106" s="110" t="str">
        <f>IF(posicao_contratual!A105="","",posicao_contratual!W105)</f>
        <v/>
      </c>
      <c r="P106" s="109" t="str">
        <f>IF(A106="TOTAL",ROUND(SUM($P$3:P105),2),IF(OR(A106="",N106="",O106=""),"",ROUND(N106*O106,2)))</f>
        <v/>
      </c>
      <c r="Q106" s="183" t="str">
        <f t="shared" ca="1" si="24"/>
        <v/>
      </c>
      <c r="R106" t="str">
        <f>IF($A106="","",IF(MEMORIA_RESULTADOS!$W$46="","","C"&amp;MEMORIA_RESULTADOS!$W$46))</f>
        <v/>
      </c>
      <c r="S106" s="210" t="str">
        <f t="shared" ca="1" si="25"/>
        <v/>
      </c>
      <c r="T106" s="210" t="str">
        <f t="shared" ca="1" si="26"/>
        <v/>
      </c>
      <c r="U106" s="210" t="str">
        <f t="shared" ca="1" si="27"/>
        <v/>
      </c>
      <c r="V106" s="195" t="str">
        <f t="shared" ca="1" si="28"/>
        <v/>
      </c>
      <c r="W106" s="195" t="str">
        <f t="shared" ca="1" si="29"/>
        <v/>
      </c>
      <c r="X106" s="195" t="str">
        <f t="shared" ca="1" si="30"/>
        <v/>
      </c>
      <c r="Y106" t="str">
        <f t="shared" ca="1" si="31"/>
        <v/>
      </c>
      <c r="Z106" s="211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08" t="str">
        <f>IF(AND(itens_Remanesc!A106="",itens_Remanesc!A105&lt;&gt;"",COUNTIF(itens_Remanesc!A107:$A$200,"&lt;&gt;")=0),"TOTAL",IF(itens_Remanesc!A106="","",itens_Remanesc!A106))</f>
        <v/>
      </c>
      <c r="B107" s="109" t="str">
        <f>IF(OR(historico_VU!A106="",historico_VU!C106=""),"",historico_VU!C106)</f>
        <v/>
      </c>
      <c r="C107" s="110" t="str">
        <f>IF(posicao_contratual!A106="","",posicao_contratual!G106)</f>
        <v/>
      </c>
      <c r="D107" s="109" t="str">
        <f>IF(A107="TOTAL",ROUND(SUM($D$3:D106),2),IF(OR(A107="",B107="",C107=""),"",ROUND(B107*C107,2)))</f>
        <v/>
      </c>
      <c r="E107" s="111" t="str">
        <f>IF(OR(historico_VU!A106="",historico_VU!D106=""),"",historico_VU!D106)</f>
        <v/>
      </c>
      <c r="F107" s="112" t="str">
        <f>IF(posicao_contratual!A106="","",posicao_contratual!K106)</f>
        <v/>
      </c>
      <c r="G107" s="111" t="str">
        <f>IF(A107="TOTAL",ROUND(SUM($G$3:G106),2),IF(OR(A107="",E107="",F107=""),"",ROUND(E107*F107,2)))</f>
        <v/>
      </c>
      <c r="H107" s="109" t="str">
        <f>IF(OR(historico_VU!A106="",historico_VU!E106=""),"",historico_VU!E106)</f>
        <v/>
      </c>
      <c r="I107" s="110" t="str">
        <f>IF(posicao_contratual!A106="","",posicao_contratual!O106)</f>
        <v/>
      </c>
      <c r="J107" s="109" t="str">
        <f>IF(A107="TOTAL",ROUND(SUM($J$3:J106),2),IF(OR(A107="",H107="",I107=""),"",ROUND(H107*I107,2)))</f>
        <v/>
      </c>
      <c r="K107" s="111" t="str">
        <f>IF(OR(historico_VU!A106="",historico_VU!F106=""),"",historico_VU!F106)</f>
        <v/>
      </c>
      <c r="L107" s="112" t="str">
        <f>IF(posicao_contratual!A106="","",posicao_contratual!S106)</f>
        <v/>
      </c>
      <c r="M107" s="111" t="str">
        <f>IF(A107="TOTAL",ROUND(SUM($M$3:M106),2),IF(OR(A107="",K107="",L107=""),"",ROUND(K107*L107,2)))</f>
        <v/>
      </c>
      <c r="N107" s="109" t="str">
        <f>IF(OR(historico_VU!A106="",historico_VU!G106=""),"",historico_VU!G106)</f>
        <v/>
      </c>
      <c r="O107" s="110" t="str">
        <f>IF(posicao_contratual!A106="","",posicao_contratual!W106)</f>
        <v/>
      </c>
      <c r="P107" s="109" t="str">
        <f>IF(A107="TOTAL",ROUND(SUM($P$3:P106),2),IF(OR(A107="",N107="",O107=""),"",ROUND(N107*O107,2)))</f>
        <v/>
      </c>
      <c r="Q107" s="183" t="str">
        <f t="shared" ca="1" si="24"/>
        <v/>
      </c>
      <c r="R107" t="str">
        <f>IF($A107="","",IF(MEMORIA_RESULTADOS!$W$46="","","C"&amp;MEMORIA_RESULTADOS!$W$46))</f>
        <v/>
      </c>
      <c r="S107" s="210" t="str">
        <f t="shared" ca="1" si="25"/>
        <v/>
      </c>
      <c r="T107" s="210" t="str">
        <f t="shared" ca="1" si="26"/>
        <v/>
      </c>
      <c r="U107" s="210" t="str">
        <f t="shared" ca="1" si="27"/>
        <v/>
      </c>
      <c r="V107" s="195" t="str">
        <f t="shared" ca="1" si="28"/>
        <v/>
      </c>
      <c r="W107" s="195" t="str">
        <f t="shared" ca="1" si="29"/>
        <v/>
      </c>
      <c r="X107" s="195" t="str">
        <f t="shared" ca="1" si="30"/>
        <v/>
      </c>
      <c r="Y107" t="str">
        <f t="shared" ca="1" si="31"/>
        <v/>
      </c>
      <c r="Z107" s="211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08" t="str">
        <f>IF(AND(itens_Remanesc!A107="",itens_Remanesc!A106&lt;&gt;"",COUNTIF(itens_Remanesc!A108:$A$200,"&lt;&gt;")=0),"TOTAL",IF(itens_Remanesc!A107="","",itens_Remanesc!A107))</f>
        <v/>
      </c>
      <c r="B108" s="109" t="str">
        <f>IF(OR(historico_VU!A107="",historico_VU!C107=""),"",historico_VU!C107)</f>
        <v/>
      </c>
      <c r="C108" s="110" t="str">
        <f>IF(posicao_contratual!A107="","",posicao_contratual!G107)</f>
        <v/>
      </c>
      <c r="D108" s="109" t="str">
        <f>IF(A108="TOTAL",ROUND(SUM($D$3:D107),2),IF(OR(A108="",B108="",C108=""),"",ROUND(B108*C108,2)))</f>
        <v/>
      </c>
      <c r="E108" s="111" t="str">
        <f>IF(OR(historico_VU!A107="",historico_VU!D107=""),"",historico_VU!D107)</f>
        <v/>
      </c>
      <c r="F108" s="112" t="str">
        <f>IF(posicao_contratual!A107="","",posicao_contratual!K107)</f>
        <v/>
      </c>
      <c r="G108" s="111" t="str">
        <f>IF(A108="TOTAL",ROUND(SUM($G$3:G107),2),IF(OR(A108="",E108="",F108=""),"",ROUND(E108*F108,2)))</f>
        <v/>
      </c>
      <c r="H108" s="109" t="str">
        <f>IF(OR(historico_VU!A107="",historico_VU!E107=""),"",historico_VU!E107)</f>
        <v/>
      </c>
      <c r="I108" s="110" t="str">
        <f>IF(posicao_contratual!A107="","",posicao_contratual!O107)</f>
        <v/>
      </c>
      <c r="J108" s="109" t="str">
        <f>IF(A108="TOTAL",ROUND(SUM($J$3:J107),2),IF(OR(A108="",H108="",I108=""),"",ROUND(H108*I108,2)))</f>
        <v/>
      </c>
      <c r="K108" s="111" t="str">
        <f>IF(OR(historico_VU!A107="",historico_VU!F107=""),"",historico_VU!F107)</f>
        <v/>
      </c>
      <c r="L108" s="112" t="str">
        <f>IF(posicao_contratual!A107="","",posicao_contratual!S107)</f>
        <v/>
      </c>
      <c r="M108" s="111" t="str">
        <f>IF(A108="TOTAL",ROUND(SUM($M$3:M107),2),IF(OR(A108="",K108="",L108=""),"",ROUND(K108*L108,2)))</f>
        <v/>
      </c>
      <c r="N108" s="109" t="str">
        <f>IF(OR(historico_VU!A107="",historico_VU!G107=""),"",historico_VU!G107)</f>
        <v/>
      </c>
      <c r="O108" s="110" t="str">
        <f>IF(posicao_contratual!A107="","",posicao_contratual!W107)</f>
        <v/>
      </c>
      <c r="P108" s="109" t="str">
        <f>IF(A108="TOTAL",ROUND(SUM($P$3:P107),2),IF(OR(A108="",N108="",O108=""),"",ROUND(N108*O108,2)))</f>
        <v/>
      </c>
      <c r="Q108" s="183" t="str">
        <f t="shared" ca="1" si="24"/>
        <v/>
      </c>
      <c r="R108" t="str">
        <f>IF($A108="","",IF(MEMORIA_RESULTADOS!$W$46="","","C"&amp;MEMORIA_RESULTADOS!$W$46))</f>
        <v/>
      </c>
      <c r="S108" s="210" t="str">
        <f t="shared" ca="1" si="25"/>
        <v/>
      </c>
      <c r="T108" s="210" t="str">
        <f t="shared" ca="1" si="26"/>
        <v/>
      </c>
      <c r="U108" s="210" t="str">
        <f t="shared" ca="1" si="27"/>
        <v/>
      </c>
      <c r="V108" s="195" t="str">
        <f t="shared" ca="1" si="28"/>
        <v/>
      </c>
      <c r="W108" s="195" t="str">
        <f t="shared" ca="1" si="29"/>
        <v/>
      </c>
      <c r="X108" s="195" t="str">
        <f t="shared" ca="1" si="30"/>
        <v/>
      </c>
      <c r="Y108" t="str">
        <f t="shared" ca="1" si="31"/>
        <v/>
      </c>
      <c r="Z108" s="211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08" t="str">
        <f>IF(AND(itens_Remanesc!A108="",itens_Remanesc!A107&lt;&gt;"",COUNTIF(itens_Remanesc!A109:$A$200,"&lt;&gt;")=0),"TOTAL",IF(itens_Remanesc!A108="","",itens_Remanesc!A108))</f>
        <v/>
      </c>
      <c r="B109" s="109" t="str">
        <f>IF(OR(historico_VU!A108="",historico_VU!C108=""),"",historico_VU!C108)</f>
        <v/>
      </c>
      <c r="C109" s="110" t="str">
        <f>IF(posicao_contratual!A108="","",posicao_contratual!G108)</f>
        <v/>
      </c>
      <c r="D109" s="109" t="str">
        <f>IF(A109="TOTAL",ROUND(SUM($D$3:D108),2),IF(OR(A109="",B109="",C109=""),"",ROUND(B109*C109,2)))</f>
        <v/>
      </c>
      <c r="E109" s="111" t="str">
        <f>IF(OR(historico_VU!A108="",historico_VU!D108=""),"",historico_VU!D108)</f>
        <v/>
      </c>
      <c r="F109" s="112" t="str">
        <f>IF(posicao_contratual!A108="","",posicao_contratual!K108)</f>
        <v/>
      </c>
      <c r="G109" s="111" t="str">
        <f>IF(A109="TOTAL",ROUND(SUM($G$3:G108),2),IF(OR(A109="",E109="",F109=""),"",ROUND(E109*F109,2)))</f>
        <v/>
      </c>
      <c r="H109" s="109" t="str">
        <f>IF(OR(historico_VU!A108="",historico_VU!E108=""),"",historico_VU!E108)</f>
        <v/>
      </c>
      <c r="I109" s="110" t="str">
        <f>IF(posicao_contratual!A108="","",posicao_contratual!O108)</f>
        <v/>
      </c>
      <c r="J109" s="109" t="str">
        <f>IF(A109="TOTAL",ROUND(SUM($J$3:J108),2),IF(OR(A109="",H109="",I109=""),"",ROUND(H109*I109,2)))</f>
        <v/>
      </c>
      <c r="K109" s="111" t="str">
        <f>IF(OR(historico_VU!A108="",historico_VU!F108=""),"",historico_VU!F108)</f>
        <v/>
      </c>
      <c r="L109" s="112" t="str">
        <f>IF(posicao_contratual!A108="","",posicao_contratual!S108)</f>
        <v/>
      </c>
      <c r="M109" s="111" t="str">
        <f>IF(A109="TOTAL",ROUND(SUM($M$3:M108),2),IF(OR(A109="",K109="",L109=""),"",ROUND(K109*L109,2)))</f>
        <v/>
      </c>
      <c r="N109" s="109" t="str">
        <f>IF(OR(historico_VU!A108="",historico_VU!G108=""),"",historico_VU!G108)</f>
        <v/>
      </c>
      <c r="O109" s="110" t="str">
        <f>IF(posicao_contratual!A108="","",posicao_contratual!W108)</f>
        <v/>
      </c>
      <c r="P109" s="109" t="str">
        <f>IF(A109="TOTAL",ROUND(SUM($P$3:P108),2),IF(OR(A109="",N109="",O109=""),"",ROUND(N109*O109,2)))</f>
        <v/>
      </c>
      <c r="Q109" s="183" t="str">
        <f t="shared" ca="1" si="24"/>
        <v/>
      </c>
      <c r="R109" t="str">
        <f>IF($A109="","",IF(MEMORIA_RESULTADOS!$W$46="","","C"&amp;MEMORIA_RESULTADOS!$W$46))</f>
        <v/>
      </c>
      <c r="S109" s="210" t="str">
        <f t="shared" ca="1" si="25"/>
        <v/>
      </c>
      <c r="T109" s="210" t="str">
        <f t="shared" ca="1" si="26"/>
        <v/>
      </c>
      <c r="U109" s="210" t="str">
        <f t="shared" ca="1" si="27"/>
        <v/>
      </c>
      <c r="V109" s="195" t="str">
        <f t="shared" ca="1" si="28"/>
        <v/>
      </c>
      <c r="W109" s="195" t="str">
        <f t="shared" ca="1" si="29"/>
        <v/>
      </c>
      <c r="X109" s="195" t="str">
        <f t="shared" ca="1" si="30"/>
        <v/>
      </c>
      <c r="Y109" t="str">
        <f t="shared" ca="1" si="31"/>
        <v/>
      </c>
      <c r="Z109" s="211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08" t="str">
        <f>IF(AND(itens_Remanesc!A109="",itens_Remanesc!A108&lt;&gt;"",COUNTIF(itens_Remanesc!A110:$A$200,"&lt;&gt;")=0),"TOTAL",IF(itens_Remanesc!A109="","",itens_Remanesc!A109))</f>
        <v/>
      </c>
      <c r="B110" s="109" t="str">
        <f>IF(OR(historico_VU!A109="",historico_VU!C109=""),"",historico_VU!C109)</f>
        <v/>
      </c>
      <c r="C110" s="110" t="str">
        <f>IF(posicao_contratual!A109="","",posicao_contratual!G109)</f>
        <v/>
      </c>
      <c r="D110" s="109" t="str">
        <f>IF(A110="TOTAL",ROUND(SUM($D$3:D109),2),IF(OR(A110="",B110="",C110=""),"",ROUND(B110*C110,2)))</f>
        <v/>
      </c>
      <c r="E110" s="111" t="str">
        <f>IF(OR(historico_VU!A109="",historico_VU!D109=""),"",historico_VU!D109)</f>
        <v/>
      </c>
      <c r="F110" s="112" t="str">
        <f>IF(posicao_contratual!A109="","",posicao_contratual!K109)</f>
        <v/>
      </c>
      <c r="G110" s="111" t="str">
        <f>IF(A110="TOTAL",ROUND(SUM($G$3:G109),2),IF(OR(A110="",E110="",F110=""),"",ROUND(E110*F110,2)))</f>
        <v/>
      </c>
      <c r="H110" s="109" t="str">
        <f>IF(OR(historico_VU!A109="",historico_VU!E109=""),"",historico_VU!E109)</f>
        <v/>
      </c>
      <c r="I110" s="110" t="str">
        <f>IF(posicao_contratual!A109="","",posicao_contratual!O109)</f>
        <v/>
      </c>
      <c r="J110" s="109" t="str">
        <f>IF(A110="TOTAL",ROUND(SUM($J$3:J109),2),IF(OR(A110="",H110="",I110=""),"",ROUND(H110*I110,2)))</f>
        <v/>
      </c>
      <c r="K110" s="111" t="str">
        <f>IF(OR(historico_VU!A109="",historico_VU!F109=""),"",historico_VU!F109)</f>
        <v/>
      </c>
      <c r="L110" s="112" t="str">
        <f>IF(posicao_contratual!A109="","",posicao_contratual!S109)</f>
        <v/>
      </c>
      <c r="M110" s="111" t="str">
        <f>IF(A110="TOTAL",ROUND(SUM($M$3:M109),2),IF(OR(A110="",K110="",L110=""),"",ROUND(K110*L110,2)))</f>
        <v/>
      </c>
      <c r="N110" s="109" t="str">
        <f>IF(OR(historico_VU!A109="",historico_VU!G109=""),"",historico_VU!G109)</f>
        <v/>
      </c>
      <c r="O110" s="110" t="str">
        <f>IF(posicao_contratual!A109="","",posicao_contratual!W109)</f>
        <v/>
      </c>
      <c r="P110" s="109" t="str">
        <f>IF(A110="TOTAL",ROUND(SUM($P$3:P109),2),IF(OR(A110="",N110="",O110=""),"",ROUND(N110*O110,2)))</f>
        <v/>
      </c>
      <c r="Q110" s="183" t="str">
        <f t="shared" ca="1" si="24"/>
        <v/>
      </c>
      <c r="R110" t="str">
        <f>IF($A110="","",IF(MEMORIA_RESULTADOS!$W$46="","","C"&amp;MEMORIA_RESULTADOS!$W$46))</f>
        <v/>
      </c>
      <c r="S110" s="210" t="str">
        <f t="shared" ca="1" si="25"/>
        <v/>
      </c>
      <c r="T110" s="210" t="str">
        <f t="shared" ca="1" si="26"/>
        <v/>
      </c>
      <c r="U110" s="210" t="str">
        <f t="shared" ca="1" si="27"/>
        <v/>
      </c>
      <c r="V110" s="195" t="str">
        <f t="shared" ca="1" si="28"/>
        <v/>
      </c>
      <c r="W110" s="195" t="str">
        <f t="shared" ca="1" si="29"/>
        <v/>
      </c>
      <c r="X110" s="195" t="str">
        <f t="shared" ca="1" si="30"/>
        <v/>
      </c>
      <c r="Y110" t="str">
        <f t="shared" ca="1" si="31"/>
        <v/>
      </c>
      <c r="Z110" s="211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08" t="str">
        <f>IF(AND(itens_Remanesc!A110="",itens_Remanesc!A109&lt;&gt;"",COUNTIF(itens_Remanesc!A111:$A$200,"&lt;&gt;")=0),"TOTAL",IF(itens_Remanesc!A110="","",itens_Remanesc!A110))</f>
        <v/>
      </c>
      <c r="B111" s="109" t="str">
        <f>IF(OR(historico_VU!A110="",historico_VU!C110=""),"",historico_VU!C110)</f>
        <v/>
      </c>
      <c r="C111" s="110" t="str">
        <f>IF(posicao_contratual!A110="","",posicao_contratual!G110)</f>
        <v/>
      </c>
      <c r="D111" s="109" t="str">
        <f>IF(A111="TOTAL",ROUND(SUM($D$3:D110),2),IF(OR(A111="",B111="",C111=""),"",ROUND(B111*C111,2)))</f>
        <v/>
      </c>
      <c r="E111" s="111" t="str">
        <f>IF(OR(historico_VU!A110="",historico_VU!D110=""),"",historico_VU!D110)</f>
        <v/>
      </c>
      <c r="F111" s="112" t="str">
        <f>IF(posicao_contratual!A110="","",posicao_contratual!K110)</f>
        <v/>
      </c>
      <c r="G111" s="111" t="str">
        <f>IF(A111="TOTAL",ROUND(SUM($G$3:G110),2),IF(OR(A111="",E111="",F111=""),"",ROUND(E111*F111,2)))</f>
        <v/>
      </c>
      <c r="H111" s="109" t="str">
        <f>IF(OR(historico_VU!A110="",historico_VU!E110=""),"",historico_VU!E110)</f>
        <v/>
      </c>
      <c r="I111" s="110" t="str">
        <f>IF(posicao_contratual!A110="","",posicao_contratual!O110)</f>
        <v/>
      </c>
      <c r="J111" s="109" t="str">
        <f>IF(A111="TOTAL",ROUND(SUM($J$3:J110),2),IF(OR(A111="",H111="",I111=""),"",ROUND(H111*I111,2)))</f>
        <v/>
      </c>
      <c r="K111" s="111" t="str">
        <f>IF(OR(historico_VU!A110="",historico_VU!F110=""),"",historico_VU!F110)</f>
        <v/>
      </c>
      <c r="L111" s="112" t="str">
        <f>IF(posicao_contratual!A110="","",posicao_contratual!S110)</f>
        <v/>
      </c>
      <c r="M111" s="111" t="str">
        <f>IF(A111="TOTAL",ROUND(SUM($M$3:M110),2),IF(OR(A111="",K111="",L111=""),"",ROUND(K111*L111,2)))</f>
        <v/>
      </c>
      <c r="N111" s="109" t="str">
        <f>IF(OR(historico_VU!A110="",historico_VU!G110=""),"",historico_VU!G110)</f>
        <v/>
      </c>
      <c r="O111" s="110" t="str">
        <f>IF(posicao_contratual!A110="","",posicao_contratual!W110)</f>
        <v/>
      </c>
      <c r="P111" s="109" t="str">
        <f>IF(A111="TOTAL",ROUND(SUM($P$3:P110),2),IF(OR(A111="",N111="",O111=""),"",ROUND(N111*O111,2)))</f>
        <v/>
      </c>
      <c r="Q111" s="183" t="str">
        <f t="shared" ca="1" si="24"/>
        <v/>
      </c>
      <c r="R111" t="str">
        <f>IF($A111="","",IF(MEMORIA_RESULTADOS!$W$46="","","C"&amp;MEMORIA_RESULTADOS!$W$46))</f>
        <v/>
      </c>
      <c r="S111" s="210" t="str">
        <f t="shared" ca="1" si="25"/>
        <v/>
      </c>
      <c r="T111" s="210" t="str">
        <f t="shared" ca="1" si="26"/>
        <v/>
      </c>
      <c r="U111" s="210" t="str">
        <f t="shared" ca="1" si="27"/>
        <v/>
      </c>
      <c r="V111" s="195" t="str">
        <f t="shared" ca="1" si="28"/>
        <v/>
      </c>
      <c r="W111" s="195" t="str">
        <f t="shared" ca="1" si="29"/>
        <v/>
      </c>
      <c r="X111" s="195" t="str">
        <f t="shared" ca="1" si="30"/>
        <v/>
      </c>
      <c r="Y111" t="str">
        <f t="shared" ca="1" si="31"/>
        <v/>
      </c>
      <c r="Z111" s="211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08" t="str">
        <f>IF(AND(itens_Remanesc!A111="",itens_Remanesc!A110&lt;&gt;"",COUNTIF(itens_Remanesc!A112:$A$200,"&lt;&gt;")=0),"TOTAL",IF(itens_Remanesc!A111="","",itens_Remanesc!A111))</f>
        <v/>
      </c>
      <c r="B112" s="109" t="str">
        <f>IF(OR(historico_VU!A111="",historico_VU!C111=""),"",historico_VU!C111)</f>
        <v/>
      </c>
      <c r="C112" s="110" t="str">
        <f>IF(posicao_contratual!A111="","",posicao_contratual!G111)</f>
        <v/>
      </c>
      <c r="D112" s="109" t="str">
        <f>IF(A112="TOTAL",ROUND(SUM($D$3:D111),2),IF(OR(A112="",B112="",C112=""),"",ROUND(B112*C112,2)))</f>
        <v/>
      </c>
      <c r="E112" s="111" t="str">
        <f>IF(OR(historico_VU!A111="",historico_VU!D111=""),"",historico_VU!D111)</f>
        <v/>
      </c>
      <c r="F112" s="112" t="str">
        <f>IF(posicao_contratual!A111="","",posicao_contratual!K111)</f>
        <v/>
      </c>
      <c r="G112" s="111" t="str">
        <f>IF(A112="TOTAL",ROUND(SUM($G$3:G111),2),IF(OR(A112="",E112="",F112=""),"",ROUND(E112*F112,2)))</f>
        <v/>
      </c>
      <c r="H112" s="109" t="str">
        <f>IF(OR(historico_VU!A111="",historico_VU!E111=""),"",historico_VU!E111)</f>
        <v/>
      </c>
      <c r="I112" s="110" t="str">
        <f>IF(posicao_contratual!A111="","",posicao_contratual!O111)</f>
        <v/>
      </c>
      <c r="J112" s="109" t="str">
        <f>IF(A112="TOTAL",ROUND(SUM($J$3:J111),2),IF(OR(A112="",H112="",I112=""),"",ROUND(H112*I112,2)))</f>
        <v/>
      </c>
      <c r="K112" s="111" t="str">
        <f>IF(OR(historico_VU!A111="",historico_VU!F111=""),"",historico_VU!F111)</f>
        <v/>
      </c>
      <c r="L112" s="112" t="str">
        <f>IF(posicao_contratual!A111="","",posicao_contratual!S111)</f>
        <v/>
      </c>
      <c r="M112" s="111" t="str">
        <f>IF(A112="TOTAL",ROUND(SUM($M$3:M111),2),IF(OR(A112="",K112="",L112=""),"",ROUND(K112*L112,2)))</f>
        <v/>
      </c>
      <c r="N112" s="109" t="str">
        <f>IF(OR(historico_VU!A111="",historico_VU!G111=""),"",historico_VU!G111)</f>
        <v/>
      </c>
      <c r="O112" s="110" t="str">
        <f>IF(posicao_contratual!A111="","",posicao_contratual!W111)</f>
        <v/>
      </c>
      <c r="P112" s="109" t="str">
        <f>IF(A112="TOTAL",ROUND(SUM($P$3:P111),2),IF(OR(A112="",N112="",O112=""),"",ROUND(N112*O112,2)))</f>
        <v/>
      </c>
      <c r="Q112" s="183" t="str">
        <f t="shared" ca="1" si="24"/>
        <v/>
      </c>
      <c r="R112" t="str">
        <f>IF($A112="","",IF(MEMORIA_RESULTADOS!$W$46="","","C"&amp;MEMORIA_RESULTADOS!$W$46))</f>
        <v/>
      </c>
      <c r="S112" s="210" t="str">
        <f t="shared" ca="1" si="25"/>
        <v/>
      </c>
      <c r="T112" s="210" t="str">
        <f t="shared" ca="1" si="26"/>
        <v/>
      </c>
      <c r="U112" s="210" t="str">
        <f t="shared" ca="1" si="27"/>
        <v/>
      </c>
      <c r="V112" s="195" t="str">
        <f t="shared" ca="1" si="28"/>
        <v/>
      </c>
      <c r="W112" s="195" t="str">
        <f t="shared" ca="1" si="29"/>
        <v/>
      </c>
      <c r="X112" s="195" t="str">
        <f t="shared" ca="1" si="30"/>
        <v/>
      </c>
      <c r="Y112" t="str">
        <f t="shared" ca="1" si="31"/>
        <v/>
      </c>
      <c r="Z112" s="211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08" t="str">
        <f>IF(AND(itens_Remanesc!A112="",itens_Remanesc!A111&lt;&gt;"",COUNTIF(itens_Remanesc!A113:$A$200,"&lt;&gt;")=0),"TOTAL",IF(itens_Remanesc!A112="","",itens_Remanesc!A112))</f>
        <v/>
      </c>
      <c r="B113" s="109" t="str">
        <f>IF(OR(historico_VU!A112="",historico_VU!C112=""),"",historico_VU!C112)</f>
        <v/>
      </c>
      <c r="C113" s="110" t="str">
        <f>IF(posicao_contratual!A112="","",posicao_contratual!G112)</f>
        <v/>
      </c>
      <c r="D113" s="109" t="str">
        <f>IF(A113="TOTAL",ROUND(SUM($D$3:D112),2),IF(OR(A113="",B113="",C113=""),"",ROUND(B113*C113,2)))</f>
        <v/>
      </c>
      <c r="E113" s="111" t="str">
        <f>IF(OR(historico_VU!A112="",historico_VU!D112=""),"",historico_VU!D112)</f>
        <v/>
      </c>
      <c r="F113" s="112" t="str">
        <f>IF(posicao_contratual!A112="","",posicao_contratual!K112)</f>
        <v/>
      </c>
      <c r="G113" s="111" t="str">
        <f>IF(A113="TOTAL",ROUND(SUM($G$3:G112),2),IF(OR(A113="",E113="",F113=""),"",ROUND(E113*F113,2)))</f>
        <v/>
      </c>
      <c r="H113" s="109" t="str">
        <f>IF(OR(historico_VU!A112="",historico_VU!E112=""),"",historico_VU!E112)</f>
        <v/>
      </c>
      <c r="I113" s="110" t="str">
        <f>IF(posicao_contratual!A112="","",posicao_contratual!O112)</f>
        <v/>
      </c>
      <c r="J113" s="109" t="str">
        <f>IF(A113="TOTAL",ROUND(SUM($J$3:J112),2),IF(OR(A113="",H113="",I113=""),"",ROUND(H113*I113,2)))</f>
        <v/>
      </c>
      <c r="K113" s="111" t="str">
        <f>IF(OR(historico_VU!A112="",historico_VU!F112=""),"",historico_VU!F112)</f>
        <v/>
      </c>
      <c r="L113" s="112" t="str">
        <f>IF(posicao_contratual!A112="","",posicao_contratual!S112)</f>
        <v/>
      </c>
      <c r="M113" s="111" t="str">
        <f>IF(A113="TOTAL",ROUND(SUM($M$3:M112),2),IF(OR(A113="",K113="",L113=""),"",ROUND(K113*L113,2)))</f>
        <v/>
      </c>
      <c r="N113" s="109" t="str">
        <f>IF(OR(historico_VU!A112="",historico_VU!G112=""),"",historico_VU!G112)</f>
        <v/>
      </c>
      <c r="O113" s="110" t="str">
        <f>IF(posicao_contratual!A112="","",posicao_contratual!W112)</f>
        <v/>
      </c>
      <c r="P113" s="109" t="str">
        <f>IF(A113="TOTAL",ROUND(SUM($P$3:P112),2),IF(OR(A113="",N113="",O113=""),"",ROUND(N113*O113,2)))</f>
        <v/>
      </c>
      <c r="Q113" s="183" t="str">
        <f t="shared" ca="1" si="24"/>
        <v/>
      </c>
      <c r="R113" t="str">
        <f>IF($A113="","",IF(MEMORIA_RESULTADOS!$W$46="","","C"&amp;MEMORIA_RESULTADOS!$W$46))</f>
        <v/>
      </c>
      <c r="S113" s="210" t="str">
        <f t="shared" ca="1" si="25"/>
        <v/>
      </c>
      <c r="T113" s="210" t="str">
        <f t="shared" ca="1" si="26"/>
        <v/>
      </c>
      <c r="U113" s="210" t="str">
        <f t="shared" ca="1" si="27"/>
        <v/>
      </c>
      <c r="V113" s="195" t="str">
        <f t="shared" ca="1" si="28"/>
        <v/>
      </c>
      <c r="W113" s="195" t="str">
        <f t="shared" ca="1" si="29"/>
        <v/>
      </c>
      <c r="X113" s="195" t="str">
        <f t="shared" ca="1" si="30"/>
        <v/>
      </c>
      <c r="Y113" t="str">
        <f t="shared" ca="1" si="31"/>
        <v/>
      </c>
      <c r="Z113" s="211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08" t="str">
        <f>IF(AND(itens_Remanesc!A113="",itens_Remanesc!A112&lt;&gt;"",COUNTIF(itens_Remanesc!A114:$A$200,"&lt;&gt;")=0),"TOTAL",IF(itens_Remanesc!A113="","",itens_Remanesc!A113))</f>
        <v/>
      </c>
      <c r="B114" s="109" t="str">
        <f>IF(OR(historico_VU!A113="",historico_VU!C113=""),"",historico_VU!C113)</f>
        <v/>
      </c>
      <c r="C114" s="110" t="str">
        <f>IF(posicao_contratual!A113="","",posicao_contratual!G113)</f>
        <v/>
      </c>
      <c r="D114" s="109" t="str">
        <f>IF(A114="TOTAL",ROUND(SUM($D$3:D113),2),IF(OR(A114="",B114="",C114=""),"",ROUND(B114*C114,2)))</f>
        <v/>
      </c>
      <c r="E114" s="111" t="str">
        <f>IF(OR(historico_VU!A113="",historico_VU!D113=""),"",historico_VU!D113)</f>
        <v/>
      </c>
      <c r="F114" s="112" t="str">
        <f>IF(posicao_contratual!A113="","",posicao_contratual!K113)</f>
        <v/>
      </c>
      <c r="G114" s="111" t="str">
        <f>IF(A114="TOTAL",ROUND(SUM($G$3:G113),2),IF(OR(A114="",E114="",F114=""),"",ROUND(E114*F114,2)))</f>
        <v/>
      </c>
      <c r="H114" s="109" t="str">
        <f>IF(OR(historico_VU!A113="",historico_VU!E113=""),"",historico_VU!E113)</f>
        <v/>
      </c>
      <c r="I114" s="110" t="str">
        <f>IF(posicao_contratual!A113="","",posicao_contratual!O113)</f>
        <v/>
      </c>
      <c r="J114" s="109" t="str">
        <f>IF(A114="TOTAL",ROUND(SUM($J$3:J113),2),IF(OR(A114="",H114="",I114=""),"",ROUND(H114*I114,2)))</f>
        <v/>
      </c>
      <c r="K114" s="111" t="str">
        <f>IF(OR(historico_VU!A113="",historico_VU!F113=""),"",historico_VU!F113)</f>
        <v/>
      </c>
      <c r="L114" s="112" t="str">
        <f>IF(posicao_contratual!A113="","",posicao_contratual!S113)</f>
        <v/>
      </c>
      <c r="M114" s="111" t="str">
        <f>IF(A114="TOTAL",ROUND(SUM($M$3:M113),2),IF(OR(A114="",K114="",L114=""),"",ROUND(K114*L114,2)))</f>
        <v/>
      </c>
      <c r="N114" s="109" t="str">
        <f>IF(OR(historico_VU!A113="",historico_VU!G113=""),"",historico_VU!G113)</f>
        <v/>
      </c>
      <c r="O114" s="110" t="str">
        <f>IF(posicao_contratual!A113="","",posicao_contratual!W113)</f>
        <v/>
      </c>
      <c r="P114" s="109" t="str">
        <f>IF(A114="TOTAL",ROUND(SUM($P$3:P113),2),IF(OR(A114="",N114="",O114=""),"",ROUND(N114*O114,2)))</f>
        <v/>
      </c>
      <c r="Q114" s="183" t="str">
        <f t="shared" ca="1" si="24"/>
        <v/>
      </c>
      <c r="R114" t="str">
        <f>IF($A114="","",IF(MEMORIA_RESULTADOS!$W$46="","","C"&amp;MEMORIA_RESULTADOS!$W$46))</f>
        <v/>
      </c>
      <c r="S114" s="210" t="str">
        <f t="shared" ca="1" si="25"/>
        <v/>
      </c>
      <c r="T114" s="210" t="str">
        <f t="shared" ca="1" si="26"/>
        <v/>
      </c>
      <c r="U114" s="210" t="str">
        <f t="shared" ca="1" si="27"/>
        <v/>
      </c>
      <c r="V114" s="195" t="str">
        <f t="shared" ca="1" si="28"/>
        <v/>
      </c>
      <c r="W114" s="195" t="str">
        <f t="shared" ca="1" si="29"/>
        <v/>
      </c>
      <c r="X114" s="195" t="str">
        <f t="shared" ca="1" si="30"/>
        <v/>
      </c>
      <c r="Y114" t="str">
        <f t="shared" ca="1" si="31"/>
        <v/>
      </c>
      <c r="Z114" s="211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08" t="str">
        <f>IF(AND(itens_Remanesc!A114="",itens_Remanesc!A113&lt;&gt;"",COUNTIF(itens_Remanesc!A115:$A$200,"&lt;&gt;")=0),"TOTAL",IF(itens_Remanesc!A114="","",itens_Remanesc!A114))</f>
        <v/>
      </c>
      <c r="B115" s="109" t="str">
        <f>IF(OR(historico_VU!A114="",historico_VU!C114=""),"",historico_VU!C114)</f>
        <v/>
      </c>
      <c r="C115" s="110" t="str">
        <f>IF(posicao_contratual!A114="","",posicao_contratual!G114)</f>
        <v/>
      </c>
      <c r="D115" s="109" t="str">
        <f>IF(A115="TOTAL",ROUND(SUM($D$3:D114),2),IF(OR(A115="",B115="",C115=""),"",ROUND(B115*C115,2)))</f>
        <v/>
      </c>
      <c r="E115" s="111" t="str">
        <f>IF(OR(historico_VU!A114="",historico_VU!D114=""),"",historico_VU!D114)</f>
        <v/>
      </c>
      <c r="F115" s="112" t="str">
        <f>IF(posicao_contratual!A114="","",posicao_contratual!K114)</f>
        <v/>
      </c>
      <c r="G115" s="111" t="str">
        <f>IF(A115="TOTAL",ROUND(SUM($G$3:G114),2),IF(OR(A115="",E115="",F115=""),"",ROUND(E115*F115,2)))</f>
        <v/>
      </c>
      <c r="H115" s="109" t="str">
        <f>IF(OR(historico_VU!A114="",historico_VU!E114=""),"",historico_VU!E114)</f>
        <v/>
      </c>
      <c r="I115" s="110" t="str">
        <f>IF(posicao_contratual!A114="","",posicao_contratual!O114)</f>
        <v/>
      </c>
      <c r="J115" s="109" t="str">
        <f>IF(A115="TOTAL",ROUND(SUM($J$3:J114),2),IF(OR(A115="",H115="",I115=""),"",ROUND(H115*I115,2)))</f>
        <v/>
      </c>
      <c r="K115" s="111" t="str">
        <f>IF(OR(historico_VU!A114="",historico_VU!F114=""),"",historico_VU!F114)</f>
        <v/>
      </c>
      <c r="L115" s="112" t="str">
        <f>IF(posicao_contratual!A114="","",posicao_contratual!S114)</f>
        <v/>
      </c>
      <c r="M115" s="111" t="str">
        <f>IF(A115="TOTAL",ROUND(SUM($M$3:M114),2),IF(OR(A115="",K115="",L115=""),"",ROUND(K115*L115,2)))</f>
        <v/>
      </c>
      <c r="N115" s="109" t="str">
        <f>IF(OR(historico_VU!A114="",historico_VU!G114=""),"",historico_VU!G114)</f>
        <v/>
      </c>
      <c r="O115" s="110" t="str">
        <f>IF(posicao_contratual!A114="","",posicao_contratual!W114)</f>
        <v/>
      </c>
      <c r="P115" s="109" t="str">
        <f>IF(A115="TOTAL",ROUND(SUM($P$3:P114),2),IF(OR(A115="",N115="",O115=""),"",ROUND(N115*O115,2)))</f>
        <v/>
      </c>
      <c r="Q115" s="183" t="str">
        <f t="shared" ca="1" si="24"/>
        <v/>
      </c>
      <c r="R115" t="str">
        <f>IF($A115="","",IF(MEMORIA_RESULTADOS!$W$46="","","C"&amp;MEMORIA_RESULTADOS!$W$46))</f>
        <v/>
      </c>
      <c r="S115" s="210" t="str">
        <f t="shared" ca="1" si="25"/>
        <v/>
      </c>
      <c r="T115" s="210" t="str">
        <f t="shared" ca="1" si="26"/>
        <v/>
      </c>
      <c r="U115" s="210" t="str">
        <f t="shared" ca="1" si="27"/>
        <v/>
      </c>
      <c r="V115" s="195" t="str">
        <f t="shared" ca="1" si="28"/>
        <v/>
      </c>
      <c r="W115" s="195" t="str">
        <f t="shared" ca="1" si="29"/>
        <v/>
      </c>
      <c r="X115" s="195" t="str">
        <f t="shared" ca="1" si="30"/>
        <v/>
      </c>
      <c r="Y115" t="str">
        <f t="shared" ca="1" si="31"/>
        <v/>
      </c>
      <c r="Z115" s="211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08" t="str">
        <f>IF(AND(itens_Remanesc!A115="",itens_Remanesc!A114&lt;&gt;"",COUNTIF(itens_Remanesc!A116:$A$200,"&lt;&gt;")=0),"TOTAL",IF(itens_Remanesc!A115="","",itens_Remanesc!A115))</f>
        <v/>
      </c>
      <c r="B116" s="109" t="str">
        <f>IF(OR(historico_VU!A115="",historico_VU!C115=""),"",historico_VU!C115)</f>
        <v/>
      </c>
      <c r="C116" s="110" t="str">
        <f>IF(posicao_contratual!A115="","",posicao_contratual!G115)</f>
        <v/>
      </c>
      <c r="D116" s="109" t="str">
        <f>IF(A116="TOTAL",ROUND(SUM($D$3:D115),2),IF(OR(A116="",B116="",C116=""),"",ROUND(B116*C116,2)))</f>
        <v/>
      </c>
      <c r="E116" s="111" t="str">
        <f>IF(OR(historico_VU!A115="",historico_VU!D115=""),"",historico_VU!D115)</f>
        <v/>
      </c>
      <c r="F116" s="112" t="str">
        <f>IF(posicao_contratual!A115="","",posicao_contratual!K115)</f>
        <v/>
      </c>
      <c r="G116" s="111" t="str">
        <f>IF(A116="TOTAL",ROUND(SUM($G$3:G115),2),IF(OR(A116="",E116="",F116=""),"",ROUND(E116*F116,2)))</f>
        <v/>
      </c>
      <c r="H116" s="109" t="str">
        <f>IF(OR(historico_VU!A115="",historico_VU!E115=""),"",historico_VU!E115)</f>
        <v/>
      </c>
      <c r="I116" s="110" t="str">
        <f>IF(posicao_contratual!A115="","",posicao_contratual!O115)</f>
        <v/>
      </c>
      <c r="J116" s="109" t="str">
        <f>IF(A116="TOTAL",ROUND(SUM($J$3:J115),2),IF(OR(A116="",H116="",I116=""),"",ROUND(H116*I116,2)))</f>
        <v/>
      </c>
      <c r="K116" s="111" t="str">
        <f>IF(OR(historico_VU!A115="",historico_VU!F115=""),"",historico_VU!F115)</f>
        <v/>
      </c>
      <c r="L116" s="112" t="str">
        <f>IF(posicao_contratual!A115="","",posicao_contratual!S115)</f>
        <v/>
      </c>
      <c r="M116" s="111" t="str">
        <f>IF(A116="TOTAL",ROUND(SUM($M$3:M115),2),IF(OR(A116="",K116="",L116=""),"",ROUND(K116*L116,2)))</f>
        <v/>
      </c>
      <c r="N116" s="109" t="str">
        <f>IF(OR(historico_VU!A115="",historico_VU!G115=""),"",historico_VU!G115)</f>
        <v/>
      </c>
      <c r="O116" s="110" t="str">
        <f>IF(posicao_contratual!A115="","",posicao_contratual!W115)</f>
        <v/>
      </c>
      <c r="P116" s="109" t="str">
        <f>IF(A116="TOTAL",ROUND(SUM($P$3:P115),2),IF(OR(A116="",N116="",O116=""),"",ROUND(N116*O116,2)))</f>
        <v/>
      </c>
      <c r="Q116" s="183" t="str">
        <f t="shared" ca="1" si="24"/>
        <v/>
      </c>
      <c r="R116" t="str">
        <f>IF($A116="","",IF(MEMORIA_RESULTADOS!$W$46="","","C"&amp;MEMORIA_RESULTADOS!$W$46))</f>
        <v/>
      </c>
      <c r="S116" s="210" t="str">
        <f t="shared" ca="1" si="25"/>
        <v/>
      </c>
      <c r="T116" s="210" t="str">
        <f t="shared" ca="1" si="26"/>
        <v/>
      </c>
      <c r="U116" s="210" t="str">
        <f t="shared" ca="1" si="27"/>
        <v/>
      </c>
      <c r="V116" s="195" t="str">
        <f t="shared" ca="1" si="28"/>
        <v/>
      </c>
      <c r="W116" s="195" t="str">
        <f t="shared" ca="1" si="29"/>
        <v/>
      </c>
      <c r="X116" s="195" t="str">
        <f t="shared" ca="1" si="30"/>
        <v/>
      </c>
      <c r="Y116" t="str">
        <f t="shared" ca="1" si="31"/>
        <v/>
      </c>
      <c r="Z116" s="211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08" t="str">
        <f>IF(AND(itens_Remanesc!A116="",itens_Remanesc!A115&lt;&gt;"",COUNTIF(itens_Remanesc!A117:$A$200,"&lt;&gt;")=0),"TOTAL",IF(itens_Remanesc!A116="","",itens_Remanesc!A116))</f>
        <v/>
      </c>
      <c r="B117" s="109" t="str">
        <f>IF(OR(historico_VU!A116="",historico_VU!C116=""),"",historico_VU!C116)</f>
        <v/>
      </c>
      <c r="C117" s="110" t="str">
        <f>IF(posicao_contratual!A116="","",posicao_contratual!G116)</f>
        <v/>
      </c>
      <c r="D117" s="109" t="str">
        <f>IF(A117="TOTAL",ROUND(SUM($D$3:D116),2),IF(OR(A117="",B117="",C117=""),"",ROUND(B117*C117,2)))</f>
        <v/>
      </c>
      <c r="E117" s="111" t="str">
        <f>IF(OR(historico_VU!A116="",historico_VU!D116=""),"",historico_VU!D116)</f>
        <v/>
      </c>
      <c r="F117" s="112" t="str">
        <f>IF(posicao_contratual!A116="","",posicao_contratual!K116)</f>
        <v/>
      </c>
      <c r="G117" s="111" t="str">
        <f>IF(A117="TOTAL",ROUND(SUM($G$3:G116),2),IF(OR(A117="",E117="",F117=""),"",ROUND(E117*F117,2)))</f>
        <v/>
      </c>
      <c r="H117" s="109" t="str">
        <f>IF(OR(historico_VU!A116="",historico_VU!E116=""),"",historico_VU!E116)</f>
        <v/>
      </c>
      <c r="I117" s="110" t="str">
        <f>IF(posicao_contratual!A116="","",posicao_contratual!O116)</f>
        <v/>
      </c>
      <c r="J117" s="109" t="str">
        <f>IF(A117="TOTAL",ROUND(SUM($J$3:J116),2),IF(OR(A117="",H117="",I117=""),"",ROUND(H117*I117,2)))</f>
        <v/>
      </c>
      <c r="K117" s="111" t="str">
        <f>IF(OR(historico_VU!A116="",historico_VU!F116=""),"",historico_VU!F116)</f>
        <v/>
      </c>
      <c r="L117" s="112" t="str">
        <f>IF(posicao_contratual!A116="","",posicao_contratual!S116)</f>
        <v/>
      </c>
      <c r="M117" s="111" t="str">
        <f>IF(A117="TOTAL",ROUND(SUM($M$3:M116),2),IF(OR(A117="",K117="",L117=""),"",ROUND(K117*L117,2)))</f>
        <v/>
      </c>
      <c r="N117" s="109" t="str">
        <f>IF(OR(historico_VU!A116="",historico_VU!G116=""),"",historico_VU!G116)</f>
        <v/>
      </c>
      <c r="O117" s="110" t="str">
        <f>IF(posicao_contratual!A116="","",posicao_contratual!W116)</f>
        <v/>
      </c>
      <c r="P117" s="109" t="str">
        <f>IF(A117="TOTAL",ROUND(SUM($P$3:P116),2),IF(OR(A117="",N117="",O117=""),"",ROUND(N117*O117,2)))</f>
        <v/>
      </c>
      <c r="Q117" s="183" t="str">
        <f t="shared" ca="1" si="24"/>
        <v/>
      </c>
      <c r="R117" t="str">
        <f>IF($A117="","",IF(MEMORIA_RESULTADOS!$W$46="","","C"&amp;MEMORIA_RESULTADOS!$W$46))</f>
        <v/>
      </c>
      <c r="S117" s="210" t="str">
        <f t="shared" ca="1" si="25"/>
        <v/>
      </c>
      <c r="T117" s="210" t="str">
        <f t="shared" ca="1" si="26"/>
        <v/>
      </c>
      <c r="U117" s="210" t="str">
        <f t="shared" ca="1" si="27"/>
        <v/>
      </c>
      <c r="V117" s="195" t="str">
        <f t="shared" ca="1" si="28"/>
        <v/>
      </c>
      <c r="W117" s="195" t="str">
        <f t="shared" ca="1" si="29"/>
        <v/>
      </c>
      <c r="X117" s="195" t="str">
        <f t="shared" ca="1" si="30"/>
        <v/>
      </c>
      <c r="Y117" t="str">
        <f t="shared" ca="1" si="31"/>
        <v/>
      </c>
      <c r="Z117" s="211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08" t="str">
        <f>IF(AND(itens_Remanesc!A117="",itens_Remanesc!A116&lt;&gt;"",COUNTIF(itens_Remanesc!A118:$A$200,"&lt;&gt;")=0),"TOTAL",IF(itens_Remanesc!A117="","",itens_Remanesc!A117))</f>
        <v/>
      </c>
      <c r="B118" s="109" t="str">
        <f>IF(OR(historico_VU!A117="",historico_VU!C117=""),"",historico_VU!C117)</f>
        <v/>
      </c>
      <c r="C118" s="110" t="str">
        <f>IF(posicao_contratual!A117="","",posicao_contratual!G117)</f>
        <v/>
      </c>
      <c r="D118" s="109" t="str">
        <f>IF(A118="TOTAL",ROUND(SUM($D$3:D117),2),IF(OR(A118="",B118="",C118=""),"",ROUND(B118*C118,2)))</f>
        <v/>
      </c>
      <c r="E118" s="111" t="str">
        <f>IF(OR(historico_VU!A117="",historico_VU!D117=""),"",historico_VU!D117)</f>
        <v/>
      </c>
      <c r="F118" s="112" t="str">
        <f>IF(posicao_contratual!A117="","",posicao_contratual!K117)</f>
        <v/>
      </c>
      <c r="G118" s="111" t="str">
        <f>IF(A118="TOTAL",ROUND(SUM($G$3:G117),2),IF(OR(A118="",E118="",F118=""),"",ROUND(E118*F118,2)))</f>
        <v/>
      </c>
      <c r="H118" s="109" t="str">
        <f>IF(OR(historico_VU!A117="",historico_VU!E117=""),"",historico_VU!E117)</f>
        <v/>
      </c>
      <c r="I118" s="110" t="str">
        <f>IF(posicao_contratual!A117="","",posicao_contratual!O117)</f>
        <v/>
      </c>
      <c r="J118" s="109" t="str">
        <f>IF(A118="TOTAL",ROUND(SUM($J$3:J117),2),IF(OR(A118="",H118="",I118=""),"",ROUND(H118*I118,2)))</f>
        <v/>
      </c>
      <c r="K118" s="111" t="str">
        <f>IF(OR(historico_VU!A117="",historico_VU!F117=""),"",historico_VU!F117)</f>
        <v/>
      </c>
      <c r="L118" s="112" t="str">
        <f>IF(posicao_contratual!A117="","",posicao_contratual!S117)</f>
        <v/>
      </c>
      <c r="M118" s="111" t="str">
        <f>IF(A118="TOTAL",ROUND(SUM($M$3:M117),2),IF(OR(A118="",K118="",L118=""),"",ROUND(K118*L118,2)))</f>
        <v/>
      </c>
      <c r="N118" s="109" t="str">
        <f>IF(OR(historico_VU!A117="",historico_VU!G117=""),"",historico_VU!G117)</f>
        <v/>
      </c>
      <c r="O118" s="110" t="str">
        <f>IF(posicao_contratual!A117="","",posicao_contratual!W117)</f>
        <v/>
      </c>
      <c r="P118" s="109" t="str">
        <f>IF(A118="TOTAL",ROUND(SUM($P$3:P117),2),IF(OR(A118="",N118="",O118=""),"",ROUND(N118*O118,2)))</f>
        <v/>
      </c>
      <c r="Q118" s="183" t="str">
        <f t="shared" ca="1" si="24"/>
        <v/>
      </c>
      <c r="R118" t="str">
        <f>IF($A118="","",IF(MEMORIA_RESULTADOS!$W$46="","","C"&amp;MEMORIA_RESULTADOS!$W$46))</f>
        <v/>
      </c>
      <c r="S118" s="210" t="str">
        <f t="shared" ca="1" si="25"/>
        <v/>
      </c>
      <c r="T118" s="210" t="str">
        <f t="shared" ca="1" si="26"/>
        <v/>
      </c>
      <c r="U118" s="210" t="str">
        <f t="shared" ca="1" si="27"/>
        <v/>
      </c>
      <c r="V118" s="195" t="str">
        <f t="shared" ca="1" si="28"/>
        <v/>
      </c>
      <c r="W118" s="195" t="str">
        <f t="shared" ca="1" si="29"/>
        <v/>
      </c>
      <c r="X118" s="195" t="str">
        <f t="shared" ca="1" si="30"/>
        <v/>
      </c>
      <c r="Y118" t="str">
        <f t="shared" ca="1" si="31"/>
        <v/>
      </c>
      <c r="Z118" s="211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08" t="str">
        <f>IF(AND(itens_Remanesc!A118="",itens_Remanesc!A117&lt;&gt;"",COUNTIF(itens_Remanesc!A119:$A$200,"&lt;&gt;")=0),"TOTAL",IF(itens_Remanesc!A118="","",itens_Remanesc!A118))</f>
        <v/>
      </c>
      <c r="B119" s="109" t="str">
        <f>IF(OR(historico_VU!A118="",historico_VU!C118=""),"",historico_VU!C118)</f>
        <v/>
      </c>
      <c r="C119" s="110" t="str">
        <f>IF(posicao_contratual!A118="","",posicao_contratual!G118)</f>
        <v/>
      </c>
      <c r="D119" s="109" t="str">
        <f>IF(A119="TOTAL",ROUND(SUM($D$3:D118),2),IF(OR(A119="",B119="",C119=""),"",ROUND(B119*C119,2)))</f>
        <v/>
      </c>
      <c r="E119" s="111" t="str">
        <f>IF(OR(historico_VU!A118="",historico_VU!D118=""),"",historico_VU!D118)</f>
        <v/>
      </c>
      <c r="F119" s="112" t="str">
        <f>IF(posicao_contratual!A118="","",posicao_contratual!K118)</f>
        <v/>
      </c>
      <c r="G119" s="111" t="str">
        <f>IF(A119="TOTAL",ROUND(SUM($G$3:G118),2),IF(OR(A119="",E119="",F119=""),"",ROUND(E119*F119,2)))</f>
        <v/>
      </c>
      <c r="H119" s="109" t="str">
        <f>IF(OR(historico_VU!A118="",historico_VU!E118=""),"",historico_VU!E118)</f>
        <v/>
      </c>
      <c r="I119" s="110" t="str">
        <f>IF(posicao_contratual!A118="","",posicao_contratual!O118)</f>
        <v/>
      </c>
      <c r="J119" s="109" t="str">
        <f>IF(A119="TOTAL",ROUND(SUM($J$3:J118),2),IF(OR(A119="",H119="",I119=""),"",ROUND(H119*I119,2)))</f>
        <v/>
      </c>
      <c r="K119" s="111" t="str">
        <f>IF(OR(historico_VU!A118="",historico_VU!F118=""),"",historico_VU!F118)</f>
        <v/>
      </c>
      <c r="L119" s="112" t="str">
        <f>IF(posicao_contratual!A118="","",posicao_contratual!S118)</f>
        <v/>
      </c>
      <c r="M119" s="111" t="str">
        <f>IF(A119="TOTAL",ROUND(SUM($M$3:M118),2),IF(OR(A119="",K119="",L119=""),"",ROUND(K119*L119,2)))</f>
        <v/>
      </c>
      <c r="N119" s="109" t="str">
        <f>IF(OR(historico_VU!A118="",historico_VU!G118=""),"",historico_VU!G118)</f>
        <v/>
      </c>
      <c r="O119" s="110" t="str">
        <f>IF(posicao_contratual!A118="","",posicao_contratual!W118)</f>
        <v/>
      </c>
      <c r="P119" s="109" t="str">
        <f>IF(A119="TOTAL",ROUND(SUM($P$3:P118),2),IF(OR(A119="",N119="",O119=""),"",ROUND(N119*O119,2)))</f>
        <v/>
      </c>
      <c r="Q119" s="183" t="str">
        <f t="shared" ca="1" si="24"/>
        <v/>
      </c>
      <c r="R119" t="str">
        <f>IF($A119="","",IF(MEMORIA_RESULTADOS!$W$46="","","C"&amp;MEMORIA_RESULTADOS!$W$46))</f>
        <v/>
      </c>
      <c r="S119" s="210" t="str">
        <f t="shared" ca="1" si="25"/>
        <v/>
      </c>
      <c r="T119" s="210" t="str">
        <f t="shared" ca="1" si="26"/>
        <v/>
      </c>
      <c r="U119" s="210" t="str">
        <f t="shared" ca="1" si="27"/>
        <v/>
      </c>
      <c r="V119" s="195" t="str">
        <f t="shared" ca="1" si="28"/>
        <v/>
      </c>
      <c r="W119" s="195" t="str">
        <f t="shared" ca="1" si="29"/>
        <v/>
      </c>
      <c r="X119" s="195" t="str">
        <f t="shared" ca="1" si="30"/>
        <v/>
      </c>
      <c r="Y119" t="str">
        <f t="shared" ca="1" si="31"/>
        <v/>
      </c>
      <c r="Z119" s="211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08" t="str">
        <f>IF(AND(itens_Remanesc!A119="",itens_Remanesc!A118&lt;&gt;"",COUNTIF(itens_Remanesc!A120:$A$200,"&lt;&gt;")=0),"TOTAL",IF(itens_Remanesc!A119="","",itens_Remanesc!A119))</f>
        <v/>
      </c>
      <c r="B120" s="109" t="str">
        <f>IF(OR(historico_VU!A119="",historico_VU!C119=""),"",historico_VU!C119)</f>
        <v/>
      </c>
      <c r="C120" s="110" t="str">
        <f>IF(posicao_contratual!A119="","",posicao_contratual!G119)</f>
        <v/>
      </c>
      <c r="D120" s="109" t="str">
        <f>IF(A120="TOTAL",ROUND(SUM($D$3:D119),2),IF(OR(A120="",B120="",C120=""),"",ROUND(B120*C120,2)))</f>
        <v/>
      </c>
      <c r="E120" s="111" t="str">
        <f>IF(OR(historico_VU!A119="",historico_VU!D119=""),"",historico_VU!D119)</f>
        <v/>
      </c>
      <c r="F120" s="112" t="str">
        <f>IF(posicao_contratual!A119="","",posicao_contratual!K119)</f>
        <v/>
      </c>
      <c r="G120" s="111" t="str">
        <f>IF(A120="TOTAL",ROUND(SUM($G$3:G119),2),IF(OR(A120="",E120="",F120=""),"",ROUND(E120*F120,2)))</f>
        <v/>
      </c>
      <c r="H120" s="109" t="str">
        <f>IF(OR(historico_VU!A119="",historico_VU!E119=""),"",historico_VU!E119)</f>
        <v/>
      </c>
      <c r="I120" s="110" t="str">
        <f>IF(posicao_contratual!A119="","",posicao_contratual!O119)</f>
        <v/>
      </c>
      <c r="J120" s="109" t="str">
        <f>IF(A120="TOTAL",ROUND(SUM($J$3:J119),2),IF(OR(A120="",H120="",I120=""),"",ROUND(H120*I120,2)))</f>
        <v/>
      </c>
      <c r="K120" s="111" t="str">
        <f>IF(OR(historico_VU!A119="",historico_VU!F119=""),"",historico_VU!F119)</f>
        <v/>
      </c>
      <c r="L120" s="112" t="str">
        <f>IF(posicao_contratual!A119="","",posicao_contratual!S119)</f>
        <v/>
      </c>
      <c r="M120" s="111" t="str">
        <f>IF(A120="TOTAL",ROUND(SUM($M$3:M119),2),IF(OR(A120="",K120="",L120=""),"",ROUND(K120*L120,2)))</f>
        <v/>
      </c>
      <c r="N120" s="109" t="str">
        <f>IF(OR(historico_VU!A119="",historico_VU!G119=""),"",historico_VU!G119)</f>
        <v/>
      </c>
      <c r="O120" s="110" t="str">
        <f>IF(posicao_contratual!A119="","",posicao_contratual!W119)</f>
        <v/>
      </c>
      <c r="P120" s="109" t="str">
        <f>IF(A120="TOTAL",ROUND(SUM($P$3:P119),2),IF(OR(A120="",N120="",O120=""),"",ROUND(N120*O120,2)))</f>
        <v/>
      </c>
      <c r="Q120" s="183" t="str">
        <f t="shared" ca="1" si="24"/>
        <v/>
      </c>
      <c r="R120" t="str">
        <f>IF($A120="","",IF(MEMORIA_RESULTADOS!$W$46="","","C"&amp;MEMORIA_RESULTADOS!$W$46))</f>
        <v/>
      </c>
      <c r="S120" s="210" t="str">
        <f t="shared" ca="1" si="25"/>
        <v/>
      </c>
      <c r="T120" s="210" t="str">
        <f t="shared" ca="1" si="26"/>
        <v/>
      </c>
      <c r="U120" s="210" t="str">
        <f t="shared" ca="1" si="27"/>
        <v/>
      </c>
      <c r="V120" s="195" t="str">
        <f t="shared" ca="1" si="28"/>
        <v/>
      </c>
      <c r="W120" s="195" t="str">
        <f t="shared" ca="1" si="29"/>
        <v/>
      </c>
      <c r="X120" s="195" t="str">
        <f t="shared" ca="1" si="30"/>
        <v/>
      </c>
      <c r="Y120" t="str">
        <f t="shared" ca="1" si="31"/>
        <v/>
      </c>
      <c r="Z120" s="211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08" t="str">
        <f>IF(AND(itens_Remanesc!A120="",itens_Remanesc!A119&lt;&gt;"",COUNTIF(itens_Remanesc!A121:$A$200,"&lt;&gt;")=0),"TOTAL",IF(itens_Remanesc!A120="","",itens_Remanesc!A120))</f>
        <v/>
      </c>
      <c r="B121" s="109" t="str">
        <f>IF(OR(historico_VU!A120="",historico_VU!C120=""),"",historico_VU!C120)</f>
        <v/>
      </c>
      <c r="C121" s="110" t="str">
        <f>IF(posicao_contratual!A120="","",posicao_contratual!G120)</f>
        <v/>
      </c>
      <c r="D121" s="109" t="str">
        <f>IF(A121="TOTAL",ROUND(SUM($D$3:D120),2),IF(OR(A121="",B121="",C121=""),"",ROUND(B121*C121,2)))</f>
        <v/>
      </c>
      <c r="E121" s="111" t="str">
        <f>IF(OR(historico_VU!A120="",historico_VU!D120=""),"",historico_VU!D120)</f>
        <v/>
      </c>
      <c r="F121" s="112" t="str">
        <f>IF(posicao_contratual!A120="","",posicao_contratual!K120)</f>
        <v/>
      </c>
      <c r="G121" s="111" t="str">
        <f>IF(A121="TOTAL",ROUND(SUM($G$3:G120),2),IF(OR(A121="",E121="",F121=""),"",ROUND(E121*F121,2)))</f>
        <v/>
      </c>
      <c r="H121" s="109" t="str">
        <f>IF(OR(historico_VU!A120="",historico_VU!E120=""),"",historico_VU!E120)</f>
        <v/>
      </c>
      <c r="I121" s="110" t="str">
        <f>IF(posicao_contratual!A120="","",posicao_contratual!O120)</f>
        <v/>
      </c>
      <c r="J121" s="109" t="str">
        <f>IF(A121="TOTAL",ROUND(SUM($J$3:J120),2),IF(OR(A121="",H121="",I121=""),"",ROUND(H121*I121,2)))</f>
        <v/>
      </c>
      <c r="K121" s="111" t="str">
        <f>IF(OR(historico_VU!A120="",historico_VU!F120=""),"",historico_VU!F120)</f>
        <v/>
      </c>
      <c r="L121" s="112" t="str">
        <f>IF(posicao_contratual!A120="","",posicao_contratual!S120)</f>
        <v/>
      </c>
      <c r="M121" s="111" t="str">
        <f>IF(A121="TOTAL",ROUND(SUM($M$3:M120),2),IF(OR(A121="",K121="",L121=""),"",ROUND(K121*L121,2)))</f>
        <v/>
      </c>
      <c r="N121" s="109" t="str">
        <f>IF(OR(historico_VU!A120="",historico_VU!G120=""),"",historico_VU!G120)</f>
        <v/>
      </c>
      <c r="O121" s="110" t="str">
        <f>IF(posicao_contratual!A120="","",posicao_contratual!W120)</f>
        <v/>
      </c>
      <c r="P121" s="109" t="str">
        <f>IF(A121="TOTAL",ROUND(SUM($P$3:P120),2),IF(OR(A121="",N121="",O121=""),"",ROUND(N121*O121,2)))</f>
        <v/>
      </c>
      <c r="Q121" s="183" t="str">
        <f t="shared" ca="1" si="24"/>
        <v/>
      </c>
      <c r="R121" t="str">
        <f>IF($A121="","",IF(MEMORIA_RESULTADOS!$W$46="","","C"&amp;MEMORIA_RESULTADOS!$W$46))</f>
        <v/>
      </c>
      <c r="S121" s="210" t="str">
        <f t="shared" ca="1" si="25"/>
        <v/>
      </c>
      <c r="T121" s="210" t="str">
        <f t="shared" ca="1" si="26"/>
        <v/>
      </c>
      <c r="U121" s="210" t="str">
        <f t="shared" ca="1" si="27"/>
        <v/>
      </c>
      <c r="V121" s="195" t="str">
        <f t="shared" ca="1" si="28"/>
        <v/>
      </c>
      <c r="W121" s="195" t="str">
        <f t="shared" ca="1" si="29"/>
        <v/>
      </c>
      <c r="X121" s="195" t="str">
        <f t="shared" ca="1" si="30"/>
        <v/>
      </c>
      <c r="Y121" t="str">
        <f t="shared" ca="1" si="31"/>
        <v/>
      </c>
      <c r="Z121" s="211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08" t="str">
        <f>IF(AND(itens_Remanesc!A121="",itens_Remanesc!A120&lt;&gt;"",COUNTIF(itens_Remanesc!A122:$A$200,"&lt;&gt;")=0),"TOTAL",IF(itens_Remanesc!A121="","",itens_Remanesc!A121))</f>
        <v/>
      </c>
      <c r="B122" s="109" t="str">
        <f>IF(OR(historico_VU!A121="",historico_VU!C121=""),"",historico_VU!C121)</f>
        <v/>
      </c>
      <c r="C122" s="110" t="str">
        <f>IF(posicao_contratual!A121="","",posicao_contratual!G121)</f>
        <v/>
      </c>
      <c r="D122" s="109" t="str">
        <f>IF(A122="TOTAL",ROUND(SUM($D$3:D121),2),IF(OR(A122="",B122="",C122=""),"",ROUND(B122*C122,2)))</f>
        <v/>
      </c>
      <c r="E122" s="111" t="str">
        <f>IF(OR(historico_VU!A121="",historico_VU!D121=""),"",historico_VU!D121)</f>
        <v/>
      </c>
      <c r="F122" s="112" t="str">
        <f>IF(posicao_contratual!A121="","",posicao_contratual!K121)</f>
        <v/>
      </c>
      <c r="G122" s="111" t="str">
        <f>IF(A122="TOTAL",ROUND(SUM($G$3:G121),2),IF(OR(A122="",E122="",F122=""),"",ROUND(E122*F122,2)))</f>
        <v/>
      </c>
      <c r="H122" s="109" t="str">
        <f>IF(OR(historico_VU!A121="",historico_VU!E121=""),"",historico_VU!E121)</f>
        <v/>
      </c>
      <c r="I122" s="110" t="str">
        <f>IF(posicao_contratual!A121="","",posicao_contratual!O121)</f>
        <v/>
      </c>
      <c r="J122" s="109" t="str">
        <f>IF(A122="TOTAL",ROUND(SUM($J$3:J121),2),IF(OR(A122="",H122="",I122=""),"",ROUND(H122*I122,2)))</f>
        <v/>
      </c>
      <c r="K122" s="111" t="str">
        <f>IF(OR(historico_VU!A121="",historico_VU!F121=""),"",historico_VU!F121)</f>
        <v/>
      </c>
      <c r="L122" s="112" t="str">
        <f>IF(posicao_contratual!A121="","",posicao_contratual!S121)</f>
        <v/>
      </c>
      <c r="M122" s="111" t="str">
        <f>IF(A122="TOTAL",ROUND(SUM($M$3:M121),2),IF(OR(A122="",K122="",L122=""),"",ROUND(K122*L122,2)))</f>
        <v/>
      </c>
      <c r="N122" s="109" t="str">
        <f>IF(OR(historico_VU!A121="",historico_VU!G121=""),"",historico_VU!G121)</f>
        <v/>
      </c>
      <c r="O122" s="110" t="str">
        <f>IF(posicao_contratual!A121="","",posicao_contratual!W121)</f>
        <v/>
      </c>
      <c r="P122" s="109" t="str">
        <f>IF(A122="TOTAL",ROUND(SUM($P$3:P121),2),IF(OR(A122="",N122="",O122=""),"",ROUND(N122*O122,2)))</f>
        <v/>
      </c>
      <c r="Q122" s="183" t="str">
        <f t="shared" ca="1" si="24"/>
        <v/>
      </c>
      <c r="R122" t="str">
        <f>IF($A122="","",IF(MEMORIA_RESULTADOS!$W$46="","","C"&amp;MEMORIA_RESULTADOS!$W$46))</f>
        <v/>
      </c>
      <c r="S122" s="210" t="str">
        <f t="shared" ca="1" si="25"/>
        <v/>
      </c>
      <c r="T122" s="210" t="str">
        <f t="shared" ca="1" si="26"/>
        <v/>
      </c>
      <c r="U122" s="210" t="str">
        <f t="shared" ca="1" si="27"/>
        <v/>
      </c>
      <c r="V122" s="195" t="str">
        <f t="shared" ca="1" si="28"/>
        <v/>
      </c>
      <c r="W122" s="195" t="str">
        <f t="shared" ca="1" si="29"/>
        <v/>
      </c>
      <c r="X122" s="195" t="str">
        <f t="shared" ca="1" si="30"/>
        <v/>
      </c>
      <c r="Y122" t="str">
        <f t="shared" ca="1" si="31"/>
        <v/>
      </c>
      <c r="Z122" s="211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08" t="str">
        <f>IF(AND(itens_Remanesc!A122="",itens_Remanesc!A121&lt;&gt;"",COUNTIF(itens_Remanesc!A123:$A$200,"&lt;&gt;")=0),"TOTAL",IF(itens_Remanesc!A122="","",itens_Remanesc!A122))</f>
        <v/>
      </c>
      <c r="B123" s="109" t="str">
        <f>IF(OR(historico_VU!A122="",historico_VU!C122=""),"",historico_VU!C122)</f>
        <v/>
      </c>
      <c r="C123" s="110" t="str">
        <f>IF(posicao_contratual!A122="","",posicao_contratual!G122)</f>
        <v/>
      </c>
      <c r="D123" s="109" t="str">
        <f>IF(A123="TOTAL",ROUND(SUM($D$3:D122),2),IF(OR(A123="",B123="",C123=""),"",ROUND(B123*C123,2)))</f>
        <v/>
      </c>
      <c r="E123" s="111" t="str">
        <f>IF(OR(historico_VU!A122="",historico_VU!D122=""),"",historico_VU!D122)</f>
        <v/>
      </c>
      <c r="F123" s="112" t="str">
        <f>IF(posicao_contratual!A122="","",posicao_contratual!K122)</f>
        <v/>
      </c>
      <c r="G123" s="111" t="str">
        <f>IF(A123="TOTAL",ROUND(SUM($G$3:G122),2),IF(OR(A123="",E123="",F123=""),"",ROUND(E123*F123,2)))</f>
        <v/>
      </c>
      <c r="H123" s="109" t="str">
        <f>IF(OR(historico_VU!A122="",historico_VU!E122=""),"",historico_VU!E122)</f>
        <v/>
      </c>
      <c r="I123" s="110" t="str">
        <f>IF(posicao_contratual!A122="","",posicao_contratual!O122)</f>
        <v/>
      </c>
      <c r="J123" s="109" t="str">
        <f>IF(A123="TOTAL",ROUND(SUM($J$3:J122),2),IF(OR(A123="",H123="",I123=""),"",ROUND(H123*I123,2)))</f>
        <v/>
      </c>
      <c r="K123" s="111" t="str">
        <f>IF(OR(historico_VU!A122="",historico_VU!F122=""),"",historico_VU!F122)</f>
        <v/>
      </c>
      <c r="L123" s="112" t="str">
        <f>IF(posicao_contratual!A122="","",posicao_contratual!S122)</f>
        <v/>
      </c>
      <c r="M123" s="111" t="str">
        <f>IF(A123="TOTAL",ROUND(SUM($M$3:M122),2),IF(OR(A123="",K123="",L123=""),"",ROUND(K123*L123,2)))</f>
        <v/>
      </c>
      <c r="N123" s="109" t="str">
        <f>IF(OR(historico_VU!A122="",historico_VU!G122=""),"",historico_VU!G122)</f>
        <v/>
      </c>
      <c r="O123" s="110" t="str">
        <f>IF(posicao_contratual!A122="","",posicao_contratual!W122)</f>
        <v/>
      </c>
      <c r="P123" s="109" t="str">
        <f>IF(A123="TOTAL",ROUND(SUM($P$3:P122),2),IF(OR(A123="",N123="",O123=""),"",ROUND(N123*O123,2)))</f>
        <v/>
      </c>
      <c r="Q123" s="183" t="str">
        <f t="shared" ca="1" si="24"/>
        <v/>
      </c>
      <c r="R123" t="str">
        <f>IF($A123="","",IF(MEMORIA_RESULTADOS!$W$46="","","C"&amp;MEMORIA_RESULTADOS!$W$46))</f>
        <v/>
      </c>
      <c r="S123" s="210" t="str">
        <f t="shared" ca="1" si="25"/>
        <v/>
      </c>
      <c r="T123" s="210" t="str">
        <f t="shared" ca="1" si="26"/>
        <v/>
      </c>
      <c r="U123" s="210" t="str">
        <f t="shared" ca="1" si="27"/>
        <v/>
      </c>
      <c r="V123" s="195" t="str">
        <f t="shared" ca="1" si="28"/>
        <v/>
      </c>
      <c r="W123" s="195" t="str">
        <f t="shared" ca="1" si="29"/>
        <v/>
      </c>
      <c r="X123" s="195" t="str">
        <f t="shared" ca="1" si="30"/>
        <v/>
      </c>
      <c r="Y123" t="str">
        <f t="shared" ca="1" si="31"/>
        <v/>
      </c>
      <c r="Z123" s="211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08" t="str">
        <f>IF(AND(itens_Remanesc!A123="",itens_Remanesc!A122&lt;&gt;"",COUNTIF(itens_Remanesc!A124:$A$200,"&lt;&gt;")=0),"TOTAL",IF(itens_Remanesc!A123="","",itens_Remanesc!A123))</f>
        <v/>
      </c>
      <c r="B124" s="109" t="str">
        <f>IF(OR(historico_VU!A123="",historico_VU!C123=""),"",historico_VU!C123)</f>
        <v/>
      </c>
      <c r="C124" s="110" t="str">
        <f>IF(posicao_contratual!A123="","",posicao_contratual!G123)</f>
        <v/>
      </c>
      <c r="D124" s="109" t="str">
        <f>IF(A124="TOTAL",ROUND(SUM($D$3:D123),2),IF(OR(A124="",B124="",C124=""),"",ROUND(B124*C124,2)))</f>
        <v/>
      </c>
      <c r="E124" s="111" t="str">
        <f>IF(OR(historico_VU!A123="",historico_VU!D123=""),"",historico_VU!D123)</f>
        <v/>
      </c>
      <c r="F124" s="112" t="str">
        <f>IF(posicao_contratual!A123="","",posicao_contratual!K123)</f>
        <v/>
      </c>
      <c r="G124" s="111" t="str">
        <f>IF(A124="TOTAL",ROUND(SUM($G$3:G123),2),IF(OR(A124="",E124="",F124=""),"",ROUND(E124*F124,2)))</f>
        <v/>
      </c>
      <c r="H124" s="109" t="str">
        <f>IF(OR(historico_VU!A123="",historico_VU!E123=""),"",historico_VU!E123)</f>
        <v/>
      </c>
      <c r="I124" s="110" t="str">
        <f>IF(posicao_contratual!A123="","",posicao_contratual!O123)</f>
        <v/>
      </c>
      <c r="J124" s="109" t="str">
        <f>IF(A124="TOTAL",ROUND(SUM($J$3:J123),2),IF(OR(A124="",H124="",I124=""),"",ROUND(H124*I124,2)))</f>
        <v/>
      </c>
      <c r="K124" s="111" t="str">
        <f>IF(OR(historico_VU!A123="",historico_VU!F123=""),"",historico_VU!F123)</f>
        <v/>
      </c>
      <c r="L124" s="112" t="str">
        <f>IF(posicao_contratual!A123="","",posicao_contratual!S123)</f>
        <v/>
      </c>
      <c r="M124" s="111" t="str">
        <f>IF(A124="TOTAL",ROUND(SUM($M$3:M123),2),IF(OR(A124="",K124="",L124=""),"",ROUND(K124*L124,2)))</f>
        <v/>
      </c>
      <c r="N124" s="109" t="str">
        <f>IF(OR(historico_VU!A123="",historico_VU!G123=""),"",historico_VU!G123)</f>
        <v/>
      </c>
      <c r="O124" s="110" t="str">
        <f>IF(posicao_contratual!A123="","",posicao_contratual!W123)</f>
        <v/>
      </c>
      <c r="P124" s="109" t="str">
        <f>IF(A124="TOTAL",ROUND(SUM($P$3:P123),2),IF(OR(A124="",N124="",O124=""),"",ROUND(N124*O124,2)))</f>
        <v/>
      </c>
      <c r="Q124" s="183" t="str">
        <f t="shared" ca="1" si="24"/>
        <v/>
      </c>
      <c r="R124" t="str">
        <f>IF($A124="","",IF(MEMORIA_RESULTADOS!$W$46="","","C"&amp;MEMORIA_RESULTADOS!$W$46))</f>
        <v/>
      </c>
      <c r="S124" s="210" t="str">
        <f t="shared" ca="1" si="25"/>
        <v/>
      </c>
      <c r="T124" s="210" t="str">
        <f t="shared" ca="1" si="26"/>
        <v/>
      </c>
      <c r="U124" s="210" t="str">
        <f t="shared" ca="1" si="27"/>
        <v/>
      </c>
      <c r="V124" s="195" t="str">
        <f t="shared" ca="1" si="28"/>
        <v/>
      </c>
      <c r="W124" s="195" t="str">
        <f t="shared" ca="1" si="29"/>
        <v/>
      </c>
      <c r="X124" s="195" t="str">
        <f t="shared" ca="1" si="30"/>
        <v/>
      </c>
      <c r="Y124" t="str">
        <f t="shared" ca="1" si="31"/>
        <v/>
      </c>
      <c r="Z124" s="211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08" t="str">
        <f>IF(AND(itens_Remanesc!A124="",itens_Remanesc!A123&lt;&gt;"",COUNTIF(itens_Remanesc!A125:$A$200,"&lt;&gt;")=0),"TOTAL",IF(itens_Remanesc!A124="","",itens_Remanesc!A124))</f>
        <v/>
      </c>
      <c r="B125" s="109" t="str">
        <f>IF(OR(historico_VU!A124="",historico_VU!C124=""),"",historico_VU!C124)</f>
        <v/>
      </c>
      <c r="C125" s="110" t="str">
        <f>IF(posicao_contratual!A124="","",posicao_contratual!G124)</f>
        <v/>
      </c>
      <c r="D125" s="109" t="str">
        <f>IF(A125="TOTAL",ROUND(SUM($D$3:D124),2),IF(OR(A125="",B125="",C125=""),"",ROUND(B125*C125,2)))</f>
        <v/>
      </c>
      <c r="E125" s="111" t="str">
        <f>IF(OR(historico_VU!A124="",historico_VU!D124=""),"",historico_VU!D124)</f>
        <v/>
      </c>
      <c r="F125" s="112" t="str">
        <f>IF(posicao_contratual!A124="","",posicao_contratual!K124)</f>
        <v/>
      </c>
      <c r="G125" s="111" t="str">
        <f>IF(A125="TOTAL",ROUND(SUM($G$3:G124),2),IF(OR(A125="",E125="",F125=""),"",ROUND(E125*F125,2)))</f>
        <v/>
      </c>
      <c r="H125" s="109" t="str">
        <f>IF(OR(historico_VU!A124="",historico_VU!E124=""),"",historico_VU!E124)</f>
        <v/>
      </c>
      <c r="I125" s="110" t="str">
        <f>IF(posicao_contratual!A124="","",posicao_contratual!O124)</f>
        <v/>
      </c>
      <c r="J125" s="109" t="str">
        <f>IF(A125="TOTAL",ROUND(SUM($J$3:J124),2),IF(OR(A125="",H125="",I125=""),"",ROUND(H125*I125,2)))</f>
        <v/>
      </c>
      <c r="K125" s="111" t="str">
        <f>IF(OR(historico_VU!A124="",historico_VU!F124=""),"",historico_VU!F124)</f>
        <v/>
      </c>
      <c r="L125" s="112" t="str">
        <f>IF(posicao_contratual!A124="","",posicao_contratual!S124)</f>
        <v/>
      </c>
      <c r="M125" s="111" t="str">
        <f>IF(A125="TOTAL",ROUND(SUM($M$3:M124),2),IF(OR(A125="",K125="",L125=""),"",ROUND(K125*L125,2)))</f>
        <v/>
      </c>
      <c r="N125" s="109" t="str">
        <f>IF(OR(historico_VU!A124="",historico_VU!G124=""),"",historico_VU!G124)</f>
        <v/>
      </c>
      <c r="O125" s="110" t="str">
        <f>IF(posicao_contratual!A124="","",posicao_contratual!W124)</f>
        <v/>
      </c>
      <c r="P125" s="109" t="str">
        <f>IF(A125="TOTAL",ROUND(SUM($P$3:P124),2),IF(OR(A125="",N125="",O125=""),"",ROUND(N125*O125,2)))</f>
        <v/>
      </c>
      <c r="Q125" s="183" t="str">
        <f t="shared" ca="1" si="24"/>
        <v/>
      </c>
      <c r="R125" t="str">
        <f>IF($A125="","",IF(MEMORIA_RESULTADOS!$W$46="","","C"&amp;MEMORIA_RESULTADOS!$W$46))</f>
        <v/>
      </c>
      <c r="S125" s="210" t="str">
        <f t="shared" ca="1" si="25"/>
        <v/>
      </c>
      <c r="T125" s="210" t="str">
        <f t="shared" ca="1" si="26"/>
        <v/>
      </c>
      <c r="U125" s="210" t="str">
        <f t="shared" ca="1" si="27"/>
        <v/>
      </c>
      <c r="V125" s="195" t="str">
        <f t="shared" ca="1" si="28"/>
        <v/>
      </c>
      <c r="W125" s="195" t="str">
        <f t="shared" ca="1" si="29"/>
        <v/>
      </c>
      <c r="X125" s="195" t="str">
        <f t="shared" ca="1" si="30"/>
        <v/>
      </c>
      <c r="Y125" t="str">
        <f t="shared" ca="1" si="31"/>
        <v/>
      </c>
      <c r="Z125" s="211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08" t="str">
        <f>IF(AND(itens_Remanesc!A125="",itens_Remanesc!A124&lt;&gt;"",COUNTIF(itens_Remanesc!A126:$A$200,"&lt;&gt;")=0),"TOTAL",IF(itens_Remanesc!A125="","",itens_Remanesc!A125))</f>
        <v/>
      </c>
      <c r="B126" s="109" t="str">
        <f>IF(OR(historico_VU!A125="",historico_VU!C125=""),"",historico_VU!C125)</f>
        <v/>
      </c>
      <c r="C126" s="110" t="str">
        <f>IF(posicao_contratual!A125="","",posicao_contratual!G125)</f>
        <v/>
      </c>
      <c r="D126" s="109" t="str">
        <f>IF(A126="TOTAL",ROUND(SUM($D$3:D125),2),IF(OR(A126="",B126="",C126=""),"",ROUND(B126*C126,2)))</f>
        <v/>
      </c>
      <c r="E126" s="111" t="str">
        <f>IF(OR(historico_VU!A125="",historico_VU!D125=""),"",historico_VU!D125)</f>
        <v/>
      </c>
      <c r="F126" s="112" t="str">
        <f>IF(posicao_contratual!A125="","",posicao_contratual!K125)</f>
        <v/>
      </c>
      <c r="G126" s="111" t="str">
        <f>IF(A126="TOTAL",ROUND(SUM($G$3:G125),2),IF(OR(A126="",E126="",F126=""),"",ROUND(E126*F126,2)))</f>
        <v/>
      </c>
      <c r="H126" s="109" t="str">
        <f>IF(OR(historico_VU!A125="",historico_VU!E125=""),"",historico_VU!E125)</f>
        <v/>
      </c>
      <c r="I126" s="110" t="str">
        <f>IF(posicao_contratual!A125="","",posicao_contratual!O125)</f>
        <v/>
      </c>
      <c r="J126" s="109" t="str">
        <f>IF(A126="TOTAL",ROUND(SUM($J$3:J125),2),IF(OR(A126="",H126="",I126=""),"",ROUND(H126*I126,2)))</f>
        <v/>
      </c>
      <c r="K126" s="111" t="str">
        <f>IF(OR(historico_VU!A125="",historico_VU!F125=""),"",historico_VU!F125)</f>
        <v/>
      </c>
      <c r="L126" s="112" t="str">
        <f>IF(posicao_contratual!A125="","",posicao_contratual!S125)</f>
        <v/>
      </c>
      <c r="M126" s="111" t="str">
        <f>IF(A126="TOTAL",ROUND(SUM($M$3:M125),2),IF(OR(A126="",K126="",L126=""),"",ROUND(K126*L126,2)))</f>
        <v/>
      </c>
      <c r="N126" s="109" t="str">
        <f>IF(OR(historico_VU!A125="",historico_VU!G125=""),"",historico_VU!G125)</f>
        <v/>
      </c>
      <c r="O126" s="110" t="str">
        <f>IF(posicao_contratual!A125="","",posicao_contratual!W125)</f>
        <v/>
      </c>
      <c r="P126" s="109" t="str">
        <f>IF(A126="TOTAL",ROUND(SUM($P$3:P125),2),IF(OR(A126="",N126="",O126=""),"",ROUND(N126*O126,2)))</f>
        <v/>
      </c>
      <c r="Q126" s="183" t="str">
        <f t="shared" ca="1" si="24"/>
        <v/>
      </c>
      <c r="R126" t="str">
        <f>IF($A126="","",IF(MEMORIA_RESULTADOS!$W$46="","","C"&amp;MEMORIA_RESULTADOS!$W$46))</f>
        <v/>
      </c>
      <c r="S126" s="210" t="str">
        <f t="shared" ca="1" si="25"/>
        <v/>
      </c>
      <c r="T126" s="210" t="str">
        <f t="shared" ca="1" si="26"/>
        <v/>
      </c>
      <c r="U126" s="210" t="str">
        <f t="shared" ca="1" si="27"/>
        <v/>
      </c>
      <c r="V126" s="195" t="str">
        <f t="shared" ca="1" si="28"/>
        <v/>
      </c>
      <c r="W126" s="195" t="str">
        <f t="shared" ca="1" si="29"/>
        <v/>
      </c>
      <c r="X126" s="195" t="str">
        <f t="shared" ca="1" si="30"/>
        <v/>
      </c>
      <c r="Y126" t="str">
        <f t="shared" ca="1" si="31"/>
        <v/>
      </c>
      <c r="Z126" s="211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08" t="str">
        <f>IF(AND(itens_Remanesc!A126="",itens_Remanesc!A125&lt;&gt;"",COUNTIF(itens_Remanesc!A127:$A$200,"&lt;&gt;")=0),"TOTAL",IF(itens_Remanesc!A126="","",itens_Remanesc!A126))</f>
        <v/>
      </c>
      <c r="B127" s="109" t="str">
        <f>IF(OR(historico_VU!A126="",historico_VU!C126=""),"",historico_VU!C126)</f>
        <v/>
      </c>
      <c r="C127" s="110" t="str">
        <f>IF(posicao_contratual!A126="","",posicao_contratual!G126)</f>
        <v/>
      </c>
      <c r="D127" s="109" t="str">
        <f>IF(A127="TOTAL",ROUND(SUM($D$3:D126),2),IF(OR(A127="",B127="",C127=""),"",ROUND(B127*C127,2)))</f>
        <v/>
      </c>
      <c r="E127" s="111" t="str">
        <f>IF(OR(historico_VU!A126="",historico_VU!D126=""),"",historico_VU!D126)</f>
        <v/>
      </c>
      <c r="F127" s="112" t="str">
        <f>IF(posicao_contratual!A126="","",posicao_contratual!K126)</f>
        <v/>
      </c>
      <c r="G127" s="111" t="str">
        <f>IF(A127="TOTAL",ROUND(SUM($G$3:G126),2),IF(OR(A127="",E127="",F127=""),"",ROUND(E127*F127,2)))</f>
        <v/>
      </c>
      <c r="H127" s="109" t="str">
        <f>IF(OR(historico_VU!A126="",historico_VU!E126=""),"",historico_VU!E126)</f>
        <v/>
      </c>
      <c r="I127" s="110" t="str">
        <f>IF(posicao_contratual!A126="","",posicao_contratual!O126)</f>
        <v/>
      </c>
      <c r="J127" s="109" t="str">
        <f>IF(A127="TOTAL",ROUND(SUM($J$3:J126),2),IF(OR(A127="",H127="",I127=""),"",ROUND(H127*I127,2)))</f>
        <v/>
      </c>
      <c r="K127" s="111" t="str">
        <f>IF(OR(historico_VU!A126="",historico_VU!F126=""),"",historico_VU!F126)</f>
        <v/>
      </c>
      <c r="L127" s="112" t="str">
        <f>IF(posicao_contratual!A126="","",posicao_contratual!S126)</f>
        <v/>
      </c>
      <c r="M127" s="111" t="str">
        <f>IF(A127="TOTAL",ROUND(SUM($M$3:M126),2),IF(OR(A127="",K127="",L127=""),"",ROUND(K127*L127,2)))</f>
        <v/>
      </c>
      <c r="N127" s="109" t="str">
        <f>IF(OR(historico_VU!A126="",historico_VU!G126=""),"",historico_VU!G126)</f>
        <v/>
      </c>
      <c r="O127" s="110" t="str">
        <f>IF(posicao_contratual!A126="","",posicao_contratual!W126)</f>
        <v/>
      </c>
      <c r="P127" s="109" t="str">
        <f>IF(A127="TOTAL",ROUND(SUM($P$3:P126),2),IF(OR(A127="",N127="",O127=""),"",ROUND(N127*O127,2)))</f>
        <v/>
      </c>
      <c r="Q127" s="183" t="str">
        <f t="shared" ca="1" si="24"/>
        <v/>
      </c>
      <c r="R127" t="str">
        <f>IF($A127="","",IF(MEMORIA_RESULTADOS!$W$46="","","C"&amp;MEMORIA_RESULTADOS!$W$46))</f>
        <v/>
      </c>
      <c r="S127" s="210" t="str">
        <f t="shared" ca="1" si="25"/>
        <v/>
      </c>
      <c r="T127" s="210" t="str">
        <f t="shared" ca="1" si="26"/>
        <v/>
      </c>
      <c r="U127" s="210" t="str">
        <f t="shared" ca="1" si="27"/>
        <v/>
      </c>
      <c r="V127" s="195" t="str">
        <f t="shared" ca="1" si="28"/>
        <v/>
      </c>
      <c r="W127" s="195" t="str">
        <f t="shared" ca="1" si="29"/>
        <v/>
      </c>
      <c r="X127" s="195" t="str">
        <f t="shared" ca="1" si="30"/>
        <v/>
      </c>
      <c r="Y127" t="str">
        <f t="shared" ca="1" si="31"/>
        <v/>
      </c>
      <c r="Z127" s="211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08" t="str">
        <f>IF(AND(itens_Remanesc!A127="",itens_Remanesc!A126&lt;&gt;"",COUNTIF(itens_Remanesc!A128:$A$200,"&lt;&gt;")=0),"TOTAL",IF(itens_Remanesc!A127="","",itens_Remanesc!A127))</f>
        <v/>
      </c>
      <c r="B128" s="109" t="str">
        <f>IF(OR(historico_VU!A127="",historico_VU!C127=""),"",historico_VU!C127)</f>
        <v/>
      </c>
      <c r="C128" s="110" t="str">
        <f>IF(posicao_contratual!A127="","",posicao_contratual!G127)</f>
        <v/>
      </c>
      <c r="D128" s="109" t="str">
        <f>IF(A128="TOTAL",ROUND(SUM($D$3:D127),2),IF(OR(A128="",B128="",C128=""),"",ROUND(B128*C128,2)))</f>
        <v/>
      </c>
      <c r="E128" s="111" t="str">
        <f>IF(OR(historico_VU!A127="",historico_VU!D127=""),"",historico_VU!D127)</f>
        <v/>
      </c>
      <c r="F128" s="112" t="str">
        <f>IF(posicao_contratual!A127="","",posicao_contratual!K127)</f>
        <v/>
      </c>
      <c r="G128" s="111" t="str">
        <f>IF(A128="TOTAL",ROUND(SUM($G$3:G127),2),IF(OR(A128="",E128="",F128=""),"",ROUND(E128*F128,2)))</f>
        <v/>
      </c>
      <c r="H128" s="109" t="str">
        <f>IF(OR(historico_VU!A127="",historico_VU!E127=""),"",historico_VU!E127)</f>
        <v/>
      </c>
      <c r="I128" s="110" t="str">
        <f>IF(posicao_contratual!A127="","",posicao_contratual!O127)</f>
        <v/>
      </c>
      <c r="J128" s="109" t="str">
        <f>IF(A128="TOTAL",ROUND(SUM($J$3:J127),2),IF(OR(A128="",H128="",I128=""),"",ROUND(H128*I128,2)))</f>
        <v/>
      </c>
      <c r="K128" s="111" t="str">
        <f>IF(OR(historico_VU!A127="",historico_VU!F127=""),"",historico_VU!F127)</f>
        <v/>
      </c>
      <c r="L128" s="112" t="str">
        <f>IF(posicao_contratual!A127="","",posicao_contratual!S127)</f>
        <v/>
      </c>
      <c r="M128" s="111" t="str">
        <f>IF(A128="TOTAL",ROUND(SUM($M$3:M127),2),IF(OR(A128="",K128="",L128=""),"",ROUND(K128*L128,2)))</f>
        <v/>
      </c>
      <c r="N128" s="109" t="str">
        <f>IF(OR(historico_VU!A127="",historico_VU!G127=""),"",historico_VU!G127)</f>
        <v/>
      </c>
      <c r="O128" s="110" t="str">
        <f>IF(posicao_contratual!A127="","",posicao_contratual!W127)</f>
        <v/>
      </c>
      <c r="P128" s="109" t="str">
        <f>IF(A128="TOTAL",ROUND(SUM($P$3:P127),2),IF(OR(A128="",N128="",O128=""),"",ROUND(N128*O128,2)))</f>
        <v/>
      </c>
      <c r="Q128" s="183" t="str">
        <f t="shared" ca="1" si="24"/>
        <v/>
      </c>
      <c r="R128" t="str">
        <f>IF($A128="","",IF(MEMORIA_RESULTADOS!$W$46="","","C"&amp;MEMORIA_RESULTADOS!$W$46))</f>
        <v/>
      </c>
      <c r="S128" s="210" t="str">
        <f t="shared" ca="1" si="25"/>
        <v/>
      </c>
      <c r="T128" s="210" t="str">
        <f t="shared" ca="1" si="26"/>
        <v/>
      </c>
      <c r="U128" s="210" t="str">
        <f t="shared" ca="1" si="27"/>
        <v/>
      </c>
      <c r="V128" s="195" t="str">
        <f t="shared" ca="1" si="28"/>
        <v/>
      </c>
      <c r="W128" s="195" t="str">
        <f t="shared" ca="1" si="29"/>
        <v/>
      </c>
      <c r="X128" s="195" t="str">
        <f t="shared" ca="1" si="30"/>
        <v/>
      </c>
      <c r="Y128" t="str">
        <f t="shared" ca="1" si="31"/>
        <v/>
      </c>
      <c r="Z128" s="211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08" t="str">
        <f>IF(AND(itens_Remanesc!A128="",itens_Remanesc!A127&lt;&gt;"",COUNTIF(itens_Remanesc!A129:$A$200,"&lt;&gt;")=0),"TOTAL",IF(itens_Remanesc!A128="","",itens_Remanesc!A128))</f>
        <v/>
      </c>
      <c r="B129" s="109" t="str">
        <f>IF(OR(historico_VU!A128="",historico_VU!C128=""),"",historico_VU!C128)</f>
        <v/>
      </c>
      <c r="C129" s="110" t="str">
        <f>IF(posicao_contratual!A128="","",posicao_contratual!G128)</f>
        <v/>
      </c>
      <c r="D129" s="109" t="str">
        <f>IF(A129="TOTAL",ROUND(SUM($D$3:D128),2),IF(OR(A129="",B129="",C129=""),"",ROUND(B129*C129,2)))</f>
        <v/>
      </c>
      <c r="E129" s="111" t="str">
        <f>IF(OR(historico_VU!A128="",historico_VU!D128=""),"",historico_VU!D128)</f>
        <v/>
      </c>
      <c r="F129" s="112" t="str">
        <f>IF(posicao_contratual!A128="","",posicao_contratual!K128)</f>
        <v/>
      </c>
      <c r="G129" s="111" t="str">
        <f>IF(A129="TOTAL",ROUND(SUM($G$3:G128),2),IF(OR(A129="",E129="",F129=""),"",ROUND(E129*F129,2)))</f>
        <v/>
      </c>
      <c r="H129" s="109" t="str">
        <f>IF(OR(historico_VU!A128="",historico_VU!E128=""),"",historico_VU!E128)</f>
        <v/>
      </c>
      <c r="I129" s="110" t="str">
        <f>IF(posicao_contratual!A128="","",posicao_contratual!O128)</f>
        <v/>
      </c>
      <c r="J129" s="109" t="str">
        <f>IF(A129="TOTAL",ROUND(SUM($J$3:J128),2),IF(OR(A129="",H129="",I129=""),"",ROUND(H129*I129,2)))</f>
        <v/>
      </c>
      <c r="K129" s="111" t="str">
        <f>IF(OR(historico_VU!A128="",historico_VU!F128=""),"",historico_VU!F128)</f>
        <v/>
      </c>
      <c r="L129" s="112" t="str">
        <f>IF(posicao_contratual!A128="","",posicao_contratual!S128)</f>
        <v/>
      </c>
      <c r="M129" s="111" t="str">
        <f>IF(A129="TOTAL",ROUND(SUM($M$3:M128),2),IF(OR(A129="",K129="",L129=""),"",ROUND(K129*L129,2)))</f>
        <v/>
      </c>
      <c r="N129" s="109" t="str">
        <f>IF(OR(historico_VU!A128="",historico_VU!G128=""),"",historico_VU!G128)</f>
        <v/>
      </c>
      <c r="O129" s="110" t="str">
        <f>IF(posicao_contratual!A128="","",posicao_contratual!W128)</f>
        <v/>
      </c>
      <c r="P129" s="109" t="str">
        <f>IF(A129="TOTAL",ROUND(SUM($P$3:P128),2),IF(OR(A129="",N129="",O129=""),"",ROUND(N129*O129,2)))</f>
        <v/>
      </c>
      <c r="Q129" s="183" t="str">
        <f t="shared" ca="1" si="24"/>
        <v/>
      </c>
      <c r="R129" t="str">
        <f>IF($A129="","",IF(MEMORIA_RESULTADOS!$W$46="","","C"&amp;MEMORIA_RESULTADOS!$W$46))</f>
        <v/>
      </c>
      <c r="S129" s="210" t="str">
        <f t="shared" ca="1" si="25"/>
        <v/>
      </c>
      <c r="T129" s="210" t="str">
        <f t="shared" ca="1" si="26"/>
        <v/>
      </c>
      <c r="U129" s="210" t="str">
        <f t="shared" ca="1" si="27"/>
        <v/>
      </c>
      <c r="V129" s="195" t="str">
        <f t="shared" ca="1" si="28"/>
        <v/>
      </c>
      <c r="W129" s="195" t="str">
        <f t="shared" ca="1" si="29"/>
        <v/>
      </c>
      <c r="X129" s="195" t="str">
        <f t="shared" ca="1" si="30"/>
        <v/>
      </c>
      <c r="Y129" t="str">
        <f t="shared" ca="1" si="31"/>
        <v/>
      </c>
      <c r="Z129" s="211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08" t="str">
        <f>IF(AND(itens_Remanesc!A129="",itens_Remanesc!A128&lt;&gt;"",COUNTIF(itens_Remanesc!A130:$A$200,"&lt;&gt;")=0),"TOTAL",IF(itens_Remanesc!A129="","",itens_Remanesc!A129))</f>
        <v/>
      </c>
      <c r="B130" s="109" t="str">
        <f>IF(OR(historico_VU!A129="",historico_VU!C129=""),"",historico_VU!C129)</f>
        <v/>
      </c>
      <c r="C130" s="110" t="str">
        <f>IF(posicao_contratual!A129="","",posicao_contratual!G129)</f>
        <v/>
      </c>
      <c r="D130" s="109" t="str">
        <f>IF(A130="TOTAL",ROUND(SUM($D$3:D129),2),IF(OR(A130="",B130="",C130=""),"",ROUND(B130*C130,2)))</f>
        <v/>
      </c>
      <c r="E130" s="111" t="str">
        <f>IF(OR(historico_VU!A129="",historico_VU!D129=""),"",historico_VU!D129)</f>
        <v/>
      </c>
      <c r="F130" s="112" t="str">
        <f>IF(posicao_contratual!A129="","",posicao_contratual!K129)</f>
        <v/>
      </c>
      <c r="G130" s="111" t="str">
        <f>IF(A130="TOTAL",ROUND(SUM($G$3:G129),2),IF(OR(A130="",E130="",F130=""),"",ROUND(E130*F130,2)))</f>
        <v/>
      </c>
      <c r="H130" s="109" t="str">
        <f>IF(OR(historico_VU!A129="",historico_VU!E129=""),"",historico_VU!E129)</f>
        <v/>
      </c>
      <c r="I130" s="110" t="str">
        <f>IF(posicao_contratual!A129="","",posicao_contratual!O129)</f>
        <v/>
      </c>
      <c r="J130" s="109" t="str">
        <f>IF(A130="TOTAL",ROUND(SUM($J$3:J129),2),IF(OR(A130="",H130="",I130=""),"",ROUND(H130*I130,2)))</f>
        <v/>
      </c>
      <c r="K130" s="111" t="str">
        <f>IF(OR(historico_VU!A129="",historico_VU!F129=""),"",historico_VU!F129)</f>
        <v/>
      </c>
      <c r="L130" s="112" t="str">
        <f>IF(posicao_contratual!A129="","",posicao_contratual!S129)</f>
        <v/>
      </c>
      <c r="M130" s="111" t="str">
        <f>IF(A130="TOTAL",ROUND(SUM($M$3:M129),2),IF(OR(A130="",K130="",L130=""),"",ROUND(K130*L130,2)))</f>
        <v/>
      </c>
      <c r="N130" s="109" t="str">
        <f>IF(OR(historico_VU!A129="",historico_VU!G129=""),"",historico_VU!G129)</f>
        <v/>
      </c>
      <c r="O130" s="110" t="str">
        <f>IF(posicao_contratual!A129="","",posicao_contratual!W129)</f>
        <v/>
      </c>
      <c r="P130" s="109" t="str">
        <f>IF(A130="TOTAL",ROUND(SUM($P$3:P129),2),IF(OR(A130="",N130="",O130=""),"",ROUND(N130*O130,2)))</f>
        <v/>
      </c>
      <c r="Q130" s="183" t="str">
        <f t="shared" ca="1" si="24"/>
        <v/>
      </c>
      <c r="R130" t="str">
        <f>IF($A130="","",IF(MEMORIA_RESULTADOS!$W$46="","","C"&amp;MEMORIA_RESULTADOS!$W$46))</f>
        <v/>
      </c>
      <c r="S130" s="210" t="str">
        <f t="shared" ca="1" si="25"/>
        <v/>
      </c>
      <c r="T130" s="210" t="str">
        <f t="shared" ca="1" si="26"/>
        <v/>
      </c>
      <c r="U130" s="210" t="str">
        <f t="shared" ca="1" si="27"/>
        <v/>
      </c>
      <c r="V130" s="195" t="str">
        <f t="shared" ca="1" si="28"/>
        <v/>
      </c>
      <c r="W130" s="195" t="str">
        <f t="shared" ca="1" si="29"/>
        <v/>
      </c>
      <c r="X130" s="195" t="str">
        <f t="shared" ca="1" si="30"/>
        <v/>
      </c>
      <c r="Y130" t="str">
        <f t="shared" ca="1" si="31"/>
        <v/>
      </c>
      <c r="Z130" s="211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08" t="str">
        <f>IF(AND(itens_Remanesc!A130="",itens_Remanesc!A129&lt;&gt;"",COUNTIF(itens_Remanesc!A131:$A$200,"&lt;&gt;")=0),"TOTAL",IF(itens_Remanesc!A130="","",itens_Remanesc!A130))</f>
        <v/>
      </c>
      <c r="B131" s="109" t="str">
        <f>IF(OR(historico_VU!A130="",historico_VU!C130=""),"",historico_VU!C130)</f>
        <v/>
      </c>
      <c r="C131" s="110" t="str">
        <f>IF(posicao_contratual!A130="","",posicao_contratual!G130)</f>
        <v/>
      </c>
      <c r="D131" s="109" t="str">
        <f>IF(A131="TOTAL",ROUND(SUM($D$3:D130),2),IF(OR(A131="",B131="",C131=""),"",ROUND(B131*C131,2)))</f>
        <v/>
      </c>
      <c r="E131" s="111" t="str">
        <f>IF(OR(historico_VU!A130="",historico_VU!D130=""),"",historico_VU!D130)</f>
        <v/>
      </c>
      <c r="F131" s="112" t="str">
        <f>IF(posicao_contratual!A130="","",posicao_contratual!K130)</f>
        <v/>
      </c>
      <c r="G131" s="111" t="str">
        <f>IF(A131="TOTAL",ROUND(SUM($G$3:G130),2),IF(OR(A131="",E131="",F131=""),"",ROUND(E131*F131,2)))</f>
        <v/>
      </c>
      <c r="H131" s="109" t="str">
        <f>IF(OR(historico_VU!A130="",historico_VU!E130=""),"",historico_VU!E130)</f>
        <v/>
      </c>
      <c r="I131" s="110" t="str">
        <f>IF(posicao_contratual!A130="","",posicao_contratual!O130)</f>
        <v/>
      </c>
      <c r="J131" s="109" t="str">
        <f>IF(A131="TOTAL",ROUND(SUM($J$3:J130),2),IF(OR(A131="",H131="",I131=""),"",ROUND(H131*I131,2)))</f>
        <v/>
      </c>
      <c r="K131" s="111" t="str">
        <f>IF(OR(historico_VU!A130="",historico_VU!F130=""),"",historico_VU!F130)</f>
        <v/>
      </c>
      <c r="L131" s="112" t="str">
        <f>IF(posicao_contratual!A130="","",posicao_contratual!S130)</f>
        <v/>
      </c>
      <c r="M131" s="111" t="str">
        <f>IF(A131="TOTAL",ROUND(SUM($M$3:M130),2),IF(OR(A131="",K131="",L131=""),"",ROUND(K131*L131,2)))</f>
        <v/>
      </c>
      <c r="N131" s="109" t="str">
        <f>IF(OR(historico_VU!A130="",historico_VU!G130=""),"",historico_VU!G130)</f>
        <v/>
      </c>
      <c r="O131" s="110" t="str">
        <f>IF(posicao_contratual!A130="","",posicao_contratual!W130)</f>
        <v/>
      </c>
      <c r="P131" s="109" t="str">
        <f>IF(A131="TOTAL",ROUND(SUM($P$3:P130),2),IF(OR(A131="",N131="",O131=""),"",ROUND(N131*O131,2)))</f>
        <v/>
      </c>
      <c r="Q131" s="183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0" t="str">
        <f t="shared" ref="S131:S162" ca="1" si="33">IF($A131="","",IFERROR(IF(INDIRECT("CICLO_EM_EXECUCAO!B"&amp;(ROW()+10))="","",INDIRECT("CICLO_EM_EXECUCAO!B"&amp;(ROW()+10))),""))</f>
        <v/>
      </c>
      <c r="T131" s="210" t="str">
        <f t="shared" ref="T131:T162" ca="1" si="34">IF($A131="","",IFERROR(IF(INDIRECT("CICLO_EM_EXECUCAO!D"&amp;(ROW()+10))="","",INDIRECT("CICLO_EM_EXECUCAO!D"&amp;(ROW()+10))),""))</f>
        <v/>
      </c>
      <c r="U131" s="210" t="str">
        <f t="shared" ref="U131:U162" ca="1" si="35">IF($A131="","",IFERROR(IF(INDIRECT("CICLO_EM_EXECUCAO!C"&amp;(ROW()+10))="","",INDIRECT("CICLO_EM_EXECUCAO!C"&amp;(ROW()+10))),""))</f>
        <v/>
      </c>
      <c r="V131" s="195" t="str">
        <f t="shared" ref="V131:V162" ca="1" si="36">IF($A131="","",IFERROR(IF(INDIRECT("CICLO_EM_EXECUCAO!E"&amp;(ROW()+10))="","",INDIRECT("CICLO_EM_EXECUCAO!E"&amp;(ROW()+10))),""))</f>
        <v/>
      </c>
      <c r="W131" s="195" t="str">
        <f t="shared" ref="W131:W162" ca="1" si="37">IF($A131="","",IFERROR(IF(INDIRECT("CICLO_EM_EXECUCAO!F"&amp;(ROW()+10))="","",INDIRECT("CICLO_EM_EXECUCAO!F"&amp;(ROW()+10))),""))</f>
        <v/>
      </c>
      <c r="X131" s="195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1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08" t="str">
        <f>IF(AND(itens_Remanesc!A131="",itens_Remanesc!A130&lt;&gt;"",COUNTIF(itens_Remanesc!A132:$A$200,"&lt;&gt;")=0),"TOTAL",IF(itens_Remanesc!A131="","",itens_Remanesc!A131))</f>
        <v/>
      </c>
      <c r="B132" s="109" t="str">
        <f>IF(OR(historico_VU!A131="",historico_VU!C131=""),"",historico_VU!C131)</f>
        <v/>
      </c>
      <c r="C132" s="110" t="str">
        <f>IF(posicao_contratual!A131="","",posicao_contratual!G131)</f>
        <v/>
      </c>
      <c r="D132" s="109" t="str">
        <f>IF(A132="TOTAL",ROUND(SUM($D$3:D131),2),IF(OR(A132="",B132="",C132=""),"",ROUND(B132*C132,2)))</f>
        <v/>
      </c>
      <c r="E132" s="111" t="str">
        <f>IF(OR(historico_VU!A131="",historico_VU!D131=""),"",historico_VU!D131)</f>
        <v/>
      </c>
      <c r="F132" s="112" t="str">
        <f>IF(posicao_contratual!A131="","",posicao_contratual!K131)</f>
        <v/>
      </c>
      <c r="G132" s="111" t="str">
        <f>IF(A132="TOTAL",ROUND(SUM($G$3:G131),2),IF(OR(A132="",E132="",F132=""),"",ROUND(E132*F132,2)))</f>
        <v/>
      </c>
      <c r="H132" s="109" t="str">
        <f>IF(OR(historico_VU!A131="",historico_VU!E131=""),"",historico_VU!E131)</f>
        <v/>
      </c>
      <c r="I132" s="110" t="str">
        <f>IF(posicao_contratual!A131="","",posicao_contratual!O131)</f>
        <v/>
      </c>
      <c r="J132" s="109" t="str">
        <f>IF(A132="TOTAL",ROUND(SUM($J$3:J131),2),IF(OR(A132="",H132="",I132=""),"",ROUND(H132*I132,2)))</f>
        <v/>
      </c>
      <c r="K132" s="111" t="str">
        <f>IF(OR(historico_VU!A131="",historico_VU!F131=""),"",historico_VU!F131)</f>
        <v/>
      </c>
      <c r="L132" s="112" t="str">
        <f>IF(posicao_contratual!A131="","",posicao_contratual!S131)</f>
        <v/>
      </c>
      <c r="M132" s="111" t="str">
        <f>IF(A132="TOTAL",ROUND(SUM($M$3:M131),2),IF(OR(A132="",K132="",L132=""),"",ROUND(K132*L132,2)))</f>
        <v/>
      </c>
      <c r="N132" s="109" t="str">
        <f>IF(OR(historico_VU!A131="",historico_VU!G131=""),"",historico_VU!G131)</f>
        <v/>
      </c>
      <c r="O132" s="110" t="str">
        <f>IF(posicao_contratual!A131="","",posicao_contratual!W131)</f>
        <v/>
      </c>
      <c r="P132" s="109" t="str">
        <f>IF(A132="TOTAL",ROUND(SUM($P$3:P131),2),IF(OR(A132="",N132="",O132=""),"",ROUND(N132*O132,2)))</f>
        <v/>
      </c>
      <c r="Q132" s="183" t="str">
        <f t="shared" ca="1" si="32"/>
        <v/>
      </c>
      <c r="R132" t="str">
        <f>IF($A132="","",IF(MEMORIA_RESULTADOS!$W$46="","","C"&amp;MEMORIA_RESULTADOS!$W$46))</f>
        <v/>
      </c>
      <c r="S132" s="210" t="str">
        <f t="shared" ca="1" si="33"/>
        <v/>
      </c>
      <c r="T132" s="210" t="str">
        <f t="shared" ca="1" si="34"/>
        <v/>
      </c>
      <c r="U132" s="210" t="str">
        <f t="shared" ca="1" si="35"/>
        <v/>
      </c>
      <c r="V132" s="195" t="str">
        <f t="shared" ca="1" si="36"/>
        <v/>
      </c>
      <c r="W132" s="195" t="str">
        <f t="shared" ca="1" si="37"/>
        <v/>
      </c>
      <c r="X132" s="195" t="str">
        <f t="shared" ca="1" si="38"/>
        <v/>
      </c>
      <c r="Y132" t="str">
        <f t="shared" ca="1" si="39"/>
        <v/>
      </c>
      <c r="Z132" s="211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08" t="str">
        <f>IF(AND(itens_Remanesc!A132="",itens_Remanesc!A131&lt;&gt;"",COUNTIF(itens_Remanesc!A133:$A$200,"&lt;&gt;")=0),"TOTAL",IF(itens_Remanesc!A132="","",itens_Remanesc!A132))</f>
        <v/>
      </c>
      <c r="B133" s="109" t="str">
        <f>IF(OR(historico_VU!A132="",historico_VU!C132=""),"",historico_VU!C132)</f>
        <v/>
      </c>
      <c r="C133" s="110" t="str">
        <f>IF(posicao_contratual!A132="","",posicao_contratual!G132)</f>
        <v/>
      </c>
      <c r="D133" s="109" t="str">
        <f>IF(A133="TOTAL",ROUND(SUM($D$3:D132),2),IF(OR(A133="",B133="",C133=""),"",ROUND(B133*C133,2)))</f>
        <v/>
      </c>
      <c r="E133" s="111" t="str">
        <f>IF(OR(historico_VU!A132="",historico_VU!D132=""),"",historico_VU!D132)</f>
        <v/>
      </c>
      <c r="F133" s="112" t="str">
        <f>IF(posicao_contratual!A132="","",posicao_contratual!K132)</f>
        <v/>
      </c>
      <c r="G133" s="111" t="str">
        <f>IF(A133="TOTAL",ROUND(SUM($G$3:G132),2),IF(OR(A133="",E133="",F133=""),"",ROUND(E133*F133,2)))</f>
        <v/>
      </c>
      <c r="H133" s="109" t="str">
        <f>IF(OR(historico_VU!A132="",historico_VU!E132=""),"",historico_VU!E132)</f>
        <v/>
      </c>
      <c r="I133" s="110" t="str">
        <f>IF(posicao_contratual!A132="","",posicao_contratual!O132)</f>
        <v/>
      </c>
      <c r="J133" s="109" t="str">
        <f>IF(A133="TOTAL",ROUND(SUM($J$3:J132),2),IF(OR(A133="",H133="",I133=""),"",ROUND(H133*I133,2)))</f>
        <v/>
      </c>
      <c r="K133" s="111" t="str">
        <f>IF(OR(historico_VU!A132="",historico_VU!F132=""),"",historico_VU!F132)</f>
        <v/>
      </c>
      <c r="L133" s="112" t="str">
        <f>IF(posicao_contratual!A132="","",posicao_contratual!S132)</f>
        <v/>
      </c>
      <c r="M133" s="111" t="str">
        <f>IF(A133="TOTAL",ROUND(SUM($M$3:M132),2),IF(OR(A133="",K133="",L133=""),"",ROUND(K133*L133,2)))</f>
        <v/>
      </c>
      <c r="N133" s="109" t="str">
        <f>IF(OR(historico_VU!A132="",historico_VU!G132=""),"",historico_VU!G132)</f>
        <v/>
      </c>
      <c r="O133" s="110" t="str">
        <f>IF(posicao_contratual!A132="","",posicao_contratual!W132)</f>
        <v/>
      </c>
      <c r="P133" s="109" t="str">
        <f>IF(A133="TOTAL",ROUND(SUM($P$3:P132),2),IF(OR(A133="",N133="",O133=""),"",ROUND(N133*O133,2)))</f>
        <v/>
      </c>
      <c r="Q133" s="183" t="str">
        <f t="shared" ca="1" si="32"/>
        <v/>
      </c>
      <c r="R133" t="str">
        <f>IF($A133="","",IF(MEMORIA_RESULTADOS!$W$46="","","C"&amp;MEMORIA_RESULTADOS!$W$46))</f>
        <v/>
      </c>
      <c r="S133" s="210" t="str">
        <f t="shared" ca="1" si="33"/>
        <v/>
      </c>
      <c r="T133" s="210" t="str">
        <f t="shared" ca="1" si="34"/>
        <v/>
      </c>
      <c r="U133" s="210" t="str">
        <f t="shared" ca="1" si="35"/>
        <v/>
      </c>
      <c r="V133" s="195" t="str">
        <f t="shared" ca="1" si="36"/>
        <v/>
      </c>
      <c r="W133" s="195" t="str">
        <f t="shared" ca="1" si="37"/>
        <v/>
      </c>
      <c r="X133" s="195" t="str">
        <f t="shared" ca="1" si="38"/>
        <v/>
      </c>
      <c r="Y133" t="str">
        <f t="shared" ca="1" si="39"/>
        <v/>
      </c>
      <c r="Z133" s="211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08" t="str">
        <f>IF(AND(itens_Remanesc!A133="",itens_Remanesc!A132&lt;&gt;"",COUNTIF(itens_Remanesc!A134:$A$200,"&lt;&gt;")=0),"TOTAL",IF(itens_Remanesc!A133="","",itens_Remanesc!A133))</f>
        <v/>
      </c>
      <c r="B134" s="109" t="str">
        <f>IF(OR(historico_VU!A133="",historico_VU!C133=""),"",historico_VU!C133)</f>
        <v/>
      </c>
      <c r="C134" s="110" t="str">
        <f>IF(posicao_contratual!A133="","",posicao_contratual!G133)</f>
        <v/>
      </c>
      <c r="D134" s="109" t="str">
        <f>IF(A134="TOTAL",ROUND(SUM($D$3:D133),2),IF(OR(A134="",B134="",C134=""),"",ROUND(B134*C134,2)))</f>
        <v/>
      </c>
      <c r="E134" s="111" t="str">
        <f>IF(OR(historico_VU!A133="",historico_VU!D133=""),"",historico_VU!D133)</f>
        <v/>
      </c>
      <c r="F134" s="112" t="str">
        <f>IF(posicao_contratual!A133="","",posicao_contratual!K133)</f>
        <v/>
      </c>
      <c r="G134" s="111" t="str">
        <f>IF(A134="TOTAL",ROUND(SUM($G$3:G133),2),IF(OR(A134="",E134="",F134=""),"",ROUND(E134*F134,2)))</f>
        <v/>
      </c>
      <c r="H134" s="109" t="str">
        <f>IF(OR(historico_VU!A133="",historico_VU!E133=""),"",historico_VU!E133)</f>
        <v/>
      </c>
      <c r="I134" s="110" t="str">
        <f>IF(posicao_contratual!A133="","",posicao_contratual!O133)</f>
        <v/>
      </c>
      <c r="J134" s="109" t="str">
        <f>IF(A134="TOTAL",ROUND(SUM($J$3:J133),2),IF(OR(A134="",H134="",I134=""),"",ROUND(H134*I134,2)))</f>
        <v/>
      </c>
      <c r="K134" s="111" t="str">
        <f>IF(OR(historico_VU!A133="",historico_VU!F133=""),"",historico_VU!F133)</f>
        <v/>
      </c>
      <c r="L134" s="112" t="str">
        <f>IF(posicao_contratual!A133="","",posicao_contratual!S133)</f>
        <v/>
      </c>
      <c r="M134" s="111" t="str">
        <f>IF(A134="TOTAL",ROUND(SUM($M$3:M133),2),IF(OR(A134="",K134="",L134=""),"",ROUND(K134*L134,2)))</f>
        <v/>
      </c>
      <c r="N134" s="109" t="str">
        <f>IF(OR(historico_VU!A133="",historico_VU!G133=""),"",historico_VU!G133)</f>
        <v/>
      </c>
      <c r="O134" s="110" t="str">
        <f>IF(posicao_contratual!A133="","",posicao_contratual!W133)</f>
        <v/>
      </c>
      <c r="P134" s="109" t="str">
        <f>IF(A134="TOTAL",ROUND(SUM($P$3:P133),2),IF(OR(A134="",N134="",O134=""),"",ROUND(N134*O134,2)))</f>
        <v/>
      </c>
      <c r="Q134" s="183" t="str">
        <f t="shared" ca="1" si="32"/>
        <v/>
      </c>
      <c r="R134" t="str">
        <f>IF($A134="","",IF(MEMORIA_RESULTADOS!$W$46="","","C"&amp;MEMORIA_RESULTADOS!$W$46))</f>
        <v/>
      </c>
      <c r="S134" s="210" t="str">
        <f t="shared" ca="1" si="33"/>
        <v/>
      </c>
      <c r="T134" s="210" t="str">
        <f t="shared" ca="1" si="34"/>
        <v/>
      </c>
      <c r="U134" s="210" t="str">
        <f t="shared" ca="1" si="35"/>
        <v/>
      </c>
      <c r="V134" s="195" t="str">
        <f t="shared" ca="1" si="36"/>
        <v/>
      </c>
      <c r="W134" s="195" t="str">
        <f t="shared" ca="1" si="37"/>
        <v/>
      </c>
      <c r="X134" s="195" t="str">
        <f t="shared" ca="1" si="38"/>
        <v/>
      </c>
      <c r="Y134" t="str">
        <f t="shared" ca="1" si="39"/>
        <v/>
      </c>
      <c r="Z134" s="211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08" t="str">
        <f>IF(AND(itens_Remanesc!A134="",itens_Remanesc!A133&lt;&gt;"",COUNTIF(itens_Remanesc!A135:$A$200,"&lt;&gt;")=0),"TOTAL",IF(itens_Remanesc!A134="","",itens_Remanesc!A134))</f>
        <v/>
      </c>
      <c r="B135" s="109" t="str">
        <f>IF(OR(historico_VU!A134="",historico_VU!C134=""),"",historico_VU!C134)</f>
        <v/>
      </c>
      <c r="C135" s="110" t="str">
        <f>IF(posicao_contratual!A134="","",posicao_contratual!G134)</f>
        <v/>
      </c>
      <c r="D135" s="109" t="str">
        <f>IF(A135="TOTAL",ROUND(SUM($D$3:D134),2),IF(OR(A135="",B135="",C135=""),"",ROUND(B135*C135,2)))</f>
        <v/>
      </c>
      <c r="E135" s="111" t="str">
        <f>IF(OR(historico_VU!A134="",historico_VU!D134=""),"",historico_VU!D134)</f>
        <v/>
      </c>
      <c r="F135" s="112" t="str">
        <f>IF(posicao_contratual!A134="","",posicao_contratual!K134)</f>
        <v/>
      </c>
      <c r="G135" s="111" t="str">
        <f>IF(A135="TOTAL",ROUND(SUM($G$3:G134),2),IF(OR(A135="",E135="",F135=""),"",ROUND(E135*F135,2)))</f>
        <v/>
      </c>
      <c r="H135" s="109" t="str">
        <f>IF(OR(historico_VU!A134="",historico_VU!E134=""),"",historico_VU!E134)</f>
        <v/>
      </c>
      <c r="I135" s="110" t="str">
        <f>IF(posicao_contratual!A134="","",posicao_contratual!O134)</f>
        <v/>
      </c>
      <c r="J135" s="109" t="str">
        <f>IF(A135="TOTAL",ROUND(SUM($J$3:J134),2),IF(OR(A135="",H135="",I135=""),"",ROUND(H135*I135,2)))</f>
        <v/>
      </c>
      <c r="K135" s="111" t="str">
        <f>IF(OR(historico_VU!A134="",historico_VU!F134=""),"",historico_VU!F134)</f>
        <v/>
      </c>
      <c r="L135" s="112" t="str">
        <f>IF(posicao_contratual!A134="","",posicao_contratual!S134)</f>
        <v/>
      </c>
      <c r="M135" s="111" t="str">
        <f>IF(A135="TOTAL",ROUND(SUM($M$3:M134),2),IF(OR(A135="",K135="",L135=""),"",ROUND(K135*L135,2)))</f>
        <v/>
      </c>
      <c r="N135" s="109" t="str">
        <f>IF(OR(historico_VU!A134="",historico_VU!G134=""),"",historico_VU!G134)</f>
        <v/>
      </c>
      <c r="O135" s="110" t="str">
        <f>IF(posicao_contratual!A134="","",posicao_contratual!W134)</f>
        <v/>
      </c>
      <c r="P135" s="109" t="str">
        <f>IF(A135="TOTAL",ROUND(SUM($P$3:P134),2),IF(OR(A135="",N135="",O135=""),"",ROUND(N135*O135,2)))</f>
        <v/>
      </c>
      <c r="Q135" s="183" t="str">
        <f t="shared" ca="1" si="32"/>
        <v/>
      </c>
      <c r="R135" t="str">
        <f>IF($A135="","",IF(MEMORIA_RESULTADOS!$W$46="","","C"&amp;MEMORIA_RESULTADOS!$W$46))</f>
        <v/>
      </c>
      <c r="S135" s="210" t="str">
        <f t="shared" ca="1" si="33"/>
        <v/>
      </c>
      <c r="T135" s="210" t="str">
        <f t="shared" ca="1" si="34"/>
        <v/>
      </c>
      <c r="U135" s="210" t="str">
        <f t="shared" ca="1" si="35"/>
        <v/>
      </c>
      <c r="V135" s="195" t="str">
        <f t="shared" ca="1" si="36"/>
        <v/>
      </c>
      <c r="W135" s="195" t="str">
        <f t="shared" ca="1" si="37"/>
        <v/>
      </c>
      <c r="X135" s="195" t="str">
        <f t="shared" ca="1" si="38"/>
        <v/>
      </c>
      <c r="Y135" t="str">
        <f t="shared" ca="1" si="39"/>
        <v/>
      </c>
      <c r="Z135" s="211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08" t="str">
        <f>IF(AND(itens_Remanesc!A135="",itens_Remanesc!A134&lt;&gt;"",COUNTIF(itens_Remanesc!A136:$A$200,"&lt;&gt;")=0),"TOTAL",IF(itens_Remanesc!A135="","",itens_Remanesc!A135))</f>
        <v/>
      </c>
      <c r="B136" s="109" t="str">
        <f>IF(OR(historico_VU!A135="",historico_VU!C135=""),"",historico_VU!C135)</f>
        <v/>
      </c>
      <c r="C136" s="110" t="str">
        <f>IF(posicao_contratual!A135="","",posicao_contratual!G135)</f>
        <v/>
      </c>
      <c r="D136" s="109" t="str">
        <f>IF(A136="TOTAL",ROUND(SUM($D$3:D135),2),IF(OR(A136="",B136="",C136=""),"",ROUND(B136*C136,2)))</f>
        <v/>
      </c>
      <c r="E136" s="111" t="str">
        <f>IF(OR(historico_VU!A135="",historico_VU!D135=""),"",historico_VU!D135)</f>
        <v/>
      </c>
      <c r="F136" s="112" t="str">
        <f>IF(posicao_contratual!A135="","",posicao_contratual!K135)</f>
        <v/>
      </c>
      <c r="G136" s="111" t="str">
        <f>IF(A136="TOTAL",ROUND(SUM($G$3:G135),2),IF(OR(A136="",E136="",F136=""),"",ROUND(E136*F136,2)))</f>
        <v/>
      </c>
      <c r="H136" s="109" t="str">
        <f>IF(OR(historico_VU!A135="",historico_VU!E135=""),"",historico_VU!E135)</f>
        <v/>
      </c>
      <c r="I136" s="110" t="str">
        <f>IF(posicao_contratual!A135="","",posicao_contratual!O135)</f>
        <v/>
      </c>
      <c r="J136" s="109" t="str">
        <f>IF(A136="TOTAL",ROUND(SUM($J$3:J135),2),IF(OR(A136="",H136="",I136=""),"",ROUND(H136*I136,2)))</f>
        <v/>
      </c>
      <c r="K136" s="111" t="str">
        <f>IF(OR(historico_VU!A135="",historico_VU!F135=""),"",historico_VU!F135)</f>
        <v/>
      </c>
      <c r="L136" s="112" t="str">
        <f>IF(posicao_contratual!A135="","",posicao_contratual!S135)</f>
        <v/>
      </c>
      <c r="M136" s="111" t="str">
        <f>IF(A136="TOTAL",ROUND(SUM($M$3:M135),2),IF(OR(A136="",K136="",L136=""),"",ROUND(K136*L136,2)))</f>
        <v/>
      </c>
      <c r="N136" s="109" t="str">
        <f>IF(OR(historico_VU!A135="",historico_VU!G135=""),"",historico_VU!G135)</f>
        <v/>
      </c>
      <c r="O136" s="110" t="str">
        <f>IF(posicao_contratual!A135="","",posicao_contratual!W135)</f>
        <v/>
      </c>
      <c r="P136" s="109" t="str">
        <f>IF(A136="TOTAL",ROUND(SUM($P$3:P135),2),IF(OR(A136="",N136="",O136=""),"",ROUND(N136*O136,2)))</f>
        <v/>
      </c>
      <c r="Q136" s="183" t="str">
        <f t="shared" ca="1" si="32"/>
        <v/>
      </c>
      <c r="R136" t="str">
        <f>IF($A136="","",IF(MEMORIA_RESULTADOS!$W$46="","","C"&amp;MEMORIA_RESULTADOS!$W$46))</f>
        <v/>
      </c>
      <c r="S136" s="210" t="str">
        <f t="shared" ca="1" si="33"/>
        <v/>
      </c>
      <c r="T136" s="210" t="str">
        <f t="shared" ca="1" si="34"/>
        <v/>
      </c>
      <c r="U136" s="210" t="str">
        <f t="shared" ca="1" si="35"/>
        <v/>
      </c>
      <c r="V136" s="195" t="str">
        <f t="shared" ca="1" si="36"/>
        <v/>
      </c>
      <c r="W136" s="195" t="str">
        <f t="shared" ca="1" si="37"/>
        <v/>
      </c>
      <c r="X136" s="195" t="str">
        <f t="shared" ca="1" si="38"/>
        <v/>
      </c>
      <c r="Y136" t="str">
        <f t="shared" ca="1" si="39"/>
        <v/>
      </c>
      <c r="Z136" s="211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08" t="str">
        <f>IF(AND(itens_Remanesc!A136="",itens_Remanesc!A135&lt;&gt;"",COUNTIF(itens_Remanesc!A137:$A$200,"&lt;&gt;")=0),"TOTAL",IF(itens_Remanesc!A136="","",itens_Remanesc!A136))</f>
        <v/>
      </c>
      <c r="B137" s="109" t="str">
        <f>IF(OR(historico_VU!A136="",historico_VU!C136=""),"",historico_VU!C136)</f>
        <v/>
      </c>
      <c r="C137" s="110" t="str">
        <f>IF(posicao_contratual!A136="","",posicao_contratual!G136)</f>
        <v/>
      </c>
      <c r="D137" s="109" t="str">
        <f>IF(A137="TOTAL",ROUND(SUM($D$3:D136),2),IF(OR(A137="",B137="",C137=""),"",ROUND(B137*C137,2)))</f>
        <v/>
      </c>
      <c r="E137" s="111" t="str">
        <f>IF(OR(historico_VU!A136="",historico_VU!D136=""),"",historico_VU!D136)</f>
        <v/>
      </c>
      <c r="F137" s="112" t="str">
        <f>IF(posicao_contratual!A136="","",posicao_contratual!K136)</f>
        <v/>
      </c>
      <c r="G137" s="111" t="str">
        <f>IF(A137="TOTAL",ROUND(SUM($G$3:G136),2),IF(OR(A137="",E137="",F137=""),"",ROUND(E137*F137,2)))</f>
        <v/>
      </c>
      <c r="H137" s="109" t="str">
        <f>IF(OR(historico_VU!A136="",historico_VU!E136=""),"",historico_VU!E136)</f>
        <v/>
      </c>
      <c r="I137" s="110" t="str">
        <f>IF(posicao_contratual!A136="","",posicao_contratual!O136)</f>
        <v/>
      </c>
      <c r="J137" s="109" t="str">
        <f>IF(A137="TOTAL",ROUND(SUM($J$3:J136),2),IF(OR(A137="",H137="",I137=""),"",ROUND(H137*I137,2)))</f>
        <v/>
      </c>
      <c r="K137" s="111" t="str">
        <f>IF(OR(historico_VU!A136="",historico_VU!F136=""),"",historico_VU!F136)</f>
        <v/>
      </c>
      <c r="L137" s="112" t="str">
        <f>IF(posicao_contratual!A136="","",posicao_contratual!S136)</f>
        <v/>
      </c>
      <c r="M137" s="111" t="str">
        <f>IF(A137="TOTAL",ROUND(SUM($M$3:M136),2),IF(OR(A137="",K137="",L137=""),"",ROUND(K137*L137,2)))</f>
        <v/>
      </c>
      <c r="N137" s="109" t="str">
        <f>IF(OR(historico_VU!A136="",historico_VU!G136=""),"",historico_VU!G136)</f>
        <v/>
      </c>
      <c r="O137" s="110" t="str">
        <f>IF(posicao_contratual!A136="","",posicao_contratual!W136)</f>
        <v/>
      </c>
      <c r="P137" s="109" t="str">
        <f>IF(A137="TOTAL",ROUND(SUM($P$3:P136),2),IF(OR(A137="",N137="",O137=""),"",ROUND(N137*O137,2)))</f>
        <v/>
      </c>
      <c r="Q137" s="183" t="str">
        <f t="shared" ca="1" si="32"/>
        <v/>
      </c>
      <c r="R137" t="str">
        <f>IF($A137="","",IF(MEMORIA_RESULTADOS!$W$46="","","C"&amp;MEMORIA_RESULTADOS!$W$46))</f>
        <v/>
      </c>
      <c r="S137" s="210" t="str">
        <f t="shared" ca="1" si="33"/>
        <v/>
      </c>
      <c r="T137" s="210" t="str">
        <f t="shared" ca="1" si="34"/>
        <v/>
      </c>
      <c r="U137" s="210" t="str">
        <f t="shared" ca="1" si="35"/>
        <v/>
      </c>
      <c r="V137" s="195" t="str">
        <f t="shared" ca="1" si="36"/>
        <v/>
      </c>
      <c r="W137" s="195" t="str">
        <f t="shared" ca="1" si="37"/>
        <v/>
      </c>
      <c r="X137" s="195" t="str">
        <f t="shared" ca="1" si="38"/>
        <v/>
      </c>
      <c r="Y137" t="str">
        <f t="shared" ca="1" si="39"/>
        <v/>
      </c>
      <c r="Z137" s="211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08" t="str">
        <f>IF(AND(itens_Remanesc!A137="",itens_Remanesc!A136&lt;&gt;"",COUNTIF(itens_Remanesc!A138:$A$200,"&lt;&gt;")=0),"TOTAL",IF(itens_Remanesc!A137="","",itens_Remanesc!A137))</f>
        <v/>
      </c>
      <c r="B138" s="109" t="str">
        <f>IF(OR(historico_VU!A137="",historico_VU!C137=""),"",historico_VU!C137)</f>
        <v/>
      </c>
      <c r="C138" s="110" t="str">
        <f>IF(posicao_contratual!A137="","",posicao_contratual!G137)</f>
        <v/>
      </c>
      <c r="D138" s="109" t="str">
        <f>IF(A138="TOTAL",ROUND(SUM($D$3:D137),2),IF(OR(A138="",B138="",C138=""),"",ROUND(B138*C138,2)))</f>
        <v/>
      </c>
      <c r="E138" s="111" t="str">
        <f>IF(OR(historico_VU!A137="",historico_VU!D137=""),"",historico_VU!D137)</f>
        <v/>
      </c>
      <c r="F138" s="112" t="str">
        <f>IF(posicao_contratual!A137="","",posicao_contratual!K137)</f>
        <v/>
      </c>
      <c r="G138" s="111" t="str">
        <f>IF(A138="TOTAL",ROUND(SUM($G$3:G137),2),IF(OR(A138="",E138="",F138=""),"",ROUND(E138*F138,2)))</f>
        <v/>
      </c>
      <c r="H138" s="109" t="str">
        <f>IF(OR(historico_VU!A137="",historico_VU!E137=""),"",historico_VU!E137)</f>
        <v/>
      </c>
      <c r="I138" s="110" t="str">
        <f>IF(posicao_contratual!A137="","",posicao_contratual!O137)</f>
        <v/>
      </c>
      <c r="J138" s="109" t="str">
        <f>IF(A138="TOTAL",ROUND(SUM($J$3:J137),2),IF(OR(A138="",H138="",I138=""),"",ROUND(H138*I138,2)))</f>
        <v/>
      </c>
      <c r="K138" s="111" t="str">
        <f>IF(OR(historico_VU!A137="",historico_VU!F137=""),"",historico_VU!F137)</f>
        <v/>
      </c>
      <c r="L138" s="112" t="str">
        <f>IF(posicao_contratual!A137="","",posicao_contratual!S137)</f>
        <v/>
      </c>
      <c r="M138" s="111" t="str">
        <f>IF(A138="TOTAL",ROUND(SUM($M$3:M137),2),IF(OR(A138="",K138="",L138=""),"",ROUND(K138*L138,2)))</f>
        <v/>
      </c>
      <c r="N138" s="109" t="str">
        <f>IF(OR(historico_VU!A137="",historico_VU!G137=""),"",historico_VU!G137)</f>
        <v/>
      </c>
      <c r="O138" s="110" t="str">
        <f>IF(posicao_contratual!A137="","",posicao_contratual!W137)</f>
        <v/>
      </c>
      <c r="P138" s="109" t="str">
        <f>IF(A138="TOTAL",ROUND(SUM($P$3:P137),2),IF(OR(A138="",N138="",O138=""),"",ROUND(N138*O138,2)))</f>
        <v/>
      </c>
      <c r="Q138" s="183" t="str">
        <f t="shared" ca="1" si="32"/>
        <v/>
      </c>
      <c r="R138" t="str">
        <f>IF($A138="","",IF(MEMORIA_RESULTADOS!$W$46="","","C"&amp;MEMORIA_RESULTADOS!$W$46))</f>
        <v/>
      </c>
      <c r="S138" s="210" t="str">
        <f t="shared" ca="1" si="33"/>
        <v/>
      </c>
      <c r="T138" s="210" t="str">
        <f t="shared" ca="1" si="34"/>
        <v/>
      </c>
      <c r="U138" s="210" t="str">
        <f t="shared" ca="1" si="35"/>
        <v/>
      </c>
      <c r="V138" s="195" t="str">
        <f t="shared" ca="1" si="36"/>
        <v/>
      </c>
      <c r="W138" s="195" t="str">
        <f t="shared" ca="1" si="37"/>
        <v/>
      </c>
      <c r="X138" s="195" t="str">
        <f t="shared" ca="1" si="38"/>
        <v/>
      </c>
      <c r="Y138" t="str">
        <f t="shared" ca="1" si="39"/>
        <v/>
      </c>
      <c r="Z138" s="211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08" t="str">
        <f>IF(AND(itens_Remanesc!A138="",itens_Remanesc!A137&lt;&gt;"",COUNTIF(itens_Remanesc!A139:$A$200,"&lt;&gt;")=0),"TOTAL",IF(itens_Remanesc!A138="","",itens_Remanesc!A138))</f>
        <v/>
      </c>
      <c r="B139" s="109" t="str">
        <f>IF(OR(historico_VU!A138="",historico_VU!C138=""),"",historico_VU!C138)</f>
        <v/>
      </c>
      <c r="C139" s="110" t="str">
        <f>IF(posicao_contratual!A138="","",posicao_contratual!G138)</f>
        <v/>
      </c>
      <c r="D139" s="109" t="str">
        <f>IF(A139="TOTAL",ROUND(SUM($D$3:D138),2),IF(OR(A139="",B139="",C139=""),"",ROUND(B139*C139,2)))</f>
        <v/>
      </c>
      <c r="E139" s="111" t="str">
        <f>IF(OR(historico_VU!A138="",historico_VU!D138=""),"",historico_VU!D138)</f>
        <v/>
      </c>
      <c r="F139" s="112" t="str">
        <f>IF(posicao_contratual!A138="","",posicao_contratual!K138)</f>
        <v/>
      </c>
      <c r="G139" s="111" t="str">
        <f>IF(A139="TOTAL",ROUND(SUM($G$3:G138),2),IF(OR(A139="",E139="",F139=""),"",ROUND(E139*F139,2)))</f>
        <v/>
      </c>
      <c r="H139" s="109" t="str">
        <f>IF(OR(historico_VU!A138="",historico_VU!E138=""),"",historico_VU!E138)</f>
        <v/>
      </c>
      <c r="I139" s="110" t="str">
        <f>IF(posicao_contratual!A138="","",posicao_contratual!O138)</f>
        <v/>
      </c>
      <c r="J139" s="109" t="str">
        <f>IF(A139="TOTAL",ROUND(SUM($J$3:J138),2),IF(OR(A139="",H139="",I139=""),"",ROUND(H139*I139,2)))</f>
        <v/>
      </c>
      <c r="K139" s="111" t="str">
        <f>IF(OR(historico_VU!A138="",historico_VU!F138=""),"",historico_VU!F138)</f>
        <v/>
      </c>
      <c r="L139" s="112" t="str">
        <f>IF(posicao_contratual!A138="","",posicao_contratual!S138)</f>
        <v/>
      </c>
      <c r="M139" s="111" t="str">
        <f>IF(A139="TOTAL",ROUND(SUM($M$3:M138),2),IF(OR(A139="",K139="",L139=""),"",ROUND(K139*L139,2)))</f>
        <v/>
      </c>
      <c r="N139" s="109" t="str">
        <f>IF(OR(historico_VU!A138="",historico_VU!G138=""),"",historico_VU!G138)</f>
        <v/>
      </c>
      <c r="O139" s="110" t="str">
        <f>IF(posicao_contratual!A138="","",posicao_contratual!W138)</f>
        <v/>
      </c>
      <c r="P139" s="109" t="str">
        <f>IF(A139="TOTAL",ROUND(SUM($P$3:P138),2),IF(OR(A139="",N139="",O139=""),"",ROUND(N139*O139,2)))</f>
        <v/>
      </c>
      <c r="Q139" s="183" t="str">
        <f t="shared" ca="1" si="32"/>
        <v/>
      </c>
      <c r="R139" t="str">
        <f>IF($A139="","",IF(MEMORIA_RESULTADOS!$W$46="","","C"&amp;MEMORIA_RESULTADOS!$W$46))</f>
        <v/>
      </c>
      <c r="S139" s="210" t="str">
        <f t="shared" ca="1" si="33"/>
        <v/>
      </c>
      <c r="T139" s="210" t="str">
        <f t="shared" ca="1" si="34"/>
        <v/>
      </c>
      <c r="U139" s="210" t="str">
        <f t="shared" ca="1" si="35"/>
        <v/>
      </c>
      <c r="V139" s="195" t="str">
        <f t="shared" ca="1" si="36"/>
        <v/>
      </c>
      <c r="W139" s="195" t="str">
        <f t="shared" ca="1" si="37"/>
        <v/>
      </c>
      <c r="X139" s="195" t="str">
        <f t="shared" ca="1" si="38"/>
        <v/>
      </c>
      <c r="Y139" t="str">
        <f t="shared" ca="1" si="39"/>
        <v/>
      </c>
      <c r="Z139" s="211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08" t="str">
        <f>IF(AND(itens_Remanesc!A139="",itens_Remanesc!A138&lt;&gt;"",COUNTIF(itens_Remanesc!A140:$A$200,"&lt;&gt;")=0),"TOTAL",IF(itens_Remanesc!A139="","",itens_Remanesc!A139))</f>
        <v/>
      </c>
      <c r="B140" s="109" t="str">
        <f>IF(OR(historico_VU!A139="",historico_VU!C139=""),"",historico_VU!C139)</f>
        <v/>
      </c>
      <c r="C140" s="110" t="str">
        <f>IF(posicao_contratual!A139="","",posicao_contratual!G139)</f>
        <v/>
      </c>
      <c r="D140" s="109" t="str">
        <f>IF(A140="TOTAL",ROUND(SUM($D$3:D139),2),IF(OR(A140="",B140="",C140=""),"",ROUND(B140*C140,2)))</f>
        <v/>
      </c>
      <c r="E140" s="111" t="str">
        <f>IF(OR(historico_VU!A139="",historico_VU!D139=""),"",historico_VU!D139)</f>
        <v/>
      </c>
      <c r="F140" s="112" t="str">
        <f>IF(posicao_contratual!A139="","",posicao_contratual!K139)</f>
        <v/>
      </c>
      <c r="G140" s="111" t="str">
        <f>IF(A140="TOTAL",ROUND(SUM($G$3:G139),2),IF(OR(A140="",E140="",F140=""),"",ROUND(E140*F140,2)))</f>
        <v/>
      </c>
      <c r="H140" s="109" t="str">
        <f>IF(OR(historico_VU!A139="",historico_VU!E139=""),"",historico_VU!E139)</f>
        <v/>
      </c>
      <c r="I140" s="110" t="str">
        <f>IF(posicao_contratual!A139="","",posicao_contratual!O139)</f>
        <v/>
      </c>
      <c r="J140" s="109" t="str">
        <f>IF(A140="TOTAL",ROUND(SUM($J$3:J139),2),IF(OR(A140="",H140="",I140=""),"",ROUND(H140*I140,2)))</f>
        <v/>
      </c>
      <c r="K140" s="111" t="str">
        <f>IF(OR(historico_VU!A139="",historico_VU!F139=""),"",historico_VU!F139)</f>
        <v/>
      </c>
      <c r="L140" s="112" t="str">
        <f>IF(posicao_contratual!A139="","",posicao_contratual!S139)</f>
        <v/>
      </c>
      <c r="M140" s="111" t="str">
        <f>IF(A140="TOTAL",ROUND(SUM($M$3:M139),2),IF(OR(A140="",K140="",L140=""),"",ROUND(K140*L140,2)))</f>
        <v/>
      </c>
      <c r="N140" s="109" t="str">
        <f>IF(OR(historico_VU!A139="",historico_VU!G139=""),"",historico_VU!G139)</f>
        <v/>
      </c>
      <c r="O140" s="110" t="str">
        <f>IF(posicao_contratual!A139="","",posicao_contratual!W139)</f>
        <v/>
      </c>
      <c r="P140" s="109" t="str">
        <f>IF(A140="TOTAL",ROUND(SUM($P$3:P139),2),IF(OR(A140="",N140="",O140=""),"",ROUND(N140*O140,2)))</f>
        <v/>
      </c>
      <c r="Q140" s="183" t="str">
        <f t="shared" ca="1" si="32"/>
        <v/>
      </c>
      <c r="R140" t="str">
        <f>IF($A140="","",IF(MEMORIA_RESULTADOS!$W$46="","","C"&amp;MEMORIA_RESULTADOS!$W$46))</f>
        <v/>
      </c>
      <c r="S140" s="210" t="str">
        <f t="shared" ca="1" si="33"/>
        <v/>
      </c>
      <c r="T140" s="210" t="str">
        <f t="shared" ca="1" si="34"/>
        <v/>
      </c>
      <c r="U140" s="210" t="str">
        <f t="shared" ca="1" si="35"/>
        <v/>
      </c>
      <c r="V140" s="195" t="str">
        <f t="shared" ca="1" si="36"/>
        <v/>
      </c>
      <c r="W140" s="195" t="str">
        <f t="shared" ca="1" si="37"/>
        <v/>
      </c>
      <c r="X140" s="195" t="str">
        <f t="shared" ca="1" si="38"/>
        <v/>
      </c>
      <c r="Y140" t="str">
        <f t="shared" ca="1" si="39"/>
        <v/>
      </c>
      <c r="Z140" s="211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08" t="str">
        <f>IF(AND(itens_Remanesc!A140="",itens_Remanesc!A139&lt;&gt;"",COUNTIF(itens_Remanesc!A141:$A$200,"&lt;&gt;")=0),"TOTAL",IF(itens_Remanesc!A140="","",itens_Remanesc!A140))</f>
        <v/>
      </c>
      <c r="B141" s="109" t="str">
        <f>IF(OR(historico_VU!A140="",historico_VU!C140=""),"",historico_VU!C140)</f>
        <v/>
      </c>
      <c r="C141" s="110" t="str">
        <f>IF(posicao_contratual!A140="","",posicao_contratual!G140)</f>
        <v/>
      </c>
      <c r="D141" s="109" t="str">
        <f>IF(A141="TOTAL",ROUND(SUM($D$3:D140),2),IF(OR(A141="",B141="",C141=""),"",ROUND(B141*C141,2)))</f>
        <v/>
      </c>
      <c r="E141" s="111" t="str">
        <f>IF(OR(historico_VU!A140="",historico_VU!D140=""),"",historico_VU!D140)</f>
        <v/>
      </c>
      <c r="F141" s="112" t="str">
        <f>IF(posicao_contratual!A140="","",posicao_contratual!K140)</f>
        <v/>
      </c>
      <c r="G141" s="111" t="str">
        <f>IF(A141="TOTAL",ROUND(SUM($G$3:G140),2),IF(OR(A141="",E141="",F141=""),"",ROUND(E141*F141,2)))</f>
        <v/>
      </c>
      <c r="H141" s="109" t="str">
        <f>IF(OR(historico_VU!A140="",historico_VU!E140=""),"",historico_VU!E140)</f>
        <v/>
      </c>
      <c r="I141" s="110" t="str">
        <f>IF(posicao_contratual!A140="","",posicao_contratual!O140)</f>
        <v/>
      </c>
      <c r="J141" s="109" t="str">
        <f>IF(A141="TOTAL",ROUND(SUM($J$3:J140),2),IF(OR(A141="",H141="",I141=""),"",ROUND(H141*I141,2)))</f>
        <v/>
      </c>
      <c r="K141" s="111" t="str">
        <f>IF(OR(historico_VU!A140="",historico_VU!F140=""),"",historico_VU!F140)</f>
        <v/>
      </c>
      <c r="L141" s="112" t="str">
        <f>IF(posicao_contratual!A140="","",posicao_contratual!S140)</f>
        <v/>
      </c>
      <c r="M141" s="111" t="str">
        <f>IF(A141="TOTAL",ROUND(SUM($M$3:M140),2),IF(OR(A141="",K141="",L141=""),"",ROUND(K141*L141,2)))</f>
        <v/>
      </c>
      <c r="N141" s="109" t="str">
        <f>IF(OR(historico_VU!A140="",historico_VU!G140=""),"",historico_VU!G140)</f>
        <v/>
      </c>
      <c r="O141" s="110" t="str">
        <f>IF(posicao_contratual!A140="","",posicao_contratual!W140)</f>
        <v/>
      </c>
      <c r="P141" s="109" t="str">
        <f>IF(A141="TOTAL",ROUND(SUM($P$3:P140),2),IF(OR(A141="",N141="",O141=""),"",ROUND(N141*O141,2)))</f>
        <v/>
      </c>
      <c r="Q141" s="183" t="str">
        <f t="shared" ca="1" si="32"/>
        <v/>
      </c>
      <c r="R141" t="str">
        <f>IF($A141="","",IF(MEMORIA_RESULTADOS!$W$46="","","C"&amp;MEMORIA_RESULTADOS!$W$46))</f>
        <v/>
      </c>
      <c r="S141" s="210" t="str">
        <f t="shared" ca="1" si="33"/>
        <v/>
      </c>
      <c r="T141" s="210" t="str">
        <f t="shared" ca="1" si="34"/>
        <v/>
      </c>
      <c r="U141" s="210" t="str">
        <f t="shared" ca="1" si="35"/>
        <v/>
      </c>
      <c r="V141" s="195" t="str">
        <f t="shared" ca="1" si="36"/>
        <v/>
      </c>
      <c r="W141" s="195" t="str">
        <f t="shared" ca="1" si="37"/>
        <v/>
      </c>
      <c r="X141" s="195" t="str">
        <f t="shared" ca="1" si="38"/>
        <v/>
      </c>
      <c r="Y141" t="str">
        <f t="shared" ca="1" si="39"/>
        <v/>
      </c>
      <c r="Z141" s="211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08" t="str">
        <f>IF(AND(itens_Remanesc!A141="",itens_Remanesc!A140&lt;&gt;"",COUNTIF(itens_Remanesc!A142:$A$200,"&lt;&gt;")=0),"TOTAL",IF(itens_Remanesc!A141="","",itens_Remanesc!A141))</f>
        <v/>
      </c>
      <c r="B142" s="109" t="str">
        <f>IF(OR(historico_VU!A141="",historico_VU!C141=""),"",historico_VU!C141)</f>
        <v/>
      </c>
      <c r="C142" s="110" t="str">
        <f>IF(posicao_contratual!A141="","",posicao_contratual!G141)</f>
        <v/>
      </c>
      <c r="D142" s="109" t="str">
        <f>IF(A142="TOTAL",ROUND(SUM($D$3:D141),2),IF(OR(A142="",B142="",C142=""),"",ROUND(B142*C142,2)))</f>
        <v/>
      </c>
      <c r="E142" s="111" t="str">
        <f>IF(OR(historico_VU!A141="",historico_VU!D141=""),"",historico_VU!D141)</f>
        <v/>
      </c>
      <c r="F142" s="112" t="str">
        <f>IF(posicao_contratual!A141="","",posicao_contratual!K141)</f>
        <v/>
      </c>
      <c r="G142" s="111" t="str">
        <f>IF(A142="TOTAL",ROUND(SUM($G$3:G141),2),IF(OR(A142="",E142="",F142=""),"",ROUND(E142*F142,2)))</f>
        <v/>
      </c>
      <c r="H142" s="109" t="str">
        <f>IF(OR(historico_VU!A141="",historico_VU!E141=""),"",historico_VU!E141)</f>
        <v/>
      </c>
      <c r="I142" s="110" t="str">
        <f>IF(posicao_contratual!A141="","",posicao_contratual!O141)</f>
        <v/>
      </c>
      <c r="J142" s="109" t="str">
        <f>IF(A142="TOTAL",ROUND(SUM($J$3:J141),2),IF(OR(A142="",H142="",I142=""),"",ROUND(H142*I142,2)))</f>
        <v/>
      </c>
      <c r="K142" s="111" t="str">
        <f>IF(OR(historico_VU!A141="",historico_VU!F141=""),"",historico_VU!F141)</f>
        <v/>
      </c>
      <c r="L142" s="112" t="str">
        <f>IF(posicao_contratual!A141="","",posicao_contratual!S141)</f>
        <v/>
      </c>
      <c r="M142" s="111" t="str">
        <f>IF(A142="TOTAL",ROUND(SUM($M$3:M141),2),IF(OR(A142="",K142="",L142=""),"",ROUND(K142*L142,2)))</f>
        <v/>
      </c>
      <c r="N142" s="109" t="str">
        <f>IF(OR(historico_VU!A141="",historico_VU!G141=""),"",historico_VU!G141)</f>
        <v/>
      </c>
      <c r="O142" s="110" t="str">
        <f>IF(posicao_contratual!A141="","",posicao_contratual!W141)</f>
        <v/>
      </c>
      <c r="P142" s="109" t="str">
        <f>IF(A142="TOTAL",ROUND(SUM($P$3:P141),2),IF(OR(A142="",N142="",O142=""),"",ROUND(N142*O142,2)))</f>
        <v/>
      </c>
      <c r="Q142" s="183" t="str">
        <f t="shared" ca="1" si="32"/>
        <v/>
      </c>
      <c r="R142" t="str">
        <f>IF($A142="","",IF(MEMORIA_RESULTADOS!$W$46="","","C"&amp;MEMORIA_RESULTADOS!$W$46))</f>
        <v/>
      </c>
      <c r="S142" s="210" t="str">
        <f t="shared" ca="1" si="33"/>
        <v/>
      </c>
      <c r="T142" s="210" t="str">
        <f t="shared" ca="1" si="34"/>
        <v/>
      </c>
      <c r="U142" s="210" t="str">
        <f t="shared" ca="1" si="35"/>
        <v/>
      </c>
      <c r="V142" s="195" t="str">
        <f t="shared" ca="1" si="36"/>
        <v/>
      </c>
      <c r="W142" s="195" t="str">
        <f t="shared" ca="1" si="37"/>
        <v/>
      </c>
      <c r="X142" s="195" t="str">
        <f t="shared" ca="1" si="38"/>
        <v/>
      </c>
      <c r="Y142" t="str">
        <f t="shared" ca="1" si="39"/>
        <v/>
      </c>
      <c r="Z142" s="211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08" t="str">
        <f>IF(AND(itens_Remanesc!A142="",itens_Remanesc!A141&lt;&gt;"",COUNTIF(itens_Remanesc!A143:$A$200,"&lt;&gt;")=0),"TOTAL",IF(itens_Remanesc!A142="","",itens_Remanesc!A142))</f>
        <v/>
      </c>
      <c r="B143" s="109" t="str">
        <f>IF(OR(historico_VU!A142="",historico_VU!C142=""),"",historico_VU!C142)</f>
        <v/>
      </c>
      <c r="C143" s="110" t="str">
        <f>IF(posicao_contratual!A142="","",posicao_contratual!G142)</f>
        <v/>
      </c>
      <c r="D143" s="109" t="str">
        <f>IF(A143="TOTAL",ROUND(SUM($D$3:D142),2),IF(OR(A143="",B143="",C143=""),"",ROUND(B143*C143,2)))</f>
        <v/>
      </c>
      <c r="E143" s="111" t="str">
        <f>IF(OR(historico_VU!A142="",historico_VU!D142=""),"",historico_VU!D142)</f>
        <v/>
      </c>
      <c r="F143" s="112" t="str">
        <f>IF(posicao_contratual!A142="","",posicao_contratual!K142)</f>
        <v/>
      </c>
      <c r="G143" s="111" t="str">
        <f>IF(A143="TOTAL",ROUND(SUM($G$3:G142),2),IF(OR(A143="",E143="",F143=""),"",ROUND(E143*F143,2)))</f>
        <v/>
      </c>
      <c r="H143" s="109" t="str">
        <f>IF(OR(historico_VU!A142="",historico_VU!E142=""),"",historico_VU!E142)</f>
        <v/>
      </c>
      <c r="I143" s="110" t="str">
        <f>IF(posicao_contratual!A142="","",posicao_contratual!O142)</f>
        <v/>
      </c>
      <c r="J143" s="109" t="str">
        <f>IF(A143="TOTAL",ROUND(SUM($J$3:J142),2),IF(OR(A143="",H143="",I143=""),"",ROUND(H143*I143,2)))</f>
        <v/>
      </c>
      <c r="K143" s="111" t="str">
        <f>IF(OR(historico_VU!A142="",historico_VU!F142=""),"",historico_VU!F142)</f>
        <v/>
      </c>
      <c r="L143" s="112" t="str">
        <f>IF(posicao_contratual!A142="","",posicao_contratual!S142)</f>
        <v/>
      </c>
      <c r="M143" s="111" t="str">
        <f>IF(A143="TOTAL",ROUND(SUM($M$3:M142),2),IF(OR(A143="",K143="",L143=""),"",ROUND(K143*L143,2)))</f>
        <v/>
      </c>
      <c r="N143" s="109" t="str">
        <f>IF(OR(historico_VU!A142="",historico_VU!G142=""),"",historico_VU!G142)</f>
        <v/>
      </c>
      <c r="O143" s="110" t="str">
        <f>IF(posicao_contratual!A142="","",posicao_contratual!W142)</f>
        <v/>
      </c>
      <c r="P143" s="109" t="str">
        <f>IF(A143="TOTAL",ROUND(SUM($P$3:P142),2),IF(OR(A143="",N143="",O143=""),"",ROUND(N143*O143,2)))</f>
        <v/>
      </c>
      <c r="Q143" s="183" t="str">
        <f t="shared" ca="1" si="32"/>
        <v/>
      </c>
      <c r="R143" t="str">
        <f>IF($A143="","",IF(MEMORIA_RESULTADOS!$W$46="","","C"&amp;MEMORIA_RESULTADOS!$W$46))</f>
        <v/>
      </c>
      <c r="S143" s="210" t="str">
        <f t="shared" ca="1" si="33"/>
        <v/>
      </c>
      <c r="T143" s="210" t="str">
        <f t="shared" ca="1" si="34"/>
        <v/>
      </c>
      <c r="U143" s="210" t="str">
        <f t="shared" ca="1" si="35"/>
        <v/>
      </c>
      <c r="V143" s="195" t="str">
        <f t="shared" ca="1" si="36"/>
        <v/>
      </c>
      <c r="W143" s="195" t="str">
        <f t="shared" ca="1" si="37"/>
        <v/>
      </c>
      <c r="X143" s="195" t="str">
        <f t="shared" ca="1" si="38"/>
        <v/>
      </c>
      <c r="Y143" t="str">
        <f t="shared" ca="1" si="39"/>
        <v/>
      </c>
      <c r="Z143" s="211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08" t="str">
        <f>IF(AND(itens_Remanesc!A143="",itens_Remanesc!A142&lt;&gt;"",COUNTIF(itens_Remanesc!A144:$A$200,"&lt;&gt;")=0),"TOTAL",IF(itens_Remanesc!A143="","",itens_Remanesc!A143))</f>
        <v/>
      </c>
      <c r="B144" s="109" t="str">
        <f>IF(OR(historico_VU!A143="",historico_VU!C143=""),"",historico_VU!C143)</f>
        <v/>
      </c>
      <c r="C144" s="110" t="str">
        <f>IF(posicao_contratual!A143="","",posicao_contratual!G143)</f>
        <v/>
      </c>
      <c r="D144" s="109" t="str">
        <f>IF(A144="TOTAL",ROUND(SUM($D$3:D143),2),IF(OR(A144="",B144="",C144=""),"",ROUND(B144*C144,2)))</f>
        <v/>
      </c>
      <c r="E144" s="111" t="str">
        <f>IF(OR(historico_VU!A143="",historico_VU!D143=""),"",historico_VU!D143)</f>
        <v/>
      </c>
      <c r="F144" s="112" t="str">
        <f>IF(posicao_contratual!A143="","",posicao_contratual!K143)</f>
        <v/>
      </c>
      <c r="G144" s="111" t="str">
        <f>IF(A144="TOTAL",ROUND(SUM($G$3:G143),2),IF(OR(A144="",E144="",F144=""),"",ROUND(E144*F144,2)))</f>
        <v/>
      </c>
      <c r="H144" s="109" t="str">
        <f>IF(OR(historico_VU!A143="",historico_VU!E143=""),"",historico_VU!E143)</f>
        <v/>
      </c>
      <c r="I144" s="110" t="str">
        <f>IF(posicao_contratual!A143="","",posicao_contratual!O143)</f>
        <v/>
      </c>
      <c r="J144" s="109" t="str">
        <f>IF(A144="TOTAL",ROUND(SUM($J$3:J143),2),IF(OR(A144="",H144="",I144=""),"",ROUND(H144*I144,2)))</f>
        <v/>
      </c>
      <c r="K144" s="111" t="str">
        <f>IF(OR(historico_VU!A143="",historico_VU!F143=""),"",historico_VU!F143)</f>
        <v/>
      </c>
      <c r="L144" s="112" t="str">
        <f>IF(posicao_contratual!A143="","",posicao_contratual!S143)</f>
        <v/>
      </c>
      <c r="M144" s="111" t="str">
        <f>IF(A144="TOTAL",ROUND(SUM($M$3:M143),2),IF(OR(A144="",K144="",L144=""),"",ROUND(K144*L144,2)))</f>
        <v/>
      </c>
      <c r="N144" s="109" t="str">
        <f>IF(OR(historico_VU!A143="",historico_VU!G143=""),"",historico_VU!G143)</f>
        <v/>
      </c>
      <c r="O144" s="110" t="str">
        <f>IF(posicao_contratual!A143="","",posicao_contratual!W143)</f>
        <v/>
      </c>
      <c r="P144" s="109" t="str">
        <f>IF(A144="TOTAL",ROUND(SUM($P$3:P143),2),IF(OR(A144="",N144="",O144=""),"",ROUND(N144*O144,2)))</f>
        <v/>
      </c>
      <c r="Q144" s="183" t="str">
        <f t="shared" ca="1" si="32"/>
        <v/>
      </c>
      <c r="R144" t="str">
        <f>IF($A144="","",IF(MEMORIA_RESULTADOS!$W$46="","","C"&amp;MEMORIA_RESULTADOS!$W$46))</f>
        <v/>
      </c>
      <c r="S144" s="210" t="str">
        <f t="shared" ca="1" si="33"/>
        <v/>
      </c>
      <c r="T144" s="210" t="str">
        <f t="shared" ca="1" si="34"/>
        <v/>
      </c>
      <c r="U144" s="210" t="str">
        <f t="shared" ca="1" si="35"/>
        <v/>
      </c>
      <c r="V144" s="195" t="str">
        <f t="shared" ca="1" si="36"/>
        <v/>
      </c>
      <c r="W144" s="195" t="str">
        <f t="shared" ca="1" si="37"/>
        <v/>
      </c>
      <c r="X144" s="195" t="str">
        <f t="shared" ca="1" si="38"/>
        <v/>
      </c>
      <c r="Y144" t="str">
        <f t="shared" ca="1" si="39"/>
        <v/>
      </c>
      <c r="Z144" s="211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08" t="str">
        <f>IF(AND(itens_Remanesc!A144="",itens_Remanesc!A143&lt;&gt;"",COUNTIF(itens_Remanesc!A145:$A$200,"&lt;&gt;")=0),"TOTAL",IF(itens_Remanesc!A144="","",itens_Remanesc!A144))</f>
        <v/>
      </c>
      <c r="B145" s="109" t="str">
        <f>IF(OR(historico_VU!A144="",historico_VU!C144=""),"",historico_VU!C144)</f>
        <v/>
      </c>
      <c r="C145" s="110" t="str">
        <f>IF(posicao_contratual!A144="","",posicao_contratual!G144)</f>
        <v/>
      </c>
      <c r="D145" s="109" t="str">
        <f>IF(A145="TOTAL",ROUND(SUM($D$3:D144),2),IF(OR(A145="",B145="",C145=""),"",ROUND(B145*C145,2)))</f>
        <v/>
      </c>
      <c r="E145" s="111" t="str">
        <f>IF(OR(historico_VU!A144="",historico_VU!D144=""),"",historico_VU!D144)</f>
        <v/>
      </c>
      <c r="F145" s="112" t="str">
        <f>IF(posicao_contratual!A144="","",posicao_contratual!K144)</f>
        <v/>
      </c>
      <c r="G145" s="111" t="str">
        <f>IF(A145="TOTAL",ROUND(SUM($G$3:G144),2),IF(OR(A145="",E145="",F145=""),"",ROUND(E145*F145,2)))</f>
        <v/>
      </c>
      <c r="H145" s="109" t="str">
        <f>IF(OR(historico_VU!A144="",historico_VU!E144=""),"",historico_VU!E144)</f>
        <v/>
      </c>
      <c r="I145" s="110" t="str">
        <f>IF(posicao_contratual!A144="","",posicao_contratual!O144)</f>
        <v/>
      </c>
      <c r="J145" s="109" t="str">
        <f>IF(A145="TOTAL",ROUND(SUM($J$3:J144),2),IF(OR(A145="",H145="",I145=""),"",ROUND(H145*I145,2)))</f>
        <v/>
      </c>
      <c r="K145" s="111" t="str">
        <f>IF(OR(historico_VU!A144="",historico_VU!F144=""),"",historico_VU!F144)</f>
        <v/>
      </c>
      <c r="L145" s="112" t="str">
        <f>IF(posicao_contratual!A144="","",posicao_contratual!S144)</f>
        <v/>
      </c>
      <c r="M145" s="111" t="str">
        <f>IF(A145="TOTAL",ROUND(SUM($M$3:M144),2),IF(OR(A145="",K145="",L145=""),"",ROUND(K145*L145,2)))</f>
        <v/>
      </c>
      <c r="N145" s="109" t="str">
        <f>IF(OR(historico_VU!A144="",historico_VU!G144=""),"",historico_VU!G144)</f>
        <v/>
      </c>
      <c r="O145" s="110" t="str">
        <f>IF(posicao_contratual!A144="","",posicao_contratual!W144)</f>
        <v/>
      </c>
      <c r="P145" s="109" t="str">
        <f>IF(A145="TOTAL",ROUND(SUM($P$3:P144),2),IF(OR(A145="",N145="",O145=""),"",ROUND(N145*O145,2)))</f>
        <v/>
      </c>
      <c r="Q145" s="183" t="str">
        <f t="shared" ca="1" si="32"/>
        <v/>
      </c>
      <c r="R145" t="str">
        <f>IF($A145="","",IF(MEMORIA_RESULTADOS!$W$46="","","C"&amp;MEMORIA_RESULTADOS!$W$46))</f>
        <v/>
      </c>
      <c r="S145" s="210" t="str">
        <f t="shared" ca="1" si="33"/>
        <v/>
      </c>
      <c r="T145" s="210" t="str">
        <f t="shared" ca="1" si="34"/>
        <v/>
      </c>
      <c r="U145" s="210" t="str">
        <f t="shared" ca="1" si="35"/>
        <v/>
      </c>
      <c r="V145" s="195" t="str">
        <f t="shared" ca="1" si="36"/>
        <v/>
      </c>
      <c r="W145" s="195" t="str">
        <f t="shared" ca="1" si="37"/>
        <v/>
      </c>
      <c r="X145" s="195" t="str">
        <f t="shared" ca="1" si="38"/>
        <v/>
      </c>
      <c r="Y145" t="str">
        <f t="shared" ca="1" si="39"/>
        <v/>
      </c>
      <c r="Z145" s="211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08" t="str">
        <f>IF(AND(itens_Remanesc!A145="",itens_Remanesc!A144&lt;&gt;"",COUNTIF(itens_Remanesc!A146:$A$200,"&lt;&gt;")=0),"TOTAL",IF(itens_Remanesc!A145="","",itens_Remanesc!A145))</f>
        <v/>
      </c>
      <c r="B146" s="109" t="str">
        <f>IF(OR(historico_VU!A145="",historico_VU!C145=""),"",historico_VU!C145)</f>
        <v/>
      </c>
      <c r="C146" s="110" t="str">
        <f>IF(posicao_contratual!A145="","",posicao_contratual!G145)</f>
        <v/>
      </c>
      <c r="D146" s="109" t="str">
        <f>IF(A146="TOTAL",ROUND(SUM($D$3:D145),2),IF(OR(A146="",B146="",C146=""),"",ROUND(B146*C146,2)))</f>
        <v/>
      </c>
      <c r="E146" s="111" t="str">
        <f>IF(OR(historico_VU!A145="",historico_VU!D145=""),"",historico_VU!D145)</f>
        <v/>
      </c>
      <c r="F146" s="112" t="str">
        <f>IF(posicao_contratual!A145="","",posicao_contratual!K145)</f>
        <v/>
      </c>
      <c r="G146" s="111" t="str">
        <f>IF(A146="TOTAL",ROUND(SUM($G$3:G145),2),IF(OR(A146="",E146="",F146=""),"",ROUND(E146*F146,2)))</f>
        <v/>
      </c>
      <c r="H146" s="109" t="str">
        <f>IF(OR(historico_VU!A145="",historico_VU!E145=""),"",historico_VU!E145)</f>
        <v/>
      </c>
      <c r="I146" s="110" t="str">
        <f>IF(posicao_contratual!A145="","",posicao_contratual!O145)</f>
        <v/>
      </c>
      <c r="J146" s="109" t="str">
        <f>IF(A146="TOTAL",ROUND(SUM($J$3:J145),2),IF(OR(A146="",H146="",I146=""),"",ROUND(H146*I146,2)))</f>
        <v/>
      </c>
      <c r="K146" s="111" t="str">
        <f>IF(OR(historico_VU!A145="",historico_VU!F145=""),"",historico_VU!F145)</f>
        <v/>
      </c>
      <c r="L146" s="112" t="str">
        <f>IF(posicao_contratual!A145="","",posicao_contratual!S145)</f>
        <v/>
      </c>
      <c r="M146" s="111" t="str">
        <f>IF(A146="TOTAL",ROUND(SUM($M$3:M145),2),IF(OR(A146="",K146="",L146=""),"",ROUND(K146*L146,2)))</f>
        <v/>
      </c>
      <c r="N146" s="109" t="str">
        <f>IF(OR(historico_VU!A145="",historico_VU!G145=""),"",historico_VU!G145)</f>
        <v/>
      </c>
      <c r="O146" s="110" t="str">
        <f>IF(posicao_contratual!A145="","",posicao_contratual!W145)</f>
        <v/>
      </c>
      <c r="P146" s="109" t="str">
        <f>IF(A146="TOTAL",ROUND(SUM($P$3:P145),2),IF(OR(A146="",N146="",O146=""),"",ROUND(N146*O146,2)))</f>
        <v/>
      </c>
      <c r="Q146" s="183" t="str">
        <f t="shared" ca="1" si="32"/>
        <v/>
      </c>
      <c r="R146" t="str">
        <f>IF($A146="","",IF(MEMORIA_RESULTADOS!$W$46="","","C"&amp;MEMORIA_RESULTADOS!$W$46))</f>
        <v/>
      </c>
      <c r="S146" s="210" t="str">
        <f t="shared" ca="1" si="33"/>
        <v/>
      </c>
      <c r="T146" s="210" t="str">
        <f t="shared" ca="1" si="34"/>
        <v/>
      </c>
      <c r="U146" s="210" t="str">
        <f t="shared" ca="1" si="35"/>
        <v/>
      </c>
      <c r="V146" s="195" t="str">
        <f t="shared" ca="1" si="36"/>
        <v/>
      </c>
      <c r="W146" s="195" t="str">
        <f t="shared" ca="1" si="37"/>
        <v/>
      </c>
      <c r="X146" s="195" t="str">
        <f t="shared" ca="1" si="38"/>
        <v/>
      </c>
      <c r="Y146" t="str">
        <f t="shared" ca="1" si="39"/>
        <v/>
      </c>
      <c r="Z146" s="211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08" t="str">
        <f>IF(AND(itens_Remanesc!A146="",itens_Remanesc!A145&lt;&gt;"",COUNTIF(itens_Remanesc!A147:$A$200,"&lt;&gt;")=0),"TOTAL",IF(itens_Remanesc!A146="","",itens_Remanesc!A146))</f>
        <v/>
      </c>
      <c r="B147" s="109" t="str">
        <f>IF(OR(historico_VU!A146="",historico_VU!C146=""),"",historico_VU!C146)</f>
        <v/>
      </c>
      <c r="C147" s="110" t="str">
        <f>IF(posicao_contratual!A146="","",posicao_contratual!G146)</f>
        <v/>
      </c>
      <c r="D147" s="109" t="str">
        <f>IF(A147="TOTAL",ROUND(SUM($D$3:D146),2),IF(OR(A147="",B147="",C147=""),"",ROUND(B147*C147,2)))</f>
        <v/>
      </c>
      <c r="E147" s="111" t="str">
        <f>IF(OR(historico_VU!A146="",historico_VU!D146=""),"",historico_VU!D146)</f>
        <v/>
      </c>
      <c r="F147" s="112" t="str">
        <f>IF(posicao_contratual!A146="","",posicao_contratual!K146)</f>
        <v/>
      </c>
      <c r="G147" s="111" t="str">
        <f>IF(A147="TOTAL",ROUND(SUM($G$3:G146),2),IF(OR(A147="",E147="",F147=""),"",ROUND(E147*F147,2)))</f>
        <v/>
      </c>
      <c r="H147" s="109" t="str">
        <f>IF(OR(historico_VU!A146="",historico_VU!E146=""),"",historico_VU!E146)</f>
        <v/>
      </c>
      <c r="I147" s="110" t="str">
        <f>IF(posicao_contratual!A146="","",posicao_contratual!O146)</f>
        <v/>
      </c>
      <c r="J147" s="109" t="str">
        <f>IF(A147="TOTAL",ROUND(SUM($J$3:J146),2),IF(OR(A147="",H147="",I147=""),"",ROUND(H147*I147,2)))</f>
        <v/>
      </c>
      <c r="K147" s="111" t="str">
        <f>IF(OR(historico_VU!A146="",historico_VU!F146=""),"",historico_VU!F146)</f>
        <v/>
      </c>
      <c r="L147" s="112" t="str">
        <f>IF(posicao_contratual!A146="","",posicao_contratual!S146)</f>
        <v/>
      </c>
      <c r="M147" s="111" t="str">
        <f>IF(A147="TOTAL",ROUND(SUM($M$3:M146),2),IF(OR(A147="",K147="",L147=""),"",ROUND(K147*L147,2)))</f>
        <v/>
      </c>
      <c r="N147" s="109" t="str">
        <f>IF(OR(historico_VU!A146="",historico_VU!G146=""),"",historico_VU!G146)</f>
        <v/>
      </c>
      <c r="O147" s="110" t="str">
        <f>IF(posicao_contratual!A146="","",posicao_contratual!W146)</f>
        <v/>
      </c>
      <c r="P147" s="109" t="str">
        <f>IF(A147="TOTAL",ROUND(SUM($P$3:P146),2),IF(OR(A147="",N147="",O147=""),"",ROUND(N147*O147,2)))</f>
        <v/>
      </c>
      <c r="Q147" s="183" t="str">
        <f t="shared" ca="1" si="32"/>
        <v/>
      </c>
      <c r="R147" t="str">
        <f>IF($A147="","",IF(MEMORIA_RESULTADOS!$W$46="","","C"&amp;MEMORIA_RESULTADOS!$W$46))</f>
        <v/>
      </c>
      <c r="S147" s="210" t="str">
        <f t="shared" ca="1" si="33"/>
        <v/>
      </c>
      <c r="T147" s="210" t="str">
        <f t="shared" ca="1" si="34"/>
        <v/>
      </c>
      <c r="U147" s="210" t="str">
        <f t="shared" ca="1" si="35"/>
        <v/>
      </c>
      <c r="V147" s="195" t="str">
        <f t="shared" ca="1" si="36"/>
        <v/>
      </c>
      <c r="W147" s="195" t="str">
        <f t="shared" ca="1" si="37"/>
        <v/>
      </c>
      <c r="X147" s="195" t="str">
        <f t="shared" ca="1" si="38"/>
        <v/>
      </c>
      <c r="Y147" t="str">
        <f t="shared" ca="1" si="39"/>
        <v/>
      </c>
      <c r="Z147" s="211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08" t="str">
        <f>IF(AND(itens_Remanesc!A147="",itens_Remanesc!A146&lt;&gt;"",COUNTIF(itens_Remanesc!A148:$A$200,"&lt;&gt;")=0),"TOTAL",IF(itens_Remanesc!A147="","",itens_Remanesc!A147))</f>
        <v/>
      </c>
      <c r="B148" s="109" t="str">
        <f>IF(OR(historico_VU!A147="",historico_VU!C147=""),"",historico_VU!C147)</f>
        <v/>
      </c>
      <c r="C148" s="110" t="str">
        <f>IF(posicao_contratual!A147="","",posicao_contratual!G147)</f>
        <v/>
      </c>
      <c r="D148" s="109" t="str">
        <f>IF(A148="TOTAL",ROUND(SUM($D$3:D147),2),IF(OR(A148="",B148="",C148=""),"",ROUND(B148*C148,2)))</f>
        <v/>
      </c>
      <c r="E148" s="111" t="str">
        <f>IF(OR(historico_VU!A147="",historico_VU!D147=""),"",historico_VU!D147)</f>
        <v/>
      </c>
      <c r="F148" s="112" t="str">
        <f>IF(posicao_contratual!A147="","",posicao_contratual!K147)</f>
        <v/>
      </c>
      <c r="G148" s="111" t="str">
        <f>IF(A148="TOTAL",ROUND(SUM($G$3:G147),2),IF(OR(A148="",E148="",F148=""),"",ROUND(E148*F148,2)))</f>
        <v/>
      </c>
      <c r="H148" s="109" t="str">
        <f>IF(OR(historico_VU!A147="",historico_VU!E147=""),"",historico_VU!E147)</f>
        <v/>
      </c>
      <c r="I148" s="110" t="str">
        <f>IF(posicao_contratual!A147="","",posicao_contratual!O147)</f>
        <v/>
      </c>
      <c r="J148" s="109" t="str">
        <f>IF(A148="TOTAL",ROUND(SUM($J$3:J147),2),IF(OR(A148="",H148="",I148=""),"",ROUND(H148*I148,2)))</f>
        <v/>
      </c>
      <c r="K148" s="111" t="str">
        <f>IF(OR(historico_VU!A147="",historico_VU!F147=""),"",historico_VU!F147)</f>
        <v/>
      </c>
      <c r="L148" s="112" t="str">
        <f>IF(posicao_contratual!A147="","",posicao_contratual!S147)</f>
        <v/>
      </c>
      <c r="M148" s="111" t="str">
        <f>IF(A148="TOTAL",ROUND(SUM($M$3:M147),2),IF(OR(A148="",K148="",L148=""),"",ROUND(K148*L148,2)))</f>
        <v/>
      </c>
      <c r="N148" s="109" t="str">
        <f>IF(OR(historico_VU!A147="",historico_VU!G147=""),"",historico_VU!G147)</f>
        <v/>
      </c>
      <c r="O148" s="110" t="str">
        <f>IF(posicao_contratual!A147="","",posicao_contratual!W147)</f>
        <v/>
      </c>
      <c r="P148" s="109" t="str">
        <f>IF(A148="TOTAL",ROUND(SUM($P$3:P147),2),IF(OR(A148="",N148="",O148=""),"",ROUND(N148*O148,2)))</f>
        <v/>
      </c>
      <c r="Q148" s="183" t="str">
        <f t="shared" ca="1" si="32"/>
        <v/>
      </c>
      <c r="R148" t="str">
        <f>IF($A148="","",IF(MEMORIA_RESULTADOS!$W$46="","","C"&amp;MEMORIA_RESULTADOS!$W$46))</f>
        <v/>
      </c>
      <c r="S148" s="210" t="str">
        <f t="shared" ca="1" si="33"/>
        <v/>
      </c>
      <c r="T148" s="210" t="str">
        <f t="shared" ca="1" si="34"/>
        <v/>
      </c>
      <c r="U148" s="210" t="str">
        <f t="shared" ca="1" si="35"/>
        <v/>
      </c>
      <c r="V148" s="195" t="str">
        <f t="shared" ca="1" si="36"/>
        <v/>
      </c>
      <c r="W148" s="195" t="str">
        <f t="shared" ca="1" si="37"/>
        <v/>
      </c>
      <c r="X148" s="195" t="str">
        <f t="shared" ca="1" si="38"/>
        <v/>
      </c>
      <c r="Y148" t="str">
        <f t="shared" ca="1" si="39"/>
        <v/>
      </c>
      <c r="Z148" s="211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08" t="str">
        <f>IF(AND(itens_Remanesc!A148="",itens_Remanesc!A147&lt;&gt;"",COUNTIF(itens_Remanesc!A149:$A$200,"&lt;&gt;")=0),"TOTAL",IF(itens_Remanesc!A148="","",itens_Remanesc!A148))</f>
        <v/>
      </c>
      <c r="B149" s="109" t="str">
        <f>IF(OR(historico_VU!A148="",historico_VU!C148=""),"",historico_VU!C148)</f>
        <v/>
      </c>
      <c r="C149" s="110" t="str">
        <f>IF(posicao_contratual!A148="","",posicao_contratual!G148)</f>
        <v/>
      </c>
      <c r="D149" s="109" t="str">
        <f>IF(A149="TOTAL",ROUND(SUM($D$3:D148),2),IF(OR(A149="",B149="",C149=""),"",ROUND(B149*C149,2)))</f>
        <v/>
      </c>
      <c r="E149" s="111" t="str">
        <f>IF(OR(historico_VU!A148="",historico_VU!D148=""),"",historico_VU!D148)</f>
        <v/>
      </c>
      <c r="F149" s="112" t="str">
        <f>IF(posicao_contratual!A148="","",posicao_contratual!K148)</f>
        <v/>
      </c>
      <c r="G149" s="111" t="str">
        <f>IF(A149="TOTAL",ROUND(SUM($G$3:G148),2),IF(OR(A149="",E149="",F149=""),"",ROUND(E149*F149,2)))</f>
        <v/>
      </c>
      <c r="H149" s="109" t="str">
        <f>IF(OR(historico_VU!A148="",historico_VU!E148=""),"",historico_VU!E148)</f>
        <v/>
      </c>
      <c r="I149" s="110" t="str">
        <f>IF(posicao_contratual!A148="","",posicao_contratual!O148)</f>
        <v/>
      </c>
      <c r="J149" s="109" t="str">
        <f>IF(A149="TOTAL",ROUND(SUM($J$3:J148),2),IF(OR(A149="",H149="",I149=""),"",ROUND(H149*I149,2)))</f>
        <v/>
      </c>
      <c r="K149" s="111" t="str">
        <f>IF(OR(historico_VU!A148="",historico_VU!F148=""),"",historico_VU!F148)</f>
        <v/>
      </c>
      <c r="L149" s="112" t="str">
        <f>IF(posicao_contratual!A148="","",posicao_contratual!S148)</f>
        <v/>
      </c>
      <c r="M149" s="111" t="str">
        <f>IF(A149="TOTAL",ROUND(SUM($M$3:M148),2),IF(OR(A149="",K149="",L149=""),"",ROUND(K149*L149,2)))</f>
        <v/>
      </c>
      <c r="N149" s="109" t="str">
        <f>IF(OR(historico_VU!A148="",historico_VU!G148=""),"",historico_VU!G148)</f>
        <v/>
      </c>
      <c r="O149" s="110" t="str">
        <f>IF(posicao_contratual!A148="","",posicao_contratual!W148)</f>
        <v/>
      </c>
      <c r="P149" s="109" t="str">
        <f>IF(A149="TOTAL",ROUND(SUM($P$3:P148),2),IF(OR(A149="",N149="",O149=""),"",ROUND(N149*O149,2)))</f>
        <v/>
      </c>
      <c r="Q149" s="183" t="str">
        <f t="shared" ca="1" si="32"/>
        <v/>
      </c>
      <c r="R149" t="str">
        <f>IF($A149="","",IF(MEMORIA_RESULTADOS!$W$46="","","C"&amp;MEMORIA_RESULTADOS!$W$46))</f>
        <v/>
      </c>
      <c r="S149" s="210" t="str">
        <f t="shared" ca="1" si="33"/>
        <v/>
      </c>
      <c r="T149" s="210" t="str">
        <f t="shared" ca="1" si="34"/>
        <v/>
      </c>
      <c r="U149" s="210" t="str">
        <f t="shared" ca="1" si="35"/>
        <v/>
      </c>
      <c r="V149" s="195" t="str">
        <f t="shared" ca="1" si="36"/>
        <v/>
      </c>
      <c r="W149" s="195" t="str">
        <f t="shared" ca="1" si="37"/>
        <v/>
      </c>
      <c r="X149" s="195" t="str">
        <f t="shared" ca="1" si="38"/>
        <v/>
      </c>
      <c r="Y149" t="str">
        <f t="shared" ca="1" si="39"/>
        <v/>
      </c>
      <c r="Z149" s="211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08" t="str">
        <f>IF(AND(itens_Remanesc!A149="",itens_Remanesc!A148&lt;&gt;"",COUNTIF(itens_Remanesc!A150:$A$200,"&lt;&gt;")=0),"TOTAL",IF(itens_Remanesc!A149="","",itens_Remanesc!A149))</f>
        <v/>
      </c>
      <c r="B150" s="109" t="str">
        <f>IF(OR(historico_VU!A149="",historico_VU!C149=""),"",historico_VU!C149)</f>
        <v/>
      </c>
      <c r="C150" s="110" t="str">
        <f>IF(posicao_contratual!A149="","",posicao_contratual!G149)</f>
        <v/>
      </c>
      <c r="D150" s="109" t="str">
        <f>IF(A150="TOTAL",ROUND(SUM($D$3:D149),2),IF(OR(A150="",B150="",C150=""),"",ROUND(B150*C150,2)))</f>
        <v/>
      </c>
      <c r="E150" s="111" t="str">
        <f>IF(OR(historico_VU!A149="",historico_VU!D149=""),"",historico_VU!D149)</f>
        <v/>
      </c>
      <c r="F150" s="112" t="str">
        <f>IF(posicao_contratual!A149="","",posicao_contratual!K149)</f>
        <v/>
      </c>
      <c r="G150" s="111" t="str">
        <f>IF(A150="TOTAL",ROUND(SUM($G$3:G149),2),IF(OR(A150="",E150="",F150=""),"",ROUND(E150*F150,2)))</f>
        <v/>
      </c>
      <c r="H150" s="109" t="str">
        <f>IF(OR(historico_VU!A149="",historico_VU!E149=""),"",historico_VU!E149)</f>
        <v/>
      </c>
      <c r="I150" s="110" t="str">
        <f>IF(posicao_contratual!A149="","",posicao_contratual!O149)</f>
        <v/>
      </c>
      <c r="J150" s="109" t="str">
        <f>IF(A150="TOTAL",ROUND(SUM($J$3:J149),2),IF(OR(A150="",H150="",I150=""),"",ROUND(H150*I150,2)))</f>
        <v/>
      </c>
      <c r="K150" s="111" t="str">
        <f>IF(OR(historico_VU!A149="",historico_VU!F149=""),"",historico_VU!F149)</f>
        <v/>
      </c>
      <c r="L150" s="112" t="str">
        <f>IF(posicao_contratual!A149="","",posicao_contratual!S149)</f>
        <v/>
      </c>
      <c r="M150" s="111" t="str">
        <f>IF(A150="TOTAL",ROUND(SUM($M$3:M149),2),IF(OR(A150="",K150="",L150=""),"",ROUND(K150*L150,2)))</f>
        <v/>
      </c>
      <c r="N150" s="109" t="str">
        <f>IF(OR(historico_VU!A149="",historico_VU!G149=""),"",historico_VU!G149)</f>
        <v/>
      </c>
      <c r="O150" s="110" t="str">
        <f>IF(posicao_contratual!A149="","",posicao_contratual!W149)</f>
        <v/>
      </c>
      <c r="P150" s="109" t="str">
        <f>IF(A150="TOTAL",ROUND(SUM($P$3:P149),2),IF(OR(A150="",N150="",O150=""),"",ROUND(N150*O150,2)))</f>
        <v/>
      </c>
      <c r="Q150" s="183" t="str">
        <f t="shared" ca="1" si="32"/>
        <v/>
      </c>
      <c r="R150" t="str">
        <f>IF($A150="","",IF(MEMORIA_RESULTADOS!$W$46="","","C"&amp;MEMORIA_RESULTADOS!$W$46))</f>
        <v/>
      </c>
      <c r="S150" s="210" t="str">
        <f t="shared" ca="1" si="33"/>
        <v/>
      </c>
      <c r="T150" s="210" t="str">
        <f t="shared" ca="1" si="34"/>
        <v/>
      </c>
      <c r="U150" s="210" t="str">
        <f t="shared" ca="1" si="35"/>
        <v/>
      </c>
      <c r="V150" s="195" t="str">
        <f t="shared" ca="1" si="36"/>
        <v/>
      </c>
      <c r="W150" s="195" t="str">
        <f t="shared" ca="1" si="37"/>
        <v/>
      </c>
      <c r="X150" s="195" t="str">
        <f t="shared" ca="1" si="38"/>
        <v/>
      </c>
      <c r="Y150" t="str">
        <f t="shared" ca="1" si="39"/>
        <v/>
      </c>
      <c r="Z150" s="211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08" t="str">
        <f>IF(AND(itens_Remanesc!A150="",itens_Remanesc!A149&lt;&gt;"",COUNTIF(itens_Remanesc!A151:$A$200,"&lt;&gt;")=0),"TOTAL",IF(itens_Remanesc!A150="","",itens_Remanesc!A150))</f>
        <v/>
      </c>
      <c r="B151" s="109" t="str">
        <f>IF(OR(historico_VU!A150="",historico_VU!C150=""),"",historico_VU!C150)</f>
        <v/>
      </c>
      <c r="C151" s="110" t="str">
        <f>IF(posicao_contratual!A150="","",posicao_contratual!G150)</f>
        <v/>
      </c>
      <c r="D151" s="109" t="str">
        <f>IF(A151="TOTAL",ROUND(SUM($D$3:D150),2),IF(OR(A151="",B151="",C151=""),"",ROUND(B151*C151,2)))</f>
        <v/>
      </c>
      <c r="E151" s="111" t="str">
        <f>IF(OR(historico_VU!A150="",historico_VU!D150=""),"",historico_VU!D150)</f>
        <v/>
      </c>
      <c r="F151" s="112" t="str">
        <f>IF(posicao_contratual!A150="","",posicao_contratual!K150)</f>
        <v/>
      </c>
      <c r="G151" s="111" t="str">
        <f>IF(A151="TOTAL",ROUND(SUM($G$3:G150),2),IF(OR(A151="",E151="",F151=""),"",ROUND(E151*F151,2)))</f>
        <v/>
      </c>
      <c r="H151" s="109" t="str">
        <f>IF(OR(historico_VU!A150="",historico_VU!E150=""),"",historico_VU!E150)</f>
        <v/>
      </c>
      <c r="I151" s="110" t="str">
        <f>IF(posicao_contratual!A150="","",posicao_contratual!O150)</f>
        <v/>
      </c>
      <c r="J151" s="109" t="str">
        <f>IF(A151="TOTAL",ROUND(SUM($J$3:J150),2),IF(OR(A151="",H151="",I151=""),"",ROUND(H151*I151,2)))</f>
        <v/>
      </c>
      <c r="K151" s="111" t="str">
        <f>IF(OR(historico_VU!A150="",historico_VU!F150=""),"",historico_VU!F150)</f>
        <v/>
      </c>
      <c r="L151" s="112" t="str">
        <f>IF(posicao_contratual!A150="","",posicao_contratual!S150)</f>
        <v/>
      </c>
      <c r="M151" s="111" t="str">
        <f>IF(A151="TOTAL",ROUND(SUM($M$3:M150),2),IF(OR(A151="",K151="",L151=""),"",ROUND(K151*L151,2)))</f>
        <v/>
      </c>
      <c r="N151" s="109" t="str">
        <f>IF(OR(historico_VU!A150="",historico_VU!G150=""),"",historico_VU!G150)</f>
        <v/>
      </c>
      <c r="O151" s="110" t="str">
        <f>IF(posicao_contratual!A150="","",posicao_contratual!W150)</f>
        <v/>
      </c>
      <c r="P151" s="109" t="str">
        <f>IF(A151="TOTAL",ROUND(SUM($P$3:P150),2),IF(OR(A151="",N151="",O151=""),"",ROUND(N151*O151,2)))</f>
        <v/>
      </c>
      <c r="Q151" s="183" t="str">
        <f t="shared" ca="1" si="32"/>
        <v/>
      </c>
      <c r="R151" t="str">
        <f>IF($A151="","",IF(MEMORIA_RESULTADOS!$W$46="","","C"&amp;MEMORIA_RESULTADOS!$W$46))</f>
        <v/>
      </c>
      <c r="S151" s="210" t="str">
        <f t="shared" ca="1" si="33"/>
        <v/>
      </c>
      <c r="T151" s="210" t="str">
        <f t="shared" ca="1" si="34"/>
        <v/>
      </c>
      <c r="U151" s="210" t="str">
        <f t="shared" ca="1" si="35"/>
        <v/>
      </c>
      <c r="V151" s="195" t="str">
        <f t="shared" ca="1" si="36"/>
        <v/>
      </c>
      <c r="W151" s="195" t="str">
        <f t="shared" ca="1" si="37"/>
        <v/>
      </c>
      <c r="X151" s="195" t="str">
        <f t="shared" ca="1" si="38"/>
        <v/>
      </c>
      <c r="Y151" t="str">
        <f t="shared" ca="1" si="39"/>
        <v/>
      </c>
      <c r="Z151" s="211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08" t="str">
        <f>IF(AND(itens_Remanesc!A151="",itens_Remanesc!A150&lt;&gt;"",COUNTIF(itens_Remanesc!A152:$A$200,"&lt;&gt;")=0),"TOTAL",IF(itens_Remanesc!A151="","",itens_Remanesc!A151))</f>
        <v/>
      </c>
      <c r="B152" s="109" t="str">
        <f>IF(OR(historico_VU!A151="",historico_VU!C151=""),"",historico_VU!C151)</f>
        <v/>
      </c>
      <c r="C152" s="110" t="str">
        <f>IF(posicao_contratual!A151="","",posicao_contratual!G151)</f>
        <v/>
      </c>
      <c r="D152" s="109" t="str">
        <f>IF(A152="TOTAL",ROUND(SUM($D$3:D151),2),IF(OR(A152="",B152="",C152=""),"",ROUND(B152*C152,2)))</f>
        <v/>
      </c>
      <c r="E152" s="111" t="str">
        <f>IF(OR(historico_VU!A151="",historico_VU!D151=""),"",historico_VU!D151)</f>
        <v/>
      </c>
      <c r="F152" s="112" t="str">
        <f>IF(posicao_contratual!A151="","",posicao_contratual!K151)</f>
        <v/>
      </c>
      <c r="G152" s="111" t="str">
        <f>IF(A152="TOTAL",ROUND(SUM($G$3:G151),2),IF(OR(A152="",E152="",F152=""),"",ROUND(E152*F152,2)))</f>
        <v/>
      </c>
      <c r="H152" s="109" t="str">
        <f>IF(OR(historico_VU!A151="",historico_VU!E151=""),"",historico_VU!E151)</f>
        <v/>
      </c>
      <c r="I152" s="110" t="str">
        <f>IF(posicao_contratual!A151="","",posicao_contratual!O151)</f>
        <v/>
      </c>
      <c r="J152" s="109" t="str">
        <f>IF(A152="TOTAL",ROUND(SUM($J$3:J151),2),IF(OR(A152="",H152="",I152=""),"",ROUND(H152*I152,2)))</f>
        <v/>
      </c>
      <c r="K152" s="111" t="str">
        <f>IF(OR(historico_VU!A151="",historico_VU!F151=""),"",historico_VU!F151)</f>
        <v/>
      </c>
      <c r="L152" s="112" t="str">
        <f>IF(posicao_contratual!A151="","",posicao_contratual!S151)</f>
        <v/>
      </c>
      <c r="M152" s="111" t="str">
        <f>IF(A152="TOTAL",ROUND(SUM($M$3:M151),2),IF(OR(A152="",K152="",L152=""),"",ROUND(K152*L152,2)))</f>
        <v/>
      </c>
      <c r="N152" s="109" t="str">
        <f>IF(OR(historico_VU!A151="",historico_VU!G151=""),"",historico_VU!G151)</f>
        <v/>
      </c>
      <c r="O152" s="110" t="str">
        <f>IF(posicao_contratual!A151="","",posicao_contratual!W151)</f>
        <v/>
      </c>
      <c r="P152" s="109" t="str">
        <f>IF(A152="TOTAL",ROUND(SUM($P$3:P151),2),IF(OR(A152="",N152="",O152=""),"",ROUND(N152*O152,2)))</f>
        <v/>
      </c>
      <c r="Q152" s="183" t="str">
        <f t="shared" ca="1" si="32"/>
        <v/>
      </c>
      <c r="R152" t="str">
        <f>IF($A152="","",IF(MEMORIA_RESULTADOS!$W$46="","","C"&amp;MEMORIA_RESULTADOS!$W$46))</f>
        <v/>
      </c>
      <c r="S152" s="210" t="str">
        <f t="shared" ca="1" si="33"/>
        <v/>
      </c>
      <c r="T152" s="210" t="str">
        <f t="shared" ca="1" si="34"/>
        <v/>
      </c>
      <c r="U152" s="210" t="str">
        <f t="shared" ca="1" si="35"/>
        <v/>
      </c>
      <c r="V152" s="195" t="str">
        <f t="shared" ca="1" si="36"/>
        <v/>
      </c>
      <c r="W152" s="195" t="str">
        <f t="shared" ca="1" si="37"/>
        <v/>
      </c>
      <c r="X152" s="195" t="str">
        <f t="shared" ca="1" si="38"/>
        <v/>
      </c>
      <c r="Y152" t="str">
        <f t="shared" ca="1" si="39"/>
        <v/>
      </c>
      <c r="Z152" s="211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08" t="str">
        <f>IF(AND(itens_Remanesc!A152="",itens_Remanesc!A151&lt;&gt;"",COUNTIF(itens_Remanesc!A153:$A$200,"&lt;&gt;")=0),"TOTAL",IF(itens_Remanesc!A152="","",itens_Remanesc!A152))</f>
        <v/>
      </c>
      <c r="B153" s="109" t="str">
        <f>IF(OR(historico_VU!A152="",historico_VU!C152=""),"",historico_VU!C152)</f>
        <v/>
      </c>
      <c r="C153" s="110" t="str">
        <f>IF(posicao_contratual!A152="","",posicao_contratual!G152)</f>
        <v/>
      </c>
      <c r="D153" s="109" t="str">
        <f>IF(A153="TOTAL",ROUND(SUM($D$3:D152),2),IF(OR(A153="",B153="",C153=""),"",ROUND(B153*C153,2)))</f>
        <v/>
      </c>
      <c r="E153" s="111" t="str">
        <f>IF(OR(historico_VU!A152="",historico_VU!D152=""),"",historico_VU!D152)</f>
        <v/>
      </c>
      <c r="F153" s="112" t="str">
        <f>IF(posicao_contratual!A152="","",posicao_contratual!K152)</f>
        <v/>
      </c>
      <c r="G153" s="111" t="str">
        <f>IF(A153="TOTAL",ROUND(SUM($G$3:G152),2),IF(OR(A153="",E153="",F153=""),"",ROUND(E153*F153,2)))</f>
        <v/>
      </c>
      <c r="H153" s="109" t="str">
        <f>IF(OR(historico_VU!A152="",historico_VU!E152=""),"",historico_VU!E152)</f>
        <v/>
      </c>
      <c r="I153" s="110" t="str">
        <f>IF(posicao_contratual!A152="","",posicao_contratual!O152)</f>
        <v/>
      </c>
      <c r="J153" s="109" t="str">
        <f>IF(A153="TOTAL",ROUND(SUM($J$3:J152),2),IF(OR(A153="",H153="",I153=""),"",ROUND(H153*I153,2)))</f>
        <v/>
      </c>
      <c r="K153" s="111" t="str">
        <f>IF(OR(historico_VU!A152="",historico_VU!F152=""),"",historico_VU!F152)</f>
        <v/>
      </c>
      <c r="L153" s="112" t="str">
        <f>IF(posicao_contratual!A152="","",posicao_contratual!S152)</f>
        <v/>
      </c>
      <c r="M153" s="111" t="str">
        <f>IF(A153="TOTAL",ROUND(SUM($M$3:M152),2),IF(OR(A153="",K153="",L153=""),"",ROUND(K153*L153,2)))</f>
        <v/>
      </c>
      <c r="N153" s="109" t="str">
        <f>IF(OR(historico_VU!A152="",historico_VU!G152=""),"",historico_VU!G152)</f>
        <v/>
      </c>
      <c r="O153" s="110" t="str">
        <f>IF(posicao_contratual!A152="","",posicao_contratual!W152)</f>
        <v/>
      </c>
      <c r="P153" s="109" t="str">
        <f>IF(A153="TOTAL",ROUND(SUM($P$3:P152),2),IF(OR(A153="",N153="",O153=""),"",ROUND(N153*O153,2)))</f>
        <v/>
      </c>
      <c r="Q153" s="183" t="str">
        <f t="shared" ca="1" si="32"/>
        <v/>
      </c>
      <c r="R153" t="str">
        <f>IF($A153="","",IF(MEMORIA_RESULTADOS!$W$46="","","C"&amp;MEMORIA_RESULTADOS!$W$46))</f>
        <v/>
      </c>
      <c r="S153" s="210" t="str">
        <f t="shared" ca="1" si="33"/>
        <v/>
      </c>
      <c r="T153" s="210" t="str">
        <f t="shared" ca="1" si="34"/>
        <v/>
      </c>
      <c r="U153" s="210" t="str">
        <f t="shared" ca="1" si="35"/>
        <v/>
      </c>
      <c r="V153" s="195" t="str">
        <f t="shared" ca="1" si="36"/>
        <v/>
      </c>
      <c r="W153" s="195" t="str">
        <f t="shared" ca="1" si="37"/>
        <v/>
      </c>
      <c r="X153" s="195" t="str">
        <f t="shared" ca="1" si="38"/>
        <v/>
      </c>
      <c r="Y153" t="str">
        <f t="shared" ca="1" si="39"/>
        <v/>
      </c>
      <c r="Z153" s="211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08" t="str">
        <f>IF(AND(itens_Remanesc!A153="",itens_Remanesc!A152&lt;&gt;"",COUNTIF(itens_Remanesc!A154:$A$200,"&lt;&gt;")=0),"TOTAL",IF(itens_Remanesc!A153="","",itens_Remanesc!A153))</f>
        <v/>
      </c>
      <c r="B154" s="109" t="str">
        <f>IF(OR(historico_VU!A153="",historico_VU!C153=""),"",historico_VU!C153)</f>
        <v/>
      </c>
      <c r="C154" s="110" t="str">
        <f>IF(posicao_contratual!A153="","",posicao_contratual!G153)</f>
        <v/>
      </c>
      <c r="D154" s="109" t="str">
        <f>IF(A154="TOTAL",ROUND(SUM($D$3:D153),2),IF(OR(A154="",B154="",C154=""),"",ROUND(B154*C154,2)))</f>
        <v/>
      </c>
      <c r="E154" s="111" t="str">
        <f>IF(OR(historico_VU!A153="",historico_VU!D153=""),"",historico_VU!D153)</f>
        <v/>
      </c>
      <c r="F154" s="112" t="str">
        <f>IF(posicao_contratual!A153="","",posicao_contratual!K153)</f>
        <v/>
      </c>
      <c r="G154" s="111" t="str">
        <f>IF(A154="TOTAL",ROUND(SUM($G$3:G153),2),IF(OR(A154="",E154="",F154=""),"",ROUND(E154*F154,2)))</f>
        <v/>
      </c>
      <c r="H154" s="109" t="str">
        <f>IF(OR(historico_VU!A153="",historico_VU!E153=""),"",historico_VU!E153)</f>
        <v/>
      </c>
      <c r="I154" s="110" t="str">
        <f>IF(posicao_contratual!A153="","",posicao_contratual!O153)</f>
        <v/>
      </c>
      <c r="J154" s="109" t="str">
        <f>IF(A154="TOTAL",ROUND(SUM($J$3:J153),2),IF(OR(A154="",H154="",I154=""),"",ROUND(H154*I154,2)))</f>
        <v/>
      </c>
      <c r="K154" s="111" t="str">
        <f>IF(OR(historico_VU!A153="",historico_VU!F153=""),"",historico_VU!F153)</f>
        <v/>
      </c>
      <c r="L154" s="112" t="str">
        <f>IF(posicao_contratual!A153="","",posicao_contratual!S153)</f>
        <v/>
      </c>
      <c r="M154" s="111" t="str">
        <f>IF(A154="TOTAL",ROUND(SUM($M$3:M153),2),IF(OR(A154="",K154="",L154=""),"",ROUND(K154*L154,2)))</f>
        <v/>
      </c>
      <c r="N154" s="109" t="str">
        <f>IF(OR(historico_VU!A153="",historico_VU!G153=""),"",historico_VU!G153)</f>
        <v/>
      </c>
      <c r="O154" s="110" t="str">
        <f>IF(posicao_contratual!A153="","",posicao_contratual!W153)</f>
        <v/>
      </c>
      <c r="P154" s="109" t="str">
        <f>IF(A154="TOTAL",ROUND(SUM($P$3:P153),2),IF(OR(A154="",N154="",O154=""),"",ROUND(N154*O154,2)))</f>
        <v/>
      </c>
      <c r="Q154" s="183" t="str">
        <f t="shared" ca="1" si="32"/>
        <v/>
      </c>
      <c r="R154" t="str">
        <f>IF($A154="","",IF(MEMORIA_RESULTADOS!$W$46="","","C"&amp;MEMORIA_RESULTADOS!$W$46))</f>
        <v/>
      </c>
      <c r="S154" s="210" t="str">
        <f t="shared" ca="1" si="33"/>
        <v/>
      </c>
      <c r="T154" s="210" t="str">
        <f t="shared" ca="1" si="34"/>
        <v/>
      </c>
      <c r="U154" s="210" t="str">
        <f t="shared" ca="1" si="35"/>
        <v/>
      </c>
      <c r="V154" s="195" t="str">
        <f t="shared" ca="1" si="36"/>
        <v/>
      </c>
      <c r="W154" s="195" t="str">
        <f t="shared" ca="1" si="37"/>
        <v/>
      </c>
      <c r="X154" s="195" t="str">
        <f t="shared" ca="1" si="38"/>
        <v/>
      </c>
      <c r="Y154" t="str">
        <f t="shared" ca="1" si="39"/>
        <v/>
      </c>
      <c r="Z154" s="211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08" t="str">
        <f>IF(AND(itens_Remanesc!A154="",itens_Remanesc!A153&lt;&gt;"",COUNTIF(itens_Remanesc!A155:$A$200,"&lt;&gt;")=0),"TOTAL",IF(itens_Remanesc!A154="","",itens_Remanesc!A154))</f>
        <v/>
      </c>
      <c r="B155" s="109" t="str">
        <f>IF(OR(historico_VU!A154="",historico_VU!C154=""),"",historico_VU!C154)</f>
        <v/>
      </c>
      <c r="C155" s="110" t="str">
        <f>IF(posicao_contratual!A154="","",posicao_contratual!G154)</f>
        <v/>
      </c>
      <c r="D155" s="109" t="str">
        <f>IF(A155="TOTAL",ROUND(SUM($D$3:D154),2),IF(OR(A155="",B155="",C155=""),"",ROUND(B155*C155,2)))</f>
        <v/>
      </c>
      <c r="E155" s="111" t="str">
        <f>IF(OR(historico_VU!A154="",historico_VU!D154=""),"",historico_VU!D154)</f>
        <v/>
      </c>
      <c r="F155" s="112" t="str">
        <f>IF(posicao_contratual!A154="","",posicao_contratual!K154)</f>
        <v/>
      </c>
      <c r="G155" s="111" t="str">
        <f>IF(A155="TOTAL",ROUND(SUM($G$3:G154),2),IF(OR(A155="",E155="",F155=""),"",ROUND(E155*F155,2)))</f>
        <v/>
      </c>
      <c r="H155" s="109" t="str">
        <f>IF(OR(historico_VU!A154="",historico_VU!E154=""),"",historico_VU!E154)</f>
        <v/>
      </c>
      <c r="I155" s="110" t="str">
        <f>IF(posicao_contratual!A154="","",posicao_contratual!O154)</f>
        <v/>
      </c>
      <c r="J155" s="109" t="str">
        <f>IF(A155="TOTAL",ROUND(SUM($J$3:J154),2),IF(OR(A155="",H155="",I155=""),"",ROUND(H155*I155,2)))</f>
        <v/>
      </c>
      <c r="K155" s="111" t="str">
        <f>IF(OR(historico_VU!A154="",historico_VU!F154=""),"",historico_VU!F154)</f>
        <v/>
      </c>
      <c r="L155" s="112" t="str">
        <f>IF(posicao_contratual!A154="","",posicao_contratual!S154)</f>
        <v/>
      </c>
      <c r="M155" s="111" t="str">
        <f>IF(A155="TOTAL",ROUND(SUM($M$3:M154),2),IF(OR(A155="",K155="",L155=""),"",ROUND(K155*L155,2)))</f>
        <v/>
      </c>
      <c r="N155" s="109" t="str">
        <f>IF(OR(historico_VU!A154="",historico_VU!G154=""),"",historico_VU!G154)</f>
        <v/>
      </c>
      <c r="O155" s="110" t="str">
        <f>IF(posicao_contratual!A154="","",posicao_contratual!W154)</f>
        <v/>
      </c>
      <c r="P155" s="109" t="str">
        <f>IF(A155="TOTAL",ROUND(SUM($P$3:P154),2),IF(OR(A155="",N155="",O155=""),"",ROUND(N155*O155,2)))</f>
        <v/>
      </c>
      <c r="Q155" s="183" t="str">
        <f t="shared" ca="1" si="32"/>
        <v/>
      </c>
      <c r="R155" t="str">
        <f>IF($A155="","",IF(MEMORIA_RESULTADOS!$W$46="","","C"&amp;MEMORIA_RESULTADOS!$W$46))</f>
        <v/>
      </c>
      <c r="S155" s="210" t="str">
        <f t="shared" ca="1" si="33"/>
        <v/>
      </c>
      <c r="T155" s="210" t="str">
        <f t="shared" ca="1" si="34"/>
        <v/>
      </c>
      <c r="U155" s="210" t="str">
        <f t="shared" ca="1" si="35"/>
        <v/>
      </c>
      <c r="V155" s="195" t="str">
        <f t="shared" ca="1" si="36"/>
        <v/>
      </c>
      <c r="W155" s="195" t="str">
        <f t="shared" ca="1" si="37"/>
        <v/>
      </c>
      <c r="X155" s="195" t="str">
        <f t="shared" ca="1" si="38"/>
        <v/>
      </c>
      <c r="Y155" t="str">
        <f t="shared" ca="1" si="39"/>
        <v/>
      </c>
      <c r="Z155" s="211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08" t="str">
        <f>IF(AND(itens_Remanesc!A155="",itens_Remanesc!A154&lt;&gt;"",COUNTIF(itens_Remanesc!A156:$A$200,"&lt;&gt;")=0),"TOTAL",IF(itens_Remanesc!A155="","",itens_Remanesc!A155))</f>
        <v/>
      </c>
      <c r="B156" s="109" t="str">
        <f>IF(OR(historico_VU!A155="",historico_VU!C155=""),"",historico_VU!C155)</f>
        <v/>
      </c>
      <c r="C156" s="110" t="str">
        <f>IF(posicao_contratual!A155="","",posicao_contratual!G155)</f>
        <v/>
      </c>
      <c r="D156" s="109" t="str">
        <f>IF(A156="TOTAL",ROUND(SUM($D$3:D155),2),IF(OR(A156="",B156="",C156=""),"",ROUND(B156*C156,2)))</f>
        <v/>
      </c>
      <c r="E156" s="111" t="str">
        <f>IF(OR(historico_VU!A155="",historico_VU!D155=""),"",historico_VU!D155)</f>
        <v/>
      </c>
      <c r="F156" s="112" t="str">
        <f>IF(posicao_contratual!A155="","",posicao_contratual!K155)</f>
        <v/>
      </c>
      <c r="G156" s="111" t="str">
        <f>IF(A156="TOTAL",ROUND(SUM($G$3:G155),2),IF(OR(A156="",E156="",F156=""),"",ROUND(E156*F156,2)))</f>
        <v/>
      </c>
      <c r="H156" s="109" t="str">
        <f>IF(OR(historico_VU!A155="",historico_VU!E155=""),"",historico_VU!E155)</f>
        <v/>
      </c>
      <c r="I156" s="110" t="str">
        <f>IF(posicao_contratual!A155="","",posicao_contratual!O155)</f>
        <v/>
      </c>
      <c r="J156" s="109" t="str">
        <f>IF(A156="TOTAL",ROUND(SUM($J$3:J155),2),IF(OR(A156="",H156="",I156=""),"",ROUND(H156*I156,2)))</f>
        <v/>
      </c>
      <c r="K156" s="111" t="str">
        <f>IF(OR(historico_VU!A155="",historico_VU!F155=""),"",historico_VU!F155)</f>
        <v/>
      </c>
      <c r="L156" s="112" t="str">
        <f>IF(posicao_contratual!A155="","",posicao_contratual!S155)</f>
        <v/>
      </c>
      <c r="M156" s="111" t="str">
        <f>IF(A156="TOTAL",ROUND(SUM($M$3:M155),2),IF(OR(A156="",K156="",L156=""),"",ROUND(K156*L156,2)))</f>
        <v/>
      </c>
      <c r="N156" s="109" t="str">
        <f>IF(OR(historico_VU!A155="",historico_VU!G155=""),"",historico_VU!G155)</f>
        <v/>
      </c>
      <c r="O156" s="110" t="str">
        <f>IF(posicao_contratual!A155="","",posicao_contratual!W155)</f>
        <v/>
      </c>
      <c r="P156" s="109" t="str">
        <f>IF(A156="TOTAL",ROUND(SUM($P$3:P155),2),IF(OR(A156="",N156="",O156=""),"",ROUND(N156*O156,2)))</f>
        <v/>
      </c>
      <c r="Q156" s="183" t="str">
        <f t="shared" ca="1" si="32"/>
        <v/>
      </c>
      <c r="R156" t="str">
        <f>IF($A156="","",IF(MEMORIA_RESULTADOS!$W$46="","","C"&amp;MEMORIA_RESULTADOS!$W$46))</f>
        <v/>
      </c>
      <c r="S156" s="210" t="str">
        <f t="shared" ca="1" si="33"/>
        <v/>
      </c>
      <c r="T156" s="210" t="str">
        <f t="shared" ca="1" si="34"/>
        <v/>
      </c>
      <c r="U156" s="210" t="str">
        <f t="shared" ca="1" si="35"/>
        <v/>
      </c>
      <c r="V156" s="195" t="str">
        <f t="shared" ca="1" si="36"/>
        <v/>
      </c>
      <c r="W156" s="195" t="str">
        <f t="shared" ca="1" si="37"/>
        <v/>
      </c>
      <c r="X156" s="195" t="str">
        <f t="shared" ca="1" si="38"/>
        <v/>
      </c>
      <c r="Y156" t="str">
        <f t="shared" ca="1" si="39"/>
        <v/>
      </c>
      <c r="Z156" s="211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08" t="str">
        <f>IF(AND(itens_Remanesc!A156="",itens_Remanesc!A155&lt;&gt;"",COUNTIF(itens_Remanesc!A157:$A$200,"&lt;&gt;")=0),"TOTAL",IF(itens_Remanesc!A156="","",itens_Remanesc!A156))</f>
        <v/>
      </c>
      <c r="B157" s="109" t="str">
        <f>IF(OR(historico_VU!A156="",historico_VU!C156=""),"",historico_VU!C156)</f>
        <v/>
      </c>
      <c r="C157" s="110" t="str">
        <f>IF(posicao_contratual!A156="","",posicao_contratual!G156)</f>
        <v/>
      </c>
      <c r="D157" s="109" t="str">
        <f>IF(A157="TOTAL",ROUND(SUM($D$3:D156),2),IF(OR(A157="",B157="",C157=""),"",ROUND(B157*C157,2)))</f>
        <v/>
      </c>
      <c r="E157" s="111" t="str">
        <f>IF(OR(historico_VU!A156="",historico_VU!D156=""),"",historico_VU!D156)</f>
        <v/>
      </c>
      <c r="F157" s="112" t="str">
        <f>IF(posicao_contratual!A156="","",posicao_contratual!K156)</f>
        <v/>
      </c>
      <c r="G157" s="111" t="str">
        <f>IF(A157="TOTAL",ROUND(SUM($G$3:G156),2),IF(OR(A157="",E157="",F157=""),"",ROUND(E157*F157,2)))</f>
        <v/>
      </c>
      <c r="H157" s="109" t="str">
        <f>IF(OR(historico_VU!A156="",historico_VU!E156=""),"",historico_VU!E156)</f>
        <v/>
      </c>
      <c r="I157" s="110" t="str">
        <f>IF(posicao_contratual!A156="","",posicao_contratual!O156)</f>
        <v/>
      </c>
      <c r="J157" s="109" t="str">
        <f>IF(A157="TOTAL",ROUND(SUM($J$3:J156),2),IF(OR(A157="",H157="",I157=""),"",ROUND(H157*I157,2)))</f>
        <v/>
      </c>
      <c r="K157" s="111" t="str">
        <f>IF(OR(historico_VU!A156="",historico_VU!F156=""),"",historico_VU!F156)</f>
        <v/>
      </c>
      <c r="L157" s="112" t="str">
        <f>IF(posicao_contratual!A156="","",posicao_contratual!S156)</f>
        <v/>
      </c>
      <c r="M157" s="111" t="str">
        <f>IF(A157="TOTAL",ROUND(SUM($M$3:M156),2),IF(OR(A157="",K157="",L157=""),"",ROUND(K157*L157,2)))</f>
        <v/>
      </c>
      <c r="N157" s="109" t="str">
        <f>IF(OR(historico_VU!A156="",historico_VU!G156=""),"",historico_VU!G156)</f>
        <v/>
      </c>
      <c r="O157" s="110" t="str">
        <f>IF(posicao_contratual!A156="","",posicao_contratual!W156)</f>
        <v/>
      </c>
      <c r="P157" s="109" t="str">
        <f>IF(A157="TOTAL",ROUND(SUM($P$3:P156),2),IF(OR(A157="",N157="",O157=""),"",ROUND(N157*O157,2)))</f>
        <v/>
      </c>
      <c r="Q157" s="183" t="str">
        <f t="shared" ca="1" si="32"/>
        <v/>
      </c>
      <c r="R157" t="str">
        <f>IF($A157="","",IF(MEMORIA_RESULTADOS!$W$46="","","C"&amp;MEMORIA_RESULTADOS!$W$46))</f>
        <v/>
      </c>
      <c r="S157" s="210" t="str">
        <f t="shared" ca="1" si="33"/>
        <v/>
      </c>
      <c r="T157" s="210" t="str">
        <f t="shared" ca="1" si="34"/>
        <v/>
      </c>
      <c r="U157" s="210" t="str">
        <f t="shared" ca="1" si="35"/>
        <v/>
      </c>
      <c r="V157" s="195" t="str">
        <f t="shared" ca="1" si="36"/>
        <v/>
      </c>
      <c r="W157" s="195" t="str">
        <f t="shared" ca="1" si="37"/>
        <v/>
      </c>
      <c r="X157" s="195" t="str">
        <f t="shared" ca="1" si="38"/>
        <v/>
      </c>
      <c r="Y157" t="str">
        <f t="shared" ca="1" si="39"/>
        <v/>
      </c>
      <c r="Z157" s="211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08" t="str">
        <f>IF(AND(itens_Remanesc!A157="",itens_Remanesc!A156&lt;&gt;"",COUNTIF(itens_Remanesc!A158:$A$200,"&lt;&gt;")=0),"TOTAL",IF(itens_Remanesc!A157="","",itens_Remanesc!A157))</f>
        <v/>
      </c>
      <c r="B158" s="109" t="str">
        <f>IF(OR(historico_VU!A157="",historico_VU!C157=""),"",historico_VU!C157)</f>
        <v/>
      </c>
      <c r="C158" s="110" t="str">
        <f>IF(posicao_contratual!A157="","",posicao_contratual!G157)</f>
        <v/>
      </c>
      <c r="D158" s="109" t="str">
        <f>IF(A158="TOTAL",ROUND(SUM($D$3:D157),2),IF(OR(A158="",B158="",C158=""),"",ROUND(B158*C158,2)))</f>
        <v/>
      </c>
      <c r="E158" s="111" t="str">
        <f>IF(OR(historico_VU!A157="",historico_VU!D157=""),"",historico_VU!D157)</f>
        <v/>
      </c>
      <c r="F158" s="112" t="str">
        <f>IF(posicao_contratual!A157="","",posicao_contratual!K157)</f>
        <v/>
      </c>
      <c r="G158" s="111" t="str">
        <f>IF(A158="TOTAL",ROUND(SUM($G$3:G157),2),IF(OR(A158="",E158="",F158=""),"",ROUND(E158*F158,2)))</f>
        <v/>
      </c>
      <c r="H158" s="109" t="str">
        <f>IF(OR(historico_VU!A157="",historico_VU!E157=""),"",historico_VU!E157)</f>
        <v/>
      </c>
      <c r="I158" s="110" t="str">
        <f>IF(posicao_contratual!A157="","",posicao_contratual!O157)</f>
        <v/>
      </c>
      <c r="J158" s="109" t="str">
        <f>IF(A158="TOTAL",ROUND(SUM($J$3:J157),2),IF(OR(A158="",H158="",I158=""),"",ROUND(H158*I158,2)))</f>
        <v/>
      </c>
      <c r="K158" s="111" t="str">
        <f>IF(OR(historico_VU!A157="",historico_VU!F157=""),"",historico_VU!F157)</f>
        <v/>
      </c>
      <c r="L158" s="112" t="str">
        <f>IF(posicao_contratual!A157="","",posicao_contratual!S157)</f>
        <v/>
      </c>
      <c r="M158" s="111" t="str">
        <f>IF(A158="TOTAL",ROUND(SUM($M$3:M157),2),IF(OR(A158="",K158="",L158=""),"",ROUND(K158*L158,2)))</f>
        <v/>
      </c>
      <c r="N158" s="109" t="str">
        <f>IF(OR(historico_VU!A157="",historico_VU!G157=""),"",historico_VU!G157)</f>
        <v/>
      </c>
      <c r="O158" s="110" t="str">
        <f>IF(posicao_contratual!A157="","",posicao_contratual!W157)</f>
        <v/>
      </c>
      <c r="P158" s="109" t="str">
        <f>IF(A158="TOTAL",ROUND(SUM($P$3:P157),2),IF(OR(A158="",N158="",O158=""),"",ROUND(N158*O158,2)))</f>
        <v/>
      </c>
      <c r="Q158" s="183" t="str">
        <f t="shared" ca="1" si="32"/>
        <v/>
      </c>
      <c r="R158" t="str">
        <f>IF($A158="","",IF(MEMORIA_RESULTADOS!$W$46="","","C"&amp;MEMORIA_RESULTADOS!$W$46))</f>
        <v/>
      </c>
      <c r="S158" s="210" t="str">
        <f t="shared" ca="1" si="33"/>
        <v/>
      </c>
      <c r="T158" s="210" t="str">
        <f t="shared" ca="1" si="34"/>
        <v/>
      </c>
      <c r="U158" s="210" t="str">
        <f t="shared" ca="1" si="35"/>
        <v/>
      </c>
      <c r="V158" s="195" t="str">
        <f t="shared" ca="1" si="36"/>
        <v/>
      </c>
      <c r="W158" s="195" t="str">
        <f t="shared" ca="1" si="37"/>
        <v/>
      </c>
      <c r="X158" s="195" t="str">
        <f t="shared" ca="1" si="38"/>
        <v/>
      </c>
      <c r="Y158" t="str">
        <f t="shared" ca="1" si="39"/>
        <v/>
      </c>
      <c r="Z158" s="211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08" t="str">
        <f>IF(AND(itens_Remanesc!A158="",itens_Remanesc!A157&lt;&gt;"",COUNTIF(itens_Remanesc!A159:$A$200,"&lt;&gt;")=0),"TOTAL",IF(itens_Remanesc!A158="","",itens_Remanesc!A158))</f>
        <v/>
      </c>
      <c r="B159" s="109" t="str">
        <f>IF(OR(historico_VU!A158="",historico_VU!C158=""),"",historico_VU!C158)</f>
        <v/>
      </c>
      <c r="C159" s="110" t="str">
        <f>IF(posicao_contratual!A158="","",posicao_contratual!G158)</f>
        <v/>
      </c>
      <c r="D159" s="109" t="str">
        <f>IF(A159="TOTAL",ROUND(SUM($D$3:D158),2),IF(OR(A159="",B159="",C159=""),"",ROUND(B159*C159,2)))</f>
        <v/>
      </c>
      <c r="E159" s="111" t="str">
        <f>IF(OR(historico_VU!A158="",historico_VU!D158=""),"",historico_VU!D158)</f>
        <v/>
      </c>
      <c r="F159" s="112" t="str">
        <f>IF(posicao_contratual!A158="","",posicao_contratual!K158)</f>
        <v/>
      </c>
      <c r="G159" s="111" t="str">
        <f>IF(A159="TOTAL",ROUND(SUM($G$3:G158),2),IF(OR(A159="",E159="",F159=""),"",ROUND(E159*F159,2)))</f>
        <v/>
      </c>
      <c r="H159" s="109" t="str">
        <f>IF(OR(historico_VU!A158="",historico_VU!E158=""),"",historico_VU!E158)</f>
        <v/>
      </c>
      <c r="I159" s="110" t="str">
        <f>IF(posicao_contratual!A158="","",posicao_contratual!O158)</f>
        <v/>
      </c>
      <c r="J159" s="109" t="str">
        <f>IF(A159="TOTAL",ROUND(SUM($J$3:J158),2),IF(OR(A159="",H159="",I159=""),"",ROUND(H159*I159,2)))</f>
        <v/>
      </c>
      <c r="K159" s="111" t="str">
        <f>IF(OR(historico_VU!A158="",historico_VU!F158=""),"",historico_VU!F158)</f>
        <v/>
      </c>
      <c r="L159" s="112" t="str">
        <f>IF(posicao_contratual!A158="","",posicao_contratual!S158)</f>
        <v/>
      </c>
      <c r="M159" s="111" t="str">
        <f>IF(A159="TOTAL",ROUND(SUM($M$3:M158),2),IF(OR(A159="",K159="",L159=""),"",ROUND(K159*L159,2)))</f>
        <v/>
      </c>
      <c r="N159" s="109" t="str">
        <f>IF(OR(historico_VU!A158="",historico_VU!G158=""),"",historico_VU!G158)</f>
        <v/>
      </c>
      <c r="O159" s="110" t="str">
        <f>IF(posicao_contratual!A158="","",posicao_contratual!W158)</f>
        <v/>
      </c>
      <c r="P159" s="109" t="str">
        <f>IF(A159="TOTAL",ROUND(SUM($P$3:P158),2),IF(OR(A159="",N159="",O159=""),"",ROUND(N159*O159,2)))</f>
        <v/>
      </c>
      <c r="Q159" s="183" t="str">
        <f t="shared" ca="1" si="32"/>
        <v/>
      </c>
      <c r="R159" t="str">
        <f>IF($A159="","",IF(MEMORIA_RESULTADOS!$W$46="","","C"&amp;MEMORIA_RESULTADOS!$W$46))</f>
        <v/>
      </c>
      <c r="S159" s="210" t="str">
        <f t="shared" ca="1" si="33"/>
        <v/>
      </c>
      <c r="T159" s="210" t="str">
        <f t="shared" ca="1" si="34"/>
        <v/>
      </c>
      <c r="U159" s="210" t="str">
        <f t="shared" ca="1" si="35"/>
        <v/>
      </c>
      <c r="V159" s="195" t="str">
        <f t="shared" ca="1" si="36"/>
        <v/>
      </c>
      <c r="W159" s="195" t="str">
        <f t="shared" ca="1" si="37"/>
        <v/>
      </c>
      <c r="X159" s="195" t="str">
        <f t="shared" ca="1" si="38"/>
        <v/>
      </c>
      <c r="Y159" t="str">
        <f t="shared" ca="1" si="39"/>
        <v/>
      </c>
      <c r="Z159" s="211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08" t="str">
        <f>IF(AND(itens_Remanesc!A159="",itens_Remanesc!A158&lt;&gt;"",COUNTIF(itens_Remanesc!A160:$A$200,"&lt;&gt;")=0),"TOTAL",IF(itens_Remanesc!A159="","",itens_Remanesc!A159))</f>
        <v/>
      </c>
      <c r="B160" s="109" t="str">
        <f>IF(OR(historico_VU!A159="",historico_VU!C159=""),"",historico_VU!C159)</f>
        <v/>
      </c>
      <c r="C160" s="110" t="str">
        <f>IF(posicao_contratual!A159="","",posicao_contratual!G159)</f>
        <v/>
      </c>
      <c r="D160" s="109" t="str">
        <f>IF(A160="TOTAL",ROUND(SUM($D$3:D159),2),IF(OR(A160="",B160="",C160=""),"",ROUND(B160*C160,2)))</f>
        <v/>
      </c>
      <c r="E160" s="111" t="str">
        <f>IF(OR(historico_VU!A159="",historico_VU!D159=""),"",historico_VU!D159)</f>
        <v/>
      </c>
      <c r="F160" s="112" t="str">
        <f>IF(posicao_contratual!A159="","",posicao_contratual!K159)</f>
        <v/>
      </c>
      <c r="G160" s="111" t="str">
        <f>IF(A160="TOTAL",ROUND(SUM($G$3:G159),2),IF(OR(A160="",E160="",F160=""),"",ROUND(E160*F160,2)))</f>
        <v/>
      </c>
      <c r="H160" s="109" t="str">
        <f>IF(OR(historico_VU!A159="",historico_VU!E159=""),"",historico_VU!E159)</f>
        <v/>
      </c>
      <c r="I160" s="110" t="str">
        <f>IF(posicao_contratual!A159="","",posicao_contratual!O159)</f>
        <v/>
      </c>
      <c r="J160" s="109" t="str">
        <f>IF(A160="TOTAL",ROUND(SUM($J$3:J159),2),IF(OR(A160="",H160="",I160=""),"",ROUND(H160*I160,2)))</f>
        <v/>
      </c>
      <c r="K160" s="111" t="str">
        <f>IF(OR(historico_VU!A159="",historico_VU!F159=""),"",historico_VU!F159)</f>
        <v/>
      </c>
      <c r="L160" s="112" t="str">
        <f>IF(posicao_contratual!A159="","",posicao_contratual!S159)</f>
        <v/>
      </c>
      <c r="M160" s="111" t="str">
        <f>IF(A160="TOTAL",ROUND(SUM($M$3:M159),2),IF(OR(A160="",K160="",L160=""),"",ROUND(K160*L160,2)))</f>
        <v/>
      </c>
      <c r="N160" s="109" t="str">
        <f>IF(OR(historico_VU!A159="",historico_VU!G159=""),"",historico_VU!G159)</f>
        <v/>
      </c>
      <c r="O160" s="110" t="str">
        <f>IF(posicao_contratual!A159="","",posicao_contratual!W159)</f>
        <v/>
      </c>
      <c r="P160" s="109" t="str">
        <f>IF(A160="TOTAL",ROUND(SUM($P$3:P159),2),IF(OR(A160="",N160="",O160=""),"",ROUND(N160*O160,2)))</f>
        <v/>
      </c>
      <c r="Q160" s="183" t="str">
        <f t="shared" ca="1" si="32"/>
        <v/>
      </c>
      <c r="R160" t="str">
        <f>IF($A160="","",IF(MEMORIA_RESULTADOS!$W$46="","","C"&amp;MEMORIA_RESULTADOS!$W$46))</f>
        <v/>
      </c>
      <c r="S160" s="210" t="str">
        <f t="shared" ca="1" si="33"/>
        <v/>
      </c>
      <c r="T160" s="210" t="str">
        <f t="shared" ca="1" si="34"/>
        <v/>
      </c>
      <c r="U160" s="210" t="str">
        <f t="shared" ca="1" si="35"/>
        <v/>
      </c>
      <c r="V160" s="195" t="str">
        <f t="shared" ca="1" si="36"/>
        <v/>
      </c>
      <c r="W160" s="195" t="str">
        <f t="shared" ca="1" si="37"/>
        <v/>
      </c>
      <c r="X160" s="195" t="str">
        <f t="shared" ca="1" si="38"/>
        <v/>
      </c>
      <c r="Y160" t="str">
        <f t="shared" ca="1" si="39"/>
        <v/>
      </c>
      <c r="Z160" s="211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08" t="str">
        <f>IF(AND(itens_Remanesc!A160="",itens_Remanesc!A159&lt;&gt;"",COUNTIF(itens_Remanesc!A161:$A$200,"&lt;&gt;")=0),"TOTAL",IF(itens_Remanesc!A160="","",itens_Remanesc!A160))</f>
        <v/>
      </c>
      <c r="B161" s="109" t="str">
        <f>IF(OR(historico_VU!A160="",historico_VU!C160=""),"",historico_VU!C160)</f>
        <v/>
      </c>
      <c r="C161" s="110" t="str">
        <f>IF(posicao_contratual!A160="","",posicao_contratual!G160)</f>
        <v/>
      </c>
      <c r="D161" s="109" t="str">
        <f>IF(A161="TOTAL",ROUND(SUM($D$3:D160),2),IF(OR(A161="",B161="",C161=""),"",ROUND(B161*C161,2)))</f>
        <v/>
      </c>
      <c r="E161" s="111" t="str">
        <f>IF(OR(historico_VU!A160="",historico_VU!D160=""),"",historico_VU!D160)</f>
        <v/>
      </c>
      <c r="F161" s="112" t="str">
        <f>IF(posicao_contratual!A160="","",posicao_contratual!K160)</f>
        <v/>
      </c>
      <c r="G161" s="111" t="str">
        <f>IF(A161="TOTAL",ROUND(SUM($G$3:G160),2),IF(OR(A161="",E161="",F161=""),"",ROUND(E161*F161,2)))</f>
        <v/>
      </c>
      <c r="H161" s="109" t="str">
        <f>IF(OR(historico_VU!A160="",historico_VU!E160=""),"",historico_VU!E160)</f>
        <v/>
      </c>
      <c r="I161" s="110" t="str">
        <f>IF(posicao_contratual!A160="","",posicao_contratual!O160)</f>
        <v/>
      </c>
      <c r="J161" s="109" t="str">
        <f>IF(A161="TOTAL",ROUND(SUM($J$3:J160),2),IF(OR(A161="",H161="",I161=""),"",ROUND(H161*I161,2)))</f>
        <v/>
      </c>
      <c r="K161" s="111" t="str">
        <f>IF(OR(historico_VU!A160="",historico_VU!F160=""),"",historico_VU!F160)</f>
        <v/>
      </c>
      <c r="L161" s="112" t="str">
        <f>IF(posicao_contratual!A160="","",posicao_contratual!S160)</f>
        <v/>
      </c>
      <c r="M161" s="111" t="str">
        <f>IF(A161="TOTAL",ROUND(SUM($M$3:M160),2),IF(OR(A161="",K161="",L161=""),"",ROUND(K161*L161,2)))</f>
        <v/>
      </c>
      <c r="N161" s="109" t="str">
        <f>IF(OR(historico_VU!A160="",historico_VU!G160=""),"",historico_VU!G160)</f>
        <v/>
      </c>
      <c r="O161" s="110" t="str">
        <f>IF(posicao_contratual!A160="","",posicao_contratual!W160)</f>
        <v/>
      </c>
      <c r="P161" s="109" t="str">
        <f>IF(A161="TOTAL",ROUND(SUM($P$3:P160),2),IF(OR(A161="",N161="",O161=""),"",ROUND(N161*O161,2)))</f>
        <v/>
      </c>
      <c r="Q161" s="183" t="str">
        <f t="shared" ca="1" si="32"/>
        <v/>
      </c>
      <c r="R161" t="str">
        <f>IF($A161="","",IF(MEMORIA_RESULTADOS!$W$46="","","C"&amp;MEMORIA_RESULTADOS!$W$46))</f>
        <v/>
      </c>
      <c r="S161" s="210" t="str">
        <f t="shared" ca="1" si="33"/>
        <v/>
      </c>
      <c r="T161" s="210" t="str">
        <f t="shared" ca="1" si="34"/>
        <v/>
      </c>
      <c r="U161" s="210" t="str">
        <f t="shared" ca="1" si="35"/>
        <v/>
      </c>
      <c r="V161" s="195" t="str">
        <f t="shared" ca="1" si="36"/>
        <v/>
      </c>
      <c r="W161" s="195" t="str">
        <f t="shared" ca="1" si="37"/>
        <v/>
      </c>
      <c r="X161" s="195" t="str">
        <f t="shared" ca="1" si="38"/>
        <v/>
      </c>
      <c r="Y161" t="str">
        <f t="shared" ca="1" si="39"/>
        <v/>
      </c>
      <c r="Z161" s="211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08" t="str">
        <f>IF(AND(itens_Remanesc!A161="",itens_Remanesc!A160&lt;&gt;"",COUNTIF(itens_Remanesc!A162:$A$200,"&lt;&gt;")=0),"TOTAL",IF(itens_Remanesc!A161="","",itens_Remanesc!A161))</f>
        <v/>
      </c>
      <c r="B162" s="109" t="str">
        <f>IF(OR(historico_VU!A161="",historico_VU!C161=""),"",historico_VU!C161)</f>
        <v/>
      </c>
      <c r="C162" s="110" t="str">
        <f>IF(posicao_contratual!A161="","",posicao_contratual!G161)</f>
        <v/>
      </c>
      <c r="D162" s="109" t="str">
        <f>IF(A162="TOTAL",ROUND(SUM($D$3:D161),2),IF(OR(A162="",B162="",C162=""),"",ROUND(B162*C162,2)))</f>
        <v/>
      </c>
      <c r="E162" s="111" t="str">
        <f>IF(OR(historico_VU!A161="",historico_VU!D161=""),"",historico_VU!D161)</f>
        <v/>
      </c>
      <c r="F162" s="112" t="str">
        <f>IF(posicao_contratual!A161="","",posicao_contratual!K161)</f>
        <v/>
      </c>
      <c r="G162" s="111" t="str">
        <f>IF(A162="TOTAL",ROUND(SUM($G$3:G161),2),IF(OR(A162="",E162="",F162=""),"",ROUND(E162*F162,2)))</f>
        <v/>
      </c>
      <c r="H162" s="109" t="str">
        <f>IF(OR(historico_VU!A161="",historico_VU!E161=""),"",historico_VU!E161)</f>
        <v/>
      </c>
      <c r="I162" s="110" t="str">
        <f>IF(posicao_contratual!A161="","",posicao_contratual!O161)</f>
        <v/>
      </c>
      <c r="J162" s="109" t="str">
        <f>IF(A162="TOTAL",ROUND(SUM($J$3:J161),2),IF(OR(A162="",H162="",I162=""),"",ROUND(H162*I162,2)))</f>
        <v/>
      </c>
      <c r="K162" s="111" t="str">
        <f>IF(OR(historico_VU!A161="",historico_VU!F161=""),"",historico_VU!F161)</f>
        <v/>
      </c>
      <c r="L162" s="112" t="str">
        <f>IF(posicao_contratual!A161="","",posicao_contratual!S161)</f>
        <v/>
      </c>
      <c r="M162" s="111" t="str">
        <f>IF(A162="TOTAL",ROUND(SUM($M$3:M161),2),IF(OR(A162="",K162="",L162=""),"",ROUND(K162*L162,2)))</f>
        <v/>
      </c>
      <c r="N162" s="109" t="str">
        <f>IF(OR(historico_VU!A161="",historico_VU!G161=""),"",historico_VU!G161)</f>
        <v/>
      </c>
      <c r="O162" s="110" t="str">
        <f>IF(posicao_contratual!A161="","",posicao_contratual!W161)</f>
        <v/>
      </c>
      <c r="P162" s="109" t="str">
        <f>IF(A162="TOTAL",ROUND(SUM($P$3:P161),2),IF(OR(A162="",N162="",O162=""),"",ROUND(N162*O162,2)))</f>
        <v/>
      </c>
      <c r="Q162" s="183" t="str">
        <f t="shared" ca="1" si="32"/>
        <v/>
      </c>
      <c r="R162" t="str">
        <f>IF($A162="","",IF(MEMORIA_RESULTADOS!$W$46="","","C"&amp;MEMORIA_RESULTADOS!$W$46))</f>
        <v/>
      </c>
      <c r="S162" s="210" t="str">
        <f t="shared" ca="1" si="33"/>
        <v/>
      </c>
      <c r="T162" s="210" t="str">
        <f t="shared" ca="1" si="34"/>
        <v/>
      </c>
      <c r="U162" s="210" t="str">
        <f t="shared" ca="1" si="35"/>
        <v/>
      </c>
      <c r="V162" s="195" t="str">
        <f t="shared" ca="1" si="36"/>
        <v/>
      </c>
      <c r="W162" s="195" t="str">
        <f t="shared" ca="1" si="37"/>
        <v/>
      </c>
      <c r="X162" s="195" t="str">
        <f t="shared" ca="1" si="38"/>
        <v/>
      </c>
      <c r="Y162" t="str">
        <f t="shared" ca="1" si="39"/>
        <v/>
      </c>
      <c r="Z162" s="211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08" t="str">
        <f>IF(AND(itens_Remanesc!A162="",itens_Remanesc!A161&lt;&gt;"",COUNTIF(itens_Remanesc!A163:$A$200,"&lt;&gt;")=0),"TOTAL",IF(itens_Remanesc!A162="","",itens_Remanesc!A162))</f>
        <v/>
      </c>
      <c r="B163" s="109" t="str">
        <f>IF(OR(historico_VU!A162="",historico_VU!C162=""),"",historico_VU!C162)</f>
        <v/>
      </c>
      <c r="C163" s="110" t="str">
        <f>IF(posicao_contratual!A162="","",posicao_contratual!G162)</f>
        <v/>
      </c>
      <c r="D163" s="109" t="str">
        <f>IF(A163="TOTAL",ROUND(SUM($D$3:D162),2),IF(OR(A163="",B163="",C163=""),"",ROUND(B163*C163,2)))</f>
        <v/>
      </c>
      <c r="E163" s="111" t="str">
        <f>IF(OR(historico_VU!A162="",historico_VU!D162=""),"",historico_VU!D162)</f>
        <v/>
      </c>
      <c r="F163" s="112" t="str">
        <f>IF(posicao_contratual!A162="","",posicao_contratual!K162)</f>
        <v/>
      </c>
      <c r="G163" s="111" t="str">
        <f>IF(A163="TOTAL",ROUND(SUM($G$3:G162),2),IF(OR(A163="",E163="",F163=""),"",ROUND(E163*F163,2)))</f>
        <v/>
      </c>
      <c r="H163" s="109" t="str">
        <f>IF(OR(historico_VU!A162="",historico_VU!E162=""),"",historico_VU!E162)</f>
        <v/>
      </c>
      <c r="I163" s="110" t="str">
        <f>IF(posicao_contratual!A162="","",posicao_contratual!O162)</f>
        <v/>
      </c>
      <c r="J163" s="109" t="str">
        <f>IF(A163="TOTAL",ROUND(SUM($J$3:J162),2),IF(OR(A163="",H163="",I163=""),"",ROUND(H163*I163,2)))</f>
        <v/>
      </c>
      <c r="K163" s="111" t="str">
        <f>IF(OR(historico_VU!A162="",historico_VU!F162=""),"",historico_VU!F162)</f>
        <v/>
      </c>
      <c r="L163" s="112" t="str">
        <f>IF(posicao_contratual!A162="","",posicao_contratual!S162)</f>
        <v/>
      </c>
      <c r="M163" s="111" t="str">
        <f>IF(A163="TOTAL",ROUND(SUM($M$3:M162),2),IF(OR(A163="",K163="",L163=""),"",ROUND(K163*L163,2)))</f>
        <v/>
      </c>
      <c r="N163" s="109" t="str">
        <f>IF(OR(historico_VU!A162="",historico_VU!G162=""),"",historico_VU!G162)</f>
        <v/>
      </c>
      <c r="O163" s="110" t="str">
        <f>IF(posicao_contratual!A162="","",posicao_contratual!W162)</f>
        <v/>
      </c>
      <c r="P163" s="109" t="str">
        <f>IF(A163="TOTAL",ROUND(SUM($P$3:P162),2),IF(OR(A163="",N163="",O163=""),"",ROUND(N163*O163,2)))</f>
        <v/>
      </c>
      <c r="Q163" s="183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0" t="str">
        <f t="shared" ref="S163:S194" ca="1" si="41">IF($A163="","",IFERROR(IF(INDIRECT("CICLO_EM_EXECUCAO!B"&amp;(ROW()+10))="","",INDIRECT("CICLO_EM_EXECUCAO!B"&amp;(ROW()+10))),""))</f>
        <v/>
      </c>
      <c r="T163" s="210" t="str">
        <f t="shared" ref="T163:T194" ca="1" si="42">IF($A163="","",IFERROR(IF(INDIRECT("CICLO_EM_EXECUCAO!D"&amp;(ROW()+10))="","",INDIRECT("CICLO_EM_EXECUCAO!D"&amp;(ROW()+10))),""))</f>
        <v/>
      </c>
      <c r="U163" s="210" t="str">
        <f t="shared" ref="U163:U194" ca="1" si="43">IF($A163="","",IFERROR(IF(INDIRECT("CICLO_EM_EXECUCAO!C"&amp;(ROW()+10))="","",INDIRECT("CICLO_EM_EXECUCAO!C"&amp;(ROW()+10))),""))</f>
        <v/>
      </c>
      <c r="V163" s="195" t="str">
        <f t="shared" ref="V163:V194" ca="1" si="44">IF($A163="","",IFERROR(IF(INDIRECT("CICLO_EM_EXECUCAO!E"&amp;(ROW()+10))="","",INDIRECT("CICLO_EM_EXECUCAO!E"&amp;(ROW()+10))),""))</f>
        <v/>
      </c>
      <c r="W163" s="195" t="str">
        <f t="shared" ref="W163:W194" ca="1" si="45">IF($A163="","",IFERROR(IF(INDIRECT("CICLO_EM_EXECUCAO!F"&amp;(ROW()+10))="","",INDIRECT("CICLO_EM_EXECUCAO!F"&amp;(ROW()+10))),""))</f>
        <v/>
      </c>
      <c r="X163" s="195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1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08" t="str">
        <f>IF(AND(itens_Remanesc!A163="",itens_Remanesc!A162&lt;&gt;"",COUNTIF(itens_Remanesc!A164:$A$200,"&lt;&gt;")=0),"TOTAL",IF(itens_Remanesc!A163="","",itens_Remanesc!A163))</f>
        <v/>
      </c>
      <c r="B164" s="109" t="str">
        <f>IF(OR(historico_VU!A163="",historico_VU!C163=""),"",historico_VU!C163)</f>
        <v/>
      </c>
      <c r="C164" s="110" t="str">
        <f>IF(posicao_contratual!A163="","",posicao_contratual!G163)</f>
        <v/>
      </c>
      <c r="D164" s="109" t="str">
        <f>IF(A164="TOTAL",ROUND(SUM($D$3:D163),2),IF(OR(A164="",B164="",C164=""),"",ROUND(B164*C164,2)))</f>
        <v/>
      </c>
      <c r="E164" s="111" t="str">
        <f>IF(OR(historico_VU!A163="",historico_VU!D163=""),"",historico_VU!D163)</f>
        <v/>
      </c>
      <c r="F164" s="112" t="str">
        <f>IF(posicao_contratual!A163="","",posicao_contratual!K163)</f>
        <v/>
      </c>
      <c r="G164" s="111" t="str">
        <f>IF(A164="TOTAL",ROUND(SUM($G$3:G163),2),IF(OR(A164="",E164="",F164=""),"",ROUND(E164*F164,2)))</f>
        <v/>
      </c>
      <c r="H164" s="109" t="str">
        <f>IF(OR(historico_VU!A163="",historico_VU!E163=""),"",historico_VU!E163)</f>
        <v/>
      </c>
      <c r="I164" s="110" t="str">
        <f>IF(posicao_contratual!A163="","",posicao_contratual!O163)</f>
        <v/>
      </c>
      <c r="J164" s="109" t="str">
        <f>IF(A164="TOTAL",ROUND(SUM($J$3:J163),2),IF(OR(A164="",H164="",I164=""),"",ROUND(H164*I164,2)))</f>
        <v/>
      </c>
      <c r="K164" s="111" t="str">
        <f>IF(OR(historico_VU!A163="",historico_VU!F163=""),"",historico_VU!F163)</f>
        <v/>
      </c>
      <c r="L164" s="112" t="str">
        <f>IF(posicao_contratual!A163="","",posicao_contratual!S163)</f>
        <v/>
      </c>
      <c r="M164" s="111" t="str">
        <f>IF(A164="TOTAL",ROUND(SUM($M$3:M163),2),IF(OR(A164="",K164="",L164=""),"",ROUND(K164*L164,2)))</f>
        <v/>
      </c>
      <c r="N164" s="109" t="str">
        <f>IF(OR(historico_VU!A163="",historico_VU!G163=""),"",historico_VU!G163)</f>
        <v/>
      </c>
      <c r="O164" s="110" t="str">
        <f>IF(posicao_contratual!A163="","",posicao_contratual!W163)</f>
        <v/>
      </c>
      <c r="P164" s="109" t="str">
        <f>IF(A164="TOTAL",ROUND(SUM($P$3:P163),2),IF(OR(A164="",N164="",O164=""),"",ROUND(N164*O164,2)))</f>
        <v/>
      </c>
      <c r="Q164" s="183" t="str">
        <f t="shared" ca="1" si="40"/>
        <v/>
      </c>
      <c r="R164" t="str">
        <f>IF($A164="","",IF(MEMORIA_RESULTADOS!$W$46="","","C"&amp;MEMORIA_RESULTADOS!$W$46))</f>
        <v/>
      </c>
      <c r="S164" s="210" t="str">
        <f t="shared" ca="1" si="41"/>
        <v/>
      </c>
      <c r="T164" s="210" t="str">
        <f t="shared" ca="1" si="42"/>
        <v/>
      </c>
      <c r="U164" s="210" t="str">
        <f t="shared" ca="1" si="43"/>
        <v/>
      </c>
      <c r="V164" s="195" t="str">
        <f t="shared" ca="1" si="44"/>
        <v/>
      </c>
      <c r="W164" s="195" t="str">
        <f t="shared" ca="1" si="45"/>
        <v/>
      </c>
      <c r="X164" s="195" t="str">
        <f t="shared" ca="1" si="46"/>
        <v/>
      </c>
      <c r="Y164" t="str">
        <f t="shared" ca="1" si="47"/>
        <v/>
      </c>
      <c r="Z164" s="211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08" t="str">
        <f>IF(AND(itens_Remanesc!A164="",itens_Remanesc!A163&lt;&gt;"",COUNTIF(itens_Remanesc!A165:$A$200,"&lt;&gt;")=0),"TOTAL",IF(itens_Remanesc!A164="","",itens_Remanesc!A164))</f>
        <v/>
      </c>
      <c r="B165" s="109" t="str">
        <f>IF(OR(historico_VU!A164="",historico_VU!C164=""),"",historico_VU!C164)</f>
        <v/>
      </c>
      <c r="C165" s="110" t="str">
        <f>IF(posicao_contratual!A164="","",posicao_contratual!G164)</f>
        <v/>
      </c>
      <c r="D165" s="109" t="str">
        <f>IF(A165="TOTAL",ROUND(SUM($D$3:D164),2),IF(OR(A165="",B165="",C165=""),"",ROUND(B165*C165,2)))</f>
        <v/>
      </c>
      <c r="E165" s="111" t="str">
        <f>IF(OR(historico_VU!A164="",historico_VU!D164=""),"",historico_VU!D164)</f>
        <v/>
      </c>
      <c r="F165" s="112" t="str">
        <f>IF(posicao_contratual!A164="","",posicao_contratual!K164)</f>
        <v/>
      </c>
      <c r="G165" s="111" t="str">
        <f>IF(A165="TOTAL",ROUND(SUM($G$3:G164),2),IF(OR(A165="",E165="",F165=""),"",ROUND(E165*F165,2)))</f>
        <v/>
      </c>
      <c r="H165" s="109" t="str">
        <f>IF(OR(historico_VU!A164="",historico_VU!E164=""),"",historico_VU!E164)</f>
        <v/>
      </c>
      <c r="I165" s="110" t="str">
        <f>IF(posicao_contratual!A164="","",posicao_contratual!O164)</f>
        <v/>
      </c>
      <c r="J165" s="109" t="str">
        <f>IF(A165="TOTAL",ROUND(SUM($J$3:J164),2),IF(OR(A165="",H165="",I165=""),"",ROUND(H165*I165,2)))</f>
        <v/>
      </c>
      <c r="K165" s="111" t="str">
        <f>IF(OR(historico_VU!A164="",historico_VU!F164=""),"",historico_VU!F164)</f>
        <v/>
      </c>
      <c r="L165" s="112" t="str">
        <f>IF(posicao_contratual!A164="","",posicao_contratual!S164)</f>
        <v/>
      </c>
      <c r="M165" s="111" t="str">
        <f>IF(A165="TOTAL",ROUND(SUM($M$3:M164),2),IF(OR(A165="",K165="",L165=""),"",ROUND(K165*L165,2)))</f>
        <v/>
      </c>
      <c r="N165" s="109" t="str">
        <f>IF(OR(historico_VU!A164="",historico_VU!G164=""),"",historico_VU!G164)</f>
        <v/>
      </c>
      <c r="O165" s="110" t="str">
        <f>IF(posicao_contratual!A164="","",posicao_contratual!W164)</f>
        <v/>
      </c>
      <c r="P165" s="109" t="str">
        <f>IF(A165="TOTAL",ROUND(SUM($P$3:P164),2),IF(OR(A165="",N165="",O165=""),"",ROUND(N165*O165,2)))</f>
        <v/>
      </c>
      <c r="Q165" s="183" t="str">
        <f t="shared" ca="1" si="40"/>
        <v/>
      </c>
      <c r="R165" t="str">
        <f>IF($A165="","",IF(MEMORIA_RESULTADOS!$W$46="","","C"&amp;MEMORIA_RESULTADOS!$W$46))</f>
        <v/>
      </c>
      <c r="S165" s="210" t="str">
        <f t="shared" ca="1" si="41"/>
        <v/>
      </c>
      <c r="T165" s="210" t="str">
        <f t="shared" ca="1" si="42"/>
        <v/>
      </c>
      <c r="U165" s="210" t="str">
        <f t="shared" ca="1" si="43"/>
        <v/>
      </c>
      <c r="V165" s="195" t="str">
        <f t="shared" ca="1" si="44"/>
        <v/>
      </c>
      <c r="W165" s="195" t="str">
        <f t="shared" ca="1" si="45"/>
        <v/>
      </c>
      <c r="X165" s="195" t="str">
        <f t="shared" ca="1" si="46"/>
        <v/>
      </c>
      <c r="Y165" t="str">
        <f t="shared" ca="1" si="47"/>
        <v/>
      </c>
      <c r="Z165" s="211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08" t="str">
        <f>IF(AND(itens_Remanesc!A165="",itens_Remanesc!A164&lt;&gt;"",COUNTIF(itens_Remanesc!A166:$A$200,"&lt;&gt;")=0),"TOTAL",IF(itens_Remanesc!A165="","",itens_Remanesc!A165))</f>
        <v/>
      </c>
      <c r="B166" s="109" t="str">
        <f>IF(OR(historico_VU!A165="",historico_VU!C165=""),"",historico_VU!C165)</f>
        <v/>
      </c>
      <c r="C166" s="110" t="str">
        <f>IF(posicao_contratual!A165="","",posicao_contratual!G165)</f>
        <v/>
      </c>
      <c r="D166" s="109" t="str">
        <f>IF(A166="TOTAL",ROUND(SUM($D$3:D165),2),IF(OR(A166="",B166="",C166=""),"",ROUND(B166*C166,2)))</f>
        <v/>
      </c>
      <c r="E166" s="111" t="str">
        <f>IF(OR(historico_VU!A165="",historico_VU!D165=""),"",historico_VU!D165)</f>
        <v/>
      </c>
      <c r="F166" s="112" t="str">
        <f>IF(posicao_contratual!A165="","",posicao_contratual!K165)</f>
        <v/>
      </c>
      <c r="G166" s="111" t="str">
        <f>IF(A166="TOTAL",ROUND(SUM($G$3:G165),2),IF(OR(A166="",E166="",F166=""),"",ROUND(E166*F166,2)))</f>
        <v/>
      </c>
      <c r="H166" s="109" t="str">
        <f>IF(OR(historico_VU!A165="",historico_VU!E165=""),"",historico_VU!E165)</f>
        <v/>
      </c>
      <c r="I166" s="110" t="str">
        <f>IF(posicao_contratual!A165="","",posicao_contratual!O165)</f>
        <v/>
      </c>
      <c r="J166" s="109" t="str">
        <f>IF(A166="TOTAL",ROUND(SUM($J$3:J165),2),IF(OR(A166="",H166="",I166=""),"",ROUND(H166*I166,2)))</f>
        <v/>
      </c>
      <c r="K166" s="111" t="str">
        <f>IF(OR(historico_VU!A165="",historico_VU!F165=""),"",historico_VU!F165)</f>
        <v/>
      </c>
      <c r="L166" s="112" t="str">
        <f>IF(posicao_contratual!A165="","",posicao_contratual!S165)</f>
        <v/>
      </c>
      <c r="M166" s="111" t="str">
        <f>IF(A166="TOTAL",ROUND(SUM($M$3:M165),2),IF(OR(A166="",K166="",L166=""),"",ROUND(K166*L166,2)))</f>
        <v/>
      </c>
      <c r="N166" s="109" t="str">
        <f>IF(OR(historico_VU!A165="",historico_VU!G165=""),"",historico_VU!G165)</f>
        <v/>
      </c>
      <c r="O166" s="110" t="str">
        <f>IF(posicao_contratual!A165="","",posicao_contratual!W165)</f>
        <v/>
      </c>
      <c r="P166" s="109" t="str">
        <f>IF(A166="TOTAL",ROUND(SUM($P$3:P165),2),IF(OR(A166="",N166="",O166=""),"",ROUND(N166*O166,2)))</f>
        <v/>
      </c>
      <c r="Q166" s="183" t="str">
        <f t="shared" ca="1" si="40"/>
        <v/>
      </c>
      <c r="R166" t="str">
        <f>IF($A166="","",IF(MEMORIA_RESULTADOS!$W$46="","","C"&amp;MEMORIA_RESULTADOS!$W$46))</f>
        <v/>
      </c>
      <c r="S166" s="210" t="str">
        <f t="shared" ca="1" si="41"/>
        <v/>
      </c>
      <c r="T166" s="210" t="str">
        <f t="shared" ca="1" si="42"/>
        <v/>
      </c>
      <c r="U166" s="210" t="str">
        <f t="shared" ca="1" si="43"/>
        <v/>
      </c>
      <c r="V166" s="195" t="str">
        <f t="shared" ca="1" si="44"/>
        <v/>
      </c>
      <c r="W166" s="195" t="str">
        <f t="shared" ca="1" si="45"/>
        <v/>
      </c>
      <c r="X166" s="195" t="str">
        <f t="shared" ca="1" si="46"/>
        <v/>
      </c>
      <c r="Y166" t="str">
        <f t="shared" ca="1" si="47"/>
        <v/>
      </c>
      <c r="Z166" s="211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08" t="str">
        <f>IF(AND(itens_Remanesc!A166="",itens_Remanesc!A165&lt;&gt;"",COUNTIF(itens_Remanesc!A167:$A$200,"&lt;&gt;")=0),"TOTAL",IF(itens_Remanesc!A166="","",itens_Remanesc!A166))</f>
        <v/>
      </c>
      <c r="B167" s="109" t="str">
        <f>IF(OR(historico_VU!A166="",historico_VU!C166=""),"",historico_VU!C166)</f>
        <v/>
      </c>
      <c r="C167" s="110" t="str">
        <f>IF(posicao_contratual!A166="","",posicao_contratual!G166)</f>
        <v/>
      </c>
      <c r="D167" s="109" t="str">
        <f>IF(A167="TOTAL",ROUND(SUM($D$3:D166),2),IF(OR(A167="",B167="",C167=""),"",ROUND(B167*C167,2)))</f>
        <v/>
      </c>
      <c r="E167" s="111" t="str">
        <f>IF(OR(historico_VU!A166="",historico_VU!D166=""),"",historico_VU!D166)</f>
        <v/>
      </c>
      <c r="F167" s="112" t="str">
        <f>IF(posicao_contratual!A166="","",posicao_contratual!K166)</f>
        <v/>
      </c>
      <c r="G167" s="111" t="str">
        <f>IF(A167="TOTAL",ROUND(SUM($G$3:G166),2),IF(OR(A167="",E167="",F167=""),"",ROUND(E167*F167,2)))</f>
        <v/>
      </c>
      <c r="H167" s="109" t="str">
        <f>IF(OR(historico_VU!A166="",historico_VU!E166=""),"",historico_VU!E166)</f>
        <v/>
      </c>
      <c r="I167" s="110" t="str">
        <f>IF(posicao_contratual!A166="","",posicao_contratual!O166)</f>
        <v/>
      </c>
      <c r="J167" s="109" t="str">
        <f>IF(A167="TOTAL",ROUND(SUM($J$3:J166),2),IF(OR(A167="",H167="",I167=""),"",ROUND(H167*I167,2)))</f>
        <v/>
      </c>
      <c r="K167" s="111" t="str">
        <f>IF(OR(historico_VU!A166="",historico_VU!F166=""),"",historico_VU!F166)</f>
        <v/>
      </c>
      <c r="L167" s="112" t="str">
        <f>IF(posicao_contratual!A166="","",posicao_contratual!S166)</f>
        <v/>
      </c>
      <c r="M167" s="111" t="str">
        <f>IF(A167="TOTAL",ROUND(SUM($M$3:M166),2),IF(OR(A167="",K167="",L167=""),"",ROUND(K167*L167,2)))</f>
        <v/>
      </c>
      <c r="N167" s="109" t="str">
        <f>IF(OR(historico_VU!A166="",historico_VU!G166=""),"",historico_VU!G166)</f>
        <v/>
      </c>
      <c r="O167" s="110" t="str">
        <f>IF(posicao_contratual!A166="","",posicao_contratual!W166)</f>
        <v/>
      </c>
      <c r="P167" s="109" t="str">
        <f>IF(A167="TOTAL",ROUND(SUM($P$3:P166),2),IF(OR(A167="",N167="",O167=""),"",ROUND(N167*O167,2)))</f>
        <v/>
      </c>
      <c r="Q167" s="183" t="str">
        <f t="shared" ca="1" si="40"/>
        <v/>
      </c>
      <c r="R167" t="str">
        <f>IF($A167="","",IF(MEMORIA_RESULTADOS!$W$46="","","C"&amp;MEMORIA_RESULTADOS!$W$46))</f>
        <v/>
      </c>
      <c r="S167" s="210" t="str">
        <f t="shared" ca="1" si="41"/>
        <v/>
      </c>
      <c r="T167" s="210" t="str">
        <f t="shared" ca="1" si="42"/>
        <v/>
      </c>
      <c r="U167" s="210" t="str">
        <f t="shared" ca="1" si="43"/>
        <v/>
      </c>
      <c r="V167" s="195" t="str">
        <f t="shared" ca="1" si="44"/>
        <v/>
      </c>
      <c r="W167" s="195" t="str">
        <f t="shared" ca="1" si="45"/>
        <v/>
      </c>
      <c r="X167" s="195" t="str">
        <f t="shared" ca="1" si="46"/>
        <v/>
      </c>
      <c r="Y167" t="str">
        <f t="shared" ca="1" si="47"/>
        <v/>
      </c>
      <c r="Z167" s="211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08" t="str">
        <f>IF(AND(itens_Remanesc!A167="",itens_Remanesc!A166&lt;&gt;"",COUNTIF(itens_Remanesc!A168:$A$200,"&lt;&gt;")=0),"TOTAL",IF(itens_Remanesc!A167="","",itens_Remanesc!A167))</f>
        <v/>
      </c>
      <c r="B168" s="109" t="str">
        <f>IF(OR(historico_VU!A167="",historico_VU!C167=""),"",historico_VU!C167)</f>
        <v/>
      </c>
      <c r="C168" s="110" t="str">
        <f>IF(posicao_contratual!A167="","",posicao_contratual!G167)</f>
        <v/>
      </c>
      <c r="D168" s="109" t="str">
        <f>IF(A168="TOTAL",ROUND(SUM($D$3:D167),2),IF(OR(A168="",B168="",C168=""),"",ROUND(B168*C168,2)))</f>
        <v/>
      </c>
      <c r="E168" s="111" t="str">
        <f>IF(OR(historico_VU!A167="",historico_VU!D167=""),"",historico_VU!D167)</f>
        <v/>
      </c>
      <c r="F168" s="112" t="str">
        <f>IF(posicao_contratual!A167="","",posicao_contratual!K167)</f>
        <v/>
      </c>
      <c r="G168" s="111" t="str">
        <f>IF(A168="TOTAL",ROUND(SUM($G$3:G167),2),IF(OR(A168="",E168="",F168=""),"",ROUND(E168*F168,2)))</f>
        <v/>
      </c>
      <c r="H168" s="109" t="str">
        <f>IF(OR(historico_VU!A167="",historico_VU!E167=""),"",historico_VU!E167)</f>
        <v/>
      </c>
      <c r="I168" s="110" t="str">
        <f>IF(posicao_contratual!A167="","",posicao_contratual!O167)</f>
        <v/>
      </c>
      <c r="J168" s="109" t="str">
        <f>IF(A168="TOTAL",ROUND(SUM($J$3:J167),2),IF(OR(A168="",H168="",I168=""),"",ROUND(H168*I168,2)))</f>
        <v/>
      </c>
      <c r="K168" s="111" t="str">
        <f>IF(OR(historico_VU!A167="",historico_VU!F167=""),"",historico_VU!F167)</f>
        <v/>
      </c>
      <c r="L168" s="112" t="str">
        <f>IF(posicao_contratual!A167="","",posicao_contratual!S167)</f>
        <v/>
      </c>
      <c r="M168" s="111" t="str">
        <f>IF(A168="TOTAL",ROUND(SUM($M$3:M167),2),IF(OR(A168="",K168="",L168=""),"",ROUND(K168*L168,2)))</f>
        <v/>
      </c>
      <c r="N168" s="109" t="str">
        <f>IF(OR(historico_VU!A167="",historico_VU!G167=""),"",historico_VU!G167)</f>
        <v/>
      </c>
      <c r="O168" s="110" t="str">
        <f>IF(posicao_contratual!A167="","",posicao_contratual!W167)</f>
        <v/>
      </c>
      <c r="P168" s="109" t="str">
        <f>IF(A168="TOTAL",ROUND(SUM($P$3:P167),2),IF(OR(A168="",N168="",O168=""),"",ROUND(N168*O168,2)))</f>
        <v/>
      </c>
      <c r="Q168" s="183" t="str">
        <f t="shared" ca="1" si="40"/>
        <v/>
      </c>
      <c r="R168" t="str">
        <f>IF($A168="","",IF(MEMORIA_RESULTADOS!$W$46="","","C"&amp;MEMORIA_RESULTADOS!$W$46))</f>
        <v/>
      </c>
      <c r="S168" s="210" t="str">
        <f t="shared" ca="1" si="41"/>
        <v/>
      </c>
      <c r="T168" s="210" t="str">
        <f t="shared" ca="1" si="42"/>
        <v/>
      </c>
      <c r="U168" s="210" t="str">
        <f t="shared" ca="1" si="43"/>
        <v/>
      </c>
      <c r="V168" s="195" t="str">
        <f t="shared" ca="1" si="44"/>
        <v/>
      </c>
      <c r="W168" s="195" t="str">
        <f t="shared" ca="1" si="45"/>
        <v/>
      </c>
      <c r="X168" s="195" t="str">
        <f t="shared" ca="1" si="46"/>
        <v/>
      </c>
      <c r="Y168" t="str">
        <f t="shared" ca="1" si="47"/>
        <v/>
      </c>
      <c r="Z168" s="211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08" t="str">
        <f>IF(AND(itens_Remanesc!A168="",itens_Remanesc!A167&lt;&gt;"",COUNTIF(itens_Remanesc!A169:$A$200,"&lt;&gt;")=0),"TOTAL",IF(itens_Remanesc!A168="","",itens_Remanesc!A168))</f>
        <v/>
      </c>
      <c r="B169" s="109" t="str">
        <f>IF(OR(historico_VU!A168="",historico_VU!C168=""),"",historico_VU!C168)</f>
        <v/>
      </c>
      <c r="C169" s="110" t="str">
        <f>IF(posicao_contratual!A168="","",posicao_contratual!G168)</f>
        <v/>
      </c>
      <c r="D169" s="109" t="str">
        <f>IF(A169="TOTAL",ROUND(SUM($D$3:D168),2),IF(OR(A169="",B169="",C169=""),"",ROUND(B169*C169,2)))</f>
        <v/>
      </c>
      <c r="E169" s="111" t="str">
        <f>IF(OR(historico_VU!A168="",historico_VU!D168=""),"",historico_VU!D168)</f>
        <v/>
      </c>
      <c r="F169" s="112" t="str">
        <f>IF(posicao_contratual!A168="","",posicao_contratual!K168)</f>
        <v/>
      </c>
      <c r="G169" s="111" t="str">
        <f>IF(A169="TOTAL",ROUND(SUM($G$3:G168),2),IF(OR(A169="",E169="",F169=""),"",ROUND(E169*F169,2)))</f>
        <v/>
      </c>
      <c r="H169" s="109" t="str">
        <f>IF(OR(historico_VU!A168="",historico_VU!E168=""),"",historico_VU!E168)</f>
        <v/>
      </c>
      <c r="I169" s="110" t="str">
        <f>IF(posicao_contratual!A168="","",posicao_contratual!O168)</f>
        <v/>
      </c>
      <c r="J169" s="109" t="str">
        <f>IF(A169="TOTAL",ROUND(SUM($J$3:J168),2),IF(OR(A169="",H169="",I169=""),"",ROUND(H169*I169,2)))</f>
        <v/>
      </c>
      <c r="K169" s="111" t="str">
        <f>IF(OR(historico_VU!A168="",historico_VU!F168=""),"",historico_VU!F168)</f>
        <v/>
      </c>
      <c r="L169" s="112" t="str">
        <f>IF(posicao_contratual!A168="","",posicao_contratual!S168)</f>
        <v/>
      </c>
      <c r="M169" s="111" t="str">
        <f>IF(A169="TOTAL",ROUND(SUM($M$3:M168),2),IF(OR(A169="",K169="",L169=""),"",ROUND(K169*L169,2)))</f>
        <v/>
      </c>
      <c r="N169" s="109" t="str">
        <f>IF(OR(historico_VU!A168="",historico_VU!G168=""),"",historico_VU!G168)</f>
        <v/>
      </c>
      <c r="O169" s="110" t="str">
        <f>IF(posicao_contratual!A168="","",posicao_contratual!W168)</f>
        <v/>
      </c>
      <c r="P169" s="109" t="str">
        <f>IF(A169="TOTAL",ROUND(SUM($P$3:P168),2),IF(OR(A169="",N169="",O169=""),"",ROUND(N169*O169,2)))</f>
        <v/>
      </c>
      <c r="Q169" s="183" t="str">
        <f t="shared" ca="1" si="40"/>
        <v/>
      </c>
      <c r="R169" t="str">
        <f>IF($A169="","",IF(MEMORIA_RESULTADOS!$W$46="","","C"&amp;MEMORIA_RESULTADOS!$W$46))</f>
        <v/>
      </c>
      <c r="S169" s="210" t="str">
        <f t="shared" ca="1" si="41"/>
        <v/>
      </c>
      <c r="T169" s="210" t="str">
        <f t="shared" ca="1" si="42"/>
        <v/>
      </c>
      <c r="U169" s="210" t="str">
        <f t="shared" ca="1" si="43"/>
        <v/>
      </c>
      <c r="V169" s="195" t="str">
        <f t="shared" ca="1" si="44"/>
        <v/>
      </c>
      <c r="W169" s="195" t="str">
        <f t="shared" ca="1" si="45"/>
        <v/>
      </c>
      <c r="X169" s="195" t="str">
        <f t="shared" ca="1" si="46"/>
        <v/>
      </c>
      <c r="Y169" t="str">
        <f t="shared" ca="1" si="47"/>
        <v/>
      </c>
      <c r="Z169" s="211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08" t="str">
        <f>IF(AND(itens_Remanesc!A169="",itens_Remanesc!A168&lt;&gt;"",COUNTIF(itens_Remanesc!A170:$A$200,"&lt;&gt;")=0),"TOTAL",IF(itens_Remanesc!A169="","",itens_Remanesc!A169))</f>
        <v/>
      </c>
      <c r="B170" s="109" t="str">
        <f>IF(OR(historico_VU!A169="",historico_VU!C169=""),"",historico_VU!C169)</f>
        <v/>
      </c>
      <c r="C170" s="110" t="str">
        <f>IF(posicao_contratual!A169="","",posicao_contratual!G169)</f>
        <v/>
      </c>
      <c r="D170" s="109" t="str">
        <f>IF(A170="TOTAL",ROUND(SUM($D$3:D169),2),IF(OR(A170="",B170="",C170=""),"",ROUND(B170*C170,2)))</f>
        <v/>
      </c>
      <c r="E170" s="111" t="str">
        <f>IF(OR(historico_VU!A169="",historico_VU!D169=""),"",historico_VU!D169)</f>
        <v/>
      </c>
      <c r="F170" s="112" t="str">
        <f>IF(posicao_contratual!A169="","",posicao_contratual!K169)</f>
        <v/>
      </c>
      <c r="G170" s="111" t="str">
        <f>IF(A170="TOTAL",ROUND(SUM($G$3:G169),2),IF(OR(A170="",E170="",F170=""),"",ROUND(E170*F170,2)))</f>
        <v/>
      </c>
      <c r="H170" s="109" t="str">
        <f>IF(OR(historico_VU!A169="",historico_VU!E169=""),"",historico_VU!E169)</f>
        <v/>
      </c>
      <c r="I170" s="110" t="str">
        <f>IF(posicao_contratual!A169="","",posicao_contratual!O169)</f>
        <v/>
      </c>
      <c r="J170" s="109" t="str">
        <f>IF(A170="TOTAL",ROUND(SUM($J$3:J169),2),IF(OR(A170="",H170="",I170=""),"",ROUND(H170*I170,2)))</f>
        <v/>
      </c>
      <c r="K170" s="111" t="str">
        <f>IF(OR(historico_VU!A169="",historico_VU!F169=""),"",historico_VU!F169)</f>
        <v/>
      </c>
      <c r="L170" s="112" t="str">
        <f>IF(posicao_contratual!A169="","",posicao_contratual!S169)</f>
        <v/>
      </c>
      <c r="M170" s="111" t="str">
        <f>IF(A170="TOTAL",ROUND(SUM($M$3:M169),2),IF(OR(A170="",K170="",L170=""),"",ROUND(K170*L170,2)))</f>
        <v/>
      </c>
      <c r="N170" s="109" t="str">
        <f>IF(OR(historico_VU!A169="",historico_VU!G169=""),"",historico_VU!G169)</f>
        <v/>
      </c>
      <c r="O170" s="110" t="str">
        <f>IF(posicao_contratual!A169="","",posicao_contratual!W169)</f>
        <v/>
      </c>
      <c r="P170" s="109" t="str">
        <f>IF(A170="TOTAL",ROUND(SUM($P$3:P169),2),IF(OR(A170="",N170="",O170=""),"",ROUND(N170*O170,2)))</f>
        <v/>
      </c>
      <c r="Q170" s="183" t="str">
        <f t="shared" ca="1" si="40"/>
        <v/>
      </c>
      <c r="R170" t="str">
        <f>IF($A170="","",IF(MEMORIA_RESULTADOS!$W$46="","","C"&amp;MEMORIA_RESULTADOS!$W$46))</f>
        <v/>
      </c>
      <c r="S170" s="210" t="str">
        <f t="shared" ca="1" si="41"/>
        <v/>
      </c>
      <c r="T170" s="210" t="str">
        <f t="shared" ca="1" si="42"/>
        <v/>
      </c>
      <c r="U170" s="210" t="str">
        <f t="shared" ca="1" si="43"/>
        <v/>
      </c>
      <c r="V170" s="195" t="str">
        <f t="shared" ca="1" si="44"/>
        <v/>
      </c>
      <c r="W170" s="195" t="str">
        <f t="shared" ca="1" si="45"/>
        <v/>
      </c>
      <c r="X170" s="195" t="str">
        <f t="shared" ca="1" si="46"/>
        <v/>
      </c>
      <c r="Y170" t="str">
        <f t="shared" ca="1" si="47"/>
        <v/>
      </c>
      <c r="Z170" s="211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08" t="str">
        <f>IF(AND(itens_Remanesc!A170="",itens_Remanesc!A169&lt;&gt;"",COUNTIF(itens_Remanesc!A171:$A$200,"&lt;&gt;")=0),"TOTAL",IF(itens_Remanesc!A170="","",itens_Remanesc!A170))</f>
        <v/>
      </c>
      <c r="B171" s="109" t="str">
        <f>IF(OR(historico_VU!A170="",historico_VU!C170=""),"",historico_VU!C170)</f>
        <v/>
      </c>
      <c r="C171" s="110" t="str">
        <f>IF(posicao_contratual!A170="","",posicao_contratual!G170)</f>
        <v/>
      </c>
      <c r="D171" s="109" t="str">
        <f>IF(A171="TOTAL",ROUND(SUM($D$3:D170),2),IF(OR(A171="",B171="",C171=""),"",ROUND(B171*C171,2)))</f>
        <v/>
      </c>
      <c r="E171" s="111" t="str">
        <f>IF(OR(historico_VU!A170="",historico_VU!D170=""),"",historico_VU!D170)</f>
        <v/>
      </c>
      <c r="F171" s="112" t="str">
        <f>IF(posicao_contratual!A170="","",posicao_contratual!K170)</f>
        <v/>
      </c>
      <c r="G171" s="111" t="str">
        <f>IF(A171="TOTAL",ROUND(SUM($G$3:G170),2),IF(OR(A171="",E171="",F171=""),"",ROUND(E171*F171,2)))</f>
        <v/>
      </c>
      <c r="H171" s="109" t="str">
        <f>IF(OR(historico_VU!A170="",historico_VU!E170=""),"",historico_VU!E170)</f>
        <v/>
      </c>
      <c r="I171" s="110" t="str">
        <f>IF(posicao_contratual!A170="","",posicao_contratual!O170)</f>
        <v/>
      </c>
      <c r="J171" s="109" t="str">
        <f>IF(A171="TOTAL",ROUND(SUM($J$3:J170),2),IF(OR(A171="",H171="",I171=""),"",ROUND(H171*I171,2)))</f>
        <v/>
      </c>
      <c r="K171" s="111" t="str">
        <f>IF(OR(historico_VU!A170="",historico_VU!F170=""),"",historico_VU!F170)</f>
        <v/>
      </c>
      <c r="L171" s="112" t="str">
        <f>IF(posicao_contratual!A170="","",posicao_contratual!S170)</f>
        <v/>
      </c>
      <c r="M171" s="111" t="str">
        <f>IF(A171="TOTAL",ROUND(SUM($M$3:M170),2),IF(OR(A171="",K171="",L171=""),"",ROUND(K171*L171,2)))</f>
        <v/>
      </c>
      <c r="N171" s="109" t="str">
        <f>IF(OR(historico_VU!A170="",historico_VU!G170=""),"",historico_VU!G170)</f>
        <v/>
      </c>
      <c r="O171" s="110" t="str">
        <f>IF(posicao_contratual!A170="","",posicao_contratual!W170)</f>
        <v/>
      </c>
      <c r="P171" s="109" t="str">
        <f>IF(A171="TOTAL",ROUND(SUM($P$3:P170),2),IF(OR(A171="",N171="",O171=""),"",ROUND(N171*O171,2)))</f>
        <v/>
      </c>
      <c r="Q171" s="183" t="str">
        <f t="shared" ca="1" si="40"/>
        <v/>
      </c>
      <c r="R171" t="str">
        <f>IF($A171="","",IF(MEMORIA_RESULTADOS!$W$46="","","C"&amp;MEMORIA_RESULTADOS!$W$46))</f>
        <v/>
      </c>
      <c r="S171" s="210" t="str">
        <f t="shared" ca="1" si="41"/>
        <v/>
      </c>
      <c r="T171" s="210" t="str">
        <f t="shared" ca="1" si="42"/>
        <v/>
      </c>
      <c r="U171" s="210" t="str">
        <f t="shared" ca="1" si="43"/>
        <v/>
      </c>
      <c r="V171" s="195" t="str">
        <f t="shared" ca="1" si="44"/>
        <v/>
      </c>
      <c r="W171" s="195" t="str">
        <f t="shared" ca="1" si="45"/>
        <v/>
      </c>
      <c r="X171" s="195" t="str">
        <f t="shared" ca="1" si="46"/>
        <v/>
      </c>
      <c r="Y171" t="str">
        <f t="shared" ca="1" si="47"/>
        <v/>
      </c>
      <c r="Z171" s="211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08" t="str">
        <f>IF(AND(itens_Remanesc!A171="",itens_Remanesc!A170&lt;&gt;"",COUNTIF(itens_Remanesc!A172:$A$200,"&lt;&gt;")=0),"TOTAL",IF(itens_Remanesc!A171="","",itens_Remanesc!A171))</f>
        <v/>
      </c>
      <c r="B172" s="109" t="str">
        <f>IF(OR(historico_VU!A171="",historico_VU!C171=""),"",historico_VU!C171)</f>
        <v/>
      </c>
      <c r="C172" s="110" t="str">
        <f>IF(posicao_contratual!A171="","",posicao_contratual!G171)</f>
        <v/>
      </c>
      <c r="D172" s="109" t="str">
        <f>IF(A172="TOTAL",ROUND(SUM($D$3:D171),2),IF(OR(A172="",B172="",C172=""),"",ROUND(B172*C172,2)))</f>
        <v/>
      </c>
      <c r="E172" s="111" t="str">
        <f>IF(OR(historico_VU!A171="",historico_VU!D171=""),"",historico_VU!D171)</f>
        <v/>
      </c>
      <c r="F172" s="112" t="str">
        <f>IF(posicao_contratual!A171="","",posicao_contratual!K171)</f>
        <v/>
      </c>
      <c r="G172" s="111" t="str">
        <f>IF(A172="TOTAL",ROUND(SUM($G$3:G171),2),IF(OR(A172="",E172="",F172=""),"",ROUND(E172*F172,2)))</f>
        <v/>
      </c>
      <c r="H172" s="109" t="str">
        <f>IF(OR(historico_VU!A171="",historico_VU!E171=""),"",historico_VU!E171)</f>
        <v/>
      </c>
      <c r="I172" s="110" t="str">
        <f>IF(posicao_contratual!A171="","",posicao_contratual!O171)</f>
        <v/>
      </c>
      <c r="J172" s="109" t="str">
        <f>IF(A172="TOTAL",ROUND(SUM($J$3:J171),2),IF(OR(A172="",H172="",I172=""),"",ROUND(H172*I172,2)))</f>
        <v/>
      </c>
      <c r="K172" s="111" t="str">
        <f>IF(OR(historico_VU!A171="",historico_VU!F171=""),"",historico_VU!F171)</f>
        <v/>
      </c>
      <c r="L172" s="112" t="str">
        <f>IF(posicao_contratual!A171="","",posicao_contratual!S171)</f>
        <v/>
      </c>
      <c r="M172" s="111" t="str">
        <f>IF(A172="TOTAL",ROUND(SUM($M$3:M171),2),IF(OR(A172="",K172="",L172=""),"",ROUND(K172*L172,2)))</f>
        <v/>
      </c>
      <c r="N172" s="109" t="str">
        <f>IF(OR(historico_VU!A171="",historico_VU!G171=""),"",historico_VU!G171)</f>
        <v/>
      </c>
      <c r="O172" s="110" t="str">
        <f>IF(posicao_contratual!A171="","",posicao_contratual!W171)</f>
        <v/>
      </c>
      <c r="P172" s="109" t="str">
        <f>IF(A172="TOTAL",ROUND(SUM($P$3:P171),2),IF(OR(A172="",N172="",O172=""),"",ROUND(N172*O172,2)))</f>
        <v/>
      </c>
      <c r="Q172" s="183" t="str">
        <f t="shared" ca="1" si="40"/>
        <v/>
      </c>
      <c r="R172" t="str">
        <f>IF($A172="","",IF(MEMORIA_RESULTADOS!$W$46="","","C"&amp;MEMORIA_RESULTADOS!$W$46))</f>
        <v/>
      </c>
      <c r="S172" s="210" t="str">
        <f t="shared" ca="1" si="41"/>
        <v/>
      </c>
      <c r="T172" s="210" t="str">
        <f t="shared" ca="1" si="42"/>
        <v/>
      </c>
      <c r="U172" s="210" t="str">
        <f t="shared" ca="1" si="43"/>
        <v/>
      </c>
      <c r="V172" s="195" t="str">
        <f t="shared" ca="1" si="44"/>
        <v/>
      </c>
      <c r="W172" s="195" t="str">
        <f t="shared" ca="1" si="45"/>
        <v/>
      </c>
      <c r="X172" s="195" t="str">
        <f t="shared" ca="1" si="46"/>
        <v/>
      </c>
      <c r="Y172" t="str">
        <f t="shared" ca="1" si="47"/>
        <v/>
      </c>
      <c r="Z172" s="211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08" t="str">
        <f>IF(AND(itens_Remanesc!A172="",itens_Remanesc!A171&lt;&gt;"",COUNTIF(itens_Remanesc!A173:$A$200,"&lt;&gt;")=0),"TOTAL",IF(itens_Remanesc!A172="","",itens_Remanesc!A172))</f>
        <v/>
      </c>
      <c r="B173" s="109" t="str">
        <f>IF(OR(historico_VU!A172="",historico_VU!C172=""),"",historico_VU!C172)</f>
        <v/>
      </c>
      <c r="C173" s="110" t="str">
        <f>IF(posicao_contratual!A172="","",posicao_contratual!G172)</f>
        <v/>
      </c>
      <c r="D173" s="109" t="str">
        <f>IF(A173="TOTAL",ROUND(SUM($D$3:D172),2),IF(OR(A173="",B173="",C173=""),"",ROUND(B173*C173,2)))</f>
        <v/>
      </c>
      <c r="E173" s="111" t="str">
        <f>IF(OR(historico_VU!A172="",historico_VU!D172=""),"",historico_VU!D172)</f>
        <v/>
      </c>
      <c r="F173" s="112" t="str">
        <f>IF(posicao_contratual!A172="","",posicao_contratual!K172)</f>
        <v/>
      </c>
      <c r="G173" s="111" t="str">
        <f>IF(A173="TOTAL",ROUND(SUM($G$3:G172),2),IF(OR(A173="",E173="",F173=""),"",ROUND(E173*F173,2)))</f>
        <v/>
      </c>
      <c r="H173" s="109" t="str">
        <f>IF(OR(historico_VU!A172="",historico_VU!E172=""),"",historico_VU!E172)</f>
        <v/>
      </c>
      <c r="I173" s="110" t="str">
        <f>IF(posicao_contratual!A172="","",posicao_contratual!O172)</f>
        <v/>
      </c>
      <c r="J173" s="109" t="str">
        <f>IF(A173="TOTAL",ROUND(SUM($J$3:J172),2),IF(OR(A173="",H173="",I173=""),"",ROUND(H173*I173,2)))</f>
        <v/>
      </c>
      <c r="K173" s="111" t="str">
        <f>IF(OR(historico_VU!A172="",historico_VU!F172=""),"",historico_VU!F172)</f>
        <v/>
      </c>
      <c r="L173" s="112" t="str">
        <f>IF(posicao_contratual!A172="","",posicao_contratual!S172)</f>
        <v/>
      </c>
      <c r="M173" s="111" t="str">
        <f>IF(A173="TOTAL",ROUND(SUM($M$3:M172),2),IF(OR(A173="",K173="",L173=""),"",ROUND(K173*L173,2)))</f>
        <v/>
      </c>
      <c r="N173" s="109" t="str">
        <f>IF(OR(historico_VU!A172="",historico_VU!G172=""),"",historico_VU!G172)</f>
        <v/>
      </c>
      <c r="O173" s="110" t="str">
        <f>IF(posicao_contratual!A172="","",posicao_contratual!W172)</f>
        <v/>
      </c>
      <c r="P173" s="109" t="str">
        <f>IF(A173="TOTAL",ROUND(SUM($P$3:P172),2),IF(OR(A173="",N173="",O173=""),"",ROUND(N173*O173,2)))</f>
        <v/>
      </c>
      <c r="Q173" s="183" t="str">
        <f t="shared" ca="1" si="40"/>
        <v/>
      </c>
      <c r="R173" t="str">
        <f>IF($A173="","",IF(MEMORIA_RESULTADOS!$W$46="","","C"&amp;MEMORIA_RESULTADOS!$W$46))</f>
        <v/>
      </c>
      <c r="S173" s="210" t="str">
        <f t="shared" ca="1" si="41"/>
        <v/>
      </c>
      <c r="T173" s="210" t="str">
        <f t="shared" ca="1" si="42"/>
        <v/>
      </c>
      <c r="U173" s="210" t="str">
        <f t="shared" ca="1" si="43"/>
        <v/>
      </c>
      <c r="V173" s="195" t="str">
        <f t="shared" ca="1" si="44"/>
        <v/>
      </c>
      <c r="W173" s="195" t="str">
        <f t="shared" ca="1" si="45"/>
        <v/>
      </c>
      <c r="X173" s="195" t="str">
        <f t="shared" ca="1" si="46"/>
        <v/>
      </c>
      <c r="Y173" t="str">
        <f t="shared" ca="1" si="47"/>
        <v/>
      </c>
      <c r="Z173" s="211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08" t="str">
        <f>IF(AND(itens_Remanesc!A173="",itens_Remanesc!A172&lt;&gt;"",COUNTIF(itens_Remanesc!A174:$A$200,"&lt;&gt;")=0),"TOTAL",IF(itens_Remanesc!A173="","",itens_Remanesc!A173))</f>
        <v/>
      </c>
      <c r="B174" s="109" t="str">
        <f>IF(OR(historico_VU!A173="",historico_VU!C173=""),"",historico_VU!C173)</f>
        <v/>
      </c>
      <c r="C174" s="110" t="str">
        <f>IF(posicao_contratual!A173="","",posicao_contratual!G173)</f>
        <v/>
      </c>
      <c r="D174" s="109" t="str">
        <f>IF(A174="TOTAL",ROUND(SUM($D$3:D173),2),IF(OR(A174="",B174="",C174=""),"",ROUND(B174*C174,2)))</f>
        <v/>
      </c>
      <c r="E174" s="111" t="str">
        <f>IF(OR(historico_VU!A173="",historico_VU!D173=""),"",historico_VU!D173)</f>
        <v/>
      </c>
      <c r="F174" s="112" t="str">
        <f>IF(posicao_contratual!A173="","",posicao_contratual!K173)</f>
        <v/>
      </c>
      <c r="G174" s="111" t="str">
        <f>IF(A174="TOTAL",ROUND(SUM($G$3:G173),2),IF(OR(A174="",E174="",F174=""),"",ROUND(E174*F174,2)))</f>
        <v/>
      </c>
      <c r="H174" s="109" t="str">
        <f>IF(OR(historico_VU!A173="",historico_VU!E173=""),"",historico_VU!E173)</f>
        <v/>
      </c>
      <c r="I174" s="110" t="str">
        <f>IF(posicao_contratual!A173="","",posicao_contratual!O173)</f>
        <v/>
      </c>
      <c r="J174" s="109" t="str">
        <f>IF(A174="TOTAL",ROUND(SUM($J$3:J173),2),IF(OR(A174="",H174="",I174=""),"",ROUND(H174*I174,2)))</f>
        <v/>
      </c>
      <c r="K174" s="111" t="str">
        <f>IF(OR(historico_VU!A173="",historico_VU!F173=""),"",historico_VU!F173)</f>
        <v/>
      </c>
      <c r="L174" s="112" t="str">
        <f>IF(posicao_contratual!A173="","",posicao_contratual!S173)</f>
        <v/>
      </c>
      <c r="M174" s="111" t="str">
        <f>IF(A174="TOTAL",ROUND(SUM($M$3:M173),2),IF(OR(A174="",K174="",L174=""),"",ROUND(K174*L174,2)))</f>
        <v/>
      </c>
      <c r="N174" s="109" t="str">
        <f>IF(OR(historico_VU!A173="",historico_VU!G173=""),"",historico_VU!G173)</f>
        <v/>
      </c>
      <c r="O174" s="110" t="str">
        <f>IF(posicao_contratual!A173="","",posicao_contratual!W173)</f>
        <v/>
      </c>
      <c r="P174" s="109" t="str">
        <f>IF(A174="TOTAL",ROUND(SUM($P$3:P173),2),IF(OR(A174="",N174="",O174=""),"",ROUND(N174*O174,2)))</f>
        <v/>
      </c>
      <c r="Q174" s="183" t="str">
        <f t="shared" ca="1" si="40"/>
        <v/>
      </c>
      <c r="R174" t="str">
        <f>IF($A174="","",IF(MEMORIA_RESULTADOS!$W$46="","","C"&amp;MEMORIA_RESULTADOS!$W$46))</f>
        <v/>
      </c>
      <c r="S174" s="210" t="str">
        <f t="shared" ca="1" si="41"/>
        <v/>
      </c>
      <c r="T174" s="210" t="str">
        <f t="shared" ca="1" si="42"/>
        <v/>
      </c>
      <c r="U174" s="210" t="str">
        <f t="shared" ca="1" si="43"/>
        <v/>
      </c>
      <c r="V174" s="195" t="str">
        <f t="shared" ca="1" si="44"/>
        <v/>
      </c>
      <c r="W174" s="195" t="str">
        <f t="shared" ca="1" si="45"/>
        <v/>
      </c>
      <c r="X174" s="195" t="str">
        <f t="shared" ca="1" si="46"/>
        <v/>
      </c>
      <c r="Y174" t="str">
        <f t="shared" ca="1" si="47"/>
        <v/>
      </c>
      <c r="Z174" s="211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08" t="str">
        <f>IF(AND(itens_Remanesc!A174="",itens_Remanesc!A173&lt;&gt;"",COUNTIF(itens_Remanesc!A175:$A$200,"&lt;&gt;")=0),"TOTAL",IF(itens_Remanesc!A174="","",itens_Remanesc!A174))</f>
        <v/>
      </c>
      <c r="B175" s="109" t="str">
        <f>IF(OR(historico_VU!A174="",historico_VU!C174=""),"",historico_VU!C174)</f>
        <v/>
      </c>
      <c r="C175" s="110" t="str">
        <f>IF(posicao_contratual!A174="","",posicao_contratual!G174)</f>
        <v/>
      </c>
      <c r="D175" s="109" t="str">
        <f>IF(A175="TOTAL",ROUND(SUM($D$3:D174),2),IF(OR(A175="",B175="",C175=""),"",ROUND(B175*C175,2)))</f>
        <v/>
      </c>
      <c r="E175" s="111" t="str">
        <f>IF(OR(historico_VU!A174="",historico_VU!D174=""),"",historico_VU!D174)</f>
        <v/>
      </c>
      <c r="F175" s="112" t="str">
        <f>IF(posicao_contratual!A174="","",posicao_contratual!K174)</f>
        <v/>
      </c>
      <c r="G175" s="111" t="str">
        <f>IF(A175="TOTAL",ROUND(SUM($G$3:G174),2),IF(OR(A175="",E175="",F175=""),"",ROUND(E175*F175,2)))</f>
        <v/>
      </c>
      <c r="H175" s="109" t="str">
        <f>IF(OR(historico_VU!A174="",historico_VU!E174=""),"",historico_VU!E174)</f>
        <v/>
      </c>
      <c r="I175" s="110" t="str">
        <f>IF(posicao_contratual!A174="","",posicao_contratual!O174)</f>
        <v/>
      </c>
      <c r="J175" s="109" t="str">
        <f>IF(A175="TOTAL",ROUND(SUM($J$3:J174),2),IF(OR(A175="",H175="",I175=""),"",ROUND(H175*I175,2)))</f>
        <v/>
      </c>
      <c r="K175" s="111" t="str">
        <f>IF(OR(historico_VU!A174="",historico_VU!F174=""),"",historico_VU!F174)</f>
        <v/>
      </c>
      <c r="L175" s="112" t="str">
        <f>IF(posicao_contratual!A174="","",posicao_contratual!S174)</f>
        <v/>
      </c>
      <c r="M175" s="111" t="str">
        <f>IF(A175="TOTAL",ROUND(SUM($M$3:M174),2),IF(OR(A175="",K175="",L175=""),"",ROUND(K175*L175,2)))</f>
        <v/>
      </c>
      <c r="N175" s="109" t="str">
        <f>IF(OR(historico_VU!A174="",historico_VU!G174=""),"",historico_VU!G174)</f>
        <v/>
      </c>
      <c r="O175" s="110" t="str">
        <f>IF(posicao_contratual!A174="","",posicao_contratual!W174)</f>
        <v/>
      </c>
      <c r="P175" s="109" t="str">
        <f>IF(A175="TOTAL",ROUND(SUM($P$3:P174),2),IF(OR(A175="",N175="",O175=""),"",ROUND(N175*O175,2)))</f>
        <v/>
      </c>
      <c r="Q175" s="183" t="str">
        <f t="shared" ca="1" si="40"/>
        <v/>
      </c>
      <c r="R175" t="str">
        <f>IF($A175="","",IF(MEMORIA_RESULTADOS!$W$46="","","C"&amp;MEMORIA_RESULTADOS!$W$46))</f>
        <v/>
      </c>
      <c r="S175" s="210" t="str">
        <f t="shared" ca="1" si="41"/>
        <v/>
      </c>
      <c r="T175" s="210" t="str">
        <f t="shared" ca="1" si="42"/>
        <v/>
      </c>
      <c r="U175" s="210" t="str">
        <f t="shared" ca="1" si="43"/>
        <v/>
      </c>
      <c r="V175" s="195" t="str">
        <f t="shared" ca="1" si="44"/>
        <v/>
      </c>
      <c r="W175" s="195" t="str">
        <f t="shared" ca="1" si="45"/>
        <v/>
      </c>
      <c r="X175" s="195" t="str">
        <f t="shared" ca="1" si="46"/>
        <v/>
      </c>
      <c r="Y175" t="str">
        <f t="shared" ca="1" si="47"/>
        <v/>
      </c>
      <c r="Z175" s="211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08" t="str">
        <f>IF(AND(itens_Remanesc!A175="",itens_Remanesc!A174&lt;&gt;"",COUNTIF(itens_Remanesc!A176:$A$200,"&lt;&gt;")=0),"TOTAL",IF(itens_Remanesc!A175="","",itens_Remanesc!A175))</f>
        <v/>
      </c>
      <c r="B176" s="109" t="str">
        <f>IF(OR(historico_VU!A175="",historico_VU!C175=""),"",historico_VU!C175)</f>
        <v/>
      </c>
      <c r="C176" s="110" t="str">
        <f>IF(posicao_contratual!A175="","",posicao_contratual!G175)</f>
        <v/>
      </c>
      <c r="D176" s="109" t="str">
        <f>IF(A176="TOTAL",ROUND(SUM($D$3:D175),2),IF(OR(A176="",B176="",C176=""),"",ROUND(B176*C176,2)))</f>
        <v/>
      </c>
      <c r="E176" s="111" t="str">
        <f>IF(OR(historico_VU!A175="",historico_VU!D175=""),"",historico_VU!D175)</f>
        <v/>
      </c>
      <c r="F176" s="112" t="str">
        <f>IF(posicao_contratual!A175="","",posicao_contratual!K175)</f>
        <v/>
      </c>
      <c r="G176" s="111" t="str">
        <f>IF(A176="TOTAL",ROUND(SUM($G$3:G175),2),IF(OR(A176="",E176="",F176=""),"",ROUND(E176*F176,2)))</f>
        <v/>
      </c>
      <c r="H176" s="109" t="str">
        <f>IF(OR(historico_VU!A175="",historico_VU!E175=""),"",historico_VU!E175)</f>
        <v/>
      </c>
      <c r="I176" s="110" t="str">
        <f>IF(posicao_contratual!A175="","",posicao_contratual!O175)</f>
        <v/>
      </c>
      <c r="J176" s="109" t="str">
        <f>IF(A176="TOTAL",ROUND(SUM($J$3:J175),2),IF(OR(A176="",H176="",I176=""),"",ROUND(H176*I176,2)))</f>
        <v/>
      </c>
      <c r="K176" s="111" t="str">
        <f>IF(OR(historico_VU!A175="",historico_VU!F175=""),"",historico_VU!F175)</f>
        <v/>
      </c>
      <c r="L176" s="112" t="str">
        <f>IF(posicao_contratual!A175="","",posicao_contratual!S175)</f>
        <v/>
      </c>
      <c r="M176" s="111" t="str">
        <f>IF(A176="TOTAL",ROUND(SUM($M$3:M175),2),IF(OR(A176="",K176="",L176=""),"",ROUND(K176*L176,2)))</f>
        <v/>
      </c>
      <c r="N176" s="109" t="str">
        <f>IF(OR(historico_VU!A175="",historico_VU!G175=""),"",historico_VU!G175)</f>
        <v/>
      </c>
      <c r="O176" s="110" t="str">
        <f>IF(posicao_contratual!A175="","",posicao_contratual!W175)</f>
        <v/>
      </c>
      <c r="P176" s="109" t="str">
        <f>IF(A176="TOTAL",ROUND(SUM($P$3:P175),2),IF(OR(A176="",N176="",O176=""),"",ROUND(N176*O176,2)))</f>
        <v/>
      </c>
      <c r="Q176" s="183" t="str">
        <f t="shared" ca="1" si="40"/>
        <v/>
      </c>
      <c r="R176" t="str">
        <f>IF($A176="","",IF(MEMORIA_RESULTADOS!$W$46="","","C"&amp;MEMORIA_RESULTADOS!$W$46))</f>
        <v/>
      </c>
      <c r="S176" s="210" t="str">
        <f t="shared" ca="1" si="41"/>
        <v/>
      </c>
      <c r="T176" s="210" t="str">
        <f t="shared" ca="1" si="42"/>
        <v/>
      </c>
      <c r="U176" s="210" t="str">
        <f t="shared" ca="1" si="43"/>
        <v/>
      </c>
      <c r="V176" s="195" t="str">
        <f t="shared" ca="1" si="44"/>
        <v/>
      </c>
      <c r="W176" s="195" t="str">
        <f t="shared" ca="1" si="45"/>
        <v/>
      </c>
      <c r="X176" s="195" t="str">
        <f t="shared" ca="1" si="46"/>
        <v/>
      </c>
      <c r="Y176" t="str">
        <f t="shared" ca="1" si="47"/>
        <v/>
      </c>
      <c r="Z176" s="211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08" t="str">
        <f>IF(AND(itens_Remanesc!A176="",itens_Remanesc!A175&lt;&gt;"",COUNTIF(itens_Remanesc!A177:$A$200,"&lt;&gt;")=0),"TOTAL",IF(itens_Remanesc!A176="","",itens_Remanesc!A176))</f>
        <v/>
      </c>
      <c r="B177" s="109" t="str">
        <f>IF(OR(historico_VU!A176="",historico_VU!C176=""),"",historico_VU!C176)</f>
        <v/>
      </c>
      <c r="C177" s="110" t="str">
        <f>IF(posicao_contratual!A176="","",posicao_contratual!G176)</f>
        <v/>
      </c>
      <c r="D177" s="109" t="str">
        <f>IF(A177="TOTAL",ROUND(SUM($D$3:D176),2),IF(OR(A177="",B177="",C177=""),"",ROUND(B177*C177,2)))</f>
        <v/>
      </c>
      <c r="E177" s="111" t="str">
        <f>IF(OR(historico_VU!A176="",historico_VU!D176=""),"",historico_VU!D176)</f>
        <v/>
      </c>
      <c r="F177" s="112" t="str">
        <f>IF(posicao_contratual!A176="","",posicao_contratual!K176)</f>
        <v/>
      </c>
      <c r="G177" s="111" t="str">
        <f>IF(A177="TOTAL",ROUND(SUM($G$3:G176),2),IF(OR(A177="",E177="",F177=""),"",ROUND(E177*F177,2)))</f>
        <v/>
      </c>
      <c r="H177" s="109" t="str">
        <f>IF(OR(historico_VU!A176="",historico_VU!E176=""),"",historico_VU!E176)</f>
        <v/>
      </c>
      <c r="I177" s="110" t="str">
        <f>IF(posicao_contratual!A176="","",posicao_contratual!O176)</f>
        <v/>
      </c>
      <c r="J177" s="109" t="str">
        <f>IF(A177="TOTAL",ROUND(SUM($J$3:J176),2),IF(OR(A177="",H177="",I177=""),"",ROUND(H177*I177,2)))</f>
        <v/>
      </c>
      <c r="K177" s="111" t="str">
        <f>IF(OR(historico_VU!A176="",historico_VU!F176=""),"",historico_VU!F176)</f>
        <v/>
      </c>
      <c r="L177" s="112" t="str">
        <f>IF(posicao_contratual!A176="","",posicao_contratual!S176)</f>
        <v/>
      </c>
      <c r="M177" s="111" t="str">
        <f>IF(A177="TOTAL",ROUND(SUM($M$3:M176),2),IF(OR(A177="",K177="",L177=""),"",ROUND(K177*L177,2)))</f>
        <v/>
      </c>
      <c r="N177" s="109" t="str">
        <f>IF(OR(historico_VU!A176="",historico_VU!G176=""),"",historico_VU!G176)</f>
        <v/>
      </c>
      <c r="O177" s="110" t="str">
        <f>IF(posicao_contratual!A176="","",posicao_contratual!W176)</f>
        <v/>
      </c>
      <c r="P177" s="109" t="str">
        <f>IF(A177="TOTAL",ROUND(SUM($P$3:P176),2),IF(OR(A177="",N177="",O177=""),"",ROUND(N177*O177,2)))</f>
        <v/>
      </c>
      <c r="Q177" s="183" t="str">
        <f t="shared" ca="1" si="40"/>
        <v/>
      </c>
      <c r="R177" t="str">
        <f>IF($A177="","",IF(MEMORIA_RESULTADOS!$W$46="","","C"&amp;MEMORIA_RESULTADOS!$W$46))</f>
        <v/>
      </c>
      <c r="S177" s="210" t="str">
        <f t="shared" ca="1" si="41"/>
        <v/>
      </c>
      <c r="T177" s="210" t="str">
        <f t="shared" ca="1" si="42"/>
        <v/>
      </c>
      <c r="U177" s="210" t="str">
        <f t="shared" ca="1" si="43"/>
        <v/>
      </c>
      <c r="V177" s="195" t="str">
        <f t="shared" ca="1" si="44"/>
        <v/>
      </c>
      <c r="W177" s="195" t="str">
        <f t="shared" ca="1" si="45"/>
        <v/>
      </c>
      <c r="X177" s="195" t="str">
        <f t="shared" ca="1" si="46"/>
        <v/>
      </c>
      <c r="Y177" t="str">
        <f t="shared" ca="1" si="47"/>
        <v/>
      </c>
      <c r="Z177" s="211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08" t="str">
        <f>IF(AND(itens_Remanesc!A177="",itens_Remanesc!A176&lt;&gt;"",COUNTIF(itens_Remanesc!A178:$A$200,"&lt;&gt;")=0),"TOTAL",IF(itens_Remanesc!A177="","",itens_Remanesc!A177))</f>
        <v/>
      </c>
      <c r="B178" s="109" t="str">
        <f>IF(OR(historico_VU!A177="",historico_VU!C177=""),"",historico_VU!C177)</f>
        <v/>
      </c>
      <c r="C178" s="110" t="str">
        <f>IF(posicao_contratual!A177="","",posicao_contratual!G177)</f>
        <v/>
      </c>
      <c r="D178" s="109" t="str">
        <f>IF(A178="TOTAL",ROUND(SUM($D$3:D177),2),IF(OR(A178="",B178="",C178=""),"",ROUND(B178*C178,2)))</f>
        <v/>
      </c>
      <c r="E178" s="111" t="str">
        <f>IF(OR(historico_VU!A177="",historico_VU!D177=""),"",historico_VU!D177)</f>
        <v/>
      </c>
      <c r="F178" s="112" t="str">
        <f>IF(posicao_contratual!A177="","",posicao_contratual!K177)</f>
        <v/>
      </c>
      <c r="G178" s="111" t="str">
        <f>IF(A178="TOTAL",ROUND(SUM($G$3:G177),2),IF(OR(A178="",E178="",F178=""),"",ROUND(E178*F178,2)))</f>
        <v/>
      </c>
      <c r="H178" s="109" t="str">
        <f>IF(OR(historico_VU!A177="",historico_VU!E177=""),"",historico_VU!E177)</f>
        <v/>
      </c>
      <c r="I178" s="110" t="str">
        <f>IF(posicao_contratual!A177="","",posicao_contratual!O177)</f>
        <v/>
      </c>
      <c r="J178" s="109" t="str">
        <f>IF(A178="TOTAL",ROUND(SUM($J$3:J177),2),IF(OR(A178="",H178="",I178=""),"",ROUND(H178*I178,2)))</f>
        <v/>
      </c>
      <c r="K178" s="111" t="str">
        <f>IF(OR(historico_VU!A177="",historico_VU!F177=""),"",historico_VU!F177)</f>
        <v/>
      </c>
      <c r="L178" s="112" t="str">
        <f>IF(posicao_contratual!A177="","",posicao_contratual!S177)</f>
        <v/>
      </c>
      <c r="M178" s="111" t="str">
        <f>IF(A178="TOTAL",ROUND(SUM($M$3:M177),2),IF(OR(A178="",K178="",L178=""),"",ROUND(K178*L178,2)))</f>
        <v/>
      </c>
      <c r="N178" s="109" t="str">
        <f>IF(OR(historico_VU!A177="",historico_VU!G177=""),"",historico_VU!G177)</f>
        <v/>
      </c>
      <c r="O178" s="110" t="str">
        <f>IF(posicao_contratual!A177="","",posicao_contratual!W177)</f>
        <v/>
      </c>
      <c r="P178" s="109" t="str">
        <f>IF(A178="TOTAL",ROUND(SUM($P$3:P177),2),IF(OR(A178="",N178="",O178=""),"",ROUND(N178*O178,2)))</f>
        <v/>
      </c>
      <c r="Q178" s="183" t="str">
        <f t="shared" ca="1" si="40"/>
        <v/>
      </c>
      <c r="R178" t="str">
        <f>IF($A178="","",IF(MEMORIA_RESULTADOS!$W$46="","","C"&amp;MEMORIA_RESULTADOS!$W$46))</f>
        <v/>
      </c>
      <c r="S178" s="210" t="str">
        <f t="shared" ca="1" si="41"/>
        <v/>
      </c>
      <c r="T178" s="210" t="str">
        <f t="shared" ca="1" si="42"/>
        <v/>
      </c>
      <c r="U178" s="210" t="str">
        <f t="shared" ca="1" si="43"/>
        <v/>
      </c>
      <c r="V178" s="195" t="str">
        <f t="shared" ca="1" si="44"/>
        <v/>
      </c>
      <c r="W178" s="195" t="str">
        <f t="shared" ca="1" si="45"/>
        <v/>
      </c>
      <c r="X178" s="195" t="str">
        <f t="shared" ca="1" si="46"/>
        <v/>
      </c>
      <c r="Y178" t="str">
        <f t="shared" ca="1" si="47"/>
        <v/>
      </c>
      <c r="Z178" s="211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08" t="str">
        <f>IF(AND(itens_Remanesc!A178="",itens_Remanesc!A177&lt;&gt;"",COUNTIF(itens_Remanesc!A179:$A$200,"&lt;&gt;")=0),"TOTAL",IF(itens_Remanesc!A178="","",itens_Remanesc!A178))</f>
        <v/>
      </c>
      <c r="B179" s="109" t="str">
        <f>IF(OR(historico_VU!A178="",historico_VU!C178=""),"",historico_VU!C178)</f>
        <v/>
      </c>
      <c r="C179" s="110" t="str">
        <f>IF(posicao_contratual!A178="","",posicao_contratual!G178)</f>
        <v/>
      </c>
      <c r="D179" s="109" t="str">
        <f>IF(A179="TOTAL",ROUND(SUM($D$3:D178),2),IF(OR(A179="",B179="",C179=""),"",ROUND(B179*C179,2)))</f>
        <v/>
      </c>
      <c r="E179" s="111" t="str">
        <f>IF(OR(historico_VU!A178="",historico_VU!D178=""),"",historico_VU!D178)</f>
        <v/>
      </c>
      <c r="F179" s="112" t="str">
        <f>IF(posicao_contratual!A178="","",posicao_contratual!K178)</f>
        <v/>
      </c>
      <c r="G179" s="111" t="str">
        <f>IF(A179="TOTAL",ROUND(SUM($G$3:G178),2),IF(OR(A179="",E179="",F179=""),"",ROUND(E179*F179,2)))</f>
        <v/>
      </c>
      <c r="H179" s="109" t="str">
        <f>IF(OR(historico_VU!A178="",historico_VU!E178=""),"",historico_VU!E178)</f>
        <v/>
      </c>
      <c r="I179" s="110" t="str">
        <f>IF(posicao_contratual!A178="","",posicao_contratual!O178)</f>
        <v/>
      </c>
      <c r="J179" s="109" t="str">
        <f>IF(A179="TOTAL",ROUND(SUM($J$3:J178),2),IF(OR(A179="",H179="",I179=""),"",ROUND(H179*I179,2)))</f>
        <v/>
      </c>
      <c r="K179" s="111" t="str">
        <f>IF(OR(historico_VU!A178="",historico_VU!F178=""),"",historico_VU!F178)</f>
        <v/>
      </c>
      <c r="L179" s="112" t="str">
        <f>IF(posicao_contratual!A178="","",posicao_contratual!S178)</f>
        <v/>
      </c>
      <c r="M179" s="111" t="str">
        <f>IF(A179="TOTAL",ROUND(SUM($M$3:M178),2),IF(OR(A179="",K179="",L179=""),"",ROUND(K179*L179,2)))</f>
        <v/>
      </c>
      <c r="N179" s="109" t="str">
        <f>IF(OR(historico_VU!A178="",historico_VU!G178=""),"",historico_VU!G178)</f>
        <v/>
      </c>
      <c r="O179" s="110" t="str">
        <f>IF(posicao_contratual!A178="","",posicao_contratual!W178)</f>
        <v/>
      </c>
      <c r="P179" s="109" t="str">
        <f>IF(A179="TOTAL",ROUND(SUM($P$3:P178),2),IF(OR(A179="",N179="",O179=""),"",ROUND(N179*O179,2)))</f>
        <v/>
      </c>
      <c r="Q179" s="183" t="str">
        <f t="shared" ca="1" si="40"/>
        <v/>
      </c>
      <c r="R179" t="str">
        <f>IF($A179="","",IF(MEMORIA_RESULTADOS!$W$46="","","C"&amp;MEMORIA_RESULTADOS!$W$46))</f>
        <v/>
      </c>
      <c r="S179" s="210" t="str">
        <f t="shared" ca="1" si="41"/>
        <v/>
      </c>
      <c r="T179" s="210" t="str">
        <f t="shared" ca="1" si="42"/>
        <v/>
      </c>
      <c r="U179" s="210" t="str">
        <f t="shared" ca="1" si="43"/>
        <v/>
      </c>
      <c r="V179" s="195" t="str">
        <f t="shared" ca="1" si="44"/>
        <v/>
      </c>
      <c r="W179" s="195" t="str">
        <f t="shared" ca="1" si="45"/>
        <v/>
      </c>
      <c r="X179" s="195" t="str">
        <f t="shared" ca="1" si="46"/>
        <v/>
      </c>
      <c r="Y179" t="str">
        <f t="shared" ca="1" si="47"/>
        <v/>
      </c>
      <c r="Z179" s="211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08" t="str">
        <f>IF(AND(itens_Remanesc!A179="",itens_Remanesc!A178&lt;&gt;"",COUNTIF(itens_Remanesc!A180:$A$200,"&lt;&gt;")=0),"TOTAL",IF(itens_Remanesc!A179="","",itens_Remanesc!A179))</f>
        <v/>
      </c>
      <c r="B180" s="109" t="str">
        <f>IF(OR(historico_VU!A179="",historico_VU!C179=""),"",historico_VU!C179)</f>
        <v/>
      </c>
      <c r="C180" s="110" t="str">
        <f>IF(posicao_contratual!A179="","",posicao_contratual!G179)</f>
        <v/>
      </c>
      <c r="D180" s="109" t="str">
        <f>IF(A180="TOTAL",ROUND(SUM($D$3:D179),2),IF(OR(A180="",B180="",C180=""),"",ROUND(B180*C180,2)))</f>
        <v/>
      </c>
      <c r="E180" s="111" t="str">
        <f>IF(OR(historico_VU!A179="",historico_VU!D179=""),"",historico_VU!D179)</f>
        <v/>
      </c>
      <c r="F180" s="112" t="str">
        <f>IF(posicao_contratual!A179="","",posicao_contratual!K179)</f>
        <v/>
      </c>
      <c r="G180" s="111" t="str">
        <f>IF(A180="TOTAL",ROUND(SUM($G$3:G179),2),IF(OR(A180="",E180="",F180=""),"",ROUND(E180*F180,2)))</f>
        <v/>
      </c>
      <c r="H180" s="109" t="str">
        <f>IF(OR(historico_VU!A179="",historico_VU!E179=""),"",historico_VU!E179)</f>
        <v/>
      </c>
      <c r="I180" s="110" t="str">
        <f>IF(posicao_contratual!A179="","",posicao_contratual!O179)</f>
        <v/>
      </c>
      <c r="J180" s="109" t="str">
        <f>IF(A180="TOTAL",ROUND(SUM($J$3:J179),2),IF(OR(A180="",H180="",I180=""),"",ROUND(H180*I180,2)))</f>
        <v/>
      </c>
      <c r="K180" s="111" t="str">
        <f>IF(OR(historico_VU!A179="",historico_VU!F179=""),"",historico_VU!F179)</f>
        <v/>
      </c>
      <c r="L180" s="112" t="str">
        <f>IF(posicao_contratual!A179="","",posicao_contratual!S179)</f>
        <v/>
      </c>
      <c r="M180" s="111" t="str">
        <f>IF(A180="TOTAL",ROUND(SUM($M$3:M179),2),IF(OR(A180="",K180="",L180=""),"",ROUND(K180*L180,2)))</f>
        <v/>
      </c>
      <c r="N180" s="109" t="str">
        <f>IF(OR(historico_VU!A179="",historico_VU!G179=""),"",historico_VU!G179)</f>
        <v/>
      </c>
      <c r="O180" s="110" t="str">
        <f>IF(posicao_contratual!A179="","",posicao_contratual!W179)</f>
        <v/>
      </c>
      <c r="P180" s="109" t="str">
        <f>IF(A180="TOTAL",ROUND(SUM($P$3:P179),2),IF(OR(A180="",N180="",O180=""),"",ROUND(N180*O180,2)))</f>
        <v/>
      </c>
      <c r="Q180" s="183" t="str">
        <f t="shared" ca="1" si="40"/>
        <v/>
      </c>
      <c r="R180" t="str">
        <f>IF($A180="","",IF(MEMORIA_RESULTADOS!$W$46="","","C"&amp;MEMORIA_RESULTADOS!$W$46))</f>
        <v/>
      </c>
      <c r="S180" s="210" t="str">
        <f t="shared" ca="1" si="41"/>
        <v/>
      </c>
      <c r="T180" s="210" t="str">
        <f t="shared" ca="1" si="42"/>
        <v/>
      </c>
      <c r="U180" s="210" t="str">
        <f t="shared" ca="1" si="43"/>
        <v/>
      </c>
      <c r="V180" s="195" t="str">
        <f t="shared" ca="1" si="44"/>
        <v/>
      </c>
      <c r="W180" s="195" t="str">
        <f t="shared" ca="1" si="45"/>
        <v/>
      </c>
      <c r="X180" s="195" t="str">
        <f t="shared" ca="1" si="46"/>
        <v/>
      </c>
      <c r="Y180" t="str">
        <f t="shared" ca="1" si="47"/>
        <v/>
      </c>
      <c r="Z180" s="211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08" t="str">
        <f>IF(AND(itens_Remanesc!A180="",itens_Remanesc!A179&lt;&gt;"",COUNTIF(itens_Remanesc!A181:$A$200,"&lt;&gt;")=0),"TOTAL",IF(itens_Remanesc!A180="","",itens_Remanesc!A180))</f>
        <v/>
      </c>
      <c r="B181" s="109" t="str">
        <f>IF(OR(historico_VU!A180="",historico_VU!C180=""),"",historico_VU!C180)</f>
        <v/>
      </c>
      <c r="C181" s="110" t="str">
        <f>IF(posicao_contratual!A180="","",posicao_contratual!G180)</f>
        <v/>
      </c>
      <c r="D181" s="109" t="str">
        <f>IF(A181="TOTAL",ROUND(SUM($D$3:D180),2),IF(OR(A181="",B181="",C181=""),"",ROUND(B181*C181,2)))</f>
        <v/>
      </c>
      <c r="E181" s="111" t="str">
        <f>IF(OR(historico_VU!A180="",historico_VU!D180=""),"",historico_VU!D180)</f>
        <v/>
      </c>
      <c r="F181" s="112" t="str">
        <f>IF(posicao_contratual!A180="","",posicao_contratual!K180)</f>
        <v/>
      </c>
      <c r="G181" s="111" t="str">
        <f>IF(A181="TOTAL",ROUND(SUM($G$3:G180),2),IF(OR(A181="",E181="",F181=""),"",ROUND(E181*F181,2)))</f>
        <v/>
      </c>
      <c r="H181" s="109" t="str">
        <f>IF(OR(historico_VU!A180="",historico_VU!E180=""),"",historico_VU!E180)</f>
        <v/>
      </c>
      <c r="I181" s="110" t="str">
        <f>IF(posicao_contratual!A180="","",posicao_contratual!O180)</f>
        <v/>
      </c>
      <c r="J181" s="109" t="str">
        <f>IF(A181="TOTAL",ROUND(SUM($J$3:J180),2),IF(OR(A181="",H181="",I181=""),"",ROUND(H181*I181,2)))</f>
        <v/>
      </c>
      <c r="K181" s="111" t="str">
        <f>IF(OR(historico_VU!A180="",historico_VU!F180=""),"",historico_VU!F180)</f>
        <v/>
      </c>
      <c r="L181" s="112" t="str">
        <f>IF(posicao_contratual!A180="","",posicao_contratual!S180)</f>
        <v/>
      </c>
      <c r="M181" s="111" t="str">
        <f>IF(A181="TOTAL",ROUND(SUM($M$3:M180),2),IF(OR(A181="",K181="",L181=""),"",ROUND(K181*L181,2)))</f>
        <v/>
      </c>
      <c r="N181" s="109" t="str">
        <f>IF(OR(historico_VU!A180="",historico_VU!G180=""),"",historico_VU!G180)</f>
        <v/>
      </c>
      <c r="O181" s="110" t="str">
        <f>IF(posicao_contratual!A180="","",posicao_contratual!W180)</f>
        <v/>
      </c>
      <c r="P181" s="109" t="str">
        <f>IF(A181="TOTAL",ROUND(SUM($P$3:P180),2),IF(OR(A181="",N181="",O181=""),"",ROUND(N181*O181,2)))</f>
        <v/>
      </c>
      <c r="Q181" s="183" t="str">
        <f t="shared" ca="1" si="40"/>
        <v/>
      </c>
      <c r="R181" t="str">
        <f>IF($A181="","",IF(MEMORIA_RESULTADOS!$W$46="","","C"&amp;MEMORIA_RESULTADOS!$W$46))</f>
        <v/>
      </c>
      <c r="S181" s="210" t="str">
        <f t="shared" ca="1" si="41"/>
        <v/>
      </c>
      <c r="T181" s="210" t="str">
        <f t="shared" ca="1" si="42"/>
        <v/>
      </c>
      <c r="U181" s="210" t="str">
        <f t="shared" ca="1" si="43"/>
        <v/>
      </c>
      <c r="V181" s="195" t="str">
        <f t="shared" ca="1" si="44"/>
        <v/>
      </c>
      <c r="W181" s="195" t="str">
        <f t="shared" ca="1" si="45"/>
        <v/>
      </c>
      <c r="X181" s="195" t="str">
        <f t="shared" ca="1" si="46"/>
        <v/>
      </c>
      <c r="Y181" t="str">
        <f t="shared" ca="1" si="47"/>
        <v/>
      </c>
      <c r="Z181" s="211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08" t="str">
        <f>IF(AND(itens_Remanesc!A181="",itens_Remanesc!A180&lt;&gt;"",COUNTIF(itens_Remanesc!A182:$A$200,"&lt;&gt;")=0),"TOTAL",IF(itens_Remanesc!A181="","",itens_Remanesc!A181))</f>
        <v/>
      </c>
      <c r="B182" s="109" t="str">
        <f>IF(OR(historico_VU!A181="",historico_VU!C181=""),"",historico_VU!C181)</f>
        <v/>
      </c>
      <c r="C182" s="110" t="str">
        <f>IF(posicao_contratual!A181="","",posicao_contratual!G181)</f>
        <v/>
      </c>
      <c r="D182" s="109" t="str">
        <f>IF(A182="TOTAL",ROUND(SUM($D$3:D181),2),IF(OR(A182="",B182="",C182=""),"",ROUND(B182*C182,2)))</f>
        <v/>
      </c>
      <c r="E182" s="111" t="str">
        <f>IF(OR(historico_VU!A181="",historico_VU!D181=""),"",historico_VU!D181)</f>
        <v/>
      </c>
      <c r="F182" s="112" t="str">
        <f>IF(posicao_contratual!A181="","",posicao_contratual!K181)</f>
        <v/>
      </c>
      <c r="G182" s="111" t="str">
        <f>IF(A182="TOTAL",ROUND(SUM($G$3:G181),2),IF(OR(A182="",E182="",F182=""),"",ROUND(E182*F182,2)))</f>
        <v/>
      </c>
      <c r="H182" s="109" t="str">
        <f>IF(OR(historico_VU!A181="",historico_VU!E181=""),"",historico_VU!E181)</f>
        <v/>
      </c>
      <c r="I182" s="110" t="str">
        <f>IF(posicao_contratual!A181="","",posicao_contratual!O181)</f>
        <v/>
      </c>
      <c r="J182" s="109" t="str">
        <f>IF(A182="TOTAL",ROUND(SUM($J$3:J181),2),IF(OR(A182="",H182="",I182=""),"",ROUND(H182*I182,2)))</f>
        <v/>
      </c>
      <c r="K182" s="111" t="str">
        <f>IF(OR(historico_VU!A181="",historico_VU!F181=""),"",historico_VU!F181)</f>
        <v/>
      </c>
      <c r="L182" s="112" t="str">
        <f>IF(posicao_contratual!A181="","",posicao_contratual!S181)</f>
        <v/>
      </c>
      <c r="M182" s="111" t="str">
        <f>IF(A182="TOTAL",ROUND(SUM($M$3:M181),2),IF(OR(A182="",K182="",L182=""),"",ROUND(K182*L182,2)))</f>
        <v/>
      </c>
      <c r="N182" s="109" t="str">
        <f>IF(OR(historico_VU!A181="",historico_VU!G181=""),"",historico_VU!G181)</f>
        <v/>
      </c>
      <c r="O182" s="110" t="str">
        <f>IF(posicao_contratual!A181="","",posicao_contratual!W181)</f>
        <v/>
      </c>
      <c r="P182" s="109" t="str">
        <f>IF(A182="TOTAL",ROUND(SUM($P$3:P181),2),IF(OR(A182="",N182="",O182=""),"",ROUND(N182*O182,2)))</f>
        <v/>
      </c>
      <c r="Q182" s="183" t="str">
        <f t="shared" ca="1" si="40"/>
        <v/>
      </c>
      <c r="R182" t="str">
        <f>IF($A182="","",IF(MEMORIA_RESULTADOS!$W$46="","","C"&amp;MEMORIA_RESULTADOS!$W$46))</f>
        <v/>
      </c>
      <c r="S182" s="210" t="str">
        <f t="shared" ca="1" si="41"/>
        <v/>
      </c>
      <c r="T182" s="210" t="str">
        <f t="shared" ca="1" si="42"/>
        <v/>
      </c>
      <c r="U182" s="210" t="str">
        <f t="shared" ca="1" si="43"/>
        <v/>
      </c>
      <c r="V182" s="195" t="str">
        <f t="shared" ca="1" si="44"/>
        <v/>
      </c>
      <c r="W182" s="195" t="str">
        <f t="shared" ca="1" si="45"/>
        <v/>
      </c>
      <c r="X182" s="195" t="str">
        <f t="shared" ca="1" si="46"/>
        <v/>
      </c>
      <c r="Y182" t="str">
        <f t="shared" ca="1" si="47"/>
        <v/>
      </c>
      <c r="Z182" s="211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08" t="str">
        <f>IF(AND(itens_Remanesc!A182="",itens_Remanesc!A181&lt;&gt;"",COUNTIF(itens_Remanesc!A183:$A$200,"&lt;&gt;")=0),"TOTAL",IF(itens_Remanesc!A182="","",itens_Remanesc!A182))</f>
        <v/>
      </c>
      <c r="B183" s="109" t="str">
        <f>IF(OR(historico_VU!A182="",historico_VU!C182=""),"",historico_VU!C182)</f>
        <v/>
      </c>
      <c r="C183" s="110" t="str">
        <f>IF(posicao_contratual!A182="","",posicao_contratual!G182)</f>
        <v/>
      </c>
      <c r="D183" s="109" t="str">
        <f>IF(A183="TOTAL",ROUND(SUM($D$3:D182),2),IF(OR(A183="",B183="",C183=""),"",ROUND(B183*C183,2)))</f>
        <v/>
      </c>
      <c r="E183" s="111" t="str">
        <f>IF(OR(historico_VU!A182="",historico_VU!D182=""),"",historico_VU!D182)</f>
        <v/>
      </c>
      <c r="F183" s="112" t="str">
        <f>IF(posicao_contratual!A182="","",posicao_contratual!K182)</f>
        <v/>
      </c>
      <c r="G183" s="111" t="str">
        <f>IF(A183="TOTAL",ROUND(SUM($G$3:G182),2),IF(OR(A183="",E183="",F183=""),"",ROUND(E183*F183,2)))</f>
        <v/>
      </c>
      <c r="H183" s="109" t="str">
        <f>IF(OR(historico_VU!A182="",historico_VU!E182=""),"",historico_VU!E182)</f>
        <v/>
      </c>
      <c r="I183" s="110" t="str">
        <f>IF(posicao_contratual!A182="","",posicao_contratual!O182)</f>
        <v/>
      </c>
      <c r="J183" s="109" t="str">
        <f>IF(A183="TOTAL",ROUND(SUM($J$3:J182),2),IF(OR(A183="",H183="",I183=""),"",ROUND(H183*I183,2)))</f>
        <v/>
      </c>
      <c r="K183" s="111" t="str">
        <f>IF(OR(historico_VU!A182="",historico_VU!F182=""),"",historico_VU!F182)</f>
        <v/>
      </c>
      <c r="L183" s="112" t="str">
        <f>IF(posicao_contratual!A182="","",posicao_contratual!S182)</f>
        <v/>
      </c>
      <c r="M183" s="111" t="str">
        <f>IF(A183="TOTAL",ROUND(SUM($M$3:M182),2),IF(OR(A183="",K183="",L183=""),"",ROUND(K183*L183,2)))</f>
        <v/>
      </c>
      <c r="N183" s="109" t="str">
        <f>IF(OR(historico_VU!A182="",historico_VU!G182=""),"",historico_VU!G182)</f>
        <v/>
      </c>
      <c r="O183" s="110" t="str">
        <f>IF(posicao_contratual!A182="","",posicao_contratual!W182)</f>
        <v/>
      </c>
      <c r="P183" s="109" t="str">
        <f>IF(A183="TOTAL",ROUND(SUM($P$3:P182),2),IF(OR(A183="",N183="",O183=""),"",ROUND(N183*O183,2)))</f>
        <v/>
      </c>
      <c r="Q183" s="183" t="str">
        <f t="shared" ca="1" si="40"/>
        <v/>
      </c>
      <c r="R183" t="str">
        <f>IF($A183="","",IF(MEMORIA_RESULTADOS!$W$46="","","C"&amp;MEMORIA_RESULTADOS!$W$46))</f>
        <v/>
      </c>
      <c r="S183" s="210" t="str">
        <f t="shared" ca="1" si="41"/>
        <v/>
      </c>
      <c r="T183" s="210" t="str">
        <f t="shared" ca="1" si="42"/>
        <v/>
      </c>
      <c r="U183" s="210" t="str">
        <f t="shared" ca="1" si="43"/>
        <v/>
      </c>
      <c r="V183" s="195" t="str">
        <f t="shared" ca="1" si="44"/>
        <v/>
      </c>
      <c r="W183" s="195" t="str">
        <f t="shared" ca="1" si="45"/>
        <v/>
      </c>
      <c r="X183" s="195" t="str">
        <f t="shared" ca="1" si="46"/>
        <v/>
      </c>
      <c r="Y183" t="str">
        <f t="shared" ca="1" si="47"/>
        <v/>
      </c>
      <c r="Z183" s="211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08" t="str">
        <f>IF(AND(itens_Remanesc!A183="",itens_Remanesc!A182&lt;&gt;"",COUNTIF(itens_Remanesc!A184:$A$200,"&lt;&gt;")=0),"TOTAL",IF(itens_Remanesc!A183="","",itens_Remanesc!A183))</f>
        <v/>
      </c>
      <c r="B184" s="109" t="str">
        <f>IF(OR(historico_VU!A183="",historico_VU!C183=""),"",historico_VU!C183)</f>
        <v/>
      </c>
      <c r="C184" s="110" t="str">
        <f>IF(posicao_contratual!A183="","",posicao_contratual!G183)</f>
        <v/>
      </c>
      <c r="D184" s="109" t="str">
        <f>IF(A184="TOTAL",ROUND(SUM($D$3:D183),2),IF(OR(A184="",B184="",C184=""),"",ROUND(B184*C184,2)))</f>
        <v/>
      </c>
      <c r="E184" s="111" t="str">
        <f>IF(OR(historico_VU!A183="",historico_VU!D183=""),"",historico_VU!D183)</f>
        <v/>
      </c>
      <c r="F184" s="112" t="str">
        <f>IF(posicao_contratual!A183="","",posicao_contratual!K183)</f>
        <v/>
      </c>
      <c r="G184" s="111" t="str">
        <f>IF(A184="TOTAL",ROUND(SUM($G$3:G183),2),IF(OR(A184="",E184="",F184=""),"",ROUND(E184*F184,2)))</f>
        <v/>
      </c>
      <c r="H184" s="109" t="str">
        <f>IF(OR(historico_VU!A183="",historico_VU!E183=""),"",historico_VU!E183)</f>
        <v/>
      </c>
      <c r="I184" s="110" t="str">
        <f>IF(posicao_contratual!A183="","",posicao_contratual!O183)</f>
        <v/>
      </c>
      <c r="J184" s="109" t="str">
        <f>IF(A184="TOTAL",ROUND(SUM($J$3:J183),2),IF(OR(A184="",H184="",I184=""),"",ROUND(H184*I184,2)))</f>
        <v/>
      </c>
      <c r="K184" s="111" t="str">
        <f>IF(OR(historico_VU!A183="",historico_VU!F183=""),"",historico_VU!F183)</f>
        <v/>
      </c>
      <c r="L184" s="112" t="str">
        <f>IF(posicao_contratual!A183="","",posicao_contratual!S183)</f>
        <v/>
      </c>
      <c r="M184" s="111" t="str">
        <f>IF(A184="TOTAL",ROUND(SUM($M$3:M183),2),IF(OR(A184="",K184="",L184=""),"",ROUND(K184*L184,2)))</f>
        <v/>
      </c>
      <c r="N184" s="109" t="str">
        <f>IF(OR(historico_VU!A183="",historico_VU!G183=""),"",historico_VU!G183)</f>
        <v/>
      </c>
      <c r="O184" s="110" t="str">
        <f>IF(posicao_contratual!A183="","",posicao_contratual!W183)</f>
        <v/>
      </c>
      <c r="P184" s="109" t="str">
        <f>IF(A184="TOTAL",ROUND(SUM($P$3:P183),2),IF(OR(A184="",N184="",O184=""),"",ROUND(N184*O184,2)))</f>
        <v/>
      </c>
      <c r="Q184" s="183" t="str">
        <f t="shared" ca="1" si="40"/>
        <v/>
      </c>
      <c r="R184" t="str">
        <f>IF($A184="","",IF(MEMORIA_RESULTADOS!$W$46="","","C"&amp;MEMORIA_RESULTADOS!$W$46))</f>
        <v/>
      </c>
      <c r="S184" s="210" t="str">
        <f t="shared" ca="1" si="41"/>
        <v/>
      </c>
      <c r="T184" s="210" t="str">
        <f t="shared" ca="1" si="42"/>
        <v/>
      </c>
      <c r="U184" s="210" t="str">
        <f t="shared" ca="1" si="43"/>
        <v/>
      </c>
      <c r="V184" s="195" t="str">
        <f t="shared" ca="1" si="44"/>
        <v/>
      </c>
      <c r="W184" s="195" t="str">
        <f t="shared" ca="1" si="45"/>
        <v/>
      </c>
      <c r="X184" s="195" t="str">
        <f t="shared" ca="1" si="46"/>
        <v/>
      </c>
      <c r="Y184" t="str">
        <f t="shared" ca="1" si="47"/>
        <v/>
      </c>
      <c r="Z184" s="211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08" t="str">
        <f>IF(AND(itens_Remanesc!A184="",itens_Remanesc!A183&lt;&gt;"",COUNTIF(itens_Remanesc!A185:$A$200,"&lt;&gt;")=0),"TOTAL",IF(itens_Remanesc!A184="","",itens_Remanesc!A184))</f>
        <v/>
      </c>
      <c r="B185" s="109" t="str">
        <f>IF(OR(historico_VU!A184="",historico_VU!C184=""),"",historico_VU!C184)</f>
        <v/>
      </c>
      <c r="C185" s="110" t="str">
        <f>IF(posicao_contratual!A184="","",posicao_contratual!G184)</f>
        <v/>
      </c>
      <c r="D185" s="109" t="str">
        <f>IF(A185="TOTAL",ROUND(SUM($D$3:D184),2),IF(OR(A185="",B185="",C185=""),"",ROUND(B185*C185,2)))</f>
        <v/>
      </c>
      <c r="E185" s="111" t="str">
        <f>IF(OR(historico_VU!A184="",historico_VU!D184=""),"",historico_VU!D184)</f>
        <v/>
      </c>
      <c r="F185" s="112" t="str">
        <f>IF(posicao_contratual!A184="","",posicao_contratual!K184)</f>
        <v/>
      </c>
      <c r="G185" s="111" t="str">
        <f>IF(A185="TOTAL",ROUND(SUM($G$3:G184),2),IF(OR(A185="",E185="",F185=""),"",ROUND(E185*F185,2)))</f>
        <v/>
      </c>
      <c r="H185" s="109" t="str">
        <f>IF(OR(historico_VU!A184="",historico_VU!E184=""),"",historico_VU!E184)</f>
        <v/>
      </c>
      <c r="I185" s="110" t="str">
        <f>IF(posicao_contratual!A184="","",posicao_contratual!O184)</f>
        <v/>
      </c>
      <c r="J185" s="109" t="str">
        <f>IF(A185="TOTAL",ROUND(SUM($J$3:J184),2),IF(OR(A185="",H185="",I185=""),"",ROUND(H185*I185,2)))</f>
        <v/>
      </c>
      <c r="K185" s="111" t="str">
        <f>IF(OR(historico_VU!A184="",historico_VU!F184=""),"",historico_VU!F184)</f>
        <v/>
      </c>
      <c r="L185" s="112" t="str">
        <f>IF(posicao_contratual!A184="","",posicao_contratual!S184)</f>
        <v/>
      </c>
      <c r="M185" s="111" t="str">
        <f>IF(A185="TOTAL",ROUND(SUM($M$3:M184),2),IF(OR(A185="",K185="",L185=""),"",ROUND(K185*L185,2)))</f>
        <v/>
      </c>
      <c r="N185" s="109" t="str">
        <f>IF(OR(historico_VU!A184="",historico_VU!G184=""),"",historico_VU!G184)</f>
        <v/>
      </c>
      <c r="O185" s="110" t="str">
        <f>IF(posicao_contratual!A184="","",posicao_contratual!W184)</f>
        <v/>
      </c>
      <c r="P185" s="109" t="str">
        <f>IF(A185="TOTAL",ROUND(SUM($P$3:P184),2),IF(OR(A185="",N185="",O185=""),"",ROUND(N185*O185,2)))</f>
        <v/>
      </c>
      <c r="Q185" s="183" t="str">
        <f t="shared" ca="1" si="40"/>
        <v/>
      </c>
      <c r="R185" t="str">
        <f>IF($A185="","",IF(MEMORIA_RESULTADOS!$W$46="","","C"&amp;MEMORIA_RESULTADOS!$W$46))</f>
        <v/>
      </c>
      <c r="S185" s="210" t="str">
        <f t="shared" ca="1" si="41"/>
        <v/>
      </c>
      <c r="T185" s="210" t="str">
        <f t="shared" ca="1" si="42"/>
        <v/>
      </c>
      <c r="U185" s="210" t="str">
        <f t="shared" ca="1" si="43"/>
        <v/>
      </c>
      <c r="V185" s="195" t="str">
        <f t="shared" ca="1" si="44"/>
        <v/>
      </c>
      <c r="W185" s="195" t="str">
        <f t="shared" ca="1" si="45"/>
        <v/>
      </c>
      <c r="X185" s="195" t="str">
        <f t="shared" ca="1" si="46"/>
        <v/>
      </c>
      <c r="Y185" t="str">
        <f t="shared" ca="1" si="47"/>
        <v/>
      </c>
      <c r="Z185" s="211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08" t="str">
        <f>IF(AND(itens_Remanesc!A185="",itens_Remanesc!A184&lt;&gt;"",COUNTIF(itens_Remanesc!A186:$A$200,"&lt;&gt;")=0),"TOTAL",IF(itens_Remanesc!A185="","",itens_Remanesc!A185))</f>
        <v/>
      </c>
      <c r="B186" s="109" t="str">
        <f>IF(OR(historico_VU!A185="",historico_VU!C185=""),"",historico_VU!C185)</f>
        <v/>
      </c>
      <c r="C186" s="110" t="str">
        <f>IF(posicao_contratual!A185="","",posicao_contratual!G185)</f>
        <v/>
      </c>
      <c r="D186" s="109" t="str">
        <f>IF(A186="TOTAL",ROUND(SUM($D$3:D185),2),IF(OR(A186="",B186="",C186=""),"",ROUND(B186*C186,2)))</f>
        <v/>
      </c>
      <c r="E186" s="111" t="str">
        <f>IF(OR(historico_VU!A185="",historico_VU!D185=""),"",historico_VU!D185)</f>
        <v/>
      </c>
      <c r="F186" s="112" t="str">
        <f>IF(posicao_contratual!A185="","",posicao_contratual!K185)</f>
        <v/>
      </c>
      <c r="G186" s="111" t="str">
        <f>IF(A186="TOTAL",ROUND(SUM($G$3:G185),2),IF(OR(A186="",E186="",F186=""),"",ROUND(E186*F186,2)))</f>
        <v/>
      </c>
      <c r="H186" s="109" t="str">
        <f>IF(OR(historico_VU!A185="",historico_VU!E185=""),"",historico_VU!E185)</f>
        <v/>
      </c>
      <c r="I186" s="110" t="str">
        <f>IF(posicao_contratual!A185="","",posicao_contratual!O185)</f>
        <v/>
      </c>
      <c r="J186" s="109" t="str">
        <f>IF(A186="TOTAL",ROUND(SUM($J$3:J185),2),IF(OR(A186="",H186="",I186=""),"",ROUND(H186*I186,2)))</f>
        <v/>
      </c>
      <c r="K186" s="111" t="str">
        <f>IF(OR(historico_VU!A185="",historico_VU!F185=""),"",historico_VU!F185)</f>
        <v/>
      </c>
      <c r="L186" s="112" t="str">
        <f>IF(posicao_contratual!A185="","",posicao_contratual!S185)</f>
        <v/>
      </c>
      <c r="M186" s="111" t="str">
        <f>IF(A186="TOTAL",ROUND(SUM($M$3:M185),2),IF(OR(A186="",K186="",L186=""),"",ROUND(K186*L186,2)))</f>
        <v/>
      </c>
      <c r="N186" s="109" t="str">
        <f>IF(OR(historico_VU!A185="",historico_VU!G185=""),"",historico_VU!G185)</f>
        <v/>
      </c>
      <c r="O186" s="110" t="str">
        <f>IF(posicao_contratual!A185="","",posicao_contratual!W185)</f>
        <v/>
      </c>
      <c r="P186" s="109" t="str">
        <f>IF(A186="TOTAL",ROUND(SUM($P$3:P185),2),IF(OR(A186="",N186="",O186=""),"",ROUND(N186*O186,2)))</f>
        <v/>
      </c>
      <c r="Q186" s="183" t="str">
        <f t="shared" ca="1" si="40"/>
        <v/>
      </c>
      <c r="R186" t="str">
        <f>IF($A186="","",IF(MEMORIA_RESULTADOS!$W$46="","","C"&amp;MEMORIA_RESULTADOS!$W$46))</f>
        <v/>
      </c>
      <c r="S186" s="210" t="str">
        <f t="shared" ca="1" si="41"/>
        <v/>
      </c>
      <c r="T186" s="210" t="str">
        <f t="shared" ca="1" si="42"/>
        <v/>
      </c>
      <c r="U186" s="210" t="str">
        <f t="shared" ca="1" si="43"/>
        <v/>
      </c>
      <c r="V186" s="195" t="str">
        <f t="shared" ca="1" si="44"/>
        <v/>
      </c>
      <c r="W186" s="195" t="str">
        <f t="shared" ca="1" si="45"/>
        <v/>
      </c>
      <c r="X186" s="195" t="str">
        <f t="shared" ca="1" si="46"/>
        <v/>
      </c>
      <c r="Y186" t="str">
        <f t="shared" ca="1" si="47"/>
        <v/>
      </c>
      <c r="Z186" s="211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08" t="str">
        <f>IF(AND(itens_Remanesc!A186="",itens_Remanesc!A185&lt;&gt;"",COUNTIF(itens_Remanesc!A187:$A$200,"&lt;&gt;")=0),"TOTAL",IF(itens_Remanesc!A186="","",itens_Remanesc!A186))</f>
        <v/>
      </c>
      <c r="B187" s="109" t="str">
        <f>IF(OR(historico_VU!A186="",historico_VU!C186=""),"",historico_VU!C186)</f>
        <v/>
      </c>
      <c r="C187" s="110" t="str">
        <f>IF(posicao_contratual!A186="","",posicao_contratual!G186)</f>
        <v/>
      </c>
      <c r="D187" s="109" t="str">
        <f>IF(A187="TOTAL",ROUND(SUM($D$3:D186),2),IF(OR(A187="",B187="",C187=""),"",ROUND(B187*C187,2)))</f>
        <v/>
      </c>
      <c r="E187" s="111" t="str">
        <f>IF(OR(historico_VU!A186="",historico_VU!D186=""),"",historico_VU!D186)</f>
        <v/>
      </c>
      <c r="F187" s="112" t="str">
        <f>IF(posicao_contratual!A186="","",posicao_contratual!K186)</f>
        <v/>
      </c>
      <c r="G187" s="111" t="str">
        <f>IF(A187="TOTAL",ROUND(SUM($G$3:G186),2),IF(OR(A187="",E187="",F187=""),"",ROUND(E187*F187,2)))</f>
        <v/>
      </c>
      <c r="H187" s="109" t="str">
        <f>IF(OR(historico_VU!A186="",historico_VU!E186=""),"",historico_VU!E186)</f>
        <v/>
      </c>
      <c r="I187" s="110" t="str">
        <f>IF(posicao_contratual!A186="","",posicao_contratual!O186)</f>
        <v/>
      </c>
      <c r="J187" s="109" t="str">
        <f>IF(A187="TOTAL",ROUND(SUM($J$3:J186),2),IF(OR(A187="",H187="",I187=""),"",ROUND(H187*I187,2)))</f>
        <v/>
      </c>
      <c r="K187" s="111" t="str">
        <f>IF(OR(historico_VU!A186="",historico_VU!F186=""),"",historico_VU!F186)</f>
        <v/>
      </c>
      <c r="L187" s="112" t="str">
        <f>IF(posicao_contratual!A186="","",posicao_contratual!S186)</f>
        <v/>
      </c>
      <c r="M187" s="111" t="str">
        <f>IF(A187="TOTAL",ROUND(SUM($M$3:M186),2),IF(OR(A187="",K187="",L187=""),"",ROUND(K187*L187,2)))</f>
        <v/>
      </c>
      <c r="N187" s="109" t="str">
        <f>IF(OR(historico_VU!A186="",historico_VU!G186=""),"",historico_VU!G186)</f>
        <v/>
      </c>
      <c r="O187" s="110" t="str">
        <f>IF(posicao_contratual!A186="","",posicao_contratual!W186)</f>
        <v/>
      </c>
      <c r="P187" s="109" t="str">
        <f>IF(A187="TOTAL",ROUND(SUM($P$3:P186),2),IF(OR(A187="",N187="",O187=""),"",ROUND(N187*O187,2)))</f>
        <v/>
      </c>
      <c r="Q187" s="183" t="str">
        <f t="shared" ca="1" si="40"/>
        <v/>
      </c>
      <c r="R187" t="str">
        <f>IF($A187="","",IF(MEMORIA_RESULTADOS!$W$46="","","C"&amp;MEMORIA_RESULTADOS!$W$46))</f>
        <v/>
      </c>
      <c r="S187" s="210" t="str">
        <f t="shared" ca="1" si="41"/>
        <v/>
      </c>
      <c r="T187" s="210" t="str">
        <f t="shared" ca="1" si="42"/>
        <v/>
      </c>
      <c r="U187" s="210" t="str">
        <f t="shared" ca="1" si="43"/>
        <v/>
      </c>
      <c r="V187" s="195" t="str">
        <f t="shared" ca="1" si="44"/>
        <v/>
      </c>
      <c r="W187" s="195" t="str">
        <f t="shared" ca="1" si="45"/>
        <v/>
      </c>
      <c r="X187" s="195" t="str">
        <f t="shared" ca="1" si="46"/>
        <v/>
      </c>
      <c r="Y187" t="str">
        <f t="shared" ca="1" si="47"/>
        <v/>
      </c>
      <c r="Z187" s="211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08" t="str">
        <f>IF(AND(itens_Remanesc!A187="",itens_Remanesc!A186&lt;&gt;"",COUNTIF(itens_Remanesc!A188:$A$200,"&lt;&gt;")=0),"TOTAL",IF(itens_Remanesc!A187="","",itens_Remanesc!A187))</f>
        <v/>
      </c>
      <c r="B188" s="109" t="str">
        <f>IF(OR(historico_VU!A187="",historico_VU!C187=""),"",historico_VU!C187)</f>
        <v/>
      </c>
      <c r="C188" s="110" t="str">
        <f>IF(posicao_contratual!A187="","",posicao_contratual!G187)</f>
        <v/>
      </c>
      <c r="D188" s="109" t="str">
        <f>IF(A188="TOTAL",ROUND(SUM($D$3:D187),2),IF(OR(A188="",B188="",C188=""),"",ROUND(B188*C188,2)))</f>
        <v/>
      </c>
      <c r="E188" s="111" t="str">
        <f>IF(OR(historico_VU!A187="",historico_VU!D187=""),"",historico_VU!D187)</f>
        <v/>
      </c>
      <c r="F188" s="112" t="str">
        <f>IF(posicao_contratual!A187="","",posicao_contratual!K187)</f>
        <v/>
      </c>
      <c r="G188" s="111" t="str">
        <f>IF(A188="TOTAL",ROUND(SUM($G$3:G187),2),IF(OR(A188="",E188="",F188=""),"",ROUND(E188*F188,2)))</f>
        <v/>
      </c>
      <c r="H188" s="109" t="str">
        <f>IF(OR(historico_VU!A187="",historico_VU!E187=""),"",historico_VU!E187)</f>
        <v/>
      </c>
      <c r="I188" s="110" t="str">
        <f>IF(posicao_contratual!A187="","",posicao_contratual!O187)</f>
        <v/>
      </c>
      <c r="J188" s="109" t="str">
        <f>IF(A188="TOTAL",ROUND(SUM($J$3:J187),2),IF(OR(A188="",H188="",I188=""),"",ROUND(H188*I188,2)))</f>
        <v/>
      </c>
      <c r="K188" s="111" t="str">
        <f>IF(OR(historico_VU!A187="",historico_VU!F187=""),"",historico_VU!F187)</f>
        <v/>
      </c>
      <c r="L188" s="112" t="str">
        <f>IF(posicao_contratual!A187="","",posicao_contratual!S187)</f>
        <v/>
      </c>
      <c r="M188" s="111" t="str">
        <f>IF(A188="TOTAL",ROUND(SUM($M$3:M187),2),IF(OR(A188="",K188="",L188=""),"",ROUND(K188*L188,2)))</f>
        <v/>
      </c>
      <c r="N188" s="109" t="str">
        <f>IF(OR(historico_VU!A187="",historico_VU!G187=""),"",historico_VU!G187)</f>
        <v/>
      </c>
      <c r="O188" s="110" t="str">
        <f>IF(posicao_contratual!A187="","",posicao_contratual!W187)</f>
        <v/>
      </c>
      <c r="P188" s="109" t="str">
        <f>IF(A188="TOTAL",ROUND(SUM($P$3:P187),2),IF(OR(A188="",N188="",O188=""),"",ROUND(N188*O188,2)))</f>
        <v/>
      </c>
      <c r="Q188" s="183" t="str">
        <f t="shared" ca="1" si="40"/>
        <v/>
      </c>
      <c r="R188" t="str">
        <f>IF($A188="","",IF(MEMORIA_RESULTADOS!$W$46="","","C"&amp;MEMORIA_RESULTADOS!$W$46))</f>
        <v/>
      </c>
      <c r="S188" s="210" t="str">
        <f t="shared" ca="1" si="41"/>
        <v/>
      </c>
      <c r="T188" s="210" t="str">
        <f t="shared" ca="1" si="42"/>
        <v/>
      </c>
      <c r="U188" s="210" t="str">
        <f t="shared" ca="1" si="43"/>
        <v/>
      </c>
      <c r="V188" s="195" t="str">
        <f t="shared" ca="1" si="44"/>
        <v/>
      </c>
      <c r="W188" s="195" t="str">
        <f t="shared" ca="1" si="45"/>
        <v/>
      </c>
      <c r="X188" s="195" t="str">
        <f t="shared" ca="1" si="46"/>
        <v/>
      </c>
      <c r="Y188" t="str">
        <f t="shared" ca="1" si="47"/>
        <v/>
      </c>
      <c r="Z188" s="211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08" t="str">
        <f>IF(AND(itens_Remanesc!A188="",itens_Remanesc!A187&lt;&gt;"",COUNTIF(itens_Remanesc!A189:$A$200,"&lt;&gt;")=0),"TOTAL",IF(itens_Remanesc!A188="","",itens_Remanesc!A188))</f>
        <v/>
      </c>
      <c r="B189" s="109" t="str">
        <f>IF(OR(historico_VU!A188="",historico_VU!C188=""),"",historico_VU!C188)</f>
        <v/>
      </c>
      <c r="C189" s="110" t="str">
        <f>IF(posicao_contratual!A188="","",posicao_contratual!G188)</f>
        <v/>
      </c>
      <c r="D189" s="109" t="str">
        <f>IF(A189="TOTAL",ROUND(SUM($D$3:D188),2),IF(OR(A189="",B189="",C189=""),"",ROUND(B189*C189,2)))</f>
        <v/>
      </c>
      <c r="E189" s="111" t="str">
        <f>IF(OR(historico_VU!A188="",historico_VU!D188=""),"",historico_VU!D188)</f>
        <v/>
      </c>
      <c r="F189" s="112" t="str">
        <f>IF(posicao_contratual!A188="","",posicao_contratual!K188)</f>
        <v/>
      </c>
      <c r="G189" s="111" t="str">
        <f>IF(A189="TOTAL",ROUND(SUM($G$3:G188),2),IF(OR(A189="",E189="",F189=""),"",ROUND(E189*F189,2)))</f>
        <v/>
      </c>
      <c r="H189" s="109" t="str">
        <f>IF(OR(historico_VU!A188="",historico_VU!E188=""),"",historico_VU!E188)</f>
        <v/>
      </c>
      <c r="I189" s="110" t="str">
        <f>IF(posicao_contratual!A188="","",posicao_contratual!O188)</f>
        <v/>
      </c>
      <c r="J189" s="109" t="str">
        <f>IF(A189="TOTAL",ROUND(SUM($J$3:J188),2),IF(OR(A189="",H189="",I189=""),"",ROUND(H189*I189,2)))</f>
        <v/>
      </c>
      <c r="K189" s="111" t="str">
        <f>IF(OR(historico_VU!A188="",historico_VU!F188=""),"",historico_VU!F188)</f>
        <v/>
      </c>
      <c r="L189" s="112" t="str">
        <f>IF(posicao_contratual!A188="","",posicao_contratual!S188)</f>
        <v/>
      </c>
      <c r="M189" s="111" t="str">
        <f>IF(A189="TOTAL",ROUND(SUM($M$3:M188),2),IF(OR(A189="",K189="",L189=""),"",ROUND(K189*L189,2)))</f>
        <v/>
      </c>
      <c r="N189" s="109" t="str">
        <f>IF(OR(historico_VU!A188="",historico_VU!G188=""),"",historico_VU!G188)</f>
        <v/>
      </c>
      <c r="O189" s="110" t="str">
        <f>IF(posicao_contratual!A188="","",posicao_contratual!W188)</f>
        <v/>
      </c>
      <c r="P189" s="109" t="str">
        <f>IF(A189="TOTAL",ROUND(SUM($P$3:P188),2),IF(OR(A189="",N189="",O189=""),"",ROUND(N189*O189,2)))</f>
        <v/>
      </c>
      <c r="Q189" s="183" t="str">
        <f t="shared" ca="1" si="40"/>
        <v/>
      </c>
      <c r="R189" t="str">
        <f>IF($A189="","",IF(MEMORIA_RESULTADOS!$W$46="","","C"&amp;MEMORIA_RESULTADOS!$W$46))</f>
        <v/>
      </c>
      <c r="S189" s="210" t="str">
        <f t="shared" ca="1" si="41"/>
        <v/>
      </c>
      <c r="T189" s="210" t="str">
        <f t="shared" ca="1" si="42"/>
        <v/>
      </c>
      <c r="U189" s="210" t="str">
        <f t="shared" ca="1" si="43"/>
        <v/>
      </c>
      <c r="V189" s="195" t="str">
        <f t="shared" ca="1" si="44"/>
        <v/>
      </c>
      <c r="W189" s="195" t="str">
        <f t="shared" ca="1" si="45"/>
        <v/>
      </c>
      <c r="X189" s="195" t="str">
        <f t="shared" ca="1" si="46"/>
        <v/>
      </c>
      <c r="Y189" t="str">
        <f t="shared" ca="1" si="47"/>
        <v/>
      </c>
      <c r="Z189" s="211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08" t="str">
        <f>IF(AND(itens_Remanesc!A189="",itens_Remanesc!A188&lt;&gt;"",COUNTIF(itens_Remanesc!A190:$A$200,"&lt;&gt;")=0),"TOTAL",IF(itens_Remanesc!A189="","",itens_Remanesc!A189))</f>
        <v/>
      </c>
      <c r="B190" s="109" t="str">
        <f>IF(OR(historico_VU!A189="",historico_VU!C189=""),"",historico_VU!C189)</f>
        <v/>
      </c>
      <c r="C190" s="110" t="str">
        <f>IF(posicao_contratual!A189="","",posicao_contratual!G189)</f>
        <v/>
      </c>
      <c r="D190" s="109" t="str">
        <f>IF(A190="TOTAL",ROUND(SUM($D$3:D189),2),IF(OR(A190="",B190="",C190=""),"",ROUND(B190*C190,2)))</f>
        <v/>
      </c>
      <c r="E190" s="111" t="str">
        <f>IF(OR(historico_VU!A189="",historico_VU!D189=""),"",historico_VU!D189)</f>
        <v/>
      </c>
      <c r="F190" s="112" t="str">
        <f>IF(posicao_contratual!A189="","",posicao_contratual!K189)</f>
        <v/>
      </c>
      <c r="G190" s="111" t="str">
        <f>IF(A190="TOTAL",ROUND(SUM($G$3:G189),2),IF(OR(A190="",E190="",F190=""),"",ROUND(E190*F190,2)))</f>
        <v/>
      </c>
      <c r="H190" s="109" t="str">
        <f>IF(OR(historico_VU!A189="",historico_VU!E189=""),"",historico_VU!E189)</f>
        <v/>
      </c>
      <c r="I190" s="110" t="str">
        <f>IF(posicao_contratual!A189="","",posicao_contratual!O189)</f>
        <v/>
      </c>
      <c r="J190" s="109" t="str">
        <f>IF(A190="TOTAL",ROUND(SUM($J$3:J189),2),IF(OR(A190="",H190="",I190=""),"",ROUND(H190*I190,2)))</f>
        <v/>
      </c>
      <c r="K190" s="111" t="str">
        <f>IF(OR(historico_VU!A189="",historico_VU!F189=""),"",historico_VU!F189)</f>
        <v/>
      </c>
      <c r="L190" s="112" t="str">
        <f>IF(posicao_contratual!A189="","",posicao_contratual!S189)</f>
        <v/>
      </c>
      <c r="M190" s="111" t="str">
        <f>IF(A190="TOTAL",ROUND(SUM($M$3:M189),2),IF(OR(A190="",K190="",L190=""),"",ROUND(K190*L190,2)))</f>
        <v/>
      </c>
      <c r="N190" s="109" t="str">
        <f>IF(OR(historico_VU!A189="",historico_VU!G189=""),"",historico_VU!G189)</f>
        <v/>
      </c>
      <c r="O190" s="110" t="str">
        <f>IF(posicao_contratual!A189="","",posicao_contratual!W189)</f>
        <v/>
      </c>
      <c r="P190" s="109" t="str">
        <f>IF(A190="TOTAL",ROUND(SUM($P$3:P189),2),IF(OR(A190="",N190="",O190=""),"",ROUND(N190*O190,2)))</f>
        <v/>
      </c>
      <c r="Q190" s="183" t="str">
        <f t="shared" ca="1" si="40"/>
        <v/>
      </c>
      <c r="R190" t="str">
        <f>IF($A190="","",IF(MEMORIA_RESULTADOS!$W$46="","","C"&amp;MEMORIA_RESULTADOS!$W$46))</f>
        <v/>
      </c>
      <c r="S190" s="210" t="str">
        <f t="shared" ca="1" si="41"/>
        <v/>
      </c>
      <c r="T190" s="210" t="str">
        <f t="shared" ca="1" si="42"/>
        <v/>
      </c>
      <c r="U190" s="210" t="str">
        <f t="shared" ca="1" si="43"/>
        <v/>
      </c>
      <c r="V190" s="195" t="str">
        <f t="shared" ca="1" si="44"/>
        <v/>
      </c>
      <c r="W190" s="195" t="str">
        <f t="shared" ca="1" si="45"/>
        <v/>
      </c>
      <c r="X190" s="195" t="str">
        <f t="shared" ca="1" si="46"/>
        <v/>
      </c>
      <c r="Y190" t="str">
        <f t="shared" ca="1" si="47"/>
        <v/>
      </c>
      <c r="Z190" s="211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08" t="str">
        <f>IF(AND(itens_Remanesc!A190="",itens_Remanesc!A189&lt;&gt;"",COUNTIF(itens_Remanesc!A191:$A$200,"&lt;&gt;")=0),"TOTAL",IF(itens_Remanesc!A190="","",itens_Remanesc!A190))</f>
        <v/>
      </c>
      <c r="B191" s="109" t="str">
        <f>IF(OR(historico_VU!A190="",historico_VU!C190=""),"",historico_VU!C190)</f>
        <v/>
      </c>
      <c r="C191" s="110" t="str">
        <f>IF(posicao_contratual!A190="","",posicao_contratual!G190)</f>
        <v/>
      </c>
      <c r="D191" s="109" t="str">
        <f>IF(A191="TOTAL",ROUND(SUM($D$3:D190),2),IF(OR(A191="",B191="",C191=""),"",ROUND(B191*C191,2)))</f>
        <v/>
      </c>
      <c r="E191" s="111" t="str">
        <f>IF(OR(historico_VU!A190="",historico_VU!D190=""),"",historico_VU!D190)</f>
        <v/>
      </c>
      <c r="F191" s="112" t="str">
        <f>IF(posicao_contratual!A190="","",posicao_contratual!K190)</f>
        <v/>
      </c>
      <c r="G191" s="111" t="str">
        <f>IF(A191="TOTAL",ROUND(SUM($G$3:G190),2),IF(OR(A191="",E191="",F191=""),"",ROUND(E191*F191,2)))</f>
        <v/>
      </c>
      <c r="H191" s="109" t="str">
        <f>IF(OR(historico_VU!A190="",historico_VU!E190=""),"",historico_VU!E190)</f>
        <v/>
      </c>
      <c r="I191" s="110" t="str">
        <f>IF(posicao_contratual!A190="","",posicao_contratual!O190)</f>
        <v/>
      </c>
      <c r="J191" s="109" t="str">
        <f>IF(A191="TOTAL",ROUND(SUM($J$3:J190),2),IF(OR(A191="",H191="",I191=""),"",ROUND(H191*I191,2)))</f>
        <v/>
      </c>
      <c r="K191" s="111" t="str">
        <f>IF(OR(historico_VU!A190="",historico_VU!F190=""),"",historico_VU!F190)</f>
        <v/>
      </c>
      <c r="L191" s="112" t="str">
        <f>IF(posicao_contratual!A190="","",posicao_contratual!S190)</f>
        <v/>
      </c>
      <c r="M191" s="111" t="str">
        <f>IF(A191="TOTAL",ROUND(SUM($M$3:M190),2),IF(OR(A191="",K191="",L191=""),"",ROUND(K191*L191,2)))</f>
        <v/>
      </c>
      <c r="N191" s="109" t="str">
        <f>IF(OR(historico_VU!A190="",historico_VU!G190=""),"",historico_VU!G190)</f>
        <v/>
      </c>
      <c r="O191" s="110" t="str">
        <f>IF(posicao_contratual!A190="","",posicao_contratual!W190)</f>
        <v/>
      </c>
      <c r="P191" s="109" t="str">
        <f>IF(A191="TOTAL",ROUND(SUM($P$3:P190),2),IF(OR(A191="",N191="",O191=""),"",ROUND(N191*O191,2)))</f>
        <v/>
      </c>
      <c r="Q191" s="183" t="str">
        <f t="shared" ca="1" si="40"/>
        <v/>
      </c>
      <c r="R191" t="str">
        <f>IF($A191="","",IF(MEMORIA_RESULTADOS!$W$46="","","C"&amp;MEMORIA_RESULTADOS!$W$46))</f>
        <v/>
      </c>
      <c r="S191" s="210" t="str">
        <f t="shared" ca="1" si="41"/>
        <v/>
      </c>
      <c r="T191" s="210" t="str">
        <f t="shared" ca="1" si="42"/>
        <v/>
      </c>
      <c r="U191" s="210" t="str">
        <f t="shared" ca="1" si="43"/>
        <v/>
      </c>
      <c r="V191" s="195" t="str">
        <f t="shared" ca="1" si="44"/>
        <v/>
      </c>
      <c r="W191" s="195" t="str">
        <f t="shared" ca="1" si="45"/>
        <v/>
      </c>
      <c r="X191" s="195" t="str">
        <f t="shared" ca="1" si="46"/>
        <v/>
      </c>
      <c r="Y191" t="str">
        <f t="shared" ca="1" si="47"/>
        <v/>
      </c>
      <c r="Z191" s="211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08" t="str">
        <f>IF(AND(itens_Remanesc!A191="",itens_Remanesc!A190&lt;&gt;"",COUNTIF(itens_Remanesc!A192:$A$200,"&lt;&gt;")=0),"TOTAL",IF(itens_Remanesc!A191="","",itens_Remanesc!A191))</f>
        <v/>
      </c>
      <c r="B192" s="109" t="str">
        <f>IF(OR(historico_VU!A191="",historico_VU!C191=""),"",historico_VU!C191)</f>
        <v/>
      </c>
      <c r="C192" s="110" t="str">
        <f>IF(posicao_contratual!A191="","",posicao_contratual!G191)</f>
        <v/>
      </c>
      <c r="D192" s="109" t="str">
        <f>IF(A192="TOTAL",ROUND(SUM($D$3:D191),2),IF(OR(A192="",B192="",C192=""),"",ROUND(B192*C192,2)))</f>
        <v/>
      </c>
      <c r="E192" s="111" t="str">
        <f>IF(OR(historico_VU!A191="",historico_VU!D191=""),"",historico_VU!D191)</f>
        <v/>
      </c>
      <c r="F192" s="112" t="str">
        <f>IF(posicao_contratual!A191="","",posicao_contratual!K191)</f>
        <v/>
      </c>
      <c r="G192" s="111" t="str">
        <f>IF(A192="TOTAL",ROUND(SUM($G$3:G191),2),IF(OR(A192="",E192="",F192=""),"",ROUND(E192*F192,2)))</f>
        <v/>
      </c>
      <c r="H192" s="109" t="str">
        <f>IF(OR(historico_VU!A191="",historico_VU!E191=""),"",historico_VU!E191)</f>
        <v/>
      </c>
      <c r="I192" s="110" t="str">
        <f>IF(posicao_contratual!A191="","",posicao_contratual!O191)</f>
        <v/>
      </c>
      <c r="J192" s="109" t="str">
        <f>IF(A192="TOTAL",ROUND(SUM($J$3:J191),2),IF(OR(A192="",H192="",I192=""),"",ROUND(H192*I192,2)))</f>
        <v/>
      </c>
      <c r="K192" s="111" t="str">
        <f>IF(OR(historico_VU!A191="",historico_VU!F191=""),"",historico_VU!F191)</f>
        <v/>
      </c>
      <c r="L192" s="112" t="str">
        <f>IF(posicao_contratual!A191="","",posicao_contratual!S191)</f>
        <v/>
      </c>
      <c r="M192" s="111" t="str">
        <f>IF(A192="TOTAL",ROUND(SUM($M$3:M191),2),IF(OR(A192="",K192="",L192=""),"",ROUND(K192*L192,2)))</f>
        <v/>
      </c>
      <c r="N192" s="109" t="str">
        <f>IF(OR(historico_VU!A191="",historico_VU!G191=""),"",historico_VU!G191)</f>
        <v/>
      </c>
      <c r="O192" s="110" t="str">
        <f>IF(posicao_contratual!A191="","",posicao_contratual!W191)</f>
        <v/>
      </c>
      <c r="P192" s="109" t="str">
        <f>IF(A192="TOTAL",ROUND(SUM($P$3:P191),2),IF(OR(A192="",N192="",O192=""),"",ROUND(N192*O192,2)))</f>
        <v/>
      </c>
      <c r="Q192" s="183" t="str">
        <f t="shared" ca="1" si="40"/>
        <v/>
      </c>
      <c r="R192" t="str">
        <f>IF($A192="","",IF(MEMORIA_RESULTADOS!$W$46="","","C"&amp;MEMORIA_RESULTADOS!$W$46))</f>
        <v/>
      </c>
      <c r="S192" s="210" t="str">
        <f t="shared" ca="1" si="41"/>
        <v/>
      </c>
      <c r="T192" s="210" t="str">
        <f t="shared" ca="1" si="42"/>
        <v/>
      </c>
      <c r="U192" s="210" t="str">
        <f t="shared" ca="1" si="43"/>
        <v/>
      </c>
      <c r="V192" s="195" t="str">
        <f t="shared" ca="1" si="44"/>
        <v/>
      </c>
      <c r="W192" s="195" t="str">
        <f t="shared" ca="1" si="45"/>
        <v/>
      </c>
      <c r="X192" s="195" t="str">
        <f t="shared" ca="1" si="46"/>
        <v/>
      </c>
      <c r="Y192" t="str">
        <f t="shared" ca="1" si="47"/>
        <v/>
      </c>
      <c r="Z192" s="211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08" t="str">
        <f>IF(AND(itens_Remanesc!A192="",itens_Remanesc!A191&lt;&gt;"",COUNTIF(itens_Remanesc!A193:$A$200,"&lt;&gt;")=0),"TOTAL",IF(itens_Remanesc!A192="","",itens_Remanesc!A192))</f>
        <v/>
      </c>
      <c r="B193" s="109" t="str">
        <f>IF(OR(historico_VU!A192="",historico_VU!C192=""),"",historico_VU!C192)</f>
        <v/>
      </c>
      <c r="C193" s="110" t="str">
        <f>IF(posicao_contratual!A192="","",posicao_contratual!G192)</f>
        <v/>
      </c>
      <c r="D193" s="109" t="str">
        <f>IF(A193="TOTAL",ROUND(SUM($D$3:D192),2),IF(OR(A193="",B193="",C193=""),"",ROUND(B193*C193,2)))</f>
        <v/>
      </c>
      <c r="E193" s="111" t="str">
        <f>IF(OR(historico_VU!A192="",historico_VU!D192=""),"",historico_VU!D192)</f>
        <v/>
      </c>
      <c r="F193" s="112" t="str">
        <f>IF(posicao_contratual!A192="","",posicao_contratual!K192)</f>
        <v/>
      </c>
      <c r="G193" s="111" t="str">
        <f>IF(A193="TOTAL",ROUND(SUM($G$3:G192),2),IF(OR(A193="",E193="",F193=""),"",ROUND(E193*F193,2)))</f>
        <v/>
      </c>
      <c r="H193" s="109" t="str">
        <f>IF(OR(historico_VU!A192="",historico_VU!E192=""),"",historico_VU!E192)</f>
        <v/>
      </c>
      <c r="I193" s="110" t="str">
        <f>IF(posicao_contratual!A192="","",posicao_contratual!O192)</f>
        <v/>
      </c>
      <c r="J193" s="109" t="str">
        <f>IF(A193="TOTAL",ROUND(SUM($J$3:J192),2),IF(OR(A193="",H193="",I193=""),"",ROUND(H193*I193,2)))</f>
        <v/>
      </c>
      <c r="K193" s="111" t="str">
        <f>IF(OR(historico_VU!A192="",historico_VU!F192=""),"",historico_VU!F192)</f>
        <v/>
      </c>
      <c r="L193" s="112" t="str">
        <f>IF(posicao_contratual!A192="","",posicao_contratual!S192)</f>
        <v/>
      </c>
      <c r="M193" s="111" t="str">
        <f>IF(A193="TOTAL",ROUND(SUM($M$3:M192),2),IF(OR(A193="",K193="",L193=""),"",ROUND(K193*L193,2)))</f>
        <v/>
      </c>
      <c r="N193" s="109" t="str">
        <f>IF(OR(historico_VU!A192="",historico_VU!G192=""),"",historico_VU!G192)</f>
        <v/>
      </c>
      <c r="O193" s="110" t="str">
        <f>IF(posicao_contratual!A192="","",posicao_contratual!W192)</f>
        <v/>
      </c>
      <c r="P193" s="109" t="str">
        <f>IF(A193="TOTAL",ROUND(SUM($P$3:P192),2),IF(OR(A193="",N193="",O193=""),"",ROUND(N193*O193,2)))</f>
        <v/>
      </c>
      <c r="Q193" s="183" t="str">
        <f t="shared" ca="1" si="40"/>
        <v/>
      </c>
      <c r="R193" t="str">
        <f>IF($A193="","",IF(MEMORIA_RESULTADOS!$W$46="","","C"&amp;MEMORIA_RESULTADOS!$W$46))</f>
        <v/>
      </c>
      <c r="S193" s="210" t="str">
        <f t="shared" ca="1" si="41"/>
        <v/>
      </c>
      <c r="T193" s="210" t="str">
        <f t="shared" ca="1" si="42"/>
        <v/>
      </c>
      <c r="U193" s="210" t="str">
        <f t="shared" ca="1" si="43"/>
        <v/>
      </c>
      <c r="V193" s="195" t="str">
        <f t="shared" ca="1" si="44"/>
        <v/>
      </c>
      <c r="W193" s="195" t="str">
        <f t="shared" ca="1" si="45"/>
        <v/>
      </c>
      <c r="X193" s="195" t="str">
        <f t="shared" ca="1" si="46"/>
        <v/>
      </c>
      <c r="Y193" t="str">
        <f t="shared" ca="1" si="47"/>
        <v/>
      </c>
      <c r="Z193" s="211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08" t="str">
        <f>IF(AND(itens_Remanesc!A193="",itens_Remanesc!A192&lt;&gt;"",COUNTIF(itens_Remanesc!A194:$A$200,"&lt;&gt;")=0),"TOTAL",IF(itens_Remanesc!A193="","",itens_Remanesc!A193))</f>
        <v/>
      </c>
      <c r="B194" s="109" t="str">
        <f>IF(OR(historico_VU!A193="",historico_VU!C193=""),"",historico_VU!C193)</f>
        <v/>
      </c>
      <c r="C194" s="110" t="str">
        <f>IF(posicao_contratual!A193="","",posicao_contratual!G193)</f>
        <v/>
      </c>
      <c r="D194" s="109" t="str">
        <f>IF(A194="TOTAL",ROUND(SUM($D$3:D193),2),IF(OR(A194="",B194="",C194=""),"",ROUND(B194*C194,2)))</f>
        <v/>
      </c>
      <c r="E194" s="111" t="str">
        <f>IF(OR(historico_VU!A193="",historico_VU!D193=""),"",historico_VU!D193)</f>
        <v/>
      </c>
      <c r="F194" s="112" t="str">
        <f>IF(posicao_contratual!A193="","",posicao_contratual!K193)</f>
        <v/>
      </c>
      <c r="G194" s="111" t="str">
        <f>IF(A194="TOTAL",ROUND(SUM($G$3:G193),2),IF(OR(A194="",E194="",F194=""),"",ROUND(E194*F194,2)))</f>
        <v/>
      </c>
      <c r="H194" s="109" t="str">
        <f>IF(OR(historico_VU!A193="",historico_VU!E193=""),"",historico_VU!E193)</f>
        <v/>
      </c>
      <c r="I194" s="110" t="str">
        <f>IF(posicao_contratual!A193="","",posicao_contratual!O193)</f>
        <v/>
      </c>
      <c r="J194" s="109" t="str">
        <f>IF(A194="TOTAL",ROUND(SUM($J$3:J193),2),IF(OR(A194="",H194="",I194=""),"",ROUND(H194*I194,2)))</f>
        <v/>
      </c>
      <c r="K194" s="111" t="str">
        <f>IF(OR(historico_VU!A193="",historico_VU!F193=""),"",historico_VU!F193)</f>
        <v/>
      </c>
      <c r="L194" s="112" t="str">
        <f>IF(posicao_contratual!A193="","",posicao_contratual!S193)</f>
        <v/>
      </c>
      <c r="M194" s="111" t="str">
        <f>IF(A194="TOTAL",ROUND(SUM($M$3:M193),2),IF(OR(A194="",K194="",L194=""),"",ROUND(K194*L194,2)))</f>
        <v/>
      </c>
      <c r="N194" s="109" t="str">
        <f>IF(OR(historico_VU!A193="",historico_VU!G193=""),"",historico_VU!G193)</f>
        <v/>
      </c>
      <c r="O194" s="110" t="str">
        <f>IF(posicao_contratual!A193="","",posicao_contratual!W193)</f>
        <v/>
      </c>
      <c r="P194" s="109" t="str">
        <f>IF(A194="TOTAL",ROUND(SUM($P$3:P193),2),IF(OR(A194="",N194="",O194=""),"",ROUND(N194*O194,2)))</f>
        <v/>
      </c>
      <c r="Q194" s="183" t="str">
        <f t="shared" ca="1" si="40"/>
        <v/>
      </c>
      <c r="R194" t="str">
        <f>IF($A194="","",IF(MEMORIA_RESULTADOS!$W$46="","","C"&amp;MEMORIA_RESULTADOS!$W$46))</f>
        <v/>
      </c>
      <c r="S194" s="210" t="str">
        <f t="shared" ca="1" si="41"/>
        <v/>
      </c>
      <c r="T194" s="210" t="str">
        <f t="shared" ca="1" si="42"/>
        <v/>
      </c>
      <c r="U194" s="210" t="str">
        <f t="shared" ca="1" si="43"/>
        <v/>
      </c>
      <c r="V194" s="195" t="str">
        <f t="shared" ca="1" si="44"/>
        <v/>
      </c>
      <c r="W194" s="195" t="str">
        <f t="shared" ca="1" si="45"/>
        <v/>
      </c>
      <c r="X194" s="195" t="str">
        <f t="shared" ca="1" si="46"/>
        <v/>
      </c>
      <c r="Y194" t="str">
        <f t="shared" ca="1" si="47"/>
        <v/>
      </c>
      <c r="Z194" s="211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08" t="str">
        <f>IF(AND(itens_Remanesc!A194="",itens_Remanesc!A193&lt;&gt;"",COUNTIF(itens_Remanesc!A195:$A$200,"&lt;&gt;")=0),"TOTAL",IF(itens_Remanesc!A194="","",itens_Remanesc!A194))</f>
        <v/>
      </c>
      <c r="B195" s="109" t="str">
        <f>IF(OR(historico_VU!A194="",historico_VU!C194=""),"",historico_VU!C194)</f>
        <v/>
      </c>
      <c r="C195" s="110" t="str">
        <f>IF(posicao_contratual!A194="","",posicao_contratual!G194)</f>
        <v/>
      </c>
      <c r="D195" s="109" t="str">
        <f>IF(A195="TOTAL",ROUND(SUM($D$3:D194),2),IF(OR(A195="",B195="",C195=""),"",ROUND(B195*C195,2)))</f>
        <v/>
      </c>
      <c r="E195" s="111" t="str">
        <f>IF(OR(historico_VU!A194="",historico_VU!D194=""),"",historico_VU!D194)</f>
        <v/>
      </c>
      <c r="F195" s="112" t="str">
        <f>IF(posicao_contratual!A194="","",posicao_contratual!K194)</f>
        <v/>
      </c>
      <c r="G195" s="111" t="str">
        <f>IF(A195="TOTAL",ROUND(SUM($G$3:G194),2),IF(OR(A195="",E195="",F195=""),"",ROUND(E195*F195,2)))</f>
        <v/>
      </c>
      <c r="H195" s="109" t="str">
        <f>IF(OR(historico_VU!A194="",historico_VU!E194=""),"",historico_VU!E194)</f>
        <v/>
      </c>
      <c r="I195" s="110" t="str">
        <f>IF(posicao_contratual!A194="","",posicao_contratual!O194)</f>
        <v/>
      </c>
      <c r="J195" s="109" t="str">
        <f>IF(A195="TOTAL",ROUND(SUM($J$3:J194),2),IF(OR(A195="",H195="",I195=""),"",ROUND(H195*I195,2)))</f>
        <v/>
      </c>
      <c r="K195" s="111" t="str">
        <f>IF(OR(historico_VU!A194="",historico_VU!F194=""),"",historico_VU!F194)</f>
        <v/>
      </c>
      <c r="L195" s="112" t="str">
        <f>IF(posicao_contratual!A194="","",posicao_contratual!S194)</f>
        <v/>
      </c>
      <c r="M195" s="111" t="str">
        <f>IF(A195="TOTAL",ROUND(SUM($M$3:M194),2),IF(OR(A195="",K195="",L195=""),"",ROUND(K195*L195,2)))</f>
        <v/>
      </c>
      <c r="N195" s="109" t="str">
        <f>IF(OR(historico_VU!A194="",historico_VU!G194=""),"",historico_VU!G194)</f>
        <v/>
      </c>
      <c r="O195" s="110" t="str">
        <f>IF(posicao_contratual!A194="","",posicao_contratual!W194)</f>
        <v/>
      </c>
      <c r="P195" s="109" t="str">
        <f>IF(A195="TOTAL",ROUND(SUM($P$3:P194),2),IF(OR(A195="",N195="",O195=""),"",ROUND(N195*O195,2)))</f>
        <v/>
      </c>
      <c r="Q195" s="183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0" t="str">
        <f t="shared" ref="S195:S202" ca="1" si="49">IF($A195="","",IFERROR(IF(INDIRECT("CICLO_EM_EXECUCAO!B"&amp;(ROW()+10))="","",INDIRECT("CICLO_EM_EXECUCAO!B"&amp;(ROW()+10))),""))</f>
        <v/>
      </c>
      <c r="T195" s="210" t="str">
        <f t="shared" ref="T195:T202" ca="1" si="50">IF($A195="","",IFERROR(IF(INDIRECT("CICLO_EM_EXECUCAO!D"&amp;(ROW()+10))="","",INDIRECT("CICLO_EM_EXECUCAO!D"&amp;(ROW()+10))),""))</f>
        <v/>
      </c>
      <c r="U195" s="210" t="str">
        <f t="shared" ref="U195:U202" ca="1" si="51">IF($A195="","",IFERROR(IF(INDIRECT("CICLO_EM_EXECUCAO!C"&amp;(ROW()+10))="","",INDIRECT("CICLO_EM_EXECUCAO!C"&amp;(ROW()+10))),""))</f>
        <v/>
      </c>
      <c r="V195" s="195" t="str">
        <f t="shared" ref="V195:V202" ca="1" si="52">IF($A195="","",IFERROR(IF(INDIRECT("CICLO_EM_EXECUCAO!E"&amp;(ROW()+10))="","",INDIRECT("CICLO_EM_EXECUCAO!E"&amp;(ROW()+10))),""))</f>
        <v/>
      </c>
      <c r="W195" s="195" t="str">
        <f t="shared" ref="W195:W202" ca="1" si="53">IF($A195="","",IFERROR(IF(INDIRECT("CICLO_EM_EXECUCAO!F"&amp;(ROW()+10))="","",INDIRECT("CICLO_EM_EXECUCAO!F"&amp;(ROW()+10))),""))</f>
        <v/>
      </c>
      <c r="X195" s="195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1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08" t="str">
        <f>IF(AND(itens_Remanesc!A195="",itens_Remanesc!A194&lt;&gt;"",COUNTIF(itens_Remanesc!A196:$A$200,"&lt;&gt;")=0),"TOTAL",IF(itens_Remanesc!A195="","",itens_Remanesc!A195))</f>
        <v/>
      </c>
      <c r="B196" s="109" t="str">
        <f>IF(OR(historico_VU!A195="",historico_VU!C195=""),"",historico_VU!C195)</f>
        <v/>
      </c>
      <c r="C196" s="110" t="str">
        <f>IF(posicao_contratual!A195="","",posicao_contratual!G195)</f>
        <v/>
      </c>
      <c r="D196" s="109" t="str">
        <f>IF(A196="TOTAL",ROUND(SUM($D$3:D195),2),IF(OR(A196="",B196="",C196=""),"",ROUND(B196*C196,2)))</f>
        <v/>
      </c>
      <c r="E196" s="111" t="str">
        <f>IF(OR(historico_VU!A195="",historico_VU!D195=""),"",historico_VU!D195)</f>
        <v/>
      </c>
      <c r="F196" s="112" t="str">
        <f>IF(posicao_contratual!A195="","",posicao_contratual!K195)</f>
        <v/>
      </c>
      <c r="G196" s="111" t="str">
        <f>IF(A196="TOTAL",ROUND(SUM($G$3:G195),2),IF(OR(A196="",E196="",F196=""),"",ROUND(E196*F196,2)))</f>
        <v/>
      </c>
      <c r="H196" s="109" t="str">
        <f>IF(OR(historico_VU!A195="",historico_VU!E195=""),"",historico_VU!E195)</f>
        <v/>
      </c>
      <c r="I196" s="110" t="str">
        <f>IF(posicao_contratual!A195="","",posicao_contratual!O195)</f>
        <v/>
      </c>
      <c r="J196" s="109" t="str">
        <f>IF(A196="TOTAL",ROUND(SUM($J$3:J195),2),IF(OR(A196="",H196="",I196=""),"",ROUND(H196*I196,2)))</f>
        <v/>
      </c>
      <c r="K196" s="111" t="str">
        <f>IF(OR(historico_VU!A195="",historico_VU!F195=""),"",historico_VU!F195)</f>
        <v/>
      </c>
      <c r="L196" s="112" t="str">
        <f>IF(posicao_contratual!A195="","",posicao_contratual!S195)</f>
        <v/>
      </c>
      <c r="M196" s="111" t="str">
        <f>IF(A196="TOTAL",ROUND(SUM($M$3:M195),2),IF(OR(A196="",K196="",L196=""),"",ROUND(K196*L196,2)))</f>
        <v/>
      </c>
      <c r="N196" s="109" t="str">
        <f>IF(OR(historico_VU!A195="",historico_VU!G195=""),"",historico_VU!G195)</f>
        <v/>
      </c>
      <c r="O196" s="110" t="str">
        <f>IF(posicao_contratual!A195="","",posicao_contratual!W195)</f>
        <v/>
      </c>
      <c r="P196" s="109" t="str">
        <f>IF(A196="TOTAL",ROUND(SUM($P$3:P195),2),IF(OR(A196="",N196="",O196=""),"",ROUND(N196*O196,2)))</f>
        <v/>
      </c>
      <c r="Q196" s="183" t="str">
        <f t="shared" ca="1" si="48"/>
        <v/>
      </c>
      <c r="R196" t="str">
        <f>IF($A196="","",IF(MEMORIA_RESULTADOS!$W$46="","","C"&amp;MEMORIA_RESULTADOS!$W$46))</f>
        <v/>
      </c>
      <c r="S196" s="210" t="str">
        <f t="shared" ca="1" si="49"/>
        <v/>
      </c>
      <c r="T196" s="210" t="str">
        <f t="shared" ca="1" si="50"/>
        <v/>
      </c>
      <c r="U196" s="210" t="str">
        <f t="shared" ca="1" si="51"/>
        <v/>
      </c>
      <c r="V196" s="195" t="str">
        <f t="shared" ca="1" si="52"/>
        <v/>
      </c>
      <c r="W196" s="195" t="str">
        <f t="shared" ca="1" si="53"/>
        <v/>
      </c>
      <c r="X196" s="195" t="str">
        <f t="shared" ca="1" si="54"/>
        <v/>
      </c>
      <c r="Y196" t="str">
        <f t="shared" ca="1" si="55"/>
        <v/>
      </c>
      <c r="Z196" s="211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08" t="str">
        <f>IF(AND(itens_Remanesc!A196="",itens_Remanesc!A195&lt;&gt;"",COUNTIF(itens_Remanesc!A197:$A$200,"&lt;&gt;")=0),"TOTAL",IF(itens_Remanesc!A196="","",itens_Remanesc!A196))</f>
        <v/>
      </c>
      <c r="B197" s="109" t="str">
        <f>IF(OR(historico_VU!A196="",historico_VU!C196=""),"",historico_VU!C196)</f>
        <v/>
      </c>
      <c r="C197" s="110" t="str">
        <f>IF(posicao_contratual!A196="","",posicao_contratual!G196)</f>
        <v/>
      </c>
      <c r="D197" s="109" t="str">
        <f>IF(A197="TOTAL",ROUND(SUM($D$3:D196),2),IF(OR(A197="",B197="",C197=""),"",ROUND(B197*C197,2)))</f>
        <v/>
      </c>
      <c r="E197" s="111" t="str">
        <f>IF(OR(historico_VU!A196="",historico_VU!D196=""),"",historico_VU!D196)</f>
        <v/>
      </c>
      <c r="F197" s="112" t="str">
        <f>IF(posicao_contratual!A196="","",posicao_contratual!K196)</f>
        <v/>
      </c>
      <c r="G197" s="111" t="str">
        <f>IF(A197="TOTAL",ROUND(SUM($G$3:G196),2),IF(OR(A197="",E197="",F197=""),"",ROUND(E197*F197,2)))</f>
        <v/>
      </c>
      <c r="H197" s="109" t="str">
        <f>IF(OR(historico_VU!A196="",historico_VU!E196=""),"",historico_VU!E196)</f>
        <v/>
      </c>
      <c r="I197" s="110" t="str">
        <f>IF(posicao_contratual!A196="","",posicao_contratual!O196)</f>
        <v/>
      </c>
      <c r="J197" s="109" t="str">
        <f>IF(A197="TOTAL",ROUND(SUM($J$3:J196),2),IF(OR(A197="",H197="",I197=""),"",ROUND(H197*I197,2)))</f>
        <v/>
      </c>
      <c r="K197" s="111" t="str">
        <f>IF(OR(historico_VU!A196="",historico_VU!F196=""),"",historico_VU!F196)</f>
        <v/>
      </c>
      <c r="L197" s="112" t="str">
        <f>IF(posicao_contratual!A196="","",posicao_contratual!S196)</f>
        <v/>
      </c>
      <c r="M197" s="111" t="str">
        <f>IF(A197="TOTAL",ROUND(SUM($M$3:M196),2),IF(OR(A197="",K197="",L197=""),"",ROUND(K197*L197,2)))</f>
        <v/>
      </c>
      <c r="N197" s="109" t="str">
        <f>IF(OR(historico_VU!A196="",historico_VU!G196=""),"",historico_VU!G196)</f>
        <v/>
      </c>
      <c r="O197" s="110" t="str">
        <f>IF(posicao_contratual!A196="","",posicao_contratual!W196)</f>
        <v/>
      </c>
      <c r="P197" s="109" t="str">
        <f>IF(A197="TOTAL",ROUND(SUM($P$3:P196),2),IF(OR(A197="",N197="",O197=""),"",ROUND(N197*O197,2)))</f>
        <v/>
      </c>
      <c r="Q197" s="183" t="str">
        <f t="shared" ca="1" si="48"/>
        <v/>
      </c>
      <c r="R197" t="str">
        <f>IF($A197="","",IF(MEMORIA_RESULTADOS!$W$46="","","C"&amp;MEMORIA_RESULTADOS!$W$46))</f>
        <v/>
      </c>
      <c r="S197" s="210" t="str">
        <f t="shared" ca="1" si="49"/>
        <v/>
      </c>
      <c r="T197" s="210" t="str">
        <f t="shared" ca="1" si="50"/>
        <v/>
      </c>
      <c r="U197" s="210" t="str">
        <f t="shared" ca="1" si="51"/>
        <v/>
      </c>
      <c r="V197" s="195" t="str">
        <f t="shared" ca="1" si="52"/>
        <v/>
      </c>
      <c r="W197" s="195" t="str">
        <f t="shared" ca="1" si="53"/>
        <v/>
      </c>
      <c r="X197" s="195" t="str">
        <f t="shared" ca="1" si="54"/>
        <v/>
      </c>
      <c r="Y197" t="str">
        <f t="shared" ca="1" si="55"/>
        <v/>
      </c>
      <c r="Z197" s="211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08" t="str">
        <f>IF(AND(itens_Remanesc!A197="",itens_Remanesc!A196&lt;&gt;"",COUNTIF(itens_Remanesc!A198:$A$200,"&lt;&gt;")=0),"TOTAL",IF(itens_Remanesc!A197="","",itens_Remanesc!A197))</f>
        <v/>
      </c>
      <c r="B198" s="109" t="str">
        <f>IF(OR(historico_VU!A197="",historico_VU!C197=""),"",historico_VU!C197)</f>
        <v/>
      </c>
      <c r="C198" s="110" t="str">
        <f>IF(posicao_contratual!A197="","",posicao_contratual!G197)</f>
        <v/>
      </c>
      <c r="D198" s="109" t="str">
        <f>IF(A198="TOTAL",ROUND(SUM($D$3:D197),2),IF(OR(A198="",B198="",C198=""),"",ROUND(B198*C198,2)))</f>
        <v/>
      </c>
      <c r="E198" s="111" t="str">
        <f>IF(OR(historico_VU!A197="",historico_VU!D197=""),"",historico_VU!D197)</f>
        <v/>
      </c>
      <c r="F198" s="112" t="str">
        <f>IF(posicao_contratual!A197="","",posicao_contratual!K197)</f>
        <v/>
      </c>
      <c r="G198" s="111" t="str">
        <f>IF(A198="TOTAL",ROUND(SUM($G$3:G197),2),IF(OR(A198="",E198="",F198=""),"",ROUND(E198*F198,2)))</f>
        <v/>
      </c>
      <c r="H198" s="109" t="str">
        <f>IF(OR(historico_VU!A197="",historico_VU!E197=""),"",historico_VU!E197)</f>
        <v/>
      </c>
      <c r="I198" s="110" t="str">
        <f>IF(posicao_contratual!A197="","",posicao_contratual!O197)</f>
        <v/>
      </c>
      <c r="J198" s="109" t="str">
        <f>IF(A198="TOTAL",ROUND(SUM($J$3:J197),2),IF(OR(A198="",H198="",I198=""),"",ROUND(H198*I198,2)))</f>
        <v/>
      </c>
      <c r="K198" s="111" t="str">
        <f>IF(OR(historico_VU!A197="",historico_VU!F197=""),"",historico_VU!F197)</f>
        <v/>
      </c>
      <c r="L198" s="112" t="str">
        <f>IF(posicao_contratual!A197="","",posicao_contratual!S197)</f>
        <v/>
      </c>
      <c r="M198" s="111" t="str">
        <f>IF(A198="TOTAL",ROUND(SUM($M$3:M197),2),IF(OR(A198="",K198="",L198=""),"",ROUND(K198*L198,2)))</f>
        <v/>
      </c>
      <c r="N198" s="109" t="str">
        <f>IF(OR(historico_VU!A197="",historico_VU!G197=""),"",historico_VU!G197)</f>
        <v/>
      </c>
      <c r="O198" s="110" t="str">
        <f>IF(posicao_contratual!A197="","",posicao_contratual!W197)</f>
        <v/>
      </c>
      <c r="P198" s="109" t="str">
        <f>IF(A198="TOTAL",ROUND(SUM($P$3:P197),2),IF(OR(A198="",N198="",O198=""),"",ROUND(N198*O198,2)))</f>
        <v/>
      </c>
      <c r="Q198" s="183" t="str">
        <f t="shared" ca="1" si="48"/>
        <v/>
      </c>
      <c r="R198" t="str">
        <f>IF($A198="","",IF(MEMORIA_RESULTADOS!$W$46="","","C"&amp;MEMORIA_RESULTADOS!$W$46))</f>
        <v/>
      </c>
      <c r="S198" s="210" t="str">
        <f t="shared" ca="1" si="49"/>
        <v/>
      </c>
      <c r="T198" s="210" t="str">
        <f t="shared" ca="1" si="50"/>
        <v/>
      </c>
      <c r="U198" s="210" t="str">
        <f t="shared" ca="1" si="51"/>
        <v/>
      </c>
      <c r="V198" s="195" t="str">
        <f t="shared" ca="1" si="52"/>
        <v/>
      </c>
      <c r="W198" s="195" t="str">
        <f t="shared" ca="1" si="53"/>
        <v/>
      </c>
      <c r="X198" s="195" t="str">
        <f t="shared" ca="1" si="54"/>
        <v/>
      </c>
      <c r="Y198" t="str">
        <f t="shared" ca="1" si="55"/>
        <v/>
      </c>
      <c r="Z198" s="211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08" t="str">
        <f>IF(AND(itens_Remanesc!A198="",itens_Remanesc!A197&lt;&gt;"",COUNTIF(itens_Remanesc!A199:$A$200,"&lt;&gt;")=0),"TOTAL",IF(itens_Remanesc!A198="","",itens_Remanesc!A198))</f>
        <v/>
      </c>
      <c r="B199" s="109" t="str">
        <f>IF(OR(historico_VU!A198="",historico_VU!C198=""),"",historico_VU!C198)</f>
        <v/>
      </c>
      <c r="C199" s="110" t="str">
        <f>IF(posicao_contratual!A198="","",posicao_contratual!G198)</f>
        <v/>
      </c>
      <c r="D199" s="109" t="str">
        <f>IF(A199="TOTAL",ROUND(SUM($D$3:D198),2),IF(OR(A199="",B199="",C199=""),"",ROUND(B199*C199,2)))</f>
        <v/>
      </c>
      <c r="E199" s="111" t="str">
        <f>IF(OR(historico_VU!A198="",historico_VU!D198=""),"",historico_VU!D198)</f>
        <v/>
      </c>
      <c r="F199" s="112" t="str">
        <f>IF(posicao_contratual!A198="","",posicao_contratual!K198)</f>
        <v/>
      </c>
      <c r="G199" s="111" t="str">
        <f>IF(A199="TOTAL",ROUND(SUM($G$3:G198),2),IF(OR(A199="",E199="",F199=""),"",ROUND(E199*F199,2)))</f>
        <v/>
      </c>
      <c r="H199" s="109" t="str">
        <f>IF(OR(historico_VU!A198="",historico_VU!E198=""),"",historico_VU!E198)</f>
        <v/>
      </c>
      <c r="I199" s="110" t="str">
        <f>IF(posicao_contratual!A198="","",posicao_contratual!O198)</f>
        <v/>
      </c>
      <c r="J199" s="109" t="str">
        <f>IF(A199="TOTAL",ROUND(SUM($J$3:J198),2),IF(OR(A199="",H199="",I199=""),"",ROUND(H199*I199,2)))</f>
        <v/>
      </c>
      <c r="K199" s="111" t="str">
        <f>IF(OR(historico_VU!A198="",historico_VU!F198=""),"",historico_VU!F198)</f>
        <v/>
      </c>
      <c r="L199" s="112" t="str">
        <f>IF(posicao_contratual!A198="","",posicao_contratual!S198)</f>
        <v/>
      </c>
      <c r="M199" s="111" t="str">
        <f>IF(A199="TOTAL",ROUND(SUM($M$3:M198),2),IF(OR(A199="",K199="",L199=""),"",ROUND(K199*L199,2)))</f>
        <v/>
      </c>
      <c r="N199" s="109" t="str">
        <f>IF(OR(historico_VU!A198="",historico_VU!G198=""),"",historico_VU!G198)</f>
        <v/>
      </c>
      <c r="O199" s="110" t="str">
        <f>IF(posicao_contratual!A198="","",posicao_contratual!W198)</f>
        <v/>
      </c>
      <c r="P199" s="109" t="str">
        <f>IF(A199="TOTAL",ROUND(SUM($P$3:P198),2),IF(OR(A199="",N199="",O199=""),"",ROUND(N199*O199,2)))</f>
        <v/>
      </c>
      <c r="Q199" s="183" t="str">
        <f t="shared" ca="1" si="48"/>
        <v/>
      </c>
      <c r="R199" t="str">
        <f>IF($A199="","",IF(MEMORIA_RESULTADOS!$W$46="","","C"&amp;MEMORIA_RESULTADOS!$W$46))</f>
        <v/>
      </c>
      <c r="S199" s="210" t="str">
        <f t="shared" ca="1" si="49"/>
        <v/>
      </c>
      <c r="T199" s="210" t="str">
        <f t="shared" ca="1" si="50"/>
        <v/>
      </c>
      <c r="U199" s="210" t="str">
        <f t="shared" ca="1" si="51"/>
        <v/>
      </c>
      <c r="V199" s="195" t="str">
        <f t="shared" ca="1" si="52"/>
        <v/>
      </c>
      <c r="W199" s="195" t="str">
        <f t="shared" ca="1" si="53"/>
        <v/>
      </c>
      <c r="X199" s="195" t="str">
        <f t="shared" ca="1" si="54"/>
        <v/>
      </c>
      <c r="Y199" t="str">
        <f t="shared" ca="1" si="55"/>
        <v/>
      </c>
      <c r="Z199" s="211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08" t="str">
        <f>IF(AND(itens_Remanesc!A199="",itens_Remanesc!A198&lt;&gt;"",COUNTIF(itens_Remanesc!A200:$A$200,"&lt;&gt;")=0),"TOTAL",IF(itens_Remanesc!A199="","",itens_Remanesc!A199))</f>
        <v/>
      </c>
      <c r="B200" s="109" t="str">
        <f>IF(OR(historico_VU!A199="",historico_VU!C199=""),"",historico_VU!C199)</f>
        <v/>
      </c>
      <c r="C200" s="110" t="str">
        <f>IF(posicao_contratual!A199="","",posicao_contratual!G199)</f>
        <v/>
      </c>
      <c r="D200" s="109" t="str">
        <f>IF(A200="TOTAL",ROUND(SUM($D$3:D199),2),IF(OR(A200="",B200="",C200=""),"",ROUND(B200*C200,2)))</f>
        <v/>
      </c>
      <c r="E200" s="111" t="str">
        <f>IF(OR(historico_VU!A199="",historico_VU!D199=""),"",historico_VU!D199)</f>
        <v/>
      </c>
      <c r="F200" s="112" t="str">
        <f>IF(posicao_contratual!A199="","",posicao_contratual!K199)</f>
        <v/>
      </c>
      <c r="G200" s="111" t="str">
        <f>IF(A200="TOTAL",ROUND(SUM($G$3:G199),2),IF(OR(A200="",E200="",F200=""),"",ROUND(E200*F200,2)))</f>
        <v/>
      </c>
      <c r="H200" s="109" t="str">
        <f>IF(OR(historico_VU!A199="",historico_VU!E199=""),"",historico_VU!E199)</f>
        <v/>
      </c>
      <c r="I200" s="110" t="str">
        <f>IF(posicao_contratual!A199="","",posicao_contratual!O199)</f>
        <v/>
      </c>
      <c r="J200" s="109" t="str">
        <f>IF(A200="TOTAL",ROUND(SUM($J$3:J199),2),IF(OR(A200="",H200="",I200=""),"",ROUND(H200*I200,2)))</f>
        <v/>
      </c>
      <c r="K200" s="111" t="str">
        <f>IF(OR(historico_VU!A199="",historico_VU!F199=""),"",historico_VU!F199)</f>
        <v/>
      </c>
      <c r="L200" s="112" t="str">
        <f>IF(posicao_contratual!A199="","",posicao_contratual!S199)</f>
        <v/>
      </c>
      <c r="M200" s="111" t="str">
        <f>IF(A200="TOTAL",ROUND(SUM($M$3:M199),2),IF(OR(A200="",K200="",L200=""),"",ROUND(K200*L200,2)))</f>
        <v/>
      </c>
      <c r="N200" s="109" t="str">
        <f>IF(OR(historico_VU!A199="",historico_VU!G199=""),"",historico_VU!G199)</f>
        <v/>
      </c>
      <c r="O200" s="110" t="str">
        <f>IF(posicao_contratual!A199="","",posicao_contratual!W199)</f>
        <v/>
      </c>
      <c r="P200" s="109" t="str">
        <f>IF(A200="TOTAL",ROUND(SUM($P$3:P199),2),IF(OR(A200="",N200="",O200=""),"",ROUND(N200*O200,2)))</f>
        <v/>
      </c>
      <c r="Q200" s="183" t="str">
        <f t="shared" ca="1" si="48"/>
        <v/>
      </c>
      <c r="R200" t="str">
        <f>IF($A200="","",IF(MEMORIA_RESULTADOS!$W$46="","","C"&amp;MEMORIA_RESULTADOS!$W$46))</f>
        <v/>
      </c>
      <c r="S200" s="210" t="str">
        <f t="shared" ca="1" si="49"/>
        <v/>
      </c>
      <c r="T200" s="210" t="str">
        <f t="shared" ca="1" si="50"/>
        <v/>
      </c>
      <c r="U200" s="210" t="str">
        <f t="shared" ca="1" si="51"/>
        <v/>
      </c>
      <c r="V200" s="195" t="str">
        <f t="shared" ca="1" si="52"/>
        <v/>
      </c>
      <c r="W200" s="195" t="str">
        <f t="shared" ca="1" si="53"/>
        <v/>
      </c>
      <c r="X200" s="195" t="str">
        <f t="shared" ca="1" si="54"/>
        <v/>
      </c>
      <c r="Y200" t="str">
        <f t="shared" ca="1" si="55"/>
        <v/>
      </c>
      <c r="Z200" s="211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08" t="str">
        <f>IF(AND(itens_Remanesc!A200="",itens_Remanesc!A199&lt;&gt;"",COUNTIF(itens_Remanesc!A$200:$A201,"&lt;&gt;")=0),"TOTAL",IF(itens_Remanesc!A200="","",itens_Remanesc!A200))</f>
        <v/>
      </c>
      <c r="B201" s="109" t="str">
        <f>IF(OR(historico_VU!A200="",historico_VU!C200=""),"",historico_VU!C200)</f>
        <v/>
      </c>
      <c r="C201" s="110" t="str">
        <f>IF(posicao_contratual!A200="","",posicao_contratual!G200)</f>
        <v/>
      </c>
      <c r="D201" s="109" t="str">
        <f>IF(A201="TOTAL",ROUND(SUM($D$3:D200),2),IF(OR(A201="",B201="",C201=""),"",ROUND(B201*C201,2)))</f>
        <v/>
      </c>
      <c r="E201" s="111" t="str">
        <f>IF(OR(historico_VU!A200="",historico_VU!D200=""),"",historico_VU!D200)</f>
        <v/>
      </c>
      <c r="F201" s="112" t="str">
        <f>IF(posicao_contratual!A200="","",posicao_contratual!K200)</f>
        <v/>
      </c>
      <c r="G201" s="111" t="str">
        <f>IF(A201="TOTAL",ROUND(SUM($G$3:G200),2),IF(OR(A201="",E201="",F201=""),"",ROUND(E201*F201,2)))</f>
        <v/>
      </c>
      <c r="H201" s="109" t="str">
        <f>IF(OR(historico_VU!A200="",historico_VU!E200=""),"",historico_VU!E200)</f>
        <v/>
      </c>
      <c r="I201" s="110" t="str">
        <f>IF(posicao_contratual!A200="","",posicao_contratual!O200)</f>
        <v/>
      </c>
      <c r="J201" s="109" t="str">
        <f>IF(A201="TOTAL",ROUND(SUM($J$3:J200),2),IF(OR(A201="",H201="",I201=""),"",ROUND(H201*I201,2)))</f>
        <v/>
      </c>
      <c r="K201" s="111" t="str">
        <f>IF(OR(historico_VU!A200="",historico_VU!F200=""),"",historico_VU!F200)</f>
        <v/>
      </c>
      <c r="L201" s="112" t="str">
        <f>IF(posicao_contratual!A200="","",posicao_contratual!S200)</f>
        <v/>
      </c>
      <c r="M201" s="111" t="str">
        <f>IF(A201="TOTAL",ROUND(SUM($M$3:M200),2),IF(OR(A201="",K201="",L201=""),"",ROUND(K201*L201,2)))</f>
        <v/>
      </c>
      <c r="N201" s="109" t="str">
        <f>IF(OR(historico_VU!A200="",historico_VU!G200=""),"",historico_VU!G200)</f>
        <v/>
      </c>
      <c r="O201" s="110" t="str">
        <f>IF(posicao_contratual!A200="","",posicao_contratual!W200)</f>
        <v/>
      </c>
      <c r="P201" s="109" t="str">
        <f>IF(A201="TOTAL",ROUND(SUM($P$3:P200),2),IF(OR(A201="",N201="",O201=""),"",ROUND(N201*O201,2)))</f>
        <v/>
      </c>
      <c r="Q201" s="183" t="str">
        <f t="shared" ca="1" si="48"/>
        <v/>
      </c>
      <c r="R201" t="str">
        <f>IF($A201="","",IF(MEMORIA_RESULTADOS!$W$46="","","C"&amp;MEMORIA_RESULTADOS!$W$46))</f>
        <v/>
      </c>
      <c r="S201" s="210" t="str">
        <f t="shared" ca="1" si="49"/>
        <v/>
      </c>
      <c r="T201" s="210" t="str">
        <f t="shared" ca="1" si="50"/>
        <v/>
      </c>
      <c r="U201" s="210" t="str">
        <f t="shared" ca="1" si="51"/>
        <v/>
      </c>
      <c r="V201" s="195" t="str">
        <f t="shared" ca="1" si="52"/>
        <v/>
      </c>
      <c r="W201" s="195" t="str">
        <f t="shared" ca="1" si="53"/>
        <v/>
      </c>
      <c r="X201" s="195" t="str">
        <f t="shared" ca="1" si="54"/>
        <v/>
      </c>
      <c r="Y201" t="str">
        <f t="shared" ca="1" si="55"/>
        <v/>
      </c>
      <c r="Z201" s="211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08" t="str">
        <f>IF(itens_Remanesc!$A$200&lt;&gt;"","TOTAL","")</f>
        <v/>
      </c>
      <c r="B202" s="109" t="str">
        <f>""</f>
        <v/>
      </c>
      <c r="C202" s="110" t="str">
        <f>""</f>
        <v/>
      </c>
      <c r="D202" s="109" t="str">
        <f>IF(A202="TOTAL",ROUND(SUM($D$3:D201),2),IF(A202="","",ROUND(B202*C202,2)))</f>
        <v/>
      </c>
      <c r="E202" s="111" t="str">
        <f>""</f>
        <v/>
      </c>
      <c r="F202" s="112" t="str">
        <f>""</f>
        <v/>
      </c>
      <c r="G202" s="111" t="str">
        <f>IF(A202="TOTAL",ROUND(SUM($G$3:G201),2),IF(OR(A202="",E202="",F202=""),"",ROUND(E202*F202,2)))</f>
        <v/>
      </c>
      <c r="H202" s="109" t="str">
        <f>""</f>
        <v/>
      </c>
      <c r="I202" s="110" t="str">
        <f>""</f>
        <v/>
      </c>
      <c r="J202" s="109" t="str">
        <f>IF(A202="TOTAL",ROUND(SUM($J$3:J201),2),IF(OR(A202="",H202="",I202=""),"",ROUND(H202*I202,2)))</f>
        <v/>
      </c>
      <c r="K202" s="111" t="str">
        <f>""</f>
        <v/>
      </c>
      <c r="L202" s="112" t="str">
        <f>""</f>
        <v/>
      </c>
      <c r="M202" s="111" t="str">
        <f>IF(A202="TOTAL",ROUND(SUM($M$3:M201),2),IF(OR(A202="",K202="",L202=""),"",ROUND(K202*L202,2)))</f>
        <v/>
      </c>
      <c r="N202" s="109" t="str">
        <f>""</f>
        <v/>
      </c>
      <c r="O202" s="110" t="str">
        <f>""</f>
        <v/>
      </c>
      <c r="P202" s="109" t="str">
        <f>IF(A202="TOTAL",ROUND(SUM($P$3:P201),2),IF(OR(A202="",N202="",O202=""),"",ROUND(N202*O202,2)))</f>
        <v/>
      </c>
      <c r="Q202" s="183" t="str">
        <f t="shared" ca="1" si="48"/>
        <v/>
      </c>
      <c r="R202" t="str">
        <f>IF($A202="","",IF(MEMORIA_RESULTADOS!$W$46="","","C"&amp;MEMORIA_RESULTADOS!$W$46))</f>
        <v/>
      </c>
      <c r="S202" s="210" t="str">
        <f t="shared" ca="1" si="49"/>
        <v/>
      </c>
      <c r="T202" s="210" t="str">
        <f t="shared" ca="1" si="50"/>
        <v/>
      </c>
      <c r="U202" s="210" t="str">
        <f t="shared" ca="1" si="51"/>
        <v/>
      </c>
      <c r="V202" s="195" t="str">
        <f t="shared" ca="1" si="52"/>
        <v/>
      </c>
      <c r="W202" s="195" t="str">
        <f t="shared" ca="1" si="53"/>
        <v/>
      </c>
      <c r="X202" s="195" t="str">
        <f t="shared" ca="1" si="54"/>
        <v/>
      </c>
      <c r="Y202" t="str">
        <f t="shared" ca="1" si="55"/>
        <v/>
      </c>
      <c r="Z202" s="211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4"/>
      <c r="B203" s="54"/>
      <c r="C203" s="54"/>
      <c r="D203" s="55"/>
      <c r="E203" s="54"/>
      <c r="F203" s="54"/>
      <c r="G203" s="55"/>
      <c r="H203" s="54"/>
      <c r="I203" s="54"/>
      <c r="J203" s="55"/>
      <c r="K203" s="54"/>
      <c r="L203" s="54"/>
      <c r="M203" s="55"/>
      <c r="N203" s="54"/>
      <c r="O203" s="54"/>
      <c r="P203" s="55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75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4" t="s">
        <v>19</v>
      </c>
      <c r="B1" s="50" t="s">
        <v>231</v>
      </c>
      <c r="C1" s="51" t="s">
        <v>232</v>
      </c>
      <c r="D1" s="56" t="s">
        <v>233</v>
      </c>
      <c r="E1" s="28" t="s">
        <v>234</v>
      </c>
      <c r="F1" s="56" t="s">
        <v>235</v>
      </c>
      <c r="G1" s="28" t="s">
        <v>236</v>
      </c>
      <c r="H1" s="34" t="s">
        <v>237</v>
      </c>
      <c r="I1" s="12"/>
      <c r="J1" s="37" t="s">
        <v>32</v>
      </c>
      <c r="K1" s="37" t="s">
        <v>68</v>
      </c>
      <c r="L1" s="37" t="s">
        <v>36</v>
      </c>
      <c r="M1" s="12"/>
      <c r="N1" s="63" t="s">
        <v>238</v>
      </c>
      <c r="O1" s="63" t="s">
        <v>239</v>
      </c>
      <c r="P1" s="63" t="s">
        <v>240</v>
      </c>
      <c r="Q1" s="63" t="s">
        <v>241</v>
      </c>
      <c r="R1" s="63" t="s">
        <v>242</v>
      </c>
      <c r="S1" s="63" t="s">
        <v>77</v>
      </c>
      <c r="T1" s="63" t="s">
        <v>78</v>
      </c>
      <c r="U1" s="63" t="s">
        <v>79</v>
      </c>
      <c r="V1" s="63" t="s">
        <v>80</v>
      </c>
      <c r="W1" s="63" t="s">
        <v>81</v>
      </c>
    </row>
    <row r="2" spans="1:23" x14ac:dyDescent="0.35">
      <c r="A2" s="86" t="str">
        <f>IF(itens_Remanesc!A2="","",itens_Remanesc!A2)</f>
        <v/>
      </c>
      <c r="B2" s="85" t="str">
        <f>IF(A2="","",IF(posicao_contratual!$Y2="","",IF(posicao_contratual!$Y2&gt;0,"",posicao_contratual!G2)))</f>
        <v/>
      </c>
      <c r="C2" s="79" t="str">
        <f>IF(itens_Remanesc!A2="","",IF(posicao_contratual!$Y2="","",IF(posicao_contratual!$Y2&gt;0,"",itens_Remanesc!C2)))</f>
        <v/>
      </c>
      <c r="D2" s="79" t="str">
        <f>IF(OR($A2="",posicao_contratual!$Y2=""),"",IF(posicao_contratual!$Y2&gt;1,"",IF(NOT(ISNUMBER(itens_Remanesc!C2)),"",IF(posicao_contratual!$Y2=1,IF(IFERROR(IF(ISNUMBER(INDEX(aditivos!$O$2:$O$200,MATCH($A2,aditivos!$A$2:$A$200,0))),MIN(INDEX(aditivos!$O$2:$O$200,MATCH($A2,aditivos!$A$2:$A$200,0)),posicao_contratual!$Y2),posicao_contratual!$Y2),posicao_contratual!$Y2)=1,itens_Remanesc!C2,IFERROR(ROUND(itens_Remanesc!C2*INDEX($L$2:$L$6,MIN(1+1,COUNT($L$2:$L$6)))/INDEX($L$2:$L$6,MIN(IFERROR(IF(ISNUMBER(INDEX(aditivos!$O$2:$O$200,MATCH($A2,aditivos!$A$2:$A$200,0))),MIN(INDEX(aditivos!$O$2:$O$200,MATCH($A2,aditivos!$A$2:$A$200,0)),posicao_contratual!$Y2),posicao_contratual!$Y2),posicao_contratual!$Y2)+1,COUNT($L$2:$L$6))),2),"")),IF(OR(NOT(ISNUMBER($L$3)),NOT(ISNUMBER(INDEX($L$2:$L$6,IFERROR(IF(ISNUMBER(INDEX(aditivos!$O$2:$O$200,MATCH($A2,aditivos!$A$2:$A$200,0))),MIN(INDEX(aditivos!$O$2:$O$200,MATCH($A2,aditivos!$A$2:$A$200,0)),posicao_contratual!$Y2),posicao_contratual!$Y2),posicao_contratual!$Y2)+1)))),"",ROUND(itens_Remanesc!C2*$L$3/INDEX($L$2:$L$6,IFERROR(IF(ISNUMBER(INDEX(aditivos!$O$2:$O$200,MATCH($A2,aditivos!$A$2:$A$200,0))),MIN(INDEX(aditivos!$O$2:$O$200,MATCH($A2,aditivos!$A$2:$A$200,0)),posicao_contratual!$Y2),posicao_contratual!$Y2),posicao_contratual!$Y2)+1),2))))))</f>
        <v/>
      </c>
      <c r="E2" s="79" t="str">
        <f>IF(OR($A2="",posicao_contratual!$Y2=""),"",IF(posicao_contratual!$Y2&gt;2,"",IF(NOT(ISNUMBER(itens_Remanesc!C2)),"",IF(posicao_contratual!$Y2=2,IF(IFERROR(IF(ISNUMBER(INDEX(aditivos!$O$2:$O$200,MATCH($A2,aditivos!$A$2:$A$200,0))),MIN(INDEX(aditivos!$O$2:$O$200,MATCH($A2,aditivos!$A$2:$A$200,0)),posicao_contratual!$Y2),posicao_contratual!$Y2),posicao_contratual!$Y2)=2,itens_Remanesc!C2,IFERROR(ROUND(itens_Remanesc!C2*INDEX($L$2:$L$6,MIN(2+1,COUNT($L$2:$L$6)))/INDEX($L$2:$L$6,MIN(IFERROR(IF(ISNUMBER(INDEX(aditivos!$O$2:$O$200,MATCH($A2,aditivos!$A$2:$A$200,0))),MIN(INDEX(aditivos!$O$2:$O$200,MATCH($A2,aditivos!$A$2:$A$200,0)),posicao_contratual!$Y2),posicao_contratual!$Y2),posicao_contratual!$Y2)+1,COUNT($L$2:$L$6))),2),"")),IF(OR(NOT(ISNUMBER($L$4)),NOT(ISNUMBER(INDEX($L$2:$L$6,IFERROR(IF(ISNUMBER(INDEX(aditivos!$O$2:$O$200,MATCH($A2,aditivos!$A$2:$A$200,0))),MIN(INDEX(aditivos!$O$2:$O$200,MATCH($A2,aditivos!$A$2:$A$200,0)),posicao_contratual!$Y2),posicao_contratual!$Y2),posicao_contratual!$Y2)+1)))),"",ROUND(itens_Remanesc!C2*$L$4/INDEX($L$2:$L$6,IFERROR(IF(ISNUMBER(INDEX(aditivos!$O$2:$O$200,MATCH($A2,aditivos!$A$2:$A$200,0))),MIN(INDEX(aditivos!$O$2:$O$200,MATCH($A2,aditivos!$A$2:$A$200,0)),posicao_contratual!$Y2),posicao_contratual!$Y2),posicao_contratual!$Y2)+1),2))))))</f>
        <v/>
      </c>
      <c r="F2" s="79" t="str">
        <f>IF(OR($A2="",posicao_contratual!$Y2=""),"",IF(posicao_contratual!$Y2&gt;3,"",IF(NOT(ISNUMBER(itens_Remanesc!C2)),"",IF(posicao_contratual!$Y2=3,IF(IFERROR(IF(ISNUMBER(INDEX(aditivos!$O$2:$O$200,MATCH($A2,aditivos!$A$2:$A$200,0))),MIN(INDEX(aditivos!$O$2:$O$200,MATCH($A2,aditivos!$A$2:$A$200,0)),posicao_contratual!$Y2),posicao_contratual!$Y2),posicao_contratual!$Y2)=3,itens_Remanesc!C2,IFERROR(ROUND(itens_Remanesc!C2*INDEX($L$2:$L$6,MIN(3+1,COUNT($L$2:$L$6)))/INDEX($L$2:$L$6,MIN(IFERROR(IF(ISNUMBER(INDEX(aditivos!$O$2:$O$200,MATCH($A2,aditivos!$A$2:$A$200,0))),MIN(INDEX(aditivos!$O$2:$O$200,MATCH($A2,aditivos!$A$2:$A$200,0)),posicao_contratual!$Y2),posicao_contratual!$Y2),posicao_contratual!$Y2)+1,COUNT($L$2:$L$6))),2),"")),IF(OR(NOT(ISNUMBER($L$5)),NOT(ISNUMBER(INDEX($L$2:$L$6,IFERROR(IF(ISNUMBER(INDEX(aditivos!$O$2:$O$200,MATCH($A2,aditivos!$A$2:$A$200,0))),MIN(INDEX(aditivos!$O$2:$O$200,MATCH($A2,aditivos!$A$2:$A$200,0)),posicao_contratual!$Y2),posicao_contratual!$Y2),posicao_contratual!$Y2)+1)))),"",ROUND(itens_Remanesc!C2*$L$5/INDEX($L$2:$L$6,IFERROR(IF(ISNUMBER(INDEX(aditivos!$O$2:$O$200,MATCH($A2,aditivos!$A$2:$A$200,0))),MIN(INDEX(aditivos!$O$2:$O$200,MATCH($A2,aditivos!$A$2:$A$200,0)),posicao_contratual!$Y2),posicao_contratual!$Y2),posicao_contratual!$Y2)+1),2))))))</f>
        <v/>
      </c>
      <c r="G2" s="79" t="str">
        <f>IF(OR($A2="",posicao_contratual!$Y2=""),"",IF(posicao_contratual!$Y2&gt;4,"",IF(NOT(ISNUMBER(itens_Remanesc!C2)),"",IF(posicao_contratual!$Y2=4,IF(IFERROR(IF(ISNUMBER(INDEX(aditivos!$O$2:$O$200,MATCH($A2,aditivos!$A$2:$A$200,0))),MIN(INDEX(aditivos!$O$2:$O$200,MATCH($A2,aditivos!$A$2:$A$200,0)),posicao_contratual!$Y2),posicao_contratual!$Y2),posicao_contratual!$Y2)=4,itens_Remanesc!C2,IFERROR(ROUND(itens_Remanesc!C2*INDEX($L$2:$L$6,MIN(4+1,COUNT($L$2:$L$6)))/INDEX($L$2:$L$6,MIN(IFERROR(IF(ISNUMBER(INDEX(aditivos!$O$2:$O$200,MATCH($A2,aditivos!$A$2:$A$200,0))),MIN(INDEX(aditivos!$O$2:$O$200,MATCH($A2,aditivos!$A$2:$A$200,0)),posicao_contratual!$Y2),posicao_contratual!$Y2),posicao_contratual!$Y2)+1,COUNT($L$2:$L$6))),2),"")),IF(OR(NOT(ISNUMBER($L$6)),NOT(ISNUMBER(INDEX($L$2:$L$6,IFERROR(IF(ISNUMBER(INDEX(aditivos!$O$2:$O$200,MATCH($A2,aditivos!$A$2:$A$200,0))),MIN(INDEX(aditivos!$O$2:$O$200,MATCH($A2,aditivos!$A$2:$A$200,0)),posicao_contratual!$Y2),posicao_contratual!$Y2),posicao_contratual!$Y2)+1)))),"",ROUND(itens_Remanesc!C2*$L$6/INDEX($L$2:$L$6,IFERROR(IF(ISNUMBER(INDEX(aditivos!$O$2:$O$200,MATCH($A2,aditivos!$A$2:$A$200,0))),MIN(INDEX(aditivos!$O$2:$O$200,MATCH($A2,aditivos!$A$2:$A$200,0)),posicao_contratual!$Y2),posicao_contratual!$Y2),posicao_contratual!$Y2)+1),2))))))</f>
        <v/>
      </c>
      <c r="H2" s="116" t="str">
        <f t="shared" ref="H2:H33" si="0">IF(OR(A2="",C2="",C2=0,NOT(ISNUMBER($L$6))),"",ROUND($L$6-1,4))</f>
        <v/>
      </c>
      <c r="I2" s="29"/>
      <c r="J2" s="87" t="s">
        <v>21</v>
      </c>
      <c r="K2" s="89" t="str">
        <f>IF(ISNUMBER(parametros!$E$2),parametros!$E$2,"")</f>
        <v/>
      </c>
      <c r="L2" s="90">
        <f>IF(ISNUMBER(parametros!$F$2),parametros!$F$2,"")</f>
        <v>1</v>
      </c>
      <c r="M2" s="29"/>
      <c r="N2" s="149" t="str">
        <f>IF(A2="","",IF(posicao_contratual!$Y2="","",IF(posicao_contratual!$Y2&gt;0,"",posicao_contratual!E2)))</f>
        <v/>
      </c>
      <c r="O2" s="147" t="str">
        <f>IF(A2="","",IF(posicao_contratual!$Y2="","",IF(posicao_contratual!$Y2&gt;1,"",posicao_contratual!I2)))</f>
        <v/>
      </c>
      <c r="P2" s="147" t="str">
        <f>IF(A2="","",IF(posicao_contratual!$Y2="","",IF(posicao_contratual!$Y2&gt;2,"",posicao_contratual!M2)))</f>
        <v/>
      </c>
      <c r="Q2" s="147" t="str">
        <f>IF(A2="","",IF(posicao_contratual!$Y2="","",IF(posicao_contratual!$Y2&gt;3,"",posicao_contratual!Q2)))</f>
        <v/>
      </c>
      <c r="R2" s="147" t="str">
        <f>IF(A2="","",IF(posicao_contratual!$Y2="","",IF(posicao_contratual!$Y2&gt;4,"",posicao_contratual!U2)))</f>
        <v/>
      </c>
      <c r="S2" s="167" t="str">
        <f>IF(A2="","",posicao_contratual!G2)</f>
        <v/>
      </c>
      <c r="T2" s="167" t="str">
        <f>IF(A2="","",posicao_contratual!K2)</f>
        <v/>
      </c>
      <c r="U2" s="167" t="str">
        <f>IF(A2="","",posicao_contratual!O2)</f>
        <v/>
      </c>
      <c r="V2" s="167" t="str">
        <f>IF(A2="","",posicao_contratual!S2)</f>
        <v/>
      </c>
      <c r="W2" s="167" t="str">
        <f>IF(A2="","",posicao_contratual!W2)</f>
        <v/>
      </c>
    </row>
    <row r="3" spans="1:23" x14ac:dyDescent="0.35">
      <c r="A3" s="86" t="str">
        <f>IF(itens_Remanesc!A3="","",itens_Remanesc!A3)</f>
        <v/>
      </c>
      <c r="B3" s="85" t="str">
        <f>IF(A3="","",IF(posicao_contratual!$Y3="","",IF(posicao_contratual!$Y3&gt;0,"",posicao_contratual!G3)))</f>
        <v/>
      </c>
      <c r="C3" s="79" t="str">
        <f>IF(itens_Remanesc!A3="","",IF(posicao_contratual!$Y3="","",IF(posicao_contratual!$Y3&gt;0,"",itens_Remanesc!C3)))</f>
        <v/>
      </c>
      <c r="D3" s="79" t="str">
        <f>IF(OR($A3="",posicao_contratual!$Y3=""),"",IF(posicao_contratual!$Y3&gt;1,"",IF(NOT(ISNUMBER(itens_Remanesc!C3)),"",IF(posicao_contratual!$Y3=1,IF(IFERROR(IF(ISNUMBER(INDEX(aditivos!$O$2:$O$200,MATCH($A3,aditivos!$A$2:$A$200,0))),MIN(INDEX(aditivos!$O$2:$O$200,MATCH($A3,aditivos!$A$2:$A$200,0)),posicao_contratual!$Y3),posicao_contratual!$Y3),posicao_contratual!$Y3)=1,itens_Remanesc!C3,IFERROR(ROUND(itens_Remanesc!C3*INDEX($L$2:$L$6,MIN(1+1,COUNT($L$2:$L$6)))/INDEX($L$2:$L$6,MIN(IFERROR(IF(ISNUMBER(INDEX(aditivos!$O$2:$O$200,MATCH($A3,aditivos!$A$2:$A$200,0))),MIN(INDEX(aditivos!$O$2:$O$200,MATCH($A3,aditivos!$A$2:$A$200,0)),posicao_contratual!$Y3),posicao_contratual!$Y3),posicao_contratual!$Y3)+1,COUNT($L$2:$L$6))),2),"")),IF(OR(NOT(ISNUMBER($L$3)),NOT(ISNUMBER(INDEX($L$2:$L$6,IFERROR(IF(ISNUMBER(INDEX(aditivos!$O$2:$O$200,MATCH($A3,aditivos!$A$2:$A$200,0))),MIN(INDEX(aditivos!$O$2:$O$200,MATCH($A3,aditivos!$A$2:$A$200,0)),posicao_contratual!$Y3),posicao_contratual!$Y3),posicao_contratual!$Y3)+1)))),"",ROUND(itens_Remanesc!C3*$L$3/INDEX($L$2:$L$6,IFERROR(IF(ISNUMBER(INDEX(aditivos!$O$2:$O$200,MATCH($A3,aditivos!$A$2:$A$200,0))),MIN(INDEX(aditivos!$O$2:$O$200,MATCH($A3,aditivos!$A$2:$A$200,0)),posicao_contratual!$Y3),posicao_contratual!$Y3),posicao_contratual!$Y3)+1),2))))))</f>
        <v/>
      </c>
      <c r="E3" s="79" t="str">
        <f>IF(OR($A3="",posicao_contratual!$Y3=""),"",IF(posicao_contratual!$Y3&gt;2,"",IF(NOT(ISNUMBER(itens_Remanesc!C3)),"",IF(posicao_contratual!$Y3=2,IF(IFERROR(IF(ISNUMBER(INDEX(aditivos!$O$2:$O$200,MATCH($A3,aditivos!$A$2:$A$200,0))),MIN(INDEX(aditivos!$O$2:$O$200,MATCH($A3,aditivos!$A$2:$A$200,0)),posicao_contratual!$Y3),posicao_contratual!$Y3),posicao_contratual!$Y3)=2,itens_Remanesc!C3,IFERROR(ROUND(itens_Remanesc!C3*INDEX($L$2:$L$6,MIN(2+1,COUNT($L$2:$L$6)))/INDEX($L$2:$L$6,MIN(IFERROR(IF(ISNUMBER(INDEX(aditivos!$O$2:$O$200,MATCH($A3,aditivos!$A$2:$A$200,0))),MIN(INDEX(aditivos!$O$2:$O$200,MATCH($A3,aditivos!$A$2:$A$200,0)),posicao_contratual!$Y3),posicao_contratual!$Y3),posicao_contratual!$Y3)+1,COUNT($L$2:$L$6))),2),"")),IF(OR(NOT(ISNUMBER($L$4)),NOT(ISNUMBER(INDEX($L$2:$L$6,IFERROR(IF(ISNUMBER(INDEX(aditivos!$O$2:$O$200,MATCH($A3,aditivos!$A$2:$A$200,0))),MIN(INDEX(aditivos!$O$2:$O$200,MATCH($A3,aditivos!$A$2:$A$200,0)),posicao_contratual!$Y3),posicao_contratual!$Y3),posicao_contratual!$Y3)+1)))),"",ROUND(itens_Remanesc!C3*$L$4/INDEX($L$2:$L$6,IFERROR(IF(ISNUMBER(INDEX(aditivos!$O$2:$O$200,MATCH($A3,aditivos!$A$2:$A$200,0))),MIN(INDEX(aditivos!$O$2:$O$200,MATCH($A3,aditivos!$A$2:$A$200,0)),posicao_contratual!$Y3),posicao_contratual!$Y3),posicao_contratual!$Y3)+1),2))))))</f>
        <v/>
      </c>
      <c r="F3" s="79" t="str">
        <f>IF(OR($A3="",posicao_contratual!$Y3=""),"",IF(posicao_contratual!$Y3&gt;3,"",IF(NOT(ISNUMBER(itens_Remanesc!C3)),"",IF(posicao_contratual!$Y3=3,IF(IFERROR(IF(ISNUMBER(INDEX(aditivos!$O$2:$O$200,MATCH($A3,aditivos!$A$2:$A$200,0))),MIN(INDEX(aditivos!$O$2:$O$200,MATCH($A3,aditivos!$A$2:$A$200,0)),posicao_contratual!$Y3),posicao_contratual!$Y3),posicao_contratual!$Y3)=3,itens_Remanesc!C3,IFERROR(ROUND(itens_Remanesc!C3*INDEX($L$2:$L$6,MIN(3+1,COUNT($L$2:$L$6)))/INDEX($L$2:$L$6,MIN(IFERROR(IF(ISNUMBER(INDEX(aditivos!$O$2:$O$200,MATCH($A3,aditivos!$A$2:$A$200,0))),MIN(INDEX(aditivos!$O$2:$O$200,MATCH($A3,aditivos!$A$2:$A$200,0)),posicao_contratual!$Y3),posicao_contratual!$Y3),posicao_contratual!$Y3)+1,COUNT($L$2:$L$6))),2),"")),IF(OR(NOT(ISNUMBER($L$5)),NOT(ISNUMBER(INDEX($L$2:$L$6,IFERROR(IF(ISNUMBER(INDEX(aditivos!$O$2:$O$200,MATCH($A3,aditivos!$A$2:$A$200,0))),MIN(INDEX(aditivos!$O$2:$O$200,MATCH($A3,aditivos!$A$2:$A$200,0)),posicao_contratual!$Y3),posicao_contratual!$Y3),posicao_contratual!$Y3)+1)))),"",ROUND(itens_Remanesc!C3*$L$5/INDEX($L$2:$L$6,IFERROR(IF(ISNUMBER(INDEX(aditivos!$O$2:$O$200,MATCH($A3,aditivos!$A$2:$A$200,0))),MIN(INDEX(aditivos!$O$2:$O$200,MATCH($A3,aditivos!$A$2:$A$200,0)),posicao_contratual!$Y3),posicao_contratual!$Y3),posicao_contratual!$Y3)+1),2))))))</f>
        <v/>
      </c>
      <c r="G3" s="79" t="str">
        <f>IF(OR($A3="",posicao_contratual!$Y3=""),"",IF(posicao_contratual!$Y3&gt;4,"",IF(NOT(ISNUMBER(itens_Remanesc!C3)),"",IF(posicao_contratual!$Y3=4,IF(IFERROR(IF(ISNUMBER(INDEX(aditivos!$O$2:$O$200,MATCH($A3,aditivos!$A$2:$A$200,0))),MIN(INDEX(aditivos!$O$2:$O$200,MATCH($A3,aditivos!$A$2:$A$200,0)),posicao_contratual!$Y3),posicao_contratual!$Y3),posicao_contratual!$Y3)=4,itens_Remanesc!C3,IFERROR(ROUND(itens_Remanesc!C3*INDEX($L$2:$L$6,MIN(4+1,COUNT($L$2:$L$6)))/INDEX($L$2:$L$6,MIN(IFERROR(IF(ISNUMBER(INDEX(aditivos!$O$2:$O$200,MATCH($A3,aditivos!$A$2:$A$200,0))),MIN(INDEX(aditivos!$O$2:$O$200,MATCH($A3,aditivos!$A$2:$A$200,0)),posicao_contratual!$Y3),posicao_contratual!$Y3),posicao_contratual!$Y3)+1,COUNT($L$2:$L$6))),2),"")),IF(OR(NOT(ISNUMBER($L$6)),NOT(ISNUMBER(INDEX($L$2:$L$6,IFERROR(IF(ISNUMBER(INDEX(aditivos!$O$2:$O$200,MATCH($A3,aditivos!$A$2:$A$200,0))),MIN(INDEX(aditivos!$O$2:$O$200,MATCH($A3,aditivos!$A$2:$A$200,0)),posicao_contratual!$Y3),posicao_contratual!$Y3),posicao_contratual!$Y3)+1)))),"",ROUND(itens_Remanesc!C3*$L$6/INDEX($L$2:$L$6,IFERROR(IF(ISNUMBER(INDEX(aditivos!$O$2:$O$200,MATCH($A3,aditivos!$A$2:$A$200,0))),MIN(INDEX(aditivos!$O$2:$O$200,MATCH($A3,aditivos!$A$2:$A$200,0)),posicao_contratual!$Y3),posicao_contratual!$Y3),posicao_contratual!$Y3)+1),2))))))</f>
        <v/>
      </c>
      <c r="H3" s="116" t="str">
        <f t="shared" si="0"/>
        <v/>
      </c>
      <c r="I3" s="14"/>
      <c r="J3" s="87" t="s">
        <v>22</v>
      </c>
      <c r="K3" s="89" t="str">
        <f>IF(ISNUMBER(parametros!$E$3),parametros!$E$3,"")</f>
        <v/>
      </c>
      <c r="L3" s="90" t="str">
        <f>IF(ISNUMBER(parametros!$F$3),parametros!$F$3,"")</f>
        <v/>
      </c>
      <c r="M3" s="14"/>
      <c r="N3" s="147" t="str">
        <f>IF(A3="","",IF(posicao_contratual!$Y3="","",IF(posicao_contratual!$Y3&gt;0,"",posicao_contratual!E3)))</f>
        <v/>
      </c>
      <c r="O3" s="147" t="str">
        <f>IF(A3="","",IF(posicao_contratual!$Y3="","",IF(posicao_contratual!$Y3&gt;1,"",posicao_contratual!I3)))</f>
        <v/>
      </c>
      <c r="P3" s="147" t="str">
        <f>IF(A3="","",IF(posicao_contratual!$Y3="","",IF(posicao_contratual!$Y3&gt;2,"",posicao_contratual!M3)))</f>
        <v/>
      </c>
      <c r="Q3" s="147" t="str">
        <f>IF(A3="","",IF(posicao_contratual!$Y3="","",IF(posicao_contratual!$Y3&gt;3,"",posicao_contratual!Q3)))</f>
        <v/>
      </c>
      <c r="R3" s="147" t="str">
        <f>IF(A3="","",IF(posicao_contratual!$Y3="","",IF(posicao_contratual!$Y3&gt;4,"",posicao_contratual!U3)))</f>
        <v/>
      </c>
      <c r="S3" s="167" t="str">
        <f>IF(A3="","",posicao_contratual!G3)</f>
        <v/>
      </c>
      <c r="T3" s="167" t="str">
        <f>IF(A3="","",posicao_contratual!K3)</f>
        <v/>
      </c>
      <c r="U3" s="167" t="str">
        <f>IF(A3="","",posicao_contratual!O3)</f>
        <v/>
      </c>
      <c r="V3" s="167" t="str">
        <f>IF(A3="","",posicao_contratual!S3)</f>
        <v/>
      </c>
      <c r="W3" s="167" t="str">
        <f>IF(A3="","",posicao_contratual!W3)</f>
        <v/>
      </c>
    </row>
    <row r="4" spans="1:23" x14ac:dyDescent="0.35">
      <c r="A4" s="86" t="str">
        <f>IF(itens_Remanesc!A4="","",itens_Remanesc!A4)</f>
        <v/>
      </c>
      <c r="B4" s="85" t="str">
        <f>IF(A4="","",IF(posicao_contratual!$Y4="","",IF(posicao_contratual!$Y4&gt;0,"",posicao_contratual!G4)))</f>
        <v/>
      </c>
      <c r="C4" s="79" t="str">
        <f>IF(itens_Remanesc!A4="","",IF(posicao_contratual!$Y4="","",IF(posicao_contratual!$Y4&gt;0,"",itens_Remanesc!C4)))</f>
        <v/>
      </c>
      <c r="D4" s="79" t="str">
        <f>IF(OR($A4="",posicao_contratual!$Y4=""),"",IF(posicao_contratual!$Y4&gt;1,"",IF(NOT(ISNUMBER(itens_Remanesc!C4)),"",IF(posicao_contratual!$Y4=1,IF(IFERROR(IF(ISNUMBER(INDEX(aditivos!$O$2:$O$200,MATCH($A4,aditivos!$A$2:$A$200,0))),MIN(INDEX(aditivos!$O$2:$O$200,MATCH($A4,aditivos!$A$2:$A$200,0)),posicao_contratual!$Y4),posicao_contratual!$Y4),posicao_contratual!$Y4)=1,itens_Remanesc!C4,IFERROR(ROUND(itens_Remanesc!C4*INDEX($L$2:$L$6,MIN(1+1,COUNT($L$2:$L$6)))/INDEX($L$2:$L$6,MIN(IFERROR(IF(ISNUMBER(INDEX(aditivos!$O$2:$O$200,MATCH($A4,aditivos!$A$2:$A$200,0))),MIN(INDEX(aditivos!$O$2:$O$200,MATCH($A4,aditivos!$A$2:$A$200,0)),posicao_contratual!$Y4),posicao_contratual!$Y4),posicao_contratual!$Y4)+1,COUNT($L$2:$L$6))),2),"")),IF(OR(NOT(ISNUMBER($L$3)),NOT(ISNUMBER(INDEX($L$2:$L$6,IFERROR(IF(ISNUMBER(INDEX(aditivos!$O$2:$O$200,MATCH($A4,aditivos!$A$2:$A$200,0))),MIN(INDEX(aditivos!$O$2:$O$200,MATCH($A4,aditivos!$A$2:$A$200,0)),posicao_contratual!$Y4),posicao_contratual!$Y4),posicao_contratual!$Y4)+1)))),"",ROUND(itens_Remanesc!C4*$L$3/INDEX($L$2:$L$6,IFERROR(IF(ISNUMBER(INDEX(aditivos!$O$2:$O$200,MATCH($A4,aditivos!$A$2:$A$200,0))),MIN(INDEX(aditivos!$O$2:$O$200,MATCH($A4,aditivos!$A$2:$A$200,0)),posicao_contratual!$Y4),posicao_contratual!$Y4),posicao_contratual!$Y4)+1),2))))))</f>
        <v/>
      </c>
      <c r="E4" s="79" t="str">
        <f>IF(OR($A4="",posicao_contratual!$Y4=""),"",IF(posicao_contratual!$Y4&gt;2,"",IF(NOT(ISNUMBER(itens_Remanesc!C4)),"",IF(posicao_contratual!$Y4=2,IF(IFERROR(IF(ISNUMBER(INDEX(aditivos!$O$2:$O$200,MATCH($A4,aditivos!$A$2:$A$200,0))),MIN(INDEX(aditivos!$O$2:$O$200,MATCH($A4,aditivos!$A$2:$A$200,0)),posicao_contratual!$Y4),posicao_contratual!$Y4),posicao_contratual!$Y4)=2,itens_Remanesc!C4,IFERROR(ROUND(itens_Remanesc!C4*INDEX($L$2:$L$6,MIN(2+1,COUNT($L$2:$L$6)))/INDEX($L$2:$L$6,MIN(IFERROR(IF(ISNUMBER(INDEX(aditivos!$O$2:$O$200,MATCH($A4,aditivos!$A$2:$A$200,0))),MIN(INDEX(aditivos!$O$2:$O$200,MATCH($A4,aditivos!$A$2:$A$200,0)),posicao_contratual!$Y4),posicao_contratual!$Y4),posicao_contratual!$Y4)+1,COUNT($L$2:$L$6))),2),"")),IF(OR(NOT(ISNUMBER($L$4)),NOT(ISNUMBER(INDEX($L$2:$L$6,IFERROR(IF(ISNUMBER(INDEX(aditivos!$O$2:$O$200,MATCH($A4,aditivos!$A$2:$A$200,0))),MIN(INDEX(aditivos!$O$2:$O$200,MATCH($A4,aditivos!$A$2:$A$200,0)),posicao_contratual!$Y4),posicao_contratual!$Y4),posicao_contratual!$Y4)+1)))),"",ROUND(itens_Remanesc!C4*$L$4/INDEX($L$2:$L$6,IFERROR(IF(ISNUMBER(INDEX(aditivos!$O$2:$O$200,MATCH($A4,aditivos!$A$2:$A$200,0))),MIN(INDEX(aditivos!$O$2:$O$200,MATCH($A4,aditivos!$A$2:$A$200,0)),posicao_contratual!$Y4),posicao_contratual!$Y4),posicao_contratual!$Y4)+1),2))))))</f>
        <v/>
      </c>
      <c r="F4" s="79" t="str">
        <f>IF(OR($A4="",posicao_contratual!$Y4=""),"",IF(posicao_contratual!$Y4&gt;3,"",IF(NOT(ISNUMBER(itens_Remanesc!C4)),"",IF(posicao_contratual!$Y4=3,IF(IFERROR(IF(ISNUMBER(INDEX(aditivos!$O$2:$O$200,MATCH($A4,aditivos!$A$2:$A$200,0))),MIN(INDEX(aditivos!$O$2:$O$200,MATCH($A4,aditivos!$A$2:$A$200,0)),posicao_contratual!$Y4),posicao_contratual!$Y4),posicao_contratual!$Y4)=3,itens_Remanesc!C4,IFERROR(ROUND(itens_Remanesc!C4*INDEX($L$2:$L$6,MIN(3+1,COUNT($L$2:$L$6)))/INDEX($L$2:$L$6,MIN(IFERROR(IF(ISNUMBER(INDEX(aditivos!$O$2:$O$200,MATCH($A4,aditivos!$A$2:$A$200,0))),MIN(INDEX(aditivos!$O$2:$O$200,MATCH($A4,aditivos!$A$2:$A$200,0)),posicao_contratual!$Y4),posicao_contratual!$Y4),posicao_contratual!$Y4)+1,COUNT($L$2:$L$6))),2),"")),IF(OR(NOT(ISNUMBER($L$5)),NOT(ISNUMBER(INDEX($L$2:$L$6,IFERROR(IF(ISNUMBER(INDEX(aditivos!$O$2:$O$200,MATCH($A4,aditivos!$A$2:$A$200,0))),MIN(INDEX(aditivos!$O$2:$O$200,MATCH($A4,aditivos!$A$2:$A$200,0)),posicao_contratual!$Y4),posicao_contratual!$Y4),posicao_contratual!$Y4)+1)))),"",ROUND(itens_Remanesc!C4*$L$5/INDEX($L$2:$L$6,IFERROR(IF(ISNUMBER(INDEX(aditivos!$O$2:$O$200,MATCH($A4,aditivos!$A$2:$A$200,0))),MIN(INDEX(aditivos!$O$2:$O$200,MATCH($A4,aditivos!$A$2:$A$200,0)),posicao_contratual!$Y4),posicao_contratual!$Y4),posicao_contratual!$Y4)+1),2))))))</f>
        <v/>
      </c>
      <c r="G4" s="79" t="str">
        <f>IF(OR($A4="",posicao_contratual!$Y4=""),"",IF(posicao_contratual!$Y4&gt;4,"",IF(NOT(ISNUMBER(itens_Remanesc!C4)),"",IF(posicao_contratual!$Y4=4,IF(IFERROR(IF(ISNUMBER(INDEX(aditivos!$O$2:$O$200,MATCH($A4,aditivos!$A$2:$A$200,0))),MIN(INDEX(aditivos!$O$2:$O$200,MATCH($A4,aditivos!$A$2:$A$200,0)),posicao_contratual!$Y4),posicao_contratual!$Y4),posicao_contratual!$Y4)=4,itens_Remanesc!C4,IFERROR(ROUND(itens_Remanesc!C4*INDEX($L$2:$L$6,MIN(4+1,COUNT($L$2:$L$6)))/INDEX($L$2:$L$6,MIN(IFERROR(IF(ISNUMBER(INDEX(aditivos!$O$2:$O$200,MATCH($A4,aditivos!$A$2:$A$200,0))),MIN(INDEX(aditivos!$O$2:$O$200,MATCH($A4,aditivos!$A$2:$A$200,0)),posicao_contratual!$Y4),posicao_contratual!$Y4),posicao_contratual!$Y4)+1,COUNT($L$2:$L$6))),2),"")),IF(OR(NOT(ISNUMBER($L$6)),NOT(ISNUMBER(INDEX($L$2:$L$6,IFERROR(IF(ISNUMBER(INDEX(aditivos!$O$2:$O$200,MATCH($A4,aditivos!$A$2:$A$200,0))),MIN(INDEX(aditivos!$O$2:$O$200,MATCH($A4,aditivos!$A$2:$A$200,0)),posicao_contratual!$Y4),posicao_contratual!$Y4),posicao_contratual!$Y4)+1)))),"",ROUND(itens_Remanesc!C4*$L$6/INDEX($L$2:$L$6,IFERROR(IF(ISNUMBER(INDEX(aditivos!$O$2:$O$200,MATCH($A4,aditivos!$A$2:$A$200,0))),MIN(INDEX(aditivos!$O$2:$O$200,MATCH($A4,aditivos!$A$2:$A$200,0)),posicao_contratual!$Y4),posicao_contratual!$Y4),posicao_contratual!$Y4)+1),2))))))</f>
        <v/>
      </c>
      <c r="H4" s="116" t="str">
        <f t="shared" si="0"/>
        <v/>
      </c>
      <c r="I4" s="14"/>
      <c r="J4" s="87" t="s">
        <v>23</v>
      </c>
      <c r="K4" s="89" t="str">
        <f>IF(ISNUMBER(parametros!$E$4),parametros!$E$4,"")</f>
        <v/>
      </c>
      <c r="L4" s="90" t="str">
        <f>IF(ISNUMBER(parametros!$F$4),parametros!$F$4,"")</f>
        <v/>
      </c>
      <c r="M4" s="14"/>
      <c r="N4" s="147" t="str">
        <f>IF(A4="","",IF(posicao_contratual!$Y4="","",IF(posicao_contratual!$Y4&gt;0,"",posicao_contratual!E4)))</f>
        <v/>
      </c>
      <c r="O4" s="147" t="str">
        <f>IF(A4="","",IF(posicao_contratual!$Y4="","",IF(posicao_contratual!$Y4&gt;1,"",posicao_contratual!I4)))</f>
        <v/>
      </c>
      <c r="P4" s="147" t="str">
        <f>IF(A4="","",IF(posicao_contratual!$Y4="","",IF(posicao_contratual!$Y4&gt;2,"",posicao_contratual!M4)))</f>
        <v/>
      </c>
      <c r="Q4" s="147" t="str">
        <f>IF(A4="","",IF(posicao_contratual!$Y4="","",IF(posicao_contratual!$Y4&gt;3,"",posicao_contratual!Q4)))</f>
        <v/>
      </c>
      <c r="R4" s="147" t="str">
        <f>IF(A4="","",IF(posicao_contratual!$Y4="","",IF(posicao_contratual!$Y4&gt;4,"",posicao_contratual!U4)))</f>
        <v/>
      </c>
      <c r="S4" s="167" t="str">
        <f>IF(A4="","",posicao_contratual!G4)</f>
        <v/>
      </c>
      <c r="T4" s="167" t="str">
        <f>IF(A4="","",posicao_contratual!K4)</f>
        <v/>
      </c>
      <c r="U4" s="167" t="str">
        <f>IF(A4="","",posicao_contratual!O4)</f>
        <v/>
      </c>
      <c r="V4" s="167" t="str">
        <f>IF(A4="","",posicao_contratual!S4)</f>
        <v/>
      </c>
      <c r="W4" s="167" t="str">
        <f>IF(A4="","",posicao_contratual!W4)</f>
        <v/>
      </c>
    </row>
    <row r="5" spans="1:23" x14ac:dyDescent="0.35">
      <c r="A5" s="86" t="str">
        <f>IF(itens_Remanesc!A5="","",itens_Remanesc!A5)</f>
        <v/>
      </c>
      <c r="B5" s="85" t="str">
        <f>IF(A5="","",IF(posicao_contratual!$Y5="","",IF(posicao_contratual!$Y5&gt;0,"",posicao_contratual!G5)))</f>
        <v/>
      </c>
      <c r="C5" s="79" t="str">
        <f>IF(itens_Remanesc!A5="","",IF(posicao_contratual!$Y5="","",IF(posicao_contratual!$Y5&gt;0,"",itens_Remanesc!C5)))</f>
        <v/>
      </c>
      <c r="D5" s="79" t="str">
        <f>IF(OR($A5="",posicao_contratual!$Y5=""),"",IF(posicao_contratual!$Y5&gt;1,"",IF(NOT(ISNUMBER(itens_Remanesc!C5)),"",IF(posicao_contratual!$Y5=1,IF(IFERROR(IF(ISNUMBER(INDEX(aditivos!$O$2:$O$200,MATCH($A5,aditivos!$A$2:$A$200,0))),MIN(INDEX(aditivos!$O$2:$O$200,MATCH($A5,aditivos!$A$2:$A$200,0)),posicao_contratual!$Y5),posicao_contratual!$Y5),posicao_contratual!$Y5)=1,itens_Remanesc!C5,IFERROR(ROUND(itens_Remanesc!C5*INDEX($L$2:$L$6,MIN(1+1,COUNT($L$2:$L$6)))/INDEX($L$2:$L$6,MIN(IFERROR(IF(ISNUMBER(INDEX(aditivos!$O$2:$O$200,MATCH($A5,aditivos!$A$2:$A$200,0))),MIN(INDEX(aditivos!$O$2:$O$200,MATCH($A5,aditivos!$A$2:$A$200,0)),posicao_contratual!$Y5),posicao_contratual!$Y5),posicao_contratual!$Y5)+1,COUNT($L$2:$L$6))),2),"")),IF(OR(NOT(ISNUMBER($L$3)),NOT(ISNUMBER(INDEX($L$2:$L$6,IFERROR(IF(ISNUMBER(INDEX(aditivos!$O$2:$O$200,MATCH($A5,aditivos!$A$2:$A$200,0))),MIN(INDEX(aditivos!$O$2:$O$200,MATCH($A5,aditivos!$A$2:$A$200,0)),posicao_contratual!$Y5),posicao_contratual!$Y5),posicao_contratual!$Y5)+1)))),"",ROUND(itens_Remanesc!C5*$L$3/INDEX($L$2:$L$6,IFERROR(IF(ISNUMBER(INDEX(aditivos!$O$2:$O$200,MATCH($A5,aditivos!$A$2:$A$200,0))),MIN(INDEX(aditivos!$O$2:$O$200,MATCH($A5,aditivos!$A$2:$A$200,0)),posicao_contratual!$Y5),posicao_contratual!$Y5),posicao_contratual!$Y5)+1),2))))))</f>
        <v/>
      </c>
      <c r="E5" s="79" t="str">
        <f>IF(OR($A5="",posicao_contratual!$Y5=""),"",IF(posicao_contratual!$Y5&gt;2,"",IF(NOT(ISNUMBER(itens_Remanesc!C5)),"",IF(posicao_contratual!$Y5=2,IF(IFERROR(IF(ISNUMBER(INDEX(aditivos!$O$2:$O$200,MATCH($A5,aditivos!$A$2:$A$200,0))),MIN(INDEX(aditivos!$O$2:$O$200,MATCH($A5,aditivos!$A$2:$A$200,0)),posicao_contratual!$Y5),posicao_contratual!$Y5),posicao_contratual!$Y5)=2,itens_Remanesc!C5,IFERROR(ROUND(itens_Remanesc!C5*INDEX($L$2:$L$6,MIN(2+1,COUNT($L$2:$L$6)))/INDEX($L$2:$L$6,MIN(IFERROR(IF(ISNUMBER(INDEX(aditivos!$O$2:$O$200,MATCH($A5,aditivos!$A$2:$A$200,0))),MIN(INDEX(aditivos!$O$2:$O$200,MATCH($A5,aditivos!$A$2:$A$200,0)),posicao_contratual!$Y5),posicao_contratual!$Y5),posicao_contratual!$Y5)+1,COUNT($L$2:$L$6))),2),"")),IF(OR(NOT(ISNUMBER($L$4)),NOT(ISNUMBER(INDEX($L$2:$L$6,IFERROR(IF(ISNUMBER(INDEX(aditivos!$O$2:$O$200,MATCH($A5,aditivos!$A$2:$A$200,0))),MIN(INDEX(aditivos!$O$2:$O$200,MATCH($A5,aditivos!$A$2:$A$200,0)),posicao_contratual!$Y5),posicao_contratual!$Y5),posicao_contratual!$Y5)+1)))),"",ROUND(itens_Remanesc!C5*$L$4/INDEX($L$2:$L$6,IFERROR(IF(ISNUMBER(INDEX(aditivos!$O$2:$O$200,MATCH($A5,aditivos!$A$2:$A$200,0))),MIN(INDEX(aditivos!$O$2:$O$200,MATCH($A5,aditivos!$A$2:$A$200,0)),posicao_contratual!$Y5),posicao_contratual!$Y5),posicao_contratual!$Y5)+1),2))))))</f>
        <v/>
      </c>
      <c r="F5" s="79" t="str">
        <f>IF(OR($A5="",posicao_contratual!$Y5=""),"",IF(posicao_contratual!$Y5&gt;3,"",IF(NOT(ISNUMBER(itens_Remanesc!C5)),"",IF(posicao_contratual!$Y5=3,IF(IFERROR(IF(ISNUMBER(INDEX(aditivos!$O$2:$O$200,MATCH($A5,aditivos!$A$2:$A$200,0))),MIN(INDEX(aditivos!$O$2:$O$200,MATCH($A5,aditivos!$A$2:$A$200,0)),posicao_contratual!$Y5),posicao_contratual!$Y5),posicao_contratual!$Y5)=3,itens_Remanesc!C5,IFERROR(ROUND(itens_Remanesc!C5*INDEX($L$2:$L$6,MIN(3+1,COUNT($L$2:$L$6)))/INDEX($L$2:$L$6,MIN(IFERROR(IF(ISNUMBER(INDEX(aditivos!$O$2:$O$200,MATCH($A5,aditivos!$A$2:$A$200,0))),MIN(INDEX(aditivos!$O$2:$O$200,MATCH($A5,aditivos!$A$2:$A$200,0)),posicao_contratual!$Y5),posicao_contratual!$Y5),posicao_contratual!$Y5)+1,COUNT($L$2:$L$6))),2),"")),IF(OR(NOT(ISNUMBER($L$5)),NOT(ISNUMBER(INDEX($L$2:$L$6,IFERROR(IF(ISNUMBER(INDEX(aditivos!$O$2:$O$200,MATCH($A5,aditivos!$A$2:$A$200,0))),MIN(INDEX(aditivos!$O$2:$O$200,MATCH($A5,aditivos!$A$2:$A$200,0)),posicao_contratual!$Y5),posicao_contratual!$Y5),posicao_contratual!$Y5)+1)))),"",ROUND(itens_Remanesc!C5*$L$5/INDEX($L$2:$L$6,IFERROR(IF(ISNUMBER(INDEX(aditivos!$O$2:$O$200,MATCH($A5,aditivos!$A$2:$A$200,0))),MIN(INDEX(aditivos!$O$2:$O$200,MATCH($A5,aditivos!$A$2:$A$200,0)),posicao_contratual!$Y5),posicao_contratual!$Y5),posicao_contratual!$Y5)+1),2))))))</f>
        <v/>
      </c>
      <c r="G5" s="79" t="str">
        <f>IF(OR($A5="",posicao_contratual!$Y5=""),"",IF(posicao_contratual!$Y5&gt;4,"",IF(NOT(ISNUMBER(itens_Remanesc!C5)),"",IF(posicao_contratual!$Y5=4,IF(IFERROR(IF(ISNUMBER(INDEX(aditivos!$O$2:$O$200,MATCH($A5,aditivos!$A$2:$A$200,0))),MIN(INDEX(aditivos!$O$2:$O$200,MATCH($A5,aditivos!$A$2:$A$200,0)),posicao_contratual!$Y5),posicao_contratual!$Y5),posicao_contratual!$Y5)=4,itens_Remanesc!C5,IFERROR(ROUND(itens_Remanesc!C5*INDEX($L$2:$L$6,MIN(4+1,COUNT($L$2:$L$6)))/INDEX($L$2:$L$6,MIN(IFERROR(IF(ISNUMBER(INDEX(aditivos!$O$2:$O$200,MATCH($A5,aditivos!$A$2:$A$200,0))),MIN(INDEX(aditivos!$O$2:$O$200,MATCH($A5,aditivos!$A$2:$A$200,0)),posicao_contratual!$Y5),posicao_contratual!$Y5),posicao_contratual!$Y5)+1,COUNT($L$2:$L$6))),2),"")),IF(OR(NOT(ISNUMBER($L$6)),NOT(ISNUMBER(INDEX($L$2:$L$6,IFERROR(IF(ISNUMBER(INDEX(aditivos!$O$2:$O$200,MATCH($A5,aditivos!$A$2:$A$200,0))),MIN(INDEX(aditivos!$O$2:$O$200,MATCH($A5,aditivos!$A$2:$A$200,0)),posicao_contratual!$Y5),posicao_contratual!$Y5),posicao_contratual!$Y5)+1)))),"",ROUND(itens_Remanesc!C5*$L$6/INDEX($L$2:$L$6,IFERROR(IF(ISNUMBER(INDEX(aditivos!$O$2:$O$200,MATCH($A5,aditivos!$A$2:$A$200,0))),MIN(INDEX(aditivos!$O$2:$O$200,MATCH($A5,aditivos!$A$2:$A$200,0)),posicao_contratual!$Y5),posicao_contratual!$Y5),posicao_contratual!$Y5)+1),2))))))</f>
        <v/>
      </c>
      <c r="H5" s="116" t="str">
        <f t="shared" si="0"/>
        <v/>
      </c>
      <c r="I5" s="14"/>
      <c r="J5" s="87" t="s">
        <v>24</v>
      </c>
      <c r="K5" s="89" t="str">
        <f>IF(ISNUMBER(parametros!$E$5),parametros!$E$5,"")</f>
        <v/>
      </c>
      <c r="L5" s="90" t="str">
        <f>IF(ISNUMBER(parametros!$F$5),parametros!$F$5,"")</f>
        <v/>
      </c>
      <c r="M5" s="14"/>
      <c r="N5" s="147" t="str">
        <f>IF(A5="","",IF(posicao_contratual!$Y5="","",IF(posicao_contratual!$Y5&gt;0,"",posicao_contratual!E5)))</f>
        <v/>
      </c>
      <c r="O5" s="147" t="str">
        <f>IF(A5="","",IF(posicao_contratual!$Y5="","",IF(posicao_contratual!$Y5&gt;1,"",posicao_contratual!I5)))</f>
        <v/>
      </c>
      <c r="P5" s="147" t="str">
        <f>IF(A5="","",IF(posicao_contratual!$Y5="","",IF(posicao_contratual!$Y5&gt;2,"",posicao_contratual!M5)))</f>
        <v/>
      </c>
      <c r="Q5" s="147" t="str">
        <f>IF(A5="","",IF(posicao_contratual!$Y5="","",IF(posicao_contratual!$Y5&gt;3,"",posicao_contratual!Q5)))</f>
        <v/>
      </c>
      <c r="R5" s="147" t="str">
        <f>IF(A5="","",IF(posicao_contratual!$Y5="","",IF(posicao_contratual!$Y5&gt;4,"",posicao_contratual!U5)))</f>
        <v/>
      </c>
      <c r="S5" s="167" t="str">
        <f>IF(A5="","",posicao_contratual!G5)</f>
        <v/>
      </c>
      <c r="T5" s="167" t="str">
        <f>IF(A5="","",posicao_contratual!K5)</f>
        <v/>
      </c>
      <c r="U5" s="167" t="str">
        <f>IF(A5="","",posicao_contratual!O5)</f>
        <v/>
      </c>
      <c r="V5" s="167" t="str">
        <f>IF(A5="","",posicao_contratual!S5)</f>
        <v/>
      </c>
      <c r="W5" s="167" t="str">
        <f>IF(A5="","",posicao_contratual!W5)</f>
        <v/>
      </c>
    </row>
    <row r="6" spans="1:23" x14ac:dyDescent="0.35">
      <c r="A6" s="86" t="str">
        <f>IF(itens_Remanesc!A6="","",itens_Remanesc!A6)</f>
        <v/>
      </c>
      <c r="B6" s="85" t="str">
        <f>IF(A6="","",IF(posicao_contratual!$Y6="","",IF(posicao_contratual!$Y6&gt;0,"",posicao_contratual!G6)))</f>
        <v/>
      </c>
      <c r="C6" s="79" t="str">
        <f>IF(itens_Remanesc!A6="","",IF(posicao_contratual!$Y6="","",IF(posicao_contratual!$Y6&gt;0,"",itens_Remanesc!C6)))</f>
        <v/>
      </c>
      <c r="D6" s="79" t="str">
        <f>IF(OR($A6="",posicao_contratual!$Y6=""),"",IF(posicao_contratual!$Y6&gt;1,"",IF(NOT(ISNUMBER(itens_Remanesc!C6)),"",IF(posicao_contratual!$Y6=1,IF(IFERROR(IF(ISNUMBER(INDEX(aditivos!$O$2:$O$200,MATCH($A6,aditivos!$A$2:$A$200,0))),MIN(INDEX(aditivos!$O$2:$O$200,MATCH($A6,aditivos!$A$2:$A$200,0)),posicao_contratual!$Y6),posicao_contratual!$Y6),posicao_contratual!$Y6)=1,itens_Remanesc!C6,IFERROR(ROUND(itens_Remanesc!C6*INDEX($L$2:$L$6,MIN(1+1,COUNT($L$2:$L$6)))/INDEX($L$2:$L$6,MIN(IFERROR(IF(ISNUMBER(INDEX(aditivos!$O$2:$O$200,MATCH($A6,aditivos!$A$2:$A$200,0))),MIN(INDEX(aditivos!$O$2:$O$200,MATCH($A6,aditivos!$A$2:$A$200,0)),posicao_contratual!$Y6),posicao_contratual!$Y6),posicao_contratual!$Y6)+1,COUNT($L$2:$L$6))),2),"")),IF(OR(NOT(ISNUMBER($L$3)),NOT(ISNUMBER(INDEX($L$2:$L$6,IFERROR(IF(ISNUMBER(INDEX(aditivos!$O$2:$O$200,MATCH($A6,aditivos!$A$2:$A$200,0))),MIN(INDEX(aditivos!$O$2:$O$200,MATCH($A6,aditivos!$A$2:$A$200,0)),posicao_contratual!$Y6),posicao_contratual!$Y6),posicao_contratual!$Y6)+1)))),"",ROUND(itens_Remanesc!C6*$L$3/INDEX($L$2:$L$6,IFERROR(IF(ISNUMBER(INDEX(aditivos!$O$2:$O$200,MATCH($A6,aditivos!$A$2:$A$200,0))),MIN(INDEX(aditivos!$O$2:$O$200,MATCH($A6,aditivos!$A$2:$A$200,0)),posicao_contratual!$Y6),posicao_contratual!$Y6),posicao_contratual!$Y6)+1),2))))))</f>
        <v/>
      </c>
      <c r="E6" s="79" t="str">
        <f>IF(OR($A6="",posicao_contratual!$Y6=""),"",IF(posicao_contratual!$Y6&gt;2,"",IF(NOT(ISNUMBER(itens_Remanesc!C6)),"",IF(posicao_contratual!$Y6=2,IF(IFERROR(IF(ISNUMBER(INDEX(aditivos!$O$2:$O$200,MATCH($A6,aditivos!$A$2:$A$200,0))),MIN(INDEX(aditivos!$O$2:$O$200,MATCH($A6,aditivos!$A$2:$A$200,0)),posicao_contratual!$Y6),posicao_contratual!$Y6),posicao_contratual!$Y6)=2,itens_Remanesc!C6,IFERROR(ROUND(itens_Remanesc!C6*INDEX($L$2:$L$6,MIN(2+1,COUNT($L$2:$L$6)))/INDEX($L$2:$L$6,MIN(IFERROR(IF(ISNUMBER(INDEX(aditivos!$O$2:$O$200,MATCH($A6,aditivos!$A$2:$A$200,0))),MIN(INDEX(aditivos!$O$2:$O$200,MATCH($A6,aditivos!$A$2:$A$200,0)),posicao_contratual!$Y6),posicao_contratual!$Y6),posicao_contratual!$Y6)+1,COUNT($L$2:$L$6))),2),"")),IF(OR(NOT(ISNUMBER($L$4)),NOT(ISNUMBER(INDEX($L$2:$L$6,IFERROR(IF(ISNUMBER(INDEX(aditivos!$O$2:$O$200,MATCH($A6,aditivos!$A$2:$A$200,0))),MIN(INDEX(aditivos!$O$2:$O$200,MATCH($A6,aditivos!$A$2:$A$200,0)),posicao_contratual!$Y6),posicao_contratual!$Y6),posicao_contratual!$Y6)+1)))),"",ROUND(itens_Remanesc!C6*$L$4/INDEX($L$2:$L$6,IFERROR(IF(ISNUMBER(INDEX(aditivos!$O$2:$O$200,MATCH($A6,aditivos!$A$2:$A$200,0))),MIN(INDEX(aditivos!$O$2:$O$200,MATCH($A6,aditivos!$A$2:$A$200,0)),posicao_contratual!$Y6),posicao_contratual!$Y6),posicao_contratual!$Y6)+1),2))))))</f>
        <v/>
      </c>
      <c r="F6" s="79" t="str">
        <f>IF(OR($A6="",posicao_contratual!$Y6=""),"",IF(posicao_contratual!$Y6&gt;3,"",IF(NOT(ISNUMBER(itens_Remanesc!C6)),"",IF(posicao_contratual!$Y6=3,IF(IFERROR(IF(ISNUMBER(INDEX(aditivos!$O$2:$O$200,MATCH($A6,aditivos!$A$2:$A$200,0))),MIN(INDEX(aditivos!$O$2:$O$200,MATCH($A6,aditivos!$A$2:$A$200,0)),posicao_contratual!$Y6),posicao_contratual!$Y6),posicao_contratual!$Y6)=3,itens_Remanesc!C6,IFERROR(ROUND(itens_Remanesc!C6*INDEX($L$2:$L$6,MIN(3+1,COUNT($L$2:$L$6)))/INDEX($L$2:$L$6,MIN(IFERROR(IF(ISNUMBER(INDEX(aditivos!$O$2:$O$200,MATCH($A6,aditivos!$A$2:$A$200,0))),MIN(INDEX(aditivos!$O$2:$O$200,MATCH($A6,aditivos!$A$2:$A$200,0)),posicao_contratual!$Y6),posicao_contratual!$Y6),posicao_contratual!$Y6)+1,COUNT($L$2:$L$6))),2),"")),IF(OR(NOT(ISNUMBER($L$5)),NOT(ISNUMBER(INDEX($L$2:$L$6,IFERROR(IF(ISNUMBER(INDEX(aditivos!$O$2:$O$200,MATCH($A6,aditivos!$A$2:$A$200,0))),MIN(INDEX(aditivos!$O$2:$O$200,MATCH($A6,aditivos!$A$2:$A$200,0)),posicao_contratual!$Y6),posicao_contratual!$Y6),posicao_contratual!$Y6)+1)))),"",ROUND(itens_Remanesc!C6*$L$5/INDEX($L$2:$L$6,IFERROR(IF(ISNUMBER(INDEX(aditivos!$O$2:$O$200,MATCH($A6,aditivos!$A$2:$A$200,0))),MIN(INDEX(aditivos!$O$2:$O$200,MATCH($A6,aditivos!$A$2:$A$200,0)),posicao_contratual!$Y6),posicao_contratual!$Y6),posicao_contratual!$Y6)+1),2))))))</f>
        <v/>
      </c>
      <c r="G6" s="79" t="str">
        <f>IF(OR($A6="",posicao_contratual!$Y6=""),"",IF(posicao_contratual!$Y6&gt;4,"",IF(NOT(ISNUMBER(itens_Remanesc!C6)),"",IF(posicao_contratual!$Y6=4,IF(IFERROR(IF(ISNUMBER(INDEX(aditivos!$O$2:$O$200,MATCH($A6,aditivos!$A$2:$A$200,0))),MIN(INDEX(aditivos!$O$2:$O$200,MATCH($A6,aditivos!$A$2:$A$200,0)),posicao_contratual!$Y6),posicao_contratual!$Y6),posicao_contratual!$Y6)=4,itens_Remanesc!C6,IFERROR(ROUND(itens_Remanesc!C6*INDEX($L$2:$L$6,MIN(4+1,COUNT($L$2:$L$6)))/INDEX($L$2:$L$6,MIN(IFERROR(IF(ISNUMBER(INDEX(aditivos!$O$2:$O$200,MATCH($A6,aditivos!$A$2:$A$200,0))),MIN(INDEX(aditivos!$O$2:$O$200,MATCH($A6,aditivos!$A$2:$A$200,0)),posicao_contratual!$Y6),posicao_contratual!$Y6),posicao_contratual!$Y6)+1,COUNT($L$2:$L$6))),2),"")),IF(OR(NOT(ISNUMBER($L$6)),NOT(ISNUMBER(INDEX($L$2:$L$6,IFERROR(IF(ISNUMBER(INDEX(aditivos!$O$2:$O$200,MATCH($A6,aditivos!$A$2:$A$200,0))),MIN(INDEX(aditivos!$O$2:$O$200,MATCH($A6,aditivos!$A$2:$A$200,0)),posicao_contratual!$Y6),posicao_contratual!$Y6),posicao_contratual!$Y6)+1)))),"",ROUND(itens_Remanesc!C6*$L$6/INDEX($L$2:$L$6,IFERROR(IF(ISNUMBER(INDEX(aditivos!$O$2:$O$200,MATCH($A6,aditivos!$A$2:$A$200,0))),MIN(INDEX(aditivos!$O$2:$O$200,MATCH($A6,aditivos!$A$2:$A$200,0)),posicao_contratual!$Y6),posicao_contratual!$Y6),posicao_contratual!$Y6)+1),2))))))</f>
        <v/>
      </c>
      <c r="H6" s="116" t="str">
        <f t="shared" si="0"/>
        <v/>
      </c>
      <c r="I6" s="14"/>
      <c r="J6" s="87" t="s">
        <v>25</v>
      </c>
      <c r="K6" s="89" t="str">
        <f>IF(ISNUMBER(parametros!$E$6),parametros!$E$6,"")</f>
        <v/>
      </c>
      <c r="L6" s="90" t="str">
        <f>IF(ISNUMBER(parametros!$F$6),parametros!$F$6,"")</f>
        <v/>
      </c>
      <c r="M6" s="14"/>
      <c r="N6" s="147" t="str">
        <f>IF(A6="","",IF(posicao_contratual!$Y6="","",IF(posicao_contratual!$Y6&gt;0,"",posicao_contratual!E6)))</f>
        <v/>
      </c>
      <c r="O6" s="147" t="str">
        <f>IF(A6="","",IF(posicao_contratual!$Y6="","",IF(posicao_contratual!$Y6&gt;1,"",posicao_contratual!I6)))</f>
        <v/>
      </c>
      <c r="P6" s="147" t="str">
        <f>IF(A6="","",IF(posicao_contratual!$Y6="","",IF(posicao_contratual!$Y6&gt;2,"",posicao_contratual!M6)))</f>
        <v/>
      </c>
      <c r="Q6" s="147" t="str">
        <f>IF(A6="","",IF(posicao_contratual!$Y6="","",IF(posicao_contratual!$Y6&gt;3,"",posicao_contratual!Q6)))</f>
        <v/>
      </c>
      <c r="R6" s="147" t="str">
        <f>IF(A6="","",IF(posicao_contratual!$Y6="","",IF(posicao_contratual!$Y6&gt;4,"",posicao_contratual!U6)))</f>
        <v/>
      </c>
      <c r="S6" s="167" t="str">
        <f>IF(A6="","",posicao_contratual!G6)</f>
        <v/>
      </c>
      <c r="T6" s="167" t="str">
        <f>IF(A6="","",posicao_contratual!K6)</f>
        <v/>
      </c>
      <c r="U6" s="167" t="str">
        <f>IF(A6="","",posicao_contratual!O6)</f>
        <v/>
      </c>
      <c r="V6" s="167" t="str">
        <f>IF(A6="","",posicao_contratual!S6)</f>
        <v/>
      </c>
      <c r="W6" s="167" t="str">
        <f>IF(A6="","",posicao_contratual!W6)</f>
        <v/>
      </c>
    </row>
    <row r="7" spans="1:23" x14ac:dyDescent="0.35">
      <c r="A7" s="86" t="str">
        <f>IF(itens_Remanesc!A7="","",itens_Remanesc!A7)</f>
        <v/>
      </c>
      <c r="B7" s="85" t="str">
        <f>IF(A7="","",IF(posicao_contratual!$Y7="","",IF(posicao_contratual!$Y7&gt;0,"",posicao_contratual!G7)))</f>
        <v/>
      </c>
      <c r="C7" s="79" t="str">
        <f>IF(itens_Remanesc!A7="","",IF(posicao_contratual!$Y7="","",IF(posicao_contratual!$Y7&gt;0,"",itens_Remanesc!C7)))</f>
        <v/>
      </c>
      <c r="D7" s="79" t="str">
        <f>IF(OR($A7="",posicao_contratual!$Y7=""),"",IF(posicao_contratual!$Y7&gt;1,"",IF(NOT(ISNUMBER(itens_Remanesc!C7)),"",IF(posicao_contratual!$Y7=1,IF(IFERROR(IF(ISNUMBER(INDEX(aditivos!$O$2:$O$200,MATCH($A7,aditivos!$A$2:$A$200,0))),MIN(INDEX(aditivos!$O$2:$O$200,MATCH($A7,aditivos!$A$2:$A$200,0)),posicao_contratual!$Y7),posicao_contratual!$Y7),posicao_contratual!$Y7)=1,itens_Remanesc!C7,IFERROR(ROUND(itens_Remanesc!C7*INDEX($L$2:$L$6,MIN(1+1,COUNT($L$2:$L$6)))/INDEX($L$2:$L$6,MIN(IFERROR(IF(ISNUMBER(INDEX(aditivos!$O$2:$O$200,MATCH($A7,aditivos!$A$2:$A$200,0))),MIN(INDEX(aditivos!$O$2:$O$200,MATCH($A7,aditivos!$A$2:$A$200,0)),posicao_contratual!$Y7),posicao_contratual!$Y7),posicao_contratual!$Y7)+1,COUNT($L$2:$L$6))),2),"")),IF(OR(NOT(ISNUMBER($L$3)),NOT(ISNUMBER(INDEX($L$2:$L$6,IFERROR(IF(ISNUMBER(INDEX(aditivos!$O$2:$O$200,MATCH($A7,aditivos!$A$2:$A$200,0))),MIN(INDEX(aditivos!$O$2:$O$200,MATCH($A7,aditivos!$A$2:$A$200,0)),posicao_contratual!$Y7),posicao_contratual!$Y7),posicao_contratual!$Y7)+1)))),"",ROUND(itens_Remanesc!C7*$L$3/INDEX($L$2:$L$6,IFERROR(IF(ISNUMBER(INDEX(aditivos!$O$2:$O$200,MATCH($A7,aditivos!$A$2:$A$200,0))),MIN(INDEX(aditivos!$O$2:$O$200,MATCH($A7,aditivos!$A$2:$A$200,0)),posicao_contratual!$Y7),posicao_contratual!$Y7),posicao_contratual!$Y7)+1),2))))))</f>
        <v/>
      </c>
      <c r="E7" s="79" t="str">
        <f>IF(OR($A7="",posicao_contratual!$Y7=""),"",IF(posicao_contratual!$Y7&gt;2,"",IF(NOT(ISNUMBER(itens_Remanesc!C7)),"",IF(posicao_contratual!$Y7=2,IF(IFERROR(IF(ISNUMBER(INDEX(aditivos!$O$2:$O$200,MATCH($A7,aditivos!$A$2:$A$200,0))),MIN(INDEX(aditivos!$O$2:$O$200,MATCH($A7,aditivos!$A$2:$A$200,0)),posicao_contratual!$Y7),posicao_contratual!$Y7),posicao_contratual!$Y7)=2,itens_Remanesc!C7,IFERROR(ROUND(itens_Remanesc!C7*INDEX($L$2:$L$6,MIN(2+1,COUNT($L$2:$L$6)))/INDEX($L$2:$L$6,MIN(IFERROR(IF(ISNUMBER(INDEX(aditivos!$O$2:$O$200,MATCH($A7,aditivos!$A$2:$A$200,0))),MIN(INDEX(aditivos!$O$2:$O$200,MATCH($A7,aditivos!$A$2:$A$200,0)),posicao_contratual!$Y7),posicao_contratual!$Y7),posicao_contratual!$Y7)+1,COUNT($L$2:$L$6))),2),"")),IF(OR(NOT(ISNUMBER($L$4)),NOT(ISNUMBER(INDEX($L$2:$L$6,IFERROR(IF(ISNUMBER(INDEX(aditivos!$O$2:$O$200,MATCH($A7,aditivos!$A$2:$A$200,0))),MIN(INDEX(aditivos!$O$2:$O$200,MATCH($A7,aditivos!$A$2:$A$200,0)),posicao_contratual!$Y7),posicao_contratual!$Y7),posicao_contratual!$Y7)+1)))),"",ROUND(itens_Remanesc!C7*$L$4/INDEX($L$2:$L$6,IFERROR(IF(ISNUMBER(INDEX(aditivos!$O$2:$O$200,MATCH($A7,aditivos!$A$2:$A$200,0))),MIN(INDEX(aditivos!$O$2:$O$200,MATCH($A7,aditivos!$A$2:$A$200,0)),posicao_contratual!$Y7),posicao_contratual!$Y7),posicao_contratual!$Y7)+1),2))))))</f>
        <v/>
      </c>
      <c r="F7" s="79" t="str">
        <f>IF(OR($A7="",posicao_contratual!$Y7=""),"",IF(posicao_contratual!$Y7&gt;3,"",IF(NOT(ISNUMBER(itens_Remanesc!C7)),"",IF(posicao_contratual!$Y7=3,IF(IFERROR(IF(ISNUMBER(INDEX(aditivos!$O$2:$O$200,MATCH($A7,aditivos!$A$2:$A$200,0))),MIN(INDEX(aditivos!$O$2:$O$200,MATCH($A7,aditivos!$A$2:$A$200,0)),posicao_contratual!$Y7),posicao_contratual!$Y7),posicao_contratual!$Y7)=3,itens_Remanesc!C7,IFERROR(ROUND(itens_Remanesc!C7*INDEX($L$2:$L$6,MIN(3+1,COUNT($L$2:$L$6)))/INDEX($L$2:$L$6,MIN(IFERROR(IF(ISNUMBER(INDEX(aditivos!$O$2:$O$200,MATCH($A7,aditivos!$A$2:$A$200,0))),MIN(INDEX(aditivos!$O$2:$O$200,MATCH($A7,aditivos!$A$2:$A$200,0)),posicao_contratual!$Y7),posicao_contratual!$Y7),posicao_contratual!$Y7)+1,COUNT($L$2:$L$6))),2),"")),IF(OR(NOT(ISNUMBER($L$5)),NOT(ISNUMBER(INDEX($L$2:$L$6,IFERROR(IF(ISNUMBER(INDEX(aditivos!$O$2:$O$200,MATCH($A7,aditivos!$A$2:$A$200,0))),MIN(INDEX(aditivos!$O$2:$O$200,MATCH($A7,aditivos!$A$2:$A$200,0)),posicao_contratual!$Y7),posicao_contratual!$Y7),posicao_contratual!$Y7)+1)))),"",ROUND(itens_Remanesc!C7*$L$5/INDEX($L$2:$L$6,IFERROR(IF(ISNUMBER(INDEX(aditivos!$O$2:$O$200,MATCH($A7,aditivos!$A$2:$A$200,0))),MIN(INDEX(aditivos!$O$2:$O$200,MATCH($A7,aditivos!$A$2:$A$200,0)),posicao_contratual!$Y7),posicao_contratual!$Y7),posicao_contratual!$Y7)+1),2))))))</f>
        <v/>
      </c>
      <c r="G7" s="79" t="str">
        <f>IF(OR($A7="",posicao_contratual!$Y7=""),"",IF(posicao_contratual!$Y7&gt;4,"",IF(NOT(ISNUMBER(itens_Remanesc!C7)),"",IF(posicao_contratual!$Y7=4,IF(IFERROR(IF(ISNUMBER(INDEX(aditivos!$O$2:$O$200,MATCH($A7,aditivos!$A$2:$A$200,0))),MIN(INDEX(aditivos!$O$2:$O$200,MATCH($A7,aditivos!$A$2:$A$200,0)),posicao_contratual!$Y7),posicao_contratual!$Y7),posicao_contratual!$Y7)=4,itens_Remanesc!C7,IFERROR(ROUND(itens_Remanesc!C7*INDEX($L$2:$L$6,MIN(4+1,COUNT($L$2:$L$6)))/INDEX($L$2:$L$6,MIN(IFERROR(IF(ISNUMBER(INDEX(aditivos!$O$2:$O$200,MATCH($A7,aditivos!$A$2:$A$200,0))),MIN(INDEX(aditivos!$O$2:$O$200,MATCH($A7,aditivos!$A$2:$A$200,0)),posicao_contratual!$Y7),posicao_contratual!$Y7),posicao_contratual!$Y7)+1,COUNT($L$2:$L$6))),2),"")),IF(OR(NOT(ISNUMBER($L$6)),NOT(ISNUMBER(INDEX($L$2:$L$6,IFERROR(IF(ISNUMBER(INDEX(aditivos!$O$2:$O$200,MATCH($A7,aditivos!$A$2:$A$200,0))),MIN(INDEX(aditivos!$O$2:$O$200,MATCH($A7,aditivos!$A$2:$A$200,0)),posicao_contratual!$Y7),posicao_contratual!$Y7),posicao_contratual!$Y7)+1)))),"",ROUND(itens_Remanesc!C7*$L$6/INDEX($L$2:$L$6,IFERROR(IF(ISNUMBER(INDEX(aditivos!$O$2:$O$200,MATCH($A7,aditivos!$A$2:$A$200,0))),MIN(INDEX(aditivos!$O$2:$O$200,MATCH($A7,aditivos!$A$2:$A$200,0)),posicao_contratual!$Y7),posicao_contratual!$Y7),posicao_contratual!$Y7)+1),2))))))</f>
        <v/>
      </c>
      <c r="H7" s="116" t="str">
        <f t="shared" si="0"/>
        <v/>
      </c>
      <c r="I7" s="14"/>
      <c r="J7" s="14"/>
      <c r="K7" s="14"/>
      <c r="L7" s="14"/>
      <c r="M7" s="14"/>
      <c r="N7" s="147" t="str">
        <f>IF(A7="","",IF(posicao_contratual!$Y7="","",IF(posicao_contratual!$Y7&gt;0,"",posicao_contratual!E7)))</f>
        <v/>
      </c>
      <c r="O7" s="147" t="str">
        <f>IF(A7="","",IF(posicao_contratual!$Y7="","",IF(posicao_contratual!$Y7&gt;1,"",posicao_contratual!I7)))</f>
        <v/>
      </c>
      <c r="P7" s="147" t="str">
        <f>IF(A7="","",IF(posicao_contratual!$Y7="","",IF(posicao_contratual!$Y7&gt;2,"",posicao_contratual!M7)))</f>
        <v/>
      </c>
      <c r="Q7" s="147" t="str">
        <f>IF(A7="","",IF(posicao_contratual!$Y7="","",IF(posicao_contratual!$Y7&gt;3,"",posicao_contratual!Q7)))</f>
        <v/>
      </c>
      <c r="R7" s="147" t="str">
        <f>IF(A7="","",IF(posicao_contratual!$Y7="","",IF(posicao_contratual!$Y7&gt;4,"",posicao_contratual!U7)))</f>
        <v/>
      </c>
      <c r="S7" s="167" t="str">
        <f>IF(A7="","",posicao_contratual!G7)</f>
        <v/>
      </c>
      <c r="T7" s="167" t="str">
        <f>IF(A7="","",posicao_contratual!K7)</f>
        <v/>
      </c>
      <c r="U7" s="167" t="str">
        <f>IF(A7="","",posicao_contratual!O7)</f>
        <v/>
      </c>
      <c r="V7" s="167" t="str">
        <f>IF(A7="","",posicao_contratual!S7)</f>
        <v/>
      </c>
      <c r="W7" s="167" t="str">
        <f>IF(A7="","",posicao_contratual!W7)</f>
        <v/>
      </c>
    </row>
    <row r="8" spans="1:23" x14ac:dyDescent="0.35">
      <c r="A8" s="86" t="str">
        <f>IF(itens_Remanesc!A8="","",itens_Remanesc!A8)</f>
        <v/>
      </c>
      <c r="B8" s="85" t="str">
        <f>IF(A8="","",IF(posicao_contratual!$Y8="","",IF(posicao_contratual!$Y8&gt;0,"",posicao_contratual!G8)))</f>
        <v/>
      </c>
      <c r="C8" s="79" t="str">
        <f>IF(itens_Remanesc!A8="","",IF(posicao_contratual!$Y8="","",IF(posicao_contratual!$Y8&gt;0,"",itens_Remanesc!C8)))</f>
        <v/>
      </c>
      <c r="D8" s="79" t="str">
        <f>IF(OR($A8="",posicao_contratual!$Y8=""),"",IF(posicao_contratual!$Y8&gt;1,"",IF(NOT(ISNUMBER(itens_Remanesc!C8)),"",IF(posicao_contratual!$Y8=1,IF(IFERROR(IF(ISNUMBER(INDEX(aditivos!$O$2:$O$200,MATCH($A8,aditivos!$A$2:$A$200,0))),MIN(INDEX(aditivos!$O$2:$O$200,MATCH($A8,aditivos!$A$2:$A$200,0)),posicao_contratual!$Y8),posicao_contratual!$Y8),posicao_contratual!$Y8)=1,itens_Remanesc!C8,IFERROR(ROUND(itens_Remanesc!C8*INDEX($L$2:$L$6,MIN(1+1,COUNT($L$2:$L$6)))/INDEX($L$2:$L$6,MIN(IFERROR(IF(ISNUMBER(INDEX(aditivos!$O$2:$O$200,MATCH($A8,aditivos!$A$2:$A$200,0))),MIN(INDEX(aditivos!$O$2:$O$200,MATCH($A8,aditivos!$A$2:$A$200,0)),posicao_contratual!$Y8),posicao_contratual!$Y8),posicao_contratual!$Y8)+1,COUNT($L$2:$L$6))),2),"")),IF(OR(NOT(ISNUMBER($L$3)),NOT(ISNUMBER(INDEX($L$2:$L$6,IFERROR(IF(ISNUMBER(INDEX(aditivos!$O$2:$O$200,MATCH($A8,aditivos!$A$2:$A$200,0))),MIN(INDEX(aditivos!$O$2:$O$200,MATCH($A8,aditivos!$A$2:$A$200,0)),posicao_contratual!$Y8),posicao_contratual!$Y8),posicao_contratual!$Y8)+1)))),"",ROUND(itens_Remanesc!C8*$L$3/INDEX($L$2:$L$6,IFERROR(IF(ISNUMBER(INDEX(aditivos!$O$2:$O$200,MATCH($A8,aditivos!$A$2:$A$200,0))),MIN(INDEX(aditivos!$O$2:$O$200,MATCH($A8,aditivos!$A$2:$A$200,0)),posicao_contratual!$Y8),posicao_contratual!$Y8),posicao_contratual!$Y8)+1),2))))))</f>
        <v/>
      </c>
      <c r="E8" s="79" t="str">
        <f>IF(OR($A8="",posicao_contratual!$Y8=""),"",IF(posicao_contratual!$Y8&gt;2,"",IF(NOT(ISNUMBER(itens_Remanesc!C8)),"",IF(posicao_contratual!$Y8=2,IF(IFERROR(IF(ISNUMBER(INDEX(aditivos!$O$2:$O$200,MATCH($A8,aditivos!$A$2:$A$200,0))),MIN(INDEX(aditivos!$O$2:$O$200,MATCH($A8,aditivos!$A$2:$A$200,0)),posicao_contratual!$Y8),posicao_contratual!$Y8),posicao_contratual!$Y8)=2,itens_Remanesc!C8,IFERROR(ROUND(itens_Remanesc!C8*INDEX($L$2:$L$6,MIN(2+1,COUNT($L$2:$L$6)))/INDEX($L$2:$L$6,MIN(IFERROR(IF(ISNUMBER(INDEX(aditivos!$O$2:$O$200,MATCH($A8,aditivos!$A$2:$A$200,0))),MIN(INDEX(aditivos!$O$2:$O$200,MATCH($A8,aditivos!$A$2:$A$200,0)),posicao_contratual!$Y8),posicao_contratual!$Y8),posicao_contratual!$Y8)+1,COUNT($L$2:$L$6))),2),"")),IF(OR(NOT(ISNUMBER($L$4)),NOT(ISNUMBER(INDEX($L$2:$L$6,IFERROR(IF(ISNUMBER(INDEX(aditivos!$O$2:$O$200,MATCH($A8,aditivos!$A$2:$A$200,0))),MIN(INDEX(aditivos!$O$2:$O$200,MATCH($A8,aditivos!$A$2:$A$200,0)),posicao_contratual!$Y8),posicao_contratual!$Y8),posicao_contratual!$Y8)+1)))),"",ROUND(itens_Remanesc!C8*$L$4/INDEX($L$2:$L$6,IFERROR(IF(ISNUMBER(INDEX(aditivos!$O$2:$O$200,MATCH($A8,aditivos!$A$2:$A$200,0))),MIN(INDEX(aditivos!$O$2:$O$200,MATCH($A8,aditivos!$A$2:$A$200,0)),posicao_contratual!$Y8),posicao_contratual!$Y8),posicao_contratual!$Y8)+1),2))))))</f>
        <v/>
      </c>
      <c r="F8" s="79" t="str">
        <f>IF(OR($A8="",posicao_contratual!$Y8=""),"",IF(posicao_contratual!$Y8&gt;3,"",IF(NOT(ISNUMBER(itens_Remanesc!C8)),"",IF(posicao_contratual!$Y8=3,IF(IFERROR(IF(ISNUMBER(INDEX(aditivos!$O$2:$O$200,MATCH($A8,aditivos!$A$2:$A$200,0))),MIN(INDEX(aditivos!$O$2:$O$200,MATCH($A8,aditivos!$A$2:$A$200,0)),posicao_contratual!$Y8),posicao_contratual!$Y8),posicao_contratual!$Y8)=3,itens_Remanesc!C8,IFERROR(ROUND(itens_Remanesc!C8*INDEX($L$2:$L$6,MIN(3+1,COUNT($L$2:$L$6)))/INDEX($L$2:$L$6,MIN(IFERROR(IF(ISNUMBER(INDEX(aditivos!$O$2:$O$200,MATCH($A8,aditivos!$A$2:$A$200,0))),MIN(INDEX(aditivos!$O$2:$O$200,MATCH($A8,aditivos!$A$2:$A$200,0)),posicao_contratual!$Y8),posicao_contratual!$Y8),posicao_contratual!$Y8)+1,COUNT($L$2:$L$6))),2),"")),IF(OR(NOT(ISNUMBER($L$5)),NOT(ISNUMBER(INDEX($L$2:$L$6,IFERROR(IF(ISNUMBER(INDEX(aditivos!$O$2:$O$200,MATCH($A8,aditivos!$A$2:$A$200,0))),MIN(INDEX(aditivos!$O$2:$O$200,MATCH($A8,aditivos!$A$2:$A$200,0)),posicao_contratual!$Y8),posicao_contratual!$Y8),posicao_contratual!$Y8)+1)))),"",ROUND(itens_Remanesc!C8*$L$5/INDEX($L$2:$L$6,IFERROR(IF(ISNUMBER(INDEX(aditivos!$O$2:$O$200,MATCH($A8,aditivos!$A$2:$A$200,0))),MIN(INDEX(aditivos!$O$2:$O$200,MATCH($A8,aditivos!$A$2:$A$200,0)),posicao_contratual!$Y8),posicao_contratual!$Y8),posicao_contratual!$Y8)+1),2))))))</f>
        <v/>
      </c>
      <c r="G8" s="79" t="str">
        <f>IF(OR($A8="",posicao_contratual!$Y8=""),"",IF(posicao_contratual!$Y8&gt;4,"",IF(NOT(ISNUMBER(itens_Remanesc!C8)),"",IF(posicao_contratual!$Y8=4,IF(IFERROR(IF(ISNUMBER(INDEX(aditivos!$O$2:$O$200,MATCH($A8,aditivos!$A$2:$A$200,0))),MIN(INDEX(aditivos!$O$2:$O$200,MATCH($A8,aditivos!$A$2:$A$200,0)),posicao_contratual!$Y8),posicao_contratual!$Y8),posicao_contratual!$Y8)=4,itens_Remanesc!C8,IFERROR(ROUND(itens_Remanesc!C8*INDEX($L$2:$L$6,MIN(4+1,COUNT($L$2:$L$6)))/INDEX($L$2:$L$6,MIN(IFERROR(IF(ISNUMBER(INDEX(aditivos!$O$2:$O$200,MATCH($A8,aditivos!$A$2:$A$200,0))),MIN(INDEX(aditivos!$O$2:$O$200,MATCH($A8,aditivos!$A$2:$A$200,0)),posicao_contratual!$Y8),posicao_contratual!$Y8),posicao_contratual!$Y8)+1,COUNT($L$2:$L$6))),2),"")),IF(OR(NOT(ISNUMBER($L$6)),NOT(ISNUMBER(INDEX($L$2:$L$6,IFERROR(IF(ISNUMBER(INDEX(aditivos!$O$2:$O$200,MATCH($A8,aditivos!$A$2:$A$200,0))),MIN(INDEX(aditivos!$O$2:$O$200,MATCH($A8,aditivos!$A$2:$A$200,0)),posicao_contratual!$Y8),posicao_contratual!$Y8),posicao_contratual!$Y8)+1)))),"",ROUND(itens_Remanesc!C8*$L$6/INDEX($L$2:$L$6,IFERROR(IF(ISNUMBER(INDEX(aditivos!$O$2:$O$200,MATCH($A8,aditivos!$A$2:$A$200,0))),MIN(INDEX(aditivos!$O$2:$O$200,MATCH($A8,aditivos!$A$2:$A$200,0)),posicao_contratual!$Y8),posicao_contratual!$Y8),posicao_contratual!$Y8)+1),2))))))</f>
        <v/>
      </c>
      <c r="H8" s="116" t="str">
        <f t="shared" si="0"/>
        <v/>
      </c>
      <c r="I8" s="14"/>
      <c r="J8" s="14"/>
      <c r="K8" s="14"/>
      <c r="L8" s="14"/>
      <c r="M8" s="14"/>
      <c r="N8" s="147" t="str">
        <f>IF(A8="","",IF(posicao_contratual!$Y8="","",IF(posicao_contratual!$Y8&gt;0,"",posicao_contratual!E8)))</f>
        <v/>
      </c>
      <c r="O8" s="147" t="str">
        <f>IF(A8="","",IF(posicao_contratual!$Y8="","",IF(posicao_contratual!$Y8&gt;1,"",posicao_contratual!I8)))</f>
        <v/>
      </c>
      <c r="P8" s="147" t="str">
        <f>IF(A8="","",IF(posicao_contratual!$Y8="","",IF(posicao_contratual!$Y8&gt;2,"",posicao_contratual!M8)))</f>
        <v/>
      </c>
      <c r="Q8" s="147" t="str">
        <f>IF(A8="","",IF(posicao_contratual!$Y8="","",IF(posicao_contratual!$Y8&gt;3,"",posicao_contratual!Q8)))</f>
        <v/>
      </c>
      <c r="R8" s="147" t="str">
        <f>IF(A8="","",IF(posicao_contratual!$Y8="","",IF(posicao_contratual!$Y8&gt;4,"",posicao_contratual!U8)))</f>
        <v/>
      </c>
      <c r="S8" s="167" t="str">
        <f>IF(A8="","",posicao_contratual!G8)</f>
        <v/>
      </c>
      <c r="T8" s="167" t="str">
        <f>IF(A8="","",posicao_contratual!K8)</f>
        <v/>
      </c>
      <c r="U8" s="167" t="str">
        <f>IF(A8="","",posicao_contratual!O8)</f>
        <v/>
      </c>
      <c r="V8" s="167" t="str">
        <f>IF(A8="","",posicao_contratual!S8)</f>
        <v/>
      </c>
      <c r="W8" s="167" t="str">
        <f>IF(A8="","",posicao_contratual!W8)</f>
        <v/>
      </c>
    </row>
    <row r="9" spans="1:23" x14ac:dyDescent="0.35">
      <c r="A9" s="86" t="str">
        <f>IF(itens_Remanesc!A9="","",itens_Remanesc!A9)</f>
        <v/>
      </c>
      <c r="B9" s="85" t="str">
        <f>IF(A9="","",IF(posicao_contratual!$Y9="","",IF(posicao_contratual!$Y9&gt;0,"",posicao_contratual!G9)))</f>
        <v/>
      </c>
      <c r="C9" s="79" t="str">
        <f>IF(itens_Remanesc!A9="","",IF(posicao_contratual!$Y9="","",IF(posicao_contratual!$Y9&gt;0,"",itens_Remanesc!C9)))</f>
        <v/>
      </c>
      <c r="D9" s="79" t="str">
        <f>IF(OR($A9="",posicao_contratual!$Y9=""),"",IF(posicao_contratual!$Y9&gt;1,"",IF(NOT(ISNUMBER(itens_Remanesc!C9)),"",IF(posicao_contratual!$Y9=1,IF(IFERROR(IF(ISNUMBER(INDEX(aditivos!$O$2:$O$200,MATCH($A9,aditivos!$A$2:$A$200,0))),MIN(INDEX(aditivos!$O$2:$O$200,MATCH($A9,aditivos!$A$2:$A$200,0)),posicao_contratual!$Y9),posicao_contratual!$Y9),posicao_contratual!$Y9)=1,itens_Remanesc!C9,IFERROR(ROUND(itens_Remanesc!C9*INDEX($L$2:$L$6,MIN(1+1,COUNT($L$2:$L$6)))/INDEX($L$2:$L$6,MIN(IFERROR(IF(ISNUMBER(INDEX(aditivos!$O$2:$O$200,MATCH($A9,aditivos!$A$2:$A$200,0))),MIN(INDEX(aditivos!$O$2:$O$200,MATCH($A9,aditivos!$A$2:$A$200,0)),posicao_contratual!$Y9),posicao_contratual!$Y9),posicao_contratual!$Y9)+1,COUNT($L$2:$L$6))),2),"")),IF(OR(NOT(ISNUMBER($L$3)),NOT(ISNUMBER(INDEX($L$2:$L$6,IFERROR(IF(ISNUMBER(INDEX(aditivos!$O$2:$O$200,MATCH($A9,aditivos!$A$2:$A$200,0))),MIN(INDEX(aditivos!$O$2:$O$200,MATCH($A9,aditivos!$A$2:$A$200,0)),posicao_contratual!$Y9),posicao_contratual!$Y9),posicao_contratual!$Y9)+1)))),"",ROUND(itens_Remanesc!C9*$L$3/INDEX($L$2:$L$6,IFERROR(IF(ISNUMBER(INDEX(aditivos!$O$2:$O$200,MATCH($A9,aditivos!$A$2:$A$200,0))),MIN(INDEX(aditivos!$O$2:$O$200,MATCH($A9,aditivos!$A$2:$A$200,0)),posicao_contratual!$Y9),posicao_contratual!$Y9),posicao_contratual!$Y9)+1),2))))))</f>
        <v/>
      </c>
      <c r="E9" s="79" t="str">
        <f>IF(OR($A9="",posicao_contratual!$Y9=""),"",IF(posicao_contratual!$Y9&gt;2,"",IF(NOT(ISNUMBER(itens_Remanesc!C9)),"",IF(posicao_contratual!$Y9=2,IF(IFERROR(IF(ISNUMBER(INDEX(aditivos!$O$2:$O$200,MATCH($A9,aditivos!$A$2:$A$200,0))),MIN(INDEX(aditivos!$O$2:$O$200,MATCH($A9,aditivos!$A$2:$A$200,0)),posicao_contratual!$Y9),posicao_contratual!$Y9),posicao_contratual!$Y9)=2,itens_Remanesc!C9,IFERROR(ROUND(itens_Remanesc!C9*INDEX($L$2:$L$6,MIN(2+1,COUNT($L$2:$L$6)))/INDEX($L$2:$L$6,MIN(IFERROR(IF(ISNUMBER(INDEX(aditivos!$O$2:$O$200,MATCH($A9,aditivos!$A$2:$A$200,0))),MIN(INDEX(aditivos!$O$2:$O$200,MATCH($A9,aditivos!$A$2:$A$200,0)),posicao_contratual!$Y9),posicao_contratual!$Y9),posicao_contratual!$Y9)+1,COUNT($L$2:$L$6))),2),"")),IF(OR(NOT(ISNUMBER($L$4)),NOT(ISNUMBER(INDEX($L$2:$L$6,IFERROR(IF(ISNUMBER(INDEX(aditivos!$O$2:$O$200,MATCH($A9,aditivos!$A$2:$A$200,0))),MIN(INDEX(aditivos!$O$2:$O$200,MATCH($A9,aditivos!$A$2:$A$200,0)),posicao_contratual!$Y9),posicao_contratual!$Y9),posicao_contratual!$Y9)+1)))),"",ROUND(itens_Remanesc!C9*$L$4/INDEX($L$2:$L$6,IFERROR(IF(ISNUMBER(INDEX(aditivos!$O$2:$O$200,MATCH($A9,aditivos!$A$2:$A$200,0))),MIN(INDEX(aditivos!$O$2:$O$200,MATCH($A9,aditivos!$A$2:$A$200,0)),posicao_contratual!$Y9),posicao_contratual!$Y9),posicao_contratual!$Y9)+1),2))))))</f>
        <v/>
      </c>
      <c r="F9" s="79" t="str">
        <f>IF(OR($A9="",posicao_contratual!$Y9=""),"",IF(posicao_contratual!$Y9&gt;3,"",IF(NOT(ISNUMBER(itens_Remanesc!C9)),"",IF(posicao_contratual!$Y9=3,IF(IFERROR(IF(ISNUMBER(INDEX(aditivos!$O$2:$O$200,MATCH($A9,aditivos!$A$2:$A$200,0))),MIN(INDEX(aditivos!$O$2:$O$200,MATCH($A9,aditivos!$A$2:$A$200,0)),posicao_contratual!$Y9),posicao_contratual!$Y9),posicao_contratual!$Y9)=3,itens_Remanesc!C9,IFERROR(ROUND(itens_Remanesc!C9*INDEX($L$2:$L$6,MIN(3+1,COUNT($L$2:$L$6)))/INDEX($L$2:$L$6,MIN(IFERROR(IF(ISNUMBER(INDEX(aditivos!$O$2:$O$200,MATCH($A9,aditivos!$A$2:$A$200,0))),MIN(INDEX(aditivos!$O$2:$O$200,MATCH($A9,aditivos!$A$2:$A$200,0)),posicao_contratual!$Y9),posicao_contratual!$Y9),posicao_contratual!$Y9)+1,COUNT($L$2:$L$6))),2),"")),IF(OR(NOT(ISNUMBER($L$5)),NOT(ISNUMBER(INDEX($L$2:$L$6,IFERROR(IF(ISNUMBER(INDEX(aditivos!$O$2:$O$200,MATCH($A9,aditivos!$A$2:$A$200,0))),MIN(INDEX(aditivos!$O$2:$O$200,MATCH($A9,aditivos!$A$2:$A$200,0)),posicao_contratual!$Y9),posicao_contratual!$Y9),posicao_contratual!$Y9)+1)))),"",ROUND(itens_Remanesc!C9*$L$5/INDEX($L$2:$L$6,IFERROR(IF(ISNUMBER(INDEX(aditivos!$O$2:$O$200,MATCH($A9,aditivos!$A$2:$A$200,0))),MIN(INDEX(aditivos!$O$2:$O$200,MATCH($A9,aditivos!$A$2:$A$200,0)),posicao_contratual!$Y9),posicao_contratual!$Y9),posicao_contratual!$Y9)+1),2))))))</f>
        <v/>
      </c>
      <c r="G9" s="79" t="str">
        <f>IF(OR($A9="",posicao_contratual!$Y9=""),"",IF(posicao_contratual!$Y9&gt;4,"",IF(NOT(ISNUMBER(itens_Remanesc!C9)),"",IF(posicao_contratual!$Y9=4,IF(IFERROR(IF(ISNUMBER(INDEX(aditivos!$O$2:$O$200,MATCH($A9,aditivos!$A$2:$A$200,0))),MIN(INDEX(aditivos!$O$2:$O$200,MATCH($A9,aditivos!$A$2:$A$200,0)),posicao_contratual!$Y9),posicao_contratual!$Y9),posicao_contratual!$Y9)=4,itens_Remanesc!C9,IFERROR(ROUND(itens_Remanesc!C9*INDEX($L$2:$L$6,MIN(4+1,COUNT($L$2:$L$6)))/INDEX($L$2:$L$6,MIN(IFERROR(IF(ISNUMBER(INDEX(aditivos!$O$2:$O$200,MATCH($A9,aditivos!$A$2:$A$200,0))),MIN(INDEX(aditivos!$O$2:$O$200,MATCH($A9,aditivos!$A$2:$A$200,0)),posicao_contratual!$Y9),posicao_contratual!$Y9),posicao_contratual!$Y9)+1,COUNT($L$2:$L$6))),2),"")),IF(OR(NOT(ISNUMBER($L$6)),NOT(ISNUMBER(INDEX($L$2:$L$6,IFERROR(IF(ISNUMBER(INDEX(aditivos!$O$2:$O$200,MATCH($A9,aditivos!$A$2:$A$200,0))),MIN(INDEX(aditivos!$O$2:$O$200,MATCH($A9,aditivos!$A$2:$A$200,0)),posicao_contratual!$Y9),posicao_contratual!$Y9),posicao_contratual!$Y9)+1)))),"",ROUND(itens_Remanesc!C9*$L$6/INDEX($L$2:$L$6,IFERROR(IF(ISNUMBER(INDEX(aditivos!$O$2:$O$200,MATCH($A9,aditivos!$A$2:$A$200,0))),MIN(INDEX(aditivos!$O$2:$O$200,MATCH($A9,aditivos!$A$2:$A$200,0)),posicao_contratual!$Y9),posicao_contratual!$Y9),posicao_contratual!$Y9)+1),2))))))</f>
        <v/>
      </c>
      <c r="H9" s="116" t="str">
        <f t="shared" si="0"/>
        <v/>
      </c>
      <c r="I9" s="14"/>
      <c r="J9" s="14"/>
      <c r="K9" s="14"/>
      <c r="L9" s="14"/>
      <c r="M9" s="14"/>
      <c r="N9" s="147" t="str">
        <f>IF(A9="","",IF(posicao_contratual!$Y9="","",IF(posicao_contratual!$Y9&gt;0,"",posicao_contratual!E9)))</f>
        <v/>
      </c>
      <c r="O9" s="147" t="str">
        <f>IF(A9="","",IF(posicao_contratual!$Y9="","",IF(posicao_contratual!$Y9&gt;1,"",posicao_contratual!I9)))</f>
        <v/>
      </c>
      <c r="P9" s="147" t="str">
        <f>IF(A9="","",IF(posicao_contratual!$Y9="","",IF(posicao_contratual!$Y9&gt;2,"",posicao_contratual!M9)))</f>
        <v/>
      </c>
      <c r="Q9" s="147" t="str">
        <f>IF(A9="","",IF(posicao_contratual!$Y9="","",IF(posicao_contratual!$Y9&gt;3,"",posicao_contratual!Q9)))</f>
        <v/>
      </c>
      <c r="R9" s="147" t="str">
        <f>IF(A9="","",IF(posicao_contratual!$Y9="","",IF(posicao_contratual!$Y9&gt;4,"",posicao_contratual!U9)))</f>
        <v/>
      </c>
      <c r="S9" s="167" t="str">
        <f>IF(A9="","",posicao_contratual!G9)</f>
        <v/>
      </c>
      <c r="T9" s="167" t="str">
        <f>IF(A9="","",posicao_contratual!K9)</f>
        <v/>
      </c>
      <c r="U9" s="167" t="str">
        <f>IF(A9="","",posicao_contratual!O9)</f>
        <v/>
      </c>
      <c r="V9" s="167" t="str">
        <f>IF(A9="","",posicao_contratual!S9)</f>
        <v/>
      </c>
      <c r="W9" s="167" t="str">
        <f>IF(A9="","",posicao_contratual!W9)</f>
        <v/>
      </c>
    </row>
    <row r="10" spans="1:23" x14ac:dyDescent="0.35">
      <c r="A10" s="86" t="str">
        <f>IF(itens_Remanesc!A10="","",itens_Remanesc!A10)</f>
        <v/>
      </c>
      <c r="B10" s="85" t="str">
        <f>IF(A10="","",IF(posicao_contratual!$Y10="","",IF(posicao_contratual!$Y10&gt;0,"",posicao_contratual!G10)))</f>
        <v/>
      </c>
      <c r="C10" s="79" t="str">
        <f>IF(itens_Remanesc!A10="","",IF(posicao_contratual!$Y10="","",IF(posicao_contratual!$Y10&gt;0,"",itens_Remanesc!C10)))</f>
        <v/>
      </c>
      <c r="D10" s="79" t="str">
        <f>IF(OR($A10="",posicao_contratual!$Y10=""),"",IF(posicao_contratual!$Y10&gt;1,"",IF(NOT(ISNUMBER(itens_Remanesc!C10)),"",IF(posicao_contratual!$Y10=1,IF(IFERROR(IF(ISNUMBER(INDEX(aditivos!$O$2:$O$200,MATCH($A10,aditivos!$A$2:$A$200,0))),MIN(INDEX(aditivos!$O$2:$O$200,MATCH($A10,aditivos!$A$2:$A$200,0)),posicao_contratual!$Y10),posicao_contratual!$Y10),posicao_contratual!$Y10)=1,itens_Remanesc!C10,IFERROR(ROUND(itens_Remanesc!C10*INDEX($L$2:$L$6,MIN(1+1,COUNT($L$2:$L$6)))/INDEX($L$2:$L$6,MIN(IFERROR(IF(ISNUMBER(INDEX(aditivos!$O$2:$O$200,MATCH($A10,aditivos!$A$2:$A$200,0))),MIN(INDEX(aditivos!$O$2:$O$200,MATCH($A10,aditivos!$A$2:$A$200,0)),posicao_contratual!$Y10),posicao_contratual!$Y10),posicao_contratual!$Y10)+1,COUNT($L$2:$L$6))),2),"")),IF(OR(NOT(ISNUMBER($L$3)),NOT(ISNUMBER(INDEX($L$2:$L$6,IFERROR(IF(ISNUMBER(INDEX(aditivos!$O$2:$O$200,MATCH($A10,aditivos!$A$2:$A$200,0))),MIN(INDEX(aditivos!$O$2:$O$200,MATCH($A10,aditivos!$A$2:$A$200,0)),posicao_contratual!$Y10),posicao_contratual!$Y10),posicao_contratual!$Y10)+1)))),"",ROUND(itens_Remanesc!C10*$L$3/INDEX($L$2:$L$6,IFERROR(IF(ISNUMBER(INDEX(aditivos!$O$2:$O$200,MATCH($A10,aditivos!$A$2:$A$200,0))),MIN(INDEX(aditivos!$O$2:$O$200,MATCH($A10,aditivos!$A$2:$A$200,0)),posicao_contratual!$Y10),posicao_contratual!$Y10),posicao_contratual!$Y10)+1),2))))))</f>
        <v/>
      </c>
      <c r="E10" s="79" t="str">
        <f>IF(OR($A10="",posicao_contratual!$Y10=""),"",IF(posicao_contratual!$Y10&gt;2,"",IF(NOT(ISNUMBER(itens_Remanesc!C10)),"",IF(posicao_contratual!$Y10=2,IF(IFERROR(IF(ISNUMBER(INDEX(aditivos!$O$2:$O$200,MATCH($A10,aditivos!$A$2:$A$200,0))),MIN(INDEX(aditivos!$O$2:$O$200,MATCH($A10,aditivos!$A$2:$A$200,0)),posicao_contratual!$Y10),posicao_contratual!$Y10),posicao_contratual!$Y10)=2,itens_Remanesc!C10,IFERROR(ROUND(itens_Remanesc!C10*INDEX($L$2:$L$6,MIN(2+1,COUNT($L$2:$L$6)))/INDEX($L$2:$L$6,MIN(IFERROR(IF(ISNUMBER(INDEX(aditivos!$O$2:$O$200,MATCH($A10,aditivos!$A$2:$A$200,0))),MIN(INDEX(aditivos!$O$2:$O$200,MATCH($A10,aditivos!$A$2:$A$200,0)),posicao_contratual!$Y10),posicao_contratual!$Y10),posicao_contratual!$Y10)+1,COUNT($L$2:$L$6))),2),"")),IF(OR(NOT(ISNUMBER($L$4)),NOT(ISNUMBER(INDEX($L$2:$L$6,IFERROR(IF(ISNUMBER(INDEX(aditivos!$O$2:$O$200,MATCH($A10,aditivos!$A$2:$A$200,0))),MIN(INDEX(aditivos!$O$2:$O$200,MATCH($A10,aditivos!$A$2:$A$200,0)),posicao_contratual!$Y10),posicao_contratual!$Y10),posicao_contratual!$Y10)+1)))),"",ROUND(itens_Remanesc!C10*$L$4/INDEX($L$2:$L$6,IFERROR(IF(ISNUMBER(INDEX(aditivos!$O$2:$O$200,MATCH($A10,aditivos!$A$2:$A$200,0))),MIN(INDEX(aditivos!$O$2:$O$200,MATCH($A10,aditivos!$A$2:$A$200,0)),posicao_contratual!$Y10),posicao_contratual!$Y10),posicao_contratual!$Y10)+1),2))))))</f>
        <v/>
      </c>
      <c r="F10" s="79" t="str">
        <f>IF(OR($A10="",posicao_contratual!$Y10=""),"",IF(posicao_contratual!$Y10&gt;3,"",IF(NOT(ISNUMBER(itens_Remanesc!C10)),"",IF(posicao_contratual!$Y10=3,IF(IFERROR(IF(ISNUMBER(INDEX(aditivos!$O$2:$O$200,MATCH($A10,aditivos!$A$2:$A$200,0))),MIN(INDEX(aditivos!$O$2:$O$200,MATCH($A10,aditivos!$A$2:$A$200,0)),posicao_contratual!$Y10),posicao_contratual!$Y10),posicao_contratual!$Y10)=3,itens_Remanesc!C10,IFERROR(ROUND(itens_Remanesc!C10*INDEX($L$2:$L$6,MIN(3+1,COUNT($L$2:$L$6)))/INDEX($L$2:$L$6,MIN(IFERROR(IF(ISNUMBER(INDEX(aditivos!$O$2:$O$200,MATCH($A10,aditivos!$A$2:$A$200,0))),MIN(INDEX(aditivos!$O$2:$O$200,MATCH($A10,aditivos!$A$2:$A$200,0)),posicao_contratual!$Y10),posicao_contratual!$Y10),posicao_contratual!$Y10)+1,COUNT($L$2:$L$6))),2),"")),IF(OR(NOT(ISNUMBER($L$5)),NOT(ISNUMBER(INDEX($L$2:$L$6,IFERROR(IF(ISNUMBER(INDEX(aditivos!$O$2:$O$200,MATCH($A10,aditivos!$A$2:$A$200,0))),MIN(INDEX(aditivos!$O$2:$O$200,MATCH($A10,aditivos!$A$2:$A$200,0)),posicao_contratual!$Y10),posicao_contratual!$Y10),posicao_contratual!$Y10)+1)))),"",ROUND(itens_Remanesc!C10*$L$5/INDEX($L$2:$L$6,IFERROR(IF(ISNUMBER(INDEX(aditivos!$O$2:$O$200,MATCH($A10,aditivos!$A$2:$A$200,0))),MIN(INDEX(aditivos!$O$2:$O$200,MATCH($A10,aditivos!$A$2:$A$200,0)),posicao_contratual!$Y10),posicao_contratual!$Y10),posicao_contratual!$Y10)+1),2))))))</f>
        <v/>
      </c>
      <c r="G10" s="79" t="str">
        <f>IF(OR($A10="",posicao_contratual!$Y10=""),"",IF(posicao_contratual!$Y10&gt;4,"",IF(NOT(ISNUMBER(itens_Remanesc!C10)),"",IF(posicao_contratual!$Y10=4,IF(IFERROR(IF(ISNUMBER(INDEX(aditivos!$O$2:$O$200,MATCH($A10,aditivos!$A$2:$A$200,0))),MIN(INDEX(aditivos!$O$2:$O$200,MATCH($A10,aditivos!$A$2:$A$200,0)),posicao_contratual!$Y10),posicao_contratual!$Y10),posicao_contratual!$Y10)=4,itens_Remanesc!C10,IFERROR(ROUND(itens_Remanesc!C10*INDEX($L$2:$L$6,MIN(4+1,COUNT($L$2:$L$6)))/INDEX($L$2:$L$6,MIN(IFERROR(IF(ISNUMBER(INDEX(aditivos!$O$2:$O$200,MATCH($A10,aditivos!$A$2:$A$200,0))),MIN(INDEX(aditivos!$O$2:$O$200,MATCH($A10,aditivos!$A$2:$A$200,0)),posicao_contratual!$Y10),posicao_contratual!$Y10),posicao_contratual!$Y10)+1,COUNT($L$2:$L$6))),2),"")),IF(OR(NOT(ISNUMBER($L$6)),NOT(ISNUMBER(INDEX($L$2:$L$6,IFERROR(IF(ISNUMBER(INDEX(aditivos!$O$2:$O$200,MATCH($A10,aditivos!$A$2:$A$200,0))),MIN(INDEX(aditivos!$O$2:$O$200,MATCH($A10,aditivos!$A$2:$A$200,0)),posicao_contratual!$Y10),posicao_contratual!$Y10),posicao_contratual!$Y10)+1)))),"",ROUND(itens_Remanesc!C10*$L$6/INDEX($L$2:$L$6,IFERROR(IF(ISNUMBER(INDEX(aditivos!$O$2:$O$200,MATCH($A10,aditivos!$A$2:$A$200,0))),MIN(INDEX(aditivos!$O$2:$O$200,MATCH($A10,aditivos!$A$2:$A$200,0)),posicao_contratual!$Y10),posicao_contratual!$Y10),posicao_contratual!$Y10)+1),2))))))</f>
        <v/>
      </c>
      <c r="H10" s="116" t="str">
        <f t="shared" si="0"/>
        <v/>
      </c>
      <c r="I10" s="14"/>
      <c r="J10" s="14"/>
      <c r="K10" s="14"/>
      <c r="L10" s="14"/>
      <c r="M10" s="14"/>
      <c r="N10" s="147" t="str">
        <f>IF(A10="","",IF(posicao_contratual!$Y10="","",IF(posicao_contratual!$Y10&gt;0,"",posicao_contratual!E10)))</f>
        <v/>
      </c>
      <c r="O10" s="147" t="str">
        <f>IF(A10="","",IF(posicao_contratual!$Y10="","",IF(posicao_contratual!$Y10&gt;1,"",posicao_contratual!I10)))</f>
        <v/>
      </c>
      <c r="P10" s="147" t="str">
        <f>IF(A10="","",IF(posicao_contratual!$Y10="","",IF(posicao_contratual!$Y10&gt;2,"",posicao_contratual!M10)))</f>
        <v/>
      </c>
      <c r="Q10" s="147" t="str">
        <f>IF(A10="","",IF(posicao_contratual!$Y10="","",IF(posicao_contratual!$Y10&gt;3,"",posicao_contratual!Q10)))</f>
        <v/>
      </c>
      <c r="R10" s="147" t="str">
        <f>IF(A10="","",IF(posicao_contratual!$Y10="","",IF(posicao_contratual!$Y10&gt;4,"",posicao_contratual!U10)))</f>
        <v/>
      </c>
      <c r="S10" s="167" t="str">
        <f>IF(A10="","",posicao_contratual!G10)</f>
        <v/>
      </c>
      <c r="T10" s="167" t="str">
        <f>IF(A10="","",posicao_contratual!K10)</f>
        <v/>
      </c>
      <c r="U10" s="167" t="str">
        <f>IF(A10="","",posicao_contratual!O10)</f>
        <v/>
      </c>
      <c r="V10" s="167" t="str">
        <f>IF(A10="","",posicao_contratual!S10)</f>
        <v/>
      </c>
      <c r="W10" s="167" t="str">
        <f>IF(A10="","",posicao_contratual!W10)</f>
        <v/>
      </c>
    </row>
    <row r="11" spans="1:23" x14ac:dyDescent="0.35">
      <c r="A11" s="86" t="str">
        <f>IF(itens_Remanesc!A11="","",itens_Remanesc!A11)</f>
        <v/>
      </c>
      <c r="B11" s="85" t="str">
        <f>IF(A11="","",IF(posicao_contratual!$Y11="","",IF(posicao_contratual!$Y11&gt;0,"",posicao_contratual!G11)))</f>
        <v/>
      </c>
      <c r="C11" s="79" t="str">
        <f>IF(itens_Remanesc!A11="","",IF(posicao_contratual!$Y11="","",IF(posicao_contratual!$Y11&gt;0,"",itens_Remanesc!C11)))</f>
        <v/>
      </c>
      <c r="D11" s="79" t="str">
        <f>IF(OR($A11="",posicao_contratual!$Y11=""),"",IF(posicao_contratual!$Y11&gt;1,"",IF(NOT(ISNUMBER(itens_Remanesc!C11)),"",IF(posicao_contratual!$Y11=1,IF(IFERROR(IF(ISNUMBER(INDEX(aditivos!$O$2:$O$200,MATCH($A11,aditivos!$A$2:$A$200,0))),MIN(INDEX(aditivos!$O$2:$O$200,MATCH($A11,aditivos!$A$2:$A$200,0)),posicao_contratual!$Y11),posicao_contratual!$Y11),posicao_contratual!$Y11)=1,itens_Remanesc!C11,IFERROR(ROUND(itens_Remanesc!C11*INDEX($L$2:$L$6,MIN(1+1,COUNT($L$2:$L$6)))/INDEX($L$2:$L$6,MIN(IFERROR(IF(ISNUMBER(INDEX(aditivos!$O$2:$O$200,MATCH($A11,aditivos!$A$2:$A$200,0))),MIN(INDEX(aditivos!$O$2:$O$200,MATCH($A11,aditivos!$A$2:$A$200,0)),posicao_contratual!$Y11),posicao_contratual!$Y11),posicao_contratual!$Y11)+1,COUNT($L$2:$L$6))),2),"")),IF(OR(NOT(ISNUMBER($L$3)),NOT(ISNUMBER(INDEX($L$2:$L$6,IFERROR(IF(ISNUMBER(INDEX(aditivos!$O$2:$O$200,MATCH($A11,aditivos!$A$2:$A$200,0))),MIN(INDEX(aditivos!$O$2:$O$200,MATCH($A11,aditivos!$A$2:$A$200,0)),posicao_contratual!$Y11),posicao_contratual!$Y11),posicao_contratual!$Y11)+1)))),"",ROUND(itens_Remanesc!C11*$L$3/INDEX($L$2:$L$6,IFERROR(IF(ISNUMBER(INDEX(aditivos!$O$2:$O$200,MATCH($A11,aditivos!$A$2:$A$200,0))),MIN(INDEX(aditivos!$O$2:$O$200,MATCH($A11,aditivos!$A$2:$A$200,0)),posicao_contratual!$Y11),posicao_contratual!$Y11),posicao_contratual!$Y11)+1),2))))))</f>
        <v/>
      </c>
      <c r="E11" s="79" t="str">
        <f>IF(OR($A11="",posicao_contratual!$Y11=""),"",IF(posicao_contratual!$Y11&gt;2,"",IF(NOT(ISNUMBER(itens_Remanesc!C11)),"",IF(posicao_contratual!$Y11=2,IF(IFERROR(IF(ISNUMBER(INDEX(aditivos!$O$2:$O$200,MATCH($A11,aditivos!$A$2:$A$200,0))),MIN(INDEX(aditivos!$O$2:$O$200,MATCH($A11,aditivos!$A$2:$A$200,0)),posicao_contratual!$Y11),posicao_contratual!$Y11),posicao_contratual!$Y11)=2,itens_Remanesc!C11,IFERROR(ROUND(itens_Remanesc!C11*INDEX($L$2:$L$6,MIN(2+1,COUNT($L$2:$L$6)))/INDEX($L$2:$L$6,MIN(IFERROR(IF(ISNUMBER(INDEX(aditivos!$O$2:$O$200,MATCH($A11,aditivos!$A$2:$A$200,0))),MIN(INDEX(aditivos!$O$2:$O$200,MATCH($A11,aditivos!$A$2:$A$200,0)),posicao_contratual!$Y11),posicao_contratual!$Y11),posicao_contratual!$Y11)+1,COUNT($L$2:$L$6))),2),"")),IF(OR(NOT(ISNUMBER($L$4)),NOT(ISNUMBER(INDEX($L$2:$L$6,IFERROR(IF(ISNUMBER(INDEX(aditivos!$O$2:$O$200,MATCH($A11,aditivos!$A$2:$A$200,0))),MIN(INDEX(aditivos!$O$2:$O$200,MATCH($A11,aditivos!$A$2:$A$200,0)),posicao_contratual!$Y11),posicao_contratual!$Y11),posicao_contratual!$Y11)+1)))),"",ROUND(itens_Remanesc!C11*$L$4/INDEX($L$2:$L$6,IFERROR(IF(ISNUMBER(INDEX(aditivos!$O$2:$O$200,MATCH($A11,aditivos!$A$2:$A$200,0))),MIN(INDEX(aditivos!$O$2:$O$200,MATCH($A11,aditivos!$A$2:$A$200,0)),posicao_contratual!$Y11),posicao_contratual!$Y11),posicao_contratual!$Y11)+1),2))))))</f>
        <v/>
      </c>
      <c r="F11" s="79" t="str">
        <f>IF(OR($A11="",posicao_contratual!$Y11=""),"",IF(posicao_contratual!$Y11&gt;3,"",IF(NOT(ISNUMBER(itens_Remanesc!C11)),"",IF(posicao_contratual!$Y11=3,IF(IFERROR(IF(ISNUMBER(INDEX(aditivos!$O$2:$O$200,MATCH($A11,aditivos!$A$2:$A$200,0))),MIN(INDEX(aditivos!$O$2:$O$200,MATCH($A11,aditivos!$A$2:$A$200,0)),posicao_contratual!$Y11),posicao_contratual!$Y11),posicao_contratual!$Y11)=3,itens_Remanesc!C11,IFERROR(ROUND(itens_Remanesc!C11*INDEX($L$2:$L$6,MIN(3+1,COUNT($L$2:$L$6)))/INDEX($L$2:$L$6,MIN(IFERROR(IF(ISNUMBER(INDEX(aditivos!$O$2:$O$200,MATCH($A11,aditivos!$A$2:$A$200,0))),MIN(INDEX(aditivos!$O$2:$O$200,MATCH($A11,aditivos!$A$2:$A$200,0)),posicao_contratual!$Y11),posicao_contratual!$Y11),posicao_contratual!$Y11)+1,COUNT($L$2:$L$6))),2),"")),IF(OR(NOT(ISNUMBER($L$5)),NOT(ISNUMBER(INDEX($L$2:$L$6,IFERROR(IF(ISNUMBER(INDEX(aditivos!$O$2:$O$200,MATCH($A11,aditivos!$A$2:$A$200,0))),MIN(INDEX(aditivos!$O$2:$O$200,MATCH($A11,aditivos!$A$2:$A$200,0)),posicao_contratual!$Y11),posicao_contratual!$Y11),posicao_contratual!$Y11)+1)))),"",ROUND(itens_Remanesc!C11*$L$5/INDEX($L$2:$L$6,IFERROR(IF(ISNUMBER(INDEX(aditivos!$O$2:$O$200,MATCH($A11,aditivos!$A$2:$A$200,0))),MIN(INDEX(aditivos!$O$2:$O$200,MATCH($A11,aditivos!$A$2:$A$200,0)),posicao_contratual!$Y11),posicao_contratual!$Y11),posicao_contratual!$Y11)+1),2))))))</f>
        <v/>
      </c>
      <c r="G11" s="79" t="str">
        <f>IF(OR($A11="",posicao_contratual!$Y11=""),"",IF(posicao_contratual!$Y11&gt;4,"",IF(NOT(ISNUMBER(itens_Remanesc!C11)),"",IF(posicao_contratual!$Y11=4,IF(IFERROR(IF(ISNUMBER(INDEX(aditivos!$O$2:$O$200,MATCH($A11,aditivos!$A$2:$A$200,0))),MIN(INDEX(aditivos!$O$2:$O$200,MATCH($A11,aditivos!$A$2:$A$200,0)),posicao_contratual!$Y11),posicao_contratual!$Y11),posicao_contratual!$Y11)=4,itens_Remanesc!C11,IFERROR(ROUND(itens_Remanesc!C11*INDEX($L$2:$L$6,MIN(4+1,COUNT($L$2:$L$6)))/INDEX($L$2:$L$6,MIN(IFERROR(IF(ISNUMBER(INDEX(aditivos!$O$2:$O$200,MATCH($A11,aditivos!$A$2:$A$200,0))),MIN(INDEX(aditivos!$O$2:$O$200,MATCH($A11,aditivos!$A$2:$A$200,0)),posicao_contratual!$Y11),posicao_contratual!$Y11),posicao_contratual!$Y11)+1,COUNT($L$2:$L$6))),2),"")),IF(OR(NOT(ISNUMBER($L$6)),NOT(ISNUMBER(INDEX($L$2:$L$6,IFERROR(IF(ISNUMBER(INDEX(aditivos!$O$2:$O$200,MATCH($A11,aditivos!$A$2:$A$200,0))),MIN(INDEX(aditivos!$O$2:$O$200,MATCH($A11,aditivos!$A$2:$A$200,0)),posicao_contratual!$Y11),posicao_contratual!$Y11),posicao_contratual!$Y11)+1)))),"",ROUND(itens_Remanesc!C11*$L$6/INDEX($L$2:$L$6,IFERROR(IF(ISNUMBER(INDEX(aditivos!$O$2:$O$200,MATCH($A11,aditivos!$A$2:$A$200,0))),MIN(INDEX(aditivos!$O$2:$O$200,MATCH($A11,aditivos!$A$2:$A$200,0)),posicao_contratual!$Y11),posicao_contratual!$Y11),posicao_contratual!$Y11)+1),2))))))</f>
        <v/>
      </c>
      <c r="H11" s="116" t="str">
        <f t="shared" si="0"/>
        <v/>
      </c>
      <c r="I11" s="14"/>
      <c r="J11" s="14"/>
      <c r="K11" s="14"/>
      <c r="L11" s="14"/>
      <c r="M11" s="14"/>
      <c r="N11" s="147" t="str">
        <f>IF(A11="","",IF(posicao_contratual!$Y11="","",IF(posicao_contratual!$Y11&gt;0,"",posicao_contratual!E11)))</f>
        <v/>
      </c>
      <c r="O11" s="147" t="str">
        <f>IF(A11="","",IF(posicao_contratual!$Y11="","",IF(posicao_contratual!$Y11&gt;1,"",posicao_contratual!I11)))</f>
        <v/>
      </c>
      <c r="P11" s="147" t="str">
        <f>IF(A11="","",IF(posicao_contratual!$Y11="","",IF(posicao_contratual!$Y11&gt;2,"",posicao_contratual!M11)))</f>
        <v/>
      </c>
      <c r="Q11" s="147" t="str">
        <f>IF(A11="","",IF(posicao_contratual!$Y11="","",IF(posicao_contratual!$Y11&gt;3,"",posicao_contratual!Q11)))</f>
        <v/>
      </c>
      <c r="R11" s="147" t="str">
        <f>IF(A11="","",IF(posicao_contratual!$Y11="","",IF(posicao_contratual!$Y11&gt;4,"",posicao_contratual!U11)))</f>
        <v/>
      </c>
      <c r="S11" s="167" t="str">
        <f>IF(A11="","",posicao_contratual!G11)</f>
        <v/>
      </c>
      <c r="T11" s="167" t="str">
        <f>IF(A11="","",posicao_contratual!K11)</f>
        <v/>
      </c>
      <c r="U11" s="167" t="str">
        <f>IF(A11="","",posicao_contratual!O11)</f>
        <v/>
      </c>
      <c r="V11" s="167" t="str">
        <f>IF(A11="","",posicao_contratual!S11)</f>
        <v/>
      </c>
      <c r="W11" s="167" t="str">
        <f>IF(A11="","",posicao_contratual!W11)</f>
        <v/>
      </c>
    </row>
    <row r="12" spans="1:23" x14ac:dyDescent="0.35">
      <c r="A12" s="86" t="str">
        <f>IF(itens_Remanesc!A12="","",itens_Remanesc!A12)</f>
        <v/>
      </c>
      <c r="B12" s="85" t="str">
        <f>IF(A12="","",IF(posicao_contratual!$Y12="","",IF(posicao_contratual!$Y12&gt;0,"",posicao_contratual!G12)))</f>
        <v/>
      </c>
      <c r="C12" s="79" t="str">
        <f>IF(itens_Remanesc!A12="","",IF(posicao_contratual!$Y12="","",IF(posicao_contratual!$Y12&gt;0,"",itens_Remanesc!C12)))</f>
        <v/>
      </c>
      <c r="D12" s="79" t="str">
        <f>IF(OR($A12="",posicao_contratual!$Y12=""),"",IF(posicao_contratual!$Y12&gt;1,"",IF(NOT(ISNUMBER(itens_Remanesc!C12)),"",IF(posicao_contratual!$Y12=1,IF(IFERROR(IF(ISNUMBER(INDEX(aditivos!$O$2:$O$200,MATCH($A12,aditivos!$A$2:$A$200,0))),MIN(INDEX(aditivos!$O$2:$O$200,MATCH($A12,aditivos!$A$2:$A$200,0)),posicao_contratual!$Y12),posicao_contratual!$Y12),posicao_contratual!$Y12)=1,itens_Remanesc!C12,IFERROR(ROUND(itens_Remanesc!C12*INDEX($L$2:$L$6,MIN(1+1,COUNT($L$2:$L$6)))/INDEX($L$2:$L$6,MIN(IFERROR(IF(ISNUMBER(INDEX(aditivos!$O$2:$O$200,MATCH($A12,aditivos!$A$2:$A$200,0))),MIN(INDEX(aditivos!$O$2:$O$200,MATCH($A12,aditivos!$A$2:$A$200,0)),posicao_contratual!$Y12),posicao_contratual!$Y12),posicao_contratual!$Y12)+1,COUNT($L$2:$L$6))),2),"")),IF(OR(NOT(ISNUMBER($L$3)),NOT(ISNUMBER(INDEX($L$2:$L$6,IFERROR(IF(ISNUMBER(INDEX(aditivos!$O$2:$O$200,MATCH($A12,aditivos!$A$2:$A$200,0))),MIN(INDEX(aditivos!$O$2:$O$200,MATCH($A12,aditivos!$A$2:$A$200,0)),posicao_contratual!$Y12),posicao_contratual!$Y12),posicao_contratual!$Y12)+1)))),"",ROUND(itens_Remanesc!C12*$L$3/INDEX($L$2:$L$6,IFERROR(IF(ISNUMBER(INDEX(aditivos!$O$2:$O$200,MATCH($A12,aditivos!$A$2:$A$200,0))),MIN(INDEX(aditivos!$O$2:$O$200,MATCH($A12,aditivos!$A$2:$A$200,0)),posicao_contratual!$Y12),posicao_contratual!$Y12),posicao_contratual!$Y12)+1),2))))))</f>
        <v/>
      </c>
      <c r="E12" s="79" t="str">
        <f>IF(OR($A12="",posicao_contratual!$Y12=""),"",IF(posicao_contratual!$Y12&gt;2,"",IF(NOT(ISNUMBER(itens_Remanesc!C12)),"",IF(posicao_contratual!$Y12=2,IF(IFERROR(IF(ISNUMBER(INDEX(aditivos!$O$2:$O$200,MATCH($A12,aditivos!$A$2:$A$200,0))),MIN(INDEX(aditivos!$O$2:$O$200,MATCH($A12,aditivos!$A$2:$A$200,0)),posicao_contratual!$Y12),posicao_contratual!$Y12),posicao_contratual!$Y12)=2,itens_Remanesc!C12,IFERROR(ROUND(itens_Remanesc!C12*INDEX($L$2:$L$6,MIN(2+1,COUNT($L$2:$L$6)))/INDEX($L$2:$L$6,MIN(IFERROR(IF(ISNUMBER(INDEX(aditivos!$O$2:$O$200,MATCH($A12,aditivos!$A$2:$A$200,0))),MIN(INDEX(aditivos!$O$2:$O$200,MATCH($A12,aditivos!$A$2:$A$200,0)),posicao_contratual!$Y12),posicao_contratual!$Y12),posicao_contratual!$Y12)+1,COUNT($L$2:$L$6))),2),"")),IF(OR(NOT(ISNUMBER($L$4)),NOT(ISNUMBER(INDEX($L$2:$L$6,IFERROR(IF(ISNUMBER(INDEX(aditivos!$O$2:$O$200,MATCH($A12,aditivos!$A$2:$A$200,0))),MIN(INDEX(aditivos!$O$2:$O$200,MATCH($A12,aditivos!$A$2:$A$200,0)),posicao_contratual!$Y12),posicao_contratual!$Y12),posicao_contratual!$Y12)+1)))),"",ROUND(itens_Remanesc!C12*$L$4/INDEX($L$2:$L$6,IFERROR(IF(ISNUMBER(INDEX(aditivos!$O$2:$O$200,MATCH($A12,aditivos!$A$2:$A$200,0))),MIN(INDEX(aditivos!$O$2:$O$200,MATCH($A12,aditivos!$A$2:$A$200,0)),posicao_contratual!$Y12),posicao_contratual!$Y12),posicao_contratual!$Y12)+1),2))))))</f>
        <v/>
      </c>
      <c r="F12" s="79" t="str">
        <f>IF(OR($A12="",posicao_contratual!$Y12=""),"",IF(posicao_contratual!$Y12&gt;3,"",IF(NOT(ISNUMBER(itens_Remanesc!C12)),"",IF(posicao_contratual!$Y12=3,IF(IFERROR(IF(ISNUMBER(INDEX(aditivos!$O$2:$O$200,MATCH($A12,aditivos!$A$2:$A$200,0))),MIN(INDEX(aditivos!$O$2:$O$200,MATCH($A12,aditivos!$A$2:$A$200,0)),posicao_contratual!$Y12),posicao_contratual!$Y12),posicao_contratual!$Y12)=3,itens_Remanesc!C12,IFERROR(ROUND(itens_Remanesc!C12*INDEX($L$2:$L$6,MIN(3+1,COUNT($L$2:$L$6)))/INDEX($L$2:$L$6,MIN(IFERROR(IF(ISNUMBER(INDEX(aditivos!$O$2:$O$200,MATCH($A12,aditivos!$A$2:$A$200,0))),MIN(INDEX(aditivos!$O$2:$O$200,MATCH($A12,aditivos!$A$2:$A$200,0)),posicao_contratual!$Y12),posicao_contratual!$Y12),posicao_contratual!$Y12)+1,COUNT($L$2:$L$6))),2),"")),IF(OR(NOT(ISNUMBER($L$5)),NOT(ISNUMBER(INDEX($L$2:$L$6,IFERROR(IF(ISNUMBER(INDEX(aditivos!$O$2:$O$200,MATCH($A12,aditivos!$A$2:$A$200,0))),MIN(INDEX(aditivos!$O$2:$O$200,MATCH($A12,aditivos!$A$2:$A$200,0)),posicao_contratual!$Y12),posicao_contratual!$Y12),posicao_contratual!$Y12)+1)))),"",ROUND(itens_Remanesc!C12*$L$5/INDEX($L$2:$L$6,IFERROR(IF(ISNUMBER(INDEX(aditivos!$O$2:$O$200,MATCH($A12,aditivos!$A$2:$A$200,0))),MIN(INDEX(aditivos!$O$2:$O$200,MATCH($A12,aditivos!$A$2:$A$200,0)),posicao_contratual!$Y12),posicao_contratual!$Y12),posicao_contratual!$Y12)+1),2))))))</f>
        <v/>
      </c>
      <c r="G12" s="79" t="str">
        <f>IF(OR($A12="",posicao_contratual!$Y12=""),"",IF(posicao_contratual!$Y12&gt;4,"",IF(NOT(ISNUMBER(itens_Remanesc!C12)),"",IF(posicao_contratual!$Y12=4,IF(IFERROR(IF(ISNUMBER(INDEX(aditivos!$O$2:$O$200,MATCH($A12,aditivos!$A$2:$A$200,0))),MIN(INDEX(aditivos!$O$2:$O$200,MATCH($A12,aditivos!$A$2:$A$200,0)),posicao_contratual!$Y12),posicao_contratual!$Y12),posicao_contratual!$Y12)=4,itens_Remanesc!C12,IFERROR(ROUND(itens_Remanesc!C12*INDEX($L$2:$L$6,MIN(4+1,COUNT($L$2:$L$6)))/INDEX($L$2:$L$6,MIN(IFERROR(IF(ISNUMBER(INDEX(aditivos!$O$2:$O$200,MATCH($A12,aditivos!$A$2:$A$200,0))),MIN(INDEX(aditivos!$O$2:$O$200,MATCH($A12,aditivos!$A$2:$A$200,0)),posicao_contratual!$Y12),posicao_contratual!$Y12),posicao_contratual!$Y12)+1,COUNT($L$2:$L$6))),2),"")),IF(OR(NOT(ISNUMBER($L$6)),NOT(ISNUMBER(INDEX($L$2:$L$6,IFERROR(IF(ISNUMBER(INDEX(aditivos!$O$2:$O$200,MATCH($A12,aditivos!$A$2:$A$200,0))),MIN(INDEX(aditivos!$O$2:$O$200,MATCH($A12,aditivos!$A$2:$A$200,0)),posicao_contratual!$Y12),posicao_contratual!$Y12),posicao_contratual!$Y12)+1)))),"",ROUND(itens_Remanesc!C12*$L$6/INDEX($L$2:$L$6,IFERROR(IF(ISNUMBER(INDEX(aditivos!$O$2:$O$200,MATCH($A12,aditivos!$A$2:$A$200,0))),MIN(INDEX(aditivos!$O$2:$O$200,MATCH($A12,aditivos!$A$2:$A$200,0)),posicao_contratual!$Y12),posicao_contratual!$Y12),posicao_contratual!$Y12)+1),2))))))</f>
        <v/>
      </c>
      <c r="H12" s="116" t="str">
        <f t="shared" si="0"/>
        <v/>
      </c>
      <c r="I12" s="14"/>
      <c r="J12" s="14"/>
      <c r="K12" s="14"/>
      <c r="L12" s="14"/>
      <c r="M12" s="14"/>
      <c r="N12" s="147" t="str">
        <f>IF(A12="","",IF(posicao_contratual!$Y12="","",IF(posicao_contratual!$Y12&gt;0,"",posicao_contratual!E12)))</f>
        <v/>
      </c>
      <c r="O12" s="147" t="str">
        <f>IF(A12="","",IF(posicao_contratual!$Y12="","",IF(posicao_contratual!$Y12&gt;1,"",posicao_contratual!I12)))</f>
        <v/>
      </c>
      <c r="P12" s="147" t="str">
        <f>IF(A12="","",IF(posicao_contratual!$Y12="","",IF(posicao_contratual!$Y12&gt;2,"",posicao_contratual!M12)))</f>
        <v/>
      </c>
      <c r="Q12" s="147" t="str">
        <f>IF(A12="","",IF(posicao_contratual!$Y12="","",IF(posicao_contratual!$Y12&gt;3,"",posicao_contratual!Q12)))</f>
        <v/>
      </c>
      <c r="R12" s="147" t="str">
        <f>IF(A12="","",IF(posicao_contratual!$Y12="","",IF(posicao_contratual!$Y12&gt;4,"",posicao_contratual!U12)))</f>
        <v/>
      </c>
      <c r="S12" s="167" t="str">
        <f>IF(A12="","",posicao_contratual!G12)</f>
        <v/>
      </c>
      <c r="T12" s="167" t="str">
        <f>IF(A12="","",posicao_contratual!K12)</f>
        <v/>
      </c>
      <c r="U12" s="167" t="str">
        <f>IF(A12="","",posicao_contratual!O12)</f>
        <v/>
      </c>
      <c r="V12" s="167" t="str">
        <f>IF(A12="","",posicao_contratual!S12)</f>
        <v/>
      </c>
      <c r="W12" s="167" t="str">
        <f>IF(A12="","",posicao_contratual!W12)</f>
        <v/>
      </c>
    </row>
    <row r="13" spans="1:23" x14ac:dyDescent="0.35">
      <c r="A13" s="86" t="str">
        <f>IF(itens_Remanesc!A13="","",itens_Remanesc!A13)</f>
        <v/>
      </c>
      <c r="B13" s="85" t="str">
        <f>IF(A13="","",IF(posicao_contratual!$Y13="","",IF(posicao_contratual!$Y13&gt;0,"",posicao_contratual!G13)))</f>
        <v/>
      </c>
      <c r="C13" s="79" t="str">
        <f>IF(itens_Remanesc!A13="","",IF(posicao_contratual!$Y13="","",IF(posicao_contratual!$Y13&gt;0,"",itens_Remanesc!C13)))</f>
        <v/>
      </c>
      <c r="D13" s="79" t="str">
        <f>IF(OR($A13="",posicao_contratual!$Y13=""),"",IF(posicao_contratual!$Y13&gt;1,"",IF(NOT(ISNUMBER(itens_Remanesc!C13)),"",IF(posicao_contratual!$Y13=1,IF(IFERROR(IF(ISNUMBER(INDEX(aditivos!$O$2:$O$200,MATCH($A13,aditivos!$A$2:$A$200,0))),MIN(INDEX(aditivos!$O$2:$O$200,MATCH($A13,aditivos!$A$2:$A$200,0)),posicao_contratual!$Y13),posicao_contratual!$Y13),posicao_contratual!$Y13)=1,itens_Remanesc!C13,IFERROR(ROUND(itens_Remanesc!C13*INDEX($L$2:$L$6,MIN(1+1,COUNT($L$2:$L$6)))/INDEX($L$2:$L$6,MIN(IFERROR(IF(ISNUMBER(INDEX(aditivos!$O$2:$O$200,MATCH($A13,aditivos!$A$2:$A$200,0))),MIN(INDEX(aditivos!$O$2:$O$200,MATCH($A13,aditivos!$A$2:$A$200,0)),posicao_contratual!$Y13),posicao_contratual!$Y13),posicao_contratual!$Y13)+1,COUNT($L$2:$L$6))),2),"")),IF(OR(NOT(ISNUMBER($L$3)),NOT(ISNUMBER(INDEX($L$2:$L$6,IFERROR(IF(ISNUMBER(INDEX(aditivos!$O$2:$O$200,MATCH($A13,aditivos!$A$2:$A$200,0))),MIN(INDEX(aditivos!$O$2:$O$200,MATCH($A13,aditivos!$A$2:$A$200,0)),posicao_contratual!$Y13),posicao_contratual!$Y13),posicao_contratual!$Y13)+1)))),"",ROUND(itens_Remanesc!C13*$L$3/INDEX($L$2:$L$6,IFERROR(IF(ISNUMBER(INDEX(aditivos!$O$2:$O$200,MATCH($A13,aditivos!$A$2:$A$200,0))),MIN(INDEX(aditivos!$O$2:$O$200,MATCH($A13,aditivos!$A$2:$A$200,0)),posicao_contratual!$Y13),posicao_contratual!$Y13),posicao_contratual!$Y13)+1),2))))))</f>
        <v/>
      </c>
      <c r="E13" s="79" t="str">
        <f>IF(OR($A13="",posicao_contratual!$Y13=""),"",IF(posicao_contratual!$Y13&gt;2,"",IF(NOT(ISNUMBER(itens_Remanesc!C13)),"",IF(posicao_contratual!$Y13=2,IF(IFERROR(IF(ISNUMBER(INDEX(aditivos!$O$2:$O$200,MATCH($A13,aditivos!$A$2:$A$200,0))),MIN(INDEX(aditivos!$O$2:$O$200,MATCH($A13,aditivos!$A$2:$A$200,0)),posicao_contratual!$Y13),posicao_contratual!$Y13),posicao_contratual!$Y13)=2,itens_Remanesc!C13,IFERROR(ROUND(itens_Remanesc!C13*INDEX($L$2:$L$6,MIN(2+1,COUNT($L$2:$L$6)))/INDEX($L$2:$L$6,MIN(IFERROR(IF(ISNUMBER(INDEX(aditivos!$O$2:$O$200,MATCH($A13,aditivos!$A$2:$A$200,0))),MIN(INDEX(aditivos!$O$2:$O$200,MATCH($A13,aditivos!$A$2:$A$200,0)),posicao_contratual!$Y13),posicao_contratual!$Y13),posicao_contratual!$Y13)+1,COUNT($L$2:$L$6))),2),"")),IF(OR(NOT(ISNUMBER($L$4)),NOT(ISNUMBER(INDEX($L$2:$L$6,IFERROR(IF(ISNUMBER(INDEX(aditivos!$O$2:$O$200,MATCH($A13,aditivos!$A$2:$A$200,0))),MIN(INDEX(aditivos!$O$2:$O$200,MATCH($A13,aditivos!$A$2:$A$200,0)),posicao_contratual!$Y13),posicao_contratual!$Y13),posicao_contratual!$Y13)+1)))),"",ROUND(itens_Remanesc!C13*$L$4/INDEX($L$2:$L$6,IFERROR(IF(ISNUMBER(INDEX(aditivos!$O$2:$O$200,MATCH($A13,aditivos!$A$2:$A$200,0))),MIN(INDEX(aditivos!$O$2:$O$200,MATCH($A13,aditivos!$A$2:$A$200,0)),posicao_contratual!$Y13),posicao_contratual!$Y13),posicao_contratual!$Y13)+1),2))))))</f>
        <v/>
      </c>
      <c r="F13" s="79" t="str">
        <f>IF(OR($A13="",posicao_contratual!$Y13=""),"",IF(posicao_contratual!$Y13&gt;3,"",IF(NOT(ISNUMBER(itens_Remanesc!C13)),"",IF(posicao_contratual!$Y13=3,IF(IFERROR(IF(ISNUMBER(INDEX(aditivos!$O$2:$O$200,MATCH($A13,aditivos!$A$2:$A$200,0))),MIN(INDEX(aditivos!$O$2:$O$200,MATCH($A13,aditivos!$A$2:$A$200,0)),posicao_contratual!$Y13),posicao_contratual!$Y13),posicao_contratual!$Y13)=3,itens_Remanesc!C13,IFERROR(ROUND(itens_Remanesc!C13*INDEX($L$2:$L$6,MIN(3+1,COUNT($L$2:$L$6)))/INDEX($L$2:$L$6,MIN(IFERROR(IF(ISNUMBER(INDEX(aditivos!$O$2:$O$200,MATCH($A13,aditivos!$A$2:$A$200,0))),MIN(INDEX(aditivos!$O$2:$O$200,MATCH($A13,aditivos!$A$2:$A$200,0)),posicao_contratual!$Y13),posicao_contratual!$Y13),posicao_contratual!$Y13)+1,COUNT($L$2:$L$6))),2),"")),IF(OR(NOT(ISNUMBER($L$5)),NOT(ISNUMBER(INDEX($L$2:$L$6,IFERROR(IF(ISNUMBER(INDEX(aditivos!$O$2:$O$200,MATCH($A13,aditivos!$A$2:$A$200,0))),MIN(INDEX(aditivos!$O$2:$O$200,MATCH($A13,aditivos!$A$2:$A$200,0)),posicao_contratual!$Y13),posicao_contratual!$Y13),posicao_contratual!$Y13)+1)))),"",ROUND(itens_Remanesc!C13*$L$5/INDEX($L$2:$L$6,IFERROR(IF(ISNUMBER(INDEX(aditivos!$O$2:$O$200,MATCH($A13,aditivos!$A$2:$A$200,0))),MIN(INDEX(aditivos!$O$2:$O$200,MATCH($A13,aditivos!$A$2:$A$200,0)),posicao_contratual!$Y13),posicao_contratual!$Y13),posicao_contratual!$Y13)+1),2))))))</f>
        <v/>
      </c>
      <c r="G13" s="79" t="str">
        <f>IF(OR($A13="",posicao_contratual!$Y13=""),"",IF(posicao_contratual!$Y13&gt;4,"",IF(NOT(ISNUMBER(itens_Remanesc!C13)),"",IF(posicao_contratual!$Y13=4,IF(IFERROR(IF(ISNUMBER(INDEX(aditivos!$O$2:$O$200,MATCH($A13,aditivos!$A$2:$A$200,0))),MIN(INDEX(aditivos!$O$2:$O$200,MATCH($A13,aditivos!$A$2:$A$200,0)),posicao_contratual!$Y13),posicao_contratual!$Y13),posicao_contratual!$Y13)=4,itens_Remanesc!C13,IFERROR(ROUND(itens_Remanesc!C13*INDEX($L$2:$L$6,MIN(4+1,COUNT($L$2:$L$6)))/INDEX($L$2:$L$6,MIN(IFERROR(IF(ISNUMBER(INDEX(aditivos!$O$2:$O$200,MATCH($A13,aditivos!$A$2:$A$200,0))),MIN(INDEX(aditivos!$O$2:$O$200,MATCH($A13,aditivos!$A$2:$A$200,0)),posicao_contratual!$Y13),posicao_contratual!$Y13),posicao_contratual!$Y13)+1,COUNT($L$2:$L$6))),2),"")),IF(OR(NOT(ISNUMBER($L$6)),NOT(ISNUMBER(INDEX($L$2:$L$6,IFERROR(IF(ISNUMBER(INDEX(aditivos!$O$2:$O$200,MATCH($A13,aditivos!$A$2:$A$200,0))),MIN(INDEX(aditivos!$O$2:$O$200,MATCH($A13,aditivos!$A$2:$A$200,0)),posicao_contratual!$Y13),posicao_contratual!$Y13),posicao_contratual!$Y13)+1)))),"",ROUND(itens_Remanesc!C13*$L$6/INDEX($L$2:$L$6,IFERROR(IF(ISNUMBER(INDEX(aditivos!$O$2:$O$200,MATCH($A13,aditivos!$A$2:$A$200,0))),MIN(INDEX(aditivos!$O$2:$O$200,MATCH($A13,aditivos!$A$2:$A$200,0)),posicao_contratual!$Y13),posicao_contratual!$Y13),posicao_contratual!$Y13)+1),2))))))</f>
        <v/>
      </c>
      <c r="H13" s="116" t="str">
        <f t="shared" si="0"/>
        <v/>
      </c>
      <c r="I13" s="14"/>
      <c r="J13" s="14"/>
      <c r="K13" s="14"/>
      <c r="L13" s="14"/>
      <c r="M13" s="14"/>
      <c r="N13" s="147" t="str">
        <f>IF(A13="","",IF(posicao_contratual!$Y13="","",IF(posicao_contratual!$Y13&gt;0,"",posicao_contratual!E13)))</f>
        <v/>
      </c>
      <c r="O13" s="147" t="str">
        <f>IF(A13="","",IF(posicao_contratual!$Y13="","",IF(posicao_contratual!$Y13&gt;1,"",posicao_contratual!I13)))</f>
        <v/>
      </c>
      <c r="P13" s="147" t="str">
        <f>IF(A13="","",IF(posicao_contratual!$Y13="","",IF(posicao_contratual!$Y13&gt;2,"",posicao_contratual!M13)))</f>
        <v/>
      </c>
      <c r="Q13" s="147" t="str">
        <f>IF(A13="","",IF(posicao_contratual!$Y13="","",IF(posicao_contratual!$Y13&gt;3,"",posicao_contratual!Q13)))</f>
        <v/>
      </c>
      <c r="R13" s="147" t="str">
        <f>IF(A13="","",IF(posicao_contratual!$Y13="","",IF(posicao_contratual!$Y13&gt;4,"",posicao_contratual!U13)))</f>
        <v/>
      </c>
      <c r="S13" s="167" t="str">
        <f>IF(A13="","",posicao_contratual!G13)</f>
        <v/>
      </c>
      <c r="T13" s="167" t="str">
        <f>IF(A13="","",posicao_contratual!K13)</f>
        <v/>
      </c>
      <c r="U13" s="167" t="str">
        <f>IF(A13="","",posicao_contratual!O13)</f>
        <v/>
      </c>
      <c r="V13" s="167" t="str">
        <f>IF(A13="","",posicao_contratual!S13)</f>
        <v/>
      </c>
      <c r="W13" s="167" t="str">
        <f>IF(A13="","",posicao_contratual!W13)</f>
        <v/>
      </c>
    </row>
    <row r="14" spans="1:23" x14ac:dyDescent="0.35">
      <c r="A14" s="86" t="str">
        <f>IF(itens_Remanesc!A14="","",itens_Remanesc!A14)</f>
        <v/>
      </c>
      <c r="B14" s="85" t="str">
        <f>IF(A14="","",IF(posicao_contratual!$Y14="","",IF(posicao_contratual!$Y14&gt;0,"",posicao_contratual!G14)))</f>
        <v/>
      </c>
      <c r="C14" s="79" t="str">
        <f>IF(itens_Remanesc!A14="","",IF(posicao_contratual!$Y14="","",IF(posicao_contratual!$Y14&gt;0,"",itens_Remanesc!C14)))</f>
        <v/>
      </c>
      <c r="D14" s="79" t="str">
        <f>IF(OR($A14="",posicao_contratual!$Y14=""),"",IF(posicao_contratual!$Y14&gt;1,"",IF(NOT(ISNUMBER(itens_Remanesc!C14)),"",IF(posicao_contratual!$Y14=1,IF(IFERROR(IF(ISNUMBER(INDEX(aditivos!$O$2:$O$200,MATCH($A14,aditivos!$A$2:$A$200,0))),MIN(INDEX(aditivos!$O$2:$O$200,MATCH($A14,aditivos!$A$2:$A$200,0)),posicao_contratual!$Y14),posicao_contratual!$Y14),posicao_contratual!$Y14)=1,itens_Remanesc!C14,IFERROR(ROUND(itens_Remanesc!C14*INDEX($L$2:$L$6,MIN(1+1,COUNT($L$2:$L$6)))/INDEX($L$2:$L$6,MIN(IFERROR(IF(ISNUMBER(INDEX(aditivos!$O$2:$O$200,MATCH($A14,aditivos!$A$2:$A$200,0))),MIN(INDEX(aditivos!$O$2:$O$200,MATCH($A14,aditivos!$A$2:$A$200,0)),posicao_contratual!$Y14),posicao_contratual!$Y14),posicao_contratual!$Y14)+1,COUNT($L$2:$L$6))),2),"")),IF(OR(NOT(ISNUMBER($L$3)),NOT(ISNUMBER(INDEX($L$2:$L$6,IFERROR(IF(ISNUMBER(INDEX(aditivos!$O$2:$O$200,MATCH($A14,aditivos!$A$2:$A$200,0))),MIN(INDEX(aditivos!$O$2:$O$200,MATCH($A14,aditivos!$A$2:$A$200,0)),posicao_contratual!$Y14),posicao_contratual!$Y14),posicao_contratual!$Y14)+1)))),"",ROUND(itens_Remanesc!C14*$L$3/INDEX($L$2:$L$6,IFERROR(IF(ISNUMBER(INDEX(aditivos!$O$2:$O$200,MATCH($A14,aditivos!$A$2:$A$200,0))),MIN(INDEX(aditivos!$O$2:$O$200,MATCH($A14,aditivos!$A$2:$A$200,0)),posicao_contratual!$Y14),posicao_contratual!$Y14),posicao_contratual!$Y14)+1),2))))))</f>
        <v/>
      </c>
      <c r="E14" s="79" t="str">
        <f>IF(OR($A14="",posicao_contratual!$Y14=""),"",IF(posicao_contratual!$Y14&gt;2,"",IF(NOT(ISNUMBER(itens_Remanesc!C14)),"",IF(posicao_contratual!$Y14=2,IF(IFERROR(IF(ISNUMBER(INDEX(aditivos!$O$2:$O$200,MATCH($A14,aditivos!$A$2:$A$200,0))),MIN(INDEX(aditivos!$O$2:$O$200,MATCH($A14,aditivos!$A$2:$A$200,0)),posicao_contratual!$Y14),posicao_contratual!$Y14),posicao_contratual!$Y14)=2,itens_Remanesc!C14,IFERROR(ROUND(itens_Remanesc!C14*INDEX($L$2:$L$6,MIN(2+1,COUNT($L$2:$L$6)))/INDEX($L$2:$L$6,MIN(IFERROR(IF(ISNUMBER(INDEX(aditivos!$O$2:$O$200,MATCH($A14,aditivos!$A$2:$A$200,0))),MIN(INDEX(aditivos!$O$2:$O$200,MATCH($A14,aditivos!$A$2:$A$200,0)),posicao_contratual!$Y14),posicao_contratual!$Y14),posicao_contratual!$Y14)+1,COUNT($L$2:$L$6))),2),"")),IF(OR(NOT(ISNUMBER($L$4)),NOT(ISNUMBER(INDEX($L$2:$L$6,IFERROR(IF(ISNUMBER(INDEX(aditivos!$O$2:$O$200,MATCH($A14,aditivos!$A$2:$A$200,0))),MIN(INDEX(aditivos!$O$2:$O$200,MATCH($A14,aditivos!$A$2:$A$200,0)),posicao_contratual!$Y14),posicao_contratual!$Y14),posicao_contratual!$Y14)+1)))),"",ROUND(itens_Remanesc!C14*$L$4/INDEX($L$2:$L$6,IFERROR(IF(ISNUMBER(INDEX(aditivos!$O$2:$O$200,MATCH($A14,aditivos!$A$2:$A$200,0))),MIN(INDEX(aditivos!$O$2:$O$200,MATCH($A14,aditivos!$A$2:$A$200,0)),posicao_contratual!$Y14),posicao_contratual!$Y14),posicao_contratual!$Y14)+1),2))))))</f>
        <v/>
      </c>
      <c r="F14" s="79" t="str">
        <f>IF(OR($A14="",posicao_contratual!$Y14=""),"",IF(posicao_contratual!$Y14&gt;3,"",IF(NOT(ISNUMBER(itens_Remanesc!C14)),"",IF(posicao_contratual!$Y14=3,IF(IFERROR(IF(ISNUMBER(INDEX(aditivos!$O$2:$O$200,MATCH($A14,aditivos!$A$2:$A$200,0))),MIN(INDEX(aditivos!$O$2:$O$200,MATCH($A14,aditivos!$A$2:$A$200,0)),posicao_contratual!$Y14),posicao_contratual!$Y14),posicao_contratual!$Y14)=3,itens_Remanesc!C14,IFERROR(ROUND(itens_Remanesc!C14*INDEX($L$2:$L$6,MIN(3+1,COUNT($L$2:$L$6)))/INDEX($L$2:$L$6,MIN(IFERROR(IF(ISNUMBER(INDEX(aditivos!$O$2:$O$200,MATCH($A14,aditivos!$A$2:$A$200,0))),MIN(INDEX(aditivos!$O$2:$O$200,MATCH($A14,aditivos!$A$2:$A$200,0)),posicao_contratual!$Y14),posicao_contratual!$Y14),posicao_contratual!$Y14)+1,COUNT($L$2:$L$6))),2),"")),IF(OR(NOT(ISNUMBER($L$5)),NOT(ISNUMBER(INDEX($L$2:$L$6,IFERROR(IF(ISNUMBER(INDEX(aditivos!$O$2:$O$200,MATCH($A14,aditivos!$A$2:$A$200,0))),MIN(INDEX(aditivos!$O$2:$O$200,MATCH($A14,aditivos!$A$2:$A$200,0)),posicao_contratual!$Y14),posicao_contratual!$Y14),posicao_contratual!$Y14)+1)))),"",ROUND(itens_Remanesc!C14*$L$5/INDEX($L$2:$L$6,IFERROR(IF(ISNUMBER(INDEX(aditivos!$O$2:$O$200,MATCH($A14,aditivos!$A$2:$A$200,0))),MIN(INDEX(aditivos!$O$2:$O$200,MATCH($A14,aditivos!$A$2:$A$200,0)),posicao_contratual!$Y14),posicao_contratual!$Y14),posicao_contratual!$Y14)+1),2))))))</f>
        <v/>
      </c>
      <c r="G14" s="79" t="str">
        <f>IF(OR($A14="",posicao_contratual!$Y14=""),"",IF(posicao_contratual!$Y14&gt;4,"",IF(NOT(ISNUMBER(itens_Remanesc!C14)),"",IF(posicao_contratual!$Y14=4,IF(IFERROR(IF(ISNUMBER(INDEX(aditivos!$O$2:$O$200,MATCH($A14,aditivos!$A$2:$A$200,0))),MIN(INDEX(aditivos!$O$2:$O$200,MATCH($A14,aditivos!$A$2:$A$200,0)),posicao_contratual!$Y14),posicao_contratual!$Y14),posicao_contratual!$Y14)=4,itens_Remanesc!C14,IFERROR(ROUND(itens_Remanesc!C14*INDEX($L$2:$L$6,MIN(4+1,COUNT($L$2:$L$6)))/INDEX($L$2:$L$6,MIN(IFERROR(IF(ISNUMBER(INDEX(aditivos!$O$2:$O$200,MATCH($A14,aditivos!$A$2:$A$200,0))),MIN(INDEX(aditivos!$O$2:$O$200,MATCH($A14,aditivos!$A$2:$A$200,0)),posicao_contratual!$Y14),posicao_contratual!$Y14),posicao_contratual!$Y14)+1,COUNT($L$2:$L$6))),2),"")),IF(OR(NOT(ISNUMBER($L$6)),NOT(ISNUMBER(INDEX($L$2:$L$6,IFERROR(IF(ISNUMBER(INDEX(aditivos!$O$2:$O$200,MATCH($A14,aditivos!$A$2:$A$200,0))),MIN(INDEX(aditivos!$O$2:$O$200,MATCH($A14,aditivos!$A$2:$A$200,0)),posicao_contratual!$Y14),posicao_contratual!$Y14),posicao_contratual!$Y14)+1)))),"",ROUND(itens_Remanesc!C14*$L$6/INDEX($L$2:$L$6,IFERROR(IF(ISNUMBER(INDEX(aditivos!$O$2:$O$200,MATCH($A14,aditivos!$A$2:$A$200,0))),MIN(INDEX(aditivos!$O$2:$O$200,MATCH($A14,aditivos!$A$2:$A$200,0)),posicao_contratual!$Y14),posicao_contratual!$Y14),posicao_contratual!$Y14)+1),2))))))</f>
        <v/>
      </c>
      <c r="H14" s="116" t="str">
        <f t="shared" si="0"/>
        <v/>
      </c>
      <c r="I14" s="14"/>
      <c r="J14" s="14"/>
      <c r="K14" s="14"/>
      <c r="L14" s="14"/>
      <c r="M14" s="14"/>
      <c r="N14" s="147" t="str">
        <f>IF(A14="","",IF(posicao_contratual!$Y14="","",IF(posicao_contratual!$Y14&gt;0,"",posicao_contratual!E14)))</f>
        <v/>
      </c>
      <c r="O14" s="147" t="str">
        <f>IF(A14="","",IF(posicao_contratual!$Y14="","",IF(posicao_contratual!$Y14&gt;1,"",posicao_contratual!I14)))</f>
        <v/>
      </c>
      <c r="P14" s="147" t="str">
        <f>IF(A14="","",IF(posicao_contratual!$Y14="","",IF(posicao_contratual!$Y14&gt;2,"",posicao_contratual!M14)))</f>
        <v/>
      </c>
      <c r="Q14" s="147" t="str">
        <f>IF(A14="","",IF(posicao_contratual!$Y14="","",IF(posicao_contratual!$Y14&gt;3,"",posicao_contratual!Q14)))</f>
        <v/>
      </c>
      <c r="R14" s="147" t="str">
        <f>IF(A14="","",IF(posicao_contratual!$Y14="","",IF(posicao_contratual!$Y14&gt;4,"",posicao_contratual!U14)))</f>
        <v/>
      </c>
      <c r="S14" s="167" t="str">
        <f>IF(A14="","",posicao_contratual!G14)</f>
        <v/>
      </c>
      <c r="T14" s="167" t="str">
        <f>IF(A14="","",posicao_contratual!K14)</f>
        <v/>
      </c>
      <c r="U14" s="167" t="str">
        <f>IF(A14="","",posicao_contratual!O14)</f>
        <v/>
      </c>
      <c r="V14" s="167" t="str">
        <f>IF(A14="","",posicao_contratual!S14)</f>
        <v/>
      </c>
      <c r="W14" s="167" t="str">
        <f>IF(A14="","",posicao_contratual!W14)</f>
        <v/>
      </c>
    </row>
    <row r="15" spans="1:23" x14ac:dyDescent="0.35">
      <c r="A15" s="86" t="str">
        <f>IF(itens_Remanesc!A15="","",itens_Remanesc!A15)</f>
        <v/>
      </c>
      <c r="B15" s="85" t="str">
        <f>IF(A15="","",IF(posicao_contratual!$Y15="","",IF(posicao_contratual!$Y15&gt;0,"",posicao_contratual!G15)))</f>
        <v/>
      </c>
      <c r="C15" s="79" t="str">
        <f>IF(itens_Remanesc!A15="","",IF(posicao_contratual!$Y15="","",IF(posicao_contratual!$Y15&gt;0,"",itens_Remanesc!C15)))</f>
        <v/>
      </c>
      <c r="D15" s="79" t="str">
        <f>IF(OR($A15="",posicao_contratual!$Y15=""),"",IF(posicao_contratual!$Y15&gt;1,"",IF(NOT(ISNUMBER(itens_Remanesc!C15)),"",IF(posicao_contratual!$Y15=1,IF(IFERROR(IF(ISNUMBER(INDEX(aditivos!$O$2:$O$200,MATCH($A15,aditivos!$A$2:$A$200,0))),MIN(INDEX(aditivos!$O$2:$O$200,MATCH($A15,aditivos!$A$2:$A$200,0)),posicao_contratual!$Y15),posicao_contratual!$Y15),posicao_contratual!$Y15)=1,itens_Remanesc!C15,IFERROR(ROUND(itens_Remanesc!C15*INDEX($L$2:$L$6,MIN(1+1,COUNT($L$2:$L$6)))/INDEX($L$2:$L$6,MIN(IFERROR(IF(ISNUMBER(INDEX(aditivos!$O$2:$O$200,MATCH($A15,aditivos!$A$2:$A$200,0))),MIN(INDEX(aditivos!$O$2:$O$200,MATCH($A15,aditivos!$A$2:$A$200,0)),posicao_contratual!$Y15),posicao_contratual!$Y15),posicao_contratual!$Y15)+1,COUNT($L$2:$L$6))),2),"")),IF(OR(NOT(ISNUMBER($L$3)),NOT(ISNUMBER(INDEX($L$2:$L$6,IFERROR(IF(ISNUMBER(INDEX(aditivos!$O$2:$O$200,MATCH($A15,aditivos!$A$2:$A$200,0))),MIN(INDEX(aditivos!$O$2:$O$200,MATCH($A15,aditivos!$A$2:$A$200,0)),posicao_contratual!$Y15),posicao_contratual!$Y15),posicao_contratual!$Y15)+1)))),"",ROUND(itens_Remanesc!C15*$L$3/INDEX($L$2:$L$6,IFERROR(IF(ISNUMBER(INDEX(aditivos!$O$2:$O$200,MATCH($A15,aditivos!$A$2:$A$200,0))),MIN(INDEX(aditivos!$O$2:$O$200,MATCH($A15,aditivos!$A$2:$A$200,0)),posicao_contratual!$Y15),posicao_contratual!$Y15),posicao_contratual!$Y15)+1),2))))))</f>
        <v/>
      </c>
      <c r="E15" s="79" t="str">
        <f>IF(OR($A15="",posicao_contratual!$Y15=""),"",IF(posicao_contratual!$Y15&gt;2,"",IF(NOT(ISNUMBER(itens_Remanesc!C15)),"",IF(posicao_contratual!$Y15=2,IF(IFERROR(IF(ISNUMBER(INDEX(aditivos!$O$2:$O$200,MATCH($A15,aditivos!$A$2:$A$200,0))),MIN(INDEX(aditivos!$O$2:$O$200,MATCH($A15,aditivos!$A$2:$A$200,0)),posicao_contratual!$Y15),posicao_contratual!$Y15),posicao_contratual!$Y15)=2,itens_Remanesc!C15,IFERROR(ROUND(itens_Remanesc!C15*INDEX($L$2:$L$6,MIN(2+1,COUNT($L$2:$L$6)))/INDEX($L$2:$L$6,MIN(IFERROR(IF(ISNUMBER(INDEX(aditivos!$O$2:$O$200,MATCH($A15,aditivos!$A$2:$A$200,0))),MIN(INDEX(aditivos!$O$2:$O$200,MATCH($A15,aditivos!$A$2:$A$200,0)),posicao_contratual!$Y15),posicao_contratual!$Y15),posicao_contratual!$Y15)+1,COUNT($L$2:$L$6))),2),"")),IF(OR(NOT(ISNUMBER($L$4)),NOT(ISNUMBER(INDEX($L$2:$L$6,IFERROR(IF(ISNUMBER(INDEX(aditivos!$O$2:$O$200,MATCH($A15,aditivos!$A$2:$A$200,0))),MIN(INDEX(aditivos!$O$2:$O$200,MATCH($A15,aditivos!$A$2:$A$200,0)),posicao_contratual!$Y15),posicao_contratual!$Y15),posicao_contratual!$Y15)+1)))),"",ROUND(itens_Remanesc!C15*$L$4/INDEX($L$2:$L$6,IFERROR(IF(ISNUMBER(INDEX(aditivos!$O$2:$O$200,MATCH($A15,aditivos!$A$2:$A$200,0))),MIN(INDEX(aditivos!$O$2:$O$200,MATCH($A15,aditivos!$A$2:$A$200,0)),posicao_contratual!$Y15),posicao_contratual!$Y15),posicao_contratual!$Y15)+1),2))))))</f>
        <v/>
      </c>
      <c r="F15" s="79" t="str">
        <f>IF(OR($A15="",posicao_contratual!$Y15=""),"",IF(posicao_contratual!$Y15&gt;3,"",IF(NOT(ISNUMBER(itens_Remanesc!C15)),"",IF(posicao_contratual!$Y15=3,IF(IFERROR(IF(ISNUMBER(INDEX(aditivos!$O$2:$O$200,MATCH($A15,aditivos!$A$2:$A$200,0))),MIN(INDEX(aditivos!$O$2:$O$200,MATCH($A15,aditivos!$A$2:$A$200,0)),posicao_contratual!$Y15),posicao_contratual!$Y15),posicao_contratual!$Y15)=3,itens_Remanesc!C15,IFERROR(ROUND(itens_Remanesc!C15*INDEX($L$2:$L$6,MIN(3+1,COUNT($L$2:$L$6)))/INDEX($L$2:$L$6,MIN(IFERROR(IF(ISNUMBER(INDEX(aditivos!$O$2:$O$200,MATCH($A15,aditivos!$A$2:$A$200,0))),MIN(INDEX(aditivos!$O$2:$O$200,MATCH($A15,aditivos!$A$2:$A$200,0)),posicao_contratual!$Y15),posicao_contratual!$Y15),posicao_contratual!$Y15)+1,COUNT($L$2:$L$6))),2),"")),IF(OR(NOT(ISNUMBER($L$5)),NOT(ISNUMBER(INDEX($L$2:$L$6,IFERROR(IF(ISNUMBER(INDEX(aditivos!$O$2:$O$200,MATCH($A15,aditivos!$A$2:$A$200,0))),MIN(INDEX(aditivos!$O$2:$O$200,MATCH($A15,aditivos!$A$2:$A$200,0)),posicao_contratual!$Y15),posicao_contratual!$Y15),posicao_contratual!$Y15)+1)))),"",ROUND(itens_Remanesc!C15*$L$5/INDEX($L$2:$L$6,IFERROR(IF(ISNUMBER(INDEX(aditivos!$O$2:$O$200,MATCH($A15,aditivos!$A$2:$A$200,0))),MIN(INDEX(aditivos!$O$2:$O$200,MATCH($A15,aditivos!$A$2:$A$200,0)),posicao_contratual!$Y15),posicao_contratual!$Y15),posicao_contratual!$Y15)+1),2))))))</f>
        <v/>
      </c>
      <c r="G15" s="79" t="str">
        <f>IF(OR($A15="",posicao_contratual!$Y15=""),"",IF(posicao_contratual!$Y15&gt;4,"",IF(NOT(ISNUMBER(itens_Remanesc!C15)),"",IF(posicao_contratual!$Y15=4,IF(IFERROR(IF(ISNUMBER(INDEX(aditivos!$O$2:$O$200,MATCH($A15,aditivos!$A$2:$A$200,0))),MIN(INDEX(aditivos!$O$2:$O$200,MATCH($A15,aditivos!$A$2:$A$200,0)),posicao_contratual!$Y15),posicao_contratual!$Y15),posicao_contratual!$Y15)=4,itens_Remanesc!C15,IFERROR(ROUND(itens_Remanesc!C15*INDEX($L$2:$L$6,MIN(4+1,COUNT($L$2:$L$6)))/INDEX($L$2:$L$6,MIN(IFERROR(IF(ISNUMBER(INDEX(aditivos!$O$2:$O$200,MATCH($A15,aditivos!$A$2:$A$200,0))),MIN(INDEX(aditivos!$O$2:$O$200,MATCH($A15,aditivos!$A$2:$A$200,0)),posicao_contratual!$Y15),posicao_contratual!$Y15),posicao_contratual!$Y15)+1,COUNT($L$2:$L$6))),2),"")),IF(OR(NOT(ISNUMBER($L$6)),NOT(ISNUMBER(INDEX($L$2:$L$6,IFERROR(IF(ISNUMBER(INDEX(aditivos!$O$2:$O$200,MATCH($A15,aditivos!$A$2:$A$200,0))),MIN(INDEX(aditivos!$O$2:$O$200,MATCH($A15,aditivos!$A$2:$A$200,0)),posicao_contratual!$Y15),posicao_contratual!$Y15),posicao_contratual!$Y15)+1)))),"",ROUND(itens_Remanesc!C15*$L$6/INDEX($L$2:$L$6,IFERROR(IF(ISNUMBER(INDEX(aditivos!$O$2:$O$200,MATCH($A15,aditivos!$A$2:$A$200,0))),MIN(INDEX(aditivos!$O$2:$O$200,MATCH($A15,aditivos!$A$2:$A$200,0)),posicao_contratual!$Y15),posicao_contratual!$Y15),posicao_contratual!$Y15)+1),2))))))</f>
        <v/>
      </c>
      <c r="H15" s="116" t="str">
        <f t="shared" si="0"/>
        <v/>
      </c>
      <c r="I15" s="14"/>
      <c r="J15" s="14"/>
      <c r="K15" s="14"/>
      <c r="L15" s="14"/>
      <c r="M15" s="14"/>
      <c r="N15" s="147" t="str">
        <f>IF(A15="","",IF(posicao_contratual!$Y15="","",IF(posicao_contratual!$Y15&gt;0,"",posicao_contratual!E15)))</f>
        <v/>
      </c>
      <c r="O15" s="147" t="str">
        <f>IF(A15="","",IF(posicao_contratual!$Y15="","",IF(posicao_contratual!$Y15&gt;1,"",posicao_contratual!I15)))</f>
        <v/>
      </c>
      <c r="P15" s="147" t="str">
        <f>IF(A15="","",IF(posicao_contratual!$Y15="","",IF(posicao_contratual!$Y15&gt;2,"",posicao_contratual!M15)))</f>
        <v/>
      </c>
      <c r="Q15" s="147" t="str">
        <f>IF(A15="","",IF(posicao_contratual!$Y15="","",IF(posicao_contratual!$Y15&gt;3,"",posicao_contratual!Q15)))</f>
        <v/>
      </c>
      <c r="R15" s="147" t="str">
        <f>IF(A15="","",IF(posicao_contratual!$Y15="","",IF(posicao_contratual!$Y15&gt;4,"",posicao_contratual!U15)))</f>
        <v/>
      </c>
      <c r="S15" s="167" t="str">
        <f>IF(A15="","",posicao_contratual!G15)</f>
        <v/>
      </c>
      <c r="T15" s="167" t="str">
        <f>IF(A15="","",posicao_contratual!K15)</f>
        <v/>
      </c>
      <c r="U15" s="167" t="str">
        <f>IF(A15="","",posicao_contratual!O15)</f>
        <v/>
      </c>
      <c r="V15" s="167" t="str">
        <f>IF(A15="","",posicao_contratual!S15)</f>
        <v/>
      </c>
      <c r="W15" s="167" t="str">
        <f>IF(A15="","",posicao_contratual!W15)</f>
        <v/>
      </c>
    </row>
    <row r="16" spans="1:23" x14ac:dyDescent="0.35">
      <c r="A16" s="86" t="str">
        <f>IF(itens_Remanesc!A16="","",itens_Remanesc!A16)</f>
        <v/>
      </c>
      <c r="B16" s="85" t="str">
        <f>IF(A16="","",IF(posicao_contratual!$Y16="","",IF(posicao_contratual!$Y16&gt;0,"",posicao_contratual!G16)))</f>
        <v/>
      </c>
      <c r="C16" s="79" t="str">
        <f>IF(itens_Remanesc!A16="","",IF(posicao_contratual!$Y16="","",IF(posicao_contratual!$Y16&gt;0,"",itens_Remanesc!C16)))</f>
        <v/>
      </c>
      <c r="D16" s="79" t="str">
        <f>IF(OR($A16="",posicao_contratual!$Y16=""),"",IF(posicao_contratual!$Y16&gt;1,"",IF(NOT(ISNUMBER(itens_Remanesc!C16)),"",IF(posicao_contratual!$Y16=1,IF(IFERROR(IF(ISNUMBER(INDEX(aditivos!$O$2:$O$200,MATCH($A16,aditivos!$A$2:$A$200,0))),MIN(INDEX(aditivos!$O$2:$O$200,MATCH($A16,aditivos!$A$2:$A$200,0)),posicao_contratual!$Y16),posicao_contratual!$Y16),posicao_contratual!$Y16)=1,itens_Remanesc!C16,IFERROR(ROUND(itens_Remanesc!C16*INDEX($L$2:$L$6,MIN(1+1,COUNT($L$2:$L$6)))/INDEX($L$2:$L$6,MIN(IFERROR(IF(ISNUMBER(INDEX(aditivos!$O$2:$O$200,MATCH($A16,aditivos!$A$2:$A$200,0))),MIN(INDEX(aditivos!$O$2:$O$200,MATCH($A16,aditivos!$A$2:$A$200,0)),posicao_contratual!$Y16),posicao_contratual!$Y16),posicao_contratual!$Y16)+1,COUNT($L$2:$L$6))),2),"")),IF(OR(NOT(ISNUMBER($L$3)),NOT(ISNUMBER(INDEX($L$2:$L$6,IFERROR(IF(ISNUMBER(INDEX(aditivos!$O$2:$O$200,MATCH($A16,aditivos!$A$2:$A$200,0))),MIN(INDEX(aditivos!$O$2:$O$200,MATCH($A16,aditivos!$A$2:$A$200,0)),posicao_contratual!$Y16),posicao_contratual!$Y16),posicao_contratual!$Y16)+1)))),"",ROUND(itens_Remanesc!C16*$L$3/INDEX($L$2:$L$6,IFERROR(IF(ISNUMBER(INDEX(aditivos!$O$2:$O$200,MATCH($A16,aditivos!$A$2:$A$200,0))),MIN(INDEX(aditivos!$O$2:$O$200,MATCH($A16,aditivos!$A$2:$A$200,0)),posicao_contratual!$Y16),posicao_contratual!$Y16),posicao_contratual!$Y16)+1),2))))))</f>
        <v/>
      </c>
      <c r="E16" s="79" t="str">
        <f>IF(OR($A16="",posicao_contratual!$Y16=""),"",IF(posicao_contratual!$Y16&gt;2,"",IF(NOT(ISNUMBER(itens_Remanesc!C16)),"",IF(posicao_contratual!$Y16=2,IF(IFERROR(IF(ISNUMBER(INDEX(aditivos!$O$2:$O$200,MATCH($A16,aditivos!$A$2:$A$200,0))),MIN(INDEX(aditivos!$O$2:$O$200,MATCH($A16,aditivos!$A$2:$A$200,0)),posicao_contratual!$Y16),posicao_contratual!$Y16),posicao_contratual!$Y16)=2,itens_Remanesc!C16,IFERROR(ROUND(itens_Remanesc!C16*INDEX($L$2:$L$6,MIN(2+1,COUNT($L$2:$L$6)))/INDEX($L$2:$L$6,MIN(IFERROR(IF(ISNUMBER(INDEX(aditivos!$O$2:$O$200,MATCH($A16,aditivos!$A$2:$A$200,0))),MIN(INDEX(aditivos!$O$2:$O$200,MATCH($A16,aditivos!$A$2:$A$200,0)),posicao_contratual!$Y16),posicao_contratual!$Y16),posicao_contratual!$Y16)+1,COUNT($L$2:$L$6))),2),"")),IF(OR(NOT(ISNUMBER($L$4)),NOT(ISNUMBER(INDEX($L$2:$L$6,IFERROR(IF(ISNUMBER(INDEX(aditivos!$O$2:$O$200,MATCH($A16,aditivos!$A$2:$A$200,0))),MIN(INDEX(aditivos!$O$2:$O$200,MATCH($A16,aditivos!$A$2:$A$200,0)),posicao_contratual!$Y16),posicao_contratual!$Y16),posicao_contratual!$Y16)+1)))),"",ROUND(itens_Remanesc!C16*$L$4/INDEX($L$2:$L$6,IFERROR(IF(ISNUMBER(INDEX(aditivos!$O$2:$O$200,MATCH($A16,aditivos!$A$2:$A$200,0))),MIN(INDEX(aditivos!$O$2:$O$200,MATCH($A16,aditivos!$A$2:$A$200,0)),posicao_contratual!$Y16),posicao_contratual!$Y16),posicao_contratual!$Y16)+1),2))))))</f>
        <v/>
      </c>
      <c r="F16" s="79" t="str">
        <f>IF(OR($A16="",posicao_contratual!$Y16=""),"",IF(posicao_contratual!$Y16&gt;3,"",IF(NOT(ISNUMBER(itens_Remanesc!C16)),"",IF(posicao_contratual!$Y16=3,IF(IFERROR(IF(ISNUMBER(INDEX(aditivos!$O$2:$O$200,MATCH($A16,aditivos!$A$2:$A$200,0))),MIN(INDEX(aditivos!$O$2:$O$200,MATCH($A16,aditivos!$A$2:$A$200,0)),posicao_contratual!$Y16),posicao_contratual!$Y16),posicao_contratual!$Y16)=3,itens_Remanesc!C16,IFERROR(ROUND(itens_Remanesc!C16*INDEX($L$2:$L$6,MIN(3+1,COUNT($L$2:$L$6)))/INDEX($L$2:$L$6,MIN(IFERROR(IF(ISNUMBER(INDEX(aditivos!$O$2:$O$200,MATCH($A16,aditivos!$A$2:$A$200,0))),MIN(INDEX(aditivos!$O$2:$O$200,MATCH($A16,aditivos!$A$2:$A$200,0)),posicao_contratual!$Y16),posicao_contratual!$Y16),posicao_contratual!$Y16)+1,COUNT($L$2:$L$6))),2),"")),IF(OR(NOT(ISNUMBER($L$5)),NOT(ISNUMBER(INDEX($L$2:$L$6,IFERROR(IF(ISNUMBER(INDEX(aditivos!$O$2:$O$200,MATCH($A16,aditivos!$A$2:$A$200,0))),MIN(INDEX(aditivos!$O$2:$O$200,MATCH($A16,aditivos!$A$2:$A$200,0)),posicao_contratual!$Y16),posicao_contratual!$Y16),posicao_contratual!$Y16)+1)))),"",ROUND(itens_Remanesc!C16*$L$5/INDEX($L$2:$L$6,IFERROR(IF(ISNUMBER(INDEX(aditivos!$O$2:$O$200,MATCH($A16,aditivos!$A$2:$A$200,0))),MIN(INDEX(aditivos!$O$2:$O$200,MATCH($A16,aditivos!$A$2:$A$200,0)),posicao_contratual!$Y16),posicao_contratual!$Y16),posicao_contratual!$Y16)+1),2))))))</f>
        <v/>
      </c>
      <c r="G16" s="79" t="str">
        <f>IF(OR($A16="",posicao_contratual!$Y16=""),"",IF(posicao_contratual!$Y16&gt;4,"",IF(NOT(ISNUMBER(itens_Remanesc!C16)),"",IF(posicao_contratual!$Y16=4,IF(IFERROR(IF(ISNUMBER(INDEX(aditivos!$O$2:$O$200,MATCH($A16,aditivos!$A$2:$A$200,0))),MIN(INDEX(aditivos!$O$2:$O$200,MATCH($A16,aditivos!$A$2:$A$200,0)),posicao_contratual!$Y16),posicao_contratual!$Y16),posicao_contratual!$Y16)=4,itens_Remanesc!C16,IFERROR(ROUND(itens_Remanesc!C16*INDEX($L$2:$L$6,MIN(4+1,COUNT($L$2:$L$6)))/INDEX($L$2:$L$6,MIN(IFERROR(IF(ISNUMBER(INDEX(aditivos!$O$2:$O$200,MATCH($A16,aditivos!$A$2:$A$200,0))),MIN(INDEX(aditivos!$O$2:$O$200,MATCH($A16,aditivos!$A$2:$A$200,0)),posicao_contratual!$Y16),posicao_contratual!$Y16),posicao_contratual!$Y16)+1,COUNT($L$2:$L$6))),2),"")),IF(OR(NOT(ISNUMBER($L$6)),NOT(ISNUMBER(INDEX($L$2:$L$6,IFERROR(IF(ISNUMBER(INDEX(aditivos!$O$2:$O$200,MATCH($A16,aditivos!$A$2:$A$200,0))),MIN(INDEX(aditivos!$O$2:$O$200,MATCH($A16,aditivos!$A$2:$A$200,0)),posicao_contratual!$Y16),posicao_contratual!$Y16),posicao_contratual!$Y16)+1)))),"",ROUND(itens_Remanesc!C16*$L$6/INDEX($L$2:$L$6,IFERROR(IF(ISNUMBER(INDEX(aditivos!$O$2:$O$200,MATCH($A16,aditivos!$A$2:$A$200,0))),MIN(INDEX(aditivos!$O$2:$O$200,MATCH($A16,aditivos!$A$2:$A$200,0)),posicao_contratual!$Y16),posicao_contratual!$Y16),posicao_contratual!$Y16)+1),2))))))</f>
        <v/>
      </c>
      <c r="H16" s="116" t="str">
        <f t="shared" si="0"/>
        <v/>
      </c>
      <c r="I16" s="14"/>
      <c r="J16" s="14"/>
      <c r="K16" s="14"/>
      <c r="L16" s="14"/>
      <c r="M16" s="14"/>
      <c r="N16" s="147" t="str">
        <f>IF(A16="","",IF(posicao_contratual!$Y16="","",IF(posicao_contratual!$Y16&gt;0,"",posicao_contratual!E16)))</f>
        <v/>
      </c>
      <c r="O16" s="147" t="str">
        <f>IF(A16="","",IF(posicao_contratual!$Y16="","",IF(posicao_contratual!$Y16&gt;1,"",posicao_contratual!I16)))</f>
        <v/>
      </c>
      <c r="P16" s="147" t="str">
        <f>IF(A16="","",IF(posicao_contratual!$Y16="","",IF(posicao_contratual!$Y16&gt;2,"",posicao_contratual!M16)))</f>
        <v/>
      </c>
      <c r="Q16" s="147" t="str">
        <f>IF(A16="","",IF(posicao_contratual!$Y16="","",IF(posicao_contratual!$Y16&gt;3,"",posicao_contratual!Q16)))</f>
        <v/>
      </c>
      <c r="R16" s="147" t="str">
        <f>IF(A16="","",IF(posicao_contratual!$Y16="","",IF(posicao_contratual!$Y16&gt;4,"",posicao_contratual!U16)))</f>
        <v/>
      </c>
      <c r="S16" s="167" t="str">
        <f>IF(A16="","",posicao_contratual!G16)</f>
        <v/>
      </c>
      <c r="T16" s="167" t="str">
        <f>IF(A16="","",posicao_contratual!K16)</f>
        <v/>
      </c>
      <c r="U16" s="167" t="str">
        <f>IF(A16="","",posicao_contratual!O16)</f>
        <v/>
      </c>
      <c r="V16" s="167" t="str">
        <f>IF(A16="","",posicao_contratual!S16)</f>
        <v/>
      </c>
      <c r="W16" s="167" t="str">
        <f>IF(A16="","",posicao_contratual!W16)</f>
        <v/>
      </c>
    </row>
    <row r="17" spans="1:23" x14ac:dyDescent="0.35">
      <c r="A17" s="86" t="str">
        <f>IF(itens_Remanesc!A17="","",itens_Remanesc!A17)</f>
        <v/>
      </c>
      <c r="B17" s="85" t="str">
        <f>IF(A17="","",IF(posicao_contratual!$Y17="","",IF(posicao_contratual!$Y17&gt;0,"",posicao_contratual!G17)))</f>
        <v/>
      </c>
      <c r="C17" s="79" t="str">
        <f>IF(itens_Remanesc!A17="","",IF(posicao_contratual!$Y17="","",IF(posicao_contratual!$Y17&gt;0,"",itens_Remanesc!C17)))</f>
        <v/>
      </c>
      <c r="D17" s="79" t="str">
        <f>IF(OR($A17="",posicao_contratual!$Y17=""),"",IF(posicao_contratual!$Y17&gt;1,"",IF(NOT(ISNUMBER(itens_Remanesc!C17)),"",IF(posicao_contratual!$Y17=1,IF(IFERROR(IF(ISNUMBER(INDEX(aditivos!$O$2:$O$200,MATCH($A17,aditivos!$A$2:$A$200,0))),MIN(INDEX(aditivos!$O$2:$O$200,MATCH($A17,aditivos!$A$2:$A$200,0)),posicao_contratual!$Y17),posicao_contratual!$Y17),posicao_contratual!$Y17)=1,itens_Remanesc!C17,IFERROR(ROUND(itens_Remanesc!C17*INDEX($L$2:$L$6,MIN(1+1,COUNT($L$2:$L$6)))/INDEX($L$2:$L$6,MIN(IFERROR(IF(ISNUMBER(INDEX(aditivos!$O$2:$O$200,MATCH($A17,aditivos!$A$2:$A$200,0))),MIN(INDEX(aditivos!$O$2:$O$200,MATCH($A17,aditivos!$A$2:$A$200,0)),posicao_contratual!$Y17),posicao_contratual!$Y17),posicao_contratual!$Y17)+1,COUNT($L$2:$L$6))),2),"")),IF(OR(NOT(ISNUMBER($L$3)),NOT(ISNUMBER(INDEX($L$2:$L$6,IFERROR(IF(ISNUMBER(INDEX(aditivos!$O$2:$O$200,MATCH($A17,aditivos!$A$2:$A$200,0))),MIN(INDEX(aditivos!$O$2:$O$200,MATCH($A17,aditivos!$A$2:$A$200,0)),posicao_contratual!$Y17),posicao_contratual!$Y17),posicao_contratual!$Y17)+1)))),"",ROUND(itens_Remanesc!C17*$L$3/INDEX($L$2:$L$6,IFERROR(IF(ISNUMBER(INDEX(aditivos!$O$2:$O$200,MATCH($A17,aditivos!$A$2:$A$200,0))),MIN(INDEX(aditivos!$O$2:$O$200,MATCH($A17,aditivos!$A$2:$A$200,0)),posicao_contratual!$Y17),posicao_contratual!$Y17),posicao_contratual!$Y17)+1),2))))))</f>
        <v/>
      </c>
      <c r="E17" s="79" t="str">
        <f>IF(OR($A17="",posicao_contratual!$Y17=""),"",IF(posicao_contratual!$Y17&gt;2,"",IF(NOT(ISNUMBER(itens_Remanesc!C17)),"",IF(posicao_contratual!$Y17=2,IF(IFERROR(IF(ISNUMBER(INDEX(aditivos!$O$2:$O$200,MATCH($A17,aditivos!$A$2:$A$200,0))),MIN(INDEX(aditivos!$O$2:$O$200,MATCH($A17,aditivos!$A$2:$A$200,0)),posicao_contratual!$Y17),posicao_contratual!$Y17),posicao_contratual!$Y17)=2,itens_Remanesc!C17,IFERROR(ROUND(itens_Remanesc!C17*INDEX($L$2:$L$6,MIN(2+1,COUNT($L$2:$L$6)))/INDEX($L$2:$L$6,MIN(IFERROR(IF(ISNUMBER(INDEX(aditivos!$O$2:$O$200,MATCH($A17,aditivos!$A$2:$A$200,0))),MIN(INDEX(aditivos!$O$2:$O$200,MATCH($A17,aditivos!$A$2:$A$200,0)),posicao_contratual!$Y17),posicao_contratual!$Y17),posicao_contratual!$Y17)+1,COUNT($L$2:$L$6))),2),"")),IF(OR(NOT(ISNUMBER($L$4)),NOT(ISNUMBER(INDEX($L$2:$L$6,IFERROR(IF(ISNUMBER(INDEX(aditivos!$O$2:$O$200,MATCH($A17,aditivos!$A$2:$A$200,0))),MIN(INDEX(aditivos!$O$2:$O$200,MATCH($A17,aditivos!$A$2:$A$200,0)),posicao_contratual!$Y17),posicao_contratual!$Y17),posicao_contratual!$Y17)+1)))),"",ROUND(itens_Remanesc!C17*$L$4/INDEX($L$2:$L$6,IFERROR(IF(ISNUMBER(INDEX(aditivos!$O$2:$O$200,MATCH($A17,aditivos!$A$2:$A$200,0))),MIN(INDEX(aditivos!$O$2:$O$200,MATCH($A17,aditivos!$A$2:$A$200,0)),posicao_contratual!$Y17),posicao_contratual!$Y17),posicao_contratual!$Y17)+1),2))))))</f>
        <v/>
      </c>
      <c r="F17" s="79" t="str">
        <f>IF(OR($A17="",posicao_contratual!$Y17=""),"",IF(posicao_contratual!$Y17&gt;3,"",IF(NOT(ISNUMBER(itens_Remanesc!C17)),"",IF(posicao_contratual!$Y17=3,IF(IFERROR(IF(ISNUMBER(INDEX(aditivos!$O$2:$O$200,MATCH($A17,aditivos!$A$2:$A$200,0))),MIN(INDEX(aditivos!$O$2:$O$200,MATCH($A17,aditivos!$A$2:$A$200,0)),posicao_contratual!$Y17),posicao_contratual!$Y17),posicao_contratual!$Y17)=3,itens_Remanesc!C17,IFERROR(ROUND(itens_Remanesc!C17*INDEX($L$2:$L$6,MIN(3+1,COUNT($L$2:$L$6)))/INDEX($L$2:$L$6,MIN(IFERROR(IF(ISNUMBER(INDEX(aditivos!$O$2:$O$200,MATCH($A17,aditivos!$A$2:$A$200,0))),MIN(INDEX(aditivos!$O$2:$O$200,MATCH($A17,aditivos!$A$2:$A$200,0)),posicao_contratual!$Y17),posicao_contratual!$Y17),posicao_contratual!$Y17)+1,COUNT($L$2:$L$6))),2),"")),IF(OR(NOT(ISNUMBER($L$5)),NOT(ISNUMBER(INDEX($L$2:$L$6,IFERROR(IF(ISNUMBER(INDEX(aditivos!$O$2:$O$200,MATCH($A17,aditivos!$A$2:$A$200,0))),MIN(INDEX(aditivos!$O$2:$O$200,MATCH($A17,aditivos!$A$2:$A$200,0)),posicao_contratual!$Y17),posicao_contratual!$Y17),posicao_contratual!$Y17)+1)))),"",ROUND(itens_Remanesc!C17*$L$5/INDEX($L$2:$L$6,IFERROR(IF(ISNUMBER(INDEX(aditivos!$O$2:$O$200,MATCH($A17,aditivos!$A$2:$A$200,0))),MIN(INDEX(aditivos!$O$2:$O$200,MATCH($A17,aditivos!$A$2:$A$200,0)),posicao_contratual!$Y17),posicao_contratual!$Y17),posicao_contratual!$Y17)+1),2))))))</f>
        <v/>
      </c>
      <c r="G17" s="79" t="str">
        <f>IF(OR($A17="",posicao_contratual!$Y17=""),"",IF(posicao_contratual!$Y17&gt;4,"",IF(NOT(ISNUMBER(itens_Remanesc!C17)),"",IF(posicao_contratual!$Y17=4,IF(IFERROR(IF(ISNUMBER(INDEX(aditivos!$O$2:$O$200,MATCH($A17,aditivos!$A$2:$A$200,0))),MIN(INDEX(aditivos!$O$2:$O$200,MATCH($A17,aditivos!$A$2:$A$200,0)),posicao_contratual!$Y17),posicao_contratual!$Y17),posicao_contratual!$Y17)=4,itens_Remanesc!C17,IFERROR(ROUND(itens_Remanesc!C17*INDEX($L$2:$L$6,MIN(4+1,COUNT($L$2:$L$6)))/INDEX($L$2:$L$6,MIN(IFERROR(IF(ISNUMBER(INDEX(aditivos!$O$2:$O$200,MATCH($A17,aditivos!$A$2:$A$200,0))),MIN(INDEX(aditivos!$O$2:$O$200,MATCH($A17,aditivos!$A$2:$A$200,0)),posicao_contratual!$Y17),posicao_contratual!$Y17),posicao_contratual!$Y17)+1,COUNT($L$2:$L$6))),2),"")),IF(OR(NOT(ISNUMBER($L$6)),NOT(ISNUMBER(INDEX($L$2:$L$6,IFERROR(IF(ISNUMBER(INDEX(aditivos!$O$2:$O$200,MATCH($A17,aditivos!$A$2:$A$200,0))),MIN(INDEX(aditivos!$O$2:$O$200,MATCH($A17,aditivos!$A$2:$A$200,0)),posicao_contratual!$Y17),posicao_contratual!$Y17),posicao_contratual!$Y17)+1)))),"",ROUND(itens_Remanesc!C17*$L$6/INDEX($L$2:$L$6,IFERROR(IF(ISNUMBER(INDEX(aditivos!$O$2:$O$200,MATCH($A17,aditivos!$A$2:$A$200,0))),MIN(INDEX(aditivos!$O$2:$O$200,MATCH($A17,aditivos!$A$2:$A$200,0)),posicao_contratual!$Y17),posicao_contratual!$Y17),posicao_contratual!$Y17)+1),2))))))</f>
        <v/>
      </c>
      <c r="H17" s="116" t="str">
        <f t="shared" si="0"/>
        <v/>
      </c>
      <c r="I17" s="14"/>
      <c r="J17" s="14"/>
      <c r="K17" s="14"/>
      <c r="L17" s="14"/>
      <c r="M17" s="14"/>
      <c r="N17" s="147" t="str">
        <f>IF(A17="","",IF(posicao_contratual!$Y17="","",IF(posicao_contratual!$Y17&gt;0,"",posicao_contratual!E17)))</f>
        <v/>
      </c>
      <c r="O17" s="147" t="str">
        <f>IF(A17="","",IF(posicao_contratual!$Y17="","",IF(posicao_contratual!$Y17&gt;1,"",posicao_contratual!I17)))</f>
        <v/>
      </c>
      <c r="P17" s="147" t="str">
        <f>IF(A17="","",IF(posicao_contratual!$Y17="","",IF(posicao_contratual!$Y17&gt;2,"",posicao_contratual!M17)))</f>
        <v/>
      </c>
      <c r="Q17" s="147" t="str">
        <f>IF(A17="","",IF(posicao_contratual!$Y17="","",IF(posicao_contratual!$Y17&gt;3,"",posicao_contratual!Q17)))</f>
        <v/>
      </c>
      <c r="R17" s="147" t="str">
        <f>IF(A17="","",IF(posicao_contratual!$Y17="","",IF(posicao_contratual!$Y17&gt;4,"",posicao_contratual!U17)))</f>
        <v/>
      </c>
      <c r="S17" s="167" t="str">
        <f>IF(A17="","",posicao_contratual!G17)</f>
        <v/>
      </c>
      <c r="T17" s="167" t="str">
        <f>IF(A17="","",posicao_contratual!K17)</f>
        <v/>
      </c>
      <c r="U17" s="167" t="str">
        <f>IF(A17="","",posicao_contratual!O17)</f>
        <v/>
      </c>
      <c r="V17" s="167" t="str">
        <f>IF(A17="","",posicao_contratual!S17)</f>
        <v/>
      </c>
      <c r="W17" s="167" t="str">
        <f>IF(A17="","",posicao_contratual!W17)</f>
        <v/>
      </c>
    </row>
    <row r="18" spans="1:23" x14ac:dyDescent="0.35">
      <c r="A18" s="86" t="str">
        <f>IF(itens_Remanesc!A18="","",itens_Remanesc!A18)</f>
        <v/>
      </c>
      <c r="B18" s="85" t="str">
        <f>IF(A18="","",IF(posicao_contratual!$Y18="","",IF(posicao_contratual!$Y18&gt;0,"",posicao_contratual!G18)))</f>
        <v/>
      </c>
      <c r="C18" s="79" t="str">
        <f>IF(itens_Remanesc!A18="","",IF(posicao_contratual!$Y18="","",IF(posicao_contratual!$Y18&gt;0,"",itens_Remanesc!C18)))</f>
        <v/>
      </c>
      <c r="D18" s="79" t="str">
        <f>IF(OR($A18="",posicao_contratual!$Y18=""),"",IF(posicao_contratual!$Y18&gt;1,"",IF(NOT(ISNUMBER(itens_Remanesc!C18)),"",IF(posicao_contratual!$Y18=1,IF(IFERROR(IF(ISNUMBER(INDEX(aditivos!$O$2:$O$200,MATCH($A18,aditivos!$A$2:$A$200,0))),MIN(INDEX(aditivos!$O$2:$O$200,MATCH($A18,aditivos!$A$2:$A$200,0)),posicao_contratual!$Y18),posicao_contratual!$Y18),posicao_contratual!$Y18)=1,itens_Remanesc!C18,IFERROR(ROUND(itens_Remanesc!C18*INDEX($L$2:$L$6,MIN(1+1,COUNT($L$2:$L$6)))/INDEX($L$2:$L$6,MIN(IFERROR(IF(ISNUMBER(INDEX(aditivos!$O$2:$O$200,MATCH($A18,aditivos!$A$2:$A$200,0))),MIN(INDEX(aditivos!$O$2:$O$200,MATCH($A18,aditivos!$A$2:$A$200,0)),posicao_contratual!$Y18),posicao_contratual!$Y18),posicao_contratual!$Y18)+1,COUNT($L$2:$L$6))),2),"")),IF(OR(NOT(ISNUMBER($L$3)),NOT(ISNUMBER(INDEX($L$2:$L$6,IFERROR(IF(ISNUMBER(INDEX(aditivos!$O$2:$O$200,MATCH($A18,aditivos!$A$2:$A$200,0))),MIN(INDEX(aditivos!$O$2:$O$200,MATCH($A18,aditivos!$A$2:$A$200,0)),posicao_contratual!$Y18),posicao_contratual!$Y18),posicao_contratual!$Y18)+1)))),"",ROUND(itens_Remanesc!C18*$L$3/INDEX($L$2:$L$6,IFERROR(IF(ISNUMBER(INDEX(aditivos!$O$2:$O$200,MATCH($A18,aditivos!$A$2:$A$200,0))),MIN(INDEX(aditivos!$O$2:$O$200,MATCH($A18,aditivos!$A$2:$A$200,0)),posicao_contratual!$Y18),posicao_contratual!$Y18),posicao_contratual!$Y18)+1),2))))))</f>
        <v/>
      </c>
      <c r="E18" s="79" t="str">
        <f>IF(OR($A18="",posicao_contratual!$Y18=""),"",IF(posicao_contratual!$Y18&gt;2,"",IF(NOT(ISNUMBER(itens_Remanesc!C18)),"",IF(posicao_contratual!$Y18=2,IF(IFERROR(IF(ISNUMBER(INDEX(aditivos!$O$2:$O$200,MATCH($A18,aditivos!$A$2:$A$200,0))),MIN(INDEX(aditivos!$O$2:$O$200,MATCH($A18,aditivos!$A$2:$A$200,0)),posicao_contratual!$Y18),posicao_contratual!$Y18),posicao_contratual!$Y18)=2,itens_Remanesc!C18,IFERROR(ROUND(itens_Remanesc!C18*INDEX($L$2:$L$6,MIN(2+1,COUNT($L$2:$L$6)))/INDEX($L$2:$L$6,MIN(IFERROR(IF(ISNUMBER(INDEX(aditivos!$O$2:$O$200,MATCH($A18,aditivos!$A$2:$A$200,0))),MIN(INDEX(aditivos!$O$2:$O$200,MATCH($A18,aditivos!$A$2:$A$200,0)),posicao_contratual!$Y18),posicao_contratual!$Y18),posicao_contratual!$Y18)+1,COUNT($L$2:$L$6))),2),"")),IF(OR(NOT(ISNUMBER($L$4)),NOT(ISNUMBER(INDEX($L$2:$L$6,IFERROR(IF(ISNUMBER(INDEX(aditivos!$O$2:$O$200,MATCH($A18,aditivos!$A$2:$A$200,0))),MIN(INDEX(aditivos!$O$2:$O$200,MATCH($A18,aditivos!$A$2:$A$200,0)),posicao_contratual!$Y18),posicao_contratual!$Y18),posicao_contratual!$Y18)+1)))),"",ROUND(itens_Remanesc!C18*$L$4/INDEX($L$2:$L$6,IFERROR(IF(ISNUMBER(INDEX(aditivos!$O$2:$O$200,MATCH($A18,aditivos!$A$2:$A$200,0))),MIN(INDEX(aditivos!$O$2:$O$200,MATCH($A18,aditivos!$A$2:$A$200,0)),posicao_contratual!$Y18),posicao_contratual!$Y18),posicao_contratual!$Y18)+1),2))))))</f>
        <v/>
      </c>
      <c r="F18" s="79" t="str">
        <f>IF(OR($A18="",posicao_contratual!$Y18=""),"",IF(posicao_contratual!$Y18&gt;3,"",IF(NOT(ISNUMBER(itens_Remanesc!C18)),"",IF(posicao_contratual!$Y18=3,IF(IFERROR(IF(ISNUMBER(INDEX(aditivos!$O$2:$O$200,MATCH($A18,aditivos!$A$2:$A$200,0))),MIN(INDEX(aditivos!$O$2:$O$200,MATCH($A18,aditivos!$A$2:$A$200,0)),posicao_contratual!$Y18),posicao_contratual!$Y18),posicao_contratual!$Y18)=3,itens_Remanesc!C18,IFERROR(ROUND(itens_Remanesc!C18*INDEX($L$2:$L$6,MIN(3+1,COUNT($L$2:$L$6)))/INDEX($L$2:$L$6,MIN(IFERROR(IF(ISNUMBER(INDEX(aditivos!$O$2:$O$200,MATCH($A18,aditivos!$A$2:$A$200,0))),MIN(INDEX(aditivos!$O$2:$O$200,MATCH($A18,aditivos!$A$2:$A$200,0)),posicao_contratual!$Y18),posicao_contratual!$Y18),posicao_contratual!$Y18)+1,COUNT($L$2:$L$6))),2),"")),IF(OR(NOT(ISNUMBER($L$5)),NOT(ISNUMBER(INDEX($L$2:$L$6,IFERROR(IF(ISNUMBER(INDEX(aditivos!$O$2:$O$200,MATCH($A18,aditivos!$A$2:$A$200,0))),MIN(INDEX(aditivos!$O$2:$O$200,MATCH($A18,aditivos!$A$2:$A$200,0)),posicao_contratual!$Y18),posicao_contratual!$Y18),posicao_contratual!$Y18)+1)))),"",ROUND(itens_Remanesc!C18*$L$5/INDEX($L$2:$L$6,IFERROR(IF(ISNUMBER(INDEX(aditivos!$O$2:$O$200,MATCH($A18,aditivos!$A$2:$A$200,0))),MIN(INDEX(aditivos!$O$2:$O$200,MATCH($A18,aditivos!$A$2:$A$200,0)),posicao_contratual!$Y18),posicao_contratual!$Y18),posicao_contratual!$Y18)+1),2))))))</f>
        <v/>
      </c>
      <c r="G18" s="79" t="str">
        <f>IF(OR($A18="",posicao_contratual!$Y18=""),"",IF(posicao_contratual!$Y18&gt;4,"",IF(NOT(ISNUMBER(itens_Remanesc!C18)),"",IF(posicao_contratual!$Y18=4,IF(IFERROR(IF(ISNUMBER(INDEX(aditivos!$O$2:$O$200,MATCH($A18,aditivos!$A$2:$A$200,0))),MIN(INDEX(aditivos!$O$2:$O$200,MATCH($A18,aditivos!$A$2:$A$200,0)),posicao_contratual!$Y18),posicao_contratual!$Y18),posicao_contratual!$Y18)=4,itens_Remanesc!C18,IFERROR(ROUND(itens_Remanesc!C18*INDEX($L$2:$L$6,MIN(4+1,COUNT($L$2:$L$6)))/INDEX($L$2:$L$6,MIN(IFERROR(IF(ISNUMBER(INDEX(aditivos!$O$2:$O$200,MATCH($A18,aditivos!$A$2:$A$200,0))),MIN(INDEX(aditivos!$O$2:$O$200,MATCH($A18,aditivos!$A$2:$A$200,0)),posicao_contratual!$Y18),posicao_contratual!$Y18),posicao_contratual!$Y18)+1,COUNT($L$2:$L$6))),2),"")),IF(OR(NOT(ISNUMBER($L$6)),NOT(ISNUMBER(INDEX($L$2:$L$6,IFERROR(IF(ISNUMBER(INDEX(aditivos!$O$2:$O$200,MATCH($A18,aditivos!$A$2:$A$200,0))),MIN(INDEX(aditivos!$O$2:$O$200,MATCH($A18,aditivos!$A$2:$A$200,0)),posicao_contratual!$Y18),posicao_contratual!$Y18),posicao_contratual!$Y18)+1)))),"",ROUND(itens_Remanesc!C18*$L$6/INDEX($L$2:$L$6,IFERROR(IF(ISNUMBER(INDEX(aditivos!$O$2:$O$200,MATCH($A18,aditivos!$A$2:$A$200,0))),MIN(INDEX(aditivos!$O$2:$O$200,MATCH($A18,aditivos!$A$2:$A$200,0)),posicao_contratual!$Y18),posicao_contratual!$Y18),posicao_contratual!$Y18)+1),2))))))</f>
        <v/>
      </c>
      <c r="H18" s="116" t="str">
        <f t="shared" si="0"/>
        <v/>
      </c>
      <c r="I18" s="14"/>
      <c r="J18" s="14"/>
      <c r="K18" s="14"/>
      <c r="L18" s="14"/>
      <c r="M18" s="14"/>
      <c r="N18" s="147" t="str">
        <f>IF(A18="","",IF(posicao_contratual!$Y18="","",IF(posicao_contratual!$Y18&gt;0,"",posicao_contratual!E18)))</f>
        <v/>
      </c>
      <c r="O18" s="147" t="str">
        <f>IF(A18="","",IF(posicao_contratual!$Y18="","",IF(posicao_contratual!$Y18&gt;1,"",posicao_contratual!I18)))</f>
        <v/>
      </c>
      <c r="P18" s="147" t="str">
        <f>IF(A18="","",IF(posicao_contratual!$Y18="","",IF(posicao_contratual!$Y18&gt;2,"",posicao_contratual!M18)))</f>
        <v/>
      </c>
      <c r="Q18" s="147" t="str">
        <f>IF(A18="","",IF(posicao_contratual!$Y18="","",IF(posicao_contratual!$Y18&gt;3,"",posicao_contratual!Q18)))</f>
        <v/>
      </c>
      <c r="R18" s="147" t="str">
        <f>IF(A18="","",IF(posicao_contratual!$Y18="","",IF(posicao_contratual!$Y18&gt;4,"",posicao_contratual!U18)))</f>
        <v/>
      </c>
      <c r="S18" s="167" t="str">
        <f>IF(A18="","",posicao_contratual!G18)</f>
        <v/>
      </c>
      <c r="T18" s="167" t="str">
        <f>IF(A18="","",posicao_contratual!K18)</f>
        <v/>
      </c>
      <c r="U18" s="167" t="str">
        <f>IF(A18="","",posicao_contratual!O18)</f>
        <v/>
      </c>
      <c r="V18" s="167" t="str">
        <f>IF(A18="","",posicao_contratual!S18)</f>
        <v/>
      </c>
      <c r="W18" s="167" t="str">
        <f>IF(A18="","",posicao_contratual!W18)</f>
        <v/>
      </c>
    </row>
    <row r="19" spans="1:23" x14ac:dyDescent="0.35">
      <c r="A19" s="86" t="str">
        <f>IF(itens_Remanesc!A19="","",itens_Remanesc!A19)</f>
        <v/>
      </c>
      <c r="B19" s="85" t="str">
        <f>IF(A19="","",IF(posicao_contratual!$Y19="","",IF(posicao_contratual!$Y19&gt;0,"",posicao_contratual!G19)))</f>
        <v/>
      </c>
      <c r="C19" s="79" t="str">
        <f>IF(itens_Remanesc!A19="","",IF(posicao_contratual!$Y19="","",IF(posicao_contratual!$Y19&gt;0,"",itens_Remanesc!C19)))</f>
        <v/>
      </c>
      <c r="D19" s="79" t="str">
        <f>IF(OR($A19="",posicao_contratual!$Y19=""),"",IF(posicao_contratual!$Y19&gt;1,"",IF(NOT(ISNUMBER(itens_Remanesc!C19)),"",IF(posicao_contratual!$Y19=1,IF(IFERROR(IF(ISNUMBER(INDEX(aditivos!$O$2:$O$200,MATCH($A19,aditivos!$A$2:$A$200,0))),MIN(INDEX(aditivos!$O$2:$O$200,MATCH($A19,aditivos!$A$2:$A$200,0)),posicao_contratual!$Y19),posicao_contratual!$Y19),posicao_contratual!$Y19)=1,itens_Remanesc!C19,IFERROR(ROUND(itens_Remanesc!C19*INDEX($L$2:$L$6,MIN(1+1,COUNT($L$2:$L$6)))/INDEX($L$2:$L$6,MIN(IFERROR(IF(ISNUMBER(INDEX(aditivos!$O$2:$O$200,MATCH($A19,aditivos!$A$2:$A$200,0))),MIN(INDEX(aditivos!$O$2:$O$200,MATCH($A19,aditivos!$A$2:$A$200,0)),posicao_contratual!$Y19),posicao_contratual!$Y19),posicao_contratual!$Y19)+1,COUNT($L$2:$L$6))),2),"")),IF(OR(NOT(ISNUMBER($L$3)),NOT(ISNUMBER(INDEX($L$2:$L$6,IFERROR(IF(ISNUMBER(INDEX(aditivos!$O$2:$O$200,MATCH($A19,aditivos!$A$2:$A$200,0))),MIN(INDEX(aditivos!$O$2:$O$200,MATCH($A19,aditivos!$A$2:$A$200,0)),posicao_contratual!$Y19),posicao_contratual!$Y19),posicao_contratual!$Y19)+1)))),"",ROUND(itens_Remanesc!C19*$L$3/INDEX($L$2:$L$6,IFERROR(IF(ISNUMBER(INDEX(aditivos!$O$2:$O$200,MATCH($A19,aditivos!$A$2:$A$200,0))),MIN(INDEX(aditivos!$O$2:$O$200,MATCH($A19,aditivos!$A$2:$A$200,0)),posicao_contratual!$Y19),posicao_contratual!$Y19),posicao_contratual!$Y19)+1),2))))))</f>
        <v/>
      </c>
      <c r="E19" s="79" t="str">
        <f>IF(OR($A19="",posicao_contratual!$Y19=""),"",IF(posicao_contratual!$Y19&gt;2,"",IF(NOT(ISNUMBER(itens_Remanesc!C19)),"",IF(posicao_contratual!$Y19=2,IF(IFERROR(IF(ISNUMBER(INDEX(aditivos!$O$2:$O$200,MATCH($A19,aditivos!$A$2:$A$200,0))),MIN(INDEX(aditivos!$O$2:$O$200,MATCH($A19,aditivos!$A$2:$A$200,0)),posicao_contratual!$Y19),posicao_contratual!$Y19),posicao_contratual!$Y19)=2,itens_Remanesc!C19,IFERROR(ROUND(itens_Remanesc!C19*INDEX($L$2:$L$6,MIN(2+1,COUNT($L$2:$L$6)))/INDEX($L$2:$L$6,MIN(IFERROR(IF(ISNUMBER(INDEX(aditivos!$O$2:$O$200,MATCH($A19,aditivos!$A$2:$A$200,0))),MIN(INDEX(aditivos!$O$2:$O$200,MATCH($A19,aditivos!$A$2:$A$200,0)),posicao_contratual!$Y19),posicao_contratual!$Y19),posicao_contratual!$Y19)+1,COUNT($L$2:$L$6))),2),"")),IF(OR(NOT(ISNUMBER($L$4)),NOT(ISNUMBER(INDEX($L$2:$L$6,IFERROR(IF(ISNUMBER(INDEX(aditivos!$O$2:$O$200,MATCH($A19,aditivos!$A$2:$A$200,0))),MIN(INDEX(aditivos!$O$2:$O$200,MATCH($A19,aditivos!$A$2:$A$200,0)),posicao_contratual!$Y19),posicao_contratual!$Y19),posicao_contratual!$Y19)+1)))),"",ROUND(itens_Remanesc!C19*$L$4/INDEX($L$2:$L$6,IFERROR(IF(ISNUMBER(INDEX(aditivos!$O$2:$O$200,MATCH($A19,aditivos!$A$2:$A$200,0))),MIN(INDEX(aditivos!$O$2:$O$200,MATCH($A19,aditivos!$A$2:$A$200,0)),posicao_contratual!$Y19),posicao_contratual!$Y19),posicao_contratual!$Y19)+1),2))))))</f>
        <v/>
      </c>
      <c r="F19" s="79" t="str">
        <f>IF(OR($A19="",posicao_contratual!$Y19=""),"",IF(posicao_contratual!$Y19&gt;3,"",IF(NOT(ISNUMBER(itens_Remanesc!C19)),"",IF(posicao_contratual!$Y19=3,IF(IFERROR(IF(ISNUMBER(INDEX(aditivos!$O$2:$O$200,MATCH($A19,aditivos!$A$2:$A$200,0))),MIN(INDEX(aditivos!$O$2:$O$200,MATCH($A19,aditivos!$A$2:$A$200,0)),posicao_contratual!$Y19),posicao_contratual!$Y19),posicao_contratual!$Y19)=3,itens_Remanesc!C19,IFERROR(ROUND(itens_Remanesc!C19*INDEX($L$2:$L$6,MIN(3+1,COUNT($L$2:$L$6)))/INDEX($L$2:$L$6,MIN(IFERROR(IF(ISNUMBER(INDEX(aditivos!$O$2:$O$200,MATCH($A19,aditivos!$A$2:$A$200,0))),MIN(INDEX(aditivos!$O$2:$O$200,MATCH($A19,aditivos!$A$2:$A$200,0)),posicao_contratual!$Y19),posicao_contratual!$Y19),posicao_contratual!$Y19)+1,COUNT($L$2:$L$6))),2),"")),IF(OR(NOT(ISNUMBER($L$5)),NOT(ISNUMBER(INDEX($L$2:$L$6,IFERROR(IF(ISNUMBER(INDEX(aditivos!$O$2:$O$200,MATCH($A19,aditivos!$A$2:$A$200,0))),MIN(INDEX(aditivos!$O$2:$O$200,MATCH($A19,aditivos!$A$2:$A$200,0)),posicao_contratual!$Y19),posicao_contratual!$Y19),posicao_contratual!$Y19)+1)))),"",ROUND(itens_Remanesc!C19*$L$5/INDEX($L$2:$L$6,IFERROR(IF(ISNUMBER(INDEX(aditivos!$O$2:$O$200,MATCH($A19,aditivos!$A$2:$A$200,0))),MIN(INDEX(aditivos!$O$2:$O$200,MATCH($A19,aditivos!$A$2:$A$200,0)),posicao_contratual!$Y19),posicao_contratual!$Y19),posicao_contratual!$Y19)+1),2))))))</f>
        <v/>
      </c>
      <c r="G19" s="79" t="str">
        <f>IF(OR($A19="",posicao_contratual!$Y19=""),"",IF(posicao_contratual!$Y19&gt;4,"",IF(NOT(ISNUMBER(itens_Remanesc!C19)),"",IF(posicao_contratual!$Y19=4,IF(IFERROR(IF(ISNUMBER(INDEX(aditivos!$O$2:$O$200,MATCH($A19,aditivos!$A$2:$A$200,0))),MIN(INDEX(aditivos!$O$2:$O$200,MATCH($A19,aditivos!$A$2:$A$200,0)),posicao_contratual!$Y19),posicao_contratual!$Y19),posicao_contratual!$Y19)=4,itens_Remanesc!C19,IFERROR(ROUND(itens_Remanesc!C19*INDEX($L$2:$L$6,MIN(4+1,COUNT($L$2:$L$6)))/INDEX($L$2:$L$6,MIN(IFERROR(IF(ISNUMBER(INDEX(aditivos!$O$2:$O$200,MATCH($A19,aditivos!$A$2:$A$200,0))),MIN(INDEX(aditivos!$O$2:$O$200,MATCH($A19,aditivos!$A$2:$A$200,0)),posicao_contratual!$Y19),posicao_contratual!$Y19),posicao_contratual!$Y19)+1,COUNT($L$2:$L$6))),2),"")),IF(OR(NOT(ISNUMBER($L$6)),NOT(ISNUMBER(INDEX($L$2:$L$6,IFERROR(IF(ISNUMBER(INDEX(aditivos!$O$2:$O$200,MATCH($A19,aditivos!$A$2:$A$200,0))),MIN(INDEX(aditivos!$O$2:$O$200,MATCH($A19,aditivos!$A$2:$A$200,0)),posicao_contratual!$Y19),posicao_contratual!$Y19),posicao_contratual!$Y19)+1)))),"",ROUND(itens_Remanesc!C19*$L$6/INDEX($L$2:$L$6,IFERROR(IF(ISNUMBER(INDEX(aditivos!$O$2:$O$200,MATCH($A19,aditivos!$A$2:$A$200,0))),MIN(INDEX(aditivos!$O$2:$O$200,MATCH($A19,aditivos!$A$2:$A$200,0)),posicao_contratual!$Y19),posicao_contratual!$Y19),posicao_contratual!$Y19)+1),2))))))</f>
        <v/>
      </c>
      <c r="H19" s="116" t="str">
        <f t="shared" si="0"/>
        <v/>
      </c>
      <c r="I19" s="14"/>
      <c r="J19" s="14"/>
      <c r="K19" s="14"/>
      <c r="L19" s="14"/>
      <c r="M19" s="14"/>
      <c r="N19" s="147" t="str">
        <f>IF(A19="","",IF(posicao_contratual!$Y19="","",IF(posicao_contratual!$Y19&gt;0,"",posicao_contratual!E19)))</f>
        <v/>
      </c>
      <c r="O19" s="147" t="str">
        <f>IF(A19="","",IF(posicao_contratual!$Y19="","",IF(posicao_contratual!$Y19&gt;1,"",posicao_contratual!I19)))</f>
        <v/>
      </c>
      <c r="P19" s="147" t="str">
        <f>IF(A19="","",IF(posicao_contratual!$Y19="","",IF(posicao_contratual!$Y19&gt;2,"",posicao_contratual!M19)))</f>
        <v/>
      </c>
      <c r="Q19" s="147" t="str">
        <f>IF(A19="","",IF(posicao_contratual!$Y19="","",IF(posicao_contratual!$Y19&gt;3,"",posicao_contratual!Q19)))</f>
        <v/>
      </c>
      <c r="R19" s="147" t="str">
        <f>IF(A19="","",IF(posicao_contratual!$Y19="","",IF(posicao_contratual!$Y19&gt;4,"",posicao_contratual!U19)))</f>
        <v/>
      </c>
      <c r="S19" s="167" t="str">
        <f>IF(A19="","",posicao_contratual!G19)</f>
        <v/>
      </c>
      <c r="T19" s="167" t="str">
        <f>IF(A19="","",posicao_contratual!K19)</f>
        <v/>
      </c>
      <c r="U19" s="167" t="str">
        <f>IF(A19="","",posicao_contratual!O19)</f>
        <v/>
      </c>
      <c r="V19" s="167" t="str">
        <f>IF(A19="","",posicao_contratual!S19)</f>
        <v/>
      </c>
      <c r="W19" s="167" t="str">
        <f>IF(A19="","",posicao_contratual!W19)</f>
        <v/>
      </c>
    </row>
    <row r="20" spans="1:23" x14ac:dyDescent="0.35">
      <c r="A20" s="86" t="str">
        <f>IF(itens_Remanesc!A20="","",itens_Remanesc!A20)</f>
        <v/>
      </c>
      <c r="B20" s="85" t="str">
        <f>IF(A20="","",IF(posicao_contratual!$Y20="","",IF(posicao_contratual!$Y20&gt;0,"",posicao_contratual!G20)))</f>
        <v/>
      </c>
      <c r="C20" s="79" t="str">
        <f>IF(itens_Remanesc!A20="","",IF(posicao_contratual!$Y20="","",IF(posicao_contratual!$Y20&gt;0,"",itens_Remanesc!C20)))</f>
        <v/>
      </c>
      <c r="D20" s="79" t="str">
        <f>IF(OR($A20="",posicao_contratual!$Y20=""),"",IF(posicao_contratual!$Y20&gt;1,"",IF(NOT(ISNUMBER(itens_Remanesc!C20)),"",IF(posicao_contratual!$Y20=1,IF(IFERROR(IF(ISNUMBER(INDEX(aditivos!$O$2:$O$200,MATCH($A20,aditivos!$A$2:$A$200,0))),MIN(INDEX(aditivos!$O$2:$O$200,MATCH($A20,aditivos!$A$2:$A$200,0)),posicao_contratual!$Y20),posicao_contratual!$Y20),posicao_contratual!$Y20)=1,itens_Remanesc!C20,IFERROR(ROUND(itens_Remanesc!C20*INDEX($L$2:$L$6,MIN(1+1,COUNT($L$2:$L$6)))/INDEX($L$2:$L$6,MIN(IFERROR(IF(ISNUMBER(INDEX(aditivos!$O$2:$O$200,MATCH($A20,aditivos!$A$2:$A$200,0))),MIN(INDEX(aditivos!$O$2:$O$200,MATCH($A20,aditivos!$A$2:$A$200,0)),posicao_contratual!$Y20),posicao_contratual!$Y20),posicao_contratual!$Y20)+1,COUNT($L$2:$L$6))),2),"")),IF(OR(NOT(ISNUMBER($L$3)),NOT(ISNUMBER(INDEX($L$2:$L$6,IFERROR(IF(ISNUMBER(INDEX(aditivos!$O$2:$O$200,MATCH($A20,aditivos!$A$2:$A$200,0))),MIN(INDEX(aditivos!$O$2:$O$200,MATCH($A20,aditivos!$A$2:$A$200,0)),posicao_contratual!$Y20),posicao_contratual!$Y20),posicao_contratual!$Y20)+1)))),"",ROUND(itens_Remanesc!C20*$L$3/INDEX($L$2:$L$6,IFERROR(IF(ISNUMBER(INDEX(aditivos!$O$2:$O$200,MATCH($A20,aditivos!$A$2:$A$200,0))),MIN(INDEX(aditivos!$O$2:$O$200,MATCH($A20,aditivos!$A$2:$A$200,0)),posicao_contratual!$Y20),posicao_contratual!$Y20),posicao_contratual!$Y20)+1),2))))))</f>
        <v/>
      </c>
      <c r="E20" s="79" t="str">
        <f>IF(OR($A20="",posicao_contratual!$Y20=""),"",IF(posicao_contratual!$Y20&gt;2,"",IF(NOT(ISNUMBER(itens_Remanesc!C20)),"",IF(posicao_contratual!$Y20=2,IF(IFERROR(IF(ISNUMBER(INDEX(aditivos!$O$2:$O$200,MATCH($A20,aditivos!$A$2:$A$200,0))),MIN(INDEX(aditivos!$O$2:$O$200,MATCH($A20,aditivos!$A$2:$A$200,0)),posicao_contratual!$Y20),posicao_contratual!$Y20),posicao_contratual!$Y20)=2,itens_Remanesc!C20,IFERROR(ROUND(itens_Remanesc!C20*INDEX($L$2:$L$6,MIN(2+1,COUNT($L$2:$L$6)))/INDEX($L$2:$L$6,MIN(IFERROR(IF(ISNUMBER(INDEX(aditivos!$O$2:$O$200,MATCH($A20,aditivos!$A$2:$A$200,0))),MIN(INDEX(aditivos!$O$2:$O$200,MATCH($A20,aditivos!$A$2:$A$200,0)),posicao_contratual!$Y20),posicao_contratual!$Y20),posicao_contratual!$Y20)+1,COUNT($L$2:$L$6))),2),"")),IF(OR(NOT(ISNUMBER($L$4)),NOT(ISNUMBER(INDEX($L$2:$L$6,IFERROR(IF(ISNUMBER(INDEX(aditivos!$O$2:$O$200,MATCH($A20,aditivos!$A$2:$A$200,0))),MIN(INDEX(aditivos!$O$2:$O$200,MATCH($A20,aditivos!$A$2:$A$200,0)),posicao_contratual!$Y20),posicao_contratual!$Y20),posicao_contratual!$Y20)+1)))),"",ROUND(itens_Remanesc!C20*$L$4/INDEX($L$2:$L$6,IFERROR(IF(ISNUMBER(INDEX(aditivos!$O$2:$O$200,MATCH($A20,aditivos!$A$2:$A$200,0))),MIN(INDEX(aditivos!$O$2:$O$200,MATCH($A20,aditivos!$A$2:$A$200,0)),posicao_contratual!$Y20),posicao_contratual!$Y20),posicao_contratual!$Y20)+1),2))))))</f>
        <v/>
      </c>
      <c r="F20" s="79" t="str">
        <f>IF(OR($A20="",posicao_contratual!$Y20=""),"",IF(posicao_contratual!$Y20&gt;3,"",IF(NOT(ISNUMBER(itens_Remanesc!C20)),"",IF(posicao_contratual!$Y20=3,IF(IFERROR(IF(ISNUMBER(INDEX(aditivos!$O$2:$O$200,MATCH($A20,aditivos!$A$2:$A$200,0))),MIN(INDEX(aditivos!$O$2:$O$200,MATCH($A20,aditivos!$A$2:$A$200,0)),posicao_contratual!$Y20),posicao_contratual!$Y20),posicao_contratual!$Y20)=3,itens_Remanesc!C20,IFERROR(ROUND(itens_Remanesc!C20*INDEX($L$2:$L$6,MIN(3+1,COUNT($L$2:$L$6)))/INDEX($L$2:$L$6,MIN(IFERROR(IF(ISNUMBER(INDEX(aditivos!$O$2:$O$200,MATCH($A20,aditivos!$A$2:$A$200,0))),MIN(INDEX(aditivos!$O$2:$O$200,MATCH($A20,aditivos!$A$2:$A$200,0)),posicao_contratual!$Y20),posicao_contratual!$Y20),posicao_contratual!$Y20)+1,COUNT($L$2:$L$6))),2),"")),IF(OR(NOT(ISNUMBER($L$5)),NOT(ISNUMBER(INDEX($L$2:$L$6,IFERROR(IF(ISNUMBER(INDEX(aditivos!$O$2:$O$200,MATCH($A20,aditivos!$A$2:$A$200,0))),MIN(INDEX(aditivos!$O$2:$O$200,MATCH($A20,aditivos!$A$2:$A$200,0)),posicao_contratual!$Y20),posicao_contratual!$Y20),posicao_contratual!$Y20)+1)))),"",ROUND(itens_Remanesc!C20*$L$5/INDEX($L$2:$L$6,IFERROR(IF(ISNUMBER(INDEX(aditivos!$O$2:$O$200,MATCH($A20,aditivos!$A$2:$A$200,0))),MIN(INDEX(aditivos!$O$2:$O$200,MATCH($A20,aditivos!$A$2:$A$200,0)),posicao_contratual!$Y20),posicao_contratual!$Y20),posicao_contratual!$Y20)+1),2))))))</f>
        <v/>
      </c>
      <c r="G20" s="79" t="str">
        <f>IF(OR($A20="",posicao_contratual!$Y20=""),"",IF(posicao_contratual!$Y20&gt;4,"",IF(NOT(ISNUMBER(itens_Remanesc!C20)),"",IF(posicao_contratual!$Y20=4,IF(IFERROR(IF(ISNUMBER(INDEX(aditivos!$O$2:$O$200,MATCH($A20,aditivos!$A$2:$A$200,0))),MIN(INDEX(aditivos!$O$2:$O$200,MATCH($A20,aditivos!$A$2:$A$200,0)),posicao_contratual!$Y20),posicao_contratual!$Y20),posicao_contratual!$Y20)=4,itens_Remanesc!C20,IFERROR(ROUND(itens_Remanesc!C20*INDEX($L$2:$L$6,MIN(4+1,COUNT($L$2:$L$6)))/INDEX($L$2:$L$6,MIN(IFERROR(IF(ISNUMBER(INDEX(aditivos!$O$2:$O$200,MATCH($A20,aditivos!$A$2:$A$200,0))),MIN(INDEX(aditivos!$O$2:$O$200,MATCH($A20,aditivos!$A$2:$A$200,0)),posicao_contratual!$Y20),posicao_contratual!$Y20),posicao_contratual!$Y20)+1,COUNT($L$2:$L$6))),2),"")),IF(OR(NOT(ISNUMBER($L$6)),NOT(ISNUMBER(INDEX($L$2:$L$6,IFERROR(IF(ISNUMBER(INDEX(aditivos!$O$2:$O$200,MATCH($A20,aditivos!$A$2:$A$200,0))),MIN(INDEX(aditivos!$O$2:$O$200,MATCH($A20,aditivos!$A$2:$A$200,0)),posicao_contratual!$Y20),posicao_contratual!$Y20),posicao_contratual!$Y20)+1)))),"",ROUND(itens_Remanesc!C20*$L$6/INDEX($L$2:$L$6,IFERROR(IF(ISNUMBER(INDEX(aditivos!$O$2:$O$200,MATCH($A20,aditivos!$A$2:$A$200,0))),MIN(INDEX(aditivos!$O$2:$O$200,MATCH($A20,aditivos!$A$2:$A$200,0)),posicao_contratual!$Y20),posicao_contratual!$Y20),posicao_contratual!$Y20)+1),2))))))</f>
        <v/>
      </c>
      <c r="H20" s="116" t="str">
        <f t="shared" si="0"/>
        <v/>
      </c>
      <c r="I20" s="14"/>
      <c r="J20" s="14"/>
      <c r="K20" s="14"/>
      <c r="L20" s="14"/>
      <c r="M20" s="14"/>
      <c r="N20" s="147" t="str">
        <f>IF(A20="","",IF(posicao_contratual!$Y20="","",IF(posicao_contratual!$Y20&gt;0,"",posicao_contratual!E20)))</f>
        <v/>
      </c>
      <c r="O20" s="147" t="str">
        <f>IF(A20="","",IF(posicao_contratual!$Y20="","",IF(posicao_contratual!$Y20&gt;1,"",posicao_contratual!I20)))</f>
        <v/>
      </c>
      <c r="P20" s="147" t="str">
        <f>IF(A20="","",IF(posicao_contratual!$Y20="","",IF(posicao_contratual!$Y20&gt;2,"",posicao_contratual!M20)))</f>
        <v/>
      </c>
      <c r="Q20" s="147" t="str">
        <f>IF(A20="","",IF(posicao_contratual!$Y20="","",IF(posicao_contratual!$Y20&gt;3,"",posicao_contratual!Q20)))</f>
        <v/>
      </c>
      <c r="R20" s="147" t="str">
        <f>IF(A20="","",IF(posicao_contratual!$Y20="","",IF(posicao_contratual!$Y20&gt;4,"",posicao_contratual!U20)))</f>
        <v/>
      </c>
      <c r="S20" s="167" t="str">
        <f>IF(A20="","",posicao_contratual!G20)</f>
        <v/>
      </c>
      <c r="T20" s="167" t="str">
        <f>IF(A20="","",posicao_contratual!K20)</f>
        <v/>
      </c>
      <c r="U20" s="167" t="str">
        <f>IF(A20="","",posicao_contratual!O20)</f>
        <v/>
      </c>
      <c r="V20" s="167" t="str">
        <f>IF(A20="","",posicao_contratual!S20)</f>
        <v/>
      </c>
      <c r="W20" s="167" t="str">
        <f>IF(A20="","",posicao_contratual!W20)</f>
        <v/>
      </c>
    </row>
    <row r="21" spans="1:23" x14ac:dyDescent="0.35">
      <c r="A21" s="86" t="str">
        <f>IF(itens_Remanesc!A21="","",itens_Remanesc!A21)</f>
        <v/>
      </c>
      <c r="B21" s="85" t="str">
        <f>IF(A21="","",IF(posicao_contratual!$Y21="","",IF(posicao_contratual!$Y21&gt;0,"",posicao_contratual!G21)))</f>
        <v/>
      </c>
      <c r="C21" s="79" t="str">
        <f>IF(itens_Remanesc!A21="","",IF(posicao_contratual!$Y21="","",IF(posicao_contratual!$Y21&gt;0,"",itens_Remanesc!C21)))</f>
        <v/>
      </c>
      <c r="D21" s="79" t="str">
        <f>IF(OR($A21="",posicao_contratual!$Y21=""),"",IF(posicao_contratual!$Y21&gt;1,"",IF(NOT(ISNUMBER(itens_Remanesc!C21)),"",IF(posicao_contratual!$Y21=1,IF(IFERROR(IF(ISNUMBER(INDEX(aditivos!$O$2:$O$200,MATCH($A21,aditivos!$A$2:$A$200,0))),MIN(INDEX(aditivos!$O$2:$O$200,MATCH($A21,aditivos!$A$2:$A$200,0)),posicao_contratual!$Y21),posicao_contratual!$Y21),posicao_contratual!$Y21)=1,itens_Remanesc!C21,IFERROR(ROUND(itens_Remanesc!C21*INDEX($L$2:$L$6,MIN(1+1,COUNT($L$2:$L$6)))/INDEX($L$2:$L$6,MIN(IFERROR(IF(ISNUMBER(INDEX(aditivos!$O$2:$O$200,MATCH($A21,aditivos!$A$2:$A$200,0))),MIN(INDEX(aditivos!$O$2:$O$200,MATCH($A21,aditivos!$A$2:$A$200,0)),posicao_contratual!$Y21),posicao_contratual!$Y21),posicao_contratual!$Y21)+1,COUNT($L$2:$L$6))),2),"")),IF(OR(NOT(ISNUMBER($L$3)),NOT(ISNUMBER(INDEX($L$2:$L$6,IFERROR(IF(ISNUMBER(INDEX(aditivos!$O$2:$O$200,MATCH($A21,aditivos!$A$2:$A$200,0))),MIN(INDEX(aditivos!$O$2:$O$200,MATCH($A21,aditivos!$A$2:$A$200,0)),posicao_contratual!$Y21),posicao_contratual!$Y21),posicao_contratual!$Y21)+1)))),"",ROUND(itens_Remanesc!C21*$L$3/INDEX($L$2:$L$6,IFERROR(IF(ISNUMBER(INDEX(aditivos!$O$2:$O$200,MATCH($A21,aditivos!$A$2:$A$200,0))),MIN(INDEX(aditivos!$O$2:$O$200,MATCH($A21,aditivos!$A$2:$A$200,0)),posicao_contratual!$Y21),posicao_contratual!$Y21),posicao_contratual!$Y21)+1),2))))))</f>
        <v/>
      </c>
      <c r="E21" s="79" t="str">
        <f>IF(OR($A21="",posicao_contratual!$Y21=""),"",IF(posicao_contratual!$Y21&gt;2,"",IF(NOT(ISNUMBER(itens_Remanesc!C21)),"",IF(posicao_contratual!$Y21=2,IF(IFERROR(IF(ISNUMBER(INDEX(aditivos!$O$2:$O$200,MATCH($A21,aditivos!$A$2:$A$200,0))),MIN(INDEX(aditivos!$O$2:$O$200,MATCH($A21,aditivos!$A$2:$A$200,0)),posicao_contratual!$Y21),posicao_contratual!$Y21),posicao_contratual!$Y21)=2,itens_Remanesc!C21,IFERROR(ROUND(itens_Remanesc!C21*INDEX($L$2:$L$6,MIN(2+1,COUNT($L$2:$L$6)))/INDEX($L$2:$L$6,MIN(IFERROR(IF(ISNUMBER(INDEX(aditivos!$O$2:$O$200,MATCH($A21,aditivos!$A$2:$A$200,0))),MIN(INDEX(aditivos!$O$2:$O$200,MATCH($A21,aditivos!$A$2:$A$200,0)),posicao_contratual!$Y21),posicao_contratual!$Y21),posicao_contratual!$Y21)+1,COUNT($L$2:$L$6))),2),"")),IF(OR(NOT(ISNUMBER($L$4)),NOT(ISNUMBER(INDEX($L$2:$L$6,IFERROR(IF(ISNUMBER(INDEX(aditivos!$O$2:$O$200,MATCH($A21,aditivos!$A$2:$A$200,0))),MIN(INDEX(aditivos!$O$2:$O$200,MATCH($A21,aditivos!$A$2:$A$200,0)),posicao_contratual!$Y21),posicao_contratual!$Y21),posicao_contratual!$Y21)+1)))),"",ROUND(itens_Remanesc!C21*$L$4/INDEX($L$2:$L$6,IFERROR(IF(ISNUMBER(INDEX(aditivos!$O$2:$O$200,MATCH($A21,aditivos!$A$2:$A$200,0))),MIN(INDEX(aditivos!$O$2:$O$200,MATCH($A21,aditivos!$A$2:$A$200,0)),posicao_contratual!$Y21),posicao_contratual!$Y21),posicao_contratual!$Y21)+1),2))))))</f>
        <v/>
      </c>
      <c r="F21" s="79" t="str">
        <f>IF(OR($A21="",posicao_contratual!$Y21=""),"",IF(posicao_contratual!$Y21&gt;3,"",IF(NOT(ISNUMBER(itens_Remanesc!C21)),"",IF(posicao_contratual!$Y21=3,IF(IFERROR(IF(ISNUMBER(INDEX(aditivos!$O$2:$O$200,MATCH($A21,aditivos!$A$2:$A$200,0))),MIN(INDEX(aditivos!$O$2:$O$200,MATCH($A21,aditivos!$A$2:$A$200,0)),posicao_contratual!$Y21),posicao_contratual!$Y21),posicao_contratual!$Y21)=3,itens_Remanesc!C21,IFERROR(ROUND(itens_Remanesc!C21*INDEX($L$2:$L$6,MIN(3+1,COUNT($L$2:$L$6)))/INDEX($L$2:$L$6,MIN(IFERROR(IF(ISNUMBER(INDEX(aditivos!$O$2:$O$200,MATCH($A21,aditivos!$A$2:$A$200,0))),MIN(INDEX(aditivos!$O$2:$O$200,MATCH($A21,aditivos!$A$2:$A$200,0)),posicao_contratual!$Y21),posicao_contratual!$Y21),posicao_contratual!$Y21)+1,COUNT($L$2:$L$6))),2),"")),IF(OR(NOT(ISNUMBER($L$5)),NOT(ISNUMBER(INDEX($L$2:$L$6,IFERROR(IF(ISNUMBER(INDEX(aditivos!$O$2:$O$200,MATCH($A21,aditivos!$A$2:$A$200,0))),MIN(INDEX(aditivos!$O$2:$O$200,MATCH($A21,aditivos!$A$2:$A$200,0)),posicao_contratual!$Y21),posicao_contratual!$Y21),posicao_contratual!$Y21)+1)))),"",ROUND(itens_Remanesc!C21*$L$5/INDEX($L$2:$L$6,IFERROR(IF(ISNUMBER(INDEX(aditivos!$O$2:$O$200,MATCH($A21,aditivos!$A$2:$A$200,0))),MIN(INDEX(aditivos!$O$2:$O$200,MATCH($A21,aditivos!$A$2:$A$200,0)),posicao_contratual!$Y21),posicao_contratual!$Y21),posicao_contratual!$Y21)+1),2))))))</f>
        <v/>
      </c>
      <c r="G21" s="79" t="str">
        <f>IF(OR($A21="",posicao_contratual!$Y21=""),"",IF(posicao_contratual!$Y21&gt;4,"",IF(NOT(ISNUMBER(itens_Remanesc!C21)),"",IF(posicao_contratual!$Y21=4,IF(IFERROR(IF(ISNUMBER(INDEX(aditivos!$O$2:$O$200,MATCH($A21,aditivos!$A$2:$A$200,0))),MIN(INDEX(aditivos!$O$2:$O$200,MATCH($A21,aditivos!$A$2:$A$200,0)),posicao_contratual!$Y21),posicao_contratual!$Y21),posicao_contratual!$Y21)=4,itens_Remanesc!C21,IFERROR(ROUND(itens_Remanesc!C21*INDEX($L$2:$L$6,MIN(4+1,COUNT($L$2:$L$6)))/INDEX($L$2:$L$6,MIN(IFERROR(IF(ISNUMBER(INDEX(aditivos!$O$2:$O$200,MATCH($A21,aditivos!$A$2:$A$200,0))),MIN(INDEX(aditivos!$O$2:$O$200,MATCH($A21,aditivos!$A$2:$A$200,0)),posicao_contratual!$Y21),posicao_contratual!$Y21),posicao_contratual!$Y21)+1,COUNT($L$2:$L$6))),2),"")),IF(OR(NOT(ISNUMBER($L$6)),NOT(ISNUMBER(INDEX($L$2:$L$6,IFERROR(IF(ISNUMBER(INDEX(aditivos!$O$2:$O$200,MATCH($A21,aditivos!$A$2:$A$200,0))),MIN(INDEX(aditivos!$O$2:$O$200,MATCH($A21,aditivos!$A$2:$A$200,0)),posicao_contratual!$Y21),posicao_contratual!$Y21),posicao_contratual!$Y21)+1)))),"",ROUND(itens_Remanesc!C21*$L$6/INDEX($L$2:$L$6,IFERROR(IF(ISNUMBER(INDEX(aditivos!$O$2:$O$200,MATCH($A21,aditivos!$A$2:$A$200,0))),MIN(INDEX(aditivos!$O$2:$O$200,MATCH($A21,aditivos!$A$2:$A$200,0)),posicao_contratual!$Y21),posicao_contratual!$Y21),posicao_contratual!$Y21)+1),2))))))</f>
        <v/>
      </c>
      <c r="H21" s="116" t="str">
        <f t="shared" si="0"/>
        <v/>
      </c>
      <c r="I21" s="14"/>
      <c r="J21" s="14"/>
      <c r="K21" s="14"/>
      <c r="L21" s="14"/>
      <c r="M21" s="14"/>
      <c r="N21" s="147" t="str">
        <f>IF(A21="","",IF(posicao_contratual!$Y21="","",IF(posicao_contratual!$Y21&gt;0,"",posicao_contratual!E21)))</f>
        <v/>
      </c>
      <c r="O21" s="147" t="str">
        <f>IF(A21="","",IF(posicao_contratual!$Y21="","",IF(posicao_contratual!$Y21&gt;1,"",posicao_contratual!I21)))</f>
        <v/>
      </c>
      <c r="P21" s="147" t="str">
        <f>IF(A21="","",IF(posicao_contratual!$Y21="","",IF(posicao_contratual!$Y21&gt;2,"",posicao_contratual!M21)))</f>
        <v/>
      </c>
      <c r="Q21" s="147" t="str">
        <f>IF(A21="","",IF(posicao_contratual!$Y21="","",IF(posicao_contratual!$Y21&gt;3,"",posicao_contratual!Q21)))</f>
        <v/>
      </c>
      <c r="R21" s="147" t="str">
        <f>IF(A21="","",IF(posicao_contratual!$Y21="","",IF(posicao_contratual!$Y21&gt;4,"",posicao_contratual!U21)))</f>
        <v/>
      </c>
      <c r="S21" s="167" t="str">
        <f>IF(A21="","",posicao_contratual!G21)</f>
        <v/>
      </c>
      <c r="T21" s="167" t="str">
        <f>IF(A21="","",posicao_contratual!K21)</f>
        <v/>
      </c>
      <c r="U21" s="167" t="str">
        <f>IF(A21="","",posicao_contratual!O21)</f>
        <v/>
      </c>
      <c r="V21" s="167" t="str">
        <f>IF(A21="","",posicao_contratual!S21)</f>
        <v/>
      </c>
      <c r="W21" s="167" t="str">
        <f>IF(A21="","",posicao_contratual!W21)</f>
        <v/>
      </c>
    </row>
    <row r="22" spans="1:23" x14ac:dyDescent="0.35">
      <c r="A22" s="86" t="str">
        <f>IF(itens_Remanesc!A22="","",itens_Remanesc!A22)</f>
        <v/>
      </c>
      <c r="B22" s="85" t="str">
        <f>IF(A22="","",IF(posicao_contratual!$Y22="","",IF(posicao_contratual!$Y22&gt;0,"",posicao_contratual!G22)))</f>
        <v/>
      </c>
      <c r="C22" s="79" t="str">
        <f>IF(itens_Remanesc!A22="","",IF(posicao_contratual!$Y22="","",IF(posicao_contratual!$Y22&gt;0,"",itens_Remanesc!C22)))</f>
        <v/>
      </c>
      <c r="D22" s="79" t="str">
        <f>IF(OR($A22="",posicao_contratual!$Y22=""),"",IF(posicao_contratual!$Y22&gt;1,"",IF(NOT(ISNUMBER(itens_Remanesc!C22)),"",IF(posicao_contratual!$Y22=1,IF(IFERROR(IF(ISNUMBER(INDEX(aditivos!$O$2:$O$200,MATCH($A22,aditivos!$A$2:$A$200,0))),MIN(INDEX(aditivos!$O$2:$O$200,MATCH($A22,aditivos!$A$2:$A$200,0)),posicao_contratual!$Y22),posicao_contratual!$Y22),posicao_contratual!$Y22)=1,itens_Remanesc!C22,IFERROR(ROUND(itens_Remanesc!C22*INDEX($L$2:$L$6,MIN(1+1,COUNT($L$2:$L$6)))/INDEX($L$2:$L$6,MIN(IFERROR(IF(ISNUMBER(INDEX(aditivos!$O$2:$O$200,MATCH($A22,aditivos!$A$2:$A$200,0))),MIN(INDEX(aditivos!$O$2:$O$200,MATCH($A22,aditivos!$A$2:$A$200,0)),posicao_contratual!$Y22),posicao_contratual!$Y22),posicao_contratual!$Y22)+1,COUNT($L$2:$L$6))),2),"")),IF(OR(NOT(ISNUMBER($L$3)),NOT(ISNUMBER(INDEX($L$2:$L$6,IFERROR(IF(ISNUMBER(INDEX(aditivos!$O$2:$O$200,MATCH($A22,aditivos!$A$2:$A$200,0))),MIN(INDEX(aditivos!$O$2:$O$200,MATCH($A22,aditivos!$A$2:$A$200,0)),posicao_contratual!$Y22),posicao_contratual!$Y22),posicao_contratual!$Y22)+1)))),"",ROUND(itens_Remanesc!C22*$L$3/INDEX($L$2:$L$6,IFERROR(IF(ISNUMBER(INDEX(aditivos!$O$2:$O$200,MATCH($A22,aditivos!$A$2:$A$200,0))),MIN(INDEX(aditivos!$O$2:$O$200,MATCH($A22,aditivos!$A$2:$A$200,0)),posicao_contratual!$Y22),posicao_contratual!$Y22),posicao_contratual!$Y22)+1),2))))))</f>
        <v/>
      </c>
      <c r="E22" s="79" t="str">
        <f>IF(OR($A22="",posicao_contratual!$Y22=""),"",IF(posicao_contratual!$Y22&gt;2,"",IF(NOT(ISNUMBER(itens_Remanesc!C22)),"",IF(posicao_contratual!$Y22=2,IF(IFERROR(IF(ISNUMBER(INDEX(aditivos!$O$2:$O$200,MATCH($A22,aditivos!$A$2:$A$200,0))),MIN(INDEX(aditivos!$O$2:$O$200,MATCH($A22,aditivos!$A$2:$A$200,0)),posicao_contratual!$Y22),posicao_contratual!$Y22),posicao_contratual!$Y22)=2,itens_Remanesc!C22,IFERROR(ROUND(itens_Remanesc!C22*INDEX($L$2:$L$6,MIN(2+1,COUNT($L$2:$L$6)))/INDEX($L$2:$L$6,MIN(IFERROR(IF(ISNUMBER(INDEX(aditivos!$O$2:$O$200,MATCH($A22,aditivos!$A$2:$A$200,0))),MIN(INDEX(aditivos!$O$2:$O$200,MATCH($A22,aditivos!$A$2:$A$200,0)),posicao_contratual!$Y22),posicao_contratual!$Y22),posicao_contratual!$Y22)+1,COUNT($L$2:$L$6))),2),"")),IF(OR(NOT(ISNUMBER($L$4)),NOT(ISNUMBER(INDEX($L$2:$L$6,IFERROR(IF(ISNUMBER(INDEX(aditivos!$O$2:$O$200,MATCH($A22,aditivos!$A$2:$A$200,0))),MIN(INDEX(aditivos!$O$2:$O$200,MATCH($A22,aditivos!$A$2:$A$200,0)),posicao_contratual!$Y22),posicao_contratual!$Y22),posicao_contratual!$Y22)+1)))),"",ROUND(itens_Remanesc!C22*$L$4/INDEX($L$2:$L$6,IFERROR(IF(ISNUMBER(INDEX(aditivos!$O$2:$O$200,MATCH($A22,aditivos!$A$2:$A$200,0))),MIN(INDEX(aditivos!$O$2:$O$200,MATCH($A22,aditivos!$A$2:$A$200,0)),posicao_contratual!$Y22),posicao_contratual!$Y22),posicao_contratual!$Y22)+1),2))))))</f>
        <v/>
      </c>
      <c r="F22" s="79" t="str">
        <f>IF(OR($A22="",posicao_contratual!$Y22=""),"",IF(posicao_contratual!$Y22&gt;3,"",IF(NOT(ISNUMBER(itens_Remanesc!C22)),"",IF(posicao_contratual!$Y22=3,IF(IFERROR(IF(ISNUMBER(INDEX(aditivos!$O$2:$O$200,MATCH($A22,aditivos!$A$2:$A$200,0))),MIN(INDEX(aditivos!$O$2:$O$200,MATCH($A22,aditivos!$A$2:$A$200,0)),posicao_contratual!$Y22),posicao_contratual!$Y22),posicao_contratual!$Y22)=3,itens_Remanesc!C22,IFERROR(ROUND(itens_Remanesc!C22*INDEX($L$2:$L$6,MIN(3+1,COUNT($L$2:$L$6)))/INDEX($L$2:$L$6,MIN(IFERROR(IF(ISNUMBER(INDEX(aditivos!$O$2:$O$200,MATCH($A22,aditivos!$A$2:$A$200,0))),MIN(INDEX(aditivos!$O$2:$O$200,MATCH($A22,aditivos!$A$2:$A$200,0)),posicao_contratual!$Y22),posicao_contratual!$Y22),posicao_contratual!$Y22)+1,COUNT($L$2:$L$6))),2),"")),IF(OR(NOT(ISNUMBER($L$5)),NOT(ISNUMBER(INDEX($L$2:$L$6,IFERROR(IF(ISNUMBER(INDEX(aditivos!$O$2:$O$200,MATCH($A22,aditivos!$A$2:$A$200,0))),MIN(INDEX(aditivos!$O$2:$O$200,MATCH($A22,aditivos!$A$2:$A$200,0)),posicao_contratual!$Y22),posicao_contratual!$Y22),posicao_contratual!$Y22)+1)))),"",ROUND(itens_Remanesc!C22*$L$5/INDEX($L$2:$L$6,IFERROR(IF(ISNUMBER(INDEX(aditivos!$O$2:$O$200,MATCH($A22,aditivos!$A$2:$A$200,0))),MIN(INDEX(aditivos!$O$2:$O$200,MATCH($A22,aditivos!$A$2:$A$200,0)),posicao_contratual!$Y22),posicao_contratual!$Y22),posicao_contratual!$Y22)+1),2))))))</f>
        <v/>
      </c>
      <c r="G22" s="79" t="str">
        <f>IF(OR($A22="",posicao_contratual!$Y22=""),"",IF(posicao_contratual!$Y22&gt;4,"",IF(NOT(ISNUMBER(itens_Remanesc!C22)),"",IF(posicao_contratual!$Y22=4,IF(IFERROR(IF(ISNUMBER(INDEX(aditivos!$O$2:$O$200,MATCH($A22,aditivos!$A$2:$A$200,0))),MIN(INDEX(aditivos!$O$2:$O$200,MATCH($A22,aditivos!$A$2:$A$200,0)),posicao_contratual!$Y22),posicao_contratual!$Y22),posicao_contratual!$Y22)=4,itens_Remanesc!C22,IFERROR(ROUND(itens_Remanesc!C22*INDEX($L$2:$L$6,MIN(4+1,COUNT($L$2:$L$6)))/INDEX($L$2:$L$6,MIN(IFERROR(IF(ISNUMBER(INDEX(aditivos!$O$2:$O$200,MATCH($A22,aditivos!$A$2:$A$200,0))),MIN(INDEX(aditivos!$O$2:$O$200,MATCH($A22,aditivos!$A$2:$A$200,0)),posicao_contratual!$Y22),posicao_contratual!$Y22),posicao_contratual!$Y22)+1,COUNT($L$2:$L$6))),2),"")),IF(OR(NOT(ISNUMBER($L$6)),NOT(ISNUMBER(INDEX($L$2:$L$6,IFERROR(IF(ISNUMBER(INDEX(aditivos!$O$2:$O$200,MATCH($A22,aditivos!$A$2:$A$200,0))),MIN(INDEX(aditivos!$O$2:$O$200,MATCH($A22,aditivos!$A$2:$A$200,0)),posicao_contratual!$Y22),posicao_contratual!$Y22),posicao_contratual!$Y22)+1)))),"",ROUND(itens_Remanesc!C22*$L$6/INDEX($L$2:$L$6,IFERROR(IF(ISNUMBER(INDEX(aditivos!$O$2:$O$200,MATCH($A22,aditivos!$A$2:$A$200,0))),MIN(INDEX(aditivos!$O$2:$O$200,MATCH($A22,aditivos!$A$2:$A$200,0)),posicao_contratual!$Y22),posicao_contratual!$Y22),posicao_contratual!$Y22)+1),2))))))</f>
        <v/>
      </c>
      <c r="H22" s="116" t="str">
        <f t="shared" si="0"/>
        <v/>
      </c>
      <c r="I22" s="14"/>
      <c r="J22" s="14"/>
      <c r="K22" s="14"/>
      <c r="L22" s="14"/>
      <c r="M22" s="14"/>
      <c r="N22" s="147" t="str">
        <f>IF(A22="","",IF(posicao_contratual!$Y22="","",IF(posicao_contratual!$Y22&gt;0,"",posicao_contratual!E22)))</f>
        <v/>
      </c>
      <c r="O22" s="147" t="str">
        <f>IF(A22="","",IF(posicao_contratual!$Y22="","",IF(posicao_contratual!$Y22&gt;1,"",posicao_contratual!I22)))</f>
        <v/>
      </c>
      <c r="P22" s="147" t="str">
        <f>IF(A22="","",IF(posicao_contratual!$Y22="","",IF(posicao_contratual!$Y22&gt;2,"",posicao_contratual!M22)))</f>
        <v/>
      </c>
      <c r="Q22" s="147" t="str">
        <f>IF(A22="","",IF(posicao_contratual!$Y22="","",IF(posicao_contratual!$Y22&gt;3,"",posicao_contratual!Q22)))</f>
        <v/>
      </c>
      <c r="R22" s="147" t="str">
        <f>IF(A22="","",IF(posicao_contratual!$Y22="","",IF(posicao_contratual!$Y22&gt;4,"",posicao_contratual!U22)))</f>
        <v/>
      </c>
      <c r="S22" s="167" t="str">
        <f>IF(A22="","",posicao_contratual!G22)</f>
        <v/>
      </c>
      <c r="T22" s="167" t="str">
        <f>IF(A22="","",posicao_contratual!K22)</f>
        <v/>
      </c>
      <c r="U22" s="167" t="str">
        <f>IF(A22="","",posicao_contratual!O22)</f>
        <v/>
      </c>
      <c r="V22" s="167" t="str">
        <f>IF(A22="","",posicao_contratual!S22)</f>
        <v/>
      </c>
      <c r="W22" s="167" t="str">
        <f>IF(A22="","",posicao_contratual!W22)</f>
        <v/>
      </c>
    </row>
    <row r="23" spans="1:23" x14ac:dyDescent="0.35">
      <c r="A23" s="86" t="str">
        <f>IF(itens_Remanesc!A23="","",itens_Remanesc!A23)</f>
        <v/>
      </c>
      <c r="B23" s="85" t="str">
        <f>IF(A23="","",IF(posicao_contratual!$Y23="","",IF(posicao_contratual!$Y23&gt;0,"",posicao_contratual!G23)))</f>
        <v/>
      </c>
      <c r="C23" s="79" t="str">
        <f>IF(itens_Remanesc!A23="","",IF(posicao_contratual!$Y23="","",IF(posicao_contratual!$Y23&gt;0,"",itens_Remanesc!C23)))</f>
        <v/>
      </c>
      <c r="D23" s="79" t="str">
        <f>IF(OR($A23="",posicao_contratual!$Y23=""),"",IF(posicao_contratual!$Y23&gt;1,"",IF(NOT(ISNUMBER(itens_Remanesc!C23)),"",IF(posicao_contratual!$Y23=1,IF(IFERROR(IF(ISNUMBER(INDEX(aditivos!$O$2:$O$200,MATCH($A23,aditivos!$A$2:$A$200,0))),MIN(INDEX(aditivos!$O$2:$O$200,MATCH($A23,aditivos!$A$2:$A$200,0)),posicao_contratual!$Y23),posicao_contratual!$Y23),posicao_contratual!$Y23)=1,itens_Remanesc!C23,IFERROR(ROUND(itens_Remanesc!C23*INDEX($L$2:$L$6,MIN(1+1,COUNT($L$2:$L$6)))/INDEX($L$2:$L$6,MIN(IFERROR(IF(ISNUMBER(INDEX(aditivos!$O$2:$O$200,MATCH($A23,aditivos!$A$2:$A$200,0))),MIN(INDEX(aditivos!$O$2:$O$200,MATCH($A23,aditivos!$A$2:$A$200,0)),posicao_contratual!$Y23),posicao_contratual!$Y23),posicao_contratual!$Y23)+1,COUNT($L$2:$L$6))),2),"")),IF(OR(NOT(ISNUMBER($L$3)),NOT(ISNUMBER(INDEX($L$2:$L$6,IFERROR(IF(ISNUMBER(INDEX(aditivos!$O$2:$O$200,MATCH($A23,aditivos!$A$2:$A$200,0))),MIN(INDEX(aditivos!$O$2:$O$200,MATCH($A23,aditivos!$A$2:$A$200,0)),posicao_contratual!$Y23),posicao_contratual!$Y23),posicao_contratual!$Y23)+1)))),"",ROUND(itens_Remanesc!C23*$L$3/INDEX($L$2:$L$6,IFERROR(IF(ISNUMBER(INDEX(aditivos!$O$2:$O$200,MATCH($A23,aditivos!$A$2:$A$200,0))),MIN(INDEX(aditivos!$O$2:$O$200,MATCH($A23,aditivos!$A$2:$A$200,0)),posicao_contratual!$Y23),posicao_contratual!$Y23),posicao_contratual!$Y23)+1),2))))))</f>
        <v/>
      </c>
      <c r="E23" s="79" t="str">
        <f>IF(OR($A23="",posicao_contratual!$Y23=""),"",IF(posicao_contratual!$Y23&gt;2,"",IF(NOT(ISNUMBER(itens_Remanesc!C23)),"",IF(posicao_contratual!$Y23=2,IF(IFERROR(IF(ISNUMBER(INDEX(aditivos!$O$2:$O$200,MATCH($A23,aditivos!$A$2:$A$200,0))),MIN(INDEX(aditivos!$O$2:$O$200,MATCH($A23,aditivos!$A$2:$A$200,0)),posicao_contratual!$Y23),posicao_contratual!$Y23),posicao_contratual!$Y23)=2,itens_Remanesc!C23,IFERROR(ROUND(itens_Remanesc!C23*INDEX($L$2:$L$6,MIN(2+1,COUNT($L$2:$L$6)))/INDEX($L$2:$L$6,MIN(IFERROR(IF(ISNUMBER(INDEX(aditivos!$O$2:$O$200,MATCH($A23,aditivos!$A$2:$A$200,0))),MIN(INDEX(aditivos!$O$2:$O$200,MATCH($A23,aditivos!$A$2:$A$200,0)),posicao_contratual!$Y23),posicao_contratual!$Y23),posicao_contratual!$Y23)+1,COUNT($L$2:$L$6))),2),"")),IF(OR(NOT(ISNUMBER($L$4)),NOT(ISNUMBER(INDEX($L$2:$L$6,IFERROR(IF(ISNUMBER(INDEX(aditivos!$O$2:$O$200,MATCH($A23,aditivos!$A$2:$A$200,0))),MIN(INDEX(aditivos!$O$2:$O$200,MATCH($A23,aditivos!$A$2:$A$200,0)),posicao_contratual!$Y23),posicao_contratual!$Y23),posicao_contratual!$Y23)+1)))),"",ROUND(itens_Remanesc!C23*$L$4/INDEX($L$2:$L$6,IFERROR(IF(ISNUMBER(INDEX(aditivos!$O$2:$O$200,MATCH($A23,aditivos!$A$2:$A$200,0))),MIN(INDEX(aditivos!$O$2:$O$200,MATCH($A23,aditivos!$A$2:$A$200,0)),posicao_contratual!$Y23),posicao_contratual!$Y23),posicao_contratual!$Y23)+1),2))))))</f>
        <v/>
      </c>
      <c r="F23" s="79" t="str">
        <f>IF(OR($A23="",posicao_contratual!$Y23=""),"",IF(posicao_contratual!$Y23&gt;3,"",IF(NOT(ISNUMBER(itens_Remanesc!C23)),"",IF(posicao_contratual!$Y23=3,IF(IFERROR(IF(ISNUMBER(INDEX(aditivos!$O$2:$O$200,MATCH($A23,aditivos!$A$2:$A$200,0))),MIN(INDEX(aditivos!$O$2:$O$200,MATCH($A23,aditivos!$A$2:$A$200,0)),posicao_contratual!$Y23),posicao_contratual!$Y23),posicao_contratual!$Y23)=3,itens_Remanesc!C23,IFERROR(ROUND(itens_Remanesc!C23*INDEX($L$2:$L$6,MIN(3+1,COUNT($L$2:$L$6)))/INDEX($L$2:$L$6,MIN(IFERROR(IF(ISNUMBER(INDEX(aditivos!$O$2:$O$200,MATCH($A23,aditivos!$A$2:$A$200,0))),MIN(INDEX(aditivos!$O$2:$O$200,MATCH($A23,aditivos!$A$2:$A$200,0)),posicao_contratual!$Y23),posicao_contratual!$Y23),posicao_contratual!$Y23)+1,COUNT($L$2:$L$6))),2),"")),IF(OR(NOT(ISNUMBER($L$5)),NOT(ISNUMBER(INDEX($L$2:$L$6,IFERROR(IF(ISNUMBER(INDEX(aditivos!$O$2:$O$200,MATCH($A23,aditivos!$A$2:$A$200,0))),MIN(INDEX(aditivos!$O$2:$O$200,MATCH($A23,aditivos!$A$2:$A$200,0)),posicao_contratual!$Y23),posicao_contratual!$Y23),posicao_contratual!$Y23)+1)))),"",ROUND(itens_Remanesc!C23*$L$5/INDEX($L$2:$L$6,IFERROR(IF(ISNUMBER(INDEX(aditivos!$O$2:$O$200,MATCH($A23,aditivos!$A$2:$A$200,0))),MIN(INDEX(aditivos!$O$2:$O$200,MATCH($A23,aditivos!$A$2:$A$200,0)),posicao_contratual!$Y23),posicao_contratual!$Y23),posicao_contratual!$Y23)+1),2))))))</f>
        <v/>
      </c>
      <c r="G23" s="79" t="str">
        <f>IF(OR($A23="",posicao_contratual!$Y23=""),"",IF(posicao_contratual!$Y23&gt;4,"",IF(NOT(ISNUMBER(itens_Remanesc!C23)),"",IF(posicao_contratual!$Y23=4,IF(IFERROR(IF(ISNUMBER(INDEX(aditivos!$O$2:$O$200,MATCH($A23,aditivos!$A$2:$A$200,0))),MIN(INDEX(aditivos!$O$2:$O$200,MATCH($A23,aditivos!$A$2:$A$200,0)),posicao_contratual!$Y23),posicao_contratual!$Y23),posicao_contratual!$Y23)=4,itens_Remanesc!C23,IFERROR(ROUND(itens_Remanesc!C23*INDEX($L$2:$L$6,MIN(4+1,COUNT($L$2:$L$6)))/INDEX($L$2:$L$6,MIN(IFERROR(IF(ISNUMBER(INDEX(aditivos!$O$2:$O$200,MATCH($A23,aditivos!$A$2:$A$200,0))),MIN(INDEX(aditivos!$O$2:$O$200,MATCH($A23,aditivos!$A$2:$A$200,0)),posicao_contratual!$Y23),posicao_contratual!$Y23),posicao_contratual!$Y23)+1,COUNT($L$2:$L$6))),2),"")),IF(OR(NOT(ISNUMBER($L$6)),NOT(ISNUMBER(INDEX($L$2:$L$6,IFERROR(IF(ISNUMBER(INDEX(aditivos!$O$2:$O$200,MATCH($A23,aditivos!$A$2:$A$200,0))),MIN(INDEX(aditivos!$O$2:$O$200,MATCH($A23,aditivos!$A$2:$A$200,0)),posicao_contratual!$Y23),posicao_contratual!$Y23),posicao_contratual!$Y23)+1)))),"",ROUND(itens_Remanesc!C23*$L$6/INDEX($L$2:$L$6,IFERROR(IF(ISNUMBER(INDEX(aditivos!$O$2:$O$200,MATCH($A23,aditivos!$A$2:$A$200,0))),MIN(INDEX(aditivos!$O$2:$O$200,MATCH($A23,aditivos!$A$2:$A$200,0)),posicao_contratual!$Y23),posicao_contratual!$Y23),posicao_contratual!$Y23)+1),2))))))</f>
        <v/>
      </c>
      <c r="H23" s="116" t="str">
        <f t="shared" si="0"/>
        <v/>
      </c>
      <c r="I23" s="14"/>
      <c r="J23" s="14"/>
      <c r="K23" s="14"/>
      <c r="L23" s="14"/>
      <c r="M23" s="14"/>
      <c r="N23" s="147" t="str">
        <f>IF(A23="","",IF(posicao_contratual!$Y23="","",IF(posicao_contratual!$Y23&gt;0,"",posicao_contratual!E23)))</f>
        <v/>
      </c>
      <c r="O23" s="147" t="str">
        <f>IF(A23="","",IF(posicao_contratual!$Y23="","",IF(posicao_contratual!$Y23&gt;1,"",posicao_contratual!I23)))</f>
        <v/>
      </c>
      <c r="P23" s="147" t="str">
        <f>IF(A23="","",IF(posicao_contratual!$Y23="","",IF(posicao_contratual!$Y23&gt;2,"",posicao_contratual!M23)))</f>
        <v/>
      </c>
      <c r="Q23" s="147" t="str">
        <f>IF(A23="","",IF(posicao_contratual!$Y23="","",IF(posicao_contratual!$Y23&gt;3,"",posicao_contratual!Q23)))</f>
        <v/>
      </c>
      <c r="R23" s="147" t="str">
        <f>IF(A23="","",IF(posicao_contratual!$Y23="","",IF(posicao_contratual!$Y23&gt;4,"",posicao_contratual!U23)))</f>
        <v/>
      </c>
      <c r="S23" s="167" t="str">
        <f>IF(A23="","",posicao_contratual!G23)</f>
        <v/>
      </c>
      <c r="T23" s="167" t="str">
        <f>IF(A23="","",posicao_contratual!K23)</f>
        <v/>
      </c>
      <c r="U23" s="167" t="str">
        <f>IF(A23="","",posicao_contratual!O23)</f>
        <v/>
      </c>
      <c r="V23" s="167" t="str">
        <f>IF(A23="","",posicao_contratual!S23)</f>
        <v/>
      </c>
      <c r="W23" s="167" t="str">
        <f>IF(A23="","",posicao_contratual!W23)</f>
        <v/>
      </c>
    </row>
    <row r="24" spans="1:23" x14ac:dyDescent="0.35">
      <c r="A24" s="86" t="str">
        <f>IF(itens_Remanesc!A24="","",itens_Remanesc!A24)</f>
        <v/>
      </c>
      <c r="B24" s="85" t="str">
        <f>IF(A24="","",IF(posicao_contratual!$Y24="","",IF(posicao_contratual!$Y24&gt;0,"",posicao_contratual!G24)))</f>
        <v/>
      </c>
      <c r="C24" s="79" t="str">
        <f>IF(itens_Remanesc!A24="","",IF(posicao_contratual!$Y24="","",IF(posicao_contratual!$Y24&gt;0,"",itens_Remanesc!C24)))</f>
        <v/>
      </c>
      <c r="D24" s="79" t="str">
        <f>IF(OR($A24="",posicao_contratual!$Y24=""),"",IF(posicao_contratual!$Y24&gt;1,"",IF(NOT(ISNUMBER(itens_Remanesc!C24)),"",IF(posicao_contratual!$Y24=1,IF(IFERROR(IF(ISNUMBER(INDEX(aditivos!$O$2:$O$200,MATCH($A24,aditivos!$A$2:$A$200,0))),MIN(INDEX(aditivos!$O$2:$O$200,MATCH($A24,aditivos!$A$2:$A$200,0)),posicao_contratual!$Y24),posicao_contratual!$Y24),posicao_contratual!$Y24)=1,itens_Remanesc!C24,IFERROR(ROUND(itens_Remanesc!C24*INDEX($L$2:$L$6,MIN(1+1,COUNT($L$2:$L$6)))/INDEX($L$2:$L$6,MIN(IFERROR(IF(ISNUMBER(INDEX(aditivos!$O$2:$O$200,MATCH($A24,aditivos!$A$2:$A$200,0))),MIN(INDEX(aditivos!$O$2:$O$200,MATCH($A24,aditivos!$A$2:$A$200,0)),posicao_contratual!$Y24),posicao_contratual!$Y24),posicao_contratual!$Y24)+1,COUNT($L$2:$L$6))),2),"")),IF(OR(NOT(ISNUMBER($L$3)),NOT(ISNUMBER(INDEX($L$2:$L$6,IFERROR(IF(ISNUMBER(INDEX(aditivos!$O$2:$O$200,MATCH($A24,aditivos!$A$2:$A$200,0))),MIN(INDEX(aditivos!$O$2:$O$200,MATCH($A24,aditivos!$A$2:$A$200,0)),posicao_contratual!$Y24),posicao_contratual!$Y24),posicao_contratual!$Y24)+1)))),"",ROUND(itens_Remanesc!C24*$L$3/INDEX($L$2:$L$6,IFERROR(IF(ISNUMBER(INDEX(aditivos!$O$2:$O$200,MATCH($A24,aditivos!$A$2:$A$200,0))),MIN(INDEX(aditivos!$O$2:$O$200,MATCH($A24,aditivos!$A$2:$A$200,0)),posicao_contratual!$Y24),posicao_contratual!$Y24),posicao_contratual!$Y24)+1),2))))))</f>
        <v/>
      </c>
      <c r="E24" s="79" t="str">
        <f>IF(OR($A24="",posicao_contratual!$Y24=""),"",IF(posicao_contratual!$Y24&gt;2,"",IF(NOT(ISNUMBER(itens_Remanesc!C24)),"",IF(posicao_contratual!$Y24=2,IF(IFERROR(IF(ISNUMBER(INDEX(aditivos!$O$2:$O$200,MATCH($A24,aditivos!$A$2:$A$200,0))),MIN(INDEX(aditivos!$O$2:$O$200,MATCH($A24,aditivos!$A$2:$A$200,0)),posicao_contratual!$Y24),posicao_contratual!$Y24),posicao_contratual!$Y24)=2,itens_Remanesc!C24,IFERROR(ROUND(itens_Remanesc!C24*INDEX($L$2:$L$6,MIN(2+1,COUNT($L$2:$L$6)))/INDEX($L$2:$L$6,MIN(IFERROR(IF(ISNUMBER(INDEX(aditivos!$O$2:$O$200,MATCH($A24,aditivos!$A$2:$A$200,0))),MIN(INDEX(aditivos!$O$2:$O$200,MATCH($A24,aditivos!$A$2:$A$200,0)),posicao_contratual!$Y24),posicao_contratual!$Y24),posicao_contratual!$Y24)+1,COUNT($L$2:$L$6))),2),"")),IF(OR(NOT(ISNUMBER($L$4)),NOT(ISNUMBER(INDEX($L$2:$L$6,IFERROR(IF(ISNUMBER(INDEX(aditivos!$O$2:$O$200,MATCH($A24,aditivos!$A$2:$A$200,0))),MIN(INDEX(aditivos!$O$2:$O$200,MATCH($A24,aditivos!$A$2:$A$200,0)),posicao_contratual!$Y24),posicao_contratual!$Y24),posicao_contratual!$Y24)+1)))),"",ROUND(itens_Remanesc!C24*$L$4/INDEX($L$2:$L$6,IFERROR(IF(ISNUMBER(INDEX(aditivos!$O$2:$O$200,MATCH($A24,aditivos!$A$2:$A$200,0))),MIN(INDEX(aditivos!$O$2:$O$200,MATCH($A24,aditivos!$A$2:$A$200,0)),posicao_contratual!$Y24),posicao_contratual!$Y24),posicao_contratual!$Y24)+1),2))))))</f>
        <v/>
      </c>
      <c r="F24" s="79" t="str">
        <f>IF(OR($A24="",posicao_contratual!$Y24=""),"",IF(posicao_contratual!$Y24&gt;3,"",IF(NOT(ISNUMBER(itens_Remanesc!C24)),"",IF(posicao_contratual!$Y24=3,IF(IFERROR(IF(ISNUMBER(INDEX(aditivos!$O$2:$O$200,MATCH($A24,aditivos!$A$2:$A$200,0))),MIN(INDEX(aditivos!$O$2:$O$200,MATCH($A24,aditivos!$A$2:$A$200,0)),posicao_contratual!$Y24),posicao_contratual!$Y24),posicao_contratual!$Y24)=3,itens_Remanesc!C24,IFERROR(ROUND(itens_Remanesc!C24*INDEX($L$2:$L$6,MIN(3+1,COUNT($L$2:$L$6)))/INDEX($L$2:$L$6,MIN(IFERROR(IF(ISNUMBER(INDEX(aditivos!$O$2:$O$200,MATCH($A24,aditivos!$A$2:$A$200,0))),MIN(INDEX(aditivos!$O$2:$O$200,MATCH($A24,aditivos!$A$2:$A$200,0)),posicao_contratual!$Y24),posicao_contratual!$Y24),posicao_contratual!$Y24)+1,COUNT($L$2:$L$6))),2),"")),IF(OR(NOT(ISNUMBER($L$5)),NOT(ISNUMBER(INDEX($L$2:$L$6,IFERROR(IF(ISNUMBER(INDEX(aditivos!$O$2:$O$200,MATCH($A24,aditivos!$A$2:$A$200,0))),MIN(INDEX(aditivos!$O$2:$O$200,MATCH($A24,aditivos!$A$2:$A$200,0)),posicao_contratual!$Y24),posicao_contratual!$Y24),posicao_contratual!$Y24)+1)))),"",ROUND(itens_Remanesc!C24*$L$5/INDEX($L$2:$L$6,IFERROR(IF(ISNUMBER(INDEX(aditivos!$O$2:$O$200,MATCH($A24,aditivos!$A$2:$A$200,0))),MIN(INDEX(aditivos!$O$2:$O$200,MATCH($A24,aditivos!$A$2:$A$200,0)),posicao_contratual!$Y24),posicao_contratual!$Y24),posicao_contratual!$Y24)+1),2))))))</f>
        <v/>
      </c>
      <c r="G24" s="79" t="str">
        <f>IF(OR($A24="",posicao_contratual!$Y24=""),"",IF(posicao_contratual!$Y24&gt;4,"",IF(NOT(ISNUMBER(itens_Remanesc!C24)),"",IF(posicao_contratual!$Y24=4,IF(IFERROR(IF(ISNUMBER(INDEX(aditivos!$O$2:$O$200,MATCH($A24,aditivos!$A$2:$A$200,0))),MIN(INDEX(aditivos!$O$2:$O$200,MATCH($A24,aditivos!$A$2:$A$200,0)),posicao_contratual!$Y24),posicao_contratual!$Y24),posicao_contratual!$Y24)=4,itens_Remanesc!C24,IFERROR(ROUND(itens_Remanesc!C24*INDEX($L$2:$L$6,MIN(4+1,COUNT($L$2:$L$6)))/INDEX($L$2:$L$6,MIN(IFERROR(IF(ISNUMBER(INDEX(aditivos!$O$2:$O$200,MATCH($A24,aditivos!$A$2:$A$200,0))),MIN(INDEX(aditivos!$O$2:$O$200,MATCH($A24,aditivos!$A$2:$A$200,0)),posicao_contratual!$Y24),posicao_contratual!$Y24),posicao_contratual!$Y24)+1,COUNT($L$2:$L$6))),2),"")),IF(OR(NOT(ISNUMBER($L$6)),NOT(ISNUMBER(INDEX($L$2:$L$6,IFERROR(IF(ISNUMBER(INDEX(aditivos!$O$2:$O$200,MATCH($A24,aditivos!$A$2:$A$200,0))),MIN(INDEX(aditivos!$O$2:$O$200,MATCH($A24,aditivos!$A$2:$A$200,0)),posicao_contratual!$Y24),posicao_contratual!$Y24),posicao_contratual!$Y24)+1)))),"",ROUND(itens_Remanesc!C24*$L$6/INDEX($L$2:$L$6,IFERROR(IF(ISNUMBER(INDEX(aditivos!$O$2:$O$200,MATCH($A24,aditivos!$A$2:$A$200,0))),MIN(INDEX(aditivos!$O$2:$O$200,MATCH($A24,aditivos!$A$2:$A$200,0)),posicao_contratual!$Y24),posicao_contratual!$Y24),posicao_contratual!$Y24)+1),2))))))</f>
        <v/>
      </c>
      <c r="H24" s="116" t="str">
        <f t="shared" si="0"/>
        <v/>
      </c>
      <c r="I24" s="14"/>
      <c r="J24" s="14"/>
      <c r="K24" s="14"/>
      <c r="L24" s="14"/>
      <c r="M24" s="14"/>
      <c r="N24" s="147" t="str">
        <f>IF(A24="","",IF(posicao_contratual!$Y24="","",IF(posicao_contratual!$Y24&gt;0,"",posicao_contratual!E24)))</f>
        <v/>
      </c>
      <c r="O24" s="147" t="str">
        <f>IF(A24="","",IF(posicao_contratual!$Y24="","",IF(posicao_contratual!$Y24&gt;1,"",posicao_contratual!I24)))</f>
        <v/>
      </c>
      <c r="P24" s="147" t="str">
        <f>IF(A24="","",IF(posicao_contratual!$Y24="","",IF(posicao_contratual!$Y24&gt;2,"",posicao_contratual!M24)))</f>
        <v/>
      </c>
      <c r="Q24" s="147" t="str">
        <f>IF(A24="","",IF(posicao_contratual!$Y24="","",IF(posicao_contratual!$Y24&gt;3,"",posicao_contratual!Q24)))</f>
        <v/>
      </c>
      <c r="R24" s="147" t="str">
        <f>IF(A24="","",IF(posicao_contratual!$Y24="","",IF(posicao_contratual!$Y24&gt;4,"",posicao_contratual!U24)))</f>
        <v/>
      </c>
      <c r="S24" s="167" t="str">
        <f>IF(A24="","",posicao_contratual!G24)</f>
        <v/>
      </c>
      <c r="T24" s="167" t="str">
        <f>IF(A24="","",posicao_contratual!K24)</f>
        <v/>
      </c>
      <c r="U24" s="167" t="str">
        <f>IF(A24="","",posicao_contratual!O24)</f>
        <v/>
      </c>
      <c r="V24" s="167" t="str">
        <f>IF(A24="","",posicao_contratual!S24)</f>
        <v/>
      </c>
      <c r="W24" s="167" t="str">
        <f>IF(A24="","",posicao_contratual!W24)</f>
        <v/>
      </c>
    </row>
    <row r="25" spans="1:23" x14ac:dyDescent="0.35">
      <c r="A25" s="86" t="str">
        <f>IF(itens_Remanesc!A25="","",itens_Remanesc!A25)</f>
        <v/>
      </c>
      <c r="B25" s="85" t="str">
        <f>IF(A25="","",IF(posicao_contratual!$Y25="","",IF(posicao_contratual!$Y25&gt;0,"",posicao_contratual!G25)))</f>
        <v/>
      </c>
      <c r="C25" s="79" t="str">
        <f>IF(itens_Remanesc!A25="","",IF(posicao_contratual!$Y25="","",IF(posicao_contratual!$Y25&gt;0,"",itens_Remanesc!C25)))</f>
        <v/>
      </c>
      <c r="D25" s="79" t="str">
        <f>IF(OR($A25="",posicao_contratual!$Y25=""),"",IF(posicao_contratual!$Y25&gt;1,"",IF(NOT(ISNUMBER(itens_Remanesc!C25)),"",IF(posicao_contratual!$Y25=1,IF(IFERROR(IF(ISNUMBER(INDEX(aditivos!$O$2:$O$200,MATCH($A25,aditivos!$A$2:$A$200,0))),MIN(INDEX(aditivos!$O$2:$O$200,MATCH($A25,aditivos!$A$2:$A$200,0)),posicao_contratual!$Y25),posicao_contratual!$Y25),posicao_contratual!$Y25)=1,itens_Remanesc!C25,IFERROR(ROUND(itens_Remanesc!C25*INDEX($L$2:$L$6,MIN(1+1,COUNT($L$2:$L$6)))/INDEX($L$2:$L$6,MIN(IFERROR(IF(ISNUMBER(INDEX(aditivos!$O$2:$O$200,MATCH($A25,aditivos!$A$2:$A$200,0))),MIN(INDEX(aditivos!$O$2:$O$200,MATCH($A25,aditivos!$A$2:$A$200,0)),posicao_contratual!$Y25),posicao_contratual!$Y25),posicao_contratual!$Y25)+1,COUNT($L$2:$L$6))),2),"")),IF(OR(NOT(ISNUMBER($L$3)),NOT(ISNUMBER(INDEX($L$2:$L$6,IFERROR(IF(ISNUMBER(INDEX(aditivos!$O$2:$O$200,MATCH($A25,aditivos!$A$2:$A$200,0))),MIN(INDEX(aditivos!$O$2:$O$200,MATCH($A25,aditivos!$A$2:$A$200,0)),posicao_contratual!$Y25),posicao_contratual!$Y25),posicao_contratual!$Y25)+1)))),"",ROUND(itens_Remanesc!C25*$L$3/INDEX($L$2:$L$6,IFERROR(IF(ISNUMBER(INDEX(aditivos!$O$2:$O$200,MATCH($A25,aditivos!$A$2:$A$200,0))),MIN(INDEX(aditivos!$O$2:$O$200,MATCH($A25,aditivos!$A$2:$A$200,0)),posicao_contratual!$Y25),posicao_contratual!$Y25),posicao_contratual!$Y25)+1),2))))))</f>
        <v/>
      </c>
      <c r="E25" s="79" t="str">
        <f>IF(OR($A25="",posicao_contratual!$Y25=""),"",IF(posicao_contratual!$Y25&gt;2,"",IF(NOT(ISNUMBER(itens_Remanesc!C25)),"",IF(posicao_contratual!$Y25=2,IF(IFERROR(IF(ISNUMBER(INDEX(aditivos!$O$2:$O$200,MATCH($A25,aditivos!$A$2:$A$200,0))),MIN(INDEX(aditivos!$O$2:$O$200,MATCH($A25,aditivos!$A$2:$A$200,0)),posicao_contratual!$Y25),posicao_contratual!$Y25),posicao_contratual!$Y25)=2,itens_Remanesc!C25,IFERROR(ROUND(itens_Remanesc!C25*INDEX($L$2:$L$6,MIN(2+1,COUNT($L$2:$L$6)))/INDEX($L$2:$L$6,MIN(IFERROR(IF(ISNUMBER(INDEX(aditivos!$O$2:$O$200,MATCH($A25,aditivos!$A$2:$A$200,0))),MIN(INDEX(aditivos!$O$2:$O$200,MATCH($A25,aditivos!$A$2:$A$200,0)),posicao_contratual!$Y25),posicao_contratual!$Y25),posicao_contratual!$Y25)+1,COUNT($L$2:$L$6))),2),"")),IF(OR(NOT(ISNUMBER($L$4)),NOT(ISNUMBER(INDEX($L$2:$L$6,IFERROR(IF(ISNUMBER(INDEX(aditivos!$O$2:$O$200,MATCH($A25,aditivos!$A$2:$A$200,0))),MIN(INDEX(aditivos!$O$2:$O$200,MATCH($A25,aditivos!$A$2:$A$200,0)),posicao_contratual!$Y25),posicao_contratual!$Y25),posicao_contratual!$Y25)+1)))),"",ROUND(itens_Remanesc!C25*$L$4/INDEX($L$2:$L$6,IFERROR(IF(ISNUMBER(INDEX(aditivos!$O$2:$O$200,MATCH($A25,aditivos!$A$2:$A$200,0))),MIN(INDEX(aditivos!$O$2:$O$200,MATCH($A25,aditivos!$A$2:$A$200,0)),posicao_contratual!$Y25),posicao_contratual!$Y25),posicao_contratual!$Y25)+1),2))))))</f>
        <v/>
      </c>
      <c r="F25" s="79" t="str">
        <f>IF(OR($A25="",posicao_contratual!$Y25=""),"",IF(posicao_contratual!$Y25&gt;3,"",IF(NOT(ISNUMBER(itens_Remanesc!C25)),"",IF(posicao_contratual!$Y25=3,IF(IFERROR(IF(ISNUMBER(INDEX(aditivos!$O$2:$O$200,MATCH($A25,aditivos!$A$2:$A$200,0))),MIN(INDEX(aditivos!$O$2:$O$200,MATCH($A25,aditivos!$A$2:$A$200,0)),posicao_contratual!$Y25),posicao_contratual!$Y25),posicao_contratual!$Y25)=3,itens_Remanesc!C25,IFERROR(ROUND(itens_Remanesc!C25*INDEX($L$2:$L$6,MIN(3+1,COUNT($L$2:$L$6)))/INDEX($L$2:$L$6,MIN(IFERROR(IF(ISNUMBER(INDEX(aditivos!$O$2:$O$200,MATCH($A25,aditivos!$A$2:$A$200,0))),MIN(INDEX(aditivos!$O$2:$O$200,MATCH($A25,aditivos!$A$2:$A$200,0)),posicao_contratual!$Y25),posicao_contratual!$Y25),posicao_contratual!$Y25)+1,COUNT($L$2:$L$6))),2),"")),IF(OR(NOT(ISNUMBER($L$5)),NOT(ISNUMBER(INDEX($L$2:$L$6,IFERROR(IF(ISNUMBER(INDEX(aditivos!$O$2:$O$200,MATCH($A25,aditivos!$A$2:$A$200,0))),MIN(INDEX(aditivos!$O$2:$O$200,MATCH($A25,aditivos!$A$2:$A$200,0)),posicao_contratual!$Y25),posicao_contratual!$Y25),posicao_contratual!$Y25)+1)))),"",ROUND(itens_Remanesc!C25*$L$5/INDEX($L$2:$L$6,IFERROR(IF(ISNUMBER(INDEX(aditivos!$O$2:$O$200,MATCH($A25,aditivos!$A$2:$A$200,0))),MIN(INDEX(aditivos!$O$2:$O$200,MATCH($A25,aditivos!$A$2:$A$200,0)),posicao_contratual!$Y25),posicao_contratual!$Y25),posicao_contratual!$Y25)+1),2))))))</f>
        <v/>
      </c>
      <c r="G25" s="79" t="str">
        <f>IF(OR($A25="",posicao_contratual!$Y25=""),"",IF(posicao_contratual!$Y25&gt;4,"",IF(NOT(ISNUMBER(itens_Remanesc!C25)),"",IF(posicao_contratual!$Y25=4,IF(IFERROR(IF(ISNUMBER(INDEX(aditivos!$O$2:$O$200,MATCH($A25,aditivos!$A$2:$A$200,0))),MIN(INDEX(aditivos!$O$2:$O$200,MATCH($A25,aditivos!$A$2:$A$200,0)),posicao_contratual!$Y25),posicao_contratual!$Y25),posicao_contratual!$Y25)=4,itens_Remanesc!C25,IFERROR(ROUND(itens_Remanesc!C25*INDEX($L$2:$L$6,MIN(4+1,COUNT($L$2:$L$6)))/INDEX($L$2:$L$6,MIN(IFERROR(IF(ISNUMBER(INDEX(aditivos!$O$2:$O$200,MATCH($A25,aditivos!$A$2:$A$200,0))),MIN(INDEX(aditivos!$O$2:$O$200,MATCH($A25,aditivos!$A$2:$A$200,0)),posicao_contratual!$Y25),posicao_contratual!$Y25),posicao_contratual!$Y25)+1,COUNT($L$2:$L$6))),2),"")),IF(OR(NOT(ISNUMBER($L$6)),NOT(ISNUMBER(INDEX($L$2:$L$6,IFERROR(IF(ISNUMBER(INDEX(aditivos!$O$2:$O$200,MATCH($A25,aditivos!$A$2:$A$200,0))),MIN(INDEX(aditivos!$O$2:$O$200,MATCH($A25,aditivos!$A$2:$A$200,0)),posicao_contratual!$Y25),posicao_contratual!$Y25),posicao_contratual!$Y25)+1)))),"",ROUND(itens_Remanesc!C25*$L$6/INDEX($L$2:$L$6,IFERROR(IF(ISNUMBER(INDEX(aditivos!$O$2:$O$200,MATCH($A25,aditivos!$A$2:$A$200,0))),MIN(INDEX(aditivos!$O$2:$O$200,MATCH($A25,aditivos!$A$2:$A$200,0)),posicao_contratual!$Y25),posicao_contratual!$Y25),posicao_contratual!$Y25)+1),2))))))</f>
        <v/>
      </c>
      <c r="H25" s="116" t="str">
        <f t="shared" si="0"/>
        <v/>
      </c>
      <c r="I25" s="14"/>
      <c r="J25" s="14"/>
      <c r="K25" s="14"/>
      <c r="L25" s="14"/>
      <c r="M25" s="14"/>
      <c r="N25" s="147" t="str">
        <f>IF(A25="","",IF(posicao_contratual!$Y25="","",IF(posicao_contratual!$Y25&gt;0,"",posicao_contratual!E25)))</f>
        <v/>
      </c>
      <c r="O25" s="147" t="str">
        <f>IF(A25="","",IF(posicao_contratual!$Y25="","",IF(posicao_contratual!$Y25&gt;1,"",posicao_contratual!I25)))</f>
        <v/>
      </c>
      <c r="P25" s="147" t="str">
        <f>IF(A25="","",IF(posicao_contratual!$Y25="","",IF(posicao_contratual!$Y25&gt;2,"",posicao_contratual!M25)))</f>
        <v/>
      </c>
      <c r="Q25" s="147" t="str">
        <f>IF(A25="","",IF(posicao_contratual!$Y25="","",IF(posicao_contratual!$Y25&gt;3,"",posicao_contratual!Q25)))</f>
        <v/>
      </c>
      <c r="R25" s="147" t="str">
        <f>IF(A25="","",IF(posicao_contratual!$Y25="","",IF(posicao_contratual!$Y25&gt;4,"",posicao_contratual!U25)))</f>
        <v/>
      </c>
      <c r="S25" s="167" t="str">
        <f>IF(A25="","",posicao_contratual!G25)</f>
        <v/>
      </c>
      <c r="T25" s="167" t="str">
        <f>IF(A25="","",posicao_contratual!K25)</f>
        <v/>
      </c>
      <c r="U25" s="167" t="str">
        <f>IF(A25="","",posicao_contratual!O25)</f>
        <v/>
      </c>
      <c r="V25" s="167" t="str">
        <f>IF(A25="","",posicao_contratual!S25)</f>
        <v/>
      </c>
      <c r="W25" s="167" t="str">
        <f>IF(A25="","",posicao_contratual!W25)</f>
        <v/>
      </c>
    </row>
    <row r="26" spans="1:23" x14ac:dyDescent="0.35">
      <c r="A26" s="86" t="str">
        <f>IF(itens_Remanesc!A26="","",itens_Remanesc!A26)</f>
        <v/>
      </c>
      <c r="B26" s="85" t="str">
        <f>IF(A26="","",IF(posicao_contratual!$Y26="","",IF(posicao_contratual!$Y26&gt;0,"",posicao_contratual!G26)))</f>
        <v/>
      </c>
      <c r="C26" s="79" t="str">
        <f>IF(itens_Remanesc!A26="","",IF(posicao_contratual!$Y26="","",IF(posicao_contratual!$Y26&gt;0,"",itens_Remanesc!C26)))</f>
        <v/>
      </c>
      <c r="D26" s="79" t="str">
        <f>IF(OR($A26="",posicao_contratual!$Y26=""),"",IF(posicao_contratual!$Y26&gt;1,"",IF(NOT(ISNUMBER(itens_Remanesc!C26)),"",IF(posicao_contratual!$Y26=1,IF(IFERROR(IF(ISNUMBER(INDEX(aditivos!$O$2:$O$200,MATCH($A26,aditivos!$A$2:$A$200,0))),MIN(INDEX(aditivos!$O$2:$O$200,MATCH($A26,aditivos!$A$2:$A$200,0)),posicao_contratual!$Y26),posicao_contratual!$Y26),posicao_contratual!$Y26)=1,itens_Remanesc!C26,IFERROR(ROUND(itens_Remanesc!C26*INDEX($L$2:$L$6,MIN(1+1,COUNT($L$2:$L$6)))/INDEX($L$2:$L$6,MIN(IFERROR(IF(ISNUMBER(INDEX(aditivos!$O$2:$O$200,MATCH($A26,aditivos!$A$2:$A$200,0))),MIN(INDEX(aditivos!$O$2:$O$200,MATCH($A26,aditivos!$A$2:$A$200,0)),posicao_contratual!$Y26),posicao_contratual!$Y26),posicao_contratual!$Y26)+1,COUNT($L$2:$L$6))),2),"")),IF(OR(NOT(ISNUMBER($L$3)),NOT(ISNUMBER(INDEX($L$2:$L$6,IFERROR(IF(ISNUMBER(INDEX(aditivos!$O$2:$O$200,MATCH($A26,aditivos!$A$2:$A$200,0))),MIN(INDEX(aditivos!$O$2:$O$200,MATCH($A26,aditivos!$A$2:$A$200,0)),posicao_contratual!$Y26),posicao_contratual!$Y26),posicao_contratual!$Y26)+1)))),"",ROUND(itens_Remanesc!C26*$L$3/INDEX($L$2:$L$6,IFERROR(IF(ISNUMBER(INDEX(aditivos!$O$2:$O$200,MATCH($A26,aditivos!$A$2:$A$200,0))),MIN(INDEX(aditivos!$O$2:$O$200,MATCH($A26,aditivos!$A$2:$A$200,0)),posicao_contratual!$Y26),posicao_contratual!$Y26),posicao_contratual!$Y26)+1),2))))))</f>
        <v/>
      </c>
      <c r="E26" s="79" t="str">
        <f>IF(OR($A26="",posicao_contratual!$Y26=""),"",IF(posicao_contratual!$Y26&gt;2,"",IF(NOT(ISNUMBER(itens_Remanesc!C26)),"",IF(posicao_contratual!$Y26=2,IF(IFERROR(IF(ISNUMBER(INDEX(aditivos!$O$2:$O$200,MATCH($A26,aditivos!$A$2:$A$200,0))),MIN(INDEX(aditivos!$O$2:$O$200,MATCH($A26,aditivos!$A$2:$A$200,0)),posicao_contratual!$Y26),posicao_contratual!$Y26),posicao_contratual!$Y26)=2,itens_Remanesc!C26,IFERROR(ROUND(itens_Remanesc!C26*INDEX($L$2:$L$6,MIN(2+1,COUNT($L$2:$L$6)))/INDEX($L$2:$L$6,MIN(IFERROR(IF(ISNUMBER(INDEX(aditivos!$O$2:$O$200,MATCH($A26,aditivos!$A$2:$A$200,0))),MIN(INDEX(aditivos!$O$2:$O$200,MATCH($A26,aditivos!$A$2:$A$200,0)),posicao_contratual!$Y26),posicao_contratual!$Y26),posicao_contratual!$Y26)+1,COUNT($L$2:$L$6))),2),"")),IF(OR(NOT(ISNUMBER($L$4)),NOT(ISNUMBER(INDEX($L$2:$L$6,IFERROR(IF(ISNUMBER(INDEX(aditivos!$O$2:$O$200,MATCH($A26,aditivos!$A$2:$A$200,0))),MIN(INDEX(aditivos!$O$2:$O$200,MATCH($A26,aditivos!$A$2:$A$200,0)),posicao_contratual!$Y26),posicao_contratual!$Y26),posicao_contratual!$Y26)+1)))),"",ROUND(itens_Remanesc!C26*$L$4/INDEX($L$2:$L$6,IFERROR(IF(ISNUMBER(INDEX(aditivos!$O$2:$O$200,MATCH($A26,aditivos!$A$2:$A$200,0))),MIN(INDEX(aditivos!$O$2:$O$200,MATCH($A26,aditivos!$A$2:$A$200,0)),posicao_contratual!$Y26),posicao_contratual!$Y26),posicao_contratual!$Y26)+1),2))))))</f>
        <v/>
      </c>
      <c r="F26" s="79" t="str">
        <f>IF(OR($A26="",posicao_contratual!$Y26=""),"",IF(posicao_contratual!$Y26&gt;3,"",IF(NOT(ISNUMBER(itens_Remanesc!C26)),"",IF(posicao_contratual!$Y26=3,IF(IFERROR(IF(ISNUMBER(INDEX(aditivos!$O$2:$O$200,MATCH($A26,aditivos!$A$2:$A$200,0))),MIN(INDEX(aditivos!$O$2:$O$200,MATCH($A26,aditivos!$A$2:$A$200,0)),posicao_contratual!$Y26),posicao_contratual!$Y26),posicao_contratual!$Y26)=3,itens_Remanesc!C26,IFERROR(ROUND(itens_Remanesc!C26*INDEX($L$2:$L$6,MIN(3+1,COUNT($L$2:$L$6)))/INDEX($L$2:$L$6,MIN(IFERROR(IF(ISNUMBER(INDEX(aditivos!$O$2:$O$200,MATCH($A26,aditivos!$A$2:$A$200,0))),MIN(INDEX(aditivos!$O$2:$O$200,MATCH($A26,aditivos!$A$2:$A$200,0)),posicao_contratual!$Y26),posicao_contratual!$Y26),posicao_contratual!$Y26)+1,COUNT($L$2:$L$6))),2),"")),IF(OR(NOT(ISNUMBER($L$5)),NOT(ISNUMBER(INDEX($L$2:$L$6,IFERROR(IF(ISNUMBER(INDEX(aditivos!$O$2:$O$200,MATCH($A26,aditivos!$A$2:$A$200,0))),MIN(INDEX(aditivos!$O$2:$O$200,MATCH($A26,aditivos!$A$2:$A$200,0)),posicao_contratual!$Y26),posicao_contratual!$Y26),posicao_contratual!$Y26)+1)))),"",ROUND(itens_Remanesc!C26*$L$5/INDEX($L$2:$L$6,IFERROR(IF(ISNUMBER(INDEX(aditivos!$O$2:$O$200,MATCH($A26,aditivos!$A$2:$A$200,0))),MIN(INDEX(aditivos!$O$2:$O$200,MATCH($A26,aditivos!$A$2:$A$200,0)),posicao_contratual!$Y26),posicao_contratual!$Y26),posicao_contratual!$Y26)+1),2))))))</f>
        <v/>
      </c>
      <c r="G26" s="79" t="str">
        <f>IF(OR($A26="",posicao_contratual!$Y26=""),"",IF(posicao_contratual!$Y26&gt;4,"",IF(NOT(ISNUMBER(itens_Remanesc!C26)),"",IF(posicao_contratual!$Y26=4,IF(IFERROR(IF(ISNUMBER(INDEX(aditivos!$O$2:$O$200,MATCH($A26,aditivos!$A$2:$A$200,0))),MIN(INDEX(aditivos!$O$2:$O$200,MATCH($A26,aditivos!$A$2:$A$200,0)),posicao_contratual!$Y26),posicao_contratual!$Y26),posicao_contratual!$Y26)=4,itens_Remanesc!C26,IFERROR(ROUND(itens_Remanesc!C26*INDEX($L$2:$L$6,MIN(4+1,COUNT($L$2:$L$6)))/INDEX($L$2:$L$6,MIN(IFERROR(IF(ISNUMBER(INDEX(aditivos!$O$2:$O$200,MATCH($A26,aditivos!$A$2:$A$200,0))),MIN(INDEX(aditivos!$O$2:$O$200,MATCH($A26,aditivos!$A$2:$A$200,0)),posicao_contratual!$Y26),posicao_contratual!$Y26),posicao_contratual!$Y26)+1,COUNT($L$2:$L$6))),2),"")),IF(OR(NOT(ISNUMBER($L$6)),NOT(ISNUMBER(INDEX($L$2:$L$6,IFERROR(IF(ISNUMBER(INDEX(aditivos!$O$2:$O$200,MATCH($A26,aditivos!$A$2:$A$200,0))),MIN(INDEX(aditivos!$O$2:$O$200,MATCH($A26,aditivos!$A$2:$A$200,0)),posicao_contratual!$Y26),posicao_contratual!$Y26),posicao_contratual!$Y26)+1)))),"",ROUND(itens_Remanesc!C26*$L$6/INDEX($L$2:$L$6,IFERROR(IF(ISNUMBER(INDEX(aditivos!$O$2:$O$200,MATCH($A26,aditivos!$A$2:$A$200,0))),MIN(INDEX(aditivos!$O$2:$O$200,MATCH($A26,aditivos!$A$2:$A$200,0)),posicao_contratual!$Y26),posicao_contratual!$Y26),posicao_contratual!$Y26)+1),2))))))</f>
        <v/>
      </c>
      <c r="H26" s="116" t="str">
        <f t="shared" si="0"/>
        <v/>
      </c>
      <c r="I26" s="14"/>
      <c r="J26" s="14"/>
      <c r="K26" s="14"/>
      <c r="L26" s="14"/>
      <c r="M26" s="14"/>
      <c r="N26" s="147" t="str">
        <f>IF(A26="","",IF(posicao_contratual!$Y26="","",IF(posicao_contratual!$Y26&gt;0,"",posicao_contratual!E26)))</f>
        <v/>
      </c>
      <c r="O26" s="147" t="str">
        <f>IF(A26="","",IF(posicao_contratual!$Y26="","",IF(posicao_contratual!$Y26&gt;1,"",posicao_contratual!I26)))</f>
        <v/>
      </c>
      <c r="P26" s="147" t="str">
        <f>IF(A26="","",IF(posicao_contratual!$Y26="","",IF(posicao_contratual!$Y26&gt;2,"",posicao_contratual!M26)))</f>
        <v/>
      </c>
      <c r="Q26" s="147" t="str">
        <f>IF(A26="","",IF(posicao_contratual!$Y26="","",IF(posicao_contratual!$Y26&gt;3,"",posicao_contratual!Q26)))</f>
        <v/>
      </c>
      <c r="R26" s="147" t="str">
        <f>IF(A26="","",IF(posicao_contratual!$Y26="","",IF(posicao_contratual!$Y26&gt;4,"",posicao_contratual!U26)))</f>
        <v/>
      </c>
      <c r="S26" s="167" t="str">
        <f>IF(A26="","",posicao_contratual!G26)</f>
        <v/>
      </c>
      <c r="T26" s="167" t="str">
        <f>IF(A26="","",posicao_contratual!K26)</f>
        <v/>
      </c>
      <c r="U26" s="167" t="str">
        <f>IF(A26="","",posicao_contratual!O26)</f>
        <v/>
      </c>
      <c r="V26" s="167" t="str">
        <f>IF(A26="","",posicao_contratual!S26)</f>
        <v/>
      </c>
      <c r="W26" s="167" t="str">
        <f>IF(A26="","",posicao_contratual!W26)</f>
        <v/>
      </c>
    </row>
    <row r="27" spans="1:23" x14ac:dyDescent="0.35">
      <c r="A27" s="86" t="str">
        <f>IF(itens_Remanesc!A27="","",itens_Remanesc!A27)</f>
        <v/>
      </c>
      <c r="B27" s="85" t="str">
        <f>IF(A27="","",IF(posicao_contratual!$Y27="","",IF(posicao_contratual!$Y27&gt;0,"",posicao_contratual!G27)))</f>
        <v/>
      </c>
      <c r="C27" s="79" t="str">
        <f>IF(itens_Remanesc!A27="","",IF(posicao_contratual!$Y27="","",IF(posicao_contratual!$Y27&gt;0,"",itens_Remanesc!C27)))</f>
        <v/>
      </c>
      <c r="D27" s="79" t="str">
        <f>IF(OR($A27="",posicao_contratual!$Y27=""),"",IF(posicao_contratual!$Y27&gt;1,"",IF(NOT(ISNUMBER(itens_Remanesc!C27)),"",IF(posicao_contratual!$Y27=1,IF(IFERROR(IF(ISNUMBER(INDEX(aditivos!$O$2:$O$200,MATCH($A27,aditivos!$A$2:$A$200,0))),MIN(INDEX(aditivos!$O$2:$O$200,MATCH($A27,aditivos!$A$2:$A$200,0)),posicao_contratual!$Y27),posicao_contratual!$Y27),posicao_contratual!$Y27)=1,itens_Remanesc!C27,IFERROR(ROUND(itens_Remanesc!C27*INDEX($L$2:$L$6,MIN(1+1,COUNT($L$2:$L$6)))/INDEX($L$2:$L$6,MIN(IFERROR(IF(ISNUMBER(INDEX(aditivos!$O$2:$O$200,MATCH($A27,aditivos!$A$2:$A$200,0))),MIN(INDEX(aditivos!$O$2:$O$200,MATCH($A27,aditivos!$A$2:$A$200,0)),posicao_contratual!$Y27),posicao_contratual!$Y27),posicao_contratual!$Y27)+1,COUNT($L$2:$L$6))),2),"")),IF(OR(NOT(ISNUMBER($L$3)),NOT(ISNUMBER(INDEX($L$2:$L$6,IFERROR(IF(ISNUMBER(INDEX(aditivos!$O$2:$O$200,MATCH($A27,aditivos!$A$2:$A$200,0))),MIN(INDEX(aditivos!$O$2:$O$200,MATCH($A27,aditivos!$A$2:$A$200,0)),posicao_contratual!$Y27),posicao_contratual!$Y27),posicao_contratual!$Y27)+1)))),"",ROUND(itens_Remanesc!C27*$L$3/INDEX($L$2:$L$6,IFERROR(IF(ISNUMBER(INDEX(aditivos!$O$2:$O$200,MATCH($A27,aditivos!$A$2:$A$200,0))),MIN(INDEX(aditivos!$O$2:$O$200,MATCH($A27,aditivos!$A$2:$A$200,0)),posicao_contratual!$Y27),posicao_contratual!$Y27),posicao_contratual!$Y27)+1),2))))))</f>
        <v/>
      </c>
      <c r="E27" s="79" t="str">
        <f>IF(OR($A27="",posicao_contratual!$Y27=""),"",IF(posicao_contratual!$Y27&gt;2,"",IF(NOT(ISNUMBER(itens_Remanesc!C27)),"",IF(posicao_contratual!$Y27=2,IF(IFERROR(IF(ISNUMBER(INDEX(aditivos!$O$2:$O$200,MATCH($A27,aditivos!$A$2:$A$200,0))),MIN(INDEX(aditivos!$O$2:$O$200,MATCH($A27,aditivos!$A$2:$A$200,0)),posicao_contratual!$Y27),posicao_contratual!$Y27),posicao_contratual!$Y27)=2,itens_Remanesc!C27,IFERROR(ROUND(itens_Remanesc!C27*INDEX($L$2:$L$6,MIN(2+1,COUNT($L$2:$L$6)))/INDEX($L$2:$L$6,MIN(IFERROR(IF(ISNUMBER(INDEX(aditivos!$O$2:$O$200,MATCH($A27,aditivos!$A$2:$A$200,0))),MIN(INDEX(aditivos!$O$2:$O$200,MATCH($A27,aditivos!$A$2:$A$200,0)),posicao_contratual!$Y27),posicao_contratual!$Y27),posicao_contratual!$Y27)+1,COUNT($L$2:$L$6))),2),"")),IF(OR(NOT(ISNUMBER($L$4)),NOT(ISNUMBER(INDEX($L$2:$L$6,IFERROR(IF(ISNUMBER(INDEX(aditivos!$O$2:$O$200,MATCH($A27,aditivos!$A$2:$A$200,0))),MIN(INDEX(aditivos!$O$2:$O$200,MATCH($A27,aditivos!$A$2:$A$200,0)),posicao_contratual!$Y27),posicao_contratual!$Y27),posicao_contratual!$Y27)+1)))),"",ROUND(itens_Remanesc!C27*$L$4/INDEX($L$2:$L$6,IFERROR(IF(ISNUMBER(INDEX(aditivos!$O$2:$O$200,MATCH($A27,aditivos!$A$2:$A$200,0))),MIN(INDEX(aditivos!$O$2:$O$200,MATCH($A27,aditivos!$A$2:$A$200,0)),posicao_contratual!$Y27),posicao_contratual!$Y27),posicao_contratual!$Y27)+1),2))))))</f>
        <v/>
      </c>
      <c r="F27" s="79" t="str">
        <f>IF(OR($A27="",posicao_contratual!$Y27=""),"",IF(posicao_contratual!$Y27&gt;3,"",IF(NOT(ISNUMBER(itens_Remanesc!C27)),"",IF(posicao_contratual!$Y27=3,IF(IFERROR(IF(ISNUMBER(INDEX(aditivos!$O$2:$O$200,MATCH($A27,aditivos!$A$2:$A$200,0))),MIN(INDEX(aditivos!$O$2:$O$200,MATCH($A27,aditivos!$A$2:$A$200,0)),posicao_contratual!$Y27),posicao_contratual!$Y27),posicao_contratual!$Y27)=3,itens_Remanesc!C27,IFERROR(ROUND(itens_Remanesc!C27*INDEX($L$2:$L$6,MIN(3+1,COUNT($L$2:$L$6)))/INDEX($L$2:$L$6,MIN(IFERROR(IF(ISNUMBER(INDEX(aditivos!$O$2:$O$200,MATCH($A27,aditivos!$A$2:$A$200,0))),MIN(INDEX(aditivos!$O$2:$O$200,MATCH($A27,aditivos!$A$2:$A$200,0)),posicao_contratual!$Y27),posicao_contratual!$Y27),posicao_contratual!$Y27)+1,COUNT($L$2:$L$6))),2),"")),IF(OR(NOT(ISNUMBER($L$5)),NOT(ISNUMBER(INDEX($L$2:$L$6,IFERROR(IF(ISNUMBER(INDEX(aditivos!$O$2:$O$200,MATCH($A27,aditivos!$A$2:$A$200,0))),MIN(INDEX(aditivos!$O$2:$O$200,MATCH($A27,aditivos!$A$2:$A$200,0)),posicao_contratual!$Y27),posicao_contratual!$Y27),posicao_contratual!$Y27)+1)))),"",ROUND(itens_Remanesc!C27*$L$5/INDEX($L$2:$L$6,IFERROR(IF(ISNUMBER(INDEX(aditivos!$O$2:$O$200,MATCH($A27,aditivos!$A$2:$A$200,0))),MIN(INDEX(aditivos!$O$2:$O$200,MATCH($A27,aditivos!$A$2:$A$200,0)),posicao_contratual!$Y27),posicao_contratual!$Y27),posicao_contratual!$Y27)+1),2))))))</f>
        <v/>
      </c>
      <c r="G27" s="79" t="str">
        <f>IF(OR($A27="",posicao_contratual!$Y27=""),"",IF(posicao_contratual!$Y27&gt;4,"",IF(NOT(ISNUMBER(itens_Remanesc!C27)),"",IF(posicao_contratual!$Y27=4,IF(IFERROR(IF(ISNUMBER(INDEX(aditivos!$O$2:$O$200,MATCH($A27,aditivos!$A$2:$A$200,0))),MIN(INDEX(aditivos!$O$2:$O$200,MATCH($A27,aditivos!$A$2:$A$200,0)),posicao_contratual!$Y27),posicao_contratual!$Y27),posicao_contratual!$Y27)=4,itens_Remanesc!C27,IFERROR(ROUND(itens_Remanesc!C27*INDEX($L$2:$L$6,MIN(4+1,COUNT($L$2:$L$6)))/INDEX($L$2:$L$6,MIN(IFERROR(IF(ISNUMBER(INDEX(aditivos!$O$2:$O$200,MATCH($A27,aditivos!$A$2:$A$200,0))),MIN(INDEX(aditivos!$O$2:$O$200,MATCH($A27,aditivos!$A$2:$A$200,0)),posicao_contratual!$Y27),posicao_contratual!$Y27),posicao_contratual!$Y27)+1,COUNT($L$2:$L$6))),2),"")),IF(OR(NOT(ISNUMBER($L$6)),NOT(ISNUMBER(INDEX($L$2:$L$6,IFERROR(IF(ISNUMBER(INDEX(aditivos!$O$2:$O$200,MATCH($A27,aditivos!$A$2:$A$200,0))),MIN(INDEX(aditivos!$O$2:$O$200,MATCH($A27,aditivos!$A$2:$A$200,0)),posicao_contratual!$Y27),posicao_contratual!$Y27),posicao_contratual!$Y27)+1)))),"",ROUND(itens_Remanesc!C27*$L$6/INDEX($L$2:$L$6,IFERROR(IF(ISNUMBER(INDEX(aditivos!$O$2:$O$200,MATCH($A27,aditivos!$A$2:$A$200,0))),MIN(INDEX(aditivos!$O$2:$O$200,MATCH($A27,aditivos!$A$2:$A$200,0)),posicao_contratual!$Y27),posicao_contratual!$Y27),posicao_contratual!$Y27)+1),2))))))</f>
        <v/>
      </c>
      <c r="H27" s="116" t="str">
        <f t="shared" si="0"/>
        <v/>
      </c>
      <c r="I27" s="14"/>
      <c r="J27" s="14"/>
      <c r="K27" s="14"/>
      <c r="L27" s="14"/>
      <c r="M27" s="14"/>
      <c r="N27" s="147" t="str">
        <f>IF(A27="","",IF(posicao_contratual!$Y27="","",IF(posicao_contratual!$Y27&gt;0,"",posicao_contratual!E27)))</f>
        <v/>
      </c>
      <c r="O27" s="147" t="str">
        <f>IF(A27="","",IF(posicao_contratual!$Y27="","",IF(posicao_contratual!$Y27&gt;1,"",posicao_contratual!I27)))</f>
        <v/>
      </c>
      <c r="P27" s="147" t="str">
        <f>IF(A27="","",IF(posicao_contratual!$Y27="","",IF(posicao_contratual!$Y27&gt;2,"",posicao_contratual!M27)))</f>
        <v/>
      </c>
      <c r="Q27" s="147" t="str">
        <f>IF(A27="","",IF(posicao_contratual!$Y27="","",IF(posicao_contratual!$Y27&gt;3,"",posicao_contratual!Q27)))</f>
        <v/>
      </c>
      <c r="R27" s="147" t="str">
        <f>IF(A27="","",IF(posicao_contratual!$Y27="","",IF(posicao_contratual!$Y27&gt;4,"",posicao_contratual!U27)))</f>
        <v/>
      </c>
      <c r="S27" s="167" t="str">
        <f>IF(A27="","",posicao_contratual!G27)</f>
        <v/>
      </c>
      <c r="T27" s="167" t="str">
        <f>IF(A27="","",posicao_contratual!K27)</f>
        <v/>
      </c>
      <c r="U27" s="167" t="str">
        <f>IF(A27="","",posicao_contratual!O27)</f>
        <v/>
      </c>
      <c r="V27" s="167" t="str">
        <f>IF(A27="","",posicao_contratual!S27)</f>
        <v/>
      </c>
      <c r="W27" s="167" t="str">
        <f>IF(A27="","",posicao_contratual!W27)</f>
        <v/>
      </c>
    </row>
    <row r="28" spans="1:23" x14ac:dyDescent="0.35">
      <c r="A28" s="86" t="str">
        <f>IF(itens_Remanesc!A28="","",itens_Remanesc!A28)</f>
        <v/>
      </c>
      <c r="B28" s="85" t="str">
        <f>IF(A28="","",IF(posicao_contratual!$Y28="","",IF(posicao_contratual!$Y28&gt;0,"",posicao_contratual!G28)))</f>
        <v/>
      </c>
      <c r="C28" s="79" t="str">
        <f>IF(itens_Remanesc!A28="","",IF(posicao_contratual!$Y28="","",IF(posicao_contratual!$Y28&gt;0,"",itens_Remanesc!C28)))</f>
        <v/>
      </c>
      <c r="D28" s="79" t="str">
        <f>IF(OR($A28="",posicao_contratual!$Y28=""),"",IF(posicao_contratual!$Y28&gt;1,"",IF(NOT(ISNUMBER(itens_Remanesc!C28)),"",IF(posicao_contratual!$Y28=1,IF(IFERROR(IF(ISNUMBER(INDEX(aditivos!$O$2:$O$200,MATCH($A28,aditivos!$A$2:$A$200,0))),MIN(INDEX(aditivos!$O$2:$O$200,MATCH($A28,aditivos!$A$2:$A$200,0)),posicao_contratual!$Y28),posicao_contratual!$Y28),posicao_contratual!$Y28)=1,itens_Remanesc!C28,IFERROR(ROUND(itens_Remanesc!C28*INDEX($L$2:$L$6,MIN(1+1,COUNT($L$2:$L$6)))/INDEX($L$2:$L$6,MIN(IFERROR(IF(ISNUMBER(INDEX(aditivos!$O$2:$O$200,MATCH($A28,aditivos!$A$2:$A$200,0))),MIN(INDEX(aditivos!$O$2:$O$200,MATCH($A28,aditivos!$A$2:$A$200,0)),posicao_contratual!$Y28),posicao_contratual!$Y28),posicao_contratual!$Y28)+1,COUNT($L$2:$L$6))),2),"")),IF(OR(NOT(ISNUMBER($L$3)),NOT(ISNUMBER(INDEX($L$2:$L$6,IFERROR(IF(ISNUMBER(INDEX(aditivos!$O$2:$O$200,MATCH($A28,aditivos!$A$2:$A$200,0))),MIN(INDEX(aditivos!$O$2:$O$200,MATCH($A28,aditivos!$A$2:$A$200,0)),posicao_contratual!$Y28),posicao_contratual!$Y28),posicao_contratual!$Y28)+1)))),"",ROUND(itens_Remanesc!C28*$L$3/INDEX($L$2:$L$6,IFERROR(IF(ISNUMBER(INDEX(aditivos!$O$2:$O$200,MATCH($A28,aditivos!$A$2:$A$200,0))),MIN(INDEX(aditivos!$O$2:$O$200,MATCH($A28,aditivos!$A$2:$A$200,0)),posicao_contratual!$Y28),posicao_contratual!$Y28),posicao_contratual!$Y28)+1),2))))))</f>
        <v/>
      </c>
      <c r="E28" s="79" t="str">
        <f>IF(OR($A28="",posicao_contratual!$Y28=""),"",IF(posicao_contratual!$Y28&gt;2,"",IF(NOT(ISNUMBER(itens_Remanesc!C28)),"",IF(posicao_contratual!$Y28=2,IF(IFERROR(IF(ISNUMBER(INDEX(aditivos!$O$2:$O$200,MATCH($A28,aditivos!$A$2:$A$200,0))),MIN(INDEX(aditivos!$O$2:$O$200,MATCH($A28,aditivos!$A$2:$A$200,0)),posicao_contratual!$Y28),posicao_contratual!$Y28),posicao_contratual!$Y28)=2,itens_Remanesc!C28,IFERROR(ROUND(itens_Remanesc!C28*INDEX($L$2:$L$6,MIN(2+1,COUNT($L$2:$L$6)))/INDEX($L$2:$L$6,MIN(IFERROR(IF(ISNUMBER(INDEX(aditivos!$O$2:$O$200,MATCH($A28,aditivos!$A$2:$A$200,0))),MIN(INDEX(aditivos!$O$2:$O$200,MATCH($A28,aditivos!$A$2:$A$200,0)),posicao_contratual!$Y28),posicao_contratual!$Y28),posicao_contratual!$Y28)+1,COUNT($L$2:$L$6))),2),"")),IF(OR(NOT(ISNUMBER($L$4)),NOT(ISNUMBER(INDEX($L$2:$L$6,IFERROR(IF(ISNUMBER(INDEX(aditivos!$O$2:$O$200,MATCH($A28,aditivos!$A$2:$A$200,0))),MIN(INDEX(aditivos!$O$2:$O$200,MATCH($A28,aditivos!$A$2:$A$200,0)),posicao_contratual!$Y28),posicao_contratual!$Y28),posicao_contratual!$Y28)+1)))),"",ROUND(itens_Remanesc!C28*$L$4/INDEX($L$2:$L$6,IFERROR(IF(ISNUMBER(INDEX(aditivos!$O$2:$O$200,MATCH($A28,aditivos!$A$2:$A$200,0))),MIN(INDEX(aditivos!$O$2:$O$200,MATCH($A28,aditivos!$A$2:$A$200,0)),posicao_contratual!$Y28),posicao_contratual!$Y28),posicao_contratual!$Y28)+1),2))))))</f>
        <v/>
      </c>
      <c r="F28" s="79" t="str">
        <f>IF(OR($A28="",posicao_contratual!$Y28=""),"",IF(posicao_contratual!$Y28&gt;3,"",IF(NOT(ISNUMBER(itens_Remanesc!C28)),"",IF(posicao_contratual!$Y28=3,IF(IFERROR(IF(ISNUMBER(INDEX(aditivos!$O$2:$O$200,MATCH($A28,aditivos!$A$2:$A$200,0))),MIN(INDEX(aditivos!$O$2:$O$200,MATCH($A28,aditivos!$A$2:$A$200,0)),posicao_contratual!$Y28),posicao_contratual!$Y28),posicao_contratual!$Y28)=3,itens_Remanesc!C28,IFERROR(ROUND(itens_Remanesc!C28*INDEX($L$2:$L$6,MIN(3+1,COUNT($L$2:$L$6)))/INDEX($L$2:$L$6,MIN(IFERROR(IF(ISNUMBER(INDEX(aditivos!$O$2:$O$200,MATCH($A28,aditivos!$A$2:$A$200,0))),MIN(INDEX(aditivos!$O$2:$O$200,MATCH($A28,aditivos!$A$2:$A$200,0)),posicao_contratual!$Y28),posicao_contratual!$Y28),posicao_contratual!$Y28)+1,COUNT($L$2:$L$6))),2),"")),IF(OR(NOT(ISNUMBER($L$5)),NOT(ISNUMBER(INDEX($L$2:$L$6,IFERROR(IF(ISNUMBER(INDEX(aditivos!$O$2:$O$200,MATCH($A28,aditivos!$A$2:$A$200,0))),MIN(INDEX(aditivos!$O$2:$O$200,MATCH($A28,aditivos!$A$2:$A$200,0)),posicao_contratual!$Y28),posicao_contratual!$Y28),posicao_contratual!$Y28)+1)))),"",ROUND(itens_Remanesc!C28*$L$5/INDEX($L$2:$L$6,IFERROR(IF(ISNUMBER(INDEX(aditivos!$O$2:$O$200,MATCH($A28,aditivos!$A$2:$A$200,0))),MIN(INDEX(aditivos!$O$2:$O$200,MATCH($A28,aditivos!$A$2:$A$200,0)),posicao_contratual!$Y28),posicao_contratual!$Y28),posicao_contratual!$Y28)+1),2))))))</f>
        <v/>
      </c>
      <c r="G28" s="79" t="str">
        <f>IF(OR($A28="",posicao_contratual!$Y28=""),"",IF(posicao_contratual!$Y28&gt;4,"",IF(NOT(ISNUMBER(itens_Remanesc!C28)),"",IF(posicao_contratual!$Y28=4,IF(IFERROR(IF(ISNUMBER(INDEX(aditivos!$O$2:$O$200,MATCH($A28,aditivos!$A$2:$A$200,0))),MIN(INDEX(aditivos!$O$2:$O$200,MATCH($A28,aditivos!$A$2:$A$200,0)),posicao_contratual!$Y28),posicao_contratual!$Y28),posicao_contratual!$Y28)=4,itens_Remanesc!C28,IFERROR(ROUND(itens_Remanesc!C28*INDEX($L$2:$L$6,MIN(4+1,COUNT($L$2:$L$6)))/INDEX($L$2:$L$6,MIN(IFERROR(IF(ISNUMBER(INDEX(aditivos!$O$2:$O$200,MATCH($A28,aditivos!$A$2:$A$200,0))),MIN(INDEX(aditivos!$O$2:$O$200,MATCH($A28,aditivos!$A$2:$A$200,0)),posicao_contratual!$Y28),posicao_contratual!$Y28),posicao_contratual!$Y28)+1,COUNT($L$2:$L$6))),2),"")),IF(OR(NOT(ISNUMBER($L$6)),NOT(ISNUMBER(INDEX($L$2:$L$6,IFERROR(IF(ISNUMBER(INDEX(aditivos!$O$2:$O$200,MATCH($A28,aditivos!$A$2:$A$200,0))),MIN(INDEX(aditivos!$O$2:$O$200,MATCH($A28,aditivos!$A$2:$A$200,0)),posicao_contratual!$Y28),posicao_contratual!$Y28),posicao_contratual!$Y28)+1)))),"",ROUND(itens_Remanesc!C28*$L$6/INDEX($L$2:$L$6,IFERROR(IF(ISNUMBER(INDEX(aditivos!$O$2:$O$200,MATCH($A28,aditivos!$A$2:$A$200,0))),MIN(INDEX(aditivos!$O$2:$O$200,MATCH($A28,aditivos!$A$2:$A$200,0)),posicao_contratual!$Y28),posicao_contratual!$Y28),posicao_contratual!$Y28)+1),2))))))</f>
        <v/>
      </c>
      <c r="H28" s="116" t="str">
        <f t="shared" si="0"/>
        <v/>
      </c>
      <c r="I28" s="14"/>
      <c r="J28" s="14"/>
      <c r="K28" s="14"/>
      <c r="L28" s="14"/>
      <c r="M28" s="14"/>
      <c r="N28" s="147" t="str">
        <f>IF(A28="","",IF(posicao_contratual!$Y28="","",IF(posicao_contratual!$Y28&gt;0,"",posicao_contratual!E28)))</f>
        <v/>
      </c>
      <c r="O28" s="147" t="str">
        <f>IF(A28="","",IF(posicao_contratual!$Y28="","",IF(posicao_contratual!$Y28&gt;1,"",posicao_contratual!I28)))</f>
        <v/>
      </c>
      <c r="P28" s="147" t="str">
        <f>IF(A28="","",IF(posicao_contratual!$Y28="","",IF(posicao_contratual!$Y28&gt;2,"",posicao_contratual!M28)))</f>
        <v/>
      </c>
      <c r="Q28" s="147" t="str">
        <f>IF(A28="","",IF(posicao_contratual!$Y28="","",IF(posicao_contratual!$Y28&gt;3,"",posicao_contratual!Q28)))</f>
        <v/>
      </c>
      <c r="R28" s="147" t="str">
        <f>IF(A28="","",IF(posicao_contratual!$Y28="","",IF(posicao_contratual!$Y28&gt;4,"",posicao_contratual!U28)))</f>
        <v/>
      </c>
      <c r="S28" s="167" t="str">
        <f>IF(A28="","",posicao_contratual!G28)</f>
        <v/>
      </c>
      <c r="T28" s="167" t="str">
        <f>IF(A28="","",posicao_contratual!K28)</f>
        <v/>
      </c>
      <c r="U28" s="167" t="str">
        <f>IF(A28="","",posicao_contratual!O28)</f>
        <v/>
      </c>
      <c r="V28" s="167" t="str">
        <f>IF(A28="","",posicao_contratual!S28)</f>
        <v/>
      </c>
      <c r="W28" s="167" t="str">
        <f>IF(A28="","",posicao_contratual!W28)</f>
        <v/>
      </c>
    </row>
    <row r="29" spans="1:23" x14ac:dyDescent="0.35">
      <c r="A29" s="86" t="str">
        <f>IF(itens_Remanesc!A29="","",itens_Remanesc!A29)</f>
        <v/>
      </c>
      <c r="B29" s="85" t="str">
        <f>IF(A29="","",IF(posicao_contratual!$Y29="","",IF(posicao_contratual!$Y29&gt;0,"",posicao_contratual!G29)))</f>
        <v/>
      </c>
      <c r="C29" s="79" t="str">
        <f>IF(itens_Remanesc!A29="","",IF(posicao_contratual!$Y29="","",IF(posicao_contratual!$Y29&gt;0,"",itens_Remanesc!C29)))</f>
        <v/>
      </c>
      <c r="D29" s="79" t="str">
        <f>IF(OR($A29="",posicao_contratual!$Y29=""),"",IF(posicao_contratual!$Y29&gt;1,"",IF(NOT(ISNUMBER(itens_Remanesc!C29)),"",IF(posicao_contratual!$Y29=1,IF(IFERROR(IF(ISNUMBER(INDEX(aditivos!$O$2:$O$200,MATCH($A29,aditivos!$A$2:$A$200,0))),MIN(INDEX(aditivos!$O$2:$O$200,MATCH($A29,aditivos!$A$2:$A$200,0)),posicao_contratual!$Y29),posicao_contratual!$Y29),posicao_contratual!$Y29)=1,itens_Remanesc!C29,IFERROR(ROUND(itens_Remanesc!C29*INDEX($L$2:$L$6,MIN(1+1,COUNT($L$2:$L$6)))/INDEX($L$2:$L$6,MIN(IFERROR(IF(ISNUMBER(INDEX(aditivos!$O$2:$O$200,MATCH($A29,aditivos!$A$2:$A$200,0))),MIN(INDEX(aditivos!$O$2:$O$200,MATCH($A29,aditivos!$A$2:$A$200,0)),posicao_contratual!$Y29),posicao_contratual!$Y29),posicao_contratual!$Y29)+1,COUNT($L$2:$L$6))),2),"")),IF(OR(NOT(ISNUMBER($L$3)),NOT(ISNUMBER(INDEX($L$2:$L$6,IFERROR(IF(ISNUMBER(INDEX(aditivos!$O$2:$O$200,MATCH($A29,aditivos!$A$2:$A$200,0))),MIN(INDEX(aditivos!$O$2:$O$200,MATCH($A29,aditivos!$A$2:$A$200,0)),posicao_contratual!$Y29),posicao_contratual!$Y29),posicao_contratual!$Y29)+1)))),"",ROUND(itens_Remanesc!C29*$L$3/INDEX($L$2:$L$6,IFERROR(IF(ISNUMBER(INDEX(aditivos!$O$2:$O$200,MATCH($A29,aditivos!$A$2:$A$200,0))),MIN(INDEX(aditivos!$O$2:$O$200,MATCH($A29,aditivos!$A$2:$A$200,0)),posicao_contratual!$Y29),posicao_contratual!$Y29),posicao_contratual!$Y29)+1),2))))))</f>
        <v/>
      </c>
      <c r="E29" s="79" t="str">
        <f>IF(OR($A29="",posicao_contratual!$Y29=""),"",IF(posicao_contratual!$Y29&gt;2,"",IF(NOT(ISNUMBER(itens_Remanesc!C29)),"",IF(posicao_contratual!$Y29=2,IF(IFERROR(IF(ISNUMBER(INDEX(aditivos!$O$2:$O$200,MATCH($A29,aditivos!$A$2:$A$200,0))),MIN(INDEX(aditivos!$O$2:$O$200,MATCH($A29,aditivos!$A$2:$A$200,0)),posicao_contratual!$Y29),posicao_contratual!$Y29),posicao_contratual!$Y29)=2,itens_Remanesc!C29,IFERROR(ROUND(itens_Remanesc!C29*INDEX($L$2:$L$6,MIN(2+1,COUNT($L$2:$L$6)))/INDEX($L$2:$L$6,MIN(IFERROR(IF(ISNUMBER(INDEX(aditivos!$O$2:$O$200,MATCH($A29,aditivos!$A$2:$A$200,0))),MIN(INDEX(aditivos!$O$2:$O$200,MATCH($A29,aditivos!$A$2:$A$200,0)),posicao_contratual!$Y29),posicao_contratual!$Y29),posicao_contratual!$Y29)+1,COUNT($L$2:$L$6))),2),"")),IF(OR(NOT(ISNUMBER($L$4)),NOT(ISNUMBER(INDEX($L$2:$L$6,IFERROR(IF(ISNUMBER(INDEX(aditivos!$O$2:$O$200,MATCH($A29,aditivos!$A$2:$A$200,0))),MIN(INDEX(aditivos!$O$2:$O$200,MATCH($A29,aditivos!$A$2:$A$200,0)),posicao_contratual!$Y29),posicao_contratual!$Y29),posicao_contratual!$Y29)+1)))),"",ROUND(itens_Remanesc!C29*$L$4/INDEX($L$2:$L$6,IFERROR(IF(ISNUMBER(INDEX(aditivos!$O$2:$O$200,MATCH($A29,aditivos!$A$2:$A$200,0))),MIN(INDEX(aditivos!$O$2:$O$200,MATCH($A29,aditivos!$A$2:$A$200,0)),posicao_contratual!$Y29),posicao_contratual!$Y29),posicao_contratual!$Y29)+1),2))))))</f>
        <v/>
      </c>
      <c r="F29" s="79" t="str">
        <f>IF(OR($A29="",posicao_contratual!$Y29=""),"",IF(posicao_contratual!$Y29&gt;3,"",IF(NOT(ISNUMBER(itens_Remanesc!C29)),"",IF(posicao_contratual!$Y29=3,IF(IFERROR(IF(ISNUMBER(INDEX(aditivos!$O$2:$O$200,MATCH($A29,aditivos!$A$2:$A$200,0))),MIN(INDEX(aditivos!$O$2:$O$200,MATCH($A29,aditivos!$A$2:$A$200,0)),posicao_contratual!$Y29),posicao_contratual!$Y29),posicao_contratual!$Y29)=3,itens_Remanesc!C29,IFERROR(ROUND(itens_Remanesc!C29*INDEX($L$2:$L$6,MIN(3+1,COUNT($L$2:$L$6)))/INDEX($L$2:$L$6,MIN(IFERROR(IF(ISNUMBER(INDEX(aditivos!$O$2:$O$200,MATCH($A29,aditivos!$A$2:$A$200,0))),MIN(INDEX(aditivos!$O$2:$O$200,MATCH($A29,aditivos!$A$2:$A$200,0)),posicao_contratual!$Y29),posicao_contratual!$Y29),posicao_contratual!$Y29)+1,COUNT($L$2:$L$6))),2),"")),IF(OR(NOT(ISNUMBER($L$5)),NOT(ISNUMBER(INDEX($L$2:$L$6,IFERROR(IF(ISNUMBER(INDEX(aditivos!$O$2:$O$200,MATCH($A29,aditivos!$A$2:$A$200,0))),MIN(INDEX(aditivos!$O$2:$O$200,MATCH($A29,aditivos!$A$2:$A$200,0)),posicao_contratual!$Y29),posicao_contratual!$Y29),posicao_contratual!$Y29)+1)))),"",ROUND(itens_Remanesc!C29*$L$5/INDEX($L$2:$L$6,IFERROR(IF(ISNUMBER(INDEX(aditivos!$O$2:$O$200,MATCH($A29,aditivos!$A$2:$A$200,0))),MIN(INDEX(aditivos!$O$2:$O$200,MATCH($A29,aditivos!$A$2:$A$200,0)),posicao_contratual!$Y29),posicao_contratual!$Y29),posicao_contratual!$Y29)+1),2))))))</f>
        <v/>
      </c>
      <c r="G29" s="79" t="str">
        <f>IF(OR($A29="",posicao_contratual!$Y29=""),"",IF(posicao_contratual!$Y29&gt;4,"",IF(NOT(ISNUMBER(itens_Remanesc!C29)),"",IF(posicao_contratual!$Y29=4,IF(IFERROR(IF(ISNUMBER(INDEX(aditivos!$O$2:$O$200,MATCH($A29,aditivos!$A$2:$A$200,0))),MIN(INDEX(aditivos!$O$2:$O$200,MATCH($A29,aditivos!$A$2:$A$200,0)),posicao_contratual!$Y29),posicao_contratual!$Y29),posicao_contratual!$Y29)=4,itens_Remanesc!C29,IFERROR(ROUND(itens_Remanesc!C29*INDEX($L$2:$L$6,MIN(4+1,COUNT($L$2:$L$6)))/INDEX($L$2:$L$6,MIN(IFERROR(IF(ISNUMBER(INDEX(aditivos!$O$2:$O$200,MATCH($A29,aditivos!$A$2:$A$200,0))),MIN(INDEX(aditivos!$O$2:$O$200,MATCH($A29,aditivos!$A$2:$A$200,0)),posicao_contratual!$Y29),posicao_contratual!$Y29),posicao_contratual!$Y29)+1,COUNT($L$2:$L$6))),2),"")),IF(OR(NOT(ISNUMBER($L$6)),NOT(ISNUMBER(INDEX($L$2:$L$6,IFERROR(IF(ISNUMBER(INDEX(aditivos!$O$2:$O$200,MATCH($A29,aditivos!$A$2:$A$200,0))),MIN(INDEX(aditivos!$O$2:$O$200,MATCH($A29,aditivos!$A$2:$A$200,0)),posicao_contratual!$Y29),posicao_contratual!$Y29),posicao_contratual!$Y29)+1)))),"",ROUND(itens_Remanesc!C29*$L$6/INDEX($L$2:$L$6,IFERROR(IF(ISNUMBER(INDEX(aditivos!$O$2:$O$200,MATCH($A29,aditivos!$A$2:$A$200,0))),MIN(INDEX(aditivos!$O$2:$O$200,MATCH($A29,aditivos!$A$2:$A$200,0)),posicao_contratual!$Y29),posicao_contratual!$Y29),posicao_contratual!$Y29)+1),2))))))</f>
        <v/>
      </c>
      <c r="H29" s="116" t="str">
        <f t="shared" si="0"/>
        <v/>
      </c>
      <c r="I29" s="14"/>
      <c r="J29" s="14"/>
      <c r="K29" s="14"/>
      <c r="L29" s="14"/>
      <c r="M29" s="14"/>
      <c r="N29" s="147" t="str">
        <f>IF(A29="","",IF(posicao_contratual!$Y29="","",IF(posicao_contratual!$Y29&gt;0,"",posicao_contratual!E29)))</f>
        <v/>
      </c>
      <c r="O29" s="147" t="str">
        <f>IF(A29="","",IF(posicao_contratual!$Y29="","",IF(posicao_contratual!$Y29&gt;1,"",posicao_contratual!I29)))</f>
        <v/>
      </c>
      <c r="P29" s="147" t="str">
        <f>IF(A29="","",IF(posicao_contratual!$Y29="","",IF(posicao_contratual!$Y29&gt;2,"",posicao_contratual!M29)))</f>
        <v/>
      </c>
      <c r="Q29" s="147" t="str">
        <f>IF(A29="","",IF(posicao_contratual!$Y29="","",IF(posicao_contratual!$Y29&gt;3,"",posicao_contratual!Q29)))</f>
        <v/>
      </c>
      <c r="R29" s="147" t="str">
        <f>IF(A29="","",IF(posicao_contratual!$Y29="","",IF(posicao_contratual!$Y29&gt;4,"",posicao_contratual!U29)))</f>
        <v/>
      </c>
      <c r="S29" s="167" t="str">
        <f>IF(A29="","",posicao_contratual!G29)</f>
        <v/>
      </c>
      <c r="T29" s="167" t="str">
        <f>IF(A29="","",posicao_contratual!K29)</f>
        <v/>
      </c>
      <c r="U29" s="167" t="str">
        <f>IF(A29="","",posicao_contratual!O29)</f>
        <v/>
      </c>
      <c r="V29" s="167" t="str">
        <f>IF(A29="","",posicao_contratual!S29)</f>
        <v/>
      </c>
      <c r="W29" s="167" t="str">
        <f>IF(A29="","",posicao_contratual!W29)</f>
        <v/>
      </c>
    </row>
    <row r="30" spans="1:23" x14ac:dyDescent="0.35">
      <c r="A30" s="86" t="str">
        <f>IF(itens_Remanesc!A30="","",itens_Remanesc!A30)</f>
        <v/>
      </c>
      <c r="B30" s="85" t="str">
        <f>IF(A30="","",IF(posicao_contratual!$Y30="","",IF(posicao_contratual!$Y30&gt;0,"",posicao_contratual!G30)))</f>
        <v/>
      </c>
      <c r="C30" s="79" t="str">
        <f>IF(itens_Remanesc!A30="","",IF(posicao_contratual!$Y30="","",IF(posicao_contratual!$Y30&gt;0,"",itens_Remanesc!C30)))</f>
        <v/>
      </c>
      <c r="D30" s="79" t="str">
        <f>IF(OR($A30="",posicao_contratual!$Y30=""),"",IF(posicao_contratual!$Y30&gt;1,"",IF(NOT(ISNUMBER(itens_Remanesc!C30)),"",IF(posicao_contratual!$Y30=1,IF(IFERROR(IF(ISNUMBER(INDEX(aditivos!$O$2:$O$200,MATCH($A30,aditivos!$A$2:$A$200,0))),MIN(INDEX(aditivos!$O$2:$O$200,MATCH($A30,aditivos!$A$2:$A$200,0)),posicao_contratual!$Y30),posicao_contratual!$Y30),posicao_contratual!$Y30)=1,itens_Remanesc!C30,IFERROR(ROUND(itens_Remanesc!C30*INDEX($L$2:$L$6,MIN(1+1,COUNT($L$2:$L$6)))/INDEX($L$2:$L$6,MIN(IFERROR(IF(ISNUMBER(INDEX(aditivos!$O$2:$O$200,MATCH($A30,aditivos!$A$2:$A$200,0))),MIN(INDEX(aditivos!$O$2:$O$200,MATCH($A30,aditivos!$A$2:$A$200,0)),posicao_contratual!$Y30),posicao_contratual!$Y30),posicao_contratual!$Y30)+1,COUNT($L$2:$L$6))),2),"")),IF(OR(NOT(ISNUMBER($L$3)),NOT(ISNUMBER(INDEX($L$2:$L$6,IFERROR(IF(ISNUMBER(INDEX(aditivos!$O$2:$O$200,MATCH($A30,aditivos!$A$2:$A$200,0))),MIN(INDEX(aditivos!$O$2:$O$200,MATCH($A30,aditivos!$A$2:$A$200,0)),posicao_contratual!$Y30),posicao_contratual!$Y30),posicao_contratual!$Y30)+1)))),"",ROUND(itens_Remanesc!C30*$L$3/INDEX($L$2:$L$6,IFERROR(IF(ISNUMBER(INDEX(aditivos!$O$2:$O$200,MATCH($A30,aditivos!$A$2:$A$200,0))),MIN(INDEX(aditivos!$O$2:$O$200,MATCH($A30,aditivos!$A$2:$A$200,0)),posicao_contratual!$Y30),posicao_contratual!$Y30),posicao_contratual!$Y30)+1),2))))))</f>
        <v/>
      </c>
      <c r="E30" s="79" t="str">
        <f>IF(OR($A30="",posicao_contratual!$Y30=""),"",IF(posicao_contratual!$Y30&gt;2,"",IF(NOT(ISNUMBER(itens_Remanesc!C30)),"",IF(posicao_contratual!$Y30=2,IF(IFERROR(IF(ISNUMBER(INDEX(aditivos!$O$2:$O$200,MATCH($A30,aditivos!$A$2:$A$200,0))),MIN(INDEX(aditivos!$O$2:$O$200,MATCH($A30,aditivos!$A$2:$A$200,0)),posicao_contratual!$Y30),posicao_contratual!$Y30),posicao_contratual!$Y30)=2,itens_Remanesc!C30,IFERROR(ROUND(itens_Remanesc!C30*INDEX($L$2:$L$6,MIN(2+1,COUNT($L$2:$L$6)))/INDEX($L$2:$L$6,MIN(IFERROR(IF(ISNUMBER(INDEX(aditivos!$O$2:$O$200,MATCH($A30,aditivos!$A$2:$A$200,0))),MIN(INDEX(aditivos!$O$2:$O$200,MATCH($A30,aditivos!$A$2:$A$200,0)),posicao_contratual!$Y30),posicao_contratual!$Y30),posicao_contratual!$Y30)+1,COUNT($L$2:$L$6))),2),"")),IF(OR(NOT(ISNUMBER($L$4)),NOT(ISNUMBER(INDEX($L$2:$L$6,IFERROR(IF(ISNUMBER(INDEX(aditivos!$O$2:$O$200,MATCH($A30,aditivos!$A$2:$A$200,0))),MIN(INDEX(aditivos!$O$2:$O$200,MATCH($A30,aditivos!$A$2:$A$200,0)),posicao_contratual!$Y30),posicao_contratual!$Y30),posicao_contratual!$Y30)+1)))),"",ROUND(itens_Remanesc!C30*$L$4/INDEX($L$2:$L$6,IFERROR(IF(ISNUMBER(INDEX(aditivos!$O$2:$O$200,MATCH($A30,aditivos!$A$2:$A$200,0))),MIN(INDEX(aditivos!$O$2:$O$200,MATCH($A30,aditivos!$A$2:$A$200,0)),posicao_contratual!$Y30),posicao_contratual!$Y30),posicao_contratual!$Y30)+1),2))))))</f>
        <v/>
      </c>
      <c r="F30" s="79" t="str">
        <f>IF(OR($A30="",posicao_contratual!$Y30=""),"",IF(posicao_contratual!$Y30&gt;3,"",IF(NOT(ISNUMBER(itens_Remanesc!C30)),"",IF(posicao_contratual!$Y30=3,IF(IFERROR(IF(ISNUMBER(INDEX(aditivos!$O$2:$O$200,MATCH($A30,aditivos!$A$2:$A$200,0))),MIN(INDEX(aditivos!$O$2:$O$200,MATCH($A30,aditivos!$A$2:$A$200,0)),posicao_contratual!$Y30),posicao_contratual!$Y30),posicao_contratual!$Y30)=3,itens_Remanesc!C30,IFERROR(ROUND(itens_Remanesc!C30*INDEX($L$2:$L$6,MIN(3+1,COUNT($L$2:$L$6)))/INDEX($L$2:$L$6,MIN(IFERROR(IF(ISNUMBER(INDEX(aditivos!$O$2:$O$200,MATCH($A30,aditivos!$A$2:$A$200,0))),MIN(INDEX(aditivos!$O$2:$O$200,MATCH($A30,aditivos!$A$2:$A$200,0)),posicao_contratual!$Y30),posicao_contratual!$Y30),posicao_contratual!$Y30)+1,COUNT($L$2:$L$6))),2),"")),IF(OR(NOT(ISNUMBER($L$5)),NOT(ISNUMBER(INDEX($L$2:$L$6,IFERROR(IF(ISNUMBER(INDEX(aditivos!$O$2:$O$200,MATCH($A30,aditivos!$A$2:$A$200,0))),MIN(INDEX(aditivos!$O$2:$O$200,MATCH($A30,aditivos!$A$2:$A$200,0)),posicao_contratual!$Y30),posicao_contratual!$Y30),posicao_contratual!$Y30)+1)))),"",ROUND(itens_Remanesc!C30*$L$5/INDEX($L$2:$L$6,IFERROR(IF(ISNUMBER(INDEX(aditivos!$O$2:$O$200,MATCH($A30,aditivos!$A$2:$A$200,0))),MIN(INDEX(aditivos!$O$2:$O$200,MATCH($A30,aditivos!$A$2:$A$200,0)),posicao_contratual!$Y30),posicao_contratual!$Y30),posicao_contratual!$Y30)+1),2))))))</f>
        <v/>
      </c>
      <c r="G30" s="79" t="str">
        <f>IF(OR($A30="",posicao_contratual!$Y30=""),"",IF(posicao_contratual!$Y30&gt;4,"",IF(NOT(ISNUMBER(itens_Remanesc!C30)),"",IF(posicao_contratual!$Y30=4,IF(IFERROR(IF(ISNUMBER(INDEX(aditivos!$O$2:$O$200,MATCH($A30,aditivos!$A$2:$A$200,0))),MIN(INDEX(aditivos!$O$2:$O$200,MATCH($A30,aditivos!$A$2:$A$200,0)),posicao_contratual!$Y30),posicao_contratual!$Y30),posicao_contratual!$Y30)=4,itens_Remanesc!C30,IFERROR(ROUND(itens_Remanesc!C30*INDEX($L$2:$L$6,MIN(4+1,COUNT($L$2:$L$6)))/INDEX($L$2:$L$6,MIN(IFERROR(IF(ISNUMBER(INDEX(aditivos!$O$2:$O$200,MATCH($A30,aditivos!$A$2:$A$200,0))),MIN(INDEX(aditivos!$O$2:$O$200,MATCH($A30,aditivos!$A$2:$A$200,0)),posicao_contratual!$Y30),posicao_contratual!$Y30),posicao_contratual!$Y30)+1,COUNT($L$2:$L$6))),2),"")),IF(OR(NOT(ISNUMBER($L$6)),NOT(ISNUMBER(INDEX($L$2:$L$6,IFERROR(IF(ISNUMBER(INDEX(aditivos!$O$2:$O$200,MATCH($A30,aditivos!$A$2:$A$200,0))),MIN(INDEX(aditivos!$O$2:$O$200,MATCH($A30,aditivos!$A$2:$A$200,0)),posicao_contratual!$Y30),posicao_contratual!$Y30),posicao_contratual!$Y30)+1)))),"",ROUND(itens_Remanesc!C30*$L$6/INDEX($L$2:$L$6,IFERROR(IF(ISNUMBER(INDEX(aditivos!$O$2:$O$200,MATCH($A30,aditivos!$A$2:$A$200,0))),MIN(INDEX(aditivos!$O$2:$O$200,MATCH($A30,aditivos!$A$2:$A$200,0)),posicao_contratual!$Y30),posicao_contratual!$Y30),posicao_contratual!$Y30)+1),2))))))</f>
        <v/>
      </c>
      <c r="H30" s="116" t="str">
        <f t="shared" si="0"/>
        <v/>
      </c>
      <c r="I30" s="14"/>
      <c r="J30" s="14"/>
      <c r="K30" s="14"/>
      <c r="L30" s="14"/>
      <c r="M30" s="14"/>
      <c r="N30" s="147" t="str">
        <f>IF(A30="","",IF(posicao_contratual!$Y30="","",IF(posicao_contratual!$Y30&gt;0,"",posicao_contratual!E30)))</f>
        <v/>
      </c>
      <c r="O30" s="147" t="str">
        <f>IF(A30="","",IF(posicao_contratual!$Y30="","",IF(posicao_contratual!$Y30&gt;1,"",posicao_contratual!I30)))</f>
        <v/>
      </c>
      <c r="P30" s="147" t="str">
        <f>IF(A30="","",IF(posicao_contratual!$Y30="","",IF(posicao_contratual!$Y30&gt;2,"",posicao_contratual!M30)))</f>
        <v/>
      </c>
      <c r="Q30" s="147" t="str">
        <f>IF(A30="","",IF(posicao_contratual!$Y30="","",IF(posicao_contratual!$Y30&gt;3,"",posicao_contratual!Q30)))</f>
        <v/>
      </c>
      <c r="R30" s="147" t="str">
        <f>IF(A30="","",IF(posicao_contratual!$Y30="","",IF(posicao_contratual!$Y30&gt;4,"",posicao_contratual!U30)))</f>
        <v/>
      </c>
      <c r="S30" s="167" t="str">
        <f>IF(A30="","",posicao_contratual!G30)</f>
        <v/>
      </c>
      <c r="T30" s="167" t="str">
        <f>IF(A30="","",posicao_contratual!K30)</f>
        <v/>
      </c>
      <c r="U30" s="167" t="str">
        <f>IF(A30="","",posicao_contratual!O30)</f>
        <v/>
      </c>
      <c r="V30" s="167" t="str">
        <f>IF(A30="","",posicao_contratual!S30)</f>
        <v/>
      </c>
      <c r="W30" s="167" t="str">
        <f>IF(A30="","",posicao_contratual!W30)</f>
        <v/>
      </c>
    </row>
    <row r="31" spans="1:23" x14ac:dyDescent="0.35">
      <c r="A31" s="86" t="str">
        <f>IF(itens_Remanesc!A31="","",itens_Remanesc!A31)</f>
        <v/>
      </c>
      <c r="B31" s="85" t="str">
        <f>IF(A31="","",IF(posicao_contratual!$Y31="","",IF(posicao_contratual!$Y31&gt;0,"",posicao_contratual!G31)))</f>
        <v/>
      </c>
      <c r="C31" s="79" t="str">
        <f>IF(itens_Remanesc!A31="","",IF(posicao_contratual!$Y31="","",IF(posicao_contratual!$Y31&gt;0,"",itens_Remanesc!C31)))</f>
        <v/>
      </c>
      <c r="D31" s="79" t="str">
        <f>IF(OR($A31="",posicao_contratual!$Y31=""),"",IF(posicao_contratual!$Y31&gt;1,"",IF(NOT(ISNUMBER(itens_Remanesc!C31)),"",IF(posicao_contratual!$Y31=1,IF(IFERROR(IF(ISNUMBER(INDEX(aditivos!$O$2:$O$200,MATCH($A31,aditivos!$A$2:$A$200,0))),MIN(INDEX(aditivos!$O$2:$O$200,MATCH($A31,aditivos!$A$2:$A$200,0)),posicao_contratual!$Y31),posicao_contratual!$Y31),posicao_contratual!$Y31)=1,itens_Remanesc!C31,IFERROR(ROUND(itens_Remanesc!C31*INDEX($L$2:$L$6,MIN(1+1,COUNT($L$2:$L$6)))/INDEX($L$2:$L$6,MIN(IFERROR(IF(ISNUMBER(INDEX(aditivos!$O$2:$O$200,MATCH($A31,aditivos!$A$2:$A$200,0))),MIN(INDEX(aditivos!$O$2:$O$200,MATCH($A31,aditivos!$A$2:$A$200,0)),posicao_contratual!$Y31),posicao_contratual!$Y31),posicao_contratual!$Y31)+1,COUNT($L$2:$L$6))),2),"")),IF(OR(NOT(ISNUMBER($L$3)),NOT(ISNUMBER(INDEX($L$2:$L$6,IFERROR(IF(ISNUMBER(INDEX(aditivos!$O$2:$O$200,MATCH($A31,aditivos!$A$2:$A$200,0))),MIN(INDEX(aditivos!$O$2:$O$200,MATCH($A31,aditivos!$A$2:$A$200,0)),posicao_contratual!$Y31),posicao_contratual!$Y31),posicao_contratual!$Y31)+1)))),"",ROUND(itens_Remanesc!C31*$L$3/INDEX($L$2:$L$6,IFERROR(IF(ISNUMBER(INDEX(aditivos!$O$2:$O$200,MATCH($A31,aditivos!$A$2:$A$200,0))),MIN(INDEX(aditivos!$O$2:$O$200,MATCH($A31,aditivos!$A$2:$A$200,0)),posicao_contratual!$Y31),posicao_contratual!$Y31),posicao_contratual!$Y31)+1),2))))))</f>
        <v/>
      </c>
      <c r="E31" s="79" t="str">
        <f>IF(OR($A31="",posicao_contratual!$Y31=""),"",IF(posicao_contratual!$Y31&gt;2,"",IF(NOT(ISNUMBER(itens_Remanesc!C31)),"",IF(posicao_contratual!$Y31=2,IF(IFERROR(IF(ISNUMBER(INDEX(aditivos!$O$2:$O$200,MATCH($A31,aditivos!$A$2:$A$200,0))),MIN(INDEX(aditivos!$O$2:$O$200,MATCH($A31,aditivos!$A$2:$A$200,0)),posicao_contratual!$Y31),posicao_contratual!$Y31),posicao_contratual!$Y31)=2,itens_Remanesc!C31,IFERROR(ROUND(itens_Remanesc!C31*INDEX($L$2:$L$6,MIN(2+1,COUNT($L$2:$L$6)))/INDEX($L$2:$L$6,MIN(IFERROR(IF(ISNUMBER(INDEX(aditivos!$O$2:$O$200,MATCH($A31,aditivos!$A$2:$A$200,0))),MIN(INDEX(aditivos!$O$2:$O$200,MATCH($A31,aditivos!$A$2:$A$200,0)),posicao_contratual!$Y31),posicao_contratual!$Y31),posicao_contratual!$Y31)+1,COUNT($L$2:$L$6))),2),"")),IF(OR(NOT(ISNUMBER($L$4)),NOT(ISNUMBER(INDEX($L$2:$L$6,IFERROR(IF(ISNUMBER(INDEX(aditivos!$O$2:$O$200,MATCH($A31,aditivos!$A$2:$A$200,0))),MIN(INDEX(aditivos!$O$2:$O$200,MATCH($A31,aditivos!$A$2:$A$200,0)),posicao_contratual!$Y31),posicao_contratual!$Y31),posicao_contratual!$Y31)+1)))),"",ROUND(itens_Remanesc!C31*$L$4/INDEX($L$2:$L$6,IFERROR(IF(ISNUMBER(INDEX(aditivos!$O$2:$O$200,MATCH($A31,aditivos!$A$2:$A$200,0))),MIN(INDEX(aditivos!$O$2:$O$200,MATCH($A31,aditivos!$A$2:$A$200,0)),posicao_contratual!$Y31),posicao_contratual!$Y31),posicao_contratual!$Y31)+1),2))))))</f>
        <v/>
      </c>
      <c r="F31" s="79" t="str">
        <f>IF(OR($A31="",posicao_contratual!$Y31=""),"",IF(posicao_contratual!$Y31&gt;3,"",IF(NOT(ISNUMBER(itens_Remanesc!C31)),"",IF(posicao_contratual!$Y31=3,IF(IFERROR(IF(ISNUMBER(INDEX(aditivos!$O$2:$O$200,MATCH($A31,aditivos!$A$2:$A$200,0))),MIN(INDEX(aditivos!$O$2:$O$200,MATCH($A31,aditivos!$A$2:$A$200,0)),posicao_contratual!$Y31),posicao_contratual!$Y31),posicao_contratual!$Y31)=3,itens_Remanesc!C31,IFERROR(ROUND(itens_Remanesc!C31*INDEX($L$2:$L$6,MIN(3+1,COUNT($L$2:$L$6)))/INDEX($L$2:$L$6,MIN(IFERROR(IF(ISNUMBER(INDEX(aditivos!$O$2:$O$200,MATCH($A31,aditivos!$A$2:$A$200,0))),MIN(INDEX(aditivos!$O$2:$O$200,MATCH($A31,aditivos!$A$2:$A$200,0)),posicao_contratual!$Y31),posicao_contratual!$Y31),posicao_contratual!$Y31)+1,COUNT($L$2:$L$6))),2),"")),IF(OR(NOT(ISNUMBER($L$5)),NOT(ISNUMBER(INDEX($L$2:$L$6,IFERROR(IF(ISNUMBER(INDEX(aditivos!$O$2:$O$200,MATCH($A31,aditivos!$A$2:$A$200,0))),MIN(INDEX(aditivos!$O$2:$O$200,MATCH($A31,aditivos!$A$2:$A$200,0)),posicao_contratual!$Y31),posicao_contratual!$Y31),posicao_contratual!$Y31)+1)))),"",ROUND(itens_Remanesc!C31*$L$5/INDEX($L$2:$L$6,IFERROR(IF(ISNUMBER(INDEX(aditivos!$O$2:$O$200,MATCH($A31,aditivos!$A$2:$A$200,0))),MIN(INDEX(aditivos!$O$2:$O$200,MATCH($A31,aditivos!$A$2:$A$200,0)),posicao_contratual!$Y31),posicao_contratual!$Y31),posicao_contratual!$Y31)+1),2))))))</f>
        <v/>
      </c>
      <c r="G31" s="79" t="str">
        <f>IF(OR($A31="",posicao_contratual!$Y31=""),"",IF(posicao_contratual!$Y31&gt;4,"",IF(NOT(ISNUMBER(itens_Remanesc!C31)),"",IF(posicao_contratual!$Y31=4,IF(IFERROR(IF(ISNUMBER(INDEX(aditivos!$O$2:$O$200,MATCH($A31,aditivos!$A$2:$A$200,0))),MIN(INDEX(aditivos!$O$2:$O$200,MATCH($A31,aditivos!$A$2:$A$200,0)),posicao_contratual!$Y31),posicao_contratual!$Y31),posicao_contratual!$Y31)=4,itens_Remanesc!C31,IFERROR(ROUND(itens_Remanesc!C31*INDEX($L$2:$L$6,MIN(4+1,COUNT($L$2:$L$6)))/INDEX($L$2:$L$6,MIN(IFERROR(IF(ISNUMBER(INDEX(aditivos!$O$2:$O$200,MATCH($A31,aditivos!$A$2:$A$200,0))),MIN(INDEX(aditivos!$O$2:$O$200,MATCH($A31,aditivos!$A$2:$A$200,0)),posicao_contratual!$Y31),posicao_contratual!$Y31),posicao_contratual!$Y31)+1,COUNT($L$2:$L$6))),2),"")),IF(OR(NOT(ISNUMBER($L$6)),NOT(ISNUMBER(INDEX($L$2:$L$6,IFERROR(IF(ISNUMBER(INDEX(aditivos!$O$2:$O$200,MATCH($A31,aditivos!$A$2:$A$200,0))),MIN(INDEX(aditivos!$O$2:$O$200,MATCH($A31,aditivos!$A$2:$A$200,0)),posicao_contratual!$Y31),posicao_contratual!$Y31),posicao_contratual!$Y31)+1)))),"",ROUND(itens_Remanesc!C31*$L$6/INDEX($L$2:$L$6,IFERROR(IF(ISNUMBER(INDEX(aditivos!$O$2:$O$200,MATCH($A31,aditivos!$A$2:$A$200,0))),MIN(INDEX(aditivos!$O$2:$O$200,MATCH($A31,aditivos!$A$2:$A$200,0)),posicao_contratual!$Y31),posicao_contratual!$Y31),posicao_contratual!$Y31)+1),2))))))</f>
        <v/>
      </c>
      <c r="H31" s="116" t="str">
        <f t="shared" si="0"/>
        <v/>
      </c>
      <c r="I31" s="14"/>
      <c r="J31" s="14"/>
      <c r="K31" s="14"/>
      <c r="L31" s="14"/>
      <c r="M31" s="14"/>
      <c r="N31" s="147" t="str">
        <f>IF(A31="","",IF(posicao_contratual!$Y31="","",IF(posicao_contratual!$Y31&gt;0,"",posicao_contratual!E31)))</f>
        <v/>
      </c>
      <c r="O31" s="147" t="str">
        <f>IF(A31="","",IF(posicao_contratual!$Y31="","",IF(posicao_contratual!$Y31&gt;1,"",posicao_contratual!I31)))</f>
        <v/>
      </c>
      <c r="P31" s="147" t="str">
        <f>IF(A31="","",IF(posicao_contratual!$Y31="","",IF(posicao_contratual!$Y31&gt;2,"",posicao_contratual!M31)))</f>
        <v/>
      </c>
      <c r="Q31" s="147" t="str">
        <f>IF(A31="","",IF(posicao_contratual!$Y31="","",IF(posicao_contratual!$Y31&gt;3,"",posicao_contratual!Q31)))</f>
        <v/>
      </c>
      <c r="R31" s="147" t="str">
        <f>IF(A31="","",IF(posicao_contratual!$Y31="","",IF(posicao_contratual!$Y31&gt;4,"",posicao_contratual!U31)))</f>
        <v/>
      </c>
      <c r="S31" s="167" t="str">
        <f>IF(A31="","",posicao_contratual!G31)</f>
        <v/>
      </c>
      <c r="T31" s="167" t="str">
        <f>IF(A31="","",posicao_contratual!K31)</f>
        <v/>
      </c>
      <c r="U31" s="167" t="str">
        <f>IF(A31="","",posicao_contratual!O31)</f>
        <v/>
      </c>
      <c r="V31" s="167" t="str">
        <f>IF(A31="","",posicao_contratual!S31)</f>
        <v/>
      </c>
      <c r="W31" s="167" t="str">
        <f>IF(A31="","",posicao_contratual!W31)</f>
        <v/>
      </c>
    </row>
    <row r="32" spans="1:23" x14ac:dyDescent="0.35">
      <c r="A32" s="86" t="str">
        <f>IF(itens_Remanesc!A32="","",itens_Remanesc!A32)</f>
        <v/>
      </c>
      <c r="B32" s="85" t="str">
        <f>IF(A32="","",IF(posicao_contratual!$Y32="","",IF(posicao_contratual!$Y32&gt;0,"",posicao_contratual!G32)))</f>
        <v/>
      </c>
      <c r="C32" s="79" t="str">
        <f>IF(itens_Remanesc!A32="","",IF(posicao_contratual!$Y32="","",IF(posicao_contratual!$Y32&gt;0,"",itens_Remanesc!C32)))</f>
        <v/>
      </c>
      <c r="D32" s="79" t="str">
        <f>IF(OR($A32="",posicao_contratual!$Y32=""),"",IF(posicao_contratual!$Y32&gt;1,"",IF(NOT(ISNUMBER(itens_Remanesc!C32)),"",IF(posicao_contratual!$Y32=1,IF(IFERROR(IF(ISNUMBER(INDEX(aditivos!$O$2:$O$200,MATCH($A32,aditivos!$A$2:$A$200,0))),MIN(INDEX(aditivos!$O$2:$O$200,MATCH($A32,aditivos!$A$2:$A$200,0)),posicao_contratual!$Y32),posicao_contratual!$Y32),posicao_contratual!$Y32)=1,itens_Remanesc!C32,IFERROR(ROUND(itens_Remanesc!C32*INDEX($L$2:$L$6,MIN(1+1,COUNT($L$2:$L$6)))/INDEX($L$2:$L$6,MIN(IFERROR(IF(ISNUMBER(INDEX(aditivos!$O$2:$O$200,MATCH($A32,aditivos!$A$2:$A$200,0))),MIN(INDEX(aditivos!$O$2:$O$200,MATCH($A32,aditivos!$A$2:$A$200,0)),posicao_contratual!$Y32),posicao_contratual!$Y32),posicao_contratual!$Y32)+1,COUNT($L$2:$L$6))),2),"")),IF(OR(NOT(ISNUMBER($L$3)),NOT(ISNUMBER(INDEX($L$2:$L$6,IFERROR(IF(ISNUMBER(INDEX(aditivos!$O$2:$O$200,MATCH($A32,aditivos!$A$2:$A$200,0))),MIN(INDEX(aditivos!$O$2:$O$200,MATCH($A32,aditivos!$A$2:$A$200,0)),posicao_contratual!$Y32),posicao_contratual!$Y32),posicao_contratual!$Y32)+1)))),"",ROUND(itens_Remanesc!C32*$L$3/INDEX($L$2:$L$6,IFERROR(IF(ISNUMBER(INDEX(aditivos!$O$2:$O$200,MATCH($A32,aditivos!$A$2:$A$200,0))),MIN(INDEX(aditivos!$O$2:$O$200,MATCH($A32,aditivos!$A$2:$A$200,0)),posicao_contratual!$Y32),posicao_contratual!$Y32),posicao_contratual!$Y32)+1),2))))))</f>
        <v/>
      </c>
      <c r="E32" s="79" t="str">
        <f>IF(OR($A32="",posicao_contratual!$Y32=""),"",IF(posicao_contratual!$Y32&gt;2,"",IF(NOT(ISNUMBER(itens_Remanesc!C32)),"",IF(posicao_contratual!$Y32=2,IF(IFERROR(IF(ISNUMBER(INDEX(aditivos!$O$2:$O$200,MATCH($A32,aditivos!$A$2:$A$200,0))),MIN(INDEX(aditivos!$O$2:$O$200,MATCH($A32,aditivos!$A$2:$A$200,0)),posicao_contratual!$Y32),posicao_contratual!$Y32),posicao_contratual!$Y32)=2,itens_Remanesc!C32,IFERROR(ROUND(itens_Remanesc!C32*INDEX($L$2:$L$6,MIN(2+1,COUNT($L$2:$L$6)))/INDEX($L$2:$L$6,MIN(IFERROR(IF(ISNUMBER(INDEX(aditivos!$O$2:$O$200,MATCH($A32,aditivos!$A$2:$A$200,0))),MIN(INDEX(aditivos!$O$2:$O$200,MATCH($A32,aditivos!$A$2:$A$200,0)),posicao_contratual!$Y32),posicao_contratual!$Y32),posicao_contratual!$Y32)+1,COUNT($L$2:$L$6))),2),"")),IF(OR(NOT(ISNUMBER($L$4)),NOT(ISNUMBER(INDEX($L$2:$L$6,IFERROR(IF(ISNUMBER(INDEX(aditivos!$O$2:$O$200,MATCH($A32,aditivos!$A$2:$A$200,0))),MIN(INDEX(aditivos!$O$2:$O$200,MATCH($A32,aditivos!$A$2:$A$200,0)),posicao_contratual!$Y32),posicao_contratual!$Y32),posicao_contratual!$Y32)+1)))),"",ROUND(itens_Remanesc!C32*$L$4/INDEX($L$2:$L$6,IFERROR(IF(ISNUMBER(INDEX(aditivos!$O$2:$O$200,MATCH($A32,aditivos!$A$2:$A$200,0))),MIN(INDEX(aditivos!$O$2:$O$200,MATCH($A32,aditivos!$A$2:$A$200,0)),posicao_contratual!$Y32),posicao_contratual!$Y32),posicao_contratual!$Y32)+1),2))))))</f>
        <v/>
      </c>
      <c r="F32" s="79" t="str">
        <f>IF(OR($A32="",posicao_contratual!$Y32=""),"",IF(posicao_contratual!$Y32&gt;3,"",IF(NOT(ISNUMBER(itens_Remanesc!C32)),"",IF(posicao_contratual!$Y32=3,IF(IFERROR(IF(ISNUMBER(INDEX(aditivos!$O$2:$O$200,MATCH($A32,aditivos!$A$2:$A$200,0))),MIN(INDEX(aditivos!$O$2:$O$200,MATCH($A32,aditivos!$A$2:$A$200,0)),posicao_contratual!$Y32),posicao_contratual!$Y32),posicao_contratual!$Y32)=3,itens_Remanesc!C32,IFERROR(ROUND(itens_Remanesc!C32*INDEX($L$2:$L$6,MIN(3+1,COUNT($L$2:$L$6)))/INDEX($L$2:$L$6,MIN(IFERROR(IF(ISNUMBER(INDEX(aditivos!$O$2:$O$200,MATCH($A32,aditivos!$A$2:$A$200,0))),MIN(INDEX(aditivos!$O$2:$O$200,MATCH($A32,aditivos!$A$2:$A$200,0)),posicao_contratual!$Y32),posicao_contratual!$Y32),posicao_contratual!$Y32)+1,COUNT($L$2:$L$6))),2),"")),IF(OR(NOT(ISNUMBER($L$5)),NOT(ISNUMBER(INDEX($L$2:$L$6,IFERROR(IF(ISNUMBER(INDEX(aditivos!$O$2:$O$200,MATCH($A32,aditivos!$A$2:$A$200,0))),MIN(INDEX(aditivos!$O$2:$O$200,MATCH($A32,aditivos!$A$2:$A$200,0)),posicao_contratual!$Y32),posicao_contratual!$Y32),posicao_contratual!$Y32)+1)))),"",ROUND(itens_Remanesc!C32*$L$5/INDEX($L$2:$L$6,IFERROR(IF(ISNUMBER(INDEX(aditivos!$O$2:$O$200,MATCH($A32,aditivos!$A$2:$A$200,0))),MIN(INDEX(aditivos!$O$2:$O$200,MATCH($A32,aditivos!$A$2:$A$200,0)),posicao_contratual!$Y32),posicao_contratual!$Y32),posicao_contratual!$Y32)+1),2))))))</f>
        <v/>
      </c>
      <c r="G32" s="79" t="str">
        <f>IF(OR($A32="",posicao_contratual!$Y32=""),"",IF(posicao_contratual!$Y32&gt;4,"",IF(NOT(ISNUMBER(itens_Remanesc!C32)),"",IF(posicao_contratual!$Y32=4,IF(IFERROR(IF(ISNUMBER(INDEX(aditivos!$O$2:$O$200,MATCH($A32,aditivos!$A$2:$A$200,0))),MIN(INDEX(aditivos!$O$2:$O$200,MATCH($A32,aditivos!$A$2:$A$200,0)),posicao_contratual!$Y32),posicao_contratual!$Y32),posicao_contratual!$Y32)=4,itens_Remanesc!C32,IFERROR(ROUND(itens_Remanesc!C32*INDEX($L$2:$L$6,MIN(4+1,COUNT($L$2:$L$6)))/INDEX($L$2:$L$6,MIN(IFERROR(IF(ISNUMBER(INDEX(aditivos!$O$2:$O$200,MATCH($A32,aditivos!$A$2:$A$200,0))),MIN(INDEX(aditivos!$O$2:$O$200,MATCH($A32,aditivos!$A$2:$A$200,0)),posicao_contratual!$Y32),posicao_contratual!$Y32),posicao_contratual!$Y32)+1,COUNT($L$2:$L$6))),2),"")),IF(OR(NOT(ISNUMBER($L$6)),NOT(ISNUMBER(INDEX($L$2:$L$6,IFERROR(IF(ISNUMBER(INDEX(aditivos!$O$2:$O$200,MATCH($A32,aditivos!$A$2:$A$200,0))),MIN(INDEX(aditivos!$O$2:$O$200,MATCH($A32,aditivos!$A$2:$A$200,0)),posicao_contratual!$Y32),posicao_contratual!$Y32),posicao_contratual!$Y32)+1)))),"",ROUND(itens_Remanesc!C32*$L$6/INDEX($L$2:$L$6,IFERROR(IF(ISNUMBER(INDEX(aditivos!$O$2:$O$200,MATCH($A32,aditivos!$A$2:$A$200,0))),MIN(INDEX(aditivos!$O$2:$O$200,MATCH($A32,aditivos!$A$2:$A$200,0)),posicao_contratual!$Y32),posicao_contratual!$Y32),posicao_contratual!$Y32)+1),2))))))</f>
        <v/>
      </c>
      <c r="H32" s="116" t="str">
        <f t="shared" si="0"/>
        <v/>
      </c>
      <c r="I32" s="14"/>
      <c r="J32" s="14"/>
      <c r="K32" s="14"/>
      <c r="L32" s="14"/>
      <c r="M32" s="14"/>
      <c r="N32" s="147" t="str">
        <f>IF(A32="","",IF(posicao_contratual!$Y32="","",IF(posicao_contratual!$Y32&gt;0,"",posicao_contratual!E32)))</f>
        <v/>
      </c>
      <c r="O32" s="147" t="str">
        <f>IF(A32="","",IF(posicao_contratual!$Y32="","",IF(posicao_contratual!$Y32&gt;1,"",posicao_contratual!I32)))</f>
        <v/>
      </c>
      <c r="P32" s="147" t="str">
        <f>IF(A32="","",IF(posicao_contratual!$Y32="","",IF(posicao_contratual!$Y32&gt;2,"",posicao_contratual!M32)))</f>
        <v/>
      </c>
      <c r="Q32" s="147" t="str">
        <f>IF(A32="","",IF(posicao_contratual!$Y32="","",IF(posicao_contratual!$Y32&gt;3,"",posicao_contratual!Q32)))</f>
        <v/>
      </c>
      <c r="R32" s="147" t="str">
        <f>IF(A32="","",IF(posicao_contratual!$Y32="","",IF(posicao_contratual!$Y32&gt;4,"",posicao_contratual!U32)))</f>
        <v/>
      </c>
      <c r="S32" s="167" t="str">
        <f>IF(A32="","",posicao_contratual!G32)</f>
        <v/>
      </c>
      <c r="T32" s="167" t="str">
        <f>IF(A32="","",posicao_contratual!K32)</f>
        <v/>
      </c>
      <c r="U32" s="167" t="str">
        <f>IF(A32="","",posicao_contratual!O32)</f>
        <v/>
      </c>
      <c r="V32" s="167" t="str">
        <f>IF(A32="","",posicao_contratual!S32)</f>
        <v/>
      </c>
      <c r="W32" s="167" t="str">
        <f>IF(A32="","",posicao_contratual!W32)</f>
        <v/>
      </c>
    </row>
    <row r="33" spans="1:23" x14ac:dyDescent="0.35">
      <c r="A33" s="86" t="str">
        <f>IF(itens_Remanesc!A33="","",itens_Remanesc!A33)</f>
        <v/>
      </c>
      <c r="B33" s="85" t="str">
        <f>IF(A33="","",IF(posicao_contratual!$Y33="","",IF(posicao_contratual!$Y33&gt;0,"",posicao_contratual!G33)))</f>
        <v/>
      </c>
      <c r="C33" s="79" t="str">
        <f>IF(itens_Remanesc!A33="","",IF(posicao_contratual!$Y33="","",IF(posicao_contratual!$Y33&gt;0,"",itens_Remanesc!C33)))</f>
        <v/>
      </c>
      <c r="D33" s="79" t="str">
        <f>IF(OR($A33="",posicao_contratual!$Y33=""),"",IF(posicao_contratual!$Y33&gt;1,"",IF(NOT(ISNUMBER(itens_Remanesc!C33)),"",IF(posicao_contratual!$Y33=1,IF(IFERROR(IF(ISNUMBER(INDEX(aditivos!$O$2:$O$200,MATCH($A33,aditivos!$A$2:$A$200,0))),MIN(INDEX(aditivos!$O$2:$O$200,MATCH($A33,aditivos!$A$2:$A$200,0)),posicao_contratual!$Y33),posicao_contratual!$Y33),posicao_contratual!$Y33)=1,itens_Remanesc!C33,IFERROR(ROUND(itens_Remanesc!C33*INDEX($L$2:$L$6,MIN(1+1,COUNT($L$2:$L$6)))/INDEX($L$2:$L$6,MIN(IFERROR(IF(ISNUMBER(INDEX(aditivos!$O$2:$O$200,MATCH($A33,aditivos!$A$2:$A$200,0))),MIN(INDEX(aditivos!$O$2:$O$200,MATCH($A33,aditivos!$A$2:$A$200,0)),posicao_contratual!$Y33),posicao_contratual!$Y33),posicao_contratual!$Y33)+1,COUNT($L$2:$L$6))),2),"")),IF(OR(NOT(ISNUMBER($L$3)),NOT(ISNUMBER(INDEX($L$2:$L$6,IFERROR(IF(ISNUMBER(INDEX(aditivos!$O$2:$O$200,MATCH($A33,aditivos!$A$2:$A$200,0))),MIN(INDEX(aditivos!$O$2:$O$200,MATCH($A33,aditivos!$A$2:$A$200,0)),posicao_contratual!$Y33),posicao_contratual!$Y33),posicao_contratual!$Y33)+1)))),"",ROUND(itens_Remanesc!C33*$L$3/INDEX($L$2:$L$6,IFERROR(IF(ISNUMBER(INDEX(aditivos!$O$2:$O$200,MATCH($A33,aditivos!$A$2:$A$200,0))),MIN(INDEX(aditivos!$O$2:$O$200,MATCH($A33,aditivos!$A$2:$A$200,0)),posicao_contratual!$Y33),posicao_contratual!$Y33),posicao_contratual!$Y33)+1),2))))))</f>
        <v/>
      </c>
      <c r="E33" s="79" t="str">
        <f>IF(OR($A33="",posicao_contratual!$Y33=""),"",IF(posicao_contratual!$Y33&gt;2,"",IF(NOT(ISNUMBER(itens_Remanesc!C33)),"",IF(posicao_contratual!$Y33=2,IF(IFERROR(IF(ISNUMBER(INDEX(aditivos!$O$2:$O$200,MATCH($A33,aditivos!$A$2:$A$200,0))),MIN(INDEX(aditivos!$O$2:$O$200,MATCH($A33,aditivos!$A$2:$A$200,0)),posicao_contratual!$Y33),posicao_contratual!$Y33),posicao_contratual!$Y33)=2,itens_Remanesc!C33,IFERROR(ROUND(itens_Remanesc!C33*INDEX($L$2:$L$6,MIN(2+1,COUNT($L$2:$L$6)))/INDEX($L$2:$L$6,MIN(IFERROR(IF(ISNUMBER(INDEX(aditivos!$O$2:$O$200,MATCH($A33,aditivos!$A$2:$A$200,0))),MIN(INDEX(aditivos!$O$2:$O$200,MATCH($A33,aditivos!$A$2:$A$200,0)),posicao_contratual!$Y33),posicao_contratual!$Y33),posicao_contratual!$Y33)+1,COUNT($L$2:$L$6))),2),"")),IF(OR(NOT(ISNUMBER($L$4)),NOT(ISNUMBER(INDEX($L$2:$L$6,IFERROR(IF(ISNUMBER(INDEX(aditivos!$O$2:$O$200,MATCH($A33,aditivos!$A$2:$A$200,0))),MIN(INDEX(aditivos!$O$2:$O$200,MATCH($A33,aditivos!$A$2:$A$200,0)),posicao_contratual!$Y33),posicao_contratual!$Y33),posicao_contratual!$Y33)+1)))),"",ROUND(itens_Remanesc!C33*$L$4/INDEX($L$2:$L$6,IFERROR(IF(ISNUMBER(INDEX(aditivos!$O$2:$O$200,MATCH($A33,aditivos!$A$2:$A$200,0))),MIN(INDEX(aditivos!$O$2:$O$200,MATCH($A33,aditivos!$A$2:$A$200,0)),posicao_contratual!$Y33),posicao_contratual!$Y33),posicao_contratual!$Y33)+1),2))))))</f>
        <v/>
      </c>
      <c r="F33" s="79" t="str">
        <f>IF(OR($A33="",posicao_contratual!$Y33=""),"",IF(posicao_contratual!$Y33&gt;3,"",IF(NOT(ISNUMBER(itens_Remanesc!C33)),"",IF(posicao_contratual!$Y33=3,IF(IFERROR(IF(ISNUMBER(INDEX(aditivos!$O$2:$O$200,MATCH($A33,aditivos!$A$2:$A$200,0))),MIN(INDEX(aditivos!$O$2:$O$200,MATCH($A33,aditivos!$A$2:$A$200,0)),posicao_contratual!$Y33),posicao_contratual!$Y33),posicao_contratual!$Y33)=3,itens_Remanesc!C33,IFERROR(ROUND(itens_Remanesc!C33*INDEX($L$2:$L$6,MIN(3+1,COUNT($L$2:$L$6)))/INDEX($L$2:$L$6,MIN(IFERROR(IF(ISNUMBER(INDEX(aditivos!$O$2:$O$200,MATCH($A33,aditivos!$A$2:$A$200,0))),MIN(INDEX(aditivos!$O$2:$O$200,MATCH($A33,aditivos!$A$2:$A$200,0)),posicao_contratual!$Y33),posicao_contratual!$Y33),posicao_contratual!$Y33)+1,COUNT($L$2:$L$6))),2),"")),IF(OR(NOT(ISNUMBER($L$5)),NOT(ISNUMBER(INDEX($L$2:$L$6,IFERROR(IF(ISNUMBER(INDEX(aditivos!$O$2:$O$200,MATCH($A33,aditivos!$A$2:$A$200,0))),MIN(INDEX(aditivos!$O$2:$O$200,MATCH($A33,aditivos!$A$2:$A$200,0)),posicao_contratual!$Y33),posicao_contratual!$Y33),posicao_contratual!$Y33)+1)))),"",ROUND(itens_Remanesc!C33*$L$5/INDEX($L$2:$L$6,IFERROR(IF(ISNUMBER(INDEX(aditivos!$O$2:$O$200,MATCH($A33,aditivos!$A$2:$A$200,0))),MIN(INDEX(aditivos!$O$2:$O$200,MATCH($A33,aditivos!$A$2:$A$200,0)),posicao_contratual!$Y33),posicao_contratual!$Y33),posicao_contratual!$Y33)+1),2))))))</f>
        <v/>
      </c>
      <c r="G33" s="79" t="str">
        <f>IF(OR($A33="",posicao_contratual!$Y33=""),"",IF(posicao_contratual!$Y33&gt;4,"",IF(NOT(ISNUMBER(itens_Remanesc!C33)),"",IF(posicao_contratual!$Y33=4,IF(IFERROR(IF(ISNUMBER(INDEX(aditivos!$O$2:$O$200,MATCH($A33,aditivos!$A$2:$A$200,0))),MIN(INDEX(aditivos!$O$2:$O$200,MATCH($A33,aditivos!$A$2:$A$200,0)),posicao_contratual!$Y33),posicao_contratual!$Y33),posicao_contratual!$Y33)=4,itens_Remanesc!C33,IFERROR(ROUND(itens_Remanesc!C33*INDEX($L$2:$L$6,MIN(4+1,COUNT($L$2:$L$6)))/INDEX($L$2:$L$6,MIN(IFERROR(IF(ISNUMBER(INDEX(aditivos!$O$2:$O$200,MATCH($A33,aditivos!$A$2:$A$200,0))),MIN(INDEX(aditivos!$O$2:$O$200,MATCH($A33,aditivos!$A$2:$A$200,0)),posicao_contratual!$Y33),posicao_contratual!$Y33),posicao_contratual!$Y33)+1,COUNT($L$2:$L$6))),2),"")),IF(OR(NOT(ISNUMBER($L$6)),NOT(ISNUMBER(INDEX($L$2:$L$6,IFERROR(IF(ISNUMBER(INDEX(aditivos!$O$2:$O$200,MATCH($A33,aditivos!$A$2:$A$200,0))),MIN(INDEX(aditivos!$O$2:$O$200,MATCH($A33,aditivos!$A$2:$A$200,0)),posicao_contratual!$Y33),posicao_contratual!$Y33),posicao_contratual!$Y33)+1)))),"",ROUND(itens_Remanesc!C33*$L$6/INDEX($L$2:$L$6,IFERROR(IF(ISNUMBER(INDEX(aditivos!$O$2:$O$200,MATCH($A33,aditivos!$A$2:$A$200,0))),MIN(INDEX(aditivos!$O$2:$O$200,MATCH($A33,aditivos!$A$2:$A$200,0)),posicao_contratual!$Y33),posicao_contratual!$Y33),posicao_contratual!$Y33)+1),2))))))</f>
        <v/>
      </c>
      <c r="H33" s="116" t="str">
        <f t="shared" si="0"/>
        <v/>
      </c>
      <c r="I33" s="14"/>
      <c r="J33" s="14"/>
      <c r="K33" s="14"/>
      <c r="L33" s="14"/>
      <c r="M33" s="14"/>
      <c r="N33" s="147" t="str">
        <f>IF(A33="","",IF(posicao_contratual!$Y33="","",IF(posicao_contratual!$Y33&gt;0,"",posicao_contratual!E33)))</f>
        <v/>
      </c>
      <c r="O33" s="147" t="str">
        <f>IF(A33="","",IF(posicao_contratual!$Y33="","",IF(posicao_contratual!$Y33&gt;1,"",posicao_contratual!I33)))</f>
        <v/>
      </c>
      <c r="P33" s="147" t="str">
        <f>IF(A33="","",IF(posicao_contratual!$Y33="","",IF(posicao_contratual!$Y33&gt;2,"",posicao_contratual!M33)))</f>
        <v/>
      </c>
      <c r="Q33" s="147" t="str">
        <f>IF(A33="","",IF(posicao_contratual!$Y33="","",IF(posicao_contratual!$Y33&gt;3,"",posicao_contratual!Q33)))</f>
        <v/>
      </c>
      <c r="R33" s="147" t="str">
        <f>IF(A33="","",IF(posicao_contratual!$Y33="","",IF(posicao_contratual!$Y33&gt;4,"",posicao_contratual!U33)))</f>
        <v/>
      </c>
      <c r="S33" s="167" t="str">
        <f>IF(A33="","",posicao_contratual!G33)</f>
        <v/>
      </c>
      <c r="T33" s="167" t="str">
        <f>IF(A33="","",posicao_contratual!K33)</f>
        <v/>
      </c>
      <c r="U33" s="167" t="str">
        <f>IF(A33="","",posicao_contratual!O33)</f>
        <v/>
      </c>
      <c r="V33" s="167" t="str">
        <f>IF(A33="","",posicao_contratual!S33)</f>
        <v/>
      </c>
      <c r="W33" s="167" t="str">
        <f>IF(A33="","",posicao_contratual!W33)</f>
        <v/>
      </c>
    </row>
    <row r="34" spans="1:23" x14ac:dyDescent="0.35">
      <c r="A34" s="86" t="str">
        <f>IF(itens_Remanesc!A34="","",itens_Remanesc!A34)</f>
        <v/>
      </c>
      <c r="B34" s="85" t="str">
        <f>IF(A34="","",IF(posicao_contratual!$Y34="","",IF(posicao_contratual!$Y34&gt;0,"",posicao_contratual!G34)))</f>
        <v/>
      </c>
      <c r="C34" s="79" t="str">
        <f>IF(itens_Remanesc!A34="","",IF(posicao_contratual!$Y34="","",IF(posicao_contratual!$Y34&gt;0,"",itens_Remanesc!C34)))</f>
        <v/>
      </c>
      <c r="D34" s="79" t="str">
        <f>IF(OR($A34="",posicao_contratual!$Y34=""),"",IF(posicao_contratual!$Y34&gt;1,"",IF(NOT(ISNUMBER(itens_Remanesc!C34)),"",IF(posicao_contratual!$Y34=1,IF(IFERROR(IF(ISNUMBER(INDEX(aditivos!$O$2:$O$200,MATCH($A34,aditivos!$A$2:$A$200,0))),MIN(INDEX(aditivos!$O$2:$O$200,MATCH($A34,aditivos!$A$2:$A$200,0)),posicao_contratual!$Y34),posicao_contratual!$Y34),posicao_contratual!$Y34)=1,itens_Remanesc!C34,IFERROR(ROUND(itens_Remanesc!C34*INDEX($L$2:$L$6,MIN(1+1,COUNT($L$2:$L$6)))/INDEX($L$2:$L$6,MIN(IFERROR(IF(ISNUMBER(INDEX(aditivos!$O$2:$O$200,MATCH($A34,aditivos!$A$2:$A$200,0))),MIN(INDEX(aditivos!$O$2:$O$200,MATCH($A34,aditivos!$A$2:$A$200,0)),posicao_contratual!$Y34),posicao_contratual!$Y34),posicao_contratual!$Y34)+1,COUNT($L$2:$L$6))),2),"")),IF(OR(NOT(ISNUMBER($L$3)),NOT(ISNUMBER(INDEX($L$2:$L$6,IFERROR(IF(ISNUMBER(INDEX(aditivos!$O$2:$O$200,MATCH($A34,aditivos!$A$2:$A$200,0))),MIN(INDEX(aditivos!$O$2:$O$200,MATCH($A34,aditivos!$A$2:$A$200,0)),posicao_contratual!$Y34),posicao_contratual!$Y34),posicao_contratual!$Y34)+1)))),"",ROUND(itens_Remanesc!C34*$L$3/INDEX($L$2:$L$6,IFERROR(IF(ISNUMBER(INDEX(aditivos!$O$2:$O$200,MATCH($A34,aditivos!$A$2:$A$200,0))),MIN(INDEX(aditivos!$O$2:$O$200,MATCH($A34,aditivos!$A$2:$A$200,0)),posicao_contratual!$Y34),posicao_contratual!$Y34),posicao_contratual!$Y34)+1),2))))))</f>
        <v/>
      </c>
      <c r="E34" s="79" t="str">
        <f>IF(OR($A34="",posicao_contratual!$Y34=""),"",IF(posicao_contratual!$Y34&gt;2,"",IF(NOT(ISNUMBER(itens_Remanesc!C34)),"",IF(posicao_contratual!$Y34=2,IF(IFERROR(IF(ISNUMBER(INDEX(aditivos!$O$2:$O$200,MATCH($A34,aditivos!$A$2:$A$200,0))),MIN(INDEX(aditivos!$O$2:$O$200,MATCH($A34,aditivos!$A$2:$A$200,0)),posicao_contratual!$Y34),posicao_contratual!$Y34),posicao_contratual!$Y34)=2,itens_Remanesc!C34,IFERROR(ROUND(itens_Remanesc!C34*INDEX($L$2:$L$6,MIN(2+1,COUNT($L$2:$L$6)))/INDEX($L$2:$L$6,MIN(IFERROR(IF(ISNUMBER(INDEX(aditivos!$O$2:$O$200,MATCH($A34,aditivos!$A$2:$A$200,0))),MIN(INDEX(aditivos!$O$2:$O$200,MATCH($A34,aditivos!$A$2:$A$200,0)),posicao_contratual!$Y34),posicao_contratual!$Y34),posicao_contratual!$Y34)+1,COUNT($L$2:$L$6))),2),"")),IF(OR(NOT(ISNUMBER($L$4)),NOT(ISNUMBER(INDEX($L$2:$L$6,IFERROR(IF(ISNUMBER(INDEX(aditivos!$O$2:$O$200,MATCH($A34,aditivos!$A$2:$A$200,0))),MIN(INDEX(aditivos!$O$2:$O$200,MATCH($A34,aditivos!$A$2:$A$200,0)),posicao_contratual!$Y34),posicao_contratual!$Y34),posicao_contratual!$Y34)+1)))),"",ROUND(itens_Remanesc!C34*$L$4/INDEX($L$2:$L$6,IFERROR(IF(ISNUMBER(INDEX(aditivos!$O$2:$O$200,MATCH($A34,aditivos!$A$2:$A$200,0))),MIN(INDEX(aditivos!$O$2:$O$200,MATCH($A34,aditivos!$A$2:$A$200,0)),posicao_contratual!$Y34),posicao_contratual!$Y34),posicao_contratual!$Y34)+1),2))))))</f>
        <v/>
      </c>
      <c r="F34" s="79" t="str">
        <f>IF(OR($A34="",posicao_contratual!$Y34=""),"",IF(posicao_contratual!$Y34&gt;3,"",IF(NOT(ISNUMBER(itens_Remanesc!C34)),"",IF(posicao_contratual!$Y34=3,IF(IFERROR(IF(ISNUMBER(INDEX(aditivos!$O$2:$O$200,MATCH($A34,aditivos!$A$2:$A$200,0))),MIN(INDEX(aditivos!$O$2:$O$200,MATCH($A34,aditivos!$A$2:$A$200,0)),posicao_contratual!$Y34),posicao_contratual!$Y34),posicao_contratual!$Y34)=3,itens_Remanesc!C34,IFERROR(ROUND(itens_Remanesc!C34*INDEX($L$2:$L$6,MIN(3+1,COUNT($L$2:$L$6)))/INDEX($L$2:$L$6,MIN(IFERROR(IF(ISNUMBER(INDEX(aditivos!$O$2:$O$200,MATCH($A34,aditivos!$A$2:$A$200,0))),MIN(INDEX(aditivos!$O$2:$O$200,MATCH($A34,aditivos!$A$2:$A$200,0)),posicao_contratual!$Y34),posicao_contratual!$Y34),posicao_contratual!$Y34)+1,COUNT($L$2:$L$6))),2),"")),IF(OR(NOT(ISNUMBER($L$5)),NOT(ISNUMBER(INDEX($L$2:$L$6,IFERROR(IF(ISNUMBER(INDEX(aditivos!$O$2:$O$200,MATCH($A34,aditivos!$A$2:$A$200,0))),MIN(INDEX(aditivos!$O$2:$O$200,MATCH($A34,aditivos!$A$2:$A$200,0)),posicao_contratual!$Y34),posicao_contratual!$Y34),posicao_contratual!$Y34)+1)))),"",ROUND(itens_Remanesc!C34*$L$5/INDEX($L$2:$L$6,IFERROR(IF(ISNUMBER(INDEX(aditivos!$O$2:$O$200,MATCH($A34,aditivos!$A$2:$A$200,0))),MIN(INDEX(aditivos!$O$2:$O$200,MATCH($A34,aditivos!$A$2:$A$200,0)),posicao_contratual!$Y34),posicao_contratual!$Y34),posicao_contratual!$Y34)+1),2))))))</f>
        <v/>
      </c>
      <c r="G34" s="79" t="str">
        <f>IF(OR($A34="",posicao_contratual!$Y34=""),"",IF(posicao_contratual!$Y34&gt;4,"",IF(NOT(ISNUMBER(itens_Remanesc!C34)),"",IF(posicao_contratual!$Y34=4,IF(IFERROR(IF(ISNUMBER(INDEX(aditivos!$O$2:$O$200,MATCH($A34,aditivos!$A$2:$A$200,0))),MIN(INDEX(aditivos!$O$2:$O$200,MATCH($A34,aditivos!$A$2:$A$200,0)),posicao_contratual!$Y34),posicao_contratual!$Y34),posicao_contratual!$Y34)=4,itens_Remanesc!C34,IFERROR(ROUND(itens_Remanesc!C34*INDEX($L$2:$L$6,MIN(4+1,COUNT($L$2:$L$6)))/INDEX($L$2:$L$6,MIN(IFERROR(IF(ISNUMBER(INDEX(aditivos!$O$2:$O$200,MATCH($A34,aditivos!$A$2:$A$200,0))),MIN(INDEX(aditivos!$O$2:$O$200,MATCH($A34,aditivos!$A$2:$A$200,0)),posicao_contratual!$Y34),posicao_contratual!$Y34),posicao_contratual!$Y34)+1,COUNT($L$2:$L$6))),2),"")),IF(OR(NOT(ISNUMBER($L$6)),NOT(ISNUMBER(INDEX($L$2:$L$6,IFERROR(IF(ISNUMBER(INDEX(aditivos!$O$2:$O$200,MATCH($A34,aditivos!$A$2:$A$200,0))),MIN(INDEX(aditivos!$O$2:$O$200,MATCH($A34,aditivos!$A$2:$A$200,0)),posicao_contratual!$Y34),posicao_contratual!$Y34),posicao_contratual!$Y34)+1)))),"",ROUND(itens_Remanesc!C34*$L$6/INDEX($L$2:$L$6,IFERROR(IF(ISNUMBER(INDEX(aditivos!$O$2:$O$200,MATCH($A34,aditivos!$A$2:$A$200,0))),MIN(INDEX(aditivos!$O$2:$O$200,MATCH($A34,aditivos!$A$2:$A$200,0)),posicao_contratual!$Y34),posicao_contratual!$Y34),posicao_contratual!$Y34)+1),2))))))</f>
        <v/>
      </c>
      <c r="H34" s="116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47" t="str">
        <f>IF(A34="","",IF(posicao_contratual!$Y34="","",IF(posicao_contratual!$Y34&gt;0,"",posicao_contratual!E34)))</f>
        <v/>
      </c>
      <c r="O34" s="147" t="str">
        <f>IF(A34="","",IF(posicao_contratual!$Y34="","",IF(posicao_contratual!$Y34&gt;1,"",posicao_contratual!I34)))</f>
        <v/>
      </c>
      <c r="P34" s="147" t="str">
        <f>IF(A34="","",IF(posicao_contratual!$Y34="","",IF(posicao_contratual!$Y34&gt;2,"",posicao_contratual!M34)))</f>
        <v/>
      </c>
      <c r="Q34" s="147" t="str">
        <f>IF(A34="","",IF(posicao_contratual!$Y34="","",IF(posicao_contratual!$Y34&gt;3,"",posicao_contratual!Q34)))</f>
        <v/>
      </c>
      <c r="R34" s="147" t="str">
        <f>IF(A34="","",IF(posicao_contratual!$Y34="","",IF(posicao_contratual!$Y34&gt;4,"",posicao_contratual!U34)))</f>
        <v/>
      </c>
      <c r="S34" s="167" t="str">
        <f>IF(A34="","",posicao_contratual!G34)</f>
        <v/>
      </c>
      <c r="T34" s="167" t="str">
        <f>IF(A34="","",posicao_contratual!K34)</f>
        <v/>
      </c>
      <c r="U34" s="167" t="str">
        <f>IF(A34="","",posicao_contratual!O34)</f>
        <v/>
      </c>
      <c r="V34" s="167" t="str">
        <f>IF(A34="","",posicao_contratual!S34)</f>
        <v/>
      </c>
      <c r="W34" s="167" t="str">
        <f>IF(A34="","",posicao_contratual!W34)</f>
        <v/>
      </c>
    </row>
    <row r="35" spans="1:23" x14ac:dyDescent="0.35">
      <c r="A35" s="86" t="str">
        <f>IF(itens_Remanesc!A35="","",itens_Remanesc!A35)</f>
        <v/>
      </c>
      <c r="B35" s="85" t="str">
        <f>IF(A35="","",IF(posicao_contratual!$Y35="","",IF(posicao_contratual!$Y35&gt;0,"",posicao_contratual!G35)))</f>
        <v/>
      </c>
      <c r="C35" s="79" t="str">
        <f>IF(itens_Remanesc!A35="","",IF(posicao_contratual!$Y35="","",IF(posicao_contratual!$Y35&gt;0,"",itens_Remanesc!C35)))</f>
        <v/>
      </c>
      <c r="D35" s="79" t="str">
        <f>IF(OR($A35="",posicao_contratual!$Y35=""),"",IF(posicao_contratual!$Y35&gt;1,"",IF(NOT(ISNUMBER(itens_Remanesc!C35)),"",IF(posicao_contratual!$Y35=1,IF(IFERROR(IF(ISNUMBER(INDEX(aditivos!$O$2:$O$200,MATCH($A35,aditivos!$A$2:$A$200,0))),MIN(INDEX(aditivos!$O$2:$O$200,MATCH($A35,aditivos!$A$2:$A$200,0)),posicao_contratual!$Y35),posicao_contratual!$Y35),posicao_contratual!$Y35)=1,itens_Remanesc!C35,IFERROR(ROUND(itens_Remanesc!C35*INDEX($L$2:$L$6,MIN(1+1,COUNT($L$2:$L$6)))/INDEX($L$2:$L$6,MIN(IFERROR(IF(ISNUMBER(INDEX(aditivos!$O$2:$O$200,MATCH($A35,aditivos!$A$2:$A$200,0))),MIN(INDEX(aditivos!$O$2:$O$200,MATCH($A35,aditivos!$A$2:$A$200,0)),posicao_contratual!$Y35),posicao_contratual!$Y35),posicao_contratual!$Y35)+1,COUNT($L$2:$L$6))),2),"")),IF(OR(NOT(ISNUMBER($L$3)),NOT(ISNUMBER(INDEX($L$2:$L$6,IFERROR(IF(ISNUMBER(INDEX(aditivos!$O$2:$O$200,MATCH($A35,aditivos!$A$2:$A$200,0))),MIN(INDEX(aditivos!$O$2:$O$200,MATCH($A35,aditivos!$A$2:$A$200,0)),posicao_contratual!$Y35),posicao_contratual!$Y35),posicao_contratual!$Y35)+1)))),"",ROUND(itens_Remanesc!C35*$L$3/INDEX($L$2:$L$6,IFERROR(IF(ISNUMBER(INDEX(aditivos!$O$2:$O$200,MATCH($A35,aditivos!$A$2:$A$200,0))),MIN(INDEX(aditivos!$O$2:$O$200,MATCH($A35,aditivos!$A$2:$A$200,0)),posicao_contratual!$Y35),posicao_contratual!$Y35),posicao_contratual!$Y35)+1),2))))))</f>
        <v/>
      </c>
      <c r="E35" s="79" t="str">
        <f>IF(OR($A35="",posicao_contratual!$Y35=""),"",IF(posicao_contratual!$Y35&gt;2,"",IF(NOT(ISNUMBER(itens_Remanesc!C35)),"",IF(posicao_contratual!$Y35=2,IF(IFERROR(IF(ISNUMBER(INDEX(aditivos!$O$2:$O$200,MATCH($A35,aditivos!$A$2:$A$200,0))),MIN(INDEX(aditivos!$O$2:$O$200,MATCH($A35,aditivos!$A$2:$A$200,0)),posicao_contratual!$Y35),posicao_contratual!$Y35),posicao_contratual!$Y35)=2,itens_Remanesc!C35,IFERROR(ROUND(itens_Remanesc!C35*INDEX($L$2:$L$6,MIN(2+1,COUNT($L$2:$L$6)))/INDEX($L$2:$L$6,MIN(IFERROR(IF(ISNUMBER(INDEX(aditivos!$O$2:$O$200,MATCH($A35,aditivos!$A$2:$A$200,0))),MIN(INDEX(aditivos!$O$2:$O$200,MATCH($A35,aditivos!$A$2:$A$200,0)),posicao_contratual!$Y35),posicao_contratual!$Y35),posicao_contratual!$Y35)+1,COUNT($L$2:$L$6))),2),"")),IF(OR(NOT(ISNUMBER($L$4)),NOT(ISNUMBER(INDEX($L$2:$L$6,IFERROR(IF(ISNUMBER(INDEX(aditivos!$O$2:$O$200,MATCH($A35,aditivos!$A$2:$A$200,0))),MIN(INDEX(aditivos!$O$2:$O$200,MATCH($A35,aditivos!$A$2:$A$200,0)),posicao_contratual!$Y35),posicao_contratual!$Y35),posicao_contratual!$Y35)+1)))),"",ROUND(itens_Remanesc!C35*$L$4/INDEX($L$2:$L$6,IFERROR(IF(ISNUMBER(INDEX(aditivos!$O$2:$O$200,MATCH($A35,aditivos!$A$2:$A$200,0))),MIN(INDEX(aditivos!$O$2:$O$200,MATCH($A35,aditivos!$A$2:$A$200,0)),posicao_contratual!$Y35),posicao_contratual!$Y35),posicao_contratual!$Y35)+1),2))))))</f>
        <v/>
      </c>
      <c r="F35" s="79" t="str">
        <f>IF(OR($A35="",posicao_contratual!$Y35=""),"",IF(posicao_contratual!$Y35&gt;3,"",IF(NOT(ISNUMBER(itens_Remanesc!C35)),"",IF(posicao_contratual!$Y35=3,IF(IFERROR(IF(ISNUMBER(INDEX(aditivos!$O$2:$O$200,MATCH($A35,aditivos!$A$2:$A$200,0))),MIN(INDEX(aditivos!$O$2:$O$200,MATCH($A35,aditivos!$A$2:$A$200,0)),posicao_contratual!$Y35),posicao_contratual!$Y35),posicao_contratual!$Y35)=3,itens_Remanesc!C35,IFERROR(ROUND(itens_Remanesc!C35*INDEX($L$2:$L$6,MIN(3+1,COUNT($L$2:$L$6)))/INDEX($L$2:$L$6,MIN(IFERROR(IF(ISNUMBER(INDEX(aditivos!$O$2:$O$200,MATCH($A35,aditivos!$A$2:$A$200,0))),MIN(INDEX(aditivos!$O$2:$O$200,MATCH($A35,aditivos!$A$2:$A$200,0)),posicao_contratual!$Y35),posicao_contratual!$Y35),posicao_contratual!$Y35)+1,COUNT($L$2:$L$6))),2),"")),IF(OR(NOT(ISNUMBER($L$5)),NOT(ISNUMBER(INDEX($L$2:$L$6,IFERROR(IF(ISNUMBER(INDEX(aditivos!$O$2:$O$200,MATCH($A35,aditivos!$A$2:$A$200,0))),MIN(INDEX(aditivos!$O$2:$O$200,MATCH($A35,aditivos!$A$2:$A$200,0)),posicao_contratual!$Y35),posicao_contratual!$Y35),posicao_contratual!$Y35)+1)))),"",ROUND(itens_Remanesc!C35*$L$5/INDEX($L$2:$L$6,IFERROR(IF(ISNUMBER(INDEX(aditivos!$O$2:$O$200,MATCH($A35,aditivos!$A$2:$A$200,0))),MIN(INDEX(aditivos!$O$2:$O$200,MATCH($A35,aditivos!$A$2:$A$200,0)),posicao_contratual!$Y35),posicao_contratual!$Y35),posicao_contratual!$Y35)+1),2))))))</f>
        <v/>
      </c>
      <c r="G35" s="79" t="str">
        <f>IF(OR($A35="",posicao_contratual!$Y35=""),"",IF(posicao_contratual!$Y35&gt;4,"",IF(NOT(ISNUMBER(itens_Remanesc!C35)),"",IF(posicao_contratual!$Y35=4,IF(IFERROR(IF(ISNUMBER(INDEX(aditivos!$O$2:$O$200,MATCH($A35,aditivos!$A$2:$A$200,0))),MIN(INDEX(aditivos!$O$2:$O$200,MATCH($A35,aditivos!$A$2:$A$200,0)),posicao_contratual!$Y35),posicao_contratual!$Y35),posicao_contratual!$Y35)=4,itens_Remanesc!C35,IFERROR(ROUND(itens_Remanesc!C35*INDEX($L$2:$L$6,MIN(4+1,COUNT($L$2:$L$6)))/INDEX($L$2:$L$6,MIN(IFERROR(IF(ISNUMBER(INDEX(aditivos!$O$2:$O$200,MATCH($A35,aditivos!$A$2:$A$200,0))),MIN(INDEX(aditivos!$O$2:$O$200,MATCH($A35,aditivos!$A$2:$A$200,0)),posicao_contratual!$Y35),posicao_contratual!$Y35),posicao_contratual!$Y35)+1,COUNT($L$2:$L$6))),2),"")),IF(OR(NOT(ISNUMBER($L$6)),NOT(ISNUMBER(INDEX($L$2:$L$6,IFERROR(IF(ISNUMBER(INDEX(aditivos!$O$2:$O$200,MATCH($A35,aditivos!$A$2:$A$200,0))),MIN(INDEX(aditivos!$O$2:$O$200,MATCH($A35,aditivos!$A$2:$A$200,0)),posicao_contratual!$Y35),posicao_contratual!$Y35),posicao_contratual!$Y35)+1)))),"",ROUND(itens_Remanesc!C35*$L$6/INDEX($L$2:$L$6,IFERROR(IF(ISNUMBER(INDEX(aditivos!$O$2:$O$200,MATCH($A35,aditivos!$A$2:$A$200,0))),MIN(INDEX(aditivos!$O$2:$O$200,MATCH($A35,aditivos!$A$2:$A$200,0)),posicao_contratual!$Y35),posicao_contratual!$Y35),posicao_contratual!$Y35)+1),2))))))</f>
        <v/>
      </c>
      <c r="H35" s="116" t="str">
        <f t="shared" si="1"/>
        <v/>
      </c>
      <c r="I35" s="14"/>
      <c r="J35" s="14"/>
      <c r="K35" s="14"/>
      <c r="L35" s="14"/>
      <c r="M35" s="14"/>
      <c r="N35" s="147" t="str">
        <f>IF(A35="","",IF(posicao_contratual!$Y35="","",IF(posicao_contratual!$Y35&gt;0,"",posicao_contratual!E35)))</f>
        <v/>
      </c>
      <c r="O35" s="147" t="str">
        <f>IF(A35="","",IF(posicao_contratual!$Y35="","",IF(posicao_contratual!$Y35&gt;1,"",posicao_contratual!I35)))</f>
        <v/>
      </c>
      <c r="P35" s="147" t="str">
        <f>IF(A35="","",IF(posicao_contratual!$Y35="","",IF(posicao_contratual!$Y35&gt;2,"",posicao_contratual!M35)))</f>
        <v/>
      </c>
      <c r="Q35" s="147" t="str">
        <f>IF(A35="","",IF(posicao_contratual!$Y35="","",IF(posicao_contratual!$Y35&gt;3,"",posicao_contratual!Q35)))</f>
        <v/>
      </c>
      <c r="R35" s="147" t="str">
        <f>IF(A35="","",IF(posicao_contratual!$Y35="","",IF(posicao_contratual!$Y35&gt;4,"",posicao_contratual!U35)))</f>
        <v/>
      </c>
      <c r="S35" s="167" t="str">
        <f>IF(A35="","",posicao_contratual!G35)</f>
        <v/>
      </c>
      <c r="T35" s="167" t="str">
        <f>IF(A35="","",posicao_contratual!K35)</f>
        <v/>
      </c>
      <c r="U35" s="167" t="str">
        <f>IF(A35="","",posicao_contratual!O35)</f>
        <v/>
      </c>
      <c r="V35" s="167" t="str">
        <f>IF(A35="","",posicao_contratual!S35)</f>
        <v/>
      </c>
      <c r="W35" s="167" t="str">
        <f>IF(A35="","",posicao_contratual!W35)</f>
        <v/>
      </c>
    </row>
    <row r="36" spans="1:23" x14ac:dyDescent="0.35">
      <c r="A36" s="86" t="str">
        <f>IF(itens_Remanesc!A36="","",itens_Remanesc!A36)</f>
        <v/>
      </c>
      <c r="B36" s="85" t="str">
        <f>IF(A36="","",IF(posicao_contratual!$Y36="","",IF(posicao_contratual!$Y36&gt;0,"",posicao_contratual!G36)))</f>
        <v/>
      </c>
      <c r="C36" s="79" t="str">
        <f>IF(itens_Remanesc!A36="","",IF(posicao_contratual!$Y36="","",IF(posicao_contratual!$Y36&gt;0,"",itens_Remanesc!C36)))</f>
        <v/>
      </c>
      <c r="D36" s="79" t="str">
        <f>IF(OR($A36="",posicao_contratual!$Y36=""),"",IF(posicao_contratual!$Y36&gt;1,"",IF(NOT(ISNUMBER(itens_Remanesc!C36)),"",IF(posicao_contratual!$Y36=1,IF(IFERROR(IF(ISNUMBER(INDEX(aditivos!$O$2:$O$200,MATCH($A36,aditivos!$A$2:$A$200,0))),MIN(INDEX(aditivos!$O$2:$O$200,MATCH($A36,aditivos!$A$2:$A$200,0)),posicao_contratual!$Y36),posicao_contratual!$Y36),posicao_contratual!$Y36)=1,itens_Remanesc!C36,IFERROR(ROUND(itens_Remanesc!C36*INDEX($L$2:$L$6,MIN(1+1,COUNT($L$2:$L$6)))/INDEX($L$2:$L$6,MIN(IFERROR(IF(ISNUMBER(INDEX(aditivos!$O$2:$O$200,MATCH($A36,aditivos!$A$2:$A$200,0))),MIN(INDEX(aditivos!$O$2:$O$200,MATCH($A36,aditivos!$A$2:$A$200,0)),posicao_contratual!$Y36),posicao_contratual!$Y36),posicao_contratual!$Y36)+1,COUNT($L$2:$L$6))),2),"")),IF(OR(NOT(ISNUMBER($L$3)),NOT(ISNUMBER(INDEX($L$2:$L$6,IFERROR(IF(ISNUMBER(INDEX(aditivos!$O$2:$O$200,MATCH($A36,aditivos!$A$2:$A$200,0))),MIN(INDEX(aditivos!$O$2:$O$200,MATCH($A36,aditivos!$A$2:$A$200,0)),posicao_contratual!$Y36),posicao_contratual!$Y36),posicao_contratual!$Y36)+1)))),"",ROUND(itens_Remanesc!C36*$L$3/INDEX($L$2:$L$6,IFERROR(IF(ISNUMBER(INDEX(aditivos!$O$2:$O$200,MATCH($A36,aditivos!$A$2:$A$200,0))),MIN(INDEX(aditivos!$O$2:$O$200,MATCH($A36,aditivos!$A$2:$A$200,0)),posicao_contratual!$Y36),posicao_contratual!$Y36),posicao_contratual!$Y36)+1),2))))))</f>
        <v/>
      </c>
      <c r="E36" s="79" t="str">
        <f>IF(OR($A36="",posicao_contratual!$Y36=""),"",IF(posicao_contratual!$Y36&gt;2,"",IF(NOT(ISNUMBER(itens_Remanesc!C36)),"",IF(posicao_contratual!$Y36=2,IF(IFERROR(IF(ISNUMBER(INDEX(aditivos!$O$2:$O$200,MATCH($A36,aditivos!$A$2:$A$200,0))),MIN(INDEX(aditivos!$O$2:$O$200,MATCH($A36,aditivos!$A$2:$A$200,0)),posicao_contratual!$Y36),posicao_contratual!$Y36),posicao_contratual!$Y36)=2,itens_Remanesc!C36,IFERROR(ROUND(itens_Remanesc!C36*INDEX($L$2:$L$6,MIN(2+1,COUNT($L$2:$L$6)))/INDEX($L$2:$L$6,MIN(IFERROR(IF(ISNUMBER(INDEX(aditivos!$O$2:$O$200,MATCH($A36,aditivos!$A$2:$A$200,0))),MIN(INDEX(aditivos!$O$2:$O$200,MATCH($A36,aditivos!$A$2:$A$200,0)),posicao_contratual!$Y36),posicao_contratual!$Y36),posicao_contratual!$Y36)+1,COUNT($L$2:$L$6))),2),"")),IF(OR(NOT(ISNUMBER($L$4)),NOT(ISNUMBER(INDEX($L$2:$L$6,IFERROR(IF(ISNUMBER(INDEX(aditivos!$O$2:$O$200,MATCH($A36,aditivos!$A$2:$A$200,0))),MIN(INDEX(aditivos!$O$2:$O$200,MATCH($A36,aditivos!$A$2:$A$200,0)),posicao_contratual!$Y36),posicao_contratual!$Y36),posicao_contratual!$Y36)+1)))),"",ROUND(itens_Remanesc!C36*$L$4/INDEX($L$2:$L$6,IFERROR(IF(ISNUMBER(INDEX(aditivos!$O$2:$O$200,MATCH($A36,aditivos!$A$2:$A$200,0))),MIN(INDEX(aditivos!$O$2:$O$200,MATCH($A36,aditivos!$A$2:$A$200,0)),posicao_contratual!$Y36),posicao_contratual!$Y36),posicao_contratual!$Y36)+1),2))))))</f>
        <v/>
      </c>
      <c r="F36" s="79" t="str">
        <f>IF(OR($A36="",posicao_contratual!$Y36=""),"",IF(posicao_contratual!$Y36&gt;3,"",IF(NOT(ISNUMBER(itens_Remanesc!C36)),"",IF(posicao_contratual!$Y36=3,IF(IFERROR(IF(ISNUMBER(INDEX(aditivos!$O$2:$O$200,MATCH($A36,aditivos!$A$2:$A$200,0))),MIN(INDEX(aditivos!$O$2:$O$200,MATCH($A36,aditivos!$A$2:$A$200,0)),posicao_contratual!$Y36),posicao_contratual!$Y36),posicao_contratual!$Y36)=3,itens_Remanesc!C36,IFERROR(ROUND(itens_Remanesc!C36*INDEX($L$2:$L$6,MIN(3+1,COUNT($L$2:$L$6)))/INDEX($L$2:$L$6,MIN(IFERROR(IF(ISNUMBER(INDEX(aditivos!$O$2:$O$200,MATCH($A36,aditivos!$A$2:$A$200,0))),MIN(INDEX(aditivos!$O$2:$O$200,MATCH($A36,aditivos!$A$2:$A$200,0)),posicao_contratual!$Y36),posicao_contratual!$Y36),posicao_contratual!$Y36)+1,COUNT($L$2:$L$6))),2),"")),IF(OR(NOT(ISNUMBER($L$5)),NOT(ISNUMBER(INDEX($L$2:$L$6,IFERROR(IF(ISNUMBER(INDEX(aditivos!$O$2:$O$200,MATCH($A36,aditivos!$A$2:$A$200,0))),MIN(INDEX(aditivos!$O$2:$O$200,MATCH($A36,aditivos!$A$2:$A$200,0)),posicao_contratual!$Y36),posicao_contratual!$Y36),posicao_contratual!$Y36)+1)))),"",ROUND(itens_Remanesc!C36*$L$5/INDEX($L$2:$L$6,IFERROR(IF(ISNUMBER(INDEX(aditivos!$O$2:$O$200,MATCH($A36,aditivos!$A$2:$A$200,0))),MIN(INDEX(aditivos!$O$2:$O$200,MATCH($A36,aditivos!$A$2:$A$200,0)),posicao_contratual!$Y36),posicao_contratual!$Y36),posicao_contratual!$Y36)+1),2))))))</f>
        <v/>
      </c>
      <c r="G36" s="79" t="str">
        <f>IF(OR($A36="",posicao_contratual!$Y36=""),"",IF(posicao_contratual!$Y36&gt;4,"",IF(NOT(ISNUMBER(itens_Remanesc!C36)),"",IF(posicao_contratual!$Y36=4,IF(IFERROR(IF(ISNUMBER(INDEX(aditivos!$O$2:$O$200,MATCH($A36,aditivos!$A$2:$A$200,0))),MIN(INDEX(aditivos!$O$2:$O$200,MATCH($A36,aditivos!$A$2:$A$200,0)),posicao_contratual!$Y36),posicao_contratual!$Y36),posicao_contratual!$Y36)=4,itens_Remanesc!C36,IFERROR(ROUND(itens_Remanesc!C36*INDEX($L$2:$L$6,MIN(4+1,COUNT($L$2:$L$6)))/INDEX($L$2:$L$6,MIN(IFERROR(IF(ISNUMBER(INDEX(aditivos!$O$2:$O$200,MATCH($A36,aditivos!$A$2:$A$200,0))),MIN(INDEX(aditivos!$O$2:$O$200,MATCH($A36,aditivos!$A$2:$A$200,0)),posicao_contratual!$Y36),posicao_contratual!$Y36),posicao_contratual!$Y36)+1,COUNT($L$2:$L$6))),2),"")),IF(OR(NOT(ISNUMBER($L$6)),NOT(ISNUMBER(INDEX($L$2:$L$6,IFERROR(IF(ISNUMBER(INDEX(aditivos!$O$2:$O$200,MATCH($A36,aditivos!$A$2:$A$200,0))),MIN(INDEX(aditivos!$O$2:$O$200,MATCH($A36,aditivos!$A$2:$A$200,0)),posicao_contratual!$Y36),posicao_contratual!$Y36),posicao_contratual!$Y36)+1)))),"",ROUND(itens_Remanesc!C36*$L$6/INDEX($L$2:$L$6,IFERROR(IF(ISNUMBER(INDEX(aditivos!$O$2:$O$200,MATCH($A36,aditivos!$A$2:$A$200,0))),MIN(INDEX(aditivos!$O$2:$O$200,MATCH($A36,aditivos!$A$2:$A$200,0)),posicao_contratual!$Y36),posicao_contratual!$Y36),posicao_contratual!$Y36)+1),2))))))</f>
        <v/>
      </c>
      <c r="H36" s="116" t="str">
        <f t="shared" si="1"/>
        <v/>
      </c>
      <c r="I36" s="14"/>
      <c r="J36" s="14"/>
      <c r="K36" s="14"/>
      <c r="L36" s="14"/>
      <c r="M36" s="14"/>
      <c r="N36" s="147" t="str">
        <f>IF(A36="","",IF(posicao_contratual!$Y36="","",IF(posicao_contratual!$Y36&gt;0,"",posicao_contratual!E36)))</f>
        <v/>
      </c>
      <c r="O36" s="147" t="str">
        <f>IF(A36="","",IF(posicao_contratual!$Y36="","",IF(posicao_contratual!$Y36&gt;1,"",posicao_contratual!I36)))</f>
        <v/>
      </c>
      <c r="P36" s="147" t="str">
        <f>IF(A36="","",IF(posicao_contratual!$Y36="","",IF(posicao_contratual!$Y36&gt;2,"",posicao_contratual!M36)))</f>
        <v/>
      </c>
      <c r="Q36" s="147" t="str">
        <f>IF(A36="","",IF(posicao_contratual!$Y36="","",IF(posicao_contratual!$Y36&gt;3,"",posicao_contratual!Q36)))</f>
        <v/>
      </c>
      <c r="R36" s="147" t="str">
        <f>IF(A36="","",IF(posicao_contratual!$Y36="","",IF(posicao_contratual!$Y36&gt;4,"",posicao_contratual!U36)))</f>
        <v/>
      </c>
      <c r="S36" s="167" t="str">
        <f>IF(A36="","",posicao_contratual!G36)</f>
        <v/>
      </c>
      <c r="T36" s="167" t="str">
        <f>IF(A36="","",posicao_contratual!K36)</f>
        <v/>
      </c>
      <c r="U36" s="167" t="str">
        <f>IF(A36="","",posicao_contratual!O36)</f>
        <v/>
      </c>
      <c r="V36" s="167" t="str">
        <f>IF(A36="","",posicao_contratual!S36)</f>
        <v/>
      </c>
      <c r="W36" s="167" t="str">
        <f>IF(A36="","",posicao_contratual!W36)</f>
        <v/>
      </c>
    </row>
    <row r="37" spans="1:23" x14ac:dyDescent="0.35">
      <c r="A37" s="86" t="str">
        <f>IF(itens_Remanesc!A37="","",itens_Remanesc!A37)</f>
        <v/>
      </c>
      <c r="B37" s="85" t="str">
        <f>IF(A37="","",IF(posicao_contratual!$Y37="","",IF(posicao_contratual!$Y37&gt;0,"",posicao_contratual!G37)))</f>
        <v/>
      </c>
      <c r="C37" s="79" t="str">
        <f>IF(itens_Remanesc!A37="","",IF(posicao_contratual!$Y37="","",IF(posicao_contratual!$Y37&gt;0,"",itens_Remanesc!C37)))</f>
        <v/>
      </c>
      <c r="D37" s="79" t="str">
        <f>IF(OR($A37="",posicao_contratual!$Y37=""),"",IF(posicao_contratual!$Y37&gt;1,"",IF(NOT(ISNUMBER(itens_Remanesc!C37)),"",IF(posicao_contratual!$Y37=1,IF(IFERROR(IF(ISNUMBER(INDEX(aditivos!$O$2:$O$200,MATCH($A37,aditivos!$A$2:$A$200,0))),MIN(INDEX(aditivos!$O$2:$O$200,MATCH($A37,aditivos!$A$2:$A$200,0)),posicao_contratual!$Y37),posicao_contratual!$Y37),posicao_contratual!$Y37)=1,itens_Remanesc!C37,IFERROR(ROUND(itens_Remanesc!C37*INDEX($L$2:$L$6,MIN(1+1,COUNT($L$2:$L$6)))/INDEX($L$2:$L$6,MIN(IFERROR(IF(ISNUMBER(INDEX(aditivos!$O$2:$O$200,MATCH($A37,aditivos!$A$2:$A$200,0))),MIN(INDEX(aditivos!$O$2:$O$200,MATCH($A37,aditivos!$A$2:$A$200,0)),posicao_contratual!$Y37),posicao_contratual!$Y37),posicao_contratual!$Y37)+1,COUNT($L$2:$L$6))),2),"")),IF(OR(NOT(ISNUMBER($L$3)),NOT(ISNUMBER(INDEX($L$2:$L$6,IFERROR(IF(ISNUMBER(INDEX(aditivos!$O$2:$O$200,MATCH($A37,aditivos!$A$2:$A$200,0))),MIN(INDEX(aditivos!$O$2:$O$200,MATCH($A37,aditivos!$A$2:$A$200,0)),posicao_contratual!$Y37),posicao_contratual!$Y37),posicao_contratual!$Y37)+1)))),"",ROUND(itens_Remanesc!C37*$L$3/INDEX($L$2:$L$6,IFERROR(IF(ISNUMBER(INDEX(aditivos!$O$2:$O$200,MATCH($A37,aditivos!$A$2:$A$200,0))),MIN(INDEX(aditivos!$O$2:$O$200,MATCH($A37,aditivos!$A$2:$A$200,0)),posicao_contratual!$Y37),posicao_contratual!$Y37),posicao_contratual!$Y37)+1),2))))))</f>
        <v/>
      </c>
      <c r="E37" s="79" t="str">
        <f>IF(OR($A37="",posicao_contratual!$Y37=""),"",IF(posicao_contratual!$Y37&gt;2,"",IF(NOT(ISNUMBER(itens_Remanesc!C37)),"",IF(posicao_contratual!$Y37=2,IF(IFERROR(IF(ISNUMBER(INDEX(aditivos!$O$2:$O$200,MATCH($A37,aditivos!$A$2:$A$200,0))),MIN(INDEX(aditivos!$O$2:$O$200,MATCH($A37,aditivos!$A$2:$A$200,0)),posicao_contratual!$Y37),posicao_contratual!$Y37),posicao_contratual!$Y37)=2,itens_Remanesc!C37,IFERROR(ROUND(itens_Remanesc!C37*INDEX($L$2:$L$6,MIN(2+1,COUNT($L$2:$L$6)))/INDEX($L$2:$L$6,MIN(IFERROR(IF(ISNUMBER(INDEX(aditivos!$O$2:$O$200,MATCH($A37,aditivos!$A$2:$A$200,0))),MIN(INDEX(aditivos!$O$2:$O$200,MATCH($A37,aditivos!$A$2:$A$200,0)),posicao_contratual!$Y37),posicao_contratual!$Y37),posicao_contratual!$Y37)+1,COUNT($L$2:$L$6))),2),"")),IF(OR(NOT(ISNUMBER($L$4)),NOT(ISNUMBER(INDEX($L$2:$L$6,IFERROR(IF(ISNUMBER(INDEX(aditivos!$O$2:$O$200,MATCH($A37,aditivos!$A$2:$A$200,0))),MIN(INDEX(aditivos!$O$2:$O$200,MATCH($A37,aditivos!$A$2:$A$200,0)),posicao_contratual!$Y37),posicao_contratual!$Y37),posicao_contratual!$Y37)+1)))),"",ROUND(itens_Remanesc!C37*$L$4/INDEX($L$2:$L$6,IFERROR(IF(ISNUMBER(INDEX(aditivos!$O$2:$O$200,MATCH($A37,aditivos!$A$2:$A$200,0))),MIN(INDEX(aditivos!$O$2:$O$200,MATCH($A37,aditivos!$A$2:$A$200,0)),posicao_contratual!$Y37),posicao_contratual!$Y37),posicao_contratual!$Y37)+1),2))))))</f>
        <v/>
      </c>
      <c r="F37" s="79" t="str">
        <f>IF(OR($A37="",posicao_contratual!$Y37=""),"",IF(posicao_contratual!$Y37&gt;3,"",IF(NOT(ISNUMBER(itens_Remanesc!C37)),"",IF(posicao_contratual!$Y37=3,IF(IFERROR(IF(ISNUMBER(INDEX(aditivos!$O$2:$O$200,MATCH($A37,aditivos!$A$2:$A$200,0))),MIN(INDEX(aditivos!$O$2:$O$200,MATCH($A37,aditivos!$A$2:$A$200,0)),posicao_contratual!$Y37),posicao_contratual!$Y37),posicao_contratual!$Y37)=3,itens_Remanesc!C37,IFERROR(ROUND(itens_Remanesc!C37*INDEX($L$2:$L$6,MIN(3+1,COUNT($L$2:$L$6)))/INDEX($L$2:$L$6,MIN(IFERROR(IF(ISNUMBER(INDEX(aditivos!$O$2:$O$200,MATCH($A37,aditivos!$A$2:$A$200,0))),MIN(INDEX(aditivos!$O$2:$O$200,MATCH($A37,aditivos!$A$2:$A$200,0)),posicao_contratual!$Y37),posicao_contratual!$Y37),posicao_contratual!$Y37)+1,COUNT($L$2:$L$6))),2),"")),IF(OR(NOT(ISNUMBER($L$5)),NOT(ISNUMBER(INDEX($L$2:$L$6,IFERROR(IF(ISNUMBER(INDEX(aditivos!$O$2:$O$200,MATCH($A37,aditivos!$A$2:$A$200,0))),MIN(INDEX(aditivos!$O$2:$O$200,MATCH($A37,aditivos!$A$2:$A$200,0)),posicao_contratual!$Y37),posicao_contratual!$Y37),posicao_contratual!$Y37)+1)))),"",ROUND(itens_Remanesc!C37*$L$5/INDEX($L$2:$L$6,IFERROR(IF(ISNUMBER(INDEX(aditivos!$O$2:$O$200,MATCH($A37,aditivos!$A$2:$A$200,0))),MIN(INDEX(aditivos!$O$2:$O$200,MATCH($A37,aditivos!$A$2:$A$200,0)),posicao_contratual!$Y37),posicao_contratual!$Y37),posicao_contratual!$Y37)+1),2))))))</f>
        <v/>
      </c>
      <c r="G37" s="79" t="str">
        <f>IF(OR($A37="",posicao_contratual!$Y37=""),"",IF(posicao_contratual!$Y37&gt;4,"",IF(NOT(ISNUMBER(itens_Remanesc!C37)),"",IF(posicao_contratual!$Y37=4,IF(IFERROR(IF(ISNUMBER(INDEX(aditivos!$O$2:$O$200,MATCH($A37,aditivos!$A$2:$A$200,0))),MIN(INDEX(aditivos!$O$2:$O$200,MATCH($A37,aditivos!$A$2:$A$200,0)),posicao_contratual!$Y37),posicao_contratual!$Y37),posicao_contratual!$Y37)=4,itens_Remanesc!C37,IFERROR(ROUND(itens_Remanesc!C37*INDEX($L$2:$L$6,MIN(4+1,COUNT($L$2:$L$6)))/INDEX($L$2:$L$6,MIN(IFERROR(IF(ISNUMBER(INDEX(aditivos!$O$2:$O$200,MATCH($A37,aditivos!$A$2:$A$200,0))),MIN(INDEX(aditivos!$O$2:$O$200,MATCH($A37,aditivos!$A$2:$A$200,0)),posicao_contratual!$Y37),posicao_contratual!$Y37),posicao_contratual!$Y37)+1,COUNT($L$2:$L$6))),2),"")),IF(OR(NOT(ISNUMBER($L$6)),NOT(ISNUMBER(INDEX($L$2:$L$6,IFERROR(IF(ISNUMBER(INDEX(aditivos!$O$2:$O$200,MATCH($A37,aditivos!$A$2:$A$200,0))),MIN(INDEX(aditivos!$O$2:$O$200,MATCH($A37,aditivos!$A$2:$A$200,0)),posicao_contratual!$Y37),posicao_contratual!$Y37),posicao_contratual!$Y37)+1)))),"",ROUND(itens_Remanesc!C37*$L$6/INDEX($L$2:$L$6,IFERROR(IF(ISNUMBER(INDEX(aditivos!$O$2:$O$200,MATCH($A37,aditivos!$A$2:$A$200,0))),MIN(INDEX(aditivos!$O$2:$O$200,MATCH($A37,aditivos!$A$2:$A$200,0)),posicao_contratual!$Y37),posicao_contratual!$Y37),posicao_contratual!$Y37)+1),2))))))</f>
        <v/>
      </c>
      <c r="H37" s="116" t="str">
        <f t="shared" si="1"/>
        <v/>
      </c>
      <c r="I37" s="14"/>
      <c r="J37" s="14"/>
      <c r="K37" s="14"/>
      <c r="L37" s="14"/>
      <c r="M37" s="14"/>
      <c r="N37" s="147" t="str">
        <f>IF(A37="","",IF(posicao_contratual!$Y37="","",IF(posicao_contratual!$Y37&gt;0,"",posicao_contratual!E37)))</f>
        <v/>
      </c>
      <c r="O37" s="147" t="str">
        <f>IF(A37="","",IF(posicao_contratual!$Y37="","",IF(posicao_contratual!$Y37&gt;1,"",posicao_contratual!I37)))</f>
        <v/>
      </c>
      <c r="P37" s="147" t="str">
        <f>IF(A37="","",IF(posicao_contratual!$Y37="","",IF(posicao_contratual!$Y37&gt;2,"",posicao_contratual!M37)))</f>
        <v/>
      </c>
      <c r="Q37" s="147" t="str">
        <f>IF(A37="","",IF(posicao_contratual!$Y37="","",IF(posicao_contratual!$Y37&gt;3,"",posicao_contratual!Q37)))</f>
        <v/>
      </c>
      <c r="R37" s="147" t="str">
        <f>IF(A37="","",IF(posicao_contratual!$Y37="","",IF(posicao_contratual!$Y37&gt;4,"",posicao_contratual!U37)))</f>
        <v/>
      </c>
      <c r="S37" s="167" t="str">
        <f>IF(A37="","",posicao_contratual!G37)</f>
        <v/>
      </c>
      <c r="T37" s="167" t="str">
        <f>IF(A37="","",posicao_contratual!K37)</f>
        <v/>
      </c>
      <c r="U37" s="167" t="str">
        <f>IF(A37="","",posicao_contratual!O37)</f>
        <v/>
      </c>
      <c r="V37" s="167" t="str">
        <f>IF(A37="","",posicao_contratual!S37)</f>
        <v/>
      </c>
      <c r="W37" s="167" t="str">
        <f>IF(A37="","",posicao_contratual!W37)</f>
        <v/>
      </c>
    </row>
    <row r="38" spans="1:23" x14ac:dyDescent="0.35">
      <c r="A38" s="86" t="str">
        <f>IF(itens_Remanesc!A38="","",itens_Remanesc!A38)</f>
        <v/>
      </c>
      <c r="B38" s="85" t="str">
        <f>IF(A38="","",IF(posicao_contratual!$Y38="","",IF(posicao_contratual!$Y38&gt;0,"",posicao_contratual!G38)))</f>
        <v/>
      </c>
      <c r="C38" s="79" t="str">
        <f>IF(itens_Remanesc!A38="","",IF(posicao_contratual!$Y38="","",IF(posicao_contratual!$Y38&gt;0,"",itens_Remanesc!C38)))</f>
        <v/>
      </c>
      <c r="D38" s="79" t="str">
        <f>IF(OR($A38="",posicao_contratual!$Y38=""),"",IF(posicao_contratual!$Y38&gt;1,"",IF(NOT(ISNUMBER(itens_Remanesc!C38)),"",IF(posicao_contratual!$Y38=1,IF(IFERROR(IF(ISNUMBER(INDEX(aditivos!$O$2:$O$200,MATCH($A38,aditivos!$A$2:$A$200,0))),MIN(INDEX(aditivos!$O$2:$O$200,MATCH($A38,aditivos!$A$2:$A$200,0)),posicao_contratual!$Y38),posicao_contratual!$Y38),posicao_contratual!$Y38)=1,itens_Remanesc!C38,IFERROR(ROUND(itens_Remanesc!C38*INDEX($L$2:$L$6,MIN(1+1,COUNT($L$2:$L$6)))/INDEX($L$2:$L$6,MIN(IFERROR(IF(ISNUMBER(INDEX(aditivos!$O$2:$O$200,MATCH($A38,aditivos!$A$2:$A$200,0))),MIN(INDEX(aditivos!$O$2:$O$200,MATCH($A38,aditivos!$A$2:$A$200,0)),posicao_contratual!$Y38),posicao_contratual!$Y38),posicao_contratual!$Y38)+1,COUNT($L$2:$L$6))),2),"")),IF(OR(NOT(ISNUMBER($L$3)),NOT(ISNUMBER(INDEX($L$2:$L$6,IFERROR(IF(ISNUMBER(INDEX(aditivos!$O$2:$O$200,MATCH($A38,aditivos!$A$2:$A$200,0))),MIN(INDEX(aditivos!$O$2:$O$200,MATCH($A38,aditivos!$A$2:$A$200,0)),posicao_contratual!$Y38),posicao_contratual!$Y38),posicao_contratual!$Y38)+1)))),"",ROUND(itens_Remanesc!C38*$L$3/INDEX($L$2:$L$6,IFERROR(IF(ISNUMBER(INDEX(aditivos!$O$2:$O$200,MATCH($A38,aditivos!$A$2:$A$200,0))),MIN(INDEX(aditivos!$O$2:$O$200,MATCH($A38,aditivos!$A$2:$A$200,0)),posicao_contratual!$Y38),posicao_contratual!$Y38),posicao_contratual!$Y38)+1),2))))))</f>
        <v/>
      </c>
      <c r="E38" s="79" t="str">
        <f>IF(OR($A38="",posicao_contratual!$Y38=""),"",IF(posicao_contratual!$Y38&gt;2,"",IF(NOT(ISNUMBER(itens_Remanesc!C38)),"",IF(posicao_contratual!$Y38=2,IF(IFERROR(IF(ISNUMBER(INDEX(aditivos!$O$2:$O$200,MATCH($A38,aditivos!$A$2:$A$200,0))),MIN(INDEX(aditivos!$O$2:$O$200,MATCH($A38,aditivos!$A$2:$A$200,0)),posicao_contratual!$Y38),posicao_contratual!$Y38),posicao_contratual!$Y38)=2,itens_Remanesc!C38,IFERROR(ROUND(itens_Remanesc!C38*INDEX($L$2:$L$6,MIN(2+1,COUNT($L$2:$L$6)))/INDEX($L$2:$L$6,MIN(IFERROR(IF(ISNUMBER(INDEX(aditivos!$O$2:$O$200,MATCH($A38,aditivos!$A$2:$A$200,0))),MIN(INDEX(aditivos!$O$2:$O$200,MATCH($A38,aditivos!$A$2:$A$200,0)),posicao_contratual!$Y38),posicao_contratual!$Y38),posicao_contratual!$Y38)+1,COUNT($L$2:$L$6))),2),"")),IF(OR(NOT(ISNUMBER($L$4)),NOT(ISNUMBER(INDEX($L$2:$L$6,IFERROR(IF(ISNUMBER(INDEX(aditivos!$O$2:$O$200,MATCH($A38,aditivos!$A$2:$A$200,0))),MIN(INDEX(aditivos!$O$2:$O$200,MATCH($A38,aditivos!$A$2:$A$200,0)),posicao_contratual!$Y38),posicao_contratual!$Y38),posicao_contratual!$Y38)+1)))),"",ROUND(itens_Remanesc!C38*$L$4/INDEX($L$2:$L$6,IFERROR(IF(ISNUMBER(INDEX(aditivos!$O$2:$O$200,MATCH($A38,aditivos!$A$2:$A$200,0))),MIN(INDEX(aditivos!$O$2:$O$200,MATCH($A38,aditivos!$A$2:$A$200,0)),posicao_contratual!$Y38),posicao_contratual!$Y38),posicao_contratual!$Y38)+1),2))))))</f>
        <v/>
      </c>
      <c r="F38" s="79" t="str">
        <f>IF(OR($A38="",posicao_contratual!$Y38=""),"",IF(posicao_contratual!$Y38&gt;3,"",IF(NOT(ISNUMBER(itens_Remanesc!C38)),"",IF(posicao_contratual!$Y38=3,IF(IFERROR(IF(ISNUMBER(INDEX(aditivos!$O$2:$O$200,MATCH($A38,aditivos!$A$2:$A$200,0))),MIN(INDEX(aditivos!$O$2:$O$200,MATCH($A38,aditivos!$A$2:$A$200,0)),posicao_contratual!$Y38),posicao_contratual!$Y38),posicao_contratual!$Y38)=3,itens_Remanesc!C38,IFERROR(ROUND(itens_Remanesc!C38*INDEX($L$2:$L$6,MIN(3+1,COUNT($L$2:$L$6)))/INDEX($L$2:$L$6,MIN(IFERROR(IF(ISNUMBER(INDEX(aditivos!$O$2:$O$200,MATCH($A38,aditivos!$A$2:$A$200,0))),MIN(INDEX(aditivos!$O$2:$O$200,MATCH($A38,aditivos!$A$2:$A$200,0)),posicao_contratual!$Y38),posicao_contratual!$Y38),posicao_contratual!$Y38)+1,COUNT($L$2:$L$6))),2),"")),IF(OR(NOT(ISNUMBER($L$5)),NOT(ISNUMBER(INDEX($L$2:$L$6,IFERROR(IF(ISNUMBER(INDEX(aditivos!$O$2:$O$200,MATCH($A38,aditivos!$A$2:$A$200,0))),MIN(INDEX(aditivos!$O$2:$O$200,MATCH($A38,aditivos!$A$2:$A$200,0)),posicao_contratual!$Y38),posicao_contratual!$Y38),posicao_contratual!$Y38)+1)))),"",ROUND(itens_Remanesc!C38*$L$5/INDEX($L$2:$L$6,IFERROR(IF(ISNUMBER(INDEX(aditivos!$O$2:$O$200,MATCH($A38,aditivos!$A$2:$A$200,0))),MIN(INDEX(aditivos!$O$2:$O$200,MATCH($A38,aditivos!$A$2:$A$200,0)),posicao_contratual!$Y38),posicao_contratual!$Y38),posicao_contratual!$Y38)+1),2))))))</f>
        <v/>
      </c>
      <c r="G38" s="79" t="str">
        <f>IF(OR($A38="",posicao_contratual!$Y38=""),"",IF(posicao_contratual!$Y38&gt;4,"",IF(NOT(ISNUMBER(itens_Remanesc!C38)),"",IF(posicao_contratual!$Y38=4,IF(IFERROR(IF(ISNUMBER(INDEX(aditivos!$O$2:$O$200,MATCH($A38,aditivos!$A$2:$A$200,0))),MIN(INDEX(aditivos!$O$2:$O$200,MATCH($A38,aditivos!$A$2:$A$200,0)),posicao_contratual!$Y38),posicao_contratual!$Y38),posicao_contratual!$Y38)=4,itens_Remanesc!C38,IFERROR(ROUND(itens_Remanesc!C38*INDEX($L$2:$L$6,MIN(4+1,COUNT($L$2:$L$6)))/INDEX($L$2:$L$6,MIN(IFERROR(IF(ISNUMBER(INDEX(aditivos!$O$2:$O$200,MATCH($A38,aditivos!$A$2:$A$200,0))),MIN(INDEX(aditivos!$O$2:$O$200,MATCH($A38,aditivos!$A$2:$A$200,0)),posicao_contratual!$Y38),posicao_contratual!$Y38),posicao_contratual!$Y38)+1,COUNT($L$2:$L$6))),2),"")),IF(OR(NOT(ISNUMBER($L$6)),NOT(ISNUMBER(INDEX($L$2:$L$6,IFERROR(IF(ISNUMBER(INDEX(aditivos!$O$2:$O$200,MATCH($A38,aditivos!$A$2:$A$200,0))),MIN(INDEX(aditivos!$O$2:$O$200,MATCH($A38,aditivos!$A$2:$A$200,0)),posicao_contratual!$Y38),posicao_contratual!$Y38),posicao_contratual!$Y38)+1)))),"",ROUND(itens_Remanesc!C38*$L$6/INDEX($L$2:$L$6,IFERROR(IF(ISNUMBER(INDEX(aditivos!$O$2:$O$200,MATCH($A38,aditivos!$A$2:$A$200,0))),MIN(INDEX(aditivos!$O$2:$O$200,MATCH($A38,aditivos!$A$2:$A$200,0)),posicao_contratual!$Y38),posicao_contratual!$Y38),posicao_contratual!$Y38)+1),2))))))</f>
        <v/>
      </c>
      <c r="H38" s="116" t="str">
        <f t="shared" si="1"/>
        <v/>
      </c>
      <c r="I38" s="14"/>
      <c r="J38" s="14"/>
      <c r="K38" s="14"/>
      <c r="L38" s="14"/>
      <c r="M38" s="14"/>
      <c r="N38" s="147" t="str">
        <f>IF(A38="","",IF(posicao_contratual!$Y38="","",IF(posicao_contratual!$Y38&gt;0,"",posicao_contratual!E38)))</f>
        <v/>
      </c>
      <c r="O38" s="147" t="str">
        <f>IF(A38="","",IF(posicao_contratual!$Y38="","",IF(posicao_contratual!$Y38&gt;1,"",posicao_contratual!I38)))</f>
        <v/>
      </c>
      <c r="P38" s="147" t="str">
        <f>IF(A38="","",IF(posicao_contratual!$Y38="","",IF(posicao_contratual!$Y38&gt;2,"",posicao_contratual!M38)))</f>
        <v/>
      </c>
      <c r="Q38" s="147" t="str">
        <f>IF(A38="","",IF(posicao_contratual!$Y38="","",IF(posicao_contratual!$Y38&gt;3,"",posicao_contratual!Q38)))</f>
        <v/>
      </c>
      <c r="R38" s="147" t="str">
        <f>IF(A38="","",IF(posicao_contratual!$Y38="","",IF(posicao_contratual!$Y38&gt;4,"",posicao_contratual!U38)))</f>
        <v/>
      </c>
      <c r="S38" s="167" t="str">
        <f>IF(A38="","",posicao_contratual!G38)</f>
        <v/>
      </c>
      <c r="T38" s="167" t="str">
        <f>IF(A38="","",posicao_contratual!K38)</f>
        <v/>
      </c>
      <c r="U38" s="167" t="str">
        <f>IF(A38="","",posicao_contratual!O38)</f>
        <v/>
      </c>
      <c r="V38" s="167" t="str">
        <f>IF(A38="","",posicao_contratual!S38)</f>
        <v/>
      </c>
      <c r="W38" s="167" t="str">
        <f>IF(A38="","",posicao_contratual!W38)</f>
        <v/>
      </c>
    </row>
    <row r="39" spans="1:23" x14ac:dyDescent="0.35">
      <c r="A39" s="86" t="str">
        <f>IF(itens_Remanesc!A39="","",itens_Remanesc!A39)</f>
        <v/>
      </c>
      <c r="B39" s="85" t="str">
        <f>IF(A39="","",IF(posicao_contratual!$Y39="","",IF(posicao_contratual!$Y39&gt;0,"",posicao_contratual!G39)))</f>
        <v/>
      </c>
      <c r="C39" s="79" t="str">
        <f>IF(itens_Remanesc!A39="","",IF(posicao_contratual!$Y39="","",IF(posicao_contratual!$Y39&gt;0,"",itens_Remanesc!C39)))</f>
        <v/>
      </c>
      <c r="D39" s="79" t="str">
        <f>IF(OR($A39="",posicao_contratual!$Y39=""),"",IF(posicao_contratual!$Y39&gt;1,"",IF(NOT(ISNUMBER(itens_Remanesc!C39)),"",IF(posicao_contratual!$Y39=1,IF(IFERROR(IF(ISNUMBER(INDEX(aditivos!$O$2:$O$200,MATCH($A39,aditivos!$A$2:$A$200,0))),MIN(INDEX(aditivos!$O$2:$O$200,MATCH($A39,aditivos!$A$2:$A$200,0)),posicao_contratual!$Y39),posicao_contratual!$Y39),posicao_contratual!$Y39)=1,itens_Remanesc!C39,IFERROR(ROUND(itens_Remanesc!C39*INDEX($L$2:$L$6,MIN(1+1,COUNT($L$2:$L$6)))/INDEX($L$2:$L$6,MIN(IFERROR(IF(ISNUMBER(INDEX(aditivos!$O$2:$O$200,MATCH($A39,aditivos!$A$2:$A$200,0))),MIN(INDEX(aditivos!$O$2:$O$200,MATCH($A39,aditivos!$A$2:$A$200,0)),posicao_contratual!$Y39),posicao_contratual!$Y39),posicao_contratual!$Y39)+1,COUNT($L$2:$L$6))),2),"")),IF(OR(NOT(ISNUMBER($L$3)),NOT(ISNUMBER(INDEX($L$2:$L$6,IFERROR(IF(ISNUMBER(INDEX(aditivos!$O$2:$O$200,MATCH($A39,aditivos!$A$2:$A$200,0))),MIN(INDEX(aditivos!$O$2:$O$200,MATCH($A39,aditivos!$A$2:$A$200,0)),posicao_contratual!$Y39),posicao_contratual!$Y39),posicao_contratual!$Y39)+1)))),"",ROUND(itens_Remanesc!C39*$L$3/INDEX($L$2:$L$6,IFERROR(IF(ISNUMBER(INDEX(aditivos!$O$2:$O$200,MATCH($A39,aditivos!$A$2:$A$200,0))),MIN(INDEX(aditivos!$O$2:$O$200,MATCH($A39,aditivos!$A$2:$A$200,0)),posicao_contratual!$Y39),posicao_contratual!$Y39),posicao_contratual!$Y39)+1),2))))))</f>
        <v/>
      </c>
      <c r="E39" s="79" t="str">
        <f>IF(OR($A39="",posicao_contratual!$Y39=""),"",IF(posicao_contratual!$Y39&gt;2,"",IF(NOT(ISNUMBER(itens_Remanesc!C39)),"",IF(posicao_contratual!$Y39=2,IF(IFERROR(IF(ISNUMBER(INDEX(aditivos!$O$2:$O$200,MATCH($A39,aditivos!$A$2:$A$200,0))),MIN(INDEX(aditivos!$O$2:$O$200,MATCH($A39,aditivos!$A$2:$A$200,0)),posicao_contratual!$Y39),posicao_contratual!$Y39),posicao_contratual!$Y39)=2,itens_Remanesc!C39,IFERROR(ROUND(itens_Remanesc!C39*INDEX($L$2:$L$6,MIN(2+1,COUNT($L$2:$L$6)))/INDEX($L$2:$L$6,MIN(IFERROR(IF(ISNUMBER(INDEX(aditivos!$O$2:$O$200,MATCH($A39,aditivos!$A$2:$A$200,0))),MIN(INDEX(aditivos!$O$2:$O$200,MATCH($A39,aditivos!$A$2:$A$200,0)),posicao_contratual!$Y39),posicao_contratual!$Y39),posicao_contratual!$Y39)+1,COUNT($L$2:$L$6))),2),"")),IF(OR(NOT(ISNUMBER($L$4)),NOT(ISNUMBER(INDEX($L$2:$L$6,IFERROR(IF(ISNUMBER(INDEX(aditivos!$O$2:$O$200,MATCH($A39,aditivos!$A$2:$A$200,0))),MIN(INDEX(aditivos!$O$2:$O$200,MATCH($A39,aditivos!$A$2:$A$200,0)),posicao_contratual!$Y39),posicao_contratual!$Y39),posicao_contratual!$Y39)+1)))),"",ROUND(itens_Remanesc!C39*$L$4/INDEX($L$2:$L$6,IFERROR(IF(ISNUMBER(INDEX(aditivos!$O$2:$O$200,MATCH($A39,aditivos!$A$2:$A$200,0))),MIN(INDEX(aditivos!$O$2:$O$200,MATCH($A39,aditivos!$A$2:$A$200,0)),posicao_contratual!$Y39),posicao_contratual!$Y39),posicao_contratual!$Y39)+1),2))))))</f>
        <v/>
      </c>
      <c r="F39" s="79" t="str">
        <f>IF(OR($A39="",posicao_contratual!$Y39=""),"",IF(posicao_contratual!$Y39&gt;3,"",IF(NOT(ISNUMBER(itens_Remanesc!C39)),"",IF(posicao_contratual!$Y39=3,IF(IFERROR(IF(ISNUMBER(INDEX(aditivos!$O$2:$O$200,MATCH($A39,aditivos!$A$2:$A$200,0))),MIN(INDEX(aditivos!$O$2:$O$200,MATCH($A39,aditivos!$A$2:$A$200,0)),posicao_contratual!$Y39),posicao_contratual!$Y39),posicao_contratual!$Y39)=3,itens_Remanesc!C39,IFERROR(ROUND(itens_Remanesc!C39*INDEX($L$2:$L$6,MIN(3+1,COUNT($L$2:$L$6)))/INDEX($L$2:$L$6,MIN(IFERROR(IF(ISNUMBER(INDEX(aditivos!$O$2:$O$200,MATCH($A39,aditivos!$A$2:$A$200,0))),MIN(INDEX(aditivos!$O$2:$O$200,MATCH($A39,aditivos!$A$2:$A$200,0)),posicao_contratual!$Y39),posicao_contratual!$Y39),posicao_contratual!$Y39)+1,COUNT($L$2:$L$6))),2),"")),IF(OR(NOT(ISNUMBER($L$5)),NOT(ISNUMBER(INDEX($L$2:$L$6,IFERROR(IF(ISNUMBER(INDEX(aditivos!$O$2:$O$200,MATCH($A39,aditivos!$A$2:$A$200,0))),MIN(INDEX(aditivos!$O$2:$O$200,MATCH($A39,aditivos!$A$2:$A$200,0)),posicao_contratual!$Y39),posicao_contratual!$Y39),posicao_contratual!$Y39)+1)))),"",ROUND(itens_Remanesc!C39*$L$5/INDEX($L$2:$L$6,IFERROR(IF(ISNUMBER(INDEX(aditivos!$O$2:$O$200,MATCH($A39,aditivos!$A$2:$A$200,0))),MIN(INDEX(aditivos!$O$2:$O$200,MATCH($A39,aditivos!$A$2:$A$200,0)),posicao_contratual!$Y39),posicao_contratual!$Y39),posicao_contratual!$Y39)+1),2))))))</f>
        <v/>
      </c>
      <c r="G39" s="79" t="str">
        <f>IF(OR($A39="",posicao_contratual!$Y39=""),"",IF(posicao_contratual!$Y39&gt;4,"",IF(NOT(ISNUMBER(itens_Remanesc!C39)),"",IF(posicao_contratual!$Y39=4,IF(IFERROR(IF(ISNUMBER(INDEX(aditivos!$O$2:$O$200,MATCH($A39,aditivos!$A$2:$A$200,0))),MIN(INDEX(aditivos!$O$2:$O$200,MATCH($A39,aditivos!$A$2:$A$200,0)),posicao_contratual!$Y39),posicao_contratual!$Y39),posicao_contratual!$Y39)=4,itens_Remanesc!C39,IFERROR(ROUND(itens_Remanesc!C39*INDEX($L$2:$L$6,MIN(4+1,COUNT($L$2:$L$6)))/INDEX($L$2:$L$6,MIN(IFERROR(IF(ISNUMBER(INDEX(aditivos!$O$2:$O$200,MATCH($A39,aditivos!$A$2:$A$200,0))),MIN(INDEX(aditivos!$O$2:$O$200,MATCH($A39,aditivos!$A$2:$A$200,0)),posicao_contratual!$Y39),posicao_contratual!$Y39),posicao_contratual!$Y39)+1,COUNT($L$2:$L$6))),2),"")),IF(OR(NOT(ISNUMBER($L$6)),NOT(ISNUMBER(INDEX($L$2:$L$6,IFERROR(IF(ISNUMBER(INDEX(aditivos!$O$2:$O$200,MATCH($A39,aditivos!$A$2:$A$200,0))),MIN(INDEX(aditivos!$O$2:$O$200,MATCH($A39,aditivos!$A$2:$A$200,0)),posicao_contratual!$Y39),posicao_contratual!$Y39),posicao_contratual!$Y39)+1)))),"",ROUND(itens_Remanesc!C39*$L$6/INDEX($L$2:$L$6,IFERROR(IF(ISNUMBER(INDEX(aditivos!$O$2:$O$200,MATCH($A39,aditivos!$A$2:$A$200,0))),MIN(INDEX(aditivos!$O$2:$O$200,MATCH($A39,aditivos!$A$2:$A$200,0)),posicao_contratual!$Y39),posicao_contratual!$Y39),posicao_contratual!$Y39)+1),2))))))</f>
        <v/>
      </c>
      <c r="H39" s="116" t="str">
        <f t="shared" si="1"/>
        <v/>
      </c>
      <c r="I39" s="14"/>
      <c r="J39" s="14"/>
      <c r="K39" s="14"/>
      <c r="L39" s="14"/>
      <c r="M39" s="14"/>
      <c r="N39" s="147" t="str">
        <f>IF(A39="","",IF(posicao_contratual!$Y39="","",IF(posicao_contratual!$Y39&gt;0,"",posicao_contratual!E39)))</f>
        <v/>
      </c>
      <c r="O39" s="147" t="str">
        <f>IF(A39="","",IF(posicao_contratual!$Y39="","",IF(posicao_contratual!$Y39&gt;1,"",posicao_contratual!I39)))</f>
        <v/>
      </c>
      <c r="P39" s="147" t="str">
        <f>IF(A39="","",IF(posicao_contratual!$Y39="","",IF(posicao_contratual!$Y39&gt;2,"",posicao_contratual!M39)))</f>
        <v/>
      </c>
      <c r="Q39" s="147" t="str">
        <f>IF(A39="","",IF(posicao_contratual!$Y39="","",IF(posicao_contratual!$Y39&gt;3,"",posicao_contratual!Q39)))</f>
        <v/>
      </c>
      <c r="R39" s="147" t="str">
        <f>IF(A39="","",IF(posicao_contratual!$Y39="","",IF(posicao_contratual!$Y39&gt;4,"",posicao_contratual!U39)))</f>
        <v/>
      </c>
      <c r="S39" s="167" t="str">
        <f>IF(A39="","",posicao_contratual!G39)</f>
        <v/>
      </c>
      <c r="T39" s="167" t="str">
        <f>IF(A39="","",posicao_contratual!K39)</f>
        <v/>
      </c>
      <c r="U39" s="167" t="str">
        <f>IF(A39="","",posicao_contratual!O39)</f>
        <v/>
      </c>
      <c r="V39" s="167" t="str">
        <f>IF(A39="","",posicao_contratual!S39)</f>
        <v/>
      </c>
      <c r="W39" s="167" t="str">
        <f>IF(A39="","",posicao_contratual!W39)</f>
        <v/>
      </c>
    </row>
    <row r="40" spans="1:23" x14ac:dyDescent="0.35">
      <c r="A40" s="86" t="str">
        <f>IF(itens_Remanesc!A40="","",itens_Remanesc!A40)</f>
        <v/>
      </c>
      <c r="B40" s="85" t="str">
        <f>IF(A40="","",IF(posicao_contratual!$Y40="","",IF(posicao_contratual!$Y40&gt;0,"",posicao_contratual!G40)))</f>
        <v/>
      </c>
      <c r="C40" s="79" t="str">
        <f>IF(itens_Remanesc!A40="","",IF(posicao_contratual!$Y40="","",IF(posicao_contratual!$Y40&gt;0,"",itens_Remanesc!C40)))</f>
        <v/>
      </c>
      <c r="D40" s="79" t="str">
        <f>IF(OR($A40="",posicao_contratual!$Y40=""),"",IF(posicao_contratual!$Y40&gt;1,"",IF(NOT(ISNUMBER(itens_Remanesc!C40)),"",IF(posicao_contratual!$Y40=1,IF(IFERROR(IF(ISNUMBER(INDEX(aditivos!$O$2:$O$200,MATCH($A40,aditivos!$A$2:$A$200,0))),MIN(INDEX(aditivos!$O$2:$O$200,MATCH($A40,aditivos!$A$2:$A$200,0)),posicao_contratual!$Y40),posicao_contratual!$Y40),posicao_contratual!$Y40)=1,itens_Remanesc!C40,IFERROR(ROUND(itens_Remanesc!C40*INDEX($L$2:$L$6,MIN(1+1,COUNT($L$2:$L$6)))/INDEX($L$2:$L$6,MIN(IFERROR(IF(ISNUMBER(INDEX(aditivos!$O$2:$O$200,MATCH($A40,aditivos!$A$2:$A$200,0))),MIN(INDEX(aditivos!$O$2:$O$200,MATCH($A40,aditivos!$A$2:$A$200,0)),posicao_contratual!$Y40),posicao_contratual!$Y40),posicao_contratual!$Y40)+1,COUNT($L$2:$L$6))),2),"")),IF(OR(NOT(ISNUMBER($L$3)),NOT(ISNUMBER(INDEX($L$2:$L$6,IFERROR(IF(ISNUMBER(INDEX(aditivos!$O$2:$O$200,MATCH($A40,aditivos!$A$2:$A$200,0))),MIN(INDEX(aditivos!$O$2:$O$200,MATCH($A40,aditivos!$A$2:$A$200,0)),posicao_contratual!$Y40),posicao_contratual!$Y40),posicao_contratual!$Y40)+1)))),"",ROUND(itens_Remanesc!C40*$L$3/INDEX($L$2:$L$6,IFERROR(IF(ISNUMBER(INDEX(aditivos!$O$2:$O$200,MATCH($A40,aditivos!$A$2:$A$200,0))),MIN(INDEX(aditivos!$O$2:$O$200,MATCH($A40,aditivos!$A$2:$A$200,0)),posicao_contratual!$Y40),posicao_contratual!$Y40),posicao_contratual!$Y40)+1),2))))))</f>
        <v/>
      </c>
      <c r="E40" s="79" t="str">
        <f>IF(OR($A40="",posicao_contratual!$Y40=""),"",IF(posicao_contratual!$Y40&gt;2,"",IF(NOT(ISNUMBER(itens_Remanesc!C40)),"",IF(posicao_contratual!$Y40=2,IF(IFERROR(IF(ISNUMBER(INDEX(aditivos!$O$2:$O$200,MATCH($A40,aditivos!$A$2:$A$200,0))),MIN(INDEX(aditivos!$O$2:$O$200,MATCH($A40,aditivos!$A$2:$A$200,0)),posicao_contratual!$Y40),posicao_contratual!$Y40),posicao_contratual!$Y40)=2,itens_Remanesc!C40,IFERROR(ROUND(itens_Remanesc!C40*INDEX($L$2:$L$6,MIN(2+1,COUNT($L$2:$L$6)))/INDEX($L$2:$L$6,MIN(IFERROR(IF(ISNUMBER(INDEX(aditivos!$O$2:$O$200,MATCH($A40,aditivos!$A$2:$A$200,0))),MIN(INDEX(aditivos!$O$2:$O$200,MATCH($A40,aditivos!$A$2:$A$200,0)),posicao_contratual!$Y40),posicao_contratual!$Y40),posicao_contratual!$Y40)+1,COUNT($L$2:$L$6))),2),"")),IF(OR(NOT(ISNUMBER($L$4)),NOT(ISNUMBER(INDEX($L$2:$L$6,IFERROR(IF(ISNUMBER(INDEX(aditivos!$O$2:$O$200,MATCH($A40,aditivos!$A$2:$A$200,0))),MIN(INDEX(aditivos!$O$2:$O$200,MATCH($A40,aditivos!$A$2:$A$200,0)),posicao_contratual!$Y40),posicao_contratual!$Y40),posicao_contratual!$Y40)+1)))),"",ROUND(itens_Remanesc!C40*$L$4/INDEX($L$2:$L$6,IFERROR(IF(ISNUMBER(INDEX(aditivos!$O$2:$O$200,MATCH($A40,aditivos!$A$2:$A$200,0))),MIN(INDEX(aditivos!$O$2:$O$200,MATCH($A40,aditivos!$A$2:$A$200,0)),posicao_contratual!$Y40),posicao_contratual!$Y40),posicao_contratual!$Y40)+1),2))))))</f>
        <v/>
      </c>
      <c r="F40" s="79" t="str">
        <f>IF(OR($A40="",posicao_contratual!$Y40=""),"",IF(posicao_contratual!$Y40&gt;3,"",IF(NOT(ISNUMBER(itens_Remanesc!C40)),"",IF(posicao_contratual!$Y40=3,IF(IFERROR(IF(ISNUMBER(INDEX(aditivos!$O$2:$O$200,MATCH($A40,aditivos!$A$2:$A$200,0))),MIN(INDEX(aditivos!$O$2:$O$200,MATCH($A40,aditivos!$A$2:$A$200,0)),posicao_contratual!$Y40),posicao_contratual!$Y40),posicao_contratual!$Y40)=3,itens_Remanesc!C40,IFERROR(ROUND(itens_Remanesc!C40*INDEX($L$2:$L$6,MIN(3+1,COUNT($L$2:$L$6)))/INDEX($L$2:$L$6,MIN(IFERROR(IF(ISNUMBER(INDEX(aditivos!$O$2:$O$200,MATCH($A40,aditivos!$A$2:$A$200,0))),MIN(INDEX(aditivos!$O$2:$O$200,MATCH($A40,aditivos!$A$2:$A$200,0)),posicao_contratual!$Y40),posicao_contratual!$Y40),posicao_contratual!$Y40)+1,COUNT($L$2:$L$6))),2),"")),IF(OR(NOT(ISNUMBER($L$5)),NOT(ISNUMBER(INDEX($L$2:$L$6,IFERROR(IF(ISNUMBER(INDEX(aditivos!$O$2:$O$200,MATCH($A40,aditivos!$A$2:$A$200,0))),MIN(INDEX(aditivos!$O$2:$O$200,MATCH($A40,aditivos!$A$2:$A$200,0)),posicao_contratual!$Y40),posicao_contratual!$Y40),posicao_contratual!$Y40)+1)))),"",ROUND(itens_Remanesc!C40*$L$5/INDEX($L$2:$L$6,IFERROR(IF(ISNUMBER(INDEX(aditivos!$O$2:$O$200,MATCH($A40,aditivos!$A$2:$A$200,0))),MIN(INDEX(aditivos!$O$2:$O$200,MATCH($A40,aditivos!$A$2:$A$200,0)),posicao_contratual!$Y40),posicao_contratual!$Y40),posicao_contratual!$Y40)+1),2))))))</f>
        <v/>
      </c>
      <c r="G40" s="79" t="str">
        <f>IF(OR($A40="",posicao_contratual!$Y40=""),"",IF(posicao_contratual!$Y40&gt;4,"",IF(NOT(ISNUMBER(itens_Remanesc!C40)),"",IF(posicao_contratual!$Y40=4,IF(IFERROR(IF(ISNUMBER(INDEX(aditivos!$O$2:$O$200,MATCH($A40,aditivos!$A$2:$A$200,0))),MIN(INDEX(aditivos!$O$2:$O$200,MATCH($A40,aditivos!$A$2:$A$200,0)),posicao_contratual!$Y40),posicao_contratual!$Y40),posicao_contratual!$Y40)=4,itens_Remanesc!C40,IFERROR(ROUND(itens_Remanesc!C40*INDEX($L$2:$L$6,MIN(4+1,COUNT($L$2:$L$6)))/INDEX($L$2:$L$6,MIN(IFERROR(IF(ISNUMBER(INDEX(aditivos!$O$2:$O$200,MATCH($A40,aditivos!$A$2:$A$200,0))),MIN(INDEX(aditivos!$O$2:$O$200,MATCH($A40,aditivos!$A$2:$A$200,0)),posicao_contratual!$Y40),posicao_contratual!$Y40),posicao_contratual!$Y40)+1,COUNT($L$2:$L$6))),2),"")),IF(OR(NOT(ISNUMBER($L$6)),NOT(ISNUMBER(INDEX($L$2:$L$6,IFERROR(IF(ISNUMBER(INDEX(aditivos!$O$2:$O$200,MATCH($A40,aditivos!$A$2:$A$200,0))),MIN(INDEX(aditivos!$O$2:$O$200,MATCH($A40,aditivos!$A$2:$A$200,0)),posicao_contratual!$Y40),posicao_contratual!$Y40),posicao_contratual!$Y40)+1)))),"",ROUND(itens_Remanesc!C40*$L$6/INDEX($L$2:$L$6,IFERROR(IF(ISNUMBER(INDEX(aditivos!$O$2:$O$200,MATCH($A40,aditivos!$A$2:$A$200,0))),MIN(INDEX(aditivos!$O$2:$O$200,MATCH($A40,aditivos!$A$2:$A$200,0)),posicao_contratual!$Y40),posicao_contratual!$Y40),posicao_contratual!$Y40)+1),2))))))</f>
        <v/>
      </c>
      <c r="H40" s="116" t="str">
        <f t="shared" si="1"/>
        <v/>
      </c>
      <c r="I40" s="14"/>
      <c r="J40" s="14"/>
      <c r="K40" s="14"/>
      <c r="L40" s="14"/>
      <c r="M40" s="14"/>
      <c r="N40" s="147" t="str">
        <f>IF(A40="","",IF(posicao_contratual!$Y40="","",IF(posicao_contratual!$Y40&gt;0,"",posicao_contratual!E40)))</f>
        <v/>
      </c>
      <c r="O40" s="147" t="str">
        <f>IF(A40="","",IF(posicao_contratual!$Y40="","",IF(posicao_contratual!$Y40&gt;1,"",posicao_contratual!I40)))</f>
        <v/>
      </c>
      <c r="P40" s="147" t="str">
        <f>IF(A40="","",IF(posicao_contratual!$Y40="","",IF(posicao_contratual!$Y40&gt;2,"",posicao_contratual!M40)))</f>
        <v/>
      </c>
      <c r="Q40" s="147" t="str">
        <f>IF(A40="","",IF(posicao_contratual!$Y40="","",IF(posicao_contratual!$Y40&gt;3,"",posicao_contratual!Q40)))</f>
        <v/>
      </c>
      <c r="R40" s="147" t="str">
        <f>IF(A40="","",IF(posicao_contratual!$Y40="","",IF(posicao_contratual!$Y40&gt;4,"",posicao_contratual!U40)))</f>
        <v/>
      </c>
      <c r="S40" s="167" t="str">
        <f>IF(A40="","",posicao_contratual!G40)</f>
        <v/>
      </c>
      <c r="T40" s="167" t="str">
        <f>IF(A40="","",posicao_contratual!K40)</f>
        <v/>
      </c>
      <c r="U40" s="167" t="str">
        <f>IF(A40="","",posicao_contratual!O40)</f>
        <v/>
      </c>
      <c r="V40" s="167" t="str">
        <f>IF(A40="","",posicao_contratual!S40)</f>
        <v/>
      </c>
      <c r="W40" s="167" t="str">
        <f>IF(A40="","",posicao_contratual!W40)</f>
        <v/>
      </c>
    </row>
    <row r="41" spans="1:23" x14ac:dyDescent="0.35">
      <c r="A41" s="86" t="str">
        <f>IF(itens_Remanesc!A41="","",itens_Remanesc!A41)</f>
        <v/>
      </c>
      <c r="B41" s="85" t="str">
        <f>IF(A41="","",IF(posicao_contratual!$Y41="","",IF(posicao_contratual!$Y41&gt;0,"",posicao_contratual!G41)))</f>
        <v/>
      </c>
      <c r="C41" s="79" t="str">
        <f>IF(itens_Remanesc!A41="","",IF(posicao_contratual!$Y41="","",IF(posicao_contratual!$Y41&gt;0,"",itens_Remanesc!C41)))</f>
        <v/>
      </c>
      <c r="D41" s="79" t="str">
        <f>IF(OR($A41="",posicao_contratual!$Y41=""),"",IF(posicao_contratual!$Y41&gt;1,"",IF(NOT(ISNUMBER(itens_Remanesc!C41)),"",IF(posicao_contratual!$Y41=1,IF(IFERROR(IF(ISNUMBER(INDEX(aditivos!$O$2:$O$200,MATCH($A41,aditivos!$A$2:$A$200,0))),MIN(INDEX(aditivos!$O$2:$O$200,MATCH($A41,aditivos!$A$2:$A$200,0)),posicao_contratual!$Y41),posicao_contratual!$Y41),posicao_contratual!$Y41)=1,itens_Remanesc!C41,IFERROR(ROUND(itens_Remanesc!C41*INDEX($L$2:$L$6,MIN(1+1,COUNT($L$2:$L$6)))/INDEX($L$2:$L$6,MIN(IFERROR(IF(ISNUMBER(INDEX(aditivos!$O$2:$O$200,MATCH($A41,aditivos!$A$2:$A$200,0))),MIN(INDEX(aditivos!$O$2:$O$200,MATCH($A41,aditivos!$A$2:$A$200,0)),posicao_contratual!$Y41),posicao_contratual!$Y41),posicao_contratual!$Y41)+1,COUNT($L$2:$L$6))),2),"")),IF(OR(NOT(ISNUMBER($L$3)),NOT(ISNUMBER(INDEX($L$2:$L$6,IFERROR(IF(ISNUMBER(INDEX(aditivos!$O$2:$O$200,MATCH($A41,aditivos!$A$2:$A$200,0))),MIN(INDEX(aditivos!$O$2:$O$200,MATCH($A41,aditivos!$A$2:$A$200,0)),posicao_contratual!$Y41),posicao_contratual!$Y41),posicao_contratual!$Y41)+1)))),"",ROUND(itens_Remanesc!C41*$L$3/INDEX($L$2:$L$6,IFERROR(IF(ISNUMBER(INDEX(aditivos!$O$2:$O$200,MATCH($A41,aditivos!$A$2:$A$200,0))),MIN(INDEX(aditivos!$O$2:$O$200,MATCH($A41,aditivos!$A$2:$A$200,0)),posicao_contratual!$Y41),posicao_contratual!$Y41),posicao_contratual!$Y41)+1),2))))))</f>
        <v/>
      </c>
      <c r="E41" s="79" t="str">
        <f>IF(OR($A41="",posicao_contratual!$Y41=""),"",IF(posicao_contratual!$Y41&gt;2,"",IF(NOT(ISNUMBER(itens_Remanesc!C41)),"",IF(posicao_contratual!$Y41=2,IF(IFERROR(IF(ISNUMBER(INDEX(aditivos!$O$2:$O$200,MATCH($A41,aditivos!$A$2:$A$200,0))),MIN(INDEX(aditivos!$O$2:$O$200,MATCH($A41,aditivos!$A$2:$A$200,0)),posicao_contratual!$Y41),posicao_contratual!$Y41),posicao_contratual!$Y41)=2,itens_Remanesc!C41,IFERROR(ROUND(itens_Remanesc!C41*INDEX($L$2:$L$6,MIN(2+1,COUNT($L$2:$L$6)))/INDEX($L$2:$L$6,MIN(IFERROR(IF(ISNUMBER(INDEX(aditivos!$O$2:$O$200,MATCH($A41,aditivos!$A$2:$A$200,0))),MIN(INDEX(aditivos!$O$2:$O$200,MATCH($A41,aditivos!$A$2:$A$200,0)),posicao_contratual!$Y41),posicao_contratual!$Y41),posicao_contratual!$Y41)+1,COUNT($L$2:$L$6))),2),"")),IF(OR(NOT(ISNUMBER($L$4)),NOT(ISNUMBER(INDEX($L$2:$L$6,IFERROR(IF(ISNUMBER(INDEX(aditivos!$O$2:$O$200,MATCH($A41,aditivos!$A$2:$A$200,0))),MIN(INDEX(aditivos!$O$2:$O$200,MATCH($A41,aditivos!$A$2:$A$200,0)),posicao_contratual!$Y41),posicao_contratual!$Y41),posicao_contratual!$Y41)+1)))),"",ROUND(itens_Remanesc!C41*$L$4/INDEX($L$2:$L$6,IFERROR(IF(ISNUMBER(INDEX(aditivos!$O$2:$O$200,MATCH($A41,aditivos!$A$2:$A$200,0))),MIN(INDEX(aditivos!$O$2:$O$200,MATCH($A41,aditivos!$A$2:$A$200,0)),posicao_contratual!$Y41),posicao_contratual!$Y41),posicao_contratual!$Y41)+1),2))))))</f>
        <v/>
      </c>
      <c r="F41" s="79" t="str">
        <f>IF(OR($A41="",posicao_contratual!$Y41=""),"",IF(posicao_contratual!$Y41&gt;3,"",IF(NOT(ISNUMBER(itens_Remanesc!C41)),"",IF(posicao_contratual!$Y41=3,IF(IFERROR(IF(ISNUMBER(INDEX(aditivos!$O$2:$O$200,MATCH($A41,aditivos!$A$2:$A$200,0))),MIN(INDEX(aditivos!$O$2:$O$200,MATCH($A41,aditivos!$A$2:$A$200,0)),posicao_contratual!$Y41),posicao_contratual!$Y41),posicao_contratual!$Y41)=3,itens_Remanesc!C41,IFERROR(ROUND(itens_Remanesc!C41*INDEX($L$2:$L$6,MIN(3+1,COUNT($L$2:$L$6)))/INDEX($L$2:$L$6,MIN(IFERROR(IF(ISNUMBER(INDEX(aditivos!$O$2:$O$200,MATCH($A41,aditivos!$A$2:$A$200,0))),MIN(INDEX(aditivos!$O$2:$O$200,MATCH($A41,aditivos!$A$2:$A$200,0)),posicao_contratual!$Y41),posicao_contratual!$Y41),posicao_contratual!$Y41)+1,COUNT($L$2:$L$6))),2),"")),IF(OR(NOT(ISNUMBER($L$5)),NOT(ISNUMBER(INDEX($L$2:$L$6,IFERROR(IF(ISNUMBER(INDEX(aditivos!$O$2:$O$200,MATCH($A41,aditivos!$A$2:$A$200,0))),MIN(INDEX(aditivos!$O$2:$O$200,MATCH($A41,aditivos!$A$2:$A$200,0)),posicao_contratual!$Y41),posicao_contratual!$Y41),posicao_contratual!$Y41)+1)))),"",ROUND(itens_Remanesc!C41*$L$5/INDEX($L$2:$L$6,IFERROR(IF(ISNUMBER(INDEX(aditivos!$O$2:$O$200,MATCH($A41,aditivos!$A$2:$A$200,0))),MIN(INDEX(aditivos!$O$2:$O$200,MATCH($A41,aditivos!$A$2:$A$200,0)),posicao_contratual!$Y41),posicao_contratual!$Y41),posicao_contratual!$Y41)+1),2))))))</f>
        <v/>
      </c>
      <c r="G41" s="79" t="str">
        <f>IF(OR($A41="",posicao_contratual!$Y41=""),"",IF(posicao_contratual!$Y41&gt;4,"",IF(NOT(ISNUMBER(itens_Remanesc!C41)),"",IF(posicao_contratual!$Y41=4,IF(IFERROR(IF(ISNUMBER(INDEX(aditivos!$O$2:$O$200,MATCH($A41,aditivos!$A$2:$A$200,0))),MIN(INDEX(aditivos!$O$2:$O$200,MATCH($A41,aditivos!$A$2:$A$200,0)),posicao_contratual!$Y41),posicao_contratual!$Y41),posicao_contratual!$Y41)=4,itens_Remanesc!C41,IFERROR(ROUND(itens_Remanesc!C41*INDEX($L$2:$L$6,MIN(4+1,COUNT($L$2:$L$6)))/INDEX($L$2:$L$6,MIN(IFERROR(IF(ISNUMBER(INDEX(aditivos!$O$2:$O$200,MATCH($A41,aditivos!$A$2:$A$200,0))),MIN(INDEX(aditivos!$O$2:$O$200,MATCH($A41,aditivos!$A$2:$A$200,0)),posicao_contratual!$Y41),posicao_contratual!$Y41),posicao_contratual!$Y41)+1,COUNT($L$2:$L$6))),2),"")),IF(OR(NOT(ISNUMBER($L$6)),NOT(ISNUMBER(INDEX($L$2:$L$6,IFERROR(IF(ISNUMBER(INDEX(aditivos!$O$2:$O$200,MATCH($A41,aditivos!$A$2:$A$200,0))),MIN(INDEX(aditivos!$O$2:$O$200,MATCH($A41,aditivos!$A$2:$A$200,0)),posicao_contratual!$Y41),posicao_contratual!$Y41),posicao_contratual!$Y41)+1)))),"",ROUND(itens_Remanesc!C41*$L$6/INDEX($L$2:$L$6,IFERROR(IF(ISNUMBER(INDEX(aditivos!$O$2:$O$200,MATCH($A41,aditivos!$A$2:$A$200,0))),MIN(INDEX(aditivos!$O$2:$O$200,MATCH($A41,aditivos!$A$2:$A$200,0)),posicao_contratual!$Y41),posicao_contratual!$Y41),posicao_contratual!$Y41)+1),2))))))</f>
        <v/>
      </c>
      <c r="H41" s="116" t="str">
        <f t="shared" si="1"/>
        <v/>
      </c>
      <c r="I41" s="14"/>
      <c r="J41" s="14"/>
      <c r="K41" s="14"/>
      <c r="L41" s="14"/>
      <c r="M41" s="14"/>
      <c r="N41" s="147" t="str">
        <f>IF(A41="","",IF(posicao_contratual!$Y41="","",IF(posicao_contratual!$Y41&gt;0,"",posicao_contratual!E41)))</f>
        <v/>
      </c>
      <c r="O41" s="147" t="str">
        <f>IF(A41="","",IF(posicao_contratual!$Y41="","",IF(posicao_contratual!$Y41&gt;1,"",posicao_contratual!I41)))</f>
        <v/>
      </c>
      <c r="P41" s="147" t="str">
        <f>IF(A41="","",IF(posicao_contratual!$Y41="","",IF(posicao_contratual!$Y41&gt;2,"",posicao_contratual!M41)))</f>
        <v/>
      </c>
      <c r="Q41" s="147" t="str">
        <f>IF(A41="","",IF(posicao_contratual!$Y41="","",IF(posicao_contratual!$Y41&gt;3,"",posicao_contratual!Q41)))</f>
        <v/>
      </c>
      <c r="R41" s="147" t="str">
        <f>IF(A41="","",IF(posicao_contratual!$Y41="","",IF(posicao_contratual!$Y41&gt;4,"",posicao_contratual!U41)))</f>
        <v/>
      </c>
      <c r="S41" s="167" t="str">
        <f>IF(A41="","",posicao_contratual!G41)</f>
        <v/>
      </c>
      <c r="T41" s="167" t="str">
        <f>IF(A41="","",posicao_contratual!K41)</f>
        <v/>
      </c>
      <c r="U41" s="167" t="str">
        <f>IF(A41="","",posicao_contratual!O41)</f>
        <v/>
      </c>
      <c r="V41" s="167" t="str">
        <f>IF(A41="","",posicao_contratual!S41)</f>
        <v/>
      </c>
      <c r="W41" s="167" t="str">
        <f>IF(A41="","",posicao_contratual!W41)</f>
        <v/>
      </c>
    </row>
    <row r="42" spans="1:23" x14ac:dyDescent="0.35">
      <c r="A42" s="86" t="str">
        <f>IF(itens_Remanesc!A42="","",itens_Remanesc!A42)</f>
        <v/>
      </c>
      <c r="B42" s="85" t="str">
        <f>IF(A42="","",IF(posicao_contratual!$Y42="","",IF(posicao_contratual!$Y42&gt;0,"",posicao_contratual!G42)))</f>
        <v/>
      </c>
      <c r="C42" s="79" t="str">
        <f>IF(itens_Remanesc!A42="","",IF(posicao_contratual!$Y42="","",IF(posicao_contratual!$Y42&gt;0,"",itens_Remanesc!C42)))</f>
        <v/>
      </c>
      <c r="D42" s="79" t="str">
        <f>IF(OR($A42="",posicao_contratual!$Y42=""),"",IF(posicao_contratual!$Y42&gt;1,"",IF(NOT(ISNUMBER(itens_Remanesc!C42)),"",IF(posicao_contratual!$Y42=1,IF(IFERROR(IF(ISNUMBER(INDEX(aditivos!$O$2:$O$200,MATCH($A42,aditivos!$A$2:$A$200,0))),MIN(INDEX(aditivos!$O$2:$O$200,MATCH($A42,aditivos!$A$2:$A$200,0)),posicao_contratual!$Y42),posicao_contratual!$Y42),posicao_contratual!$Y42)=1,itens_Remanesc!C42,IFERROR(ROUND(itens_Remanesc!C42*INDEX($L$2:$L$6,MIN(1+1,COUNT($L$2:$L$6)))/INDEX($L$2:$L$6,MIN(IFERROR(IF(ISNUMBER(INDEX(aditivos!$O$2:$O$200,MATCH($A42,aditivos!$A$2:$A$200,0))),MIN(INDEX(aditivos!$O$2:$O$200,MATCH($A42,aditivos!$A$2:$A$200,0)),posicao_contratual!$Y42),posicao_contratual!$Y42),posicao_contratual!$Y42)+1,COUNT($L$2:$L$6))),2),"")),IF(OR(NOT(ISNUMBER($L$3)),NOT(ISNUMBER(INDEX($L$2:$L$6,IFERROR(IF(ISNUMBER(INDEX(aditivos!$O$2:$O$200,MATCH($A42,aditivos!$A$2:$A$200,0))),MIN(INDEX(aditivos!$O$2:$O$200,MATCH($A42,aditivos!$A$2:$A$200,0)),posicao_contratual!$Y42),posicao_contratual!$Y42),posicao_contratual!$Y42)+1)))),"",ROUND(itens_Remanesc!C42*$L$3/INDEX($L$2:$L$6,IFERROR(IF(ISNUMBER(INDEX(aditivos!$O$2:$O$200,MATCH($A42,aditivos!$A$2:$A$200,0))),MIN(INDEX(aditivos!$O$2:$O$200,MATCH($A42,aditivos!$A$2:$A$200,0)),posicao_contratual!$Y42),posicao_contratual!$Y42),posicao_contratual!$Y42)+1),2))))))</f>
        <v/>
      </c>
      <c r="E42" s="79" t="str">
        <f>IF(OR($A42="",posicao_contratual!$Y42=""),"",IF(posicao_contratual!$Y42&gt;2,"",IF(NOT(ISNUMBER(itens_Remanesc!C42)),"",IF(posicao_contratual!$Y42=2,IF(IFERROR(IF(ISNUMBER(INDEX(aditivos!$O$2:$O$200,MATCH($A42,aditivos!$A$2:$A$200,0))),MIN(INDEX(aditivos!$O$2:$O$200,MATCH($A42,aditivos!$A$2:$A$200,0)),posicao_contratual!$Y42),posicao_contratual!$Y42),posicao_contratual!$Y42)=2,itens_Remanesc!C42,IFERROR(ROUND(itens_Remanesc!C42*INDEX($L$2:$L$6,MIN(2+1,COUNT($L$2:$L$6)))/INDEX($L$2:$L$6,MIN(IFERROR(IF(ISNUMBER(INDEX(aditivos!$O$2:$O$200,MATCH($A42,aditivos!$A$2:$A$200,0))),MIN(INDEX(aditivos!$O$2:$O$200,MATCH($A42,aditivos!$A$2:$A$200,0)),posicao_contratual!$Y42),posicao_contratual!$Y42),posicao_contratual!$Y42)+1,COUNT($L$2:$L$6))),2),"")),IF(OR(NOT(ISNUMBER($L$4)),NOT(ISNUMBER(INDEX($L$2:$L$6,IFERROR(IF(ISNUMBER(INDEX(aditivos!$O$2:$O$200,MATCH($A42,aditivos!$A$2:$A$200,0))),MIN(INDEX(aditivos!$O$2:$O$200,MATCH($A42,aditivos!$A$2:$A$200,0)),posicao_contratual!$Y42),posicao_contratual!$Y42),posicao_contratual!$Y42)+1)))),"",ROUND(itens_Remanesc!C42*$L$4/INDEX($L$2:$L$6,IFERROR(IF(ISNUMBER(INDEX(aditivos!$O$2:$O$200,MATCH($A42,aditivos!$A$2:$A$200,0))),MIN(INDEX(aditivos!$O$2:$O$200,MATCH($A42,aditivos!$A$2:$A$200,0)),posicao_contratual!$Y42),posicao_contratual!$Y42),posicao_contratual!$Y42)+1),2))))))</f>
        <v/>
      </c>
      <c r="F42" s="79" t="str">
        <f>IF(OR($A42="",posicao_contratual!$Y42=""),"",IF(posicao_contratual!$Y42&gt;3,"",IF(NOT(ISNUMBER(itens_Remanesc!C42)),"",IF(posicao_contratual!$Y42=3,IF(IFERROR(IF(ISNUMBER(INDEX(aditivos!$O$2:$O$200,MATCH($A42,aditivos!$A$2:$A$200,0))),MIN(INDEX(aditivos!$O$2:$O$200,MATCH($A42,aditivos!$A$2:$A$200,0)),posicao_contratual!$Y42),posicao_contratual!$Y42),posicao_contratual!$Y42)=3,itens_Remanesc!C42,IFERROR(ROUND(itens_Remanesc!C42*INDEX($L$2:$L$6,MIN(3+1,COUNT($L$2:$L$6)))/INDEX($L$2:$L$6,MIN(IFERROR(IF(ISNUMBER(INDEX(aditivos!$O$2:$O$200,MATCH($A42,aditivos!$A$2:$A$200,0))),MIN(INDEX(aditivos!$O$2:$O$200,MATCH($A42,aditivos!$A$2:$A$200,0)),posicao_contratual!$Y42),posicao_contratual!$Y42),posicao_contratual!$Y42)+1,COUNT($L$2:$L$6))),2),"")),IF(OR(NOT(ISNUMBER($L$5)),NOT(ISNUMBER(INDEX($L$2:$L$6,IFERROR(IF(ISNUMBER(INDEX(aditivos!$O$2:$O$200,MATCH($A42,aditivos!$A$2:$A$200,0))),MIN(INDEX(aditivos!$O$2:$O$200,MATCH($A42,aditivos!$A$2:$A$200,0)),posicao_contratual!$Y42),posicao_contratual!$Y42),posicao_contratual!$Y42)+1)))),"",ROUND(itens_Remanesc!C42*$L$5/INDEX($L$2:$L$6,IFERROR(IF(ISNUMBER(INDEX(aditivos!$O$2:$O$200,MATCH($A42,aditivos!$A$2:$A$200,0))),MIN(INDEX(aditivos!$O$2:$O$200,MATCH($A42,aditivos!$A$2:$A$200,0)),posicao_contratual!$Y42),posicao_contratual!$Y42),posicao_contratual!$Y42)+1),2))))))</f>
        <v/>
      </c>
      <c r="G42" s="79" t="str">
        <f>IF(OR($A42="",posicao_contratual!$Y42=""),"",IF(posicao_contratual!$Y42&gt;4,"",IF(NOT(ISNUMBER(itens_Remanesc!C42)),"",IF(posicao_contratual!$Y42=4,IF(IFERROR(IF(ISNUMBER(INDEX(aditivos!$O$2:$O$200,MATCH($A42,aditivos!$A$2:$A$200,0))),MIN(INDEX(aditivos!$O$2:$O$200,MATCH($A42,aditivos!$A$2:$A$200,0)),posicao_contratual!$Y42),posicao_contratual!$Y42),posicao_contratual!$Y42)=4,itens_Remanesc!C42,IFERROR(ROUND(itens_Remanesc!C42*INDEX($L$2:$L$6,MIN(4+1,COUNT($L$2:$L$6)))/INDEX($L$2:$L$6,MIN(IFERROR(IF(ISNUMBER(INDEX(aditivos!$O$2:$O$200,MATCH($A42,aditivos!$A$2:$A$200,0))),MIN(INDEX(aditivos!$O$2:$O$200,MATCH($A42,aditivos!$A$2:$A$200,0)),posicao_contratual!$Y42),posicao_contratual!$Y42),posicao_contratual!$Y42)+1,COUNT($L$2:$L$6))),2),"")),IF(OR(NOT(ISNUMBER($L$6)),NOT(ISNUMBER(INDEX($L$2:$L$6,IFERROR(IF(ISNUMBER(INDEX(aditivos!$O$2:$O$200,MATCH($A42,aditivos!$A$2:$A$200,0))),MIN(INDEX(aditivos!$O$2:$O$200,MATCH($A42,aditivos!$A$2:$A$200,0)),posicao_contratual!$Y42),posicao_contratual!$Y42),posicao_contratual!$Y42)+1)))),"",ROUND(itens_Remanesc!C42*$L$6/INDEX($L$2:$L$6,IFERROR(IF(ISNUMBER(INDEX(aditivos!$O$2:$O$200,MATCH($A42,aditivos!$A$2:$A$200,0))),MIN(INDEX(aditivos!$O$2:$O$200,MATCH($A42,aditivos!$A$2:$A$200,0)),posicao_contratual!$Y42),posicao_contratual!$Y42),posicao_contratual!$Y42)+1),2))))))</f>
        <v/>
      </c>
      <c r="H42" s="116" t="str">
        <f t="shared" si="1"/>
        <v/>
      </c>
      <c r="I42" s="14"/>
      <c r="J42" s="14"/>
      <c r="K42" s="14"/>
      <c r="L42" s="14"/>
      <c r="M42" s="14"/>
      <c r="N42" s="147" t="str">
        <f>IF(A42="","",IF(posicao_contratual!$Y42="","",IF(posicao_contratual!$Y42&gt;0,"",posicao_contratual!E42)))</f>
        <v/>
      </c>
      <c r="O42" s="147" t="str">
        <f>IF(A42="","",IF(posicao_contratual!$Y42="","",IF(posicao_contratual!$Y42&gt;1,"",posicao_contratual!I42)))</f>
        <v/>
      </c>
      <c r="P42" s="147" t="str">
        <f>IF(A42="","",IF(posicao_contratual!$Y42="","",IF(posicao_contratual!$Y42&gt;2,"",posicao_contratual!M42)))</f>
        <v/>
      </c>
      <c r="Q42" s="147" t="str">
        <f>IF(A42="","",IF(posicao_contratual!$Y42="","",IF(posicao_contratual!$Y42&gt;3,"",posicao_contratual!Q42)))</f>
        <v/>
      </c>
      <c r="R42" s="147" t="str">
        <f>IF(A42="","",IF(posicao_contratual!$Y42="","",IF(posicao_contratual!$Y42&gt;4,"",posicao_contratual!U42)))</f>
        <v/>
      </c>
      <c r="S42" s="167" t="str">
        <f>IF(A42="","",posicao_contratual!G42)</f>
        <v/>
      </c>
      <c r="T42" s="167" t="str">
        <f>IF(A42="","",posicao_contratual!K42)</f>
        <v/>
      </c>
      <c r="U42" s="167" t="str">
        <f>IF(A42="","",posicao_contratual!O42)</f>
        <v/>
      </c>
      <c r="V42" s="167" t="str">
        <f>IF(A42="","",posicao_contratual!S42)</f>
        <v/>
      </c>
      <c r="W42" s="167" t="str">
        <f>IF(A42="","",posicao_contratual!W42)</f>
        <v/>
      </c>
    </row>
    <row r="43" spans="1:23" x14ac:dyDescent="0.35">
      <c r="A43" s="86" t="str">
        <f>IF(itens_Remanesc!A43="","",itens_Remanesc!A43)</f>
        <v/>
      </c>
      <c r="B43" s="85" t="str">
        <f>IF(A43="","",IF(posicao_contratual!$Y43="","",IF(posicao_contratual!$Y43&gt;0,"",posicao_contratual!G43)))</f>
        <v/>
      </c>
      <c r="C43" s="79" t="str">
        <f>IF(itens_Remanesc!A43="","",IF(posicao_contratual!$Y43="","",IF(posicao_contratual!$Y43&gt;0,"",itens_Remanesc!C43)))</f>
        <v/>
      </c>
      <c r="D43" s="79" t="str">
        <f>IF(OR($A43="",posicao_contratual!$Y43=""),"",IF(posicao_contratual!$Y43&gt;1,"",IF(NOT(ISNUMBER(itens_Remanesc!C43)),"",IF(posicao_contratual!$Y43=1,IF(IFERROR(IF(ISNUMBER(INDEX(aditivos!$O$2:$O$200,MATCH($A43,aditivos!$A$2:$A$200,0))),MIN(INDEX(aditivos!$O$2:$O$200,MATCH($A43,aditivos!$A$2:$A$200,0)),posicao_contratual!$Y43),posicao_contratual!$Y43),posicao_contratual!$Y43)=1,itens_Remanesc!C43,IFERROR(ROUND(itens_Remanesc!C43*INDEX($L$2:$L$6,MIN(1+1,COUNT($L$2:$L$6)))/INDEX($L$2:$L$6,MIN(IFERROR(IF(ISNUMBER(INDEX(aditivos!$O$2:$O$200,MATCH($A43,aditivos!$A$2:$A$200,0))),MIN(INDEX(aditivos!$O$2:$O$200,MATCH($A43,aditivos!$A$2:$A$200,0)),posicao_contratual!$Y43),posicao_contratual!$Y43),posicao_contratual!$Y43)+1,COUNT($L$2:$L$6))),2),"")),IF(OR(NOT(ISNUMBER($L$3)),NOT(ISNUMBER(INDEX($L$2:$L$6,IFERROR(IF(ISNUMBER(INDEX(aditivos!$O$2:$O$200,MATCH($A43,aditivos!$A$2:$A$200,0))),MIN(INDEX(aditivos!$O$2:$O$200,MATCH($A43,aditivos!$A$2:$A$200,0)),posicao_contratual!$Y43),posicao_contratual!$Y43),posicao_contratual!$Y43)+1)))),"",ROUND(itens_Remanesc!C43*$L$3/INDEX($L$2:$L$6,IFERROR(IF(ISNUMBER(INDEX(aditivos!$O$2:$O$200,MATCH($A43,aditivos!$A$2:$A$200,0))),MIN(INDEX(aditivos!$O$2:$O$200,MATCH($A43,aditivos!$A$2:$A$200,0)),posicao_contratual!$Y43),posicao_contratual!$Y43),posicao_contratual!$Y43)+1),2))))))</f>
        <v/>
      </c>
      <c r="E43" s="79" t="str">
        <f>IF(OR($A43="",posicao_contratual!$Y43=""),"",IF(posicao_contratual!$Y43&gt;2,"",IF(NOT(ISNUMBER(itens_Remanesc!C43)),"",IF(posicao_contratual!$Y43=2,IF(IFERROR(IF(ISNUMBER(INDEX(aditivos!$O$2:$O$200,MATCH($A43,aditivos!$A$2:$A$200,0))),MIN(INDEX(aditivos!$O$2:$O$200,MATCH($A43,aditivos!$A$2:$A$200,0)),posicao_contratual!$Y43),posicao_contratual!$Y43),posicao_contratual!$Y43)=2,itens_Remanesc!C43,IFERROR(ROUND(itens_Remanesc!C43*INDEX($L$2:$L$6,MIN(2+1,COUNT($L$2:$L$6)))/INDEX($L$2:$L$6,MIN(IFERROR(IF(ISNUMBER(INDEX(aditivos!$O$2:$O$200,MATCH($A43,aditivos!$A$2:$A$200,0))),MIN(INDEX(aditivos!$O$2:$O$200,MATCH($A43,aditivos!$A$2:$A$200,0)),posicao_contratual!$Y43),posicao_contratual!$Y43),posicao_contratual!$Y43)+1,COUNT($L$2:$L$6))),2),"")),IF(OR(NOT(ISNUMBER($L$4)),NOT(ISNUMBER(INDEX($L$2:$L$6,IFERROR(IF(ISNUMBER(INDEX(aditivos!$O$2:$O$200,MATCH($A43,aditivos!$A$2:$A$200,0))),MIN(INDEX(aditivos!$O$2:$O$200,MATCH($A43,aditivos!$A$2:$A$200,0)),posicao_contratual!$Y43),posicao_contratual!$Y43),posicao_contratual!$Y43)+1)))),"",ROUND(itens_Remanesc!C43*$L$4/INDEX($L$2:$L$6,IFERROR(IF(ISNUMBER(INDEX(aditivos!$O$2:$O$200,MATCH($A43,aditivos!$A$2:$A$200,0))),MIN(INDEX(aditivos!$O$2:$O$200,MATCH($A43,aditivos!$A$2:$A$200,0)),posicao_contratual!$Y43),posicao_contratual!$Y43),posicao_contratual!$Y43)+1),2))))))</f>
        <v/>
      </c>
      <c r="F43" s="79" t="str">
        <f>IF(OR($A43="",posicao_contratual!$Y43=""),"",IF(posicao_contratual!$Y43&gt;3,"",IF(NOT(ISNUMBER(itens_Remanesc!C43)),"",IF(posicao_contratual!$Y43=3,IF(IFERROR(IF(ISNUMBER(INDEX(aditivos!$O$2:$O$200,MATCH($A43,aditivos!$A$2:$A$200,0))),MIN(INDEX(aditivos!$O$2:$O$200,MATCH($A43,aditivos!$A$2:$A$200,0)),posicao_contratual!$Y43),posicao_contratual!$Y43),posicao_contratual!$Y43)=3,itens_Remanesc!C43,IFERROR(ROUND(itens_Remanesc!C43*INDEX($L$2:$L$6,MIN(3+1,COUNT($L$2:$L$6)))/INDEX($L$2:$L$6,MIN(IFERROR(IF(ISNUMBER(INDEX(aditivos!$O$2:$O$200,MATCH($A43,aditivos!$A$2:$A$200,0))),MIN(INDEX(aditivos!$O$2:$O$200,MATCH($A43,aditivos!$A$2:$A$200,0)),posicao_contratual!$Y43),posicao_contratual!$Y43),posicao_contratual!$Y43)+1,COUNT($L$2:$L$6))),2),"")),IF(OR(NOT(ISNUMBER($L$5)),NOT(ISNUMBER(INDEX($L$2:$L$6,IFERROR(IF(ISNUMBER(INDEX(aditivos!$O$2:$O$200,MATCH($A43,aditivos!$A$2:$A$200,0))),MIN(INDEX(aditivos!$O$2:$O$200,MATCH($A43,aditivos!$A$2:$A$200,0)),posicao_contratual!$Y43),posicao_contratual!$Y43),posicao_contratual!$Y43)+1)))),"",ROUND(itens_Remanesc!C43*$L$5/INDEX($L$2:$L$6,IFERROR(IF(ISNUMBER(INDEX(aditivos!$O$2:$O$200,MATCH($A43,aditivos!$A$2:$A$200,0))),MIN(INDEX(aditivos!$O$2:$O$200,MATCH($A43,aditivos!$A$2:$A$200,0)),posicao_contratual!$Y43),posicao_contratual!$Y43),posicao_contratual!$Y43)+1),2))))))</f>
        <v/>
      </c>
      <c r="G43" s="79" t="str">
        <f>IF(OR($A43="",posicao_contratual!$Y43=""),"",IF(posicao_contratual!$Y43&gt;4,"",IF(NOT(ISNUMBER(itens_Remanesc!C43)),"",IF(posicao_contratual!$Y43=4,IF(IFERROR(IF(ISNUMBER(INDEX(aditivos!$O$2:$O$200,MATCH($A43,aditivos!$A$2:$A$200,0))),MIN(INDEX(aditivos!$O$2:$O$200,MATCH($A43,aditivos!$A$2:$A$200,0)),posicao_contratual!$Y43),posicao_contratual!$Y43),posicao_contratual!$Y43)=4,itens_Remanesc!C43,IFERROR(ROUND(itens_Remanesc!C43*INDEX($L$2:$L$6,MIN(4+1,COUNT($L$2:$L$6)))/INDEX($L$2:$L$6,MIN(IFERROR(IF(ISNUMBER(INDEX(aditivos!$O$2:$O$200,MATCH($A43,aditivos!$A$2:$A$200,0))),MIN(INDEX(aditivos!$O$2:$O$200,MATCH($A43,aditivos!$A$2:$A$200,0)),posicao_contratual!$Y43),posicao_contratual!$Y43),posicao_contratual!$Y43)+1,COUNT($L$2:$L$6))),2),"")),IF(OR(NOT(ISNUMBER($L$6)),NOT(ISNUMBER(INDEX($L$2:$L$6,IFERROR(IF(ISNUMBER(INDEX(aditivos!$O$2:$O$200,MATCH($A43,aditivos!$A$2:$A$200,0))),MIN(INDEX(aditivos!$O$2:$O$200,MATCH($A43,aditivos!$A$2:$A$200,0)),posicao_contratual!$Y43),posicao_contratual!$Y43),posicao_contratual!$Y43)+1)))),"",ROUND(itens_Remanesc!C43*$L$6/INDEX($L$2:$L$6,IFERROR(IF(ISNUMBER(INDEX(aditivos!$O$2:$O$200,MATCH($A43,aditivos!$A$2:$A$200,0))),MIN(INDEX(aditivos!$O$2:$O$200,MATCH($A43,aditivos!$A$2:$A$200,0)),posicao_contratual!$Y43),posicao_contratual!$Y43),posicao_contratual!$Y43)+1),2))))))</f>
        <v/>
      </c>
      <c r="H43" s="116" t="str">
        <f t="shared" si="1"/>
        <v/>
      </c>
      <c r="I43" s="14"/>
      <c r="J43" s="14"/>
      <c r="K43" s="14"/>
      <c r="L43" s="14"/>
      <c r="M43" s="14"/>
      <c r="N43" s="147" t="str">
        <f>IF(A43="","",IF(posicao_contratual!$Y43="","",IF(posicao_contratual!$Y43&gt;0,"",posicao_contratual!E43)))</f>
        <v/>
      </c>
      <c r="O43" s="147" t="str">
        <f>IF(A43="","",IF(posicao_contratual!$Y43="","",IF(posicao_contratual!$Y43&gt;1,"",posicao_contratual!I43)))</f>
        <v/>
      </c>
      <c r="P43" s="147" t="str">
        <f>IF(A43="","",IF(posicao_contratual!$Y43="","",IF(posicao_contratual!$Y43&gt;2,"",posicao_contratual!M43)))</f>
        <v/>
      </c>
      <c r="Q43" s="147" t="str">
        <f>IF(A43="","",IF(posicao_contratual!$Y43="","",IF(posicao_contratual!$Y43&gt;3,"",posicao_contratual!Q43)))</f>
        <v/>
      </c>
      <c r="R43" s="147" t="str">
        <f>IF(A43="","",IF(posicao_contratual!$Y43="","",IF(posicao_contratual!$Y43&gt;4,"",posicao_contratual!U43)))</f>
        <v/>
      </c>
      <c r="S43" s="167" t="str">
        <f>IF(A43="","",posicao_contratual!G43)</f>
        <v/>
      </c>
      <c r="T43" s="167" t="str">
        <f>IF(A43="","",posicao_contratual!K43)</f>
        <v/>
      </c>
      <c r="U43" s="167" t="str">
        <f>IF(A43="","",posicao_contratual!O43)</f>
        <v/>
      </c>
      <c r="V43" s="167" t="str">
        <f>IF(A43="","",posicao_contratual!S43)</f>
        <v/>
      </c>
      <c r="W43" s="167" t="str">
        <f>IF(A43="","",posicao_contratual!W43)</f>
        <v/>
      </c>
    </row>
    <row r="44" spans="1:23" x14ac:dyDescent="0.35">
      <c r="A44" s="86" t="str">
        <f>IF(itens_Remanesc!A44="","",itens_Remanesc!A44)</f>
        <v/>
      </c>
      <c r="B44" s="85" t="str">
        <f>IF(A44="","",IF(posicao_contratual!$Y44="","",IF(posicao_contratual!$Y44&gt;0,"",posicao_contratual!G44)))</f>
        <v/>
      </c>
      <c r="C44" s="79" t="str">
        <f>IF(itens_Remanesc!A44="","",IF(posicao_contratual!$Y44="","",IF(posicao_contratual!$Y44&gt;0,"",itens_Remanesc!C44)))</f>
        <v/>
      </c>
      <c r="D44" s="79" t="str">
        <f>IF(OR($A44="",posicao_contratual!$Y44=""),"",IF(posicao_contratual!$Y44&gt;1,"",IF(NOT(ISNUMBER(itens_Remanesc!C44)),"",IF(posicao_contratual!$Y44=1,IF(IFERROR(IF(ISNUMBER(INDEX(aditivos!$O$2:$O$200,MATCH($A44,aditivos!$A$2:$A$200,0))),MIN(INDEX(aditivos!$O$2:$O$200,MATCH($A44,aditivos!$A$2:$A$200,0)),posicao_contratual!$Y44),posicao_contratual!$Y44),posicao_contratual!$Y44)=1,itens_Remanesc!C44,IFERROR(ROUND(itens_Remanesc!C44*INDEX($L$2:$L$6,MIN(1+1,COUNT($L$2:$L$6)))/INDEX($L$2:$L$6,MIN(IFERROR(IF(ISNUMBER(INDEX(aditivos!$O$2:$O$200,MATCH($A44,aditivos!$A$2:$A$200,0))),MIN(INDEX(aditivos!$O$2:$O$200,MATCH($A44,aditivos!$A$2:$A$200,0)),posicao_contratual!$Y44),posicao_contratual!$Y44),posicao_contratual!$Y44)+1,COUNT($L$2:$L$6))),2),"")),IF(OR(NOT(ISNUMBER($L$3)),NOT(ISNUMBER(INDEX($L$2:$L$6,IFERROR(IF(ISNUMBER(INDEX(aditivos!$O$2:$O$200,MATCH($A44,aditivos!$A$2:$A$200,0))),MIN(INDEX(aditivos!$O$2:$O$200,MATCH($A44,aditivos!$A$2:$A$200,0)),posicao_contratual!$Y44),posicao_contratual!$Y44),posicao_contratual!$Y44)+1)))),"",ROUND(itens_Remanesc!C44*$L$3/INDEX($L$2:$L$6,IFERROR(IF(ISNUMBER(INDEX(aditivos!$O$2:$O$200,MATCH($A44,aditivos!$A$2:$A$200,0))),MIN(INDEX(aditivos!$O$2:$O$200,MATCH($A44,aditivos!$A$2:$A$200,0)),posicao_contratual!$Y44),posicao_contratual!$Y44),posicao_contratual!$Y44)+1),2))))))</f>
        <v/>
      </c>
      <c r="E44" s="79" t="str">
        <f>IF(OR($A44="",posicao_contratual!$Y44=""),"",IF(posicao_contratual!$Y44&gt;2,"",IF(NOT(ISNUMBER(itens_Remanesc!C44)),"",IF(posicao_contratual!$Y44=2,IF(IFERROR(IF(ISNUMBER(INDEX(aditivos!$O$2:$O$200,MATCH($A44,aditivos!$A$2:$A$200,0))),MIN(INDEX(aditivos!$O$2:$O$200,MATCH($A44,aditivos!$A$2:$A$200,0)),posicao_contratual!$Y44),posicao_contratual!$Y44),posicao_contratual!$Y44)=2,itens_Remanesc!C44,IFERROR(ROUND(itens_Remanesc!C44*INDEX($L$2:$L$6,MIN(2+1,COUNT($L$2:$L$6)))/INDEX($L$2:$L$6,MIN(IFERROR(IF(ISNUMBER(INDEX(aditivos!$O$2:$O$200,MATCH($A44,aditivos!$A$2:$A$200,0))),MIN(INDEX(aditivos!$O$2:$O$200,MATCH($A44,aditivos!$A$2:$A$200,0)),posicao_contratual!$Y44),posicao_contratual!$Y44),posicao_contratual!$Y44)+1,COUNT($L$2:$L$6))),2),"")),IF(OR(NOT(ISNUMBER($L$4)),NOT(ISNUMBER(INDEX($L$2:$L$6,IFERROR(IF(ISNUMBER(INDEX(aditivos!$O$2:$O$200,MATCH($A44,aditivos!$A$2:$A$200,0))),MIN(INDEX(aditivos!$O$2:$O$200,MATCH($A44,aditivos!$A$2:$A$200,0)),posicao_contratual!$Y44),posicao_contratual!$Y44),posicao_contratual!$Y44)+1)))),"",ROUND(itens_Remanesc!C44*$L$4/INDEX($L$2:$L$6,IFERROR(IF(ISNUMBER(INDEX(aditivos!$O$2:$O$200,MATCH($A44,aditivos!$A$2:$A$200,0))),MIN(INDEX(aditivos!$O$2:$O$200,MATCH($A44,aditivos!$A$2:$A$200,0)),posicao_contratual!$Y44),posicao_contratual!$Y44),posicao_contratual!$Y44)+1),2))))))</f>
        <v/>
      </c>
      <c r="F44" s="79" t="str">
        <f>IF(OR($A44="",posicao_contratual!$Y44=""),"",IF(posicao_contratual!$Y44&gt;3,"",IF(NOT(ISNUMBER(itens_Remanesc!C44)),"",IF(posicao_contratual!$Y44=3,IF(IFERROR(IF(ISNUMBER(INDEX(aditivos!$O$2:$O$200,MATCH($A44,aditivos!$A$2:$A$200,0))),MIN(INDEX(aditivos!$O$2:$O$200,MATCH($A44,aditivos!$A$2:$A$200,0)),posicao_contratual!$Y44),posicao_contratual!$Y44),posicao_contratual!$Y44)=3,itens_Remanesc!C44,IFERROR(ROUND(itens_Remanesc!C44*INDEX($L$2:$L$6,MIN(3+1,COUNT($L$2:$L$6)))/INDEX($L$2:$L$6,MIN(IFERROR(IF(ISNUMBER(INDEX(aditivos!$O$2:$O$200,MATCH($A44,aditivos!$A$2:$A$200,0))),MIN(INDEX(aditivos!$O$2:$O$200,MATCH($A44,aditivos!$A$2:$A$200,0)),posicao_contratual!$Y44),posicao_contratual!$Y44),posicao_contratual!$Y44)+1,COUNT($L$2:$L$6))),2),"")),IF(OR(NOT(ISNUMBER($L$5)),NOT(ISNUMBER(INDEX($L$2:$L$6,IFERROR(IF(ISNUMBER(INDEX(aditivos!$O$2:$O$200,MATCH($A44,aditivos!$A$2:$A$200,0))),MIN(INDEX(aditivos!$O$2:$O$200,MATCH($A44,aditivos!$A$2:$A$200,0)),posicao_contratual!$Y44),posicao_contratual!$Y44),posicao_contratual!$Y44)+1)))),"",ROUND(itens_Remanesc!C44*$L$5/INDEX($L$2:$L$6,IFERROR(IF(ISNUMBER(INDEX(aditivos!$O$2:$O$200,MATCH($A44,aditivos!$A$2:$A$200,0))),MIN(INDEX(aditivos!$O$2:$O$200,MATCH($A44,aditivos!$A$2:$A$200,0)),posicao_contratual!$Y44),posicao_contratual!$Y44),posicao_contratual!$Y44)+1),2))))))</f>
        <v/>
      </c>
      <c r="G44" s="79" t="str">
        <f>IF(OR($A44="",posicao_contratual!$Y44=""),"",IF(posicao_contratual!$Y44&gt;4,"",IF(NOT(ISNUMBER(itens_Remanesc!C44)),"",IF(posicao_contratual!$Y44=4,IF(IFERROR(IF(ISNUMBER(INDEX(aditivos!$O$2:$O$200,MATCH($A44,aditivos!$A$2:$A$200,0))),MIN(INDEX(aditivos!$O$2:$O$200,MATCH($A44,aditivos!$A$2:$A$200,0)),posicao_contratual!$Y44),posicao_contratual!$Y44),posicao_contratual!$Y44)=4,itens_Remanesc!C44,IFERROR(ROUND(itens_Remanesc!C44*INDEX($L$2:$L$6,MIN(4+1,COUNT($L$2:$L$6)))/INDEX($L$2:$L$6,MIN(IFERROR(IF(ISNUMBER(INDEX(aditivos!$O$2:$O$200,MATCH($A44,aditivos!$A$2:$A$200,0))),MIN(INDEX(aditivos!$O$2:$O$200,MATCH($A44,aditivos!$A$2:$A$200,0)),posicao_contratual!$Y44),posicao_contratual!$Y44),posicao_contratual!$Y44)+1,COUNT($L$2:$L$6))),2),"")),IF(OR(NOT(ISNUMBER($L$6)),NOT(ISNUMBER(INDEX($L$2:$L$6,IFERROR(IF(ISNUMBER(INDEX(aditivos!$O$2:$O$200,MATCH($A44,aditivos!$A$2:$A$200,0))),MIN(INDEX(aditivos!$O$2:$O$200,MATCH($A44,aditivos!$A$2:$A$200,0)),posicao_contratual!$Y44),posicao_contratual!$Y44),posicao_contratual!$Y44)+1)))),"",ROUND(itens_Remanesc!C44*$L$6/INDEX($L$2:$L$6,IFERROR(IF(ISNUMBER(INDEX(aditivos!$O$2:$O$200,MATCH($A44,aditivos!$A$2:$A$200,0))),MIN(INDEX(aditivos!$O$2:$O$200,MATCH($A44,aditivos!$A$2:$A$200,0)),posicao_contratual!$Y44),posicao_contratual!$Y44),posicao_contratual!$Y44)+1),2))))))</f>
        <v/>
      </c>
      <c r="H44" s="116" t="str">
        <f t="shared" si="1"/>
        <v/>
      </c>
      <c r="I44" s="14"/>
      <c r="J44" s="14"/>
      <c r="K44" s="14"/>
      <c r="L44" s="14"/>
      <c r="M44" s="14"/>
      <c r="N44" s="147" t="str">
        <f>IF(A44="","",IF(posicao_contratual!$Y44="","",IF(posicao_contratual!$Y44&gt;0,"",posicao_contratual!E44)))</f>
        <v/>
      </c>
      <c r="O44" s="147" t="str">
        <f>IF(A44="","",IF(posicao_contratual!$Y44="","",IF(posicao_contratual!$Y44&gt;1,"",posicao_contratual!I44)))</f>
        <v/>
      </c>
      <c r="P44" s="147" t="str">
        <f>IF(A44="","",IF(posicao_contratual!$Y44="","",IF(posicao_contratual!$Y44&gt;2,"",posicao_contratual!M44)))</f>
        <v/>
      </c>
      <c r="Q44" s="147" t="str">
        <f>IF(A44="","",IF(posicao_contratual!$Y44="","",IF(posicao_contratual!$Y44&gt;3,"",posicao_contratual!Q44)))</f>
        <v/>
      </c>
      <c r="R44" s="147" t="str">
        <f>IF(A44="","",IF(posicao_contratual!$Y44="","",IF(posicao_contratual!$Y44&gt;4,"",posicao_contratual!U44)))</f>
        <v/>
      </c>
      <c r="S44" s="167" t="str">
        <f>IF(A44="","",posicao_contratual!G44)</f>
        <v/>
      </c>
      <c r="T44" s="167" t="str">
        <f>IF(A44="","",posicao_contratual!K44)</f>
        <v/>
      </c>
      <c r="U44" s="167" t="str">
        <f>IF(A44="","",posicao_contratual!O44)</f>
        <v/>
      </c>
      <c r="V44" s="167" t="str">
        <f>IF(A44="","",posicao_contratual!S44)</f>
        <v/>
      </c>
      <c r="W44" s="167" t="str">
        <f>IF(A44="","",posicao_contratual!W44)</f>
        <v/>
      </c>
    </row>
    <row r="45" spans="1:23" x14ac:dyDescent="0.35">
      <c r="A45" s="86" t="str">
        <f>IF(itens_Remanesc!A45="","",itens_Remanesc!A45)</f>
        <v/>
      </c>
      <c r="B45" s="85" t="str">
        <f>IF(A45="","",IF(posicao_contratual!$Y45="","",IF(posicao_contratual!$Y45&gt;0,"",posicao_contratual!G45)))</f>
        <v/>
      </c>
      <c r="C45" s="79" t="str">
        <f>IF(itens_Remanesc!A45="","",IF(posicao_contratual!$Y45="","",IF(posicao_contratual!$Y45&gt;0,"",itens_Remanesc!C45)))</f>
        <v/>
      </c>
      <c r="D45" s="79" t="str">
        <f>IF(OR($A45="",posicao_contratual!$Y45=""),"",IF(posicao_contratual!$Y45&gt;1,"",IF(NOT(ISNUMBER(itens_Remanesc!C45)),"",IF(posicao_contratual!$Y45=1,IF(IFERROR(IF(ISNUMBER(INDEX(aditivos!$O$2:$O$200,MATCH($A45,aditivos!$A$2:$A$200,0))),MIN(INDEX(aditivos!$O$2:$O$200,MATCH($A45,aditivos!$A$2:$A$200,0)),posicao_contratual!$Y45),posicao_contratual!$Y45),posicao_contratual!$Y45)=1,itens_Remanesc!C45,IFERROR(ROUND(itens_Remanesc!C45*INDEX($L$2:$L$6,MIN(1+1,COUNT($L$2:$L$6)))/INDEX($L$2:$L$6,MIN(IFERROR(IF(ISNUMBER(INDEX(aditivos!$O$2:$O$200,MATCH($A45,aditivos!$A$2:$A$200,0))),MIN(INDEX(aditivos!$O$2:$O$200,MATCH($A45,aditivos!$A$2:$A$200,0)),posicao_contratual!$Y45),posicao_contratual!$Y45),posicao_contratual!$Y45)+1,COUNT($L$2:$L$6))),2),"")),IF(OR(NOT(ISNUMBER($L$3)),NOT(ISNUMBER(INDEX($L$2:$L$6,IFERROR(IF(ISNUMBER(INDEX(aditivos!$O$2:$O$200,MATCH($A45,aditivos!$A$2:$A$200,0))),MIN(INDEX(aditivos!$O$2:$O$200,MATCH($A45,aditivos!$A$2:$A$200,0)),posicao_contratual!$Y45),posicao_contratual!$Y45),posicao_contratual!$Y45)+1)))),"",ROUND(itens_Remanesc!C45*$L$3/INDEX($L$2:$L$6,IFERROR(IF(ISNUMBER(INDEX(aditivos!$O$2:$O$200,MATCH($A45,aditivos!$A$2:$A$200,0))),MIN(INDEX(aditivos!$O$2:$O$200,MATCH($A45,aditivos!$A$2:$A$200,0)),posicao_contratual!$Y45),posicao_contratual!$Y45),posicao_contratual!$Y45)+1),2))))))</f>
        <v/>
      </c>
      <c r="E45" s="79" t="str">
        <f>IF(OR($A45="",posicao_contratual!$Y45=""),"",IF(posicao_contratual!$Y45&gt;2,"",IF(NOT(ISNUMBER(itens_Remanesc!C45)),"",IF(posicao_contratual!$Y45=2,IF(IFERROR(IF(ISNUMBER(INDEX(aditivos!$O$2:$O$200,MATCH($A45,aditivos!$A$2:$A$200,0))),MIN(INDEX(aditivos!$O$2:$O$200,MATCH($A45,aditivos!$A$2:$A$200,0)),posicao_contratual!$Y45),posicao_contratual!$Y45),posicao_contratual!$Y45)=2,itens_Remanesc!C45,IFERROR(ROUND(itens_Remanesc!C45*INDEX($L$2:$L$6,MIN(2+1,COUNT($L$2:$L$6)))/INDEX($L$2:$L$6,MIN(IFERROR(IF(ISNUMBER(INDEX(aditivos!$O$2:$O$200,MATCH($A45,aditivos!$A$2:$A$200,0))),MIN(INDEX(aditivos!$O$2:$O$200,MATCH($A45,aditivos!$A$2:$A$200,0)),posicao_contratual!$Y45),posicao_contratual!$Y45),posicao_contratual!$Y45)+1,COUNT($L$2:$L$6))),2),"")),IF(OR(NOT(ISNUMBER($L$4)),NOT(ISNUMBER(INDEX($L$2:$L$6,IFERROR(IF(ISNUMBER(INDEX(aditivos!$O$2:$O$200,MATCH($A45,aditivos!$A$2:$A$200,0))),MIN(INDEX(aditivos!$O$2:$O$200,MATCH($A45,aditivos!$A$2:$A$200,0)),posicao_contratual!$Y45),posicao_contratual!$Y45),posicao_contratual!$Y45)+1)))),"",ROUND(itens_Remanesc!C45*$L$4/INDEX($L$2:$L$6,IFERROR(IF(ISNUMBER(INDEX(aditivos!$O$2:$O$200,MATCH($A45,aditivos!$A$2:$A$200,0))),MIN(INDEX(aditivos!$O$2:$O$200,MATCH($A45,aditivos!$A$2:$A$200,0)),posicao_contratual!$Y45),posicao_contratual!$Y45),posicao_contratual!$Y45)+1),2))))))</f>
        <v/>
      </c>
      <c r="F45" s="79" t="str">
        <f>IF(OR($A45="",posicao_contratual!$Y45=""),"",IF(posicao_contratual!$Y45&gt;3,"",IF(NOT(ISNUMBER(itens_Remanesc!C45)),"",IF(posicao_contratual!$Y45=3,IF(IFERROR(IF(ISNUMBER(INDEX(aditivos!$O$2:$O$200,MATCH($A45,aditivos!$A$2:$A$200,0))),MIN(INDEX(aditivos!$O$2:$O$200,MATCH($A45,aditivos!$A$2:$A$200,0)),posicao_contratual!$Y45),posicao_contratual!$Y45),posicao_contratual!$Y45)=3,itens_Remanesc!C45,IFERROR(ROUND(itens_Remanesc!C45*INDEX($L$2:$L$6,MIN(3+1,COUNT($L$2:$L$6)))/INDEX($L$2:$L$6,MIN(IFERROR(IF(ISNUMBER(INDEX(aditivos!$O$2:$O$200,MATCH($A45,aditivos!$A$2:$A$200,0))),MIN(INDEX(aditivos!$O$2:$O$200,MATCH($A45,aditivos!$A$2:$A$200,0)),posicao_contratual!$Y45),posicao_contratual!$Y45),posicao_contratual!$Y45)+1,COUNT($L$2:$L$6))),2),"")),IF(OR(NOT(ISNUMBER($L$5)),NOT(ISNUMBER(INDEX($L$2:$L$6,IFERROR(IF(ISNUMBER(INDEX(aditivos!$O$2:$O$200,MATCH($A45,aditivos!$A$2:$A$200,0))),MIN(INDEX(aditivos!$O$2:$O$200,MATCH($A45,aditivos!$A$2:$A$200,0)),posicao_contratual!$Y45),posicao_contratual!$Y45),posicao_contratual!$Y45)+1)))),"",ROUND(itens_Remanesc!C45*$L$5/INDEX($L$2:$L$6,IFERROR(IF(ISNUMBER(INDEX(aditivos!$O$2:$O$200,MATCH($A45,aditivos!$A$2:$A$200,0))),MIN(INDEX(aditivos!$O$2:$O$200,MATCH($A45,aditivos!$A$2:$A$200,0)),posicao_contratual!$Y45),posicao_contratual!$Y45),posicao_contratual!$Y45)+1),2))))))</f>
        <v/>
      </c>
      <c r="G45" s="79" t="str">
        <f>IF(OR($A45="",posicao_contratual!$Y45=""),"",IF(posicao_contratual!$Y45&gt;4,"",IF(NOT(ISNUMBER(itens_Remanesc!C45)),"",IF(posicao_contratual!$Y45=4,IF(IFERROR(IF(ISNUMBER(INDEX(aditivos!$O$2:$O$200,MATCH($A45,aditivos!$A$2:$A$200,0))),MIN(INDEX(aditivos!$O$2:$O$200,MATCH($A45,aditivos!$A$2:$A$200,0)),posicao_contratual!$Y45),posicao_contratual!$Y45),posicao_contratual!$Y45)=4,itens_Remanesc!C45,IFERROR(ROUND(itens_Remanesc!C45*INDEX($L$2:$L$6,MIN(4+1,COUNT($L$2:$L$6)))/INDEX($L$2:$L$6,MIN(IFERROR(IF(ISNUMBER(INDEX(aditivos!$O$2:$O$200,MATCH($A45,aditivos!$A$2:$A$200,0))),MIN(INDEX(aditivos!$O$2:$O$200,MATCH($A45,aditivos!$A$2:$A$200,0)),posicao_contratual!$Y45),posicao_contratual!$Y45),posicao_contratual!$Y45)+1,COUNT($L$2:$L$6))),2),"")),IF(OR(NOT(ISNUMBER($L$6)),NOT(ISNUMBER(INDEX($L$2:$L$6,IFERROR(IF(ISNUMBER(INDEX(aditivos!$O$2:$O$200,MATCH($A45,aditivos!$A$2:$A$200,0))),MIN(INDEX(aditivos!$O$2:$O$200,MATCH($A45,aditivos!$A$2:$A$200,0)),posicao_contratual!$Y45),posicao_contratual!$Y45),posicao_contratual!$Y45)+1)))),"",ROUND(itens_Remanesc!C45*$L$6/INDEX($L$2:$L$6,IFERROR(IF(ISNUMBER(INDEX(aditivos!$O$2:$O$200,MATCH($A45,aditivos!$A$2:$A$200,0))),MIN(INDEX(aditivos!$O$2:$O$200,MATCH($A45,aditivos!$A$2:$A$200,0)),posicao_contratual!$Y45),posicao_contratual!$Y45),posicao_contratual!$Y45)+1),2))))))</f>
        <v/>
      </c>
      <c r="H45" s="116" t="str">
        <f t="shared" si="1"/>
        <v/>
      </c>
      <c r="I45" s="14"/>
      <c r="J45" s="14"/>
      <c r="K45" s="14"/>
      <c r="L45" s="14"/>
      <c r="M45" s="14"/>
      <c r="N45" s="147" t="str">
        <f>IF(A45="","",IF(posicao_contratual!$Y45="","",IF(posicao_contratual!$Y45&gt;0,"",posicao_contratual!E45)))</f>
        <v/>
      </c>
      <c r="O45" s="147" t="str">
        <f>IF(A45="","",IF(posicao_contratual!$Y45="","",IF(posicao_contratual!$Y45&gt;1,"",posicao_contratual!I45)))</f>
        <v/>
      </c>
      <c r="P45" s="147" t="str">
        <f>IF(A45="","",IF(posicao_contratual!$Y45="","",IF(posicao_contratual!$Y45&gt;2,"",posicao_contratual!M45)))</f>
        <v/>
      </c>
      <c r="Q45" s="147" t="str">
        <f>IF(A45="","",IF(posicao_contratual!$Y45="","",IF(posicao_contratual!$Y45&gt;3,"",posicao_contratual!Q45)))</f>
        <v/>
      </c>
      <c r="R45" s="147" t="str">
        <f>IF(A45="","",IF(posicao_contratual!$Y45="","",IF(posicao_contratual!$Y45&gt;4,"",posicao_contratual!U45)))</f>
        <v/>
      </c>
      <c r="S45" s="167" t="str">
        <f>IF(A45="","",posicao_contratual!G45)</f>
        <v/>
      </c>
      <c r="T45" s="167" t="str">
        <f>IF(A45="","",posicao_contratual!K45)</f>
        <v/>
      </c>
      <c r="U45" s="167" t="str">
        <f>IF(A45="","",posicao_contratual!O45)</f>
        <v/>
      </c>
      <c r="V45" s="167" t="str">
        <f>IF(A45="","",posicao_contratual!S45)</f>
        <v/>
      </c>
      <c r="W45" s="167" t="str">
        <f>IF(A45="","",posicao_contratual!W45)</f>
        <v/>
      </c>
    </row>
    <row r="46" spans="1:23" x14ac:dyDescent="0.35">
      <c r="A46" s="86" t="str">
        <f>IF(itens_Remanesc!A46="","",itens_Remanesc!A46)</f>
        <v/>
      </c>
      <c r="B46" s="85" t="str">
        <f>IF(A46="","",IF(posicao_contratual!$Y46="","",IF(posicao_contratual!$Y46&gt;0,"",posicao_contratual!G46)))</f>
        <v/>
      </c>
      <c r="C46" s="79" t="str">
        <f>IF(itens_Remanesc!A46="","",IF(posicao_contratual!$Y46="","",IF(posicao_contratual!$Y46&gt;0,"",itens_Remanesc!C46)))</f>
        <v/>
      </c>
      <c r="D46" s="79" t="str">
        <f>IF(OR($A46="",posicao_contratual!$Y46=""),"",IF(posicao_contratual!$Y46&gt;1,"",IF(NOT(ISNUMBER(itens_Remanesc!C46)),"",IF(posicao_contratual!$Y46=1,IF(IFERROR(IF(ISNUMBER(INDEX(aditivos!$O$2:$O$200,MATCH($A46,aditivos!$A$2:$A$200,0))),MIN(INDEX(aditivos!$O$2:$O$200,MATCH($A46,aditivos!$A$2:$A$200,0)),posicao_contratual!$Y46),posicao_contratual!$Y46),posicao_contratual!$Y46)=1,itens_Remanesc!C46,IFERROR(ROUND(itens_Remanesc!C46*INDEX($L$2:$L$6,MIN(1+1,COUNT($L$2:$L$6)))/INDEX($L$2:$L$6,MIN(IFERROR(IF(ISNUMBER(INDEX(aditivos!$O$2:$O$200,MATCH($A46,aditivos!$A$2:$A$200,0))),MIN(INDEX(aditivos!$O$2:$O$200,MATCH($A46,aditivos!$A$2:$A$200,0)),posicao_contratual!$Y46),posicao_contratual!$Y46),posicao_contratual!$Y46)+1,COUNT($L$2:$L$6))),2),"")),IF(OR(NOT(ISNUMBER($L$3)),NOT(ISNUMBER(INDEX($L$2:$L$6,IFERROR(IF(ISNUMBER(INDEX(aditivos!$O$2:$O$200,MATCH($A46,aditivos!$A$2:$A$200,0))),MIN(INDEX(aditivos!$O$2:$O$200,MATCH($A46,aditivos!$A$2:$A$200,0)),posicao_contratual!$Y46),posicao_contratual!$Y46),posicao_contratual!$Y46)+1)))),"",ROUND(itens_Remanesc!C46*$L$3/INDEX($L$2:$L$6,IFERROR(IF(ISNUMBER(INDEX(aditivos!$O$2:$O$200,MATCH($A46,aditivos!$A$2:$A$200,0))),MIN(INDEX(aditivos!$O$2:$O$200,MATCH($A46,aditivos!$A$2:$A$200,0)),posicao_contratual!$Y46),posicao_contratual!$Y46),posicao_contratual!$Y46)+1),2))))))</f>
        <v/>
      </c>
      <c r="E46" s="79" t="str">
        <f>IF(OR($A46="",posicao_contratual!$Y46=""),"",IF(posicao_contratual!$Y46&gt;2,"",IF(NOT(ISNUMBER(itens_Remanesc!C46)),"",IF(posicao_contratual!$Y46=2,IF(IFERROR(IF(ISNUMBER(INDEX(aditivos!$O$2:$O$200,MATCH($A46,aditivos!$A$2:$A$200,0))),MIN(INDEX(aditivos!$O$2:$O$200,MATCH($A46,aditivos!$A$2:$A$200,0)),posicao_contratual!$Y46),posicao_contratual!$Y46),posicao_contratual!$Y46)=2,itens_Remanesc!C46,IFERROR(ROUND(itens_Remanesc!C46*INDEX($L$2:$L$6,MIN(2+1,COUNT($L$2:$L$6)))/INDEX($L$2:$L$6,MIN(IFERROR(IF(ISNUMBER(INDEX(aditivos!$O$2:$O$200,MATCH($A46,aditivos!$A$2:$A$200,0))),MIN(INDEX(aditivos!$O$2:$O$200,MATCH($A46,aditivos!$A$2:$A$200,0)),posicao_contratual!$Y46),posicao_contratual!$Y46),posicao_contratual!$Y46)+1,COUNT($L$2:$L$6))),2),"")),IF(OR(NOT(ISNUMBER($L$4)),NOT(ISNUMBER(INDEX($L$2:$L$6,IFERROR(IF(ISNUMBER(INDEX(aditivos!$O$2:$O$200,MATCH($A46,aditivos!$A$2:$A$200,0))),MIN(INDEX(aditivos!$O$2:$O$200,MATCH($A46,aditivos!$A$2:$A$200,0)),posicao_contratual!$Y46),posicao_contratual!$Y46),posicao_contratual!$Y46)+1)))),"",ROUND(itens_Remanesc!C46*$L$4/INDEX($L$2:$L$6,IFERROR(IF(ISNUMBER(INDEX(aditivos!$O$2:$O$200,MATCH($A46,aditivos!$A$2:$A$200,0))),MIN(INDEX(aditivos!$O$2:$O$200,MATCH($A46,aditivos!$A$2:$A$200,0)),posicao_contratual!$Y46),posicao_contratual!$Y46),posicao_contratual!$Y46)+1),2))))))</f>
        <v/>
      </c>
      <c r="F46" s="79" t="str">
        <f>IF(OR($A46="",posicao_contratual!$Y46=""),"",IF(posicao_contratual!$Y46&gt;3,"",IF(NOT(ISNUMBER(itens_Remanesc!C46)),"",IF(posicao_contratual!$Y46=3,IF(IFERROR(IF(ISNUMBER(INDEX(aditivos!$O$2:$O$200,MATCH($A46,aditivos!$A$2:$A$200,0))),MIN(INDEX(aditivos!$O$2:$O$200,MATCH($A46,aditivos!$A$2:$A$200,0)),posicao_contratual!$Y46),posicao_contratual!$Y46),posicao_contratual!$Y46)=3,itens_Remanesc!C46,IFERROR(ROUND(itens_Remanesc!C46*INDEX($L$2:$L$6,MIN(3+1,COUNT($L$2:$L$6)))/INDEX($L$2:$L$6,MIN(IFERROR(IF(ISNUMBER(INDEX(aditivos!$O$2:$O$200,MATCH($A46,aditivos!$A$2:$A$200,0))),MIN(INDEX(aditivos!$O$2:$O$200,MATCH($A46,aditivos!$A$2:$A$200,0)),posicao_contratual!$Y46),posicao_contratual!$Y46),posicao_contratual!$Y46)+1,COUNT($L$2:$L$6))),2),"")),IF(OR(NOT(ISNUMBER($L$5)),NOT(ISNUMBER(INDEX($L$2:$L$6,IFERROR(IF(ISNUMBER(INDEX(aditivos!$O$2:$O$200,MATCH($A46,aditivos!$A$2:$A$200,0))),MIN(INDEX(aditivos!$O$2:$O$200,MATCH($A46,aditivos!$A$2:$A$200,0)),posicao_contratual!$Y46),posicao_contratual!$Y46),posicao_contratual!$Y46)+1)))),"",ROUND(itens_Remanesc!C46*$L$5/INDEX($L$2:$L$6,IFERROR(IF(ISNUMBER(INDEX(aditivos!$O$2:$O$200,MATCH($A46,aditivos!$A$2:$A$200,0))),MIN(INDEX(aditivos!$O$2:$O$200,MATCH($A46,aditivos!$A$2:$A$200,0)),posicao_contratual!$Y46),posicao_contratual!$Y46),posicao_contratual!$Y46)+1),2))))))</f>
        <v/>
      </c>
      <c r="G46" s="79" t="str">
        <f>IF(OR($A46="",posicao_contratual!$Y46=""),"",IF(posicao_contratual!$Y46&gt;4,"",IF(NOT(ISNUMBER(itens_Remanesc!C46)),"",IF(posicao_contratual!$Y46=4,IF(IFERROR(IF(ISNUMBER(INDEX(aditivos!$O$2:$O$200,MATCH($A46,aditivos!$A$2:$A$200,0))),MIN(INDEX(aditivos!$O$2:$O$200,MATCH($A46,aditivos!$A$2:$A$200,0)),posicao_contratual!$Y46),posicao_contratual!$Y46),posicao_contratual!$Y46)=4,itens_Remanesc!C46,IFERROR(ROUND(itens_Remanesc!C46*INDEX($L$2:$L$6,MIN(4+1,COUNT($L$2:$L$6)))/INDEX($L$2:$L$6,MIN(IFERROR(IF(ISNUMBER(INDEX(aditivos!$O$2:$O$200,MATCH($A46,aditivos!$A$2:$A$200,0))),MIN(INDEX(aditivos!$O$2:$O$200,MATCH($A46,aditivos!$A$2:$A$200,0)),posicao_contratual!$Y46),posicao_contratual!$Y46),posicao_contratual!$Y46)+1,COUNT($L$2:$L$6))),2),"")),IF(OR(NOT(ISNUMBER($L$6)),NOT(ISNUMBER(INDEX($L$2:$L$6,IFERROR(IF(ISNUMBER(INDEX(aditivos!$O$2:$O$200,MATCH($A46,aditivos!$A$2:$A$200,0))),MIN(INDEX(aditivos!$O$2:$O$200,MATCH($A46,aditivos!$A$2:$A$200,0)),posicao_contratual!$Y46),posicao_contratual!$Y46),posicao_contratual!$Y46)+1)))),"",ROUND(itens_Remanesc!C46*$L$6/INDEX($L$2:$L$6,IFERROR(IF(ISNUMBER(INDEX(aditivos!$O$2:$O$200,MATCH($A46,aditivos!$A$2:$A$200,0))),MIN(INDEX(aditivos!$O$2:$O$200,MATCH($A46,aditivos!$A$2:$A$200,0)),posicao_contratual!$Y46),posicao_contratual!$Y46),posicao_contratual!$Y46)+1),2))))))</f>
        <v/>
      </c>
      <c r="H46" s="116" t="str">
        <f t="shared" si="1"/>
        <v/>
      </c>
      <c r="I46" s="14"/>
      <c r="J46" s="14"/>
      <c r="K46" s="14"/>
      <c r="L46" s="14"/>
      <c r="M46" s="14"/>
      <c r="N46" s="147" t="str">
        <f>IF(A46="","",IF(posicao_contratual!$Y46="","",IF(posicao_contratual!$Y46&gt;0,"",posicao_contratual!E46)))</f>
        <v/>
      </c>
      <c r="O46" s="147" t="str">
        <f>IF(A46="","",IF(posicao_contratual!$Y46="","",IF(posicao_contratual!$Y46&gt;1,"",posicao_contratual!I46)))</f>
        <v/>
      </c>
      <c r="P46" s="147" t="str">
        <f>IF(A46="","",IF(posicao_contratual!$Y46="","",IF(posicao_contratual!$Y46&gt;2,"",posicao_contratual!M46)))</f>
        <v/>
      </c>
      <c r="Q46" s="147" t="str">
        <f>IF(A46="","",IF(posicao_contratual!$Y46="","",IF(posicao_contratual!$Y46&gt;3,"",posicao_contratual!Q46)))</f>
        <v/>
      </c>
      <c r="R46" s="147" t="str">
        <f>IF(A46="","",IF(posicao_contratual!$Y46="","",IF(posicao_contratual!$Y46&gt;4,"",posicao_contratual!U46)))</f>
        <v/>
      </c>
      <c r="S46" s="167" t="str">
        <f>IF(A46="","",posicao_contratual!G46)</f>
        <v/>
      </c>
      <c r="T46" s="167" t="str">
        <f>IF(A46="","",posicao_contratual!K46)</f>
        <v/>
      </c>
      <c r="U46" s="167" t="str">
        <f>IF(A46="","",posicao_contratual!O46)</f>
        <v/>
      </c>
      <c r="V46" s="167" t="str">
        <f>IF(A46="","",posicao_contratual!S46)</f>
        <v/>
      </c>
      <c r="W46" s="167" t="str">
        <f>IF(A46="","",posicao_contratual!W46)</f>
        <v/>
      </c>
    </row>
    <row r="47" spans="1:23" x14ac:dyDescent="0.35">
      <c r="A47" s="86" t="str">
        <f>IF(itens_Remanesc!A47="","",itens_Remanesc!A47)</f>
        <v/>
      </c>
      <c r="B47" s="85" t="str">
        <f>IF(A47="","",IF(posicao_contratual!$Y47="","",IF(posicao_contratual!$Y47&gt;0,"",posicao_contratual!G47)))</f>
        <v/>
      </c>
      <c r="C47" s="79" t="str">
        <f>IF(itens_Remanesc!A47="","",IF(posicao_contratual!$Y47="","",IF(posicao_contratual!$Y47&gt;0,"",itens_Remanesc!C47)))</f>
        <v/>
      </c>
      <c r="D47" s="79" t="str">
        <f>IF(OR($A47="",posicao_contratual!$Y47=""),"",IF(posicao_contratual!$Y47&gt;1,"",IF(NOT(ISNUMBER(itens_Remanesc!C47)),"",IF(posicao_contratual!$Y47=1,IF(IFERROR(IF(ISNUMBER(INDEX(aditivos!$O$2:$O$200,MATCH($A47,aditivos!$A$2:$A$200,0))),MIN(INDEX(aditivos!$O$2:$O$200,MATCH($A47,aditivos!$A$2:$A$200,0)),posicao_contratual!$Y47),posicao_contratual!$Y47),posicao_contratual!$Y47)=1,itens_Remanesc!C47,IFERROR(ROUND(itens_Remanesc!C47*INDEX($L$2:$L$6,MIN(1+1,COUNT($L$2:$L$6)))/INDEX($L$2:$L$6,MIN(IFERROR(IF(ISNUMBER(INDEX(aditivos!$O$2:$O$200,MATCH($A47,aditivos!$A$2:$A$200,0))),MIN(INDEX(aditivos!$O$2:$O$200,MATCH($A47,aditivos!$A$2:$A$200,0)),posicao_contratual!$Y47),posicao_contratual!$Y47),posicao_contratual!$Y47)+1,COUNT($L$2:$L$6))),2),"")),IF(OR(NOT(ISNUMBER($L$3)),NOT(ISNUMBER(INDEX($L$2:$L$6,IFERROR(IF(ISNUMBER(INDEX(aditivos!$O$2:$O$200,MATCH($A47,aditivos!$A$2:$A$200,0))),MIN(INDEX(aditivos!$O$2:$O$200,MATCH($A47,aditivos!$A$2:$A$200,0)),posicao_contratual!$Y47),posicao_contratual!$Y47),posicao_contratual!$Y47)+1)))),"",ROUND(itens_Remanesc!C47*$L$3/INDEX($L$2:$L$6,IFERROR(IF(ISNUMBER(INDEX(aditivos!$O$2:$O$200,MATCH($A47,aditivos!$A$2:$A$200,0))),MIN(INDEX(aditivos!$O$2:$O$200,MATCH($A47,aditivos!$A$2:$A$200,0)),posicao_contratual!$Y47),posicao_contratual!$Y47),posicao_contratual!$Y47)+1),2))))))</f>
        <v/>
      </c>
      <c r="E47" s="79" t="str">
        <f>IF(OR($A47="",posicao_contratual!$Y47=""),"",IF(posicao_contratual!$Y47&gt;2,"",IF(NOT(ISNUMBER(itens_Remanesc!C47)),"",IF(posicao_contratual!$Y47=2,IF(IFERROR(IF(ISNUMBER(INDEX(aditivos!$O$2:$O$200,MATCH($A47,aditivos!$A$2:$A$200,0))),MIN(INDEX(aditivos!$O$2:$O$200,MATCH($A47,aditivos!$A$2:$A$200,0)),posicao_contratual!$Y47),posicao_contratual!$Y47),posicao_contratual!$Y47)=2,itens_Remanesc!C47,IFERROR(ROUND(itens_Remanesc!C47*INDEX($L$2:$L$6,MIN(2+1,COUNT($L$2:$L$6)))/INDEX($L$2:$L$6,MIN(IFERROR(IF(ISNUMBER(INDEX(aditivos!$O$2:$O$200,MATCH($A47,aditivos!$A$2:$A$200,0))),MIN(INDEX(aditivos!$O$2:$O$200,MATCH($A47,aditivos!$A$2:$A$200,0)),posicao_contratual!$Y47),posicao_contratual!$Y47),posicao_contratual!$Y47)+1,COUNT($L$2:$L$6))),2),"")),IF(OR(NOT(ISNUMBER($L$4)),NOT(ISNUMBER(INDEX($L$2:$L$6,IFERROR(IF(ISNUMBER(INDEX(aditivos!$O$2:$O$200,MATCH($A47,aditivos!$A$2:$A$200,0))),MIN(INDEX(aditivos!$O$2:$O$200,MATCH($A47,aditivos!$A$2:$A$200,0)),posicao_contratual!$Y47),posicao_contratual!$Y47),posicao_contratual!$Y47)+1)))),"",ROUND(itens_Remanesc!C47*$L$4/INDEX($L$2:$L$6,IFERROR(IF(ISNUMBER(INDEX(aditivos!$O$2:$O$200,MATCH($A47,aditivos!$A$2:$A$200,0))),MIN(INDEX(aditivos!$O$2:$O$200,MATCH($A47,aditivos!$A$2:$A$200,0)),posicao_contratual!$Y47),posicao_contratual!$Y47),posicao_contratual!$Y47)+1),2))))))</f>
        <v/>
      </c>
      <c r="F47" s="79" t="str">
        <f>IF(OR($A47="",posicao_contratual!$Y47=""),"",IF(posicao_contratual!$Y47&gt;3,"",IF(NOT(ISNUMBER(itens_Remanesc!C47)),"",IF(posicao_contratual!$Y47=3,IF(IFERROR(IF(ISNUMBER(INDEX(aditivos!$O$2:$O$200,MATCH($A47,aditivos!$A$2:$A$200,0))),MIN(INDEX(aditivos!$O$2:$O$200,MATCH($A47,aditivos!$A$2:$A$200,0)),posicao_contratual!$Y47),posicao_contratual!$Y47),posicao_contratual!$Y47)=3,itens_Remanesc!C47,IFERROR(ROUND(itens_Remanesc!C47*INDEX($L$2:$L$6,MIN(3+1,COUNT($L$2:$L$6)))/INDEX($L$2:$L$6,MIN(IFERROR(IF(ISNUMBER(INDEX(aditivos!$O$2:$O$200,MATCH($A47,aditivos!$A$2:$A$200,0))),MIN(INDEX(aditivos!$O$2:$O$200,MATCH($A47,aditivos!$A$2:$A$200,0)),posicao_contratual!$Y47),posicao_contratual!$Y47),posicao_contratual!$Y47)+1,COUNT($L$2:$L$6))),2),"")),IF(OR(NOT(ISNUMBER($L$5)),NOT(ISNUMBER(INDEX($L$2:$L$6,IFERROR(IF(ISNUMBER(INDEX(aditivos!$O$2:$O$200,MATCH($A47,aditivos!$A$2:$A$200,0))),MIN(INDEX(aditivos!$O$2:$O$200,MATCH($A47,aditivos!$A$2:$A$200,0)),posicao_contratual!$Y47),posicao_contratual!$Y47),posicao_contratual!$Y47)+1)))),"",ROUND(itens_Remanesc!C47*$L$5/INDEX($L$2:$L$6,IFERROR(IF(ISNUMBER(INDEX(aditivos!$O$2:$O$200,MATCH($A47,aditivos!$A$2:$A$200,0))),MIN(INDEX(aditivos!$O$2:$O$200,MATCH($A47,aditivos!$A$2:$A$200,0)),posicao_contratual!$Y47),posicao_contratual!$Y47),posicao_contratual!$Y47)+1),2))))))</f>
        <v/>
      </c>
      <c r="G47" s="79" t="str">
        <f>IF(OR($A47="",posicao_contratual!$Y47=""),"",IF(posicao_contratual!$Y47&gt;4,"",IF(NOT(ISNUMBER(itens_Remanesc!C47)),"",IF(posicao_contratual!$Y47=4,IF(IFERROR(IF(ISNUMBER(INDEX(aditivos!$O$2:$O$200,MATCH($A47,aditivos!$A$2:$A$200,0))),MIN(INDEX(aditivos!$O$2:$O$200,MATCH($A47,aditivos!$A$2:$A$200,0)),posicao_contratual!$Y47),posicao_contratual!$Y47),posicao_contratual!$Y47)=4,itens_Remanesc!C47,IFERROR(ROUND(itens_Remanesc!C47*INDEX($L$2:$L$6,MIN(4+1,COUNT($L$2:$L$6)))/INDEX($L$2:$L$6,MIN(IFERROR(IF(ISNUMBER(INDEX(aditivos!$O$2:$O$200,MATCH($A47,aditivos!$A$2:$A$200,0))),MIN(INDEX(aditivos!$O$2:$O$200,MATCH($A47,aditivos!$A$2:$A$200,0)),posicao_contratual!$Y47),posicao_contratual!$Y47),posicao_contratual!$Y47)+1,COUNT($L$2:$L$6))),2),"")),IF(OR(NOT(ISNUMBER($L$6)),NOT(ISNUMBER(INDEX($L$2:$L$6,IFERROR(IF(ISNUMBER(INDEX(aditivos!$O$2:$O$200,MATCH($A47,aditivos!$A$2:$A$200,0))),MIN(INDEX(aditivos!$O$2:$O$200,MATCH($A47,aditivos!$A$2:$A$200,0)),posicao_contratual!$Y47),posicao_contratual!$Y47),posicao_contratual!$Y47)+1)))),"",ROUND(itens_Remanesc!C47*$L$6/INDEX($L$2:$L$6,IFERROR(IF(ISNUMBER(INDEX(aditivos!$O$2:$O$200,MATCH($A47,aditivos!$A$2:$A$200,0))),MIN(INDEX(aditivos!$O$2:$O$200,MATCH($A47,aditivos!$A$2:$A$200,0)),posicao_contratual!$Y47),posicao_contratual!$Y47),posicao_contratual!$Y47)+1),2))))))</f>
        <v/>
      </c>
      <c r="H47" s="116" t="str">
        <f t="shared" si="1"/>
        <v/>
      </c>
      <c r="I47" s="14"/>
      <c r="J47" s="14"/>
      <c r="K47" s="14"/>
      <c r="L47" s="14"/>
      <c r="M47" s="14"/>
      <c r="N47" s="147" t="str">
        <f>IF(A47="","",IF(posicao_contratual!$Y47="","",IF(posicao_contratual!$Y47&gt;0,"",posicao_contratual!E47)))</f>
        <v/>
      </c>
      <c r="O47" s="147" t="str">
        <f>IF(A47="","",IF(posicao_contratual!$Y47="","",IF(posicao_contratual!$Y47&gt;1,"",posicao_contratual!I47)))</f>
        <v/>
      </c>
      <c r="P47" s="147" t="str">
        <f>IF(A47="","",IF(posicao_contratual!$Y47="","",IF(posicao_contratual!$Y47&gt;2,"",posicao_contratual!M47)))</f>
        <v/>
      </c>
      <c r="Q47" s="147" t="str">
        <f>IF(A47="","",IF(posicao_contratual!$Y47="","",IF(posicao_contratual!$Y47&gt;3,"",posicao_contratual!Q47)))</f>
        <v/>
      </c>
      <c r="R47" s="147" t="str">
        <f>IF(A47="","",IF(posicao_contratual!$Y47="","",IF(posicao_contratual!$Y47&gt;4,"",posicao_contratual!U47)))</f>
        <v/>
      </c>
      <c r="S47" s="167" t="str">
        <f>IF(A47="","",posicao_contratual!G47)</f>
        <v/>
      </c>
      <c r="T47" s="167" t="str">
        <f>IF(A47="","",posicao_contratual!K47)</f>
        <v/>
      </c>
      <c r="U47" s="167" t="str">
        <f>IF(A47="","",posicao_contratual!O47)</f>
        <v/>
      </c>
      <c r="V47" s="167" t="str">
        <f>IF(A47="","",posicao_contratual!S47)</f>
        <v/>
      </c>
      <c r="W47" s="167" t="str">
        <f>IF(A47="","",posicao_contratual!W47)</f>
        <v/>
      </c>
    </row>
    <row r="48" spans="1:23" x14ac:dyDescent="0.35">
      <c r="A48" s="86" t="str">
        <f>IF(itens_Remanesc!A48="","",itens_Remanesc!A48)</f>
        <v/>
      </c>
      <c r="B48" s="85" t="str">
        <f>IF(A48="","",IF(posicao_contratual!$Y48="","",IF(posicao_contratual!$Y48&gt;0,"",posicao_contratual!G48)))</f>
        <v/>
      </c>
      <c r="C48" s="79" t="str">
        <f>IF(itens_Remanesc!A48="","",IF(posicao_contratual!$Y48="","",IF(posicao_contratual!$Y48&gt;0,"",itens_Remanesc!C48)))</f>
        <v/>
      </c>
      <c r="D48" s="79" t="str">
        <f>IF(OR($A48="",posicao_contratual!$Y48=""),"",IF(posicao_contratual!$Y48&gt;1,"",IF(NOT(ISNUMBER(itens_Remanesc!C48)),"",IF(posicao_contratual!$Y48=1,IF(IFERROR(IF(ISNUMBER(INDEX(aditivos!$O$2:$O$200,MATCH($A48,aditivos!$A$2:$A$200,0))),MIN(INDEX(aditivos!$O$2:$O$200,MATCH($A48,aditivos!$A$2:$A$200,0)),posicao_contratual!$Y48),posicao_contratual!$Y48),posicao_contratual!$Y48)=1,itens_Remanesc!C48,IFERROR(ROUND(itens_Remanesc!C48*INDEX($L$2:$L$6,MIN(1+1,COUNT($L$2:$L$6)))/INDEX($L$2:$L$6,MIN(IFERROR(IF(ISNUMBER(INDEX(aditivos!$O$2:$O$200,MATCH($A48,aditivos!$A$2:$A$200,0))),MIN(INDEX(aditivos!$O$2:$O$200,MATCH($A48,aditivos!$A$2:$A$200,0)),posicao_contratual!$Y48),posicao_contratual!$Y48),posicao_contratual!$Y48)+1,COUNT($L$2:$L$6))),2),"")),IF(OR(NOT(ISNUMBER($L$3)),NOT(ISNUMBER(INDEX($L$2:$L$6,IFERROR(IF(ISNUMBER(INDEX(aditivos!$O$2:$O$200,MATCH($A48,aditivos!$A$2:$A$200,0))),MIN(INDEX(aditivos!$O$2:$O$200,MATCH($A48,aditivos!$A$2:$A$200,0)),posicao_contratual!$Y48),posicao_contratual!$Y48),posicao_contratual!$Y48)+1)))),"",ROUND(itens_Remanesc!C48*$L$3/INDEX($L$2:$L$6,IFERROR(IF(ISNUMBER(INDEX(aditivos!$O$2:$O$200,MATCH($A48,aditivos!$A$2:$A$200,0))),MIN(INDEX(aditivos!$O$2:$O$200,MATCH($A48,aditivos!$A$2:$A$200,0)),posicao_contratual!$Y48),posicao_contratual!$Y48),posicao_contratual!$Y48)+1),2))))))</f>
        <v/>
      </c>
      <c r="E48" s="79" t="str">
        <f>IF(OR($A48="",posicao_contratual!$Y48=""),"",IF(posicao_contratual!$Y48&gt;2,"",IF(NOT(ISNUMBER(itens_Remanesc!C48)),"",IF(posicao_contratual!$Y48=2,IF(IFERROR(IF(ISNUMBER(INDEX(aditivos!$O$2:$O$200,MATCH($A48,aditivos!$A$2:$A$200,0))),MIN(INDEX(aditivos!$O$2:$O$200,MATCH($A48,aditivos!$A$2:$A$200,0)),posicao_contratual!$Y48),posicao_contratual!$Y48),posicao_contratual!$Y48)=2,itens_Remanesc!C48,IFERROR(ROUND(itens_Remanesc!C48*INDEX($L$2:$L$6,MIN(2+1,COUNT($L$2:$L$6)))/INDEX($L$2:$L$6,MIN(IFERROR(IF(ISNUMBER(INDEX(aditivos!$O$2:$O$200,MATCH($A48,aditivos!$A$2:$A$200,0))),MIN(INDEX(aditivos!$O$2:$O$200,MATCH($A48,aditivos!$A$2:$A$200,0)),posicao_contratual!$Y48),posicao_contratual!$Y48),posicao_contratual!$Y48)+1,COUNT($L$2:$L$6))),2),"")),IF(OR(NOT(ISNUMBER($L$4)),NOT(ISNUMBER(INDEX($L$2:$L$6,IFERROR(IF(ISNUMBER(INDEX(aditivos!$O$2:$O$200,MATCH($A48,aditivos!$A$2:$A$200,0))),MIN(INDEX(aditivos!$O$2:$O$200,MATCH($A48,aditivos!$A$2:$A$200,0)),posicao_contratual!$Y48),posicao_contratual!$Y48),posicao_contratual!$Y48)+1)))),"",ROUND(itens_Remanesc!C48*$L$4/INDEX($L$2:$L$6,IFERROR(IF(ISNUMBER(INDEX(aditivos!$O$2:$O$200,MATCH($A48,aditivos!$A$2:$A$200,0))),MIN(INDEX(aditivos!$O$2:$O$200,MATCH($A48,aditivos!$A$2:$A$200,0)),posicao_contratual!$Y48),posicao_contratual!$Y48),posicao_contratual!$Y48)+1),2))))))</f>
        <v/>
      </c>
      <c r="F48" s="79" t="str">
        <f>IF(OR($A48="",posicao_contratual!$Y48=""),"",IF(posicao_contratual!$Y48&gt;3,"",IF(NOT(ISNUMBER(itens_Remanesc!C48)),"",IF(posicao_contratual!$Y48=3,IF(IFERROR(IF(ISNUMBER(INDEX(aditivos!$O$2:$O$200,MATCH($A48,aditivos!$A$2:$A$200,0))),MIN(INDEX(aditivos!$O$2:$O$200,MATCH($A48,aditivos!$A$2:$A$200,0)),posicao_contratual!$Y48),posicao_contratual!$Y48),posicao_contratual!$Y48)=3,itens_Remanesc!C48,IFERROR(ROUND(itens_Remanesc!C48*INDEX($L$2:$L$6,MIN(3+1,COUNT($L$2:$L$6)))/INDEX($L$2:$L$6,MIN(IFERROR(IF(ISNUMBER(INDEX(aditivos!$O$2:$O$200,MATCH($A48,aditivos!$A$2:$A$200,0))),MIN(INDEX(aditivos!$O$2:$O$200,MATCH($A48,aditivos!$A$2:$A$200,0)),posicao_contratual!$Y48),posicao_contratual!$Y48),posicao_contratual!$Y48)+1,COUNT($L$2:$L$6))),2),"")),IF(OR(NOT(ISNUMBER($L$5)),NOT(ISNUMBER(INDEX($L$2:$L$6,IFERROR(IF(ISNUMBER(INDEX(aditivos!$O$2:$O$200,MATCH($A48,aditivos!$A$2:$A$200,0))),MIN(INDEX(aditivos!$O$2:$O$200,MATCH($A48,aditivos!$A$2:$A$200,0)),posicao_contratual!$Y48),posicao_contratual!$Y48),posicao_contratual!$Y48)+1)))),"",ROUND(itens_Remanesc!C48*$L$5/INDEX($L$2:$L$6,IFERROR(IF(ISNUMBER(INDEX(aditivos!$O$2:$O$200,MATCH($A48,aditivos!$A$2:$A$200,0))),MIN(INDEX(aditivos!$O$2:$O$200,MATCH($A48,aditivos!$A$2:$A$200,0)),posicao_contratual!$Y48),posicao_contratual!$Y48),posicao_contratual!$Y48)+1),2))))))</f>
        <v/>
      </c>
      <c r="G48" s="79" t="str">
        <f>IF(OR($A48="",posicao_contratual!$Y48=""),"",IF(posicao_contratual!$Y48&gt;4,"",IF(NOT(ISNUMBER(itens_Remanesc!C48)),"",IF(posicao_contratual!$Y48=4,IF(IFERROR(IF(ISNUMBER(INDEX(aditivos!$O$2:$O$200,MATCH($A48,aditivos!$A$2:$A$200,0))),MIN(INDEX(aditivos!$O$2:$O$200,MATCH($A48,aditivos!$A$2:$A$200,0)),posicao_contratual!$Y48),posicao_contratual!$Y48),posicao_contratual!$Y48)=4,itens_Remanesc!C48,IFERROR(ROUND(itens_Remanesc!C48*INDEX($L$2:$L$6,MIN(4+1,COUNT($L$2:$L$6)))/INDEX($L$2:$L$6,MIN(IFERROR(IF(ISNUMBER(INDEX(aditivos!$O$2:$O$200,MATCH($A48,aditivos!$A$2:$A$200,0))),MIN(INDEX(aditivos!$O$2:$O$200,MATCH($A48,aditivos!$A$2:$A$200,0)),posicao_contratual!$Y48),posicao_contratual!$Y48),posicao_contratual!$Y48)+1,COUNT($L$2:$L$6))),2),"")),IF(OR(NOT(ISNUMBER($L$6)),NOT(ISNUMBER(INDEX($L$2:$L$6,IFERROR(IF(ISNUMBER(INDEX(aditivos!$O$2:$O$200,MATCH($A48,aditivos!$A$2:$A$200,0))),MIN(INDEX(aditivos!$O$2:$O$200,MATCH($A48,aditivos!$A$2:$A$200,0)),posicao_contratual!$Y48),posicao_contratual!$Y48),posicao_contratual!$Y48)+1)))),"",ROUND(itens_Remanesc!C48*$L$6/INDEX($L$2:$L$6,IFERROR(IF(ISNUMBER(INDEX(aditivos!$O$2:$O$200,MATCH($A48,aditivos!$A$2:$A$200,0))),MIN(INDEX(aditivos!$O$2:$O$200,MATCH($A48,aditivos!$A$2:$A$200,0)),posicao_contratual!$Y48),posicao_contratual!$Y48),posicao_contratual!$Y48)+1),2))))))</f>
        <v/>
      </c>
      <c r="H48" s="116" t="str">
        <f t="shared" si="1"/>
        <v/>
      </c>
      <c r="I48" s="14"/>
      <c r="J48" s="14"/>
      <c r="K48" s="14"/>
      <c r="L48" s="14"/>
      <c r="M48" s="14"/>
      <c r="N48" s="147" t="str">
        <f>IF(A48="","",IF(posicao_contratual!$Y48="","",IF(posicao_contratual!$Y48&gt;0,"",posicao_contratual!E48)))</f>
        <v/>
      </c>
      <c r="O48" s="147" t="str">
        <f>IF(A48="","",IF(posicao_contratual!$Y48="","",IF(posicao_contratual!$Y48&gt;1,"",posicao_contratual!I48)))</f>
        <v/>
      </c>
      <c r="P48" s="147" t="str">
        <f>IF(A48="","",IF(posicao_contratual!$Y48="","",IF(posicao_contratual!$Y48&gt;2,"",posicao_contratual!M48)))</f>
        <v/>
      </c>
      <c r="Q48" s="147" t="str">
        <f>IF(A48="","",IF(posicao_contratual!$Y48="","",IF(posicao_contratual!$Y48&gt;3,"",posicao_contratual!Q48)))</f>
        <v/>
      </c>
      <c r="R48" s="147" t="str">
        <f>IF(A48="","",IF(posicao_contratual!$Y48="","",IF(posicao_contratual!$Y48&gt;4,"",posicao_contratual!U48)))</f>
        <v/>
      </c>
      <c r="S48" s="167" t="str">
        <f>IF(A48="","",posicao_contratual!G48)</f>
        <v/>
      </c>
      <c r="T48" s="167" t="str">
        <f>IF(A48="","",posicao_contratual!K48)</f>
        <v/>
      </c>
      <c r="U48" s="167" t="str">
        <f>IF(A48="","",posicao_contratual!O48)</f>
        <v/>
      </c>
      <c r="V48" s="167" t="str">
        <f>IF(A48="","",posicao_contratual!S48)</f>
        <v/>
      </c>
      <c r="W48" s="167" t="str">
        <f>IF(A48="","",posicao_contratual!W48)</f>
        <v/>
      </c>
    </row>
    <row r="49" spans="1:23" x14ac:dyDescent="0.35">
      <c r="A49" s="86" t="str">
        <f>IF(itens_Remanesc!A49="","",itens_Remanesc!A49)</f>
        <v/>
      </c>
      <c r="B49" s="85" t="str">
        <f>IF(A49="","",IF(posicao_contratual!$Y49="","",IF(posicao_contratual!$Y49&gt;0,"",posicao_contratual!G49)))</f>
        <v/>
      </c>
      <c r="C49" s="79" t="str">
        <f>IF(itens_Remanesc!A49="","",IF(posicao_contratual!$Y49="","",IF(posicao_contratual!$Y49&gt;0,"",itens_Remanesc!C49)))</f>
        <v/>
      </c>
      <c r="D49" s="79" t="str">
        <f>IF(OR($A49="",posicao_contratual!$Y49=""),"",IF(posicao_contratual!$Y49&gt;1,"",IF(NOT(ISNUMBER(itens_Remanesc!C49)),"",IF(posicao_contratual!$Y49=1,IF(IFERROR(IF(ISNUMBER(INDEX(aditivos!$O$2:$O$200,MATCH($A49,aditivos!$A$2:$A$200,0))),MIN(INDEX(aditivos!$O$2:$O$200,MATCH($A49,aditivos!$A$2:$A$200,0)),posicao_contratual!$Y49),posicao_contratual!$Y49),posicao_contratual!$Y49)=1,itens_Remanesc!C49,IFERROR(ROUND(itens_Remanesc!C49*INDEX($L$2:$L$6,MIN(1+1,COUNT($L$2:$L$6)))/INDEX($L$2:$L$6,MIN(IFERROR(IF(ISNUMBER(INDEX(aditivos!$O$2:$O$200,MATCH($A49,aditivos!$A$2:$A$200,0))),MIN(INDEX(aditivos!$O$2:$O$200,MATCH($A49,aditivos!$A$2:$A$200,0)),posicao_contratual!$Y49),posicao_contratual!$Y49),posicao_contratual!$Y49)+1,COUNT($L$2:$L$6))),2),"")),IF(OR(NOT(ISNUMBER($L$3)),NOT(ISNUMBER(INDEX($L$2:$L$6,IFERROR(IF(ISNUMBER(INDEX(aditivos!$O$2:$O$200,MATCH($A49,aditivos!$A$2:$A$200,0))),MIN(INDEX(aditivos!$O$2:$O$200,MATCH($A49,aditivos!$A$2:$A$200,0)),posicao_contratual!$Y49),posicao_contratual!$Y49),posicao_contratual!$Y49)+1)))),"",ROUND(itens_Remanesc!C49*$L$3/INDEX($L$2:$L$6,IFERROR(IF(ISNUMBER(INDEX(aditivos!$O$2:$O$200,MATCH($A49,aditivos!$A$2:$A$200,0))),MIN(INDEX(aditivos!$O$2:$O$200,MATCH($A49,aditivos!$A$2:$A$200,0)),posicao_contratual!$Y49),posicao_contratual!$Y49),posicao_contratual!$Y49)+1),2))))))</f>
        <v/>
      </c>
      <c r="E49" s="79" t="str">
        <f>IF(OR($A49="",posicao_contratual!$Y49=""),"",IF(posicao_contratual!$Y49&gt;2,"",IF(NOT(ISNUMBER(itens_Remanesc!C49)),"",IF(posicao_contratual!$Y49=2,IF(IFERROR(IF(ISNUMBER(INDEX(aditivos!$O$2:$O$200,MATCH($A49,aditivos!$A$2:$A$200,0))),MIN(INDEX(aditivos!$O$2:$O$200,MATCH($A49,aditivos!$A$2:$A$200,0)),posicao_contratual!$Y49),posicao_contratual!$Y49),posicao_contratual!$Y49)=2,itens_Remanesc!C49,IFERROR(ROUND(itens_Remanesc!C49*INDEX($L$2:$L$6,MIN(2+1,COUNT($L$2:$L$6)))/INDEX($L$2:$L$6,MIN(IFERROR(IF(ISNUMBER(INDEX(aditivos!$O$2:$O$200,MATCH($A49,aditivos!$A$2:$A$200,0))),MIN(INDEX(aditivos!$O$2:$O$200,MATCH($A49,aditivos!$A$2:$A$200,0)),posicao_contratual!$Y49),posicao_contratual!$Y49),posicao_contratual!$Y49)+1,COUNT($L$2:$L$6))),2),"")),IF(OR(NOT(ISNUMBER($L$4)),NOT(ISNUMBER(INDEX($L$2:$L$6,IFERROR(IF(ISNUMBER(INDEX(aditivos!$O$2:$O$200,MATCH($A49,aditivos!$A$2:$A$200,0))),MIN(INDEX(aditivos!$O$2:$O$200,MATCH($A49,aditivos!$A$2:$A$200,0)),posicao_contratual!$Y49),posicao_contratual!$Y49),posicao_contratual!$Y49)+1)))),"",ROUND(itens_Remanesc!C49*$L$4/INDEX($L$2:$L$6,IFERROR(IF(ISNUMBER(INDEX(aditivos!$O$2:$O$200,MATCH($A49,aditivos!$A$2:$A$200,0))),MIN(INDEX(aditivos!$O$2:$O$200,MATCH($A49,aditivos!$A$2:$A$200,0)),posicao_contratual!$Y49),posicao_contratual!$Y49),posicao_contratual!$Y49)+1),2))))))</f>
        <v/>
      </c>
      <c r="F49" s="79" t="str">
        <f>IF(OR($A49="",posicao_contratual!$Y49=""),"",IF(posicao_contratual!$Y49&gt;3,"",IF(NOT(ISNUMBER(itens_Remanesc!C49)),"",IF(posicao_contratual!$Y49=3,IF(IFERROR(IF(ISNUMBER(INDEX(aditivos!$O$2:$O$200,MATCH($A49,aditivos!$A$2:$A$200,0))),MIN(INDEX(aditivos!$O$2:$O$200,MATCH($A49,aditivos!$A$2:$A$200,0)),posicao_contratual!$Y49),posicao_contratual!$Y49),posicao_contratual!$Y49)=3,itens_Remanesc!C49,IFERROR(ROUND(itens_Remanesc!C49*INDEX($L$2:$L$6,MIN(3+1,COUNT($L$2:$L$6)))/INDEX($L$2:$L$6,MIN(IFERROR(IF(ISNUMBER(INDEX(aditivos!$O$2:$O$200,MATCH($A49,aditivos!$A$2:$A$200,0))),MIN(INDEX(aditivos!$O$2:$O$200,MATCH($A49,aditivos!$A$2:$A$200,0)),posicao_contratual!$Y49),posicao_contratual!$Y49),posicao_contratual!$Y49)+1,COUNT($L$2:$L$6))),2),"")),IF(OR(NOT(ISNUMBER($L$5)),NOT(ISNUMBER(INDEX($L$2:$L$6,IFERROR(IF(ISNUMBER(INDEX(aditivos!$O$2:$O$200,MATCH($A49,aditivos!$A$2:$A$200,0))),MIN(INDEX(aditivos!$O$2:$O$200,MATCH($A49,aditivos!$A$2:$A$200,0)),posicao_contratual!$Y49),posicao_contratual!$Y49),posicao_contratual!$Y49)+1)))),"",ROUND(itens_Remanesc!C49*$L$5/INDEX($L$2:$L$6,IFERROR(IF(ISNUMBER(INDEX(aditivos!$O$2:$O$200,MATCH($A49,aditivos!$A$2:$A$200,0))),MIN(INDEX(aditivos!$O$2:$O$200,MATCH($A49,aditivos!$A$2:$A$200,0)),posicao_contratual!$Y49),posicao_contratual!$Y49),posicao_contratual!$Y49)+1),2))))))</f>
        <v/>
      </c>
      <c r="G49" s="79" t="str">
        <f>IF(OR($A49="",posicao_contratual!$Y49=""),"",IF(posicao_contratual!$Y49&gt;4,"",IF(NOT(ISNUMBER(itens_Remanesc!C49)),"",IF(posicao_contratual!$Y49=4,IF(IFERROR(IF(ISNUMBER(INDEX(aditivos!$O$2:$O$200,MATCH($A49,aditivos!$A$2:$A$200,0))),MIN(INDEX(aditivos!$O$2:$O$200,MATCH($A49,aditivos!$A$2:$A$200,0)),posicao_contratual!$Y49),posicao_contratual!$Y49),posicao_contratual!$Y49)=4,itens_Remanesc!C49,IFERROR(ROUND(itens_Remanesc!C49*INDEX($L$2:$L$6,MIN(4+1,COUNT($L$2:$L$6)))/INDEX($L$2:$L$6,MIN(IFERROR(IF(ISNUMBER(INDEX(aditivos!$O$2:$O$200,MATCH($A49,aditivos!$A$2:$A$200,0))),MIN(INDEX(aditivos!$O$2:$O$200,MATCH($A49,aditivos!$A$2:$A$200,0)),posicao_contratual!$Y49),posicao_contratual!$Y49),posicao_contratual!$Y49)+1,COUNT($L$2:$L$6))),2),"")),IF(OR(NOT(ISNUMBER($L$6)),NOT(ISNUMBER(INDEX($L$2:$L$6,IFERROR(IF(ISNUMBER(INDEX(aditivos!$O$2:$O$200,MATCH($A49,aditivos!$A$2:$A$200,0))),MIN(INDEX(aditivos!$O$2:$O$200,MATCH($A49,aditivos!$A$2:$A$200,0)),posicao_contratual!$Y49),posicao_contratual!$Y49),posicao_contratual!$Y49)+1)))),"",ROUND(itens_Remanesc!C49*$L$6/INDEX($L$2:$L$6,IFERROR(IF(ISNUMBER(INDEX(aditivos!$O$2:$O$200,MATCH($A49,aditivos!$A$2:$A$200,0))),MIN(INDEX(aditivos!$O$2:$O$200,MATCH($A49,aditivos!$A$2:$A$200,0)),posicao_contratual!$Y49),posicao_contratual!$Y49),posicao_contratual!$Y49)+1),2))))))</f>
        <v/>
      </c>
      <c r="H49" s="116" t="str">
        <f t="shared" si="1"/>
        <v/>
      </c>
      <c r="I49" s="14"/>
      <c r="J49" s="14"/>
      <c r="K49" s="14"/>
      <c r="L49" s="14"/>
      <c r="M49" s="14"/>
      <c r="N49" s="147" t="str">
        <f>IF(A49="","",IF(posicao_contratual!$Y49="","",IF(posicao_contratual!$Y49&gt;0,"",posicao_contratual!E49)))</f>
        <v/>
      </c>
      <c r="O49" s="147" t="str">
        <f>IF(A49="","",IF(posicao_contratual!$Y49="","",IF(posicao_contratual!$Y49&gt;1,"",posicao_contratual!I49)))</f>
        <v/>
      </c>
      <c r="P49" s="147" t="str">
        <f>IF(A49="","",IF(posicao_contratual!$Y49="","",IF(posicao_contratual!$Y49&gt;2,"",posicao_contratual!M49)))</f>
        <v/>
      </c>
      <c r="Q49" s="147" t="str">
        <f>IF(A49="","",IF(posicao_contratual!$Y49="","",IF(posicao_contratual!$Y49&gt;3,"",posicao_contratual!Q49)))</f>
        <v/>
      </c>
      <c r="R49" s="147" t="str">
        <f>IF(A49="","",IF(posicao_contratual!$Y49="","",IF(posicao_contratual!$Y49&gt;4,"",posicao_contratual!U49)))</f>
        <v/>
      </c>
      <c r="S49" s="167" t="str">
        <f>IF(A49="","",posicao_contratual!G49)</f>
        <v/>
      </c>
      <c r="T49" s="167" t="str">
        <f>IF(A49="","",posicao_contratual!K49)</f>
        <v/>
      </c>
      <c r="U49" s="167" t="str">
        <f>IF(A49="","",posicao_contratual!O49)</f>
        <v/>
      </c>
      <c r="V49" s="167" t="str">
        <f>IF(A49="","",posicao_contratual!S49)</f>
        <v/>
      </c>
      <c r="W49" s="167" t="str">
        <f>IF(A49="","",posicao_contratual!W49)</f>
        <v/>
      </c>
    </row>
    <row r="50" spans="1:23" x14ac:dyDescent="0.35">
      <c r="A50" s="86" t="str">
        <f>IF(itens_Remanesc!A50="","",itens_Remanesc!A50)</f>
        <v/>
      </c>
      <c r="B50" s="85" t="str">
        <f>IF(A50="","",IF(posicao_contratual!$Y50="","",IF(posicao_contratual!$Y50&gt;0,"",posicao_contratual!G50)))</f>
        <v/>
      </c>
      <c r="C50" s="79" t="str">
        <f>IF(itens_Remanesc!A50="","",IF(posicao_contratual!$Y50="","",IF(posicao_contratual!$Y50&gt;0,"",itens_Remanesc!C50)))</f>
        <v/>
      </c>
      <c r="D50" s="79" t="str">
        <f>IF(OR($A50="",posicao_contratual!$Y50=""),"",IF(posicao_contratual!$Y50&gt;1,"",IF(NOT(ISNUMBER(itens_Remanesc!C50)),"",IF(posicao_contratual!$Y50=1,IF(IFERROR(IF(ISNUMBER(INDEX(aditivos!$O$2:$O$200,MATCH($A50,aditivos!$A$2:$A$200,0))),MIN(INDEX(aditivos!$O$2:$O$200,MATCH($A50,aditivos!$A$2:$A$200,0)),posicao_contratual!$Y50),posicao_contratual!$Y50),posicao_contratual!$Y50)=1,itens_Remanesc!C50,IFERROR(ROUND(itens_Remanesc!C50*INDEX($L$2:$L$6,MIN(1+1,COUNT($L$2:$L$6)))/INDEX($L$2:$L$6,MIN(IFERROR(IF(ISNUMBER(INDEX(aditivos!$O$2:$O$200,MATCH($A50,aditivos!$A$2:$A$200,0))),MIN(INDEX(aditivos!$O$2:$O$200,MATCH($A50,aditivos!$A$2:$A$200,0)),posicao_contratual!$Y50),posicao_contratual!$Y50),posicao_contratual!$Y50)+1,COUNT($L$2:$L$6))),2),"")),IF(OR(NOT(ISNUMBER($L$3)),NOT(ISNUMBER(INDEX($L$2:$L$6,IFERROR(IF(ISNUMBER(INDEX(aditivos!$O$2:$O$200,MATCH($A50,aditivos!$A$2:$A$200,0))),MIN(INDEX(aditivos!$O$2:$O$200,MATCH($A50,aditivos!$A$2:$A$200,0)),posicao_contratual!$Y50),posicao_contratual!$Y50),posicao_contratual!$Y50)+1)))),"",ROUND(itens_Remanesc!C50*$L$3/INDEX($L$2:$L$6,IFERROR(IF(ISNUMBER(INDEX(aditivos!$O$2:$O$200,MATCH($A50,aditivos!$A$2:$A$200,0))),MIN(INDEX(aditivos!$O$2:$O$200,MATCH($A50,aditivos!$A$2:$A$200,0)),posicao_contratual!$Y50),posicao_contratual!$Y50),posicao_contratual!$Y50)+1),2))))))</f>
        <v/>
      </c>
      <c r="E50" s="79" t="str">
        <f>IF(OR($A50="",posicao_contratual!$Y50=""),"",IF(posicao_contratual!$Y50&gt;2,"",IF(NOT(ISNUMBER(itens_Remanesc!C50)),"",IF(posicao_contratual!$Y50=2,IF(IFERROR(IF(ISNUMBER(INDEX(aditivos!$O$2:$O$200,MATCH($A50,aditivos!$A$2:$A$200,0))),MIN(INDEX(aditivos!$O$2:$O$200,MATCH($A50,aditivos!$A$2:$A$200,0)),posicao_contratual!$Y50),posicao_contratual!$Y50),posicao_contratual!$Y50)=2,itens_Remanesc!C50,IFERROR(ROUND(itens_Remanesc!C50*INDEX($L$2:$L$6,MIN(2+1,COUNT($L$2:$L$6)))/INDEX($L$2:$L$6,MIN(IFERROR(IF(ISNUMBER(INDEX(aditivos!$O$2:$O$200,MATCH($A50,aditivos!$A$2:$A$200,0))),MIN(INDEX(aditivos!$O$2:$O$200,MATCH($A50,aditivos!$A$2:$A$200,0)),posicao_contratual!$Y50),posicao_contratual!$Y50),posicao_contratual!$Y50)+1,COUNT($L$2:$L$6))),2),"")),IF(OR(NOT(ISNUMBER($L$4)),NOT(ISNUMBER(INDEX($L$2:$L$6,IFERROR(IF(ISNUMBER(INDEX(aditivos!$O$2:$O$200,MATCH($A50,aditivos!$A$2:$A$200,0))),MIN(INDEX(aditivos!$O$2:$O$200,MATCH($A50,aditivos!$A$2:$A$200,0)),posicao_contratual!$Y50),posicao_contratual!$Y50),posicao_contratual!$Y50)+1)))),"",ROUND(itens_Remanesc!C50*$L$4/INDEX($L$2:$L$6,IFERROR(IF(ISNUMBER(INDEX(aditivos!$O$2:$O$200,MATCH($A50,aditivos!$A$2:$A$200,0))),MIN(INDEX(aditivos!$O$2:$O$200,MATCH($A50,aditivos!$A$2:$A$200,0)),posicao_contratual!$Y50),posicao_contratual!$Y50),posicao_contratual!$Y50)+1),2))))))</f>
        <v/>
      </c>
      <c r="F50" s="79" t="str">
        <f>IF(OR($A50="",posicao_contratual!$Y50=""),"",IF(posicao_contratual!$Y50&gt;3,"",IF(NOT(ISNUMBER(itens_Remanesc!C50)),"",IF(posicao_contratual!$Y50=3,IF(IFERROR(IF(ISNUMBER(INDEX(aditivos!$O$2:$O$200,MATCH($A50,aditivos!$A$2:$A$200,0))),MIN(INDEX(aditivos!$O$2:$O$200,MATCH($A50,aditivos!$A$2:$A$200,0)),posicao_contratual!$Y50),posicao_contratual!$Y50),posicao_contratual!$Y50)=3,itens_Remanesc!C50,IFERROR(ROUND(itens_Remanesc!C50*INDEX($L$2:$L$6,MIN(3+1,COUNT($L$2:$L$6)))/INDEX($L$2:$L$6,MIN(IFERROR(IF(ISNUMBER(INDEX(aditivos!$O$2:$O$200,MATCH($A50,aditivos!$A$2:$A$200,0))),MIN(INDEX(aditivos!$O$2:$O$200,MATCH($A50,aditivos!$A$2:$A$200,0)),posicao_contratual!$Y50),posicao_contratual!$Y50),posicao_contratual!$Y50)+1,COUNT($L$2:$L$6))),2),"")),IF(OR(NOT(ISNUMBER($L$5)),NOT(ISNUMBER(INDEX($L$2:$L$6,IFERROR(IF(ISNUMBER(INDEX(aditivos!$O$2:$O$200,MATCH($A50,aditivos!$A$2:$A$200,0))),MIN(INDEX(aditivos!$O$2:$O$200,MATCH($A50,aditivos!$A$2:$A$200,0)),posicao_contratual!$Y50),posicao_contratual!$Y50),posicao_contratual!$Y50)+1)))),"",ROUND(itens_Remanesc!C50*$L$5/INDEX($L$2:$L$6,IFERROR(IF(ISNUMBER(INDEX(aditivos!$O$2:$O$200,MATCH($A50,aditivos!$A$2:$A$200,0))),MIN(INDEX(aditivos!$O$2:$O$200,MATCH($A50,aditivos!$A$2:$A$200,0)),posicao_contratual!$Y50),posicao_contratual!$Y50),posicao_contratual!$Y50)+1),2))))))</f>
        <v/>
      </c>
      <c r="G50" s="79" t="str">
        <f>IF(OR($A50="",posicao_contratual!$Y50=""),"",IF(posicao_contratual!$Y50&gt;4,"",IF(NOT(ISNUMBER(itens_Remanesc!C50)),"",IF(posicao_contratual!$Y50=4,IF(IFERROR(IF(ISNUMBER(INDEX(aditivos!$O$2:$O$200,MATCH($A50,aditivos!$A$2:$A$200,0))),MIN(INDEX(aditivos!$O$2:$O$200,MATCH($A50,aditivos!$A$2:$A$200,0)),posicao_contratual!$Y50),posicao_contratual!$Y50),posicao_contratual!$Y50)=4,itens_Remanesc!C50,IFERROR(ROUND(itens_Remanesc!C50*INDEX($L$2:$L$6,MIN(4+1,COUNT($L$2:$L$6)))/INDEX($L$2:$L$6,MIN(IFERROR(IF(ISNUMBER(INDEX(aditivos!$O$2:$O$200,MATCH($A50,aditivos!$A$2:$A$200,0))),MIN(INDEX(aditivos!$O$2:$O$200,MATCH($A50,aditivos!$A$2:$A$200,0)),posicao_contratual!$Y50),posicao_contratual!$Y50),posicao_contratual!$Y50)+1,COUNT($L$2:$L$6))),2),"")),IF(OR(NOT(ISNUMBER($L$6)),NOT(ISNUMBER(INDEX($L$2:$L$6,IFERROR(IF(ISNUMBER(INDEX(aditivos!$O$2:$O$200,MATCH($A50,aditivos!$A$2:$A$200,0))),MIN(INDEX(aditivos!$O$2:$O$200,MATCH($A50,aditivos!$A$2:$A$200,0)),posicao_contratual!$Y50),posicao_contratual!$Y50),posicao_contratual!$Y50)+1)))),"",ROUND(itens_Remanesc!C50*$L$6/INDEX($L$2:$L$6,IFERROR(IF(ISNUMBER(INDEX(aditivos!$O$2:$O$200,MATCH($A50,aditivos!$A$2:$A$200,0))),MIN(INDEX(aditivos!$O$2:$O$200,MATCH($A50,aditivos!$A$2:$A$200,0)),posicao_contratual!$Y50),posicao_contratual!$Y50),posicao_contratual!$Y50)+1),2))))))</f>
        <v/>
      </c>
      <c r="H50" s="116" t="str">
        <f t="shared" si="1"/>
        <v/>
      </c>
      <c r="I50" s="14"/>
      <c r="J50" s="14"/>
      <c r="K50" s="14"/>
      <c r="L50" s="14"/>
      <c r="M50" s="14"/>
      <c r="N50" s="147" t="str">
        <f>IF(A50="","",IF(posicao_contratual!$Y50="","",IF(posicao_contratual!$Y50&gt;0,"",posicao_contratual!E50)))</f>
        <v/>
      </c>
      <c r="O50" s="147" t="str">
        <f>IF(A50="","",IF(posicao_contratual!$Y50="","",IF(posicao_contratual!$Y50&gt;1,"",posicao_contratual!I50)))</f>
        <v/>
      </c>
      <c r="P50" s="147" t="str">
        <f>IF(A50="","",IF(posicao_contratual!$Y50="","",IF(posicao_contratual!$Y50&gt;2,"",posicao_contratual!M50)))</f>
        <v/>
      </c>
      <c r="Q50" s="147" t="str">
        <f>IF(A50="","",IF(posicao_contratual!$Y50="","",IF(posicao_contratual!$Y50&gt;3,"",posicao_contratual!Q50)))</f>
        <v/>
      </c>
      <c r="R50" s="147" t="str">
        <f>IF(A50="","",IF(posicao_contratual!$Y50="","",IF(posicao_contratual!$Y50&gt;4,"",posicao_contratual!U50)))</f>
        <v/>
      </c>
      <c r="S50" s="167" t="str">
        <f>IF(A50="","",posicao_contratual!G50)</f>
        <v/>
      </c>
      <c r="T50" s="167" t="str">
        <f>IF(A50="","",posicao_contratual!K50)</f>
        <v/>
      </c>
      <c r="U50" s="167" t="str">
        <f>IF(A50="","",posicao_contratual!O50)</f>
        <v/>
      </c>
      <c r="V50" s="167" t="str">
        <f>IF(A50="","",posicao_contratual!S50)</f>
        <v/>
      </c>
      <c r="W50" s="167" t="str">
        <f>IF(A50="","",posicao_contratual!W50)</f>
        <v/>
      </c>
    </row>
    <row r="51" spans="1:23" x14ac:dyDescent="0.35">
      <c r="A51" s="86" t="str">
        <f>IF(itens_Remanesc!A51="","",itens_Remanesc!A51)</f>
        <v/>
      </c>
      <c r="B51" s="85" t="str">
        <f>IF(A51="","",IF(posicao_contratual!$Y51="","",IF(posicao_contratual!$Y51&gt;0,"",posicao_contratual!G51)))</f>
        <v/>
      </c>
      <c r="C51" s="79" t="str">
        <f>IF(itens_Remanesc!A51="","",IF(posicao_contratual!$Y51="","",IF(posicao_contratual!$Y51&gt;0,"",itens_Remanesc!C51)))</f>
        <v/>
      </c>
      <c r="D51" s="79" t="str">
        <f>IF(OR($A51="",posicao_contratual!$Y51=""),"",IF(posicao_contratual!$Y51&gt;1,"",IF(NOT(ISNUMBER(itens_Remanesc!C51)),"",IF(posicao_contratual!$Y51=1,IF(IFERROR(IF(ISNUMBER(INDEX(aditivos!$O$2:$O$200,MATCH($A51,aditivos!$A$2:$A$200,0))),MIN(INDEX(aditivos!$O$2:$O$200,MATCH($A51,aditivos!$A$2:$A$200,0)),posicao_contratual!$Y51),posicao_contratual!$Y51),posicao_contratual!$Y51)=1,itens_Remanesc!C51,IFERROR(ROUND(itens_Remanesc!C51*INDEX($L$2:$L$6,MIN(1+1,COUNT($L$2:$L$6)))/INDEX($L$2:$L$6,MIN(IFERROR(IF(ISNUMBER(INDEX(aditivos!$O$2:$O$200,MATCH($A51,aditivos!$A$2:$A$200,0))),MIN(INDEX(aditivos!$O$2:$O$200,MATCH($A51,aditivos!$A$2:$A$200,0)),posicao_contratual!$Y51),posicao_contratual!$Y51),posicao_contratual!$Y51)+1,COUNT($L$2:$L$6))),2),"")),IF(OR(NOT(ISNUMBER($L$3)),NOT(ISNUMBER(INDEX($L$2:$L$6,IFERROR(IF(ISNUMBER(INDEX(aditivos!$O$2:$O$200,MATCH($A51,aditivos!$A$2:$A$200,0))),MIN(INDEX(aditivos!$O$2:$O$200,MATCH($A51,aditivos!$A$2:$A$200,0)),posicao_contratual!$Y51),posicao_contratual!$Y51),posicao_contratual!$Y51)+1)))),"",ROUND(itens_Remanesc!C51*$L$3/INDEX($L$2:$L$6,IFERROR(IF(ISNUMBER(INDEX(aditivos!$O$2:$O$200,MATCH($A51,aditivos!$A$2:$A$200,0))),MIN(INDEX(aditivos!$O$2:$O$200,MATCH($A51,aditivos!$A$2:$A$200,0)),posicao_contratual!$Y51),posicao_contratual!$Y51),posicao_contratual!$Y51)+1),2))))))</f>
        <v/>
      </c>
      <c r="E51" s="79" t="str">
        <f>IF(OR($A51="",posicao_contratual!$Y51=""),"",IF(posicao_contratual!$Y51&gt;2,"",IF(NOT(ISNUMBER(itens_Remanesc!C51)),"",IF(posicao_contratual!$Y51=2,IF(IFERROR(IF(ISNUMBER(INDEX(aditivos!$O$2:$O$200,MATCH($A51,aditivos!$A$2:$A$200,0))),MIN(INDEX(aditivos!$O$2:$O$200,MATCH($A51,aditivos!$A$2:$A$200,0)),posicao_contratual!$Y51),posicao_contratual!$Y51),posicao_contratual!$Y51)=2,itens_Remanesc!C51,IFERROR(ROUND(itens_Remanesc!C51*INDEX($L$2:$L$6,MIN(2+1,COUNT($L$2:$L$6)))/INDEX($L$2:$L$6,MIN(IFERROR(IF(ISNUMBER(INDEX(aditivos!$O$2:$O$200,MATCH($A51,aditivos!$A$2:$A$200,0))),MIN(INDEX(aditivos!$O$2:$O$200,MATCH($A51,aditivos!$A$2:$A$200,0)),posicao_contratual!$Y51),posicao_contratual!$Y51),posicao_contratual!$Y51)+1,COUNT($L$2:$L$6))),2),"")),IF(OR(NOT(ISNUMBER($L$4)),NOT(ISNUMBER(INDEX($L$2:$L$6,IFERROR(IF(ISNUMBER(INDEX(aditivos!$O$2:$O$200,MATCH($A51,aditivos!$A$2:$A$200,0))),MIN(INDEX(aditivos!$O$2:$O$200,MATCH($A51,aditivos!$A$2:$A$200,0)),posicao_contratual!$Y51),posicao_contratual!$Y51),posicao_contratual!$Y51)+1)))),"",ROUND(itens_Remanesc!C51*$L$4/INDEX($L$2:$L$6,IFERROR(IF(ISNUMBER(INDEX(aditivos!$O$2:$O$200,MATCH($A51,aditivos!$A$2:$A$200,0))),MIN(INDEX(aditivos!$O$2:$O$200,MATCH($A51,aditivos!$A$2:$A$200,0)),posicao_contratual!$Y51),posicao_contratual!$Y51),posicao_contratual!$Y51)+1),2))))))</f>
        <v/>
      </c>
      <c r="F51" s="79" t="str">
        <f>IF(OR($A51="",posicao_contratual!$Y51=""),"",IF(posicao_contratual!$Y51&gt;3,"",IF(NOT(ISNUMBER(itens_Remanesc!C51)),"",IF(posicao_contratual!$Y51=3,IF(IFERROR(IF(ISNUMBER(INDEX(aditivos!$O$2:$O$200,MATCH($A51,aditivos!$A$2:$A$200,0))),MIN(INDEX(aditivos!$O$2:$O$200,MATCH($A51,aditivos!$A$2:$A$200,0)),posicao_contratual!$Y51),posicao_contratual!$Y51),posicao_contratual!$Y51)=3,itens_Remanesc!C51,IFERROR(ROUND(itens_Remanesc!C51*INDEX($L$2:$L$6,MIN(3+1,COUNT($L$2:$L$6)))/INDEX($L$2:$L$6,MIN(IFERROR(IF(ISNUMBER(INDEX(aditivos!$O$2:$O$200,MATCH($A51,aditivos!$A$2:$A$200,0))),MIN(INDEX(aditivos!$O$2:$O$200,MATCH($A51,aditivos!$A$2:$A$200,0)),posicao_contratual!$Y51),posicao_contratual!$Y51),posicao_contratual!$Y51)+1,COUNT($L$2:$L$6))),2),"")),IF(OR(NOT(ISNUMBER($L$5)),NOT(ISNUMBER(INDEX($L$2:$L$6,IFERROR(IF(ISNUMBER(INDEX(aditivos!$O$2:$O$200,MATCH($A51,aditivos!$A$2:$A$200,0))),MIN(INDEX(aditivos!$O$2:$O$200,MATCH($A51,aditivos!$A$2:$A$200,0)),posicao_contratual!$Y51),posicao_contratual!$Y51),posicao_contratual!$Y51)+1)))),"",ROUND(itens_Remanesc!C51*$L$5/INDEX($L$2:$L$6,IFERROR(IF(ISNUMBER(INDEX(aditivos!$O$2:$O$200,MATCH($A51,aditivos!$A$2:$A$200,0))),MIN(INDEX(aditivos!$O$2:$O$200,MATCH($A51,aditivos!$A$2:$A$200,0)),posicao_contratual!$Y51),posicao_contratual!$Y51),posicao_contratual!$Y51)+1),2))))))</f>
        <v/>
      </c>
      <c r="G51" s="79" t="str">
        <f>IF(OR($A51="",posicao_contratual!$Y51=""),"",IF(posicao_contratual!$Y51&gt;4,"",IF(NOT(ISNUMBER(itens_Remanesc!C51)),"",IF(posicao_contratual!$Y51=4,IF(IFERROR(IF(ISNUMBER(INDEX(aditivos!$O$2:$O$200,MATCH($A51,aditivos!$A$2:$A$200,0))),MIN(INDEX(aditivos!$O$2:$O$200,MATCH($A51,aditivos!$A$2:$A$200,0)),posicao_contratual!$Y51),posicao_contratual!$Y51),posicao_contratual!$Y51)=4,itens_Remanesc!C51,IFERROR(ROUND(itens_Remanesc!C51*INDEX($L$2:$L$6,MIN(4+1,COUNT($L$2:$L$6)))/INDEX($L$2:$L$6,MIN(IFERROR(IF(ISNUMBER(INDEX(aditivos!$O$2:$O$200,MATCH($A51,aditivos!$A$2:$A$200,0))),MIN(INDEX(aditivos!$O$2:$O$200,MATCH($A51,aditivos!$A$2:$A$200,0)),posicao_contratual!$Y51),posicao_contratual!$Y51),posicao_contratual!$Y51)+1,COUNT($L$2:$L$6))),2),"")),IF(OR(NOT(ISNUMBER($L$6)),NOT(ISNUMBER(INDEX($L$2:$L$6,IFERROR(IF(ISNUMBER(INDEX(aditivos!$O$2:$O$200,MATCH($A51,aditivos!$A$2:$A$200,0))),MIN(INDEX(aditivos!$O$2:$O$200,MATCH($A51,aditivos!$A$2:$A$200,0)),posicao_contratual!$Y51),posicao_contratual!$Y51),posicao_contratual!$Y51)+1)))),"",ROUND(itens_Remanesc!C51*$L$6/INDEX($L$2:$L$6,IFERROR(IF(ISNUMBER(INDEX(aditivos!$O$2:$O$200,MATCH($A51,aditivos!$A$2:$A$200,0))),MIN(INDEX(aditivos!$O$2:$O$200,MATCH($A51,aditivos!$A$2:$A$200,0)),posicao_contratual!$Y51),posicao_contratual!$Y51),posicao_contratual!$Y51)+1),2))))))</f>
        <v/>
      </c>
      <c r="H51" s="116" t="str">
        <f t="shared" si="1"/>
        <v/>
      </c>
      <c r="I51" s="14"/>
      <c r="J51" s="14"/>
      <c r="K51" s="14"/>
      <c r="L51" s="14"/>
      <c r="M51" s="14"/>
      <c r="N51" s="147" t="str">
        <f>IF(A51="","",IF(posicao_contratual!$Y51="","",IF(posicao_contratual!$Y51&gt;0,"",posicao_contratual!E51)))</f>
        <v/>
      </c>
      <c r="O51" s="147" t="str">
        <f>IF(A51="","",IF(posicao_contratual!$Y51="","",IF(posicao_contratual!$Y51&gt;1,"",posicao_contratual!I51)))</f>
        <v/>
      </c>
      <c r="P51" s="147" t="str">
        <f>IF(A51="","",IF(posicao_contratual!$Y51="","",IF(posicao_contratual!$Y51&gt;2,"",posicao_contratual!M51)))</f>
        <v/>
      </c>
      <c r="Q51" s="147" t="str">
        <f>IF(A51="","",IF(posicao_contratual!$Y51="","",IF(posicao_contratual!$Y51&gt;3,"",posicao_contratual!Q51)))</f>
        <v/>
      </c>
      <c r="R51" s="147" t="str">
        <f>IF(A51="","",IF(posicao_contratual!$Y51="","",IF(posicao_contratual!$Y51&gt;4,"",posicao_contratual!U51)))</f>
        <v/>
      </c>
      <c r="S51" s="167" t="str">
        <f>IF(A51="","",posicao_contratual!G51)</f>
        <v/>
      </c>
      <c r="T51" s="167" t="str">
        <f>IF(A51="","",posicao_contratual!K51)</f>
        <v/>
      </c>
      <c r="U51" s="167" t="str">
        <f>IF(A51="","",posicao_contratual!O51)</f>
        <v/>
      </c>
      <c r="V51" s="167" t="str">
        <f>IF(A51="","",posicao_contratual!S51)</f>
        <v/>
      </c>
      <c r="W51" s="167" t="str">
        <f>IF(A51="","",posicao_contratual!W51)</f>
        <v/>
      </c>
    </row>
    <row r="52" spans="1:23" x14ac:dyDescent="0.35">
      <c r="A52" s="86" t="str">
        <f>IF(itens_Remanesc!A52="","",itens_Remanesc!A52)</f>
        <v/>
      </c>
      <c r="B52" s="85" t="str">
        <f>IF(A52="","",IF(posicao_contratual!$Y52="","",IF(posicao_contratual!$Y52&gt;0,"",posicao_contratual!G52)))</f>
        <v/>
      </c>
      <c r="C52" s="79" t="str">
        <f>IF(itens_Remanesc!A52="","",IF(posicao_contratual!$Y52="","",IF(posicao_contratual!$Y52&gt;0,"",itens_Remanesc!C52)))</f>
        <v/>
      </c>
      <c r="D52" s="79" t="str">
        <f>IF(OR($A52="",posicao_contratual!$Y52=""),"",IF(posicao_contratual!$Y52&gt;1,"",IF(NOT(ISNUMBER(itens_Remanesc!C52)),"",IF(posicao_contratual!$Y52=1,IF(IFERROR(IF(ISNUMBER(INDEX(aditivos!$O$2:$O$200,MATCH($A52,aditivos!$A$2:$A$200,0))),MIN(INDEX(aditivos!$O$2:$O$200,MATCH($A52,aditivos!$A$2:$A$200,0)),posicao_contratual!$Y52),posicao_contratual!$Y52),posicao_contratual!$Y52)=1,itens_Remanesc!C52,IFERROR(ROUND(itens_Remanesc!C52*INDEX($L$2:$L$6,MIN(1+1,COUNT($L$2:$L$6)))/INDEX($L$2:$L$6,MIN(IFERROR(IF(ISNUMBER(INDEX(aditivos!$O$2:$O$200,MATCH($A52,aditivos!$A$2:$A$200,0))),MIN(INDEX(aditivos!$O$2:$O$200,MATCH($A52,aditivos!$A$2:$A$200,0)),posicao_contratual!$Y52),posicao_contratual!$Y52),posicao_contratual!$Y52)+1,COUNT($L$2:$L$6))),2),"")),IF(OR(NOT(ISNUMBER($L$3)),NOT(ISNUMBER(INDEX($L$2:$L$6,IFERROR(IF(ISNUMBER(INDEX(aditivos!$O$2:$O$200,MATCH($A52,aditivos!$A$2:$A$200,0))),MIN(INDEX(aditivos!$O$2:$O$200,MATCH($A52,aditivos!$A$2:$A$200,0)),posicao_contratual!$Y52),posicao_contratual!$Y52),posicao_contratual!$Y52)+1)))),"",ROUND(itens_Remanesc!C52*$L$3/INDEX($L$2:$L$6,IFERROR(IF(ISNUMBER(INDEX(aditivos!$O$2:$O$200,MATCH($A52,aditivos!$A$2:$A$200,0))),MIN(INDEX(aditivos!$O$2:$O$200,MATCH($A52,aditivos!$A$2:$A$200,0)),posicao_contratual!$Y52),posicao_contratual!$Y52),posicao_contratual!$Y52)+1),2))))))</f>
        <v/>
      </c>
      <c r="E52" s="79" t="str">
        <f>IF(OR($A52="",posicao_contratual!$Y52=""),"",IF(posicao_contratual!$Y52&gt;2,"",IF(NOT(ISNUMBER(itens_Remanesc!C52)),"",IF(posicao_contratual!$Y52=2,IF(IFERROR(IF(ISNUMBER(INDEX(aditivos!$O$2:$O$200,MATCH($A52,aditivos!$A$2:$A$200,0))),MIN(INDEX(aditivos!$O$2:$O$200,MATCH($A52,aditivos!$A$2:$A$200,0)),posicao_contratual!$Y52),posicao_contratual!$Y52),posicao_contratual!$Y52)=2,itens_Remanesc!C52,IFERROR(ROUND(itens_Remanesc!C52*INDEX($L$2:$L$6,MIN(2+1,COUNT($L$2:$L$6)))/INDEX($L$2:$L$6,MIN(IFERROR(IF(ISNUMBER(INDEX(aditivos!$O$2:$O$200,MATCH($A52,aditivos!$A$2:$A$200,0))),MIN(INDEX(aditivos!$O$2:$O$200,MATCH($A52,aditivos!$A$2:$A$200,0)),posicao_contratual!$Y52),posicao_contratual!$Y52),posicao_contratual!$Y52)+1,COUNT($L$2:$L$6))),2),"")),IF(OR(NOT(ISNUMBER($L$4)),NOT(ISNUMBER(INDEX($L$2:$L$6,IFERROR(IF(ISNUMBER(INDEX(aditivos!$O$2:$O$200,MATCH($A52,aditivos!$A$2:$A$200,0))),MIN(INDEX(aditivos!$O$2:$O$200,MATCH($A52,aditivos!$A$2:$A$200,0)),posicao_contratual!$Y52),posicao_contratual!$Y52),posicao_contratual!$Y52)+1)))),"",ROUND(itens_Remanesc!C52*$L$4/INDEX($L$2:$L$6,IFERROR(IF(ISNUMBER(INDEX(aditivos!$O$2:$O$200,MATCH($A52,aditivos!$A$2:$A$200,0))),MIN(INDEX(aditivos!$O$2:$O$200,MATCH($A52,aditivos!$A$2:$A$200,0)),posicao_contratual!$Y52),posicao_contratual!$Y52),posicao_contratual!$Y52)+1),2))))))</f>
        <v/>
      </c>
      <c r="F52" s="79" t="str">
        <f>IF(OR($A52="",posicao_contratual!$Y52=""),"",IF(posicao_contratual!$Y52&gt;3,"",IF(NOT(ISNUMBER(itens_Remanesc!C52)),"",IF(posicao_contratual!$Y52=3,IF(IFERROR(IF(ISNUMBER(INDEX(aditivos!$O$2:$O$200,MATCH($A52,aditivos!$A$2:$A$200,0))),MIN(INDEX(aditivos!$O$2:$O$200,MATCH($A52,aditivos!$A$2:$A$200,0)),posicao_contratual!$Y52),posicao_contratual!$Y52),posicao_contratual!$Y52)=3,itens_Remanesc!C52,IFERROR(ROUND(itens_Remanesc!C52*INDEX($L$2:$L$6,MIN(3+1,COUNT($L$2:$L$6)))/INDEX($L$2:$L$6,MIN(IFERROR(IF(ISNUMBER(INDEX(aditivos!$O$2:$O$200,MATCH($A52,aditivos!$A$2:$A$200,0))),MIN(INDEX(aditivos!$O$2:$O$200,MATCH($A52,aditivos!$A$2:$A$200,0)),posicao_contratual!$Y52),posicao_contratual!$Y52),posicao_contratual!$Y52)+1,COUNT($L$2:$L$6))),2),"")),IF(OR(NOT(ISNUMBER($L$5)),NOT(ISNUMBER(INDEX($L$2:$L$6,IFERROR(IF(ISNUMBER(INDEX(aditivos!$O$2:$O$200,MATCH($A52,aditivos!$A$2:$A$200,0))),MIN(INDEX(aditivos!$O$2:$O$200,MATCH($A52,aditivos!$A$2:$A$200,0)),posicao_contratual!$Y52),posicao_contratual!$Y52),posicao_contratual!$Y52)+1)))),"",ROUND(itens_Remanesc!C52*$L$5/INDEX($L$2:$L$6,IFERROR(IF(ISNUMBER(INDEX(aditivos!$O$2:$O$200,MATCH($A52,aditivos!$A$2:$A$200,0))),MIN(INDEX(aditivos!$O$2:$O$200,MATCH($A52,aditivos!$A$2:$A$200,0)),posicao_contratual!$Y52),posicao_contratual!$Y52),posicao_contratual!$Y52)+1),2))))))</f>
        <v/>
      </c>
      <c r="G52" s="79" t="str">
        <f>IF(OR($A52="",posicao_contratual!$Y52=""),"",IF(posicao_contratual!$Y52&gt;4,"",IF(NOT(ISNUMBER(itens_Remanesc!C52)),"",IF(posicao_contratual!$Y52=4,IF(IFERROR(IF(ISNUMBER(INDEX(aditivos!$O$2:$O$200,MATCH($A52,aditivos!$A$2:$A$200,0))),MIN(INDEX(aditivos!$O$2:$O$200,MATCH($A52,aditivos!$A$2:$A$200,0)),posicao_contratual!$Y52),posicao_contratual!$Y52),posicao_contratual!$Y52)=4,itens_Remanesc!C52,IFERROR(ROUND(itens_Remanesc!C52*INDEX($L$2:$L$6,MIN(4+1,COUNT($L$2:$L$6)))/INDEX($L$2:$L$6,MIN(IFERROR(IF(ISNUMBER(INDEX(aditivos!$O$2:$O$200,MATCH($A52,aditivos!$A$2:$A$200,0))),MIN(INDEX(aditivos!$O$2:$O$200,MATCH($A52,aditivos!$A$2:$A$200,0)),posicao_contratual!$Y52),posicao_contratual!$Y52),posicao_contratual!$Y52)+1,COUNT($L$2:$L$6))),2),"")),IF(OR(NOT(ISNUMBER($L$6)),NOT(ISNUMBER(INDEX($L$2:$L$6,IFERROR(IF(ISNUMBER(INDEX(aditivos!$O$2:$O$200,MATCH($A52,aditivos!$A$2:$A$200,0))),MIN(INDEX(aditivos!$O$2:$O$200,MATCH($A52,aditivos!$A$2:$A$200,0)),posicao_contratual!$Y52),posicao_contratual!$Y52),posicao_contratual!$Y52)+1)))),"",ROUND(itens_Remanesc!C52*$L$6/INDEX($L$2:$L$6,IFERROR(IF(ISNUMBER(INDEX(aditivos!$O$2:$O$200,MATCH($A52,aditivos!$A$2:$A$200,0))),MIN(INDEX(aditivos!$O$2:$O$200,MATCH($A52,aditivos!$A$2:$A$200,0)),posicao_contratual!$Y52),posicao_contratual!$Y52),posicao_contratual!$Y52)+1),2))))))</f>
        <v/>
      </c>
      <c r="H52" s="116" t="str">
        <f t="shared" si="1"/>
        <v/>
      </c>
      <c r="I52" s="14"/>
      <c r="J52" s="14"/>
      <c r="K52" s="14"/>
      <c r="L52" s="14"/>
      <c r="M52" s="14"/>
      <c r="N52" s="147" t="str">
        <f>IF(A52="","",IF(posicao_contratual!$Y52="","",IF(posicao_contratual!$Y52&gt;0,"",posicao_contratual!E52)))</f>
        <v/>
      </c>
      <c r="O52" s="147" t="str">
        <f>IF(A52="","",IF(posicao_contratual!$Y52="","",IF(posicao_contratual!$Y52&gt;1,"",posicao_contratual!I52)))</f>
        <v/>
      </c>
      <c r="P52" s="147" t="str">
        <f>IF(A52="","",IF(posicao_contratual!$Y52="","",IF(posicao_contratual!$Y52&gt;2,"",posicao_contratual!M52)))</f>
        <v/>
      </c>
      <c r="Q52" s="147" t="str">
        <f>IF(A52="","",IF(posicao_contratual!$Y52="","",IF(posicao_contratual!$Y52&gt;3,"",posicao_contratual!Q52)))</f>
        <v/>
      </c>
      <c r="R52" s="147" t="str">
        <f>IF(A52="","",IF(posicao_contratual!$Y52="","",IF(posicao_contratual!$Y52&gt;4,"",posicao_contratual!U52)))</f>
        <v/>
      </c>
      <c r="S52" s="167" t="str">
        <f>IF(A52="","",posicao_contratual!G52)</f>
        <v/>
      </c>
      <c r="T52" s="167" t="str">
        <f>IF(A52="","",posicao_contratual!K52)</f>
        <v/>
      </c>
      <c r="U52" s="167" t="str">
        <f>IF(A52="","",posicao_contratual!O52)</f>
        <v/>
      </c>
      <c r="V52" s="167" t="str">
        <f>IF(A52="","",posicao_contratual!S52)</f>
        <v/>
      </c>
      <c r="W52" s="167" t="str">
        <f>IF(A52="","",posicao_contratual!W52)</f>
        <v/>
      </c>
    </row>
    <row r="53" spans="1:23" x14ac:dyDescent="0.35">
      <c r="A53" s="86" t="str">
        <f>IF(itens_Remanesc!A53="","",itens_Remanesc!A53)</f>
        <v/>
      </c>
      <c r="B53" s="85" t="str">
        <f>IF(A53="","",IF(posicao_contratual!$Y53="","",IF(posicao_contratual!$Y53&gt;0,"",posicao_contratual!G53)))</f>
        <v/>
      </c>
      <c r="C53" s="79" t="str">
        <f>IF(itens_Remanesc!A53="","",IF(posicao_contratual!$Y53="","",IF(posicao_contratual!$Y53&gt;0,"",itens_Remanesc!C53)))</f>
        <v/>
      </c>
      <c r="D53" s="79" t="str">
        <f>IF(OR($A53="",posicao_contratual!$Y53=""),"",IF(posicao_contratual!$Y53&gt;1,"",IF(NOT(ISNUMBER(itens_Remanesc!C53)),"",IF(posicao_contratual!$Y53=1,IF(IFERROR(IF(ISNUMBER(INDEX(aditivos!$O$2:$O$200,MATCH($A53,aditivos!$A$2:$A$200,0))),MIN(INDEX(aditivos!$O$2:$O$200,MATCH($A53,aditivos!$A$2:$A$200,0)),posicao_contratual!$Y53),posicao_contratual!$Y53),posicao_contratual!$Y53)=1,itens_Remanesc!C53,IFERROR(ROUND(itens_Remanesc!C53*INDEX($L$2:$L$6,MIN(1+1,COUNT($L$2:$L$6)))/INDEX($L$2:$L$6,MIN(IFERROR(IF(ISNUMBER(INDEX(aditivos!$O$2:$O$200,MATCH($A53,aditivos!$A$2:$A$200,0))),MIN(INDEX(aditivos!$O$2:$O$200,MATCH($A53,aditivos!$A$2:$A$200,0)),posicao_contratual!$Y53),posicao_contratual!$Y53),posicao_contratual!$Y53)+1,COUNT($L$2:$L$6))),2),"")),IF(OR(NOT(ISNUMBER($L$3)),NOT(ISNUMBER(INDEX($L$2:$L$6,IFERROR(IF(ISNUMBER(INDEX(aditivos!$O$2:$O$200,MATCH($A53,aditivos!$A$2:$A$200,0))),MIN(INDEX(aditivos!$O$2:$O$200,MATCH($A53,aditivos!$A$2:$A$200,0)),posicao_contratual!$Y53),posicao_contratual!$Y53),posicao_contratual!$Y53)+1)))),"",ROUND(itens_Remanesc!C53*$L$3/INDEX($L$2:$L$6,IFERROR(IF(ISNUMBER(INDEX(aditivos!$O$2:$O$200,MATCH($A53,aditivos!$A$2:$A$200,0))),MIN(INDEX(aditivos!$O$2:$O$200,MATCH($A53,aditivos!$A$2:$A$200,0)),posicao_contratual!$Y53),posicao_contratual!$Y53),posicao_contratual!$Y53)+1),2))))))</f>
        <v/>
      </c>
      <c r="E53" s="79" t="str">
        <f>IF(OR($A53="",posicao_contratual!$Y53=""),"",IF(posicao_contratual!$Y53&gt;2,"",IF(NOT(ISNUMBER(itens_Remanesc!C53)),"",IF(posicao_contratual!$Y53=2,IF(IFERROR(IF(ISNUMBER(INDEX(aditivos!$O$2:$O$200,MATCH($A53,aditivos!$A$2:$A$200,0))),MIN(INDEX(aditivos!$O$2:$O$200,MATCH($A53,aditivos!$A$2:$A$200,0)),posicao_contratual!$Y53),posicao_contratual!$Y53),posicao_contratual!$Y53)=2,itens_Remanesc!C53,IFERROR(ROUND(itens_Remanesc!C53*INDEX($L$2:$L$6,MIN(2+1,COUNT($L$2:$L$6)))/INDEX($L$2:$L$6,MIN(IFERROR(IF(ISNUMBER(INDEX(aditivos!$O$2:$O$200,MATCH($A53,aditivos!$A$2:$A$200,0))),MIN(INDEX(aditivos!$O$2:$O$200,MATCH($A53,aditivos!$A$2:$A$200,0)),posicao_contratual!$Y53),posicao_contratual!$Y53),posicao_contratual!$Y53)+1,COUNT($L$2:$L$6))),2),"")),IF(OR(NOT(ISNUMBER($L$4)),NOT(ISNUMBER(INDEX($L$2:$L$6,IFERROR(IF(ISNUMBER(INDEX(aditivos!$O$2:$O$200,MATCH($A53,aditivos!$A$2:$A$200,0))),MIN(INDEX(aditivos!$O$2:$O$200,MATCH($A53,aditivos!$A$2:$A$200,0)),posicao_contratual!$Y53),posicao_contratual!$Y53),posicao_contratual!$Y53)+1)))),"",ROUND(itens_Remanesc!C53*$L$4/INDEX($L$2:$L$6,IFERROR(IF(ISNUMBER(INDEX(aditivos!$O$2:$O$200,MATCH($A53,aditivos!$A$2:$A$200,0))),MIN(INDEX(aditivos!$O$2:$O$200,MATCH($A53,aditivos!$A$2:$A$200,0)),posicao_contratual!$Y53),posicao_contratual!$Y53),posicao_contratual!$Y53)+1),2))))))</f>
        <v/>
      </c>
      <c r="F53" s="79" t="str">
        <f>IF(OR($A53="",posicao_contratual!$Y53=""),"",IF(posicao_contratual!$Y53&gt;3,"",IF(NOT(ISNUMBER(itens_Remanesc!C53)),"",IF(posicao_contratual!$Y53=3,IF(IFERROR(IF(ISNUMBER(INDEX(aditivos!$O$2:$O$200,MATCH($A53,aditivos!$A$2:$A$200,0))),MIN(INDEX(aditivos!$O$2:$O$200,MATCH($A53,aditivos!$A$2:$A$200,0)),posicao_contratual!$Y53),posicao_contratual!$Y53),posicao_contratual!$Y53)=3,itens_Remanesc!C53,IFERROR(ROUND(itens_Remanesc!C53*INDEX($L$2:$L$6,MIN(3+1,COUNT($L$2:$L$6)))/INDEX($L$2:$L$6,MIN(IFERROR(IF(ISNUMBER(INDEX(aditivos!$O$2:$O$200,MATCH($A53,aditivos!$A$2:$A$200,0))),MIN(INDEX(aditivos!$O$2:$O$200,MATCH($A53,aditivos!$A$2:$A$200,0)),posicao_contratual!$Y53),posicao_contratual!$Y53),posicao_contratual!$Y53)+1,COUNT($L$2:$L$6))),2),"")),IF(OR(NOT(ISNUMBER($L$5)),NOT(ISNUMBER(INDEX($L$2:$L$6,IFERROR(IF(ISNUMBER(INDEX(aditivos!$O$2:$O$200,MATCH($A53,aditivos!$A$2:$A$200,0))),MIN(INDEX(aditivos!$O$2:$O$200,MATCH($A53,aditivos!$A$2:$A$200,0)),posicao_contratual!$Y53),posicao_contratual!$Y53),posicao_contratual!$Y53)+1)))),"",ROUND(itens_Remanesc!C53*$L$5/INDEX($L$2:$L$6,IFERROR(IF(ISNUMBER(INDEX(aditivos!$O$2:$O$200,MATCH($A53,aditivos!$A$2:$A$200,0))),MIN(INDEX(aditivos!$O$2:$O$200,MATCH($A53,aditivos!$A$2:$A$200,0)),posicao_contratual!$Y53),posicao_contratual!$Y53),posicao_contratual!$Y53)+1),2))))))</f>
        <v/>
      </c>
      <c r="G53" s="79" t="str">
        <f>IF(OR($A53="",posicao_contratual!$Y53=""),"",IF(posicao_contratual!$Y53&gt;4,"",IF(NOT(ISNUMBER(itens_Remanesc!C53)),"",IF(posicao_contratual!$Y53=4,IF(IFERROR(IF(ISNUMBER(INDEX(aditivos!$O$2:$O$200,MATCH($A53,aditivos!$A$2:$A$200,0))),MIN(INDEX(aditivos!$O$2:$O$200,MATCH($A53,aditivos!$A$2:$A$200,0)),posicao_contratual!$Y53),posicao_contratual!$Y53),posicao_contratual!$Y53)=4,itens_Remanesc!C53,IFERROR(ROUND(itens_Remanesc!C53*INDEX($L$2:$L$6,MIN(4+1,COUNT($L$2:$L$6)))/INDEX($L$2:$L$6,MIN(IFERROR(IF(ISNUMBER(INDEX(aditivos!$O$2:$O$200,MATCH($A53,aditivos!$A$2:$A$200,0))),MIN(INDEX(aditivos!$O$2:$O$200,MATCH($A53,aditivos!$A$2:$A$200,0)),posicao_contratual!$Y53),posicao_contratual!$Y53),posicao_contratual!$Y53)+1,COUNT($L$2:$L$6))),2),"")),IF(OR(NOT(ISNUMBER($L$6)),NOT(ISNUMBER(INDEX($L$2:$L$6,IFERROR(IF(ISNUMBER(INDEX(aditivos!$O$2:$O$200,MATCH($A53,aditivos!$A$2:$A$200,0))),MIN(INDEX(aditivos!$O$2:$O$200,MATCH($A53,aditivos!$A$2:$A$200,0)),posicao_contratual!$Y53),posicao_contratual!$Y53),posicao_contratual!$Y53)+1)))),"",ROUND(itens_Remanesc!C53*$L$6/INDEX($L$2:$L$6,IFERROR(IF(ISNUMBER(INDEX(aditivos!$O$2:$O$200,MATCH($A53,aditivos!$A$2:$A$200,0))),MIN(INDEX(aditivos!$O$2:$O$200,MATCH($A53,aditivos!$A$2:$A$200,0)),posicao_contratual!$Y53),posicao_contratual!$Y53),posicao_contratual!$Y53)+1),2))))))</f>
        <v/>
      </c>
      <c r="H53" s="116" t="str">
        <f t="shared" si="1"/>
        <v/>
      </c>
      <c r="I53" s="14"/>
      <c r="J53" s="14"/>
      <c r="K53" s="14"/>
      <c r="L53" s="14"/>
      <c r="M53" s="14"/>
      <c r="N53" s="147" t="str">
        <f>IF(A53="","",IF(posicao_contratual!$Y53="","",IF(posicao_contratual!$Y53&gt;0,"",posicao_contratual!E53)))</f>
        <v/>
      </c>
      <c r="O53" s="147" t="str">
        <f>IF(A53="","",IF(posicao_contratual!$Y53="","",IF(posicao_contratual!$Y53&gt;1,"",posicao_contratual!I53)))</f>
        <v/>
      </c>
      <c r="P53" s="147" t="str">
        <f>IF(A53="","",IF(posicao_contratual!$Y53="","",IF(posicao_contratual!$Y53&gt;2,"",posicao_contratual!M53)))</f>
        <v/>
      </c>
      <c r="Q53" s="147" t="str">
        <f>IF(A53="","",IF(posicao_contratual!$Y53="","",IF(posicao_contratual!$Y53&gt;3,"",posicao_contratual!Q53)))</f>
        <v/>
      </c>
      <c r="R53" s="147" t="str">
        <f>IF(A53="","",IF(posicao_contratual!$Y53="","",IF(posicao_contratual!$Y53&gt;4,"",posicao_contratual!U53)))</f>
        <v/>
      </c>
      <c r="S53" s="167" t="str">
        <f>IF(A53="","",posicao_contratual!G53)</f>
        <v/>
      </c>
      <c r="T53" s="167" t="str">
        <f>IF(A53="","",posicao_contratual!K53)</f>
        <v/>
      </c>
      <c r="U53" s="167" t="str">
        <f>IF(A53="","",posicao_contratual!O53)</f>
        <v/>
      </c>
      <c r="V53" s="167" t="str">
        <f>IF(A53="","",posicao_contratual!S53)</f>
        <v/>
      </c>
      <c r="W53" s="167" t="str">
        <f>IF(A53="","",posicao_contratual!W53)</f>
        <v/>
      </c>
    </row>
    <row r="54" spans="1:23" x14ac:dyDescent="0.35">
      <c r="A54" s="86" t="str">
        <f>IF(itens_Remanesc!A54="","",itens_Remanesc!A54)</f>
        <v/>
      </c>
      <c r="B54" s="85" t="str">
        <f>IF(A54="","",IF(posicao_contratual!$Y54="","",IF(posicao_contratual!$Y54&gt;0,"",posicao_contratual!G54)))</f>
        <v/>
      </c>
      <c r="C54" s="79" t="str">
        <f>IF(itens_Remanesc!A54="","",IF(posicao_contratual!$Y54="","",IF(posicao_contratual!$Y54&gt;0,"",itens_Remanesc!C54)))</f>
        <v/>
      </c>
      <c r="D54" s="79" t="str">
        <f>IF(OR($A54="",posicao_contratual!$Y54=""),"",IF(posicao_contratual!$Y54&gt;1,"",IF(NOT(ISNUMBER(itens_Remanesc!C54)),"",IF(posicao_contratual!$Y54=1,IF(IFERROR(IF(ISNUMBER(INDEX(aditivos!$O$2:$O$200,MATCH($A54,aditivos!$A$2:$A$200,0))),MIN(INDEX(aditivos!$O$2:$O$200,MATCH($A54,aditivos!$A$2:$A$200,0)),posicao_contratual!$Y54),posicao_contratual!$Y54),posicao_contratual!$Y54)=1,itens_Remanesc!C54,IFERROR(ROUND(itens_Remanesc!C54*INDEX($L$2:$L$6,MIN(1+1,COUNT($L$2:$L$6)))/INDEX($L$2:$L$6,MIN(IFERROR(IF(ISNUMBER(INDEX(aditivos!$O$2:$O$200,MATCH($A54,aditivos!$A$2:$A$200,0))),MIN(INDEX(aditivos!$O$2:$O$200,MATCH($A54,aditivos!$A$2:$A$200,0)),posicao_contratual!$Y54),posicao_contratual!$Y54),posicao_contratual!$Y54)+1,COUNT($L$2:$L$6))),2),"")),IF(OR(NOT(ISNUMBER($L$3)),NOT(ISNUMBER(INDEX($L$2:$L$6,IFERROR(IF(ISNUMBER(INDEX(aditivos!$O$2:$O$200,MATCH($A54,aditivos!$A$2:$A$200,0))),MIN(INDEX(aditivos!$O$2:$O$200,MATCH($A54,aditivos!$A$2:$A$200,0)),posicao_contratual!$Y54),posicao_contratual!$Y54),posicao_contratual!$Y54)+1)))),"",ROUND(itens_Remanesc!C54*$L$3/INDEX($L$2:$L$6,IFERROR(IF(ISNUMBER(INDEX(aditivos!$O$2:$O$200,MATCH($A54,aditivos!$A$2:$A$200,0))),MIN(INDEX(aditivos!$O$2:$O$200,MATCH($A54,aditivos!$A$2:$A$200,0)),posicao_contratual!$Y54),posicao_contratual!$Y54),posicao_contratual!$Y54)+1),2))))))</f>
        <v/>
      </c>
      <c r="E54" s="79" t="str">
        <f>IF(OR($A54="",posicao_contratual!$Y54=""),"",IF(posicao_contratual!$Y54&gt;2,"",IF(NOT(ISNUMBER(itens_Remanesc!C54)),"",IF(posicao_contratual!$Y54=2,IF(IFERROR(IF(ISNUMBER(INDEX(aditivos!$O$2:$O$200,MATCH($A54,aditivos!$A$2:$A$200,0))),MIN(INDEX(aditivos!$O$2:$O$200,MATCH($A54,aditivos!$A$2:$A$200,0)),posicao_contratual!$Y54),posicao_contratual!$Y54),posicao_contratual!$Y54)=2,itens_Remanesc!C54,IFERROR(ROUND(itens_Remanesc!C54*INDEX($L$2:$L$6,MIN(2+1,COUNT($L$2:$L$6)))/INDEX($L$2:$L$6,MIN(IFERROR(IF(ISNUMBER(INDEX(aditivos!$O$2:$O$200,MATCH($A54,aditivos!$A$2:$A$200,0))),MIN(INDEX(aditivos!$O$2:$O$200,MATCH($A54,aditivos!$A$2:$A$200,0)),posicao_contratual!$Y54),posicao_contratual!$Y54),posicao_contratual!$Y54)+1,COUNT($L$2:$L$6))),2),"")),IF(OR(NOT(ISNUMBER($L$4)),NOT(ISNUMBER(INDEX($L$2:$L$6,IFERROR(IF(ISNUMBER(INDEX(aditivos!$O$2:$O$200,MATCH($A54,aditivos!$A$2:$A$200,0))),MIN(INDEX(aditivos!$O$2:$O$200,MATCH($A54,aditivos!$A$2:$A$200,0)),posicao_contratual!$Y54),posicao_contratual!$Y54),posicao_contratual!$Y54)+1)))),"",ROUND(itens_Remanesc!C54*$L$4/INDEX($L$2:$L$6,IFERROR(IF(ISNUMBER(INDEX(aditivos!$O$2:$O$200,MATCH($A54,aditivos!$A$2:$A$200,0))),MIN(INDEX(aditivos!$O$2:$O$200,MATCH($A54,aditivos!$A$2:$A$200,0)),posicao_contratual!$Y54),posicao_contratual!$Y54),posicao_contratual!$Y54)+1),2))))))</f>
        <v/>
      </c>
      <c r="F54" s="79" t="str">
        <f>IF(OR($A54="",posicao_contratual!$Y54=""),"",IF(posicao_contratual!$Y54&gt;3,"",IF(NOT(ISNUMBER(itens_Remanesc!C54)),"",IF(posicao_contratual!$Y54=3,IF(IFERROR(IF(ISNUMBER(INDEX(aditivos!$O$2:$O$200,MATCH($A54,aditivos!$A$2:$A$200,0))),MIN(INDEX(aditivos!$O$2:$O$200,MATCH($A54,aditivos!$A$2:$A$200,0)),posicao_contratual!$Y54),posicao_contratual!$Y54),posicao_contratual!$Y54)=3,itens_Remanesc!C54,IFERROR(ROUND(itens_Remanesc!C54*INDEX($L$2:$L$6,MIN(3+1,COUNT($L$2:$L$6)))/INDEX($L$2:$L$6,MIN(IFERROR(IF(ISNUMBER(INDEX(aditivos!$O$2:$O$200,MATCH($A54,aditivos!$A$2:$A$200,0))),MIN(INDEX(aditivos!$O$2:$O$200,MATCH($A54,aditivos!$A$2:$A$200,0)),posicao_contratual!$Y54),posicao_contratual!$Y54),posicao_contratual!$Y54)+1,COUNT($L$2:$L$6))),2),"")),IF(OR(NOT(ISNUMBER($L$5)),NOT(ISNUMBER(INDEX($L$2:$L$6,IFERROR(IF(ISNUMBER(INDEX(aditivos!$O$2:$O$200,MATCH($A54,aditivos!$A$2:$A$200,0))),MIN(INDEX(aditivos!$O$2:$O$200,MATCH($A54,aditivos!$A$2:$A$200,0)),posicao_contratual!$Y54),posicao_contratual!$Y54),posicao_contratual!$Y54)+1)))),"",ROUND(itens_Remanesc!C54*$L$5/INDEX($L$2:$L$6,IFERROR(IF(ISNUMBER(INDEX(aditivos!$O$2:$O$200,MATCH($A54,aditivos!$A$2:$A$200,0))),MIN(INDEX(aditivos!$O$2:$O$200,MATCH($A54,aditivos!$A$2:$A$200,0)),posicao_contratual!$Y54),posicao_contratual!$Y54),posicao_contratual!$Y54)+1),2))))))</f>
        <v/>
      </c>
      <c r="G54" s="79" t="str">
        <f>IF(OR($A54="",posicao_contratual!$Y54=""),"",IF(posicao_contratual!$Y54&gt;4,"",IF(NOT(ISNUMBER(itens_Remanesc!C54)),"",IF(posicao_contratual!$Y54=4,IF(IFERROR(IF(ISNUMBER(INDEX(aditivos!$O$2:$O$200,MATCH($A54,aditivos!$A$2:$A$200,0))),MIN(INDEX(aditivos!$O$2:$O$200,MATCH($A54,aditivos!$A$2:$A$200,0)),posicao_contratual!$Y54),posicao_contratual!$Y54),posicao_contratual!$Y54)=4,itens_Remanesc!C54,IFERROR(ROUND(itens_Remanesc!C54*INDEX($L$2:$L$6,MIN(4+1,COUNT($L$2:$L$6)))/INDEX($L$2:$L$6,MIN(IFERROR(IF(ISNUMBER(INDEX(aditivos!$O$2:$O$200,MATCH($A54,aditivos!$A$2:$A$200,0))),MIN(INDEX(aditivos!$O$2:$O$200,MATCH($A54,aditivos!$A$2:$A$200,0)),posicao_contratual!$Y54),posicao_contratual!$Y54),posicao_contratual!$Y54)+1,COUNT($L$2:$L$6))),2),"")),IF(OR(NOT(ISNUMBER($L$6)),NOT(ISNUMBER(INDEX($L$2:$L$6,IFERROR(IF(ISNUMBER(INDEX(aditivos!$O$2:$O$200,MATCH($A54,aditivos!$A$2:$A$200,0))),MIN(INDEX(aditivos!$O$2:$O$200,MATCH($A54,aditivos!$A$2:$A$200,0)),posicao_contratual!$Y54),posicao_contratual!$Y54),posicao_contratual!$Y54)+1)))),"",ROUND(itens_Remanesc!C54*$L$6/INDEX($L$2:$L$6,IFERROR(IF(ISNUMBER(INDEX(aditivos!$O$2:$O$200,MATCH($A54,aditivos!$A$2:$A$200,0))),MIN(INDEX(aditivos!$O$2:$O$200,MATCH($A54,aditivos!$A$2:$A$200,0)),posicao_contratual!$Y54),posicao_contratual!$Y54),posicao_contratual!$Y54)+1),2))))))</f>
        <v/>
      </c>
      <c r="H54" s="116" t="str">
        <f t="shared" si="1"/>
        <v/>
      </c>
      <c r="I54" s="14"/>
      <c r="J54" s="14"/>
      <c r="K54" s="14"/>
      <c r="L54" s="14"/>
      <c r="M54" s="14"/>
      <c r="N54" s="147" t="str">
        <f>IF(A54="","",IF(posicao_contratual!$Y54="","",IF(posicao_contratual!$Y54&gt;0,"",posicao_contratual!E54)))</f>
        <v/>
      </c>
      <c r="O54" s="147" t="str">
        <f>IF(A54="","",IF(posicao_contratual!$Y54="","",IF(posicao_contratual!$Y54&gt;1,"",posicao_contratual!I54)))</f>
        <v/>
      </c>
      <c r="P54" s="147" t="str">
        <f>IF(A54="","",IF(posicao_contratual!$Y54="","",IF(posicao_contratual!$Y54&gt;2,"",posicao_contratual!M54)))</f>
        <v/>
      </c>
      <c r="Q54" s="147" t="str">
        <f>IF(A54="","",IF(posicao_contratual!$Y54="","",IF(posicao_contratual!$Y54&gt;3,"",posicao_contratual!Q54)))</f>
        <v/>
      </c>
      <c r="R54" s="147" t="str">
        <f>IF(A54="","",IF(posicao_contratual!$Y54="","",IF(posicao_contratual!$Y54&gt;4,"",posicao_contratual!U54)))</f>
        <v/>
      </c>
      <c r="S54" s="167" t="str">
        <f>IF(A54="","",posicao_contratual!G54)</f>
        <v/>
      </c>
      <c r="T54" s="167" t="str">
        <f>IF(A54="","",posicao_contratual!K54)</f>
        <v/>
      </c>
      <c r="U54" s="167" t="str">
        <f>IF(A54="","",posicao_contratual!O54)</f>
        <v/>
      </c>
      <c r="V54" s="167" t="str">
        <f>IF(A54="","",posicao_contratual!S54)</f>
        <v/>
      </c>
      <c r="W54" s="167" t="str">
        <f>IF(A54="","",posicao_contratual!W54)</f>
        <v/>
      </c>
    </row>
    <row r="55" spans="1:23" x14ac:dyDescent="0.35">
      <c r="A55" s="86" t="str">
        <f>IF(itens_Remanesc!A55="","",itens_Remanesc!A55)</f>
        <v/>
      </c>
      <c r="B55" s="85" t="str">
        <f>IF(A55="","",IF(posicao_contratual!$Y55="","",IF(posicao_contratual!$Y55&gt;0,"",posicao_contratual!G55)))</f>
        <v/>
      </c>
      <c r="C55" s="79" t="str">
        <f>IF(itens_Remanesc!A55="","",IF(posicao_contratual!$Y55="","",IF(posicao_contratual!$Y55&gt;0,"",itens_Remanesc!C55)))</f>
        <v/>
      </c>
      <c r="D55" s="79" t="str">
        <f>IF(OR($A55="",posicao_contratual!$Y55=""),"",IF(posicao_contratual!$Y55&gt;1,"",IF(NOT(ISNUMBER(itens_Remanesc!C55)),"",IF(posicao_contratual!$Y55=1,IF(IFERROR(IF(ISNUMBER(INDEX(aditivos!$O$2:$O$200,MATCH($A55,aditivos!$A$2:$A$200,0))),MIN(INDEX(aditivos!$O$2:$O$200,MATCH($A55,aditivos!$A$2:$A$200,0)),posicao_contratual!$Y55),posicao_contratual!$Y55),posicao_contratual!$Y55)=1,itens_Remanesc!C55,IFERROR(ROUND(itens_Remanesc!C55*INDEX($L$2:$L$6,MIN(1+1,COUNT($L$2:$L$6)))/INDEX($L$2:$L$6,MIN(IFERROR(IF(ISNUMBER(INDEX(aditivos!$O$2:$O$200,MATCH($A55,aditivos!$A$2:$A$200,0))),MIN(INDEX(aditivos!$O$2:$O$200,MATCH($A55,aditivos!$A$2:$A$200,0)),posicao_contratual!$Y55),posicao_contratual!$Y55),posicao_contratual!$Y55)+1,COUNT($L$2:$L$6))),2),"")),IF(OR(NOT(ISNUMBER($L$3)),NOT(ISNUMBER(INDEX($L$2:$L$6,IFERROR(IF(ISNUMBER(INDEX(aditivos!$O$2:$O$200,MATCH($A55,aditivos!$A$2:$A$200,0))),MIN(INDEX(aditivos!$O$2:$O$200,MATCH($A55,aditivos!$A$2:$A$200,0)),posicao_contratual!$Y55),posicao_contratual!$Y55),posicao_contratual!$Y55)+1)))),"",ROUND(itens_Remanesc!C55*$L$3/INDEX($L$2:$L$6,IFERROR(IF(ISNUMBER(INDEX(aditivos!$O$2:$O$200,MATCH($A55,aditivos!$A$2:$A$200,0))),MIN(INDEX(aditivos!$O$2:$O$200,MATCH($A55,aditivos!$A$2:$A$200,0)),posicao_contratual!$Y55),posicao_contratual!$Y55),posicao_contratual!$Y55)+1),2))))))</f>
        <v/>
      </c>
      <c r="E55" s="79" t="str">
        <f>IF(OR($A55="",posicao_contratual!$Y55=""),"",IF(posicao_contratual!$Y55&gt;2,"",IF(NOT(ISNUMBER(itens_Remanesc!C55)),"",IF(posicao_contratual!$Y55=2,IF(IFERROR(IF(ISNUMBER(INDEX(aditivos!$O$2:$O$200,MATCH($A55,aditivos!$A$2:$A$200,0))),MIN(INDEX(aditivos!$O$2:$O$200,MATCH($A55,aditivos!$A$2:$A$200,0)),posicao_contratual!$Y55),posicao_contratual!$Y55),posicao_contratual!$Y55)=2,itens_Remanesc!C55,IFERROR(ROUND(itens_Remanesc!C55*INDEX($L$2:$L$6,MIN(2+1,COUNT($L$2:$L$6)))/INDEX($L$2:$L$6,MIN(IFERROR(IF(ISNUMBER(INDEX(aditivos!$O$2:$O$200,MATCH($A55,aditivos!$A$2:$A$200,0))),MIN(INDEX(aditivos!$O$2:$O$200,MATCH($A55,aditivos!$A$2:$A$200,0)),posicao_contratual!$Y55),posicao_contratual!$Y55),posicao_contratual!$Y55)+1,COUNT($L$2:$L$6))),2),"")),IF(OR(NOT(ISNUMBER($L$4)),NOT(ISNUMBER(INDEX($L$2:$L$6,IFERROR(IF(ISNUMBER(INDEX(aditivos!$O$2:$O$200,MATCH($A55,aditivos!$A$2:$A$200,0))),MIN(INDEX(aditivos!$O$2:$O$200,MATCH($A55,aditivos!$A$2:$A$200,0)),posicao_contratual!$Y55),posicao_contratual!$Y55),posicao_contratual!$Y55)+1)))),"",ROUND(itens_Remanesc!C55*$L$4/INDEX($L$2:$L$6,IFERROR(IF(ISNUMBER(INDEX(aditivos!$O$2:$O$200,MATCH($A55,aditivos!$A$2:$A$200,0))),MIN(INDEX(aditivos!$O$2:$O$200,MATCH($A55,aditivos!$A$2:$A$200,0)),posicao_contratual!$Y55),posicao_contratual!$Y55),posicao_contratual!$Y55)+1),2))))))</f>
        <v/>
      </c>
      <c r="F55" s="79" t="str">
        <f>IF(OR($A55="",posicao_contratual!$Y55=""),"",IF(posicao_contratual!$Y55&gt;3,"",IF(NOT(ISNUMBER(itens_Remanesc!C55)),"",IF(posicao_contratual!$Y55=3,IF(IFERROR(IF(ISNUMBER(INDEX(aditivos!$O$2:$O$200,MATCH($A55,aditivos!$A$2:$A$200,0))),MIN(INDEX(aditivos!$O$2:$O$200,MATCH($A55,aditivos!$A$2:$A$200,0)),posicao_contratual!$Y55),posicao_contratual!$Y55),posicao_contratual!$Y55)=3,itens_Remanesc!C55,IFERROR(ROUND(itens_Remanesc!C55*INDEX($L$2:$L$6,MIN(3+1,COUNT($L$2:$L$6)))/INDEX($L$2:$L$6,MIN(IFERROR(IF(ISNUMBER(INDEX(aditivos!$O$2:$O$200,MATCH($A55,aditivos!$A$2:$A$200,0))),MIN(INDEX(aditivos!$O$2:$O$200,MATCH($A55,aditivos!$A$2:$A$200,0)),posicao_contratual!$Y55),posicao_contratual!$Y55),posicao_contratual!$Y55)+1,COUNT($L$2:$L$6))),2),"")),IF(OR(NOT(ISNUMBER($L$5)),NOT(ISNUMBER(INDEX($L$2:$L$6,IFERROR(IF(ISNUMBER(INDEX(aditivos!$O$2:$O$200,MATCH($A55,aditivos!$A$2:$A$200,0))),MIN(INDEX(aditivos!$O$2:$O$200,MATCH($A55,aditivos!$A$2:$A$200,0)),posicao_contratual!$Y55),posicao_contratual!$Y55),posicao_contratual!$Y55)+1)))),"",ROUND(itens_Remanesc!C55*$L$5/INDEX($L$2:$L$6,IFERROR(IF(ISNUMBER(INDEX(aditivos!$O$2:$O$200,MATCH($A55,aditivos!$A$2:$A$200,0))),MIN(INDEX(aditivos!$O$2:$O$200,MATCH($A55,aditivos!$A$2:$A$200,0)),posicao_contratual!$Y55),posicao_contratual!$Y55),posicao_contratual!$Y55)+1),2))))))</f>
        <v/>
      </c>
      <c r="G55" s="79" t="str">
        <f>IF(OR($A55="",posicao_contratual!$Y55=""),"",IF(posicao_contratual!$Y55&gt;4,"",IF(NOT(ISNUMBER(itens_Remanesc!C55)),"",IF(posicao_contratual!$Y55=4,IF(IFERROR(IF(ISNUMBER(INDEX(aditivos!$O$2:$O$200,MATCH($A55,aditivos!$A$2:$A$200,0))),MIN(INDEX(aditivos!$O$2:$O$200,MATCH($A55,aditivos!$A$2:$A$200,0)),posicao_contratual!$Y55),posicao_contratual!$Y55),posicao_contratual!$Y55)=4,itens_Remanesc!C55,IFERROR(ROUND(itens_Remanesc!C55*INDEX($L$2:$L$6,MIN(4+1,COUNT($L$2:$L$6)))/INDEX($L$2:$L$6,MIN(IFERROR(IF(ISNUMBER(INDEX(aditivos!$O$2:$O$200,MATCH($A55,aditivos!$A$2:$A$200,0))),MIN(INDEX(aditivos!$O$2:$O$200,MATCH($A55,aditivos!$A$2:$A$200,0)),posicao_contratual!$Y55),posicao_contratual!$Y55),posicao_contratual!$Y55)+1,COUNT($L$2:$L$6))),2),"")),IF(OR(NOT(ISNUMBER($L$6)),NOT(ISNUMBER(INDEX($L$2:$L$6,IFERROR(IF(ISNUMBER(INDEX(aditivos!$O$2:$O$200,MATCH($A55,aditivos!$A$2:$A$200,0))),MIN(INDEX(aditivos!$O$2:$O$200,MATCH($A55,aditivos!$A$2:$A$200,0)),posicao_contratual!$Y55),posicao_contratual!$Y55),posicao_contratual!$Y55)+1)))),"",ROUND(itens_Remanesc!C55*$L$6/INDEX($L$2:$L$6,IFERROR(IF(ISNUMBER(INDEX(aditivos!$O$2:$O$200,MATCH($A55,aditivos!$A$2:$A$200,0))),MIN(INDEX(aditivos!$O$2:$O$200,MATCH($A55,aditivos!$A$2:$A$200,0)),posicao_contratual!$Y55),posicao_contratual!$Y55),posicao_contratual!$Y55)+1),2))))))</f>
        <v/>
      </c>
      <c r="H55" s="116" t="str">
        <f t="shared" si="1"/>
        <v/>
      </c>
      <c r="I55" s="14"/>
      <c r="J55" s="14"/>
      <c r="K55" s="14"/>
      <c r="L55" s="14"/>
      <c r="M55" s="14"/>
      <c r="N55" s="147" t="str">
        <f>IF(A55="","",IF(posicao_contratual!$Y55="","",IF(posicao_contratual!$Y55&gt;0,"",posicao_contratual!E55)))</f>
        <v/>
      </c>
      <c r="O55" s="147" t="str">
        <f>IF(A55="","",IF(posicao_contratual!$Y55="","",IF(posicao_contratual!$Y55&gt;1,"",posicao_contratual!I55)))</f>
        <v/>
      </c>
      <c r="P55" s="147" t="str">
        <f>IF(A55="","",IF(posicao_contratual!$Y55="","",IF(posicao_contratual!$Y55&gt;2,"",posicao_contratual!M55)))</f>
        <v/>
      </c>
      <c r="Q55" s="147" t="str">
        <f>IF(A55="","",IF(posicao_contratual!$Y55="","",IF(posicao_contratual!$Y55&gt;3,"",posicao_contratual!Q55)))</f>
        <v/>
      </c>
      <c r="R55" s="147" t="str">
        <f>IF(A55="","",IF(posicao_contratual!$Y55="","",IF(posicao_contratual!$Y55&gt;4,"",posicao_contratual!U55)))</f>
        <v/>
      </c>
      <c r="S55" s="167" t="str">
        <f>IF(A55="","",posicao_contratual!G55)</f>
        <v/>
      </c>
      <c r="T55" s="167" t="str">
        <f>IF(A55="","",posicao_contratual!K55)</f>
        <v/>
      </c>
      <c r="U55" s="167" t="str">
        <f>IF(A55="","",posicao_contratual!O55)</f>
        <v/>
      </c>
      <c r="V55" s="167" t="str">
        <f>IF(A55="","",posicao_contratual!S55)</f>
        <v/>
      </c>
      <c r="W55" s="167" t="str">
        <f>IF(A55="","",posicao_contratual!W55)</f>
        <v/>
      </c>
    </row>
    <row r="56" spans="1:23" x14ac:dyDescent="0.35">
      <c r="A56" s="86" t="str">
        <f>IF(itens_Remanesc!A56="","",itens_Remanesc!A56)</f>
        <v/>
      </c>
      <c r="B56" s="85" t="str">
        <f>IF(A56="","",IF(posicao_contratual!$Y56="","",IF(posicao_contratual!$Y56&gt;0,"",posicao_contratual!G56)))</f>
        <v/>
      </c>
      <c r="C56" s="79" t="str">
        <f>IF(itens_Remanesc!A56="","",IF(posicao_contratual!$Y56="","",IF(posicao_contratual!$Y56&gt;0,"",itens_Remanesc!C56)))</f>
        <v/>
      </c>
      <c r="D56" s="79" t="str">
        <f>IF(OR($A56="",posicao_contratual!$Y56=""),"",IF(posicao_contratual!$Y56&gt;1,"",IF(NOT(ISNUMBER(itens_Remanesc!C56)),"",IF(posicao_contratual!$Y56=1,IF(IFERROR(IF(ISNUMBER(INDEX(aditivos!$O$2:$O$200,MATCH($A56,aditivos!$A$2:$A$200,0))),MIN(INDEX(aditivos!$O$2:$O$200,MATCH($A56,aditivos!$A$2:$A$200,0)),posicao_contratual!$Y56),posicao_contratual!$Y56),posicao_contratual!$Y56)=1,itens_Remanesc!C56,IFERROR(ROUND(itens_Remanesc!C56*INDEX($L$2:$L$6,MIN(1+1,COUNT($L$2:$L$6)))/INDEX($L$2:$L$6,MIN(IFERROR(IF(ISNUMBER(INDEX(aditivos!$O$2:$O$200,MATCH($A56,aditivos!$A$2:$A$200,0))),MIN(INDEX(aditivos!$O$2:$O$200,MATCH($A56,aditivos!$A$2:$A$200,0)),posicao_contratual!$Y56),posicao_contratual!$Y56),posicao_contratual!$Y56)+1,COUNT($L$2:$L$6))),2),"")),IF(OR(NOT(ISNUMBER($L$3)),NOT(ISNUMBER(INDEX($L$2:$L$6,IFERROR(IF(ISNUMBER(INDEX(aditivos!$O$2:$O$200,MATCH($A56,aditivos!$A$2:$A$200,0))),MIN(INDEX(aditivos!$O$2:$O$200,MATCH($A56,aditivos!$A$2:$A$200,0)),posicao_contratual!$Y56),posicao_contratual!$Y56),posicao_contratual!$Y56)+1)))),"",ROUND(itens_Remanesc!C56*$L$3/INDEX($L$2:$L$6,IFERROR(IF(ISNUMBER(INDEX(aditivos!$O$2:$O$200,MATCH($A56,aditivos!$A$2:$A$200,0))),MIN(INDEX(aditivos!$O$2:$O$200,MATCH($A56,aditivos!$A$2:$A$200,0)),posicao_contratual!$Y56),posicao_contratual!$Y56),posicao_contratual!$Y56)+1),2))))))</f>
        <v/>
      </c>
      <c r="E56" s="79" t="str">
        <f>IF(OR($A56="",posicao_contratual!$Y56=""),"",IF(posicao_contratual!$Y56&gt;2,"",IF(NOT(ISNUMBER(itens_Remanesc!C56)),"",IF(posicao_contratual!$Y56=2,IF(IFERROR(IF(ISNUMBER(INDEX(aditivos!$O$2:$O$200,MATCH($A56,aditivos!$A$2:$A$200,0))),MIN(INDEX(aditivos!$O$2:$O$200,MATCH($A56,aditivos!$A$2:$A$200,0)),posicao_contratual!$Y56),posicao_contratual!$Y56),posicao_contratual!$Y56)=2,itens_Remanesc!C56,IFERROR(ROUND(itens_Remanesc!C56*INDEX($L$2:$L$6,MIN(2+1,COUNT($L$2:$L$6)))/INDEX($L$2:$L$6,MIN(IFERROR(IF(ISNUMBER(INDEX(aditivos!$O$2:$O$200,MATCH($A56,aditivos!$A$2:$A$200,0))),MIN(INDEX(aditivos!$O$2:$O$200,MATCH($A56,aditivos!$A$2:$A$200,0)),posicao_contratual!$Y56),posicao_contratual!$Y56),posicao_contratual!$Y56)+1,COUNT($L$2:$L$6))),2),"")),IF(OR(NOT(ISNUMBER($L$4)),NOT(ISNUMBER(INDEX($L$2:$L$6,IFERROR(IF(ISNUMBER(INDEX(aditivos!$O$2:$O$200,MATCH($A56,aditivos!$A$2:$A$200,0))),MIN(INDEX(aditivos!$O$2:$O$200,MATCH($A56,aditivos!$A$2:$A$200,0)),posicao_contratual!$Y56),posicao_contratual!$Y56),posicao_contratual!$Y56)+1)))),"",ROUND(itens_Remanesc!C56*$L$4/INDEX($L$2:$L$6,IFERROR(IF(ISNUMBER(INDEX(aditivos!$O$2:$O$200,MATCH($A56,aditivos!$A$2:$A$200,0))),MIN(INDEX(aditivos!$O$2:$O$200,MATCH($A56,aditivos!$A$2:$A$200,0)),posicao_contratual!$Y56),posicao_contratual!$Y56),posicao_contratual!$Y56)+1),2))))))</f>
        <v/>
      </c>
      <c r="F56" s="79" t="str">
        <f>IF(OR($A56="",posicao_contratual!$Y56=""),"",IF(posicao_contratual!$Y56&gt;3,"",IF(NOT(ISNUMBER(itens_Remanesc!C56)),"",IF(posicao_contratual!$Y56=3,IF(IFERROR(IF(ISNUMBER(INDEX(aditivos!$O$2:$O$200,MATCH($A56,aditivos!$A$2:$A$200,0))),MIN(INDEX(aditivos!$O$2:$O$200,MATCH($A56,aditivos!$A$2:$A$200,0)),posicao_contratual!$Y56),posicao_contratual!$Y56),posicao_contratual!$Y56)=3,itens_Remanesc!C56,IFERROR(ROUND(itens_Remanesc!C56*INDEX($L$2:$L$6,MIN(3+1,COUNT($L$2:$L$6)))/INDEX($L$2:$L$6,MIN(IFERROR(IF(ISNUMBER(INDEX(aditivos!$O$2:$O$200,MATCH($A56,aditivos!$A$2:$A$200,0))),MIN(INDEX(aditivos!$O$2:$O$200,MATCH($A56,aditivos!$A$2:$A$200,0)),posicao_contratual!$Y56),posicao_contratual!$Y56),posicao_contratual!$Y56)+1,COUNT($L$2:$L$6))),2),"")),IF(OR(NOT(ISNUMBER($L$5)),NOT(ISNUMBER(INDEX($L$2:$L$6,IFERROR(IF(ISNUMBER(INDEX(aditivos!$O$2:$O$200,MATCH($A56,aditivos!$A$2:$A$200,0))),MIN(INDEX(aditivos!$O$2:$O$200,MATCH($A56,aditivos!$A$2:$A$200,0)),posicao_contratual!$Y56),posicao_contratual!$Y56),posicao_contratual!$Y56)+1)))),"",ROUND(itens_Remanesc!C56*$L$5/INDEX($L$2:$L$6,IFERROR(IF(ISNUMBER(INDEX(aditivos!$O$2:$O$200,MATCH($A56,aditivos!$A$2:$A$200,0))),MIN(INDEX(aditivos!$O$2:$O$200,MATCH($A56,aditivos!$A$2:$A$200,0)),posicao_contratual!$Y56),posicao_contratual!$Y56),posicao_contratual!$Y56)+1),2))))))</f>
        <v/>
      </c>
      <c r="G56" s="79" t="str">
        <f>IF(OR($A56="",posicao_contratual!$Y56=""),"",IF(posicao_contratual!$Y56&gt;4,"",IF(NOT(ISNUMBER(itens_Remanesc!C56)),"",IF(posicao_contratual!$Y56=4,IF(IFERROR(IF(ISNUMBER(INDEX(aditivos!$O$2:$O$200,MATCH($A56,aditivos!$A$2:$A$200,0))),MIN(INDEX(aditivos!$O$2:$O$200,MATCH($A56,aditivos!$A$2:$A$200,0)),posicao_contratual!$Y56),posicao_contratual!$Y56),posicao_contratual!$Y56)=4,itens_Remanesc!C56,IFERROR(ROUND(itens_Remanesc!C56*INDEX($L$2:$L$6,MIN(4+1,COUNT($L$2:$L$6)))/INDEX($L$2:$L$6,MIN(IFERROR(IF(ISNUMBER(INDEX(aditivos!$O$2:$O$200,MATCH($A56,aditivos!$A$2:$A$200,0))),MIN(INDEX(aditivos!$O$2:$O$200,MATCH($A56,aditivos!$A$2:$A$200,0)),posicao_contratual!$Y56),posicao_contratual!$Y56),posicao_contratual!$Y56)+1,COUNT($L$2:$L$6))),2),"")),IF(OR(NOT(ISNUMBER($L$6)),NOT(ISNUMBER(INDEX($L$2:$L$6,IFERROR(IF(ISNUMBER(INDEX(aditivos!$O$2:$O$200,MATCH($A56,aditivos!$A$2:$A$200,0))),MIN(INDEX(aditivos!$O$2:$O$200,MATCH($A56,aditivos!$A$2:$A$200,0)),posicao_contratual!$Y56),posicao_contratual!$Y56),posicao_contratual!$Y56)+1)))),"",ROUND(itens_Remanesc!C56*$L$6/INDEX($L$2:$L$6,IFERROR(IF(ISNUMBER(INDEX(aditivos!$O$2:$O$200,MATCH($A56,aditivos!$A$2:$A$200,0))),MIN(INDEX(aditivos!$O$2:$O$200,MATCH($A56,aditivos!$A$2:$A$200,0)),posicao_contratual!$Y56),posicao_contratual!$Y56),posicao_contratual!$Y56)+1),2))))))</f>
        <v/>
      </c>
      <c r="H56" s="116" t="str">
        <f t="shared" si="1"/>
        <v/>
      </c>
      <c r="I56" s="14"/>
      <c r="J56" s="14"/>
      <c r="K56" s="14"/>
      <c r="L56" s="14"/>
      <c r="M56" s="14"/>
      <c r="N56" s="147" t="str">
        <f>IF(A56="","",IF(posicao_contratual!$Y56="","",IF(posicao_contratual!$Y56&gt;0,"",posicao_contratual!E56)))</f>
        <v/>
      </c>
      <c r="O56" s="147" t="str">
        <f>IF(A56="","",IF(posicao_contratual!$Y56="","",IF(posicao_contratual!$Y56&gt;1,"",posicao_contratual!I56)))</f>
        <v/>
      </c>
      <c r="P56" s="147" t="str">
        <f>IF(A56="","",IF(posicao_contratual!$Y56="","",IF(posicao_contratual!$Y56&gt;2,"",posicao_contratual!M56)))</f>
        <v/>
      </c>
      <c r="Q56" s="147" t="str">
        <f>IF(A56="","",IF(posicao_contratual!$Y56="","",IF(posicao_contratual!$Y56&gt;3,"",posicao_contratual!Q56)))</f>
        <v/>
      </c>
      <c r="R56" s="147" t="str">
        <f>IF(A56="","",IF(posicao_contratual!$Y56="","",IF(posicao_contratual!$Y56&gt;4,"",posicao_contratual!U56)))</f>
        <v/>
      </c>
      <c r="S56" s="167" t="str">
        <f>IF(A56="","",posicao_contratual!G56)</f>
        <v/>
      </c>
      <c r="T56" s="167" t="str">
        <f>IF(A56="","",posicao_contratual!K56)</f>
        <v/>
      </c>
      <c r="U56" s="167" t="str">
        <f>IF(A56="","",posicao_contratual!O56)</f>
        <v/>
      </c>
      <c r="V56" s="167" t="str">
        <f>IF(A56="","",posicao_contratual!S56)</f>
        <v/>
      </c>
      <c r="W56" s="167" t="str">
        <f>IF(A56="","",posicao_contratual!W56)</f>
        <v/>
      </c>
    </row>
    <row r="57" spans="1:23" x14ac:dyDescent="0.35">
      <c r="A57" s="86" t="str">
        <f>IF(itens_Remanesc!A57="","",itens_Remanesc!A57)</f>
        <v/>
      </c>
      <c r="B57" s="85" t="str">
        <f>IF(A57="","",IF(posicao_contratual!$Y57="","",IF(posicao_contratual!$Y57&gt;0,"",posicao_contratual!G57)))</f>
        <v/>
      </c>
      <c r="C57" s="79" t="str">
        <f>IF(itens_Remanesc!A57="","",IF(posicao_contratual!$Y57="","",IF(posicao_contratual!$Y57&gt;0,"",itens_Remanesc!C57)))</f>
        <v/>
      </c>
      <c r="D57" s="79" t="str">
        <f>IF(OR($A57="",posicao_contratual!$Y57=""),"",IF(posicao_contratual!$Y57&gt;1,"",IF(NOT(ISNUMBER(itens_Remanesc!C57)),"",IF(posicao_contratual!$Y57=1,IF(IFERROR(IF(ISNUMBER(INDEX(aditivos!$O$2:$O$200,MATCH($A57,aditivos!$A$2:$A$200,0))),MIN(INDEX(aditivos!$O$2:$O$200,MATCH($A57,aditivos!$A$2:$A$200,0)),posicao_contratual!$Y57),posicao_contratual!$Y57),posicao_contratual!$Y57)=1,itens_Remanesc!C57,IFERROR(ROUND(itens_Remanesc!C57*INDEX($L$2:$L$6,MIN(1+1,COUNT($L$2:$L$6)))/INDEX($L$2:$L$6,MIN(IFERROR(IF(ISNUMBER(INDEX(aditivos!$O$2:$O$200,MATCH($A57,aditivos!$A$2:$A$200,0))),MIN(INDEX(aditivos!$O$2:$O$200,MATCH($A57,aditivos!$A$2:$A$200,0)),posicao_contratual!$Y57),posicao_contratual!$Y57),posicao_contratual!$Y57)+1,COUNT($L$2:$L$6))),2),"")),IF(OR(NOT(ISNUMBER($L$3)),NOT(ISNUMBER(INDEX($L$2:$L$6,IFERROR(IF(ISNUMBER(INDEX(aditivos!$O$2:$O$200,MATCH($A57,aditivos!$A$2:$A$200,0))),MIN(INDEX(aditivos!$O$2:$O$200,MATCH($A57,aditivos!$A$2:$A$200,0)),posicao_contratual!$Y57),posicao_contratual!$Y57),posicao_contratual!$Y57)+1)))),"",ROUND(itens_Remanesc!C57*$L$3/INDEX($L$2:$L$6,IFERROR(IF(ISNUMBER(INDEX(aditivos!$O$2:$O$200,MATCH($A57,aditivos!$A$2:$A$200,0))),MIN(INDEX(aditivos!$O$2:$O$200,MATCH($A57,aditivos!$A$2:$A$200,0)),posicao_contratual!$Y57),posicao_contratual!$Y57),posicao_contratual!$Y57)+1),2))))))</f>
        <v/>
      </c>
      <c r="E57" s="79" t="str">
        <f>IF(OR($A57="",posicao_contratual!$Y57=""),"",IF(posicao_contratual!$Y57&gt;2,"",IF(NOT(ISNUMBER(itens_Remanesc!C57)),"",IF(posicao_contratual!$Y57=2,IF(IFERROR(IF(ISNUMBER(INDEX(aditivos!$O$2:$O$200,MATCH($A57,aditivos!$A$2:$A$200,0))),MIN(INDEX(aditivos!$O$2:$O$200,MATCH($A57,aditivos!$A$2:$A$200,0)),posicao_contratual!$Y57),posicao_contratual!$Y57),posicao_contratual!$Y57)=2,itens_Remanesc!C57,IFERROR(ROUND(itens_Remanesc!C57*INDEX($L$2:$L$6,MIN(2+1,COUNT($L$2:$L$6)))/INDEX($L$2:$L$6,MIN(IFERROR(IF(ISNUMBER(INDEX(aditivos!$O$2:$O$200,MATCH($A57,aditivos!$A$2:$A$200,0))),MIN(INDEX(aditivos!$O$2:$O$200,MATCH($A57,aditivos!$A$2:$A$200,0)),posicao_contratual!$Y57),posicao_contratual!$Y57),posicao_contratual!$Y57)+1,COUNT($L$2:$L$6))),2),"")),IF(OR(NOT(ISNUMBER($L$4)),NOT(ISNUMBER(INDEX($L$2:$L$6,IFERROR(IF(ISNUMBER(INDEX(aditivos!$O$2:$O$200,MATCH($A57,aditivos!$A$2:$A$200,0))),MIN(INDEX(aditivos!$O$2:$O$200,MATCH($A57,aditivos!$A$2:$A$200,0)),posicao_contratual!$Y57),posicao_contratual!$Y57),posicao_contratual!$Y57)+1)))),"",ROUND(itens_Remanesc!C57*$L$4/INDEX($L$2:$L$6,IFERROR(IF(ISNUMBER(INDEX(aditivos!$O$2:$O$200,MATCH($A57,aditivos!$A$2:$A$200,0))),MIN(INDEX(aditivos!$O$2:$O$200,MATCH($A57,aditivos!$A$2:$A$200,0)),posicao_contratual!$Y57),posicao_contratual!$Y57),posicao_contratual!$Y57)+1),2))))))</f>
        <v/>
      </c>
      <c r="F57" s="79" t="str">
        <f>IF(OR($A57="",posicao_contratual!$Y57=""),"",IF(posicao_contratual!$Y57&gt;3,"",IF(NOT(ISNUMBER(itens_Remanesc!C57)),"",IF(posicao_contratual!$Y57=3,IF(IFERROR(IF(ISNUMBER(INDEX(aditivos!$O$2:$O$200,MATCH($A57,aditivos!$A$2:$A$200,0))),MIN(INDEX(aditivos!$O$2:$O$200,MATCH($A57,aditivos!$A$2:$A$200,0)),posicao_contratual!$Y57),posicao_contratual!$Y57),posicao_contratual!$Y57)=3,itens_Remanesc!C57,IFERROR(ROUND(itens_Remanesc!C57*INDEX($L$2:$L$6,MIN(3+1,COUNT($L$2:$L$6)))/INDEX($L$2:$L$6,MIN(IFERROR(IF(ISNUMBER(INDEX(aditivos!$O$2:$O$200,MATCH($A57,aditivos!$A$2:$A$200,0))),MIN(INDEX(aditivos!$O$2:$O$200,MATCH($A57,aditivos!$A$2:$A$200,0)),posicao_contratual!$Y57),posicao_contratual!$Y57),posicao_contratual!$Y57)+1,COUNT($L$2:$L$6))),2),"")),IF(OR(NOT(ISNUMBER($L$5)),NOT(ISNUMBER(INDEX($L$2:$L$6,IFERROR(IF(ISNUMBER(INDEX(aditivos!$O$2:$O$200,MATCH($A57,aditivos!$A$2:$A$200,0))),MIN(INDEX(aditivos!$O$2:$O$200,MATCH($A57,aditivos!$A$2:$A$200,0)),posicao_contratual!$Y57),posicao_contratual!$Y57),posicao_contratual!$Y57)+1)))),"",ROUND(itens_Remanesc!C57*$L$5/INDEX($L$2:$L$6,IFERROR(IF(ISNUMBER(INDEX(aditivos!$O$2:$O$200,MATCH($A57,aditivos!$A$2:$A$200,0))),MIN(INDEX(aditivos!$O$2:$O$200,MATCH($A57,aditivos!$A$2:$A$200,0)),posicao_contratual!$Y57),posicao_contratual!$Y57),posicao_contratual!$Y57)+1),2))))))</f>
        <v/>
      </c>
      <c r="G57" s="79" t="str">
        <f>IF(OR($A57="",posicao_contratual!$Y57=""),"",IF(posicao_contratual!$Y57&gt;4,"",IF(NOT(ISNUMBER(itens_Remanesc!C57)),"",IF(posicao_contratual!$Y57=4,IF(IFERROR(IF(ISNUMBER(INDEX(aditivos!$O$2:$O$200,MATCH($A57,aditivos!$A$2:$A$200,0))),MIN(INDEX(aditivos!$O$2:$O$200,MATCH($A57,aditivos!$A$2:$A$200,0)),posicao_contratual!$Y57),posicao_contratual!$Y57),posicao_contratual!$Y57)=4,itens_Remanesc!C57,IFERROR(ROUND(itens_Remanesc!C57*INDEX($L$2:$L$6,MIN(4+1,COUNT($L$2:$L$6)))/INDEX($L$2:$L$6,MIN(IFERROR(IF(ISNUMBER(INDEX(aditivos!$O$2:$O$200,MATCH($A57,aditivos!$A$2:$A$200,0))),MIN(INDEX(aditivos!$O$2:$O$200,MATCH($A57,aditivos!$A$2:$A$200,0)),posicao_contratual!$Y57),posicao_contratual!$Y57),posicao_contratual!$Y57)+1,COUNT($L$2:$L$6))),2),"")),IF(OR(NOT(ISNUMBER($L$6)),NOT(ISNUMBER(INDEX($L$2:$L$6,IFERROR(IF(ISNUMBER(INDEX(aditivos!$O$2:$O$200,MATCH($A57,aditivos!$A$2:$A$200,0))),MIN(INDEX(aditivos!$O$2:$O$200,MATCH($A57,aditivos!$A$2:$A$200,0)),posicao_contratual!$Y57),posicao_contratual!$Y57),posicao_contratual!$Y57)+1)))),"",ROUND(itens_Remanesc!C57*$L$6/INDEX($L$2:$L$6,IFERROR(IF(ISNUMBER(INDEX(aditivos!$O$2:$O$200,MATCH($A57,aditivos!$A$2:$A$200,0))),MIN(INDEX(aditivos!$O$2:$O$200,MATCH($A57,aditivos!$A$2:$A$200,0)),posicao_contratual!$Y57),posicao_contratual!$Y57),posicao_contratual!$Y57)+1),2))))))</f>
        <v/>
      </c>
      <c r="H57" s="116" t="str">
        <f t="shared" si="1"/>
        <v/>
      </c>
      <c r="I57" s="14"/>
      <c r="J57" s="14"/>
      <c r="K57" s="14"/>
      <c r="L57" s="14"/>
      <c r="M57" s="14"/>
      <c r="N57" s="147" t="str">
        <f>IF(A57="","",IF(posicao_contratual!$Y57="","",IF(posicao_contratual!$Y57&gt;0,"",posicao_contratual!E57)))</f>
        <v/>
      </c>
      <c r="O57" s="147" t="str">
        <f>IF(A57="","",IF(posicao_contratual!$Y57="","",IF(posicao_contratual!$Y57&gt;1,"",posicao_contratual!I57)))</f>
        <v/>
      </c>
      <c r="P57" s="147" t="str">
        <f>IF(A57="","",IF(posicao_contratual!$Y57="","",IF(posicao_contratual!$Y57&gt;2,"",posicao_contratual!M57)))</f>
        <v/>
      </c>
      <c r="Q57" s="147" t="str">
        <f>IF(A57="","",IF(posicao_contratual!$Y57="","",IF(posicao_contratual!$Y57&gt;3,"",posicao_contratual!Q57)))</f>
        <v/>
      </c>
      <c r="R57" s="147" t="str">
        <f>IF(A57="","",IF(posicao_contratual!$Y57="","",IF(posicao_contratual!$Y57&gt;4,"",posicao_contratual!U57)))</f>
        <v/>
      </c>
      <c r="S57" s="167" t="str">
        <f>IF(A57="","",posicao_contratual!G57)</f>
        <v/>
      </c>
      <c r="T57" s="167" t="str">
        <f>IF(A57="","",posicao_contratual!K57)</f>
        <v/>
      </c>
      <c r="U57" s="167" t="str">
        <f>IF(A57="","",posicao_contratual!O57)</f>
        <v/>
      </c>
      <c r="V57" s="167" t="str">
        <f>IF(A57="","",posicao_contratual!S57)</f>
        <v/>
      </c>
      <c r="W57" s="167" t="str">
        <f>IF(A57="","",posicao_contratual!W57)</f>
        <v/>
      </c>
    </row>
    <row r="58" spans="1:23" x14ac:dyDescent="0.35">
      <c r="A58" s="86" t="str">
        <f>IF(itens_Remanesc!A58="","",itens_Remanesc!A58)</f>
        <v/>
      </c>
      <c r="B58" s="85" t="str">
        <f>IF(A58="","",IF(posicao_contratual!$Y58="","",IF(posicao_contratual!$Y58&gt;0,"",posicao_contratual!G58)))</f>
        <v/>
      </c>
      <c r="C58" s="79" t="str">
        <f>IF(itens_Remanesc!A58="","",IF(posicao_contratual!$Y58="","",IF(posicao_contratual!$Y58&gt;0,"",itens_Remanesc!C58)))</f>
        <v/>
      </c>
      <c r="D58" s="79" t="str">
        <f>IF(OR($A58="",posicao_contratual!$Y58=""),"",IF(posicao_contratual!$Y58&gt;1,"",IF(NOT(ISNUMBER(itens_Remanesc!C58)),"",IF(posicao_contratual!$Y58=1,IF(IFERROR(IF(ISNUMBER(INDEX(aditivos!$O$2:$O$200,MATCH($A58,aditivos!$A$2:$A$200,0))),MIN(INDEX(aditivos!$O$2:$O$200,MATCH($A58,aditivos!$A$2:$A$200,0)),posicao_contratual!$Y58),posicao_contratual!$Y58),posicao_contratual!$Y58)=1,itens_Remanesc!C58,IFERROR(ROUND(itens_Remanesc!C58*INDEX($L$2:$L$6,MIN(1+1,COUNT($L$2:$L$6)))/INDEX($L$2:$L$6,MIN(IFERROR(IF(ISNUMBER(INDEX(aditivos!$O$2:$O$200,MATCH($A58,aditivos!$A$2:$A$200,0))),MIN(INDEX(aditivos!$O$2:$O$200,MATCH($A58,aditivos!$A$2:$A$200,0)),posicao_contratual!$Y58),posicao_contratual!$Y58),posicao_contratual!$Y58)+1,COUNT($L$2:$L$6))),2),"")),IF(OR(NOT(ISNUMBER($L$3)),NOT(ISNUMBER(INDEX($L$2:$L$6,IFERROR(IF(ISNUMBER(INDEX(aditivos!$O$2:$O$200,MATCH($A58,aditivos!$A$2:$A$200,0))),MIN(INDEX(aditivos!$O$2:$O$200,MATCH($A58,aditivos!$A$2:$A$200,0)),posicao_contratual!$Y58),posicao_contratual!$Y58),posicao_contratual!$Y58)+1)))),"",ROUND(itens_Remanesc!C58*$L$3/INDEX($L$2:$L$6,IFERROR(IF(ISNUMBER(INDEX(aditivos!$O$2:$O$200,MATCH($A58,aditivos!$A$2:$A$200,0))),MIN(INDEX(aditivos!$O$2:$O$200,MATCH($A58,aditivos!$A$2:$A$200,0)),posicao_contratual!$Y58),posicao_contratual!$Y58),posicao_contratual!$Y58)+1),2))))))</f>
        <v/>
      </c>
      <c r="E58" s="79" t="str">
        <f>IF(OR($A58="",posicao_contratual!$Y58=""),"",IF(posicao_contratual!$Y58&gt;2,"",IF(NOT(ISNUMBER(itens_Remanesc!C58)),"",IF(posicao_contratual!$Y58=2,IF(IFERROR(IF(ISNUMBER(INDEX(aditivos!$O$2:$O$200,MATCH($A58,aditivos!$A$2:$A$200,0))),MIN(INDEX(aditivos!$O$2:$O$200,MATCH($A58,aditivos!$A$2:$A$200,0)),posicao_contratual!$Y58),posicao_contratual!$Y58),posicao_contratual!$Y58)=2,itens_Remanesc!C58,IFERROR(ROUND(itens_Remanesc!C58*INDEX($L$2:$L$6,MIN(2+1,COUNT($L$2:$L$6)))/INDEX($L$2:$L$6,MIN(IFERROR(IF(ISNUMBER(INDEX(aditivos!$O$2:$O$200,MATCH($A58,aditivos!$A$2:$A$200,0))),MIN(INDEX(aditivos!$O$2:$O$200,MATCH($A58,aditivos!$A$2:$A$200,0)),posicao_contratual!$Y58),posicao_contratual!$Y58),posicao_contratual!$Y58)+1,COUNT($L$2:$L$6))),2),"")),IF(OR(NOT(ISNUMBER($L$4)),NOT(ISNUMBER(INDEX($L$2:$L$6,IFERROR(IF(ISNUMBER(INDEX(aditivos!$O$2:$O$200,MATCH($A58,aditivos!$A$2:$A$200,0))),MIN(INDEX(aditivos!$O$2:$O$200,MATCH($A58,aditivos!$A$2:$A$200,0)),posicao_contratual!$Y58),posicao_contratual!$Y58),posicao_contratual!$Y58)+1)))),"",ROUND(itens_Remanesc!C58*$L$4/INDEX($L$2:$L$6,IFERROR(IF(ISNUMBER(INDEX(aditivos!$O$2:$O$200,MATCH($A58,aditivos!$A$2:$A$200,0))),MIN(INDEX(aditivos!$O$2:$O$200,MATCH($A58,aditivos!$A$2:$A$200,0)),posicao_contratual!$Y58),posicao_contratual!$Y58),posicao_contratual!$Y58)+1),2))))))</f>
        <v/>
      </c>
      <c r="F58" s="79" t="str">
        <f>IF(OR($A58="",posicao_contratual!$Y58=""),"",IF(posicao_contratual!$Y58&gt;3,"",IF(NOT(ISNUMBER(itens_Remanesc!C58)),"",IF(posicao_contratual!$Y58=3,IF(IFERROR(IF(ISNUMBER(INDEX(aditivos!$O$2:$O$200,MATCH($A58,aditivos!$A$2:$A$200,0))),MIN(INDEX(aditivos!$O$2:$O$200,MATCH($A58,aditivos!$A$2:$A$200,0)),posicao_contratual!$Y58),posicao_contratual!$Y58),posicao_contratual!$Y58)=3,itens_Remanesc!C58,IFERROR(ROUND(itens_Remanesc!C58*INDEX($L$2:$L$6,MIN(3+1,COUNT($L$2:$L$6)))/INDEX($L$2:$L$6,MIN(IFERROR(IF(ISNUMBER(INDEX(aditivos!$O$2:$O$200,MATCH($A58,aditivos!$A$2:$A$200,0))),MIN(INDEX(aditivos!$O$2:$O$200,MATCH($A58,aditivos!$A$2:$A$200,0)),posicao_contratual!$Y58),posicao_contratual!$Y58),posicao_contratual!$Y58)+1,COUNT($L$2:$L$6))),2),"")),IF(OR(NOT(ISNUMBER($L$5)),NOT(ISNUMBER(INDEX($L$2:$L$6,IFERROR(IF(ISNUMBER(INDEX(aditivos!$O$2:$O$200,MATCH($A58,aditivos!$A$2:$A$200,0))),MIN(INDEX(aditivos!$O$2:$O$200,MATCH($A58,aditivos!$A$2:$A$200,0)),posicao_contratual!$Y58),posicao_contratual!$Y58),posicao_contratual!$Y58)+1)))),"",ROUND(itens_Remanesc!C58*$L$5/INDEX($L$2:$L$6,IFERROR(IF(ISNUMBER(INDEX(aditivos!$O$2:$O$200,MATCH($A58,aditivos!$A$2:$A$200,0))),MIN(INDEX(aditivos!$O$2:$O$200,MATCH($A58,aditivos!$A$2:$A$200,0)),posicao_contratual!$Y58),posicao_contratual!$Y58),posicao_contratual!$Y58)+1),2))))))</f>
        <v/>
      </c>
      <c r="G58" s="79" t="str">
        <f>IF(OR($A58="",posicao_contratual!$Y58=""),"",IF(posicao_contratual!$Y58&gt;4,"",IF(NOT(ISNUMBER(itens_Remanesc!C58)),"",IF(posicao_contratual!$Y58=4,IF(IFERROR(IF(ISNUMBER(INDEX(aditivos!$O$2:$O$200,MATCH($A58,aditivos!$A$2:$A$200,0))),MIN(INDEX(aditivos!$O$2:$O$200,MATCH($A58,aditivos!$A$2:$A$200,0)),posicao_contratual!$Y58),posicao_contratual!$Y58),posicao_contratual!$Y58)=4,itens_Remanesc!C58,IFERROR(ROUND(itens_Remanesc!C58*INDEX($L$2:$L$6,MIN(4+1,COUNT($L$2:$L$6)))/INDEX($L$2:$L$6,MIN(IFERROR(IF(ISNUMBER(INDEX(aditivos!$O$2:$O$200,MATCH($A58,aditivos!$A$2:$A$200,0))),MIN(INDEX(aditivos!$O$2:$O$200,MATCH($A58,aditivos!$A$2:$A$200,0)),posicao_contratual!$Y58),posicao_contratual!$Y58),posicao_contratual!$Y58)+1,COUNT($L$2:$L$6))),2),"")),IF(OR(NOT(ISNUMBER($L$6)),NOT(ISNUMBER(INDEX($L$2:$L$6,IFERROR(IF(ISNUMBER(INDEX(aditivos!$O$2:$O$200,MATCH($A58,aditivos!$A$2:$A$200,0))),MIN(INDEX(aditivos!$O$2:$O$200,MATCH($A58,aditivos!$A$2:$A$200,0)),posicao_contratual!$Y58),posicao_contratual!$Y58),posicao_contratual!$Y58)+1)))),"",ROUND(itens_Remanesc!C58*$L$6/INDEX($L$2:$L$6,IFERROR(IF(ISNUMBER(INDEX(aditivos!$O$2:$O$200,MATCH($A58,aditivos!$A$2:$A$200,0))),MIN(INDEX(aditivos!$O$2:$O$200,MATCH($A58,aditivos!$A$2:$A$200,0)),posicao_contratual!$Y58),posicao_contratual!$Y58),posicao_contratual!$Y58)+1),2))))))</f>
        <v/>
      </c>
      <c r="H58" s="116" t="str">
        <f t="shared" si="1"/>
        <v/>
      </c>
      <c r="I58" s="14"/>
      <c r="J58" s="14"/>
      <c r="K58" s="14"/>
      <c r="L58" s="14"/>
      <c r="M58" s="14"/>
      <c r="N58" s="147" t="str">
        <f>IF(A58="","",IF(posicao_contratual!$Y58="","",IF(posicao_contratual!$Y58&gt;0,"",posicao_contratual!E58)))</f>
        <v/>
      </c>
      <c r="O58" s="147" t="str">
        <f>IF(A58="","",IF(posicao_contratual!$Y58="","",IF(posicao_contratual!$Y58&gt;1,"",posicao_contratual!I58)))</f>
        <v/>
      </c>
      <c r="P58" s="147" t="str">
        <f>IF(A58="","",IF(posicao_contratual!$Y58="","",IF(posicao_contratual!$Y58&gt;2,"",posicao_contratual!M58)))</f>
        <v/>
      </c>
      <c r="Q58" s="147" t="str">
        <f>IF(A58="","",IF(posicao_contratual!$Y58="","",IF(posicao_contratual!$Y58&gt;3,"",posicao_contratual!Q58)))</f>
        <v/>
      </c>
      <c r="R58" s="147" t="str">
        <f>IF(A58="","",IF(posicao_contratual!$Y58="","",IF(posicao_contratual!$Y58&gt;4,"",posicao_contratual!U58)))</f>
        <v/>
      </c>
      <c r="S58" s="167" t="str">
        <f>IF(A58="","",posicao_contratual!G58)</f>
        <v/>
      </c>
      <c r="T58" s="167" t="str">
        <f>IF(A58="","",posicao_contratual!K58)</f>
        <v/>
      </c>
      <c r="U58" s="167" t="str">
        <f>IF(A58="","",posicao_contratual!O58)</f>
        <v/>
      </c>
      <c r="V58" s="167" t="str">
        <f>IF(A58="","",posicao_contratual!S58)</f>
        <v/>
      </c>
      <c r="W58" s="167" t="str">
        <f>IF(A58="","",posicao_contratual!W58)</f>
        <v/>
      </c>
    </row>
    <row r="59" spans="1:23" x14ac:dyDescent="0.35">
      <c r="A59" s="86" t="str">
        <f>IF(itens_Remanesc!A59="","",itens_Remanesc!A59)</f>
        <v/>
      </c>
      <c r="B59" s="85" t="str">
        <f>IF(A59="","",IF(posicao_contratual!$Y59="","",IF(posicao_contratual!$Y59&gt;0,"",posicao_contratual!G59)))</f>
        <v/>
      </c>
      <c r="C59" s="79" t="str">
        <f>IF(itens_Remanesc!A59="","",IF(posicao_contratual!$Y59="","",IF(posicao_contratual!$Y59&gt;0,"",itens_Remanesc!C59)))</f>
        <v/>
      </c>
      <c r="D59" s="79" t="str">
        <f>IF(OR($A59="",posicao_contratual!$Y59=""),"",IF(posicao_contratual!$Y59&gt;1,"",IF(NOT(ISNUMBER(itens_Remanesc!C59)),"",IF(posicao_contratual!$Y59=1,IF(IFERROR(IF(ISNUMBER(INDEX(aditivos!$O$2:$O$200,MATCH($A59,aditivos!$A$2:$A$200,0))),MIN(INDEX(aditivos!$O$2:$O$200,MATCH($A59,aditivos!$A$2:$A$200,0)),posicao_contratual!$Y59),posicao_contratual!$Y59),posicao_contratual!$Y59)=1,itens_Remanesc!C59,IFERROR(ROUND(itens_Remanesc!C59*INDEX($L$2:$L$6,MIN(1+1,COUNT($L$2:$L$6)))/INDEX($L$2:$L$6,MIN(IFERROR(IF(ISNUMBER(INDEX(aditivos!$O$2:$O$200,MATCH($A59,aditivos!$A$2:$A$200,0))),MIN(INDEX(aditivos!$O$2:$O$200,MATCH($A59,aditivos!$A$2:$A$200,0)),posicao_contratual!$Y59),posicao_contratual!$Y59),posicao_contratual!$Y59)+1,COUNT($L$2:$L$6))),2),"")),IF(OR(NOT(ISNUMBER($L$3)),NOT(ISNUMBER(INDEX($L$2:$L$6,IFERROR(IF(ISNUMBER(INDEX(aditivos!$O$2:$O$200,MATCH($A59,aditivos!$A$2:$A$200,0))),MIN(INDEX(aditivos!$O$2:$O$200,MATCH($A59,aditivos!$A$2:$A$200,0)),posicao_contratual!$Y59),posicao_contratual!$Y59),posicao_contratual!$Y59)+1)))),"",ROUND(itens_Remanesc!C59*$L$3/INDEX($L$2:$L$6,IFERROR(IF(ISNUMBER(INDEX(aditivos!$O$2:$O$200,MATCH($A59,aditivos!$A$2:$A$200,0))),MIN(INDEX(aditivos!$O$2:$O$200,MATCH($A59,aditivos!$A$2:$A$200,0)),posicao_contratual!$Y59),posicao_contratual!$Y59),posicao_contratual!$Y59)+1),2))))))</f>
        <v/>
      </c>
      <c r="E59" s="79" t="str">
        <f>IF(OR($A59="",posicao_contratual!$Y59=""),"",IF(posicao_contratual!$Y59&gt;2,"",IF(NOT(ISNUMBER(itens_Remanesc!C59)),"",IF(posicao_contratual!$Y59=2,IF(IFERROR(IF(ISNUMBER(INDEX(aditivos!$O$2:$O$200,MATCH($A59,aditivos!$A$2:$A$200,0))),MIN(INDEX(aditivos!$O$2:$O$200,MATCH($A59,aditivos!$A$2:$A$200,0)),posicao_contratual!$Y59),posicao_contratual!$Y59),posicao_contratual!$Y59)=2,itens_Remanesc!C59,IFERROR(ROUND(itens_Remanesc!C59*INDEX($L$2:$L$6,MIN(2+1,COUNT($L$2:$L$6)))/INDEX($L$2:$L$6,MIN(IFERROR(IF(ISNUMBER(INDEX(aditivos!$O$2:$O$200,MATCH($A59,aditivos!$A$2:$A$200,0))),MIN(INDEX(aditivos!$O$2:$O$200,MATCH($A59,aditivos!$A$2:$A$200,0)),posicao_contratual!$Y59),posicao_contratual!$Y59),posicao_contratual!$Y59)+1,COUNT($L$2:$L$6))),2),"")),IF(OR(NOT(ISNUMBER($L$4)),NOT(ISNUMBER(INDEX($L$2:$L$6,IFERROR(IF(ISNUMBER(INDEX(aditivos!$O$2:$O$200,MATCH($A59,aditivos!$A$2:$A$200,0))),MIN(INDEX(aditivos!$O$2:$O$200,MATCH($A59,aditivos!$A$2:$A$200,0)),posicao_contratual!$Y59),posicao_contratual!$Y59),posicao_contratual!$Y59)+1)))),"",ROUND(itens_Remanesc!C59*$L$4/INDEX($L$2:$L$6,IFERROR(IF(ISNUMBER(INDEX(aditivos!$O$2:$O$200,MATCH($A59,aditivos!$A$2:$A$200,0))),MIN(INDEX(aditivos!$O$2:$O$200,MATCH($A59,aditivos!$A$2:$A$200,0)),posicao_contratual!$Y59),posicao_contratual!$Y59),posicao_contratual!$Y59)+1),2))))))</f>
        <v/>
      </c>
      <c r="F59" s="79" t="str">
        <f>IF(OR($A59="",posicao_contratual!$Y59=""),"",IF(posicao_contratual!$Y59&gt;3,"",IF(NOT(ISNUMBER(itens_Remanesc!C59)),"",IF(posicao_contratual!$Y59=3,IF(IFERROR(IF(ISNUMBER(INDEX(aditivos!$O$2:$O$200,MATCH($A59,aditivos!$A$2:$A$200,0))),MIN(INDEX(aditivos!$O$2:$O$200,MATCH($A59,aditivos!$A$2:$A$200,0)),posicao_contratual!$Y59),posicao_contratual!$Y59),posicao_contratual!$Y59)=3,itens_Remanesc!C59,IFERROR(ROUND(itens_Remanesc!C59*INDEX($L$2:$L$6,MIN(3+1,COUNT($L$2:$L$6)))/INDEX($L$2:$L$6,MIN(IFERROR(IF(ISNUMBER(INDEX(aditivos!$O$2:$O$200,MATCH($A59,aditivos!$A$2:$A$200,0))),MIN(INDEX(aditivos!$O$2:$O$200,MATCH($A59,aditivos!$A$2:$A$200,0)),posicao_contratual!$Y59),posicao_contratual!$Y59),posicao_contratual!$Y59)+1,COUNT($L$2:$L$6))),2),"")),IF(OR(NOT(ISNUMBER($L$5)),NOT(ISNUMBER(INDEX($L$2:$L$6,IFERROR(IF(ISNUMBER(INDEX(aditivos!$O$2:$O$200,MATCH($A59,aditivos!$A$2:$A$200,0))),MIN(INDEX(aditivos!$O$2:$O$200,MATCH($A59,aditivos!$A$2:$A$200,0)),posicao_contratual!$Y59),posicao_contratual!$Y59),posicao_contratual!$Y59)+1)))),"",ROUND(itens_Remanesc!C59*$L$5/INDEX($L$2:$L$6,IFERROR(IF(ISNUMBER(INDEX(aditivos!$O$2:$O$200,MATCH($A59,aditivos!$A$2:$A$200,0))),MIN(INDEX(aditivos!$O$2:$O$200,MATCH($A59,aditivos!$A$2:$A$200,0)),posicao_contratual!$Y59),posicao_contratual!$Y59),posicao_contratual!$Y59)+1),2))))))</f>
        <v/>
      </c>
      <c r="G59" s="79" t="str">
        <f>IF(OR($A59="",posicao_contratual!$Y59=""),"",IF(posicao_contratual!$Y59&gt;4,"",IF(NOT(ISNUMBER(itens_Remanesc!C59)),"",IF(posicao_contratual!$Y59=4,IF(IFERROR(IF(ISNUMBER(INDEX(aditivos!$O$2:$O$200,MATCH($A59,aditivos!$A$2:$A$200,0))),MIN(INDEX(aditivos!$O$2:$O$200,MATCH($A59,aditivos!$A$2:$A$200,0)),posicao_contratual!$Y59),posicao_contratual!$Y59),posicao_contratual!$Y59)=4,itens_Remanesc!C59,IFERROR(ROUND(itens_Remanesc!C59*INDEX($L$2:$L$6,MIN(4+1,COUNT($L$2:$L$6)))/INDEX($L$2:$L$6,MIN(IFERROR(IF(ISNUMBER(INDEX(aditivos!$O$2:$O$200,MATCH($A59,aditivos!$A$2:$A$200,0))),MIN(INDEX(aditivos!$O$2:$O$200,MATCH($A59,aditivos!$A$2:$A$200,0)),posicao_contratual!$Y59),posicao_contratual!$Y59),posicao_contratual!$Y59)+1,COUNT($L$2:$L$6))),2),"")),IF(OR(NOT(ISNUMBER($L$6)),NOT(ISNUMBER(INDEX($L$2:$L$6,IFERROR(IF(ISNUMBER(INDEX(aditivos!$O$2:$O$200,MATCH($A59,aditivos!$A$2:$A$200,0))),MIN(INDEX(aditivos!$O$2:$O$200,MATCH($A59,aditivos!$A$2:$A$200,0)),posicao_contratual!$Y59),posicao_contratual!$Y59),posicao_contratual!$Y59)+1)))),"",ROUND(itens_Remanesc!C59*$L$6/INDEX($L$2:$L$6,IFERROR(IF(ISNUMBER(INDEX(aditivos!$O$2:$O$200,MATCH($A59,aditivos!$A$2:$A$200,0))),MIN(INDEX(aditivos!$O$2:$O$200,MATCH($A59,aditivos!$A$2:$A$200,0)),posicao_contratual!$Y59),posicao_contratual!$Y59),posicao_contratual!$Y59)+1),2))))))</f>
        <v/>
      </c>
      <c r="H59" s="116" t="str">
        <f t="shared" si="1"/>
        <v/>
      </c>
      <c r="I59" s="14"/>
      <c r="J59" s="14"/>
      <c r="K59" s="14"/>
      <c r="L59" s="14"/>
      <c r="M59" s="14"/>
      <c r="N59" s="147" t="str">
        <f>IF(A59="","",IF(posicao_contratual!$Y59="","",IF(posicao_contratual!$Y59&gt;0,"",posicao_contratual!E59)))</f>
        <v/>
      </c>
      <c r="O59" s="147" t="str">
        <f>IF(A59="","",IF(posicao_contratual!$Y59="","",IF(posicao_contratual!$Y59&gt;1,"",posicao_contratual!I59)))</f>
        <v/>
      </c>
      <c r="P59" s="147" t="str">
        <f>IF(A59="","",IF(posicao_contratual!$Y59="","",IF(posicao_contratual!$Y59&gt;2,"",posicao_contratual!M59)))</f>
        <v/>
      </c>
      <c r="Q59" s="147" t="str">
        <f>IF(A59="","",IF(posicao_contratual!$Y59="","",IF(posicao_contratual!$Y59&gt;3,"",posicao_contratual!Q59)))</f>
        <v/>
      </c>
      <c r="R59" s="147" t="str">
        <f>IF(A59="","",IF(posicao_contratual!$Y59="","",IF(posicao_contratual!$Y59&gt;4,"",posicao_contratual!U59)))</f>
        <v/>
      </c>
      <c r="S59" s="167" t="str">
        <f>IF(A59="","",posicao_contratual!G59)</f>
        <v/>
      </c>
      <c r="T59" s="167" t="str">
        <f>IF(A59="","",posicao_contratual!K59)</f>
        <v/>
      </c>
      <c r="U59" s="167" t="str">
        <f>IF(A59="","",posicao_contratual!O59)</f>
        <v/>
      </c>
      <c r="V59" s="167" t="str">
        <f>IF(A59="","",posicao_contratual!S59)</f>
        <v/>
      </c>
      <c r="W59" s="167" t="str">
        <f>IF(A59="","",posicao_contratual!W59)</f>
        <v/>
      </c>
    </row>
    <row r="60" spans="1:23" x14ac:dyDescent="0.35">
      <c r="A60" s="86" t="str">
        <f>IF(itens_Remanesc!A60="","",itens_Remanesc!A60)</f>
        <v/>
      </c>
      <c r="B60" s="85" t="str">
        <f>IF(A60="","",IF(posicao_contratual!$Y60="","",IF(posicao_contratual!$Y60&gt;0,"",posicao_contratual!G60)))</f>
        <v/>
      </c>
      <c r="C60" s="79" t="str">
        <f>IF(itens_Remanesc!A60="","",IF(posicao_contratual!$Y60="","",IF(posicao_contratual!$Y60&gt;0,"",itens_Remanesc!C60)))</f>
        <v/>
      </c>
      <c r="D60" s="79" t="str">
        <f>IF(OR($A60="",posicao_contratual!$Y60=""),"",IF(posicao_contratual!$Y60&gt;1,"",IF(NOT(ISNUMBER(itens_Remanesc!C60)),"",IF(posicao_contratual!$Y60=1,IF(IFERROR(IF(ISNUMBER(INDEX(aditivos!$O$2:$O$200,MATCH($A60,aditivos!$A$2:$A$200,0))),MIN(INDEX(aditivos!$O$2:$O$200,MATCH($A60,aditivos!$A$2:$A$200,0)),posicao_contratual!$Y60),posicao_contratual!$Y60),posicao_contratual!$Y60)=1,itens_Remanesc!C60,IFERROR(ROUND(itens_Remanesc!C60*INDEX($L$2:$L$6,MIN(1+1,COUNT($L$2:$L$6)))/INDEX($L$2:$L$6,MIN(IFERROR(IF(ISNUMBER(INDEX(aditivos!$O$2:$O$200,MATCH($A60,aditivos!$A$2:$A$200,0))),MIN(INDEX(aditivos!$O$2:$O$200,MATCH($A60,aditivos!$A$2:$A$200,0)),posicao_contratual!$Y60),posicao_contratual!$Y60),posicao_contratual!$Y60)+1,COUNT($L$2:$L$6))),2),"")),IF(OR(NOT(ISNUMBER($L$3)),NOT(ISNUMBER(INDEX($L$2:$L$6,IFERROR(IF(ISNUMBER(INDEX(aditivos!$O$2:$O$200,MATCH($A60,aditivos!$A$2:$A$200,0))),MIN(INDEX(aditivos!$O$2:$O$200,MATCH($A60,aditivos!$A$2:$A$200,0)),posicao_contratual!$Y60),posicao_contratual!$Y60),posicao_contratual!$Y60)+1)))),"",ROUND(itens_Remanesc!C60*$L$3/INDEX($L$2:$L$6,IFERROR(IF(ISNUMBER(INDEX(aditivos!$O$2:$O$200,MATCH($A60,aditivos!$A$2:$A$200,0))),MIN(INDEX(aditivos!$O$2:$O$200,MATCH($A60,aditivos!$A$2:$A$200,0)),posicao_contratual!$Y60),posicao_contratual!$Y60),posicao_contratual!$Y60)+1),2))))))</f>
        <v/>
      </c>
      <c r="E60" s="79" t="str">
        <f>IF(OR($A60="",posicao_contratual!$Y60=""),"",IF(posicao_contratual!$Y60&gt;2,"",IF(NOT(ISNUMBER(itens_Remanesc!C60)),"",IF(posicao_contratual!$Y60=2,IF(IFERROR(IF(ISNUMBER(INDEX(aditivos!$O$2:$O$200,MATCH($A60,aditivos!$A$2:$A$200,0))),MIN(INDEX(aditivos!$O$2:$O$200,MATCH($A60,aditivos!$A$2:$A$200,0)),posicao_contratual!$Y60),posicao_contratual!$Y60),posicao_contratual!$Y60)=2,itens_Remanesc!C60,IFERROR(ROUND(itens_Remanesc!C60*INDEX($L$2:$L$6,MIN(2+1,COUNT($L$2:$L$6)))/INDEX($L$2:$L$6,MIN(IFERROR(IF(ISNUMBER(INDEX(aditivos!$O$2:$O$200,MATCH($A60,aditivos!$A$2:$A$200,0))),MIN(INDEX(aditivos!$O$2:$O$200,MATCH($A60,aditivos!$A$2:$A$200,0)),posicao_contratual!$Y60),posicao_contratual!$Y60),posicao_contratual!$Y60)+1,COUNT($L$2:$L$6))),2),"")),IF(OR(NOT(ISNUMBER($L$4)),NOT(ISNUMBER(INDEX($L$2:$L$6,IFERROR(IF(ISNUMBER(INDEX(aditivos!$O$2:$O$200,MATCH($A60,aditivos!$A$2:$A$200,0))),MIN(INDEX(aditivos!$O$2:$O$200,MATCH($A60,aditivos!$A$2:$A$200,0)),posicao_contratual!$Y60),posicao_contratual!$Y60),posicao_contratual!$Y60)+1)))),"",ROUND(itens_Remanesc!C60*$L$4/INDEX($L$2:$L$6,IFERROR(IF(ISNUMBER(INDEX(aditivos!$O$2:$O$200,MATCH($A60,aditivos!$A$2:$A$200,0))),MIN(INDEX(aditivos!$O$2:$O$200,MATCH($A60,aditivos!$A$2:$A$200,0)),posicao_contratual!$Y60),posicao_contratual!$Y60),posicao_contratual!$Y60)+1),2))))))</f>
        <v/>
      </c>
      <c r="F60" s="79" t="str">
        <f>IF(OR($A60="",posicao_contratual!$Y60=""),"",IF(posicao_contratual!$Y60&gt;3,"",IF(NOT(ISNUMBER(itens_Remanesc!C60)),"",IF(posicao_contratual!$Y60=3,IF(IFERROR(IF(ISNUMBER(INDEX(aditivos!$O$2:$O$200,MATCH($A60,aditivos!$A$2:$A$200,0))),MIN(INDEX(aditivos!$O$2:$O$200,MATCH($A60,aditivos!$A$2:$A$200,0)),posicao_contratual!$Y60),posicao_contratual!$Y60),posicao_contratual!$Y60)=3,itens_Remanesc!C60,IFERROR(ROUND(itens_Remanesc!C60*INDEX($L$2:$L$6,MIN(3+1,COUNT($L$2:$L$6)))/INDEX($L$2:$L$6,MIN(IFERROR(IF(ISNUMBER(INDEX(aditivos!$O$2:$O$200,MATCH($A60,aditivos!$A$2:$A$200,0))),MIN(INDEX(aditivos!$O$2:$O$200,MATCH($A60,aditivos!$A$2:$A$200,0)),posicao_contratual!$Y60),posicao_contratual!$Y60),posicao_contratual!$Y60)+1,COUNT($L$2:$L$6))),2),"")),IF(OR(NOT(ISNUMBER($L$5)),NOT(ISNUMBER(INDEX($L$2:$L$6,IFERROR(IF(ISNUMBER(INDEX(aditivos!$O$2:$O$200,MATCH($A60,aditivos!$A$2:$A$200,0))),MIN(INDEX(aditivos!$O$2:$O$200,MATCH($A60,aditivos!$A$2:$A$200,0)),posicao_contratual!$Y60),posicao_contratual!$Y60),posicao_contratual!$Y60)+1)))),"",ROUND(itens_Remanesc!C60*$L$5/INDEX($L$2:$L$6,IFERROR(IF(ISNUMBER(INDEX(aditivos!$O$2:$O$200,MATCH($A60,aditivos!$A$2:$A$200,0))),MIN(INDEX(aditivos!$O$2:$O$200,MATCH($A60,aditivos!$A$2:$A$200,0)),posicao_contratual!$Y60),posicao_contratual!$Y60),posicao_contratual!$Y60)+1),2))))))</f>
        <v/>
      </c>
      <c r="G60" s="79" t="str">
        <f>IF(OR($A60="",posicao_contratual!$Y60=""),"",IF(posicao_contratual!$Y60&gt;4,"",IF(NOT(ISNUMBER(itens_Remanesc!C60)),"",IF(posicao_contratual!$Y60=4,IF(IFERROR(IF(ISNUMBER(INDEX(aditivos!$O$2:$O$200,MATCH($A60,aditivos!$A$2:$A$200,0))),MIN(INDEX(aditivos!$O$2:$O$200,MATCH($A60,aditivos!$A$2:$A$200,0)),posicao_contratual!$Y60),posicao_contratual!$Y60),posicao_contratual!$Y60)=4,itens_Remanesc!C60,IFERROR(ROUND(itens_Remanesc!C60*INDEX($L$2:$L$6,MIN(4+1,COUNT($L$2:$L$6)))/INDEX($L$2:$L$6,MIN(IFERROR(IF(ISNUMBER(INDEX(aditivos!$O$2:$O$200,MATCH($A60,aditivos!$A$2:$A$200,0))),MIN(INDEX(aditivos!$O$2:$O$200,MATCH($A60,aditivos!$A$2:$A$200,0)),posicao_contratual!$Y60),posicao_contratual!$Y60),posicao_contratual!$Y60)+1,COUNT($L$2:$L$6))),2),"")),IF(OR(NOT(ISNUMBER($L$6)),NOT(ISNUMBER(INDEX($L$2:$L$6,IFERROR(IF(ISNUMBER(INDEX(aditivos!$O$2:$O$200,MATCH($A60,aditivos!$A$2:$A$200,0))),MIN(INDEX(aditivos!$O$2:$O$200,MATCH($A60,aditivos!$A$2:$A$200,0)),posicao_contratual!$Y60),posicao_contratual!$Y60),posicao_contratual!$Y60)+1)))),"",ROUND(itens_Remanesc!C60*$L$6/INDEX($L$2:$L$6,IFERROR(IF(ISNUMBER(INDEX(aditivos!$O$2:$O$200,MATCH($A60,aditivos!$A$2:$A$200,0))),MIN(INDEX(aditivos!$O$2:$O$200,MATCH($A60,aditivos!$A$2:$A$200,0)),posicao_contratual!$Y60),posicao_contratual!$Y60),posicao_contratual!$Y60)+1),2))))))</f>
        <v/>
      </c>
      <c r="H60" s="116" t="str">
        <f t="shared" si="1"/>
        <v/>
      </c>
      <c r="I60" s="14"/>
      <c r="J60" s="14"/>
      <c r="K60" s="14"/>
      <c r="L60" s="14"/>
      <c r="M60" s="14"/>
      <c r="N60" s="147" t="str">
        <f>IF(A60="","",IF(posicao_contratual!$Y60="","",IF(posicao_contratual!$Y60&gt;0,"",posicao_contratual!E60)))</f>
        <v/>
      </c>
      <c r="O60" s="147" t="str">
        <f>IF(A60="","",IF(posicao_contratual!$Y60="","",IF(posicao_contratual!$Y60&gt;1,"",posicao_contratual!I60)))</f>
        <v/>
      </c>
      <c r="P60" s="147" t="str">
        <f>IF(A60="","",IF(posicao_contratual!$Y60="","",IF(posicao_contratual!$Y60&gt;2,"",posicao_contratual!M60)))</f>
        <v/>
      </c>
      <c r="Q60" s="147" t="str">
        <f>IF(A60="","",IF(posicao_contratual!$Y60="","",IF(posicao_contratual!$Y60&gt;3,"",posicao_contratual!Q60)))</f>
        <v/>
      </c>
      <c r="R60" s="147" t="str">
        <f>IF(A60="","",IF(posicao_contratual!$Y60="","",IF(posicao_contratual!$Y60&gt;4,"",posicao_contratual!U60)))</f>
        <v/>
      </c>
      <c r="S60" s="167" t="str">
        <f>IF(A60="","",posicao_contratual!G60)</f>
        <v/>
      </c>
      <c r="T60" s="167" t="str">
        <f>IF(A60="","",posicao_contratual!K60)</f>
        <v/>
      </c>
      <c r="U60" s="167" t="str">
        <f>IF(A60="","",posicao_contratual!O60)</f>
        <v/>
      </c>
      <c r="V60" s="167" t="str">
        <f>IF(A60="","",posicao_contratual!S60)</f>
        <v/>
      </c>
      <c r="W60" s="167" t="str">
        <f>IF(A60="","",posicao_contratual!W60)</f>
        <v/>
      </c>
    </row>
    <row r="61" spans="1:23" x14ac:dyDescent="0.35">
      <c r="A61" s="86" t="str">
        <f>IF(itens_Remanesc!A61="","",itens_Remanesc!A61)</f>
        <v/>
      </c>
      <c r="B61" s="85" t="str">
        <f>IF(A61="","",IF(posicao_contratual!$Y61="","",IF(posicao_contratual!$Y61&gt;0,"",posicao_contratual!G61)))</f>
        <v/>
      </c>
      <c r="C61" s="79" t="str">
        <f>IF(itens_Remanesc!A61="","",IF(posicao_contratual!$Y61="","",IF(posicao_contratual!$Y61&gt;0,"",itens_Remanesc!C61)))</f>
        <v/>
      </c>
      <c r="D61" s="79" t="str">
        <f>IF(OR($A61="",posicao_contratual!$Y61=""),"",IF(posicao_contratual!$Y61&gt;1,"",IF(NOT(ISNUMBER(itens_Remanesc!C61)),"",IF(posicao_contratual!$Y61=1,IF(IFERROR(IF(ISNUMBER(INDEX(aditivos!$O$2:$O$200,MATCH($A61,aditivos!$A$2:$A$200,0))),MIN(INDEX(aditivos!$O$2:$O$200,MATCH($A61,aditivos!$A$2:$A$200,0)),posicao_contratual!$Y61),posicao_contratual!$Y61),posicao_contratual!$Y61)=1,itens_Remanesc!C61,IFERROR(ROUND(itens_Remanesc!C61*INDEX($L$2:$L$6,MIN(1+1,COUNT($L$2:$L$6)))/INDEX($L$2:$L$6,MIN(IFERROR(IF(ISNUMBER(INDEX(aditivos!$O$2:$O$200,MATCH($A61,aditivos!$A$2:$A$200,0))),MIN(INDEX(aditivos!$O$2:$O$200,MATCH($A61,aditivos!$A$2:$A$200,0)),posicao_contratual!$Y61),posicao_contratual!$Y61),posicao_contratual!$Y61)+1,COUNT($L$2:$L$6))),2),"")),IF(OR(NOT(ISNUMBER($L$3)),NOT(ISNUMBER(INDEX($L$2:$L$6,IFERROR(IF(ISNUMBER(INDEX(aditivos!$O$2:$O$200,MATCH($A61,aditivos!$A$2:$A$200,0))),MIN(INDEX(aditivos!$O$2:$O$200,MATCH($A61,aditivos!$A$2:$A$200,0)),posicao_contratual!$Y61),posicao_contratual!$Y61),posicao_contratual!$Y61)+1)))),"",ROUND(itens_Remanesc!C61*$L$3/INDEX($L$2:$L$6,IFERROR(IF(ISNUMBER(INDEX(aditivos!$O$2:$O$200,MATCH($A61,aditivos!$A$2:$A$200,0))),MIN(INDEX(aditivos!$O$2:$O$200,MATCH($A61,aditivos!$A$2:$A$200,0)),posicao_contratual!$Y61),posicao_contratual!$Y61),posicao_contratual!$Y61)+1),2))))))</f>
        <v/>
      </c>
      <c r="E61" s="79" t="str">
        <f>IF(OR($A61="",posicao_contratual!$Y61=""),"",IF(posicao_contratual!$Y61&gt;2,"",IF(NOT(ISNUMBER(itens_Remanesc!C61)),"",IF(posicao_contratual!$Y61=2,IF(IFERROR(IF(ISNUMBER(INDEX(aditivos!$O$2:$O$200,MATCH($A61,aditivos!$A$2:$A$200,0))),MIN(INDEX(aditivos!$O$2:$O$200,MATCH($A61,aditivos!$A$2:$A$200,0)),posicao_contratual!$Y61),posicao_contratual!$Y61),posicao_contratual!$Y61)=2,itens_Remanesc!C61,IFERROR(ROUND(itens_Remanesc!C61*INDEX($L$2:$L$6,MIN(2+1,COUNT($L$2:$L$6)))/INDEX($L$2:$L$6,MIN(IFERROR(IF(ISNUMBER(INDEX(aditivos!$O$2:$O$200,MATCH($A61,aditivos!$A$2:$A$200,0))),MIN(INDEX(aditivos!$O$2:$O$200,MATCH($A61,aditivos!$A$2:$A$200,0)),posicao_contratual!$Y61),posicao_contratual!$Y61),posicao_contratual!$Y61)+1,COUNT($L$2:$L$6))),2),"")),IF(OR(NOT(ISNUMBER($L$4)),NOT(ISNUMBER(INDEX($L$2:$L$6,IFERROR(IF(ISNUMBER(INDEX(aditivos!$O$2:$O$200,MATCH($A61,aditivos!$A$2:$A$200,0))),MIN(INDEX(aditivos!$O$2:$O$200,MATCH($A61,aditivos!$A$2:$A$200,0)),posicao_contratual!$Y61),posicao_contratual!$Y61),posicao_contratual!$Y61)+1)))),"",ROUND(itens_Remanesc!C61*$L$4/INDEX($L$2:$L$6,IFERROR(IF(ISNUMBER(INDEX(aditivos!$O$2:$O$200,MATCH($A61,aditivos!$A$2:$A$200,0))),MIN(INDEX(aditivos!$O$2:$O$200,MATCH($A61,aditivos!$A$2:$A$200,0)),posicao_contratual!$Y61),posicao_contratual!$Y61),posicao_contratual!$Y61)+1),2))))))</f>
        <v/>
      </c>
      <c r="F61" s="79" t="str">
        <f>IF(OR($A61="",posicao_contratual!$Y61=""),"",IF(posicao_contratual!$Y61&gt;3,"",IF(NOT(ISNUMBER(itens_Remanesc!C61)),"",IF(posicao_contratual!$Y61=3,IF(IFERROR(IF(ISNUMBER(INDEX(aditivos!$O$2:$O$200,MATCH($A61,aditivos!$A$2:$A$200,0))),MIN(INDEX(aditivos!$O$2:$O$200,MATCH($A61,aditivos!$A$2:$A$200,0)),posicao_contratual!$Y61),posicao_contratual!$Y61),posicao_contratual!$Y61)=3,itens_Remanesc!C61,IFERROR(ROUND(itens_Remanesc!C61*INDEX($L$2:$L$6,MIN(3+1,COUNT($L$2:$L$6)))/INDEX($L$2:$L$6,MIN(IFERROR(IF(ISNUMBER(INDEX(aditivos!$O$2:$O$200,MATCH($A61,aditivos!$A$2:$A$200,0))),MIN(INDEX(aditivos!$O$2:$O$200,MATCH($A61,aditivos!$A$2:$A$200,0)),posicao_contratual!$Y61),posicao_contratual!$Y61),posicao_contratual!$Y61)+1,COUNT($L$2:$L$6))),2),"")),IF(OR(NOT(ISNUMBER($L$5)),NOT(ISNUMBER(INDEX($L$2:$L$6,IFERROR(IF(ISNUMBER(INDEX(aditivos!$O$2:$O$200,MATCH($A61,aditivos!$A$2:$A$200,0))),MIN(INDEX(aditivos!$O$2:$O$200,MATCH($A61,aditivos!$A$2:$A$200,0)),posicao_contratual!$Y61),posicao_contratual!$Y61),posicao_contratual!$Y61)+1)))),"",ROUND(itens_Remanesc!C61*$L$5/INDEX($L$2:$L$6,IFERROR(IF(ISNUMBER(INDEX(aditivos!$O$2:$O$200,MATCH($A61,aditivos!$A$2:$A$200,0))),MIN(INDEX(aditivos!$O$2:$O$200,MATCH($A61,aditivos!$A$2:$A$200,0)),posicao_contratual!$Y61),posicao_contratual!$Y61),posicao_contratual!$Y61)+1),2))))))</f>
        <v/>
      </c>
      <c r="G61" s="79" t="str">
        <f>IF(OR($A61="",posicao_contratual!$Y61=""),"",IF(posicao_contratual!$Y61&gt;4,"",IF(NOT(ISNUMBER(itens_Remanesc!C61)),"",IF(posicao_contratual!$Y61=4,IF(IFERROR(IF(ISNUMBER(INDEX(aditivos!$O$2:$O$200,MATCH($A61,aditivos!$A$2:$A$200,0))),MIN(INDEX(aditivos!$O$2:$O$200,MATCH($A61,aditivos!$A$2:$A$200,0)),posicao_contratual!$Y61),posicao_contratual!$Y61),posicao_contratual!$Y61)=4,itens_Remanesc!C61,IFERROR(ROUND(itens_Remanesc!C61*INDEX($L$2:$L$6,MIN(4+1,COUNT($L$2:$L$6)))/INDEX($L$2:$L$6,MIN(IFERROR(IF(ISNUMBER(INDEX(aditivos!$O$2:$O$200,MATCH($A61,aditivos!$A$2:$A$200,0))),MIN(INDEX(aditivos!$O$2:$O$200,MATCH($A61,aditivos!$A$2:$A$200,0)),posicao_contratual!$Y61),posicao_contratual!$Y61),posicao_contratual!$Y61)+1,COUNT($L$2:$L$6))),2),"")),IF(OR(NOT(ISNUMBER($L$6)),NOT(ISNUMBER(INDEX($L$2:$L$6,IFERROR(IF(ISNUMBER(INDEX(aditivos!$O$2:$O$200,MATCH($A61,aditivos!$A$2:$A$200,0))),MIN(INDEX(aditivos!$O$2:$O$200,MATCH($A61,aditivos!$A$2:$A$200,0)),posicao_contratual!$Y61),posicao_contratual!$Y61),posicao_contratual!$Y61)+1)))),"",ROUND(itens_Remanesc!C61*$L$6/INDEX($L$2:$L$6,IFERROR(IF(ISNUMBER(INDEX(aditivos!$O$2:$O$200,MATCH($A61,aditivos!$A$2:$A$200,0))),MIN(INDEX(aditivos!$O$2:$O$200,MATCH($A61,aditivos!$A$2:$A$200,0)),posicao_contratual!$Y61),posicao_contratual!$Y61),posicao_contratual!$Y61)+1),2))))))</f>
        <v/>
      </c>
      <c r="H61" s="116" t="str">
        <f t="shared" si="1"/>
        <v/>
      </c>
      <c r="I61" s="14"/>
      <c r="J61" s="14"/>
      <c r="K61" s="14"/>
      <c r="L61" s="14"/>
      <c r="M61" s="14"/>
      <c r="N61" s="147" t="str">
        <f>IF(A61="","",IF(posicao_contratual!$Y61="","",IF(posicao_contratual!$Y61&gt;0,"",posicao_contratual!E61)))</f>
        <v/>
      </c>
      <c r="O61" s="147" t="str">
        <f>IF(A61="","",IF(posicao_contratual!$Y61="","",IF(posicao_contratual!$Y61&gt;1,"",posicao_contratual!I61)))</f>
        <v/>
      </c>
      <c r="P61" s="147" t="str">
        <f>IF(A61="","",IF(posicao_contratual!$Y61="","",IF(posicao_contratual!$Y61&gt;2,"",posicao_contratual!M61)))</f>
        <v/>
      </c>
      <c r="Q61" s="147" t="str">
        <f>IF(A61="","",IF(posicao_contratual!$Y61="","",IF(posicao_contratual!$Y61&gt;3,"",posicao_contratual!Q61)))</f>
        <v/>
      </c>
      <c r="R61" s="147" t="str">
        <f>IF(A61="","",IF(posicao_contratual!$Y61="","",IF(posicao_contratual!$Y61&gt;4,"",posicao_contratual!U61)))</f>
        <v/>
      </c>
      <c r="S61" s="167" t="str">
        <f>IF(A61="","",posicao_contratual!G61)</f>
        <v/>
      </c>
      <c r="T61" s="167" t="str">
        <f>IF(A61="","",posicao_contratual!K61)</f>
        <v/>
      </c>
      <c r="U61" s="167" t="str">
        <f>IF(A61="","",posicao_contratual!O61)</f>
        <v/>
      </c>
      <c r="V61" s="167" t="str">
        <f>IF(A61="","",posicao_contratual!S61)</f>
        <v/>
      </c>
      <c r="W61" s="167" t="str">
        <f>IF(A61="","",posicao_contratual!W61)</f>
        <v/>
      </c>
    </row>
    <row r="62" spans="1:23" x14ac:dyDescent="0.35">
      <c r="A62" s="86" t="str">
        <f>IF(itens_Remanesc!A62="","",itens_Remanesc!A62)</f>
        <v/>
      </c>
      <c r="B62" s="85" t="str">
        <f>IF(A62="","",IF(posicao_contratual!$Y62="","",IF(posicao_contratual!$Y62&gt;0,"",posicao_contratual!G62)))</f>
        <v/>
      </c>
      <c r="C62" s="79" t="str">
        <f>IF(itens_Remanesc!A62="","",IF(posicao_contratual!$Y62="","",IF(posicao_contratual!$Y62&gt;0,"",itens_Remanesc!C62)))</f>
        <v/>
      </c>
      <c r="D62" s="79" t="str">
        <f>IF(OR($A62="",posicao_contratual!$Y62=""),"",IF(posicao_contratual!$Y62&gt;1,"",IF(NOT(ISNUMBER(itens_Remanesc!C62)),"",IF(posicao_contratual!$Y62=1,IF(IFERROR(IF(ISNUMBER(INDEX(aditivos!$O$2:$O$200,MATCH($A62,aditivos!$A$2:$A$200,0))),MIN(INDEX(aditivos!$O$2:$O$200,MATCH($A62,aditivos!$A$2:$A$200,0)),posicao_contratual!$Y62),posicao_contratual!$Y62),posicao_contratual!$Y62)=1,itens_Remanesc!C62,IFERROR(ROUND(itens_Remanesc!C62*INDEX($L$2:$L$6,MIN(1+1,COUNT($L$2:$L$6)))/INDEX($L$2:$L$6,MIN(IFERROR(IF(ISNUMBER(INDEX(aditivos!$O$2:$O$200,MATCH($A62,aditivos!$A$2:$A$200,0))),MIN(INDEX(aditivos!$O$2:$O$200,MATCH($A62,aditivos!$A$2:$A$200,0)),posicao_contratual!$Y62),posicao_contratual!$Y62),posicao_contratual!$Y62)+1,COUNT($L$2:$L$6))),2),"")),IF(OR(NOT(ISNUMBER($L$3)),NOT(ISNUMBER(INDEX($L$2:$L$6,IFERROR(IF(ISNUMBER(INDEX(aditivos!$O$2:$O$200,MATCH($A62,aditivos!$A$2:$A$200,0))),MIN(INDEX(aditivos!$O$2:$O$200,MATCH($A62,aditivos!$A$2:$A$200,0)),posicao_contratual!$Y62),posicao_contratual!$Y62),posicao_contratual!$Y62)+1)))),"",ROUND(itens_Remanesc!C62*$L$3/INDEX($L$2:$L$6,IFERROR(IF(ISNUMBER(INDEX(aditivos!$O$2:$O$200,MATCH($A62,aditivos!$A$2:$A$200,0))),MIN(INDEX(aditivos!$O$2:$O$200,MATCH($A62,aditivos!$A$2:$A$200,0)),posicao_contratual!$Y62),posicao_contratual!$Y62),posicao_contratual!$Y62)+1),2))))))</f>
        <v/>
      </c>
      <c r="E62" s="79" t="str">
        <f>IF(OR($A62="",posicao_contratual!$Y62=""),"",IF(posicao_contratual!$Y62&gt;2,"",IF(NOT(ISNUMBER(itens_Remanesc!C62)),"",IF(posicao_contratual!$Y62=2,IF(IFERROR(IF(ISNUMBER(INDEX(aditivos!$O$2:$O$200,MATCH($A62,aditivos!$A$2:$A$200,0))),MIN(INDEX(aditivos!$O$2:$O$200,MATCH($A62,aditivos!$A$2:$A$200,0)),posicao_contratual!$Y62),posicao_contratual!$Y62),posicao_contratual!$Y62)=2,itens_Remanesc!C62,IFERROR(ROUND(itens_Remanesc!C62*INDEX($L$2:$L$6,MIN(2+1,COUNT($L$2:$L$6)))/INDEX($L$2:$L$6,MIN(IFERROR(IF(ISNUMBER(INDEX(aditivos!$O$2:$O$200,MATCH($A62,aditivos!$A$2:$A$200,0))),MIN(INDEX(aditivos!$O$2:$O$200,MATCH($A62,aditivos!$A$2:$A$200,0)),posicao_contratual!$Y62),posicao_contratual!$Y62),posicao_contratual!$Y62)+1,COUNT($L$2:$L$6))),2),"")),IF(OR(NOT(ISNUMBER($L$4)),NOT(ISNUMBER(INDEX($L$2:$L$6,IFERROR(IF(ISNUMBER(INDEX(aditivos!$O$2:$O$200,MATCH($A62,aditivos!$A$2:$A$200,0))),MIN(INDEX(aditivos!$O$2:$O$200,MATCH($A62,aditivos!$A$2:$A$200,0)),posicao_contratual!$Y62),posicao_contratual!$Y62),posicao_contratual!$Y62)+1)))),"",ROUND(itens_Remanesc!C62*$L$4/INDEX($L$2:$L$6,IFERROR(IF(ISNUMBER(INDEX(aditivos!$O$2:$O$200,MATCH($A62,aditivos!$A$2:$A$200,0))),MIN(INDEX(aditivos!$O$2:$O$200,MATCH($A62,aditivos!$A$2:$A$200,0)),posicao_contratual!$Y62),posicao_contratual!$Y62),posicao_contratual!$Y62)+1),2))))))</f>
        <v/>
      </c>
      <c r="F62" s="79" t="str">
        <f>IF(OR($A62="",posicao_contratual!$Y62=""),"",IF(posicao_contratual!$Y62&gt;3,"",IF(NOT(ISNUMBER(itens_Remanesc!C62)),"",IF(posicao_contratual!$Y62=3,IF(IFERROR(IF(ISNUMBER(INDEX(aditivos!$O$2:$O$200,MATCH($A62,aditivos!$A$2:$A$200,0))),MIN(INDEX(aditivos!$O$2:$O$200,MATCH($A62,aditivos!$A$2:$A$200,0)),posicao_contratual!$Y62),posicao_contratual!$Y62),posicao_contratual!$Y62)=3,itens_Remanesc!C62,IFERROR(ROUND(itens_Remanesc!C62*INDEX($L$2:$L$6,MIN(3+1,COUNT($L$2:$L$6)))/INDEX($L$2:$L$6,MIN(IFERROR(IF(ISNUMBER(INDEX(aditivos!$O$2:$O$200,MATCH($A62,aditivos!$A$2:$A$200,0))),MIN(INDEX(aditivos!$O$2:$O$200,MATCH($A62,aditivos!$A$2:$A$200,0)),posicao_contratual!$Y62),posicao_contratual!$Y62),posicao_contratual!$Y62)+1,COUNT($L$2:$L$6))),2),"")),IF(OR(NOT(ISNUMBER($L$5)),NOT(ISNUMBER(INDEX($L$2:$L$6,IFERROR(IF(ISNUMBER(INDEX(aditivos!$O$2:$O$200,MATCH($A62,aditivos!$A$2:$A$200,0))),MIN(INDEX(aditivos!$O$2:$O$200,MATCH($A62,aditivos!$A$2:$A$200,0)),posicao_contratual!$Y62),posicao_contratual!$Y62),posicao_contratual!$Y62)+1)))),"",ROUND(itens_Remanesc!C62*$L$5/INDEX($L$2:$L$6,IFERROR(IF(ISNUMBER(INDEX(aditivos!$O$2:$O$200,MATCH($A62,aditivos!$A$2:$A$200,0))),MIN(INDEX(aditivos!$O$2:$O$200,MATCH($A62,aditivos!$A$2:$A$200,0)),posicao_contratual!$Y62),posicao_contratual!$Y62),posicao_contratual!$Y62)+1),2))))))</f>
        <v/>
      </c>
      <c r="G62" s="79" t="str">
        <f>IF(OR($A62="",posicao_contratual!$Y62=""),"",IF(posicao_contratual!$Y62&gt;4,"",IF(NOT(ISNUMBER(itens_Remanesc!C62)),"",IF(posicao_contratual!$Y62=4,IF(IFERROR(IF(ISNUMBER(INDEX(aditivos!$O$2:$O$200,MATCH($A62,aditivos!$A$2:$A$200,0))),MIN(INDEX(aditivos!$O$2:$O$200,MATCH($A62,aditivos!$A$2:$A$200,0)),posicao_contratual!$Y62),posicao_contratual!$Y62),posicao_contratual!$Y62)=4,itens_Remanesc!C62,IFERROR(ROUND(itens_Remanesc!C62*INDEX($L$2:$L$6,MIN(4+1,COUNT($L$2:$L$6)))/INDEX($L$2:$L$6,MIN(IFERROR(IF(ISNUMBER(INDEX(aditivos!$O$2:$O$200,MATCH($A62,aditivos!$A$2:$A$200,0))),MIN(INDEX(aditivos!$O$2:$O$200,MATCH($A62,aditivos!$A$2:$A$200,0)),posicao_contratual!$Y62),posicao_contratual!$Y62),posicao_contratual!$Y62)+1,COUNT($L$2:$L$6))),2),"")),IF(OR(NOT(ISNUMBER($L$6)),NOT(ISNUMBER(INDEX($L$2:$L$6,IFERROR(IF(ISNUMBER(INDEX(aditivos!$O$2:$O$200,MATCH($A62,aditivos!$A$2:$A$200,0))),MIN(INDEX(aditivos!$O$2:$O$200,MATCH($A62,aditivos!$A$2:$A$200,0)),posicao_contratual!$Y62),posicao_contratual!$Y62),posicao_contratual!$Y62)+1)))),"",ROUND(itens_Remanesc!C62*$L$6/INDEX($L$2:$L$6,IFERROR(IF(ISNUMBER(INDEX(aditivos!$O$2:$O$200,MATCH($A62,aditivos!$A$2:$A$200,0))),MIN(INDEX(aditivos!$O$2:$O$200,MATCH($A62,aditivos!$A$2:$A$200,0)),posicao_contratual!$Y62),posicao_contratual!$Y62),posicao_contratual!$Y62)+1),2))))))</f>
        <v/>
      </c>
      <c r="H62" s="116" t="str">
        <f t="shared" si="1"/>
        <v/>
      </c>
      <c r="I62" s="14"/>
      <c r="J62" s="14"/>
      <c r="K62" s="14"/>
      <c r="L62" s="14"/>
      <c r="M62" s="14"/>
      <c r="N62" s="147" t="str">
        <f>IF(A62="","",IF(posicao_contratual!$Y62="","",IF(posicao_contratual!$Y62&gt;0,"",posicao_contratual!E62)))</f>
        <v/>
      </c>
      <c r="O62" s="147" t="str">
        <f>IF(A62="","",IF(posicao_contratual!$Y62="","",IF(posicao_contratual!$Y62&gt;1,"",posicao_contratual!I62)))</f>
        <v/>
      </c>
      <c r="P62" s="147" t="str">
        <f>IF(A62="","",IF(posicao_contratual!$Y62="","",IF(posicao_contratual!$Y62&gt;2,"",posicao_contratual!M62)))</f>
        <v/>
      </c>
      <c r="Q62" s="147" t="str">
        <f>IF(A62="","",IF(posicao_contratual!$Y62="","",IF(posicao_contratual!$Y62&gt;3,"",posicao_contratual!Q62)))</f>
        <v/>
      </c>
      <c r="R62" s="147" t="str">
        <f>IF(A62="","",IF(posicao_contratual!$Y62="","",IF(posicao_contratual!$Y62&gt;4,"",posicao_contratual!U62)))</f>
        <v/>
      </c>
      <c r="S62" s="167" t="str">
        <f>IF(A62="","",posicao_contratual!G62)</f>
        <v/>
      </c>
      <c r="T62" s="167" t="str">
        <f>IF(A62="","",posicao_contratual!K62)</f>
        <v/>
      </c>
      <c r="U62" s="167" t="str">
        <f>IF(A62="","",posicao_contratual!O62)</f>
        <v/>
      </c>
      <c r="V62" s="167" t="str">
        <f>IF(A62="","",posicao_contratual!S62)</f>
        <v/>
      </c>
      <c r="W62" s="167" t="str">
        <f>IF(A62="","",posicao_contratual!W62)</f>
        <v/>
      </c>
    </row>
    <row r="63" spans="1:23" x14ac:dyDescent="0.35">
      <c r="A63" s="86" t="str">
        <f>IF(itens_Remanesc!A63="","",itens_Remanesc!A63)</f>
        <v/>
      </c>
      <c r="B63" s="85" t="str">
        <f>IF(A63="","",IF(posicao_contratual!$Y63="","",IF(posicao_contratual!$Y63&gt;0,"",posicao_contratual!G63)))</f>
        <v/>
      </c>
      <c r="C63" s="79" t="str">
        <f>IF(itens_Remanesc!A63="","",IF(posicao_contratual!$Y63="","",IF(posicao_contratual!$Y63&gt;0,"",itens_Remanesc!C63)))</f>
        <v/>
      </c>
      <c r="D63" s="79" t="str">
        <f>IF(OR($A63="",posicao_contratual!$Y63=""),"",IF(posicao_contratual!$Y63&gt;1,"",IF(NOT(ISNUMBER(itens_Remanesc!C63)),"",IF(posicao_contratual!$Y63=1,IF(IFERROR(IF(ISNUMBER(INDEX(aditivos!$O$2:$O$200,MATCH($A63,aditivos!$A$2:$A$200,0))),MIN(INDEX(aditivos!$O$2:$O$200,MATCH($A63,aditivos!$A$2:$A$200,0)),posicao_contratual!$Y63),posicao_contratual!$Y63),posicao_contratual!$Y63)=1,itens_Remanesc!C63,IFERROR(ROUND(itens_Remanesc!C63*INDEX($L$2:$L$6,MIN(1+1,COUNT($L$2:$L$6)))/INDEX($L$2:$L$6,MIN(IFERROR(IF(ISNUMBER(INDEX(aditivos!$O$2:$O$200,MATCH($A63,aditivos!$A$2:$A$200,0))),MIN(INDEX(aditivos!$O$2:$O$200,MATCH($A63,aditivos!$A$2:$A$200,0)),posicao_contratual!$Y63),posicao_contratual!$Y63),posicao_contratual!$Y63)+1,COUNT($L$2:$L$6))),2),"")),IF(OR(NOT(ISNUMBER($L$3)),NOT(ISNUMBER(INDEX($L$2:$L$6,IFERROR(IF(ISNUMBER(INDEX(aditivos!$O$2:$O$200,MATCH($A63,aditivos!$A$2:$A$200,0))),MIN(INDEX(aditivos!$O$2:$O$200,MATCH($A63,aditivos!$A$2:$A$200,0)),posicao_contratual!$Y63),posicao_contratual!$Y63),posicao_contratual!$Y63)+1)))),"",ROUND(itens_Remanesc!C63*$L$3/INDEX($L$2:$L$6,IFERROR(IF(ISNUMBER(INDEX(aditivos!$O$2:$O$200,MATCH($A63,aditivos!$A$2:$A$200,0))),MIN(INDEX(aditivos!$O$2:$O$200,MATCH($A63,aditivos!$A$2:$A$200,0)),posicao_contratual!$Y63),posicao_contratual!$Y63),posicao_contratual!$Y63)+1),2))))))</f>
        <v/>
      </c>
      <c r="E63" s="79" t="str">
        <f>IF(OR($A63="",posicao_contratual!$Y63=""),"",IF(posicao_contratual!$Y63&gt;2,"",IF(NOT(ISNUMBER(itens_Remanesc!C63)),"",IF(posicao_contratual!$Y63=2,IF(IFERROR(IF(ISNUMBER(INDEX(aditivos!$O$2:$O$200,MATCH($A63,aditivos!$A$2:$A$200,0))),MIN(INDEX(aditivos!$O$2:$O$200,MATCH($A63,aditivos!$A$2:$A$200,0)),posicao_contratual!$Y63),posicao_contratual!$Y63),posicao_contratual!$Y63)=2,itens_Remanesc!C63,IFERROR(ROUND(itens_Remanesc!C63*INDEX($L$2:$L$6,MIN(2+1,COUNT($L$2:$L$6)))/INDEX($L$2:$L$6,MIN(IFERROR(IF(ISNUMBER(INDEX(aditivos!$O$2:$O$200,MATCH($A63,aditivos!$A$2:$A$200,0))),MIN(INDEX(aditivos!$O$2:$O$200,MATCH($A63,aditivos!$A$2:$A$200,0)),posicao_contratual!$Y63),posicao_contratual!$Y63),posicao_contratual!$Y63)+1,COUNT($L$2:$L$6))),2),"")),IF(OR(NOT(ISNUMBER($L$4)),NOT(ISNUMBER(INDEX($L$2:$L$6,IFERROR(IF(ISNUMBER(INDEX(aditivos!$O$2:$O$200,MATCH($A63,aditivos!$A$2:$A$200,0))),MIN(INDEX(aditivos!$O$2:$O$200,MATCH($A63,aditivos!$A$2:$A$200,0)),posicao_contratual!$Y63),posicao_contratual!$Y63),posicao_contratual!$Y63)+1)))),"",ROUND(itens_Remanesc!C63*$L$4/INDEX($L$2:$L$6,IFERROR(IF(ISNUMBER(INDEX(aditivos!$O$2:$O$200,MATCH($A63,aditivos!$A$2:$A$200,0))),MIN(INDEX(aditivos!$O$2:$O$200,MATCH($A63,aditivos!$A$2:$A$200,0)),posicao_contratual!$Y63),posicao_contratual!$Y63),posicao_contratual!$Y63)+1),2))))))</f>
        <v/>
      </c>
      <c r="F63" s="79" t="str">
        <f>IF(OR($A63="",posicao_contratual!$Y63=""),"",IF(posicao_contratual!$Y63&gt;3,"",IF(NOT(ISNUMBER(itens_Remanesc!C63)),"",IF(posicao_contratual!$Y63=3,IF(IFERROR(IF(ISNUMBER(INDEX(aditivos!$O$2:$O$200,MATCH($A63,aditivos!$A$2:$A$200,0))),MIN(INDEX(aditivos!$O$2:$O$200,MATCH($A63,aditivos!$A$2:$A$200,0)),posicao_contratual!$Y63),posicao_contratual!$Y63),posicao_contratual!$Y63)=3,itens_Remanesc!C63,IFERROR(ROUND(itens_Remanesc!C63*INDEX($L$2:$L$6,MIN(3+1,COUNT($L$2:$L$6)))/INDEX($L$2:$L$6,MIN(IFERROR(IF(ISNUMBER(INDEX(aditivos!$O$2:$O$200,MATCH($A63,aditivos!$A$2:$A$200,0))),MIN(INDEX(aditivos!$O$2:$O$200,MATCH($A63,aditivos!$A$2:$A$200,0)),posicao_contratual!$Y63),posicao_contratual!$Y63),posicao_contratual!$Y63)+1,COUNT($L$2:$L$6))),2),"")),IF(OR(NOT(ISNUMBER($L$5)),NOT(ISNUMBER(INDEX($L$2:$L$6,IFERROR(IF(ISNUMBER(INDEX(aditivos!$O$2:$O$200,MATCH($A63,aditivos!$A$2:$A$200,0))),MIN(INDEX(aditivos!$O$2:$O$200,MATCH($A63,aditivos!$A$2:$A$200,0)),posicao_contratual!$Y63),posicao_contratual!$Y63),posicao_contratual!$Y63)+1)))),"",ROUND(itens_Remanesc!C63*$L$5/INDEX($L$2:$L$6,IFERROR(IF(ISNUMBER(INDEX(aditivos!$O$2:$O$200,MATCH($A63,aditivos!$A$2:$A$200,0))),MIN(INDEX(aditivos!$O$2:$O$200,MATCH($A63,aditivos!$A$2:$A$200,0)),posicao_contratual!$Y63),posicao_contratual!$Y63),posicao_contratual!$Y63)+1),2))))))</f>
        <v/>
      </c>
      <c r="G63" s="79" t="str">
        <f>IF(OR($A63="",posicao_contratual!$Y63=""),"",IF(posicao_contratual!$Y63&gt;4,"",IF(NOT(ISNUMBER(itens_Remanesc!C63)),"",IF(posicao_contratual!$Y63=4,IF(IFERROR(IF(ISNUMBER(INDEX(aditivos!$O$2:$O$200,MATCH($A63,aditivos!$A$2:$A$200,0))),MIN(INDEX(aditivos!$O$2:$O$200,MATCH($A63,aditivos!$A$2:$A$200,0)),posicao_contratual!$Y63),posicao_contratual!$Y63),posicao_contratual!$Y63)=4,itens_Remanesc!C63,IFERROR(ROUND(itens_Remanesc!C63*INDEX($L$2:$L$6,MIN(4+1,COUNT($L$2:$L$6)))/INDEX($L$2:$L$6,MIN(IFERROR(IF(ISNUMBER(INDEX(aditivos!$O$2:$O$200,MATCH($A63,aditivos!$A$2:$A$200,0))),MIN(INDEX(aditivos!$O$2:$O$200,MATCH($A63,aditivos!$A$2:$A$200,0)),posicao_contratual!$Y63),posicao_contratual!$Y63),posicao_contratual!$Y63)+1,COUNT($L$2:$L$6))),2),"")),IF(OR(NOT(ISNUMBER($L$6)),NOT(ISNUMBER(INDEX($L$2:$L$6,IFERROR(IF(ISNUMBER(INDEX(aditivos!$O$2:$O$200,MATCH($A63,aditivos!$A$2:$A$200,0))),MIN(INDEX(aditivos!$O$2:$O$200,MATCH($A63,aditivos!$A$2:$A$200,0)),posicao_contratual!$Y63),posicao_contratual!$Y63),posicao_contratual!$Y63)+1)))),"",ROUND(itens_Remanesc!C63*$L$6/INDEX($L$2:$L$6,IFERROR(IF(ISNUMBER(INDEX(aditivos!$O$2:$O$200,MATCH($A63,aditivos!$A$2:$A$200,0))),MIN(INDEX(aditivos!$O$2:$O$200,MATCH($A63,aditivos!$A$2:$A$200,0)),posicao_contratual!$Y63),posicao_contratual!$Y63),posicao_contratual!$Y63)+1),2))))))</f>
        <v/>
      </c>
      <c r="H63" s="116" t="str">
        <f t="shared" si="1"/>
        <v/>
      </c>
      <c r="I63" s="14"/>
      <c r="J63" s="14"/>
      <c r="K63" s="14"/>
      <c r="L63" s="14"/>
      <c r="M63" s="14"/>
      <c r="N63" s="147" t="str">
        <f>IF(A63="","",IF(posicao_contratual!$Y63="","",IF(posicao_contratual!$Y63&gt;0,"",posicao_contratual!E63)))</f>
        <v/>
      </c>
      <c r="O63" s="147" t="str">
        <f>IF(A63="","",IF(posicao_contratual!$Y63="","",IF(posicao_contratual!$Y63&gt;1,"",posicao_contratual!I63)))</f>
        <v/>
      </c>
      <c r="P63" s="147" t="str">
        <f>IF(A63="","",IF(posicao_contratual!$Y63="","",IF(posicao_contratual!$Y63&gt;2,"",posicao_contratual!M63)))</f>
        <v/>
      </c>
      <c r="Q63" s="147" t="str">
        <f>IF(A63="","",IF(posicao_contratual!$Y63="","",IF(posicao_contratual!$Y63&gt;3,"",posicao_contratual!Q63)))</f>
        <v/>
      </c>
      <c r="R63" s="147" t="str">
        <f>IF(A63="","",IF(posicao_contratual!$Y63="","",IF(posicao_contratual!$Y63&gt;4,"",posicao_contratual!U63)))</f>
        <v/>
      </c>
      <c r="S63" s="167" t="str">
        <f>IF(A63="","",posicao_contratual!G63)</f>
        <v/>
      </c>
      <c r="T63" s="167" t="str">
        <f>IF(A63="","",posicao_contratual!K63)</f>
        <v/>
      </c>
      <c r="U63" s="167" t="str">
        <f>IF(A63="","",posicao_contratual!O63)</f>
        <v/>
      </c>
      <c r="V63" s="167" t="str">
        <f>IF(A63="","",posicao_contratual!S63)</f>
        <v/>
      </c>
      <c r="W63" s="167" t="str">
        <f>IF(A63="","",posicao_contratual!W63)</f>
        <v/>
      </c>
    </row>
    <row r="64" spans="1:23" x14ac:dyDescent="0.35">
      <c r="A64" s="86" t="str">
        <f>IF(itens_Remanesc!A64="","",itens_Remanesc!A64)</f>
        <v/>
      </c>
      <c r="B64" s="85" t="str">
        <f>IF(A64="","",IF(posicao_contratual!$Y64="","",IF(posicao_contratual!$Y64&gt;0,"",posicao_contratual!G64)))</f>
        <v/>
      </c>
      <c r="C64" s="79" t="str">
        <f>IF(itens_Remanesc!A64="","",IF(posicao_contratual!$Y64="","",IF(posicao_contratual!$Y64&gt;0,"",itens_Remanesc!C64)))</f>
        <v/>
      </c>
      <c r="D64" s="79" t="str">
        <f>IF(OR($A64="",posicao_contratual!$Y64=""),"",IF(posicao_contratual!$Y64&gt;1,"",IF(NOT(ISNUMBER(itens_Remanesc!C64)),"",IF(posicao_contratual!$Y64=1,IF(IFERROR(IF(ISNUMBER(INDEX(aditivos!$O$2:$O$200,MATCH($A64,aditivos!$A$2:$A$200,0))),MIN(INDEX(aditivos!$O$2:$O$200,MATCH($A64,aditivos!$A$2:$A$200,0)),posicao_contratual!$Y64),posicao_contratual!$Y64),posicao_contratual!$Y64)=1,itens_Remanesc!C64,IFERROR(ROUND(itens_Remanesc!C64*INDEX($L$2:$L$6,MIN(1+1,COUNT($L$2:$L$6)))/INDEX($L$2:$L$6,MIN(IFERROR(IF(ISNUMBER(INDEX(aditivos!$O$2:$O$200,MATCH($A64,aditivos!$A$2:$A$200,0))),MIN(INDEX(aditivos!$O$2:$O$200,MATCH($A64,aditivos!$A$2:$A$200,0)),posicao_contratual!$Y64),posicao_contratual!$Y64),posicao_contratual!$Y64)+1,COUNT($L$2:$L$6))),2),"")),IF(OR(NOT(ISNUMBER($L$3)),NOT(ISNUMBER(INDEX($L$2:$L$6,IFERROR(IF(ISNUMBER(INDEX(aditivos!$O$2:$O$200,MATCH($A64,aditivos!$A$2:$A$200,0))),MIN(INDEX(aditivos!$O$2:$O$200,MATCH($A64,aditivos!$A$2:$A$200,0)),posicao_contratual!$Y64),posicao_contratual!$Y64),posicao_contratual!$Y64)+1)))),"",ROUND(itens_Remanesc!C64*$L$3/INDEX($L$2:$L$6,IFERROR(IF(ISNUMBER(INDEX(aditivos!$O$2:$O$200,MATCH($A64,aditivos!$A$2:$A$200,0))),MIN(INDEX(aditivos!$O$2:$O$200,MATCH($A64,aditivos!$A$2:$A$200,0)),posicao_contratual!$Y64),posicao_contratual!$Y64),posicao_contratual!$Y64)+1),2))))))</f>
        <v/>
      </c>
      <c r="E64" s="79" t="str">
        <f>IF(OR($A64="",posicao_contratual!$Y64=""),"",IF(posicao_contratual!$Y64&gt;2,"",IF(NOT(ISNUMBER(itens_Remanesc!C64)),"",IF(posicao_contratual!$Y64=2,IF(IFERROR(IF(ISNUMBER(INDEX(aditivos!$O$2:$O$200,MATCH($A64,aditivos!$A$2:$A$200,0))),MIN(INDEX(aditivos!$O$2:$O$200,MATCH($A64,aditivos!$A$2:$A$200,0)),posicao_contratual!$Y64),posicao_contratual!$Y64),posicao_contratual!$Y64)=2,itens_Remanesc!C64,IFERROR(ROUND(itens_Remanesc!C64*INDEX($L$2:$L$6,MIN(2+1,COUNT($L$2:$L$6)))/INDEX($L$2:$L$6,MIN(IFERROR(IF(ISNUMBER(INDEX(aditivos!$O$2:$O$200,MATCH($A64,aditivos!$A$2:$A$200,0))),MIN(INDEX(aditivos!$O$2:$O$200,MATCH($A64,aditivos!$A$2:$A$200,0)),posicao_contratual!$Y64),posicao_contratual!$Y64),posicao_contratual!$Y64)+1,COUNT($L$2:$L$6))),2),"")),IF(OR(NOT(ISNUMBER($L$4)),NOT(ISNUMBER(INDEX($L$2:$L$6,IFERROR(IF(ISNUMBER(INDEX(aditivos!$O$2:$O$200,MATCH($A64,aditivos!$A$2:$A$200,0))),MIN(INDEX(aditivos!$O$2:$O$200,MATCH($A64,aditivos!$A$2:$A$200,0)),posicao_contratual!$Y64),posicao_contratual!$Y64),posicao_contratual!$Y64)+1)))),"",ROUND(itens_Remanesc!C64*$L$4/INDEX($L$2:$L$6,IFERROR(IF(ISNUMBER(INDEX(aditivos!$O$2:$O$200,MATCH($A64,aditivos!$A$2:$A$200,0))),MIN(INDEX(aditivos!$O$2:$O$200,MATCH($A64,aditivos!$A$2:$A$200,0)),posicao_contratual!$Y64),posicao_contratual!$Y64),posicao_contratual!$Y64)+1),2))))))</f>
        <v/>
      </c>
      <c r="F64" s="79" t="str">
        <f>IF(OR($A64="",posicao_contratual!$Y64=""),"",IF(posicao_contratual!$Y64&gt;3,"",IF(NOT(ISNUMBER(itens_Remanesc!C64)),"",IF(posicao_contratual!$Y64=3,IF(IFERROR(IF(ISNUMBER(INDEX(aditivos!$O$2:$O$200,MATCH($A64,aditivos!$A$2:$A$200,0))),MIN(INDEX(aditivos!$O$2:$O$200,MATCH($A64,aditivos!$A$2:$A$200,0)),posicao_contratual!$Y64),posicao_contratual!$Y64),posicao_contratual!$Y64)=3,itens_Remanesc!C64,IFERROR(ROUND(itens_Remanesc!C64*INDEX($L$2:$L$6,MIN(3+1,COUNT($L$2:$L$6)))/INDEX($L$2:$L$6,MIN(IFERROR(IF(ISNUMBER(INDEX(aditivos!$O$2:$O$200,MATCH($A64,aditivos!$A$2:$A$200,0))),MIN(INDEX(aditivos!$O$2:$O$200,MATCH($A64,aditivos!$A$2:$A$200,0)),posicao_contratual!$Y64),posicao_contratual!$Y64),posicao_contratual!$Y64)+1,COUNT($L$2:$L$6))),2),"")),IF(OR(NOT(ISNUMBER($L$5)),NOT(ISNUMBER(INDEX($L$2:$L$6,IFERROR(IF(ISNUMBER(INDEX(aditivos!$O$2:$O$200,MATCH($A64,aditivos!$A$2:$A$200,0))),MIN(INDEX(aditivos!$O$2:$O$200,MATCH($A64,aditivos!$A$2:$A$200,0)),posicao_contratual!$Y64),posicao_contratual!$Y64),posicao_contratual!$Y64)+1)))),"",ROUND(itens_Remanesc!C64*$L$5/INDEX($L$2:$L$6,IFERROR(IF(ISNUMBER(INDEX(aditivos!$O$2:$O$200,MATCH($A64,aditivos!$A$2:$A$200,0))),MIN(INDEX(aditivos!$O$2:$O$200,MATCH($A64,aditivos!$A$2:$A$200,0)),posicao_contratual!$Y64),posicao_contratual!$Y64),posicao_contratual!$Y64)+1),2))))))</f>
        <v/>
      </c>
      <c r="G64" s="79" t="str">
        <f>IF(OR($A64="",posicao_contratual!$Y64=""),"",IF(posicao_contratual!$Y64&gt;4,"",IF(NOT(ISNUMBER(itens_Remanesc!C64)),"",IF(posicao_contratual!$Y64=4,IF(IFERROR(IF(ISNUMBER(INDEX(aditivos!$O$2:$O$200,MATCH($A64,aditivos!$A$2:$A$200,0))),MIN(INDEX(aditivos!$O$2:$O$200,MATCH($A64,aditivos!$A$2:$A$200,0)),posicao_contratual!$Y64),posicao_contratual!$Y64),posicao_contratual!$Y64)=4,itens_Remanesc!C64,IFERROR(ROUND(itens_Remanesc!C64*INDEX($L$2:$L$6,MIN(4+1,COUNT($L$2:$L$6)))/INDEX($L$2:$L$6,MIN(IFERROR(IF(ISNUMBER(INDEX(aditivos!$O$2:$O$200,MATCH($A64,aditivos!$A$2:$A$200,0))),MIN(INDEX(aditivos!$O$2:$O$200,MATCH($A64,aditivos!$A$2:$A$200,0)),posicao_contratual!$Y64),posicao_contratual!$Y64),posicao_contratual!$Y64)+1,COUNT($L$2:$L$6))),2),"")),IF(OR(NOT(ISNUMBER($L$6)),NOT(ISNUMBER(INDEX($L$2:$L$6,IFERROR(IF(ISNUMBER(INDEX(aditivos!$O$2:$O$200,MATCH($A64,aditivos!$A$2:$A$200,0))),MIN(INDEX(aditivos!$O$2:$O$200,MATCH($A64,aditivos!$A$2:$A$200,0)),posicao_contratual!$Y64),posicao_contratual!$Y64),posicao_contratual!$Y64)+1)))),"",ROUND(itens_Remanesc!C64*$L$6/INDEX($L$2:$L$6,IFERROR(IF(ISNUMBER(INDEX(aditivos!$O$2:$O$200,MATCH($A64,aditivos!$A$2:$A$200,0))),MIN(INDEX(aditivos!$O$2:$O$200,MATCH($A64,aditivos!$A$2:$A$200,0)),posicao_contratual!$Y64),posicao_contratual!$Y64),posicao_contratual!$Y64)+1),2))))))</f>
        <v/>
      </c>
      <c r="H64" s="116" t="str">
        <f t="shared" si="1"/>
        <v/>
      </c>
      <c r="I64" s="14"/>
      <c r="J64" s="14"/>
      <c r="K64" s="14"/>
      <c r="L64" s="14"/>
      <c r="M64" s="14"/>
      <c r="N64" s="147" t="str">
        <f>IF(A64="","",IF(posicao_contratual!$Y64="","",IF(posicao_contratual!$Y64&gt;0,"",posicao_contratual!E64)))</f>
        <v/>
      </c>
      <c r="O64" s="147" t="str">
        <f>IF(A64="","",IF(posicao_contratual!$Y64="","",IF(posicao_contratual!$Y64&gt;1,"",posicao_contratual!I64)))</f>
        <v/>
      </c>
      <c r="P64" s="147" t="str">
        <f>IF(A64="","",IF(posicao_contratual!$Y64="","",IF(posicao_contratual!$Y64&gt;2,"",posicao_contratual!M64)))</f>
        <v/>
      </c>
      <c r="Q64" s="147" t="str">
        <f>IF(A64="","",IF(posicao_contratual!$Y64="","",IF(posicao_contratual!$Y64&gt;3,"",posicao_contratual!Q64)))</f>
        <v/>
      </c>
      <c r="R64" s="147" t="str">
        <f>IF(A64="","",IF(posicao_contratual!$Y64="","",IF(posicao_contratual!$Y64&gt;4,"",posicao_contratual!U64)))</f>
        <v/>
      </c>
      <c r="S64" s="167" t="str">
        <f>IF(A64="","",posicao_contratual!G64)</f>
        <v/>
      </c>
      <c r="T64" s="167" t="str">
        <f>IF(A64="","",posicao_contratual!K64)</f>
        <v/>
      </c>
      <c r="U64" s="167" t="str">
        <f>IF(A64="","",posicao_contratual!O64)</f>
        <v/>
      </c>
      <c r="V64" s="167" t="str">
        <f>IF(A64="","",posicao_contratual!S64)</f>
        <v/>
      </c>
      <c r="W64" s="167" t="str">
        <f>IF(A64="","",posicao_contratual!W64)</f>
        <v/>
      </c>
    </row>
    <row r="65" spans="1:23" x14ac:dyDescent="0.35">
      <c r="A65" s="86" t="str">
        <f>IF(itens_Remanesc!A65="","",itens_Remanesc!A65)</f>
        <v/>
      </c>
      <c r="B65" s="85" t="str">
        <f>IF(A65="","",IF(posicao_contratual!$Y65="","",IF(posicao_contratual!$Y65&gt;0,"",posicao_contratual!G65)))</f>
        <v/>
      </c>
      <c r="C65" s="79" t="str">
        <f>IF(itens_Remanesc!A65="","",IF(posicao_contratual!$Y65="","",IF(posicao_contratual!$Y65&gt;0,"",itens_Remanesc!C65)))</f>
        <v/>
      </c>
      <c r="D65" s="79" t="str">
        <f>IF(OR($A65="",posicao_contratual!$Y65=""),"",IF(posicao_contratual!$Y65&gt;1,"",IF(NOT(ISNUMBER(itens_Remanesc!C65)),"",IF(posicao_contratual!$Y65=1,IF(IFERROR(IF(ISNUMBER(INDEX(aditivos!$O$2:$O$200,MATCH($A65,aditivos!$A$2:$A$200,0))),MIN(INDEX(aditivos!$O$2:$O$200,MATCH($A65,aditivos!$A$2:$A$200,0)),posicao_contratual!$Y65),posicao_contratual!$Y65),posicao_contratual!$Y65)=1,itens_Remanesc!C65,IFERROR(ROUND(itens_Remanesc!C65*INDEX($L$2:$L$6,MIN(1+1,COUNT($L$2:$L$6)))/INDEX($L$2:$L$6,MIN(IFERROR(IF(ISNUMBER(INDEX(aditivos!$O$2:$O$200,MATCH($A65,aditivos!$A$2:$A$200,0))),MIN(INDEX(aditivos!$O$2:$O$200,MATCH($A65,aditivos!$A$2:$A$200,0)),posicao_contratual!$Y65),posicao_contratual!$Y65),posicao_contratual!$Y65)+1,COUNT($L$2:$L$6))),2),"")),IF(OR(NOT(ISNUMBER($L$3)),NOT(ISNUMBER(INDEX($L$2:$L$6,IFERROR(IF(ISNUMBER(INDEX(aditivos!$O$2:$O$200,MATCH($A65,aditivos!$A$2:$A$200,0))),MIN(INDEX(aditivos!$O$2:$O$200,MATCH($A65,aditivos!$A$2:$A$200,0)),posicao_contratual!$Y65),posicao_contratual!$Y65),posicao_contratual!$Y65)+1)))),"",ROUND(itens_Remanesc!C65*$L$3/INDEX($L$2:$L$6,IFERROR(IF(ISNUMBER(INDEX(aditivos!$O$2:$O$200,MATCH($A65,aditivos!$A$2:$A$200,0))),MIN(INDEX(aditivos!$O$2:$O$200,MATCH($A65,aditivos!$A$2:$A$200,0)),posicao_contratual!$Y65),posicao_contratual!$Y65),posicao_contratual!$Y65)+1),2))))))</f>
        <v/>
      </c>
      <c r="E65" s="79" t="str">
        <f>IF(OR($A65="",posicao_contratual!$Y65=""),"",IF(posicao_contratual!$Y65&gt;2,"",IF(NOT(ISNUMBER(itens_Remanesc!C65)),"",IF(posicao_contratual!$Y65=2,IF(IFERROR(IF(ISNUMBER(INDEX(aditivos!$O$2:$O$200,MATCH($A65,aditivos!$A$2:$A$200,0))),MIN(INDEX(aditivos!$O$2:$O$200,MATCH($A65,aditivos!$A$2:$A$200,0)),posicao_contratual!$Y65),posicao_contratual!$Y65),posicao_contratual!$Y65)=2,itens_Remanesc!C65,IFERROR(ROUND(itens_Remanesc!C65*INDEX($L$2:$L$6,MIN(2+1,COUNT($L$2:$L$6)))/INDEX($L$2:$L$6,MIN(IFERROR(IF(ISNUMBER(INDEX(aditivos!$O$2:$O$200,MATCH($A65,aditivos!$A$2:$A$200,0))),MIN(INDEX(aditivos!$O$2:$O$200,MATCH($A65,aditivos!$A$2:$A$200,0)),posicao_contratual!$Y65),posicao_contratual!$Y65),posicao_contratual!$Y65)+1,COUNT($L$2:$L$6))),2),"")),IF(OR(NOT(ISNUMBER($L$4)),NOT(ISNUMBER(INDEX($L$2:$L$6,IFERROR(IF(ISNUMBER(INDEX(aditivos!$O$2:$O$200,MATCH($A65,aditivos!$A$2:$A$200,0))),MIN(INDEX(aditivos!$O$2:$O$200,MATCH($A65,aditivos!$A$2:$A$200,0)),posicao_contratual!$Y65),posicao_contratual!$Y65),posicao_contratual!$Y65)+1)))),"",ROUND(itens_Remanesc!C65*$L$4/INDEX($L$2:$L$6,IFERROR(IF(ISNUMBER(INDEX(aditivos!$O$2:$O$200,MATCH($A65,aditivos!$A$2:$A$200,0))),MIN(INDEX(aditivos!$O$2:$O$200,MATCH($A65,aditivos!$A$2:$A$200,0)),posicao_contratual!$Y65),posicao_contratual!$Y65),posicao_contratual!$Y65)+1),2))))))</f>
        <v/>
      </c>
      <c r="F65" s="79" t="str">
        <f>IF(OR($A65="",posicao_contratual!$Y65=""),"",IF(posicao_contratual!$Y65&gt;3,"",IF(NOT(ISNUMBER(itens_Remanesc!C65)),"",IF(posicao_contratual!$Y65=3,IF(IFERROR(IF(ISNUMBER(INDEX(aditivos!$O$2:$O$200,MATCH($A65,aditivos!$A$2:$A$200,0))),MIN(INDEX(aditivos!$O$2:$O$200,MATCH($A65,aditivos!$A$2:$A$200,0)),posicao_contratual!$Y65),posicao_contratual!$Y65),posicao_contratual!$Y65)=3,itens_Remanesc!C65,IFERROR(ROUND(itens_Remanesc!C65*INDEX($L$2:$L$6,MIN(3+1,COUNT($L$2:$L$6)))/INDEX($L$2:$L$6,MIN(IFERROR(IF(ISNUMBER(INDEX(aditivos!$O$2:$O$200,MATCH($A65,aditivos!$A$2:$A$200,0))),MIN(INDEX(aditivos!$O$2:$O$200,MATCH($A65,aditivos!$A$2:$A$200,0)),posicao_contratual!$Y65),posicao_contratual!$Y65),posicao_contratual!$Y65)+1,COUNT($L$2:$L$6))),2),"")),IF(OR(NOT(ISNUMBER($L$5)),NOT(ISNUMBER(INDEX($L$2:$L$6,IFERROR(IF(ISNUMBER(INDEX(aditivos!$O$2:$O$200,MATCH($A65,aditivos!$A$2:$A$200,0))),MIN(INDEX(aditivos!$O$2:$O$200,MATCH($A65,aditivos!$A$2:$A$200,0)),posicao_contratual!$Y65),posicao_contratual!$Y65),posicao_contratual!$Y65)+1)))),"",ROUND(itens_Remanesc!C65*$L$5/INDEX($L$2:$L$6,IFERROR(IF(ISNUMBER(INDEX(aditivos!$O$2:$O$200,MATCH($A65,aditivos!$A$2:$A$200,0))),MIN(INDEX(aditivos!$O$2:$O$200,MATCH($A65,aditivos!$A$2:$A$200,0)),posicao_contratual!$Y65),posicao_contratual!$Y65),posicao_contratual!$Y65)+1),2))))))</f>
        <v/>
      </c>
      <c r="G65" s="79" t="str">
        <f>IF(OR($A65="",posicao_contratual!$Y65=""),"",IF(posicao_contratual!$Y65&gt;4,"",IF(NOT(ISNUMBER(itens_Remanesc!C65)),"",IF(posicao_contratual!$Y65=4,IF(IFERROR(IF(ISNUMBER(INDEX(aditivos!$O$2:$O$200,MATCH($A65,aditivos!$A$2:$A$200,0))),MIN(INDEX(aditivos!$O$2:$O$200,MATCH($A65,aditivos!$A$2:$A$200,0)),posicao_contratual!$Y65),posicao_contratual!$Y65),posicao_contratual!$Y65)=4,itens_Remanesc!C65,IFERROR(ROUND(itens_Remanesc!C65*INDEX($L$2:$L$6,MIN(4+1,COUNT($L$2:$L$6)))/INDEX($L$2:$L$6,MIN(IFERROR(IF(ISNUMBER(INDEX(aditivos!$O$2:$O$200,MATCH($A65,aditivos!$A$2:$A$200,0))),MIN(INDEX(aditivos!$O$2:$O$200,MATCH($A65,aditivos!$A$2:$A$200,0)),posicao_contratual!$Y65),posicao_contratual!$Y65),posicao_contratual!$Y65)+1,COUNT($L$2:$L$6))),2),"")),IF(OR(NOT(ISNUMBER($L$6)),NOT(ISNUMBER(INDEX($L$2:$L$6,IFERROR(IF(ISNUMBER(INDEX(aditivos!$O$2:$O$200,MATCH($A65,aditivos!$A$2:$A$200,0))),MIN(INDEX(aditivos!$O$2:$O$200,MATCH($A65,aditivos!$A$2:$A$200,0)),posicao_contratual!$Y65),posicao_contratual!$Y65),posicao_contratual!$Y65)+1)))),"",ROUND(itens_Remanesc!C65*$L$6/INDEX($L$2:$L$6,IFERROR(IF(ISNUMBER(INDEX(aditivos!$O$2:$O$200,MATCH($A65,aditivos!$A$2:$A$200,0))),MIN(INDEX(aditivos!$O$2:$O$200,MATCH($A65,aditivos!$A$2:$A$200,0)),posicao_contratual!$Y65),posicao_contratual!$Y65),posicao_contratual!$Y65)+1),2))))))</f>
        <v/>
      </c>
      <c r="H65" s="116" t="str">
        <f t="shared" si="1"/>
        <v/>
      </c>
      <c r="I65" s="14"/>
      <c r="J65" s="14"/>
      <c r="K65" s="14"/>
      <c r="L65" s="14"/>
      <c r="M65" s="14"/>
      <c r="N65" s="147" t="str">
        <f>IF(A65="","",IF(posicao_contratual!$Y65="","",IF(posicao_contratual!$Y65&gt;0,"",posicao_contratual!E65)))</f>
        <v/>
      </c>
      <c r="O65" s="147" t="str">
        <f>IF(A65="","",IF(posicao_contratual!$Y65="","",IF(posicao_contratual!$Y65&gt;1,"",posicao_contratual!I65)))</f>
        <v/>
      </c>
      <c r="P65" s="147" t="str">
        <f>IF(A65="","",IF(posicao_contratual!$Y65="","",IF(posicao_contratual!$Y65&gt;2,"",posicao_contratual!M65)))</f>
        <v/>
      </c>
      <c r="Q65" s="147" t="str">
        <f>IF(A65="","",IF(posicao_contratual!$Y65="","",IF(posicao_contratual!$Y65&gt;3,"",posicao_contratual!Q65)))</f>
        <v/>
      </c>
      <c r="R65" s="147" t="str">
        <f>IF(A65="","",IF(posicao_contratual!$Y65="","",IF(posicao_contratual!$Y65&gt;4,"",posicao_contratual!U65)))</f>
        <v/>
      </c>
      <c r="S65" s="167" t="str">
        <f>IF(A65="","",posicao_contratual!G65)</f>
        <v/>
      </c>
      <c r="T65" s="167" t="str">
        <f>IF(A65="","",posicao_contratual!K65)</f>
        <v/>
      </c>
      <c r="U65" s="167" t="str">
        <f>IF(A65="","",posicao_contratual!O65)</f>
        <v/>
      </c>
      <c r="V65" s="167" t="str">
        <f>IF(A65="","",posicao_contratual!S65)</f>
        <v/>
      </c>
      <c r="W65" s="167" t="str">
        <f>IF(A65="","",posicao_contratual!W65)</f>
        <v/>
      </c>
    </row>
    <row r="66" spans="1:23" x14ac:dyDescent="0.35">
      <c r="A66" s="86" t="str">
        <f>IF(itens_Remanesc!A66="","",itens_Remanesc!A66)</f>
        <v/>
      </c>
      <c r="B66" s="85" t="str">
        <f>IF(A66="","",IF(posicao_contratual!$Y66="","",IF(posicao_contratual!$Y66&gt;0,"",posicao_contratual!G66)))</f>
        <v/>
      </c>
      <c r="C66" s="79" t="str">
        <f>IF(itens_Remanesc!A66="","",IF(posicao_contratual!$Y66="","",IF(posicao_contratual!$Y66&gt;0,"",itens_Remanesc!C66)))</f>
        <v/>
      </c>
      <c r="D66" s="79" t="str">
        <f>IF(OR($A66="",posicao_contratual!$Y66=""),"",IF(posicao_contratual!$Y66&gt;1,"",IF(NOT(ISNUMBER(itens_Remanesc!C66)),"",IF(posicao_contratual!$Y66=1,IF(IFERROR(IF(ISNUMBER(INDEX(aditivos!$O$2:$O$200,MATCH($A66,aditivos!$A$2:$A$200,0))),MIN(INDEX(aditivos!$O$2:$O$200,MATCH($A66,aditivos!$A$2:$A$200,0)),posicao_contratual!$Y66),posicao_contratual!$Y66),posicao_contratual!$Y66)=1,itens_Remanesc!C66,IFERROR(ROUND(itens_Remanesc!C66*INDEX($L$2:$L$6,MIN(1+1,COUNT($L$2:$L$6)))/INDEX($L$2:$L$6,MIN(IFERROR(IF(ISNUMBER(INDEX(aditivos!$O$2:$O$200,MATCH($A66,aditivos!$A$2:$A$200,0))),MIN(INDEX(aditivos!$O$2:$O$200,MATCH($A66,aditivos!$A$2:$A$200,0)),posicao_contratual!$Y66),posicao_contratual!$Y66),posicao_contratual!$Y66)+1,COUNT($L$2:$L$6))),2),"")),IF(OR(NOT(ISNUMBER($L$3)),NOT(ISNUMBER(INDEX($L$2:$L$6,IFERROR(IF(ISNUMBER(INDEX(aditivos!$O$2:$O$200,MATCH($A66,aditivos!$A$2:$A$200,0))),MIN(INDEX(aditivos!$O$2:$O$200,MATCH($A66,aditivos!$A$2:$A$200,0)),posicao_contratual!$Y66),posicao_contratual!$Y66),posicao_contratual!$Y66)+1)))),"",ROUND(itens_Remanesc!C66*$L$3/INDEX($L$2:$L$6,IFERROR(IF(ISNUMBER(INDEX(aditivos!$O$2:$O$200,MATCH($A66,aditivos!$A$2:$A$200,0))),MIN(INDEX(aditivos!$O$2:$O$200,MATCH($A66,aditivos!$A$2:$A$200,0)),posicao_contratual!$Y66),posicao_contratual!$Y66),posicao_contratual!$Y66)+1),2))))))</f>
        <v/>
      </c>
      <c r="E66" s="79" t="str">
        <f>IF(OR($A66="",posicao_contratual!$Y66=""),"",IF(posicao_contratual!$Y66&gt;2,"",IF(NOT(ISNUMBER(itens_Remanesc!C66)),"",IF(posicao_contratual!$Y66=2,IF(IFERROR(IF(ISNUMBER(INDEX(aditivos!$O$2:$O$200,MATCH($A66,aditivos!$A$2:$A$200,0))),MIN(INDEX(aditivos!$O$2:$O$200,MATCH($A66,aditivos!$A$2:$A$200,0)),posicao_contratual!$Y66),posicao_contratual!$Y66),posicao_contratual!$Y66)=2,itens_Remanesc!C66,IFERROR(ROUND(itens_Remanesc!C66*INDEX($L$2:$L$6,MIN(2+1,COUNT($L$2:$L$6)))/INDEX($L$2:$L$6,MIN(IFERROR(IF(ISNUMBER(INDEX(aditivos!$O$2:$O$200,MATCH($A66,aditivos!$A$2:$A$200,0))),MIN(INDEX(aditivos!$O$2:$O$200,MATCH($A66,aditivos!$A$2:$A$200,0)),posicao_contratual!$Y66),posicao_contratual!$Y66),posicao_contratual!$Y66)+1,COUNT($L$2:$L$6))),2),"")),IF(OR(NOT(ISNUMBER($L$4)),NOT(ISNUMBER(INDEX($L$2:$L$6,IFERROR(IF(ISNUMBER(INDEX(aditivos!$O$2:$O$200,MATCH($A66,aditivos!$A$2:$A$200,0))),MIN(INDEX(aditivos!$O$2:$O$200,MATCH($A66,aditivos!$A$2:$A$200,0)),posicao_contratual!$Y66),posicao_contratual!$Y66),posicao_contratual!$Y66)+1)))),"",ROUND(itens_Remanesc!C66*$L$4/INDEX($L$2:$L$6,IFERROR(IF(ISNUMBER(INDEX(aditivos!$O$2:$O$200,MATCH($A66,aditivos!$A$2:$A$200,0))),MIN(INDEX(aditivos!$O$2:$O$200,MATCH($A66,aditivos!$A$2:$A$200,0)),posicao_contratual!$Y66),posicao_contratual!$Y66),posicao_contratual!$Y66)+1),2))))))</f>
        <v/>
      </c>
      <c r="F66" s="79" t="str">
        <f>IF(OR($A66="",posicao_contratual!$Y66=""),"",IF(posicao_contratual!$Y66&gt;3,"",IF(NOT(ISNUMBER(itens_Remanesc!C66)),"",IF(posicao_contratual!$Y66=3,IF(IFERROR(IF(ISNUMBER(INDEX(aditivos!$O$2:$O$200,MATCH($A66,aditivos!$A$2:$A$200,0))),MIN(INDEX(aditivos!$O$2:$O$200,MATCH($A66,aditivos!$A$2:$A$200,0)),posicao_contratual!$Y66),posicao_contratual!$Y66),posicao_contratual!$Y66)=3,itens_Remanesc!C66,IFERROR(ROUND(itens_Remanesc!C66*INDEX($L$2:$L$6,MIN(3+1,COUNT($L$2:$L$6)))/INDEX($L$2:$L$6,MIN(IFERROR(IF(ISNUMBER(INDEX(aditivos!$O$2:$O$200,MATCH($A66,aditivos!$A$2:$A$200,0))),MIN(INDEX(aditivos!$O$2:$O$200,MATCH($A66,aditivos!$A$2:$A$200,0)),posicao_contratual!$Y66),posicao_contratual!$Y66),posicao_contratual!$Y66)+1,COUNT($L$2:$L$6))),2),"")),IF(OR(NOT(ISNUMBER($L$5)),NOT(ISNUMBER(INDEX($L$2:$L$6,IFERROR(IF(ISNUMBER(INDEX(aditivos!$O$2:$O$200,MATCH($A66,aditivos!$A$2:$A$200,0))),MIN(INDEX(aditivos!$O$2:$O$200,MATCH($A66,aditivos!$A$2:$A$200,0)),posicao_contratual!$Y66),posicao_contratual!$Y66),posicao_contratual!$Y66)+1)))),"",ROUND(itens_Remanesc!C66*$L$5/INDEX($L$2:$L$6,IFERROR(IF(ISNUMBER(INDEX(aditivos!$O$2:$O$200,MATCH($A66,aditivos!$A$2:$A$200,0))),MIN(INDEX(aditivos!$O$2:$O$200,MATCH($A66,aditivos!$A$2:$A$200,0)),posicao_contratual!$Y66),posicao_contratual!$Y66),posicao_contratual!$Y66)+1),2))))))</f>
        <v/>
      </c>
      <c r="G66" s="79" t="str">
        <f>IF(OR($A66="",posicao_contratual!$Y66=""),"",IF(posicao_contratual!$Y66&gt;4,"",IF(NOT(ISNUMBER(itens_Remanesc!C66)),"",IF(posicao_contratual!$Y66=4,IF(IFERROR(IF(ISNUMBER(INDEX(aditivos!$O$2:$O$200,MATCH($A66,aditivos!$A$2:$A$200,0))),MIN(INDEX(aditivos!$O$2:$O$200,MATCH($A66,aditivos!$A$2:$A$200,0)),posicao_contratual!$Y66),posicao_contratual!$Y66),posicao_contratual!$Y66)=4,itens_Remanesc!C66,IFERROR(ROUND(itens_Remanesc!C66*INDEX($L$2:$L$6,MIN(4+1,COUNT($L$2:$L$6)))/INDEX($L$2:$L$6,MIN(IFERROR(IF(ISNUMBER(INDEX(aditivos!$O$2:$O$200,MATCH($A66,aditivos!$A$2:$A$200,0))),MIN(INDEX(aditivos!$O$2:$O$200,MATCH($A66,aditivos!$A$2:$A$200,0)),posicao_contratual!$Y66),posicao_contratual!$Y66),posicao_contratual!$Y66)+1,COUNT($L$2:$L$6))),2),"")),IF(OR(NOT(ISNUMBER($L$6)),NOT(ISNUMBER(INDEX($L$2:$L$6,IFERROR(IF(ISNUMBER(INDEX(aditivos!$O$2:$O$200,MATCH($A66,aditivos!$A$2:$A$200,0))),MIN(INDEX(aditivos!$O$2:$O$200,MATCH($A66,aditivos!$A$2:$A$200,0)),posicao_contratual!$Y66),posicao_contratual!$Y66),posicao_contratual!$Y66)+1)))),"",ROUND(itens_Remanesc!C66*$L$6/INDEX($L$2:$L$6,IFERROR(IF(ISNUMBER(INDEX(aditivos!$O$2:$O$200,MATCH($A66,aditivos!$A$2:$A$200,0))),MIN(INDEX(aditivos!$O$2:$O$200,MATCH($A66,aditivos!$A$2:$A$200,0)),posicao_contratual!$Y66),posicao_contratual!$Y66),posicao_contratual!$Y66)+1),2))))))</f>
        <v/>
      </c>
      <c r="H66" s="116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47" t="str">
        <f>IF(A66="","",IF(posicao_contratual!$Y66="","",IF(posicao_contratual!$Y66&gt;0,"",posicao_contratual!E66)))</f>
        <v/>
      </c>
      <c r="O66" s="147" t="str">
        <f>IF(A66="","",IF(posicao_contratual!$Y66="","",IF(posicao_contratual!$Y66&gt;1,"",posicao_contratual!I66)))</f>
        <v/>
      </c>
      <c r="P66" s="147" t="str">
        <f>IF(A66="","",IF(posicao_contratual!$Y66="","",IF(posicao_contratual!$Y66&gt;2,"",posicao_contratual!M66)))</f>
        <v/>
      </c>
      <c r="Q66" s="147" t="str">
        <f>IF(A66="","",IF(posicao_contratual!$Y66="","",IF(posicao_contratual!$Y66&gt;3,"",posicao_contratual!Q66)))</f>
        <v/>
      </c>
      <c r="R66" s="147" t="str">
        <f>IF(A66="","",IF(posicao_contratual!$Y66="","",IF(posicao_contratual!$Y66&gt;4,"",posicao_contratual!U66)))</f>
        <v/>
      </c>
      <c r="S66" s="167" t="str">
        <f>IF(A66="","",posicao_contratual!G66)</f>
        <v/>
      </c>
      <c r="T66" s="167" t="str">
        <f>IF(A66="","",posicao_contratual!K66)</f>
        <v/>
      </c>
      <c r="U66" s="167" t="str">
        <f>IF(A66="","",posicao_contratual!O66)</f>
        <v/>
      </c>
      <c r="V66" s="167" t="str">
        <f>IF(A66="","",posicao_contratual!S66)</f>
        <v/>
      </c>
      <c r="W66" s="167" t="str">
        <f>IF(A66="","",posicao_contratual!W66)</f>
        <v/>
      </c>
    </row>
    <row r="67" spans="1:23" x14ac:dyDescent="0.35">
      <c r="A67" s="86" t="str">
        <f>IF(itens_Remanesc!A67="","",itens_Remanesc!A67)</f>
        <v/>
      </c>
      <c r="B67" s="85" t="str">
        <f>IF(A67="","",IF(posicao_contratual!$Y67="","",IF(posicao_contratual!$Y67&gt;0,"",posicao_contratual!G67)))</f>
        <v/>
      </c>
      <c r="C67" s="79" t="str">
        <f>IF(itens_Remanesc!A67="","",IF(posicao_contratual!$Y67="","",IF(posicao_contratual!$Y67&gt;0,"",itens_Remanesc!C67)))</f>
        <v/>
      </c>
      <c r="D67" s="79" t="str">
        <f>IF(OR($A67="",posicao_contratual!$Y67=""),"",IF(posicao_contratual!$Y67&gt;1,"",IF(NOT(ISNUMBER(itens_Remanesc!C67)),"",IF(posicao_contratual!$Y67=1,IF(IFERROR(IF(ISNUMBER(INDEX(aditivos!$O$2:$O$200,MATCH($A67,aditivos!$A$2:$A$200,0))),MIN(INDEX(aditivos!$O$2:$O$200,MATCH($A67,aditivos!$A$2:$A$200,0)),posicao_contratual!$Y67),posicao_contratual!$Y67),posicao_contratual!$Y67)=1,itens_Remanesc!C67,IFERROR(ROUND(itens_Remanesc!C67*INDEX($L$2:$L$6,MIN(1+1,COUNT($L$2:$L$6)))/INDEX($L$2:$L$6,MIN(IFERROR(IF(ISNUMBER(INDEX(aditivos!$O$2:$O$200,MATCH($A67,aditivos!$A$2:$A$200,0))),MIN(INDEX(aditivos!$O$2:$O$200,MATCH($A67,aditivos!$A$2:$A$200,0)),posicao_contratual!$Y67),posicao_contratual!$Y67),posicao_contratual!$Y67)+1,COUNT($L$2:$L$6))),2),"")),IF(OR(NOT(ISNUMBER($L$3)),NOT(ISNUMBER(INDEX($L$2:$L$6,IFERROR(IF(ISNUMBER(INDEX(aditivos!$O$2:$O$200,MATCH($A67,aditivos!$A$2:$A$200,0))),MIN(INDEX(aditivos!$O$2:$O$200,MATCH($A67,aditivos!$A$2:$A$200,0)),posicao_contratual!$Y67),posicao_contratual!$Y67),posicao_contratual!$Y67)+1)))),"",ROUND(itens_Remanesc!C67*$L$3/INDEX($L$2:$L$6,IFERROR(IF(ISNUMBER(INDEX(aditivos!$O$2:$O$200,MATCH($A67,aditivos!$A$2:$A$200,0))),MIN(INDEX(aditivos!$O$2:$O$200,MATCH($A67,aditivos!$A$2:$A$200,0)),posicao_contratual!$Y67),posicao_contratual!$Y67),posicao_contratual!$Y67)+1),2))))))</f>
        <v/>
      </c>
      <c r="E67" s="79" t="str">
        <f>IF(OR($A67="",posicao_contratual!$Y67=""),"",IF(posicao_contratual!$Y67&gt;2,"",IF(NOT(ISNUMBER(itens_Remanesc!C67)),"",IF(posicao_contratual!$Y67=2,IF(IFERROR(IF(ISNUMBER(INDEX(aditivos!$O$2:$O$200,MATCH($A67,aditivos!$A$2:$A$200,0))),MIN(INDEX(aditivos!$O$2:$O$200,MATCH($A67,aditivos!$A$2:$A$200,0)),posicao_contratual!$Y67),posicao_contratual!$Y67),posicao_contratual!$Y67)=2,itens_Remanesc!C67,IFERROR(ROUND(itens_Remanesc!C67*INDEX($L$2:$L$6,MIN(2+1,COUNT($L$2:$L$6)))/INDEX($L$2:$L$6,MIN(IFERROR(IF(ISNUMBER(INDEX(aditivos!$O$2:$O$200,MATCH($A67,aditivos!$A$2:$A$200,0))),MIN(INDEX(aditivos!$O$2:$O$200,MATCH($A67,aditivos!$A$2:$A$200,0)),posicao_contratual!$Y67),posicao_contratual!$Y67),posicao_contratual!$Y67)+1,COUNT($L$2:$L$6))),2),"")),IF(OR(NOT(ISNUMBER($L$4)),NOT(ISNUMBER(INDEX($L$2:$L$6,IFERROR(IF(ISNUMBER(INDEX(aditivos!$O$2:$O$200,MATCH($A67,aditivos!$A$2:$A$200,0))),MIN(INDEX(aditivos!$O$2:$O$200,MATCH($A67,aditivos!$A$2:$A$200,0)),posicao_contratual!$Y67),posicao_contratual!$Y67),posicao_contratual!$Y67)+1)))),"",ROUND(itens_Remanesc!C67*$L$4/INDEX($L$2:$L$6,IFERROR(IF(ISNUMBER(INDEX(aditivos!$O$2:$O$200,MATCH($A67,aditivos!$A$2:$A$200,0))),MIN(INDEX(aditivos!$O$2:$O$200,MATCH($A67,aditivos!$A$2:$A$200,0)),posicao_contratual!$Y67),posicao_contratual!$Y67),posicao_contratual!$Y67)+1),2))))))</f>
        <v/>
      </c>
      <c r="F67" s="79" t="str">
        <f>IF(OR($A67="",posicao_contratual!$Y67=""),"",IF(posicao_contratual!$Y67&gt;3,"",IF(NOT(ISNUMBER(itens_Remanesc!C67)),"",IF(posicao_contratual!$Y67=3,IF(IFERROR(IF(ISNUMBER(INDEX(aditivos!$O$2:$O$200,MATCH($A67,aditivos!$A$2:$A$200,0))),MIN(INDEX(aditivos!$O$2:$O$200,MATCH($A67,aditivos!$A$2:$A$200,0)),posicao_contratual!$Y67),posicao_contratual!$Y67),posicao_contratual!$Y67)=3,itens_Remanesc!C67,IFERROR(ROUND(itens_Remanesc!C67*INDEX($L$2:$L$6,MIN(3+1,COUNT($L$2:$L$6)))/INDEX($L$2:$L$6,MIN(IFERROR(IF(ISNUMBER(INDEX(aditivos!$O$2:$O$200,MATCH($A67,aditivos!$A$2:$A$200,0))),MIN(INDEX(aditivos!$O$2:$O$200,MATCH($A67,aditivos!$A$2:$A$200,0)),posicao_contratual!$Y67),posicao_contratual!$Y67),posicao_contratual!$Y67)+1,COUNT($L$2:$L$6))),2),"")),IF(OR(NOT(ISNUMBER($L$5)),NOT(ISNUMBER(INDEX($L$2:$L$6,IFERROR(IF(ISNUMBER(INDEX(aditivos!$O$2:$O$200,MATCH($A67,aditivos!$A$2:$A$200,0))),MIN(INDEX(aditivos!$O$2:$O$200,MATCH($A67,aditivos!$A$2:$A$200,0)),posicao_contratual!$Y67),posicao_contratual!$Y67),posicao_contratual!$Y67)+1)))),"",ROUND(itens_Remanesc!C67*$L$5/INDEX($L$2:$L$6,IFERROR(IF(ISNUMBER(INDEX(aditivos!$O$2:$O$200,MATCH($A67,aditivos!$A$2:$A$200,0))),MIN(INDEX(aditivos!$O$2:$O$200,MATCH($A67,aditivos!$A$2:$A$200,0)),posicao_contratual!$Y67),posicao_contratual!$Y67),posicao_contratual!$Y67)+1),2))))))</f>
        <v/>
      </c>
      <c r="G67" s="79" t="str">
        <f>IF(OR($A67="",posicao_contratual!$Y67=""),"",IF(posicao_contratual!$Y67&gt;4,"",IF(NOT(ISNUMBER(itens_Remanesc!C67)),"",IF(posicao_contratual!$Y67=4,IF(IFERROR(IF(ISNUMBER(INDEX(aditivos!$O$2:$O$200,MATCH($A67,aditivos!$A$2:$A$200,0))),MIN(INDEX(aditivos!$O$2:$O$200,MATCH($A67,aditivos!$A$2:$A$200,0)),posicao_contratual!$Y67),posicao_contratual!$Y67),posicao_contratual!$Y67)=4,itens_Remanesc!C67,IFERROR(ROUND(itens_Remanesc!C67*INDEX($L$2:$L$6,MIN(4+1,COUNT($L$2:$L$6)))/INDEX($L$2:$L$6,MIN(IFERROR(IF(ISNUMBER(INDEX(aditivos!$O$2:$O$200,MATCH($A67,aditivos!$A$2:$A$200,0))),MIN(INDEX(aditivos!$O$2:$O$200,MATCH($A67,aditivos!$A$2:$A$200,0)),posicao_contratual!$Y67),posicao_contratual!$Y67),posicao_contratual!$Y67)+1,COUNT($L$2:$L$6))),2),"")),IF(OR(NOT(ISNUMBER($L$6)),NOT(ISNUMBER(INDEX($L$2:$L$6,IFERROR(IF(ISNUMBER(INDEX(aditivos!$O$2:$O$200,MATCH($A67,aditivos!$A$2:$A$200,0))),MIN(INDEX(aditivos!$O$2:$O$200,MATCH($A67,aditivos!$A$2:$A$200,0)),posicao_contratual!$Y67),posicao_contratual!$Y67),posicao_contratual!$Y67)+1)))),"",ROUND(itens_Remanesc!C67*$L$6/INDEX($L$2:$L$6,IFERROR(IF(ISNUMBER(INDEX(aditivos!$O$2:$O$200,MATCH($A67,aditivos!$A$2:$A$200,0))),MIN(INDEX(aditivos!$O$2:$O$200,MATCH($A67,aditivos!$A$2:$A$200,0)),posicao_contratual!$Y67),posicao_contratual!$Y67),posicao_contratual!$Y67)+1),2))))))</f>
        <v/>
      </c>
      <c r="H67" s="116" t="str">
        <f t="shared" si="2"/>
        <v/>
      </c>
      <c r="I67" s="14"/>
      <c r="J67" s="14"/>
      <c r="K67" s="14"/>
      <c r="L67" s="14"/>
      <c r="M67" s="14"/>
      <c r="N67" s="147" t="str">
        <f>IF(A67="","",IF(posicao_contratual!$Y67="","",IF(posicao_contratual!$Y67&gt;0,"",posicao_contratual!E67)))</f>
        <v/>
      </c>
      <c r="O67" s="147" t="str">
        <f>IF(A67="","",IF(posicao_contratual!$Y67="","",IF(posicao_contratual!$Y67&gt;1,"",posicao_contratual!I67)))</f>
        <v/>
      </c>
      <c r="P67" s="147" t="str">
        <f>IF(A67="","",IF(posicao_contratual!$Y67="","",IF(posicao_contratual!$Y67&gt;2,"",posicao_contratual!M67)))</f>
        <v/>
      </c>
      <c r="Q67" s="147" t="str">
        <f>IF(A67="","",IF(posicao_contratual!$Y67="","",IF(posicao_contratual!$Y67&gt;3,"",posicao_contratual!Q67)))</f>
        <v/>
      </c>
      <c r="R67" s="147" t="str">
        <f>IF(A67="","",IF(posicao_contratual!$Y67="","",IF(posicao_contratual!$Y67&gt;4,"",posicao_contratual!U67)))</f>
        <v/>
      </c>
      <c r="S67" s="167" t="str">
        <f>IF(A67="","",posicao_contratual!G67)</f>
        <v/>
      </c>
      <c r="T67" s="167" t="str">
        <f>IF(A67="","",posicao_contratual!K67)</f>
        <v/>
      </c>
      <c r="U67" s="167" t="str">
        <f>IF(A67="","",posicao_contratual!O67)</f>
        <v/>
      </c>
      <c r="V67" s="167" t="str">
        <f>IF(A67="","",posicao_contratual!S67)</f>
        <v/>
      </c>
      <c r="W67" s="167" t="str">
        <f>IF(A67="","",posicao_contratual!W67)</f>
        <v/>
      </c>
    </row>
    <row r="68" spans="1:23" x14ac:dyDescent="0.35">
      <c r="A68" s="86" t="str">
        <f>IF(itens_Remanesc!A68="","",itens_Remanesc!A68)</f>
        <v/>
      </c>
      <c r="B68" s="85" t="str">
        <f>IF(A68="","",IF(posicao_contratual!$Y68="","",IF(posicao_contratual!$Y68&gt;0,"",posicao_contratual!G68)))</f>
        <v/>
      </c>
      <c r="C68" s="79" t="str">
        <f>IF(itens_Remanesc!A68="","",IF(posicao_contratual!$Y68="","",IF(posicao_contratual!$Y68&gt;0,"",itens_Remanesc!C68)))</f>
        <v/>
      </c>
      <c r="D68" s="79" t="str">
        <f>IF(OR($A68="",posicao_contratual!$Y68=""),"",IF(posicao_contratual!$Y68&gt;1,"",IF(NOT(ISNUMBER(itens_Remanesc!C68)),"",IF(posicao_contratual!$Y68=1,IF(IFERROR(IF(ISNUMBER(INDEX(aditivos!$O$2:$O$200,MATCH($A68,aditivos!$A$2:$A$200,0))),MIN(INDEX(aditivos!$O$2:$O$200,MATCH($A68,aditivos!$A$2:$A$200,0)),posicao_contratual!$Y68),posicao_contratual!$Y68),posicao_contratual!$Y68)=1,itens_Remanesc!C68,IFERROR(ROUND(itens_Remanesc!C68*INDEX($L$2:$L$6,MIN(1+1,COUNT($L$2:$L$6)))/INDEX($L$2:$L$6,MIN(IFERROR(IF(ISNUMBER(INDEX(aditivos!$O$2:$O$200,MATCH($A68,aditivos!$A$2:$A$200,0))),MIN(INDEX(aditivos!$O$2:$O$200,MATCH($A68,aditivos!$A$2:$A$200,0)),posicao_contratual!$Y68),posicao_contratual!$Y68),posicao_contratual!$Y68)+1,COUNT($L$2:$L$6))),2),"")),IF(OR(NOT(ISNUMBER($L$3)),NOT(ISNUMBER(INDEX($L$2:$L$6,IFERROR(IF(ISNUMBER(INDEX(aditivos!$O$2:$O$200,MATCH($A68,aditivos!$A$2:$A$200,0))),MIN(INDEX(aditivos!$O$2:$O$200,MATCH($A68,aditivos!$A$2:$A$200,0)),posicao_contratual!$Y68),posicao_contratual!$Y68),posicao_contratual!$Y68)+1)))),"",ROUND(itens_Remanesc!C68*$L$3/INDEX($L$2:$L$6,IFERROR(IF(ISNUMBER(INDEX(aditivos!$O$2:$O$200,MATCH($A68,aditivos!$A$2:$A$200,0))),MIN(INDEX(aditivos!$O$2:$O$200,MATCH($A68,aditivos!$A$2:$A$200,0)),posicao_contratual!$Y68),posicao_contratual!$Y68),posicao_contratual!$Y68)+1),2))))))</f>
        <v/>
      </c>
      <c r="E68" s="79" t="str">
        <f>IF(OR($A68="",posicao_contratual!$Y68=""),"",IF(posicao_contratual!$Y68&gt;2,"",IF(NOT(ISNUMBER(itens_Remanesc!C68)),"",IF(posicao_contratual!$Y68=2,IF(IFERROR(IF(ISNUMBER(INDEX(aditivos!$O$2:$O$200,MATCH($A68,aditivos!$A$2:$A$200,0))),MIN(INDEX(aditivos!$O$2:$O$200,MATCH($A68,aditivos!$A$2:$A$200,0)),posicao_contratual!$Y68),posicao_contratual!$Y68),posicao_contratual!$Y68)=2,itens_Remanesc!C68,IFERROR(ROUND(itens_Remanesc!C68*INDEX($L$2:$L$6,MIN(2+1,COUNT($L$2:$L$6)))/INDEX($L$2:$L$6,MIN(IFERROR(IF(ISNUMBER(INDEX(aditivos!$O$2:$O$200,MATCH($A68,aditivos!$A$2:$A$200,0))),MIN(INDEX(aditivos!$O$2:$O$200,MATCH($A68,aditivos!$A$2:$A$200,0)),posicao_contratual!$Y68),posicao_contratual!$Y68),posicao_contratual!$Y68)+1,COUNT($L$2:$L$6))),2),"")),IF(OR(NOT(ISNUMBER($L$4)),NOT(ISNUMBER(INDEX($L$2:$L$6,IFERROR(IF(ISNUMBER(INDEX(aditivos!$O$2:$O$200,MATCH($A68,aditivos!$A$2:$A$200,0))),MIN(INDEX(aditivos!$O$2:$O$200,MATCH($A68,aditivos!$A$2:$A$200,0)),posicao_contratual!$Y68),posicao_contratual!$Y68),posicao_contratual!$Y68)+1)))),"",ROUND(itens_Remanesc!C68*$L$4/INDEX($L$2:$L$6,IFERROR(IF(ISNUMBER(INDEX(aditivos!$O$2:$O$200,MATCH($A68,aditivos!$A$2:$A$200,0))),MIN(INDEX(aditivos!$O$2:$O$200,MATCH($A68,aditivos!$A$2:$A$200,0)),posicao_contratual!$Y68),posicao_contratual!$Y68),posicao_contratual!$Y68)+1),2))))))</f>
        <v/>
      </c>
      <c r="F68" s="79" t="str">
        <f>IF(OR($A68="",posicao_contratual!$Y68=""),"",IF(posicao_contratual!$Y68&gt;3,"",IF(NOT(ISNUMBER(itens_Remanesc!C68)),"",IF(posicao_contratual!$Y68=3,IF(IFERROR(IF(ISNUMBER(INDEX(aditivos!$O$2:$O$200,MATCH($A68,aditivos!$A$2:$A$200,0))),MIN(INDEX(aditivos!$O$2:$O$200,MATCH($A68,aditivos!$A$2:$A$200,0)),posicao_contratual!$Y68),posicao_contratual!$Y68),posicao_contratual!$Y68)=3,itens_Remanesc!C68,IFERROR(ROUND(itens_Remanesc!C68*INDEX($L$2:$L$6,MIN(3+1,COUNT($L$2:$L$6)))/INDEX($L$2:$L$6,MIN(IFERROR(IF(ISNUMBER(INDEX(aditivos!$O$2:$O$200,MATCH($A68,aditivos!$A$2:$A$200,0))),MIN(INDEX(aditivos!$O$2:$O$200,MATCH($A68,aditivos!$A$2:$A$200,0)),posicao_contratual!$Y68),posicao_contratual!$Y68),posicao_contratual!$Y68)+1,COUNT($L$2:$L$6))),2),"")),IF(OR(NOT(ISNUMBER($L$5)),NOT(ISNUMBER(INDEX($L$2:$L$6,IFERROR(IF(ISNUMBER(INDEX(aditivos!$O$2:$O$200,MATCH($A68,aditivos!$A$2:$A$200,0))),MIN(INDEX(aditivos!$O$2:$O$200,MATCH($A68,aditivos!$A$2:$A$200,0)),posicao_contratual!$Y68),posicao_contratual!$Y68),posicao_contratual!$Y68)+1)))),"",ROUND(itens_Remanesc!C68*$L$5/INDEX($L$2:$L$6,IFERROR(IF(ISNUMBER(INDEX(aditivos!$O$2:$O$200,MATCH($A68,aditivos!$A$2:$A$200,0))),MIN(INDEX(aditivos!$O$2:$O$200,MATCH($A68,aditivos!$A$2:$A$200,0)),posicao_contratual!$Y68),posicao_contratual!$Y68),posicao_contratual!$Y68)+1),2))))))</f>
        <v/>
      </c>
      <c r="G68" s="79" t="str">
        <f>IF(OR($A68="",posicao_contratual!$Y68=""),"",IF(posicao_contratual!$Y68&gt;4,"",IF(NOT(ISNUMBER(itens_Remanesc!C68)),"",IF(posicao_contratual!$Y68=4,IF(IFERROR(IF(ISNUMBER(INDEX(aditivos!$O$2:$O$200,MATCH($A68,aditivos!$A$2:$A$200,0))),MIN(INDEX(aditivos!$O$2:$O$200,MATCH($A68,aditivos!$A$2:$A$200,0)),posicao_contratual!$Y68),posicao_contratual!$Y68),posicao_contratual!$Y68)=4,itens_Remanesc!C68,IFERROR(ROUND(itens_Remanesc!C68*INDEX($L$2:$L$6,MIN(4+1,COUNT($L$2:$L$6)))/INDEX($L$2:$L$6,MIN(IFERROR(IF(ISNUMBER(INDEX(aditivos!$O$2:$O$200,MATCH($A68,aditivos!$A$2:$A$200,0))),MIN(INDEX(aditivos!$O$2:$O$200,MATCH($A68,aditivos!$A$2:$A$200,0)),posicao_contratual!$Y68),posicao_contratual!$Y68),posicao_contratual!$Y68)+1,COUNT($L$2:$L$6))),2),"")),IF(OR(NOT(ISNUMBER($L$6)),NOT(ISNUMBER(INDEX($L$2:$L$6,IFERROR(IF(ISNUMBER(INDEX(aditivos!$O$2:$O$200,MATCH($A68,aditivos!$A$2:$A$200,0))),MIN(INDEX(aditivos!$O$2:$O$200,MATCH($A68,aditivos!$A$2:$A$200,0)),posicao_contratual!$Y68),posicao_contratual!$Y68),posicao_contratual!$Y68)+1)))),"",ROUND(itens_Remanesc!C68*$L$6/INDEX($L$2:$L$6,IFERROR(IF(ISNUMBER(INDEX(aditivos!$O$2:$O$200,MATCH($A68,aditivos!$A$2:$A$200,0))),MIN(INDEX(aditivos!$O$2:$O$200,MATCH($A68,aditivos!$A$2:$A$200,0)),posicao_contratual!$Y68),posicao_contratual!$Y68),posicao_contratual!$Y68)+1),2))))))</f>
        <v/>
      </c>
      <c r="H68" s="116" t="str">
        <f t="shared" si="2"/>
        <v/>
      </c>
      <c r="I68" s="14"/>
      <c r="J68" s="14"/>
      <c r="K68" s="14"/>
      <c r="L68" s="14"/>
      <c r="M68" s="14"/>
      <c r="N68" s="147" t="str">
        <f>IF(A68="","",IF(posicao_contratual!$Y68="","",IF(posicao_contratual!$Y68&gt;0,"",posicao_contratual!E68)))</f>
        <v/>
      </c>
      <c r="O68" s="147" t="str">
        <f>IF(A68="","",IF(posicao_contratual!$Y68="","",IF(posicao_contratual!$Y68&gt;1,"",posicao_contratual!I68)))</f>
        <v/>
      </c>
      <c r="P68" s="147" t="str">
        <f>IF(A68="","",IF(posicao_contratual!$Y68="","",IF(posicao_contratual!$Y68&gt;2,"",posicao_contratual!M68)))</f>
        <v/>
      </c>
      <c r="Q68" s="147" t="str">
        <f>IF(A68="","",IF(posicao_contratual!$Y68="","",IF(posicao_contratual!$Y68&gt;3,"",posicao_contratual!Q68)))</f>
        <v/>
      </c>
      <c r="R68" s="147" t="str">
        <f>IF(A68="","",IF(posicao_contratual!$Y68="","",IF(posicao_contratual!$Y68&gt;4,"",posicao_contratual!U68)))</f>
        <v/>
      </c>
      <c r="S68" s="167" t="str">
        <f>IF(A68="","",posicao_contratual!G68)</f>
        <v/>
      </c>
      <c r="T68" s="167" t="str">
        <f>IF(A68="","",posicao_contratual!K68)</f>
        <v/>
      </c>
      <c r="U68" s="167" t="str">
        <f>IF(A68="","",posicao_contratual!O68)</f>
        <v/>
      </c>
      <c r="V68" s="167" t="str">
        <f>IF(A68="","",posicao_contratual!S68)</f>
        <v/>
      </c>
      <c r="W68" s="167" t="str">
        <f>IF(A68="","",posicao_contratual!W68)</f>
        <v/>
      </c>
    </row>
    <row r="69" spans="1:23" x14ac:dyDescent="0.35">
      <c r="A69" s="86" t="str">
        <f>IF(itens_Remanesc!A69="","",itens_Remanesc!A69)</f>
        <v/>
      </c>
      <c r="B69" s="85" t="str">
        <f>IF(A69="","",IF(posicao_contratual!$Y69="","",IF(posicao_contratual!$Y69&gt;0,"",posicao_contratual!G69)))</f>
        <v/>
      </c>
      <c r="C69" s="79" t="str">
        <f>IF(itens_Remanesc!A69="","",IF(posicao_contratual!$Y69="","",IF(posicao_contratual!$Y69&gt;0,"",itens_Remanesc!C69)))</f>
        <v/>
      </c>
      <c r="D69" s="79" t="str">
        <f>IF(OR($A69="",posicao_contratual!$Y69=""),"",IF(posicao_contratual!$Y69&gt;1,"",IF(NOT(ISNUMBER(itens_Remanesc!C69)),"",IF(posicao_contratual!$Y69=1,IF(IFERROR(IF(ISNUMBER(INDEX(aditivos!$O$2:$O$200,MATCH($A69,aditivos!$A$2:$A$200,0))),MIN(INDEX(aditivos!$O$2:$O$200,MATCH($A69,aditivos!$A$2:$A$200,0)),posicao_contratual!$Y69),posicao_contratual!$Y69),posicao_contratual!$Y69)=1,itens_Remanesc!C69,IFERROR(ROUND(itens_Remanesc!C69*INDEX($L$2:$L$6,MIN(1+1,COUNT($L$2:$L$6)))/INDEX($L$2:$L$6,MIN(IFERROR(IF(ISNUMBER(INDEX(aditivos!$O$2:$O$200,MATCH($A69,aditivos!$A$2:$A$200,0))),MIN(INDEX(aditivos!$O$2:$O$200,MATCH($A69,aditivos!$A$2:$A$200,0)),posicao_contratual!$Y69),posicao_contratual!$Y69),posicao_contratual!$Y69)+1,COUNT($L$2:$L$6))),2),"")),IF(OR(NOT(ISNUMBER($L$3)),NOT(ISNUMBER(INDEX($L$2:$L$6,IFERROR(IF(ISNUMBER(INDEX(aditivos!$O$2:$O$200,MATCH($A69,aditivos!$A$2:$A$200,0))),MIN(INDEX(aditivos!$O$2:$O$200,MATCH($A69,aditivos!$A$2:$A$200,0)),posicao_contratual!$Y69),posicao_contratual!$Y69),posicao_contratual!$Y69)+1)))),"",ROUND(itens_Remanesc!C69*$L$3/INDEX($L$2:$L$6,IFERROR(IF(ISNUMBER(INDEX(aditivos!$O$2:$O$200,MATCH($A69,aditivos!$A$2:$A$200,0))),MIN(INDEX(aditivos!$O$2:$O$200,MATCH($A69,aditivos!$A$2:$A$200,0)),posicao_contratual!$Y69),posicao_contratual!$Y69),posicao_contratual!$Y69)+1),2))))))</f>
        <v/>
      </c>
      <c r="E69" s="79" t="str">
        <f>IF(OR($A69="",posicao_contratual!$Y69=""),"",IF(posicao_contratual!$Y69&gt;2,"",IF(NOT(ISNUMBER(itens_Remanesc!C69)),"",IF(posicao_contratual!$Y69=2,IF(IFERROR(IF(ISNUMBER(INDEX(aditivos!$O$2:$O$200,MATCH($A69,aditivos!$A$2:$A$200,0))),MIN(INDEX(aditivos!$O$2:$O$200,MATCH($A69,aditivos!$A$2:$A$200,0)),posicao_contratual!$Y69),posicao_contratual!$Y69),posicao_contratual!$Y69)=2,itens_Remanesc!C69,IFERROR(ROUND(itens_Remanesc!C69*INDEX($L$2:$L$6,MIN(2+1,COUNT($L$2:$L$6)))/INDEX($L$2:$L$6,MIN(IFERROR(IF(ISNUMBER(INDEX(aditivos!$O$2:$O$200,MATCH($A69,aditivos!$A$2:$A$200,0))),MIN(INDEX(aditivos!$O$2:$O$200,MATCH($A69,aditivos!$A$2:$A$200,0)),posicao_contratual!$Y69),posicao_contratual!$Y69),posicao_contratual!$Y69)+1,COUNT($L$2:$L$6))),2),"")),IF(OR(NOT(ISNUMBER($L$4)),NOT(ISNUMBER(INDEX($L$2:$L$6,IFERROR(IF(ISNUMBER(INDEX(aditivos!$O$2:$O$200,MATCH($A69,aditivos!$A$2:$A$200,0))),MIN(INDEX(aditivos!$O$2:$O$200,MATCH($A69,aditivos!$A$2:$A$200,0)),posicao_contratual!$Y69),posicao_contratual!$Y69),posicao_contratual!$Y69)+1)))),"",ROUND(itens_Remanesc!C69*$L$4/INDEX($L$2:$L$6,IFERROR(IF(ISNUMBER(INDEX(aditivos!$O$2:$O$200,MATCH($A69,aditivos!$A$2:$A$200,0))),MIN(INDEX(aditivos!$O$2:$O$200,MATCH($A69,aditivos!$A$2:$A$200,0)),posicao_contratual!$Y69),posicao_contratual!$Y69),posicao_contratual!$Y69)+1),2))))))</f>
        <v/>
      </c>
      <c r="F69" s="79" t="str">
        <f>IF(OR($A69="",posicao_contratual!$Y69=""),"",IF(posicao_contratual!$Y69&gt;3,"",IF(NOT(ISNUMBER(itens_Remanesc!C69)),"",IF(posicao_contratual!$Y69=3,IF(IFERROR(IF(ISNUMBER(INDEX(aditivos!$O$2:$O$200,MATCH($A69,aditivos!$A$2:$A$200,0))),MIN(INDEX(aditivos!$O$2:$O$200,MATCH($A69,aditivos!$A$2:$A$200,0)),posicao_contratual!$Y69),posicao_contratual!$Y69),posicao_contratual!$Y69)=3,itens_Remanesc!C69,IFERROR(ROUND(itens_Remanesc!C69*INDEX($L$2:$L$6,MIN(3+1,COUNT($L$2:$L$6)))/INDEX($L$2:$L$6,MIN(IFERROR(IF(ISNUMBER(INDEX(aditivos!$O$2:$O$200,MATCH($A69,aditivos!$A$2:$A$200,0))),MIN(INDEX(aditivos!$O$2:$O$200,MATCH($A69,aditivos!$A$2:$A$200,0)),posicao_contratual!$Y69),posicao_contratual!$Y69),posicao_contratual!$Y69)+1,COUNT($L$2:$L$6))),2),"")),IF(OR(NOT(ISNUMBER($L$5)),NOT(ISNUMBER(INDEX($L$2:$L$6,IFERROR(IF(ISNUMBER(INDEX(aditivos!$O$2:$O$200,MATCH($A69,aditivos!$A$2:$A$200,0))),MIN(INDEX(aditivos!$O$2:$O$200,MATCH($A69,aditivos!$A$2:$A$200,0)),posicao_contratual!$Y69),posicao_contratual!$Y69),posicao_contratual!$Y69)+1)))),"",ROUND(itens_Remanesc!C69*$L$5/INDEX($L$2:$L$6,IFERROR(IF(ISNUMBER(INDEX(aditivos!$O$2:$O$200,MATCH($A69,aditivos!$A$2:$A$200,0))),MIN(INDEX(aditivos!$O$2:$O$200,MATCH($A69,aditivos!$A$2:$A$200,0)),posicao_contratual!$Y69),posicao_contratual!$Y69),posicao_contratual!$Y69)+1),2))))))</f>
        <v/>
      </c>
      <c r="G69" s="79" t="str">
        <f>IF(OR($A69="",posicao_contratual!$Y69=""),"",IF(posicao_contratual!$Y69&gt;4,"",IF(NOT(ISNUMBER(itens_Remanesc!C69)),"",IF(posicao_contratual!$Y69=4,IF(IFERROR(IF(ISNUMBER(INDEX(aditivos!$O$2:$O$200,MATCH($A69,aditivos!$A$2:$A$200,0))),MIN(INDEX(aditivos!$O$2:$O$200,MATCH($A69,aditivos!$A$2:$A$200,0)),posicao_contratual!$Y69),posicao_contratual!$Y69),posicao_contratual!$Y69)=4,itens_Remanesc!C69,IFERROR(ROUND(itens_Remanesc!C69*INDEX($L$2:$L$6,MIN(4+1,COUNT($L$2:$L$6)))/INDEX($L$2:$L$6,MIN(IFERROR(IF(ISNUMBER(INDEX(aditivos!$O$2:$O$200,MATCH($A69,aditivos!$A$2:$A$200,0))),MIN(INDEX(aditivos!$O$2:$O$200,MATCH($A69,aditivos!$A$2:$A$200,0)),posicao_contratual!$Y69),posicao_contratual!$Y69),posicao_contratual!$Y69)+1,COUNT($L$2:$L$6))),2),"")),IF(OR(NOT(ISNUMBER($L$6)),NOT(ISNUMBER(INDEX($L$2:$L$6,IFERROR(IF(ISNUMBER(INDEX(aditivos!$O$2:$O$200,MATCH($A69,aditivos!$A$2:$A$200,0))),MIN(INDEX(aditivos!$O$2:$O$200,MATCH($A69,aditivos!$A$2:$A$200,0)),posicao_contratual!$Y69),posicao_contratual!$Y69),posicao_contratual!$Y69)+1)))),"",ROUND(itens_Remanesc!C69*$L$6/INDEX($L$2:$L$6,IFERROR(IF(ISNUMBER(INDEX(aditivos!$O$2:$O$200,MATCH($A69,aditivos!$A$2:$A$200,0))),MIN(INDEX(aditivos!$O$2:$O$200,MATCH($A69,aditivos!$A$2:$A$200,0)),posicao_contratual!$Y69),posicao_contratual!$Y69),posicao_contratual!$Y69)+1),2))))))</f>
        <v/>
      </c>
      <c r="H69" s="116" t="str">
        <f t="shared" si="2"/>
        <v/>
      </c>
      <c r="I69" s="14"/>
      <c r="J69" s="14"/>
      <c r="K69" s="14"/>
      <c r="L69" s="14"/>
      <c r="M69" s="14"/>
      <c r="N69" s="147" t="str">
        <f>IF(A69="","",IF(posicao_contratual!$Y69="","",IF(posicao_contratual!$Y69&gt;0,"",posicao_contratual!E69)))</f>
        <v/>
      </c>
      <c r="O69" s="147" t="str">
        <f>IF(A69="","",IF(posicao_contratual!$Y69="","",IF(posicao_contratual!$Y69&gt;1,"",posicao_contratual!I69)))</f>
        <v/>
      </c>
      <c r="P69" s="147" t="str">
        <f>IF(A69="","",IF(posicao_contratual!$Y69="","",IF(posicao_contratual!$Y69&gt;2,"",posicao_contratual!M69)))</f>
        <v/>
      </c>
      <c r="Q69" s="147" t="str">
        <f>IF(A69="","",IF(posicao_contratual!$Y69="","",IF(posicao_contratual!$Y69&gt;3,"",posicao_contratual!Q69)))</f>
        <v/>
      </c>
      <c r="R69" s="147" t="str">
        <f>IF(A69="","",IF(posicao_contratual!$Y69="","",IF(posicao_contratual!$Y69&gt;4,"",posicao_contratual!U69)))</f>
        <v/>
      </c>
      <c r="S69" s="167" t="str">
        <f>IF(A69="","",posicao_contratual!G69)</f>
        <v/>
      </c>
      <c r="T69" s="167" t="str">
        <f>IF(A69="","",posicao_contratual!K69)</f>
        <v/>
      </c>
      <c r="U69" s="167" t="str">
        <f>IF(A69="","",posicao_contratual!O69)</f>
        <v/>
      </c>
      <c r="V69" s="167" t="str">
        <f>IF(A69="","",posicao_contratual!S69)</f>
        <v/>
      </c>
      <c r="W69" s="167" t="str">
        <f>IF(A69="","",posicao_contratual!W69)</f>
        <v/>
      </c>
    </row>
    <row r="70" spans="1:23" x14ac:dyDescent="0.35">
      <c r="A70" s="86" t="str">
        <f>IF(itens_Remanesc!A70="","",itens_Remanesc!A70)</f>
        <v/>
      </c>
      <c r="B70" s="85" t="str">
        <f>IF(A70="","",IF(posicao_contratual!$Y70="","",IF(posicao_contratual!$Y70&gt;0,"",posicao_contratual!G70)))</f>
        <v/>
      </c>
      <c r="C70" s="79" t="str">
        <f>IF(itens_Remanesc!A70="","",IF(posicao_contratual!$Y70="","",IF(posicao_contratual!$Y70&gt;0,"",itens_Remanesc!C70)))</f>
        <v/>
      </c>
      <c r="D70" s="79" t="str">
        <f>IF(OR($A70="",posicao_contratual!$Y70=""),"",IF(posicao_contratual!$Y70&gt;1,"",IF(NOT(ISNUMBER(itens_Remanesc!C70)),"",IF(posicao_contratual!$Y70=1,IF(IFERROR(IF(ISNUMBER(INDEX(aditivos!$O$2:$O$200,MATCH($A70,aditivos!$A$2:$A$200,0))),MIN(INDEX(aditivos!$O$2:$O$200,MATCH($A70,aditivos!$A$2:$A$200,0)),posicao_contratual!$Y70),posicao_contratual!$Y70),posicao_contratual!$Y70)=1,itens_Remanesc!C70,IFERROR(ROUND(itens_Remanesc!C70*INDEX($L$2:$L$6,MIN(1+1,COUNT($L$2:$L$6)))/INDEX($L$2:$L$6,MIN(IFERROR(IF(ISNUMBER(INDEX(aditivos!$O$2:$O$200,MATCH($A70,aditivos!$A$2:$A$200,0))),MIN(INDEX(aditivos!$O$2:$O$200,MATCH($A70,aditivos!$A$2:$A$200,0)),posicao_contratual!$Y70),posicao_contratual!$Y70),posicao_contratual!$Y70)+1,COUNT($L$2:$L$6))),2),"")),IF(OR(NOT(ISNUMBER($L$3)),NOT(ISNUMBER(INDEX($L$2:$L$6,IFERROR(IF(ISNUMBER(INDEX(aditivos!$O$2:$O$200,MATCH($A70,aditivos!$A$2:$A$200,0))),MIN(INDEX(aditivos!$O$2:$O$200,MATCH($A70,aditivos!$A$2:$A$200,0)),posicao_contratual!$Y70),posicao_contratual!$Y70),posicao_contratual!$Y70)+1)))),"",ROUND(itens_Remanesc!C70*$L$3/INDEX($L$2:$L$6,IFERROR(IF(ISNUMBER(INDEX(aditivos!$O$2:$O$200,MATCH($A70,aditivos!$A$2:$A$200,0))),MIN(INDEX(aditivos!$O$2:$O$200,MATCH($A70,aditivos!$A$2:$A$200,0)),posicao_contratual!$Y70),posicao_contratual!$Y70),posicao_contratual!$Y70)+1),2))))))</f>
        <v/>
      </c>
      <c r="E70" s="79" t="str">
        <f>IF(OR($A70="",posicao_contratual!$Y70=""),"",IF(posicao_contratual!$Y70&gt;2,"",IF(NOT(ISNUMBER(itens_Remanesc!C70)),"",IF(posicao_contratual!$Y70=2,IF(IFERROR(IF(ISNUMBER(INDEX(aditivos!$O$2:$O$200,MATCH($A70,aditivos!$A$2:$A$200,0))),MIN(INDEX(aditivos!$O$2:$O$200,MATCH($A70,aditivos!$A$2:$A$200,0)),posicao_contratual!$Y70),posicao_contratual!$Y70),posicao_contratual!$Y70)=2,itens_Remanesc!C70,IFERROR(ROUND(itens_Remanesc!C70*INDEX($L$2:$L$6,MIN(2+1,COUNT($L$2:$L$6)))/INDEX($L$2:$L$6,MIN(IFERROR(IF(ISNUMBER(INDEX(aditivos!$O$2:$O$200,MATCH($A70,aditivos!$A$2:$A$200,0))),MIN(INDEX(aditivos!$O$2:$O$200,MATCH($A70,aditivos!$A$2:$A$200,0)),posicao_contratual!$Y70),posicao_contratual!$Y70),posicao_contratual!$Y70)+1,COUNT($L$2:$L$6))),2),"")),IF(OR(NOT(ISNUMBER($L$4)),NOT(ISNUMBER(INDEX($L$2:$L$6,IFERROR(IF(ISNUMBER(INDEX(aditivos!$O$2:$O$200,MATCH($A70,aditivos!$A$2:$A$200,0))),MIN(INDEX(aditivos!$O$2:$O$200,MATCH($A70,aditivos!$A$2:$A$200,0)),posicao_contratual!$Y70),posicao_contratual!$Y70),posicao_contratual!$Y70)+1)))),"",ROUND(itens_Remanesc!C70*$L$4/INDEX($L$2:$L$6,IFERROR(IF(ISNUMBER(INDEX(aditivos!$O$2:$O$200,MATCH($A70,aditivos!$A$2:$A$200,0))),MIN(INDEX(aditivos!$O$2:$O$200,MATCH($A70,aditivos!$A$2:$A$200,0)),posicao_contratual!$Y70),posicao_contratual!$Y70),posicao_contratual!$Y70)+1),2))))))</f>
        <v/>
      </c>
      <c r="F70" s="79" t="str">
        <f>IF(OR($A70="",posicao_contratual!$Y70=""),"",IF(posicao_contratual!$Y70&gt;3,"",IF(NOT(ISNUMBER(itens_Remanesc!C70)),"",IF(posicao_contratual!$Y70=3,IF(IFERROR(IF(ISNUMBER(INDEX(aditivos!$O$2:$O$200,MATCH($A70,aditivos!$A$2:$A$200,0))),MIN(INDEX(aditivos!$O$2:$O$200,MATCH($A70,aditivos!$A$2:$A$200,0)),posicao_contratual!$Y70),posicao_contratual!$Y70),posicao_contratual!$Y70)=3,itens_Remanesc!C70,IFERROR(ROUND(itens_Remanesc!C70*INDEX($L$2:$L$6,MIN(3+1,COUNT($L$2:$L$6)))/INDEX($L$2:$L$6,MIN(IFERROR(IF(ISNUMBER(INDEX(aditivos!$O$2:$O$200,MATCH($A70,aditivos!$A$2:$A$200,0))),MIN(INDEX(aditivos!$O$2:$O$200,MATCH($A70,aditivos!$A$2:$A$200,0)),posicao_contratual!$Y70),posicao_contratual!$Y70),posicao_contratual!$Y70)+1,COUNT($L$2:$L$6))),2),"")),IF(OR(NOT(ISNUMBER($L$5)),NOT(ISNUMBER(INDEX($L$2:$L$6,IFERROR(IF(ISNUMBER(INDEX(aditivos!$O$2:$O$200,MATCH($A70,aditivos!$A$2:$A$200,0))),MIN(INDEX(aditivos!$O$2:$O$200,MATCH($A70,aditivos!$A$2:$A$200,0)),posicao_contratual!$Y70),posicao_contratual!$Y70),posicao_contratual!$Y70)+1)))),"",ROUND(itens_Remanesc!C70*$L$5/INDEX($L$2:$L$6,IFERROR(IF(ISNUMBER(INDEX(aditivos!$O$2:$O$200,MATCH($A70,aditivos!$A$2:$A$200,0))),MIN(INDEX(aditivos!$O$2:$O$200,MATCH($A70,aditivos!$A$2:$A$200,0)),posicao_contratual!$Y70),posicao_contratual!$Y70),posicao_contratual!$Y70)+1),2))))))</f>
        <v/>
      </c>
      <c r="G70" s="79" t="str">
        <f>IF(OR($A70="",posicao_contratual!$Y70=""),"",IF(posicao_contratual!$Y70&gt;4,"",IF(NOT(ISNUMBER(itens_Remanesc!C70)),"",IF(posicao_contratual!$Y70=4,IF(IFERROR(IF(ISNUMBER(INDEX(aditivos!$O$2:$O$200,MATCH($A70,aditivos!$A$2:$A$200,0))),MIN(INDEX(aditivos!$O$2:$O$200,MATCH($A70,aditivos!$A$2:$A$200,0)),posicao_contratual!$Y70),posicao_contratual!$Y70),posicao_contratual!$Y70)=4,itens_Remanesc!C70,IFERROR(ROUND(itens_Remanesc!C70*INDEX($L$2:$L$6,MIN(4+1,COUNT($L$2:$L$6)))/INDEX($L$2:$L$6,MIN(IFERROR(IF(ISNUMBER(INDEX(aditivos!$O$2:$O$200,MATCH($A70,aditivos!$A$2:$A$200,0))),MIN(INDEX(aditivos!$O$2:$O$200,MATCH($A70,aditivos!$A$2:$A$200,0)),posicao_contratual!$Y70),posicao_contratual!$Y70),posicao_contratual!$Y70)+1,COUNT($L$2:$L$6))),2),"")),IF(OR(NOT(ISNUMBER($L$6)),NOT(ISNUMBER(INDEX($L$2:$L$6,IFERROR(IF(ISNUMBER(INDEX(aditivos!$O$2:$O$200,MATCH($A70,aditivos!$A$2:$A$200,0))),MIN(INDEX(aditivos!$O$2:$O$200,MATCH($A70,aditivos!$A$2:$A$200,0)),posicao_contratual!$Y70),posicao_contratual!$Y70),posicao_contratual!$Y70)+1)))),"",ROUND(itens_Remanesc!C70*$L$6/INDEX($L$2:$L$6,IFERROR(IF(ISNUMBER(INDEX(aditivos!$O$2:$O$200,MATCH($A70,aditivos!$A$2:$A$200,0))),MIN(INDEX(aditivos!$O$2:$O$200,MATCH($A70,aditivos!$A$2:$A$200,0)),posicao_contratual!$Y70),posicao_contratual!$Y70),posicao_contratual!$Y70)+1),2))))))</f>
        <v/>
      </c>
      <c r="H70" s="116" t="str">
        <f t="shared" si="2"/>
        <v/>
      </c>
      <c r="I70" s="14"/>
      <c r="J70" s="14"/>
      <c r="K70" s="14"/>
      <c r="L70" s="14"/>
      <c r="M70" s="14"/>
      <c r="N70" s="147" t="str">
        <f>IF(A70="","",IF(posicao_contratual!$Y70="","",IF(posicao_contratual!$Y70&gt;0,"",posicao_contratual!E70)))</f>
        <v/>
      </c>
      <c r="O70" s="147" t="str">
        <f>IF(A70="","",IF(posicao_contratual!$Y70="","",IF(posicao_contratual!$Y70&gt;1,"",posicao_contratual!I70)))</f>
        <v/>
      </c>
      <c r="P70" s="147" t="str">
        <f>IF(A70="","",IF(posicao_contratual!$Y70="","",IF(posicao_contratual!$Y70&gt;2,"",posicao_contratual!M70)))</f>
        <v/>
      </c>
      <c r="Q70" s="147" t="str">
        <f>IF(A70="","",IF(posicao_contratual!$Y70="","",IF(posicao_contratual!$Y70&gt;3,"",posicao_contratual!Q70)))</f>
        <v/>
      </c>
      <c r="R70" s="147" t="str">
        <f>IF(A70="","",IF(posicao_contratual!$Y70="","",IF(posicao_contratual!$Y70&gt;4,"",posicao_contratual!U70)))</f>
        <v/>
      </c>
      <c r="S70" s="167" t="str">
        <f>IF(A70="","",posicao_contratual!G70)</f>
        <v/>
      </c>
      <c r="T70" s="167" t="str">
        <f>IF(A70="","",posicao_contratual!K70)</f>
        <v/>
      </c>
      <c r="U70" s="167" t="str">
        <f>IF(A70="","",posicao_contratual!O70)</f>
        <v/>
      </c>
      <c r="V70" s="167" t="str">
        <f>IF(A70="","",posicao_contratual!S70)</f>
        <v/>
      </c>
      <c r="W70" s="167" t="str">
        <f>IF(A70="","",posicao_contratual!W70)</f>
        <v/>
      </c>
    </row>
    <row r="71" spans="1:23" x14ac:dyDescent="0.35">
      <c r="A71" s="86" t="str">
        <f>IF(itens_Remanesc!A71="","",itens_Remanesc!A71)</f>
        <v/>
      </c>
      <c r="B71" s="85" t="str">
        <f>IF(A71="","",IF(posicao_contratual!$Y71="","",IF(posicao_contratual!$Y71&gt;0,"",posicao_contratual!G71)))</f>
        <v/>
      </c>
      <c r="C71" s="79" t="str">
        <f>IF(itens_Remanesc!A71="","",IF(posicao_contratual!$Y71="","",IF(posicao_contratual!$Y71&gt;0,"",itens_Remanesc!C71)))</f>
        <v/>
      </c>
      <c r="D71" s="79" t="str">
        <f>IF(OR($A71="",posicao_contratual!$Y71=""),"",IF(posicao_contratual!$Y71&gt;1,"",IF(NOT(ISNUMBER(itens_Remanesc!C71)),"",IF(posicao_contratual!$Y71=1,IF(IFERROR(IF(ISNUMBER(INDEX(aditivos!$O$2:$O$200,MATCH($A71,aditivos!$A$2:$A$200,0))),MIN(INDEX(aditivos!$O$2:$O$200,MATCH($A71,aditivos!$A$2:$A$200,0)),posicao_contratual!$Y71),posicao_contratual!$Y71),posicao_contratual!$Y71)=1,itens_Remanesc!C71,IFERROR(ROUND(itens_Remanesc!C71*INDEX($L$2:$L$6,MIN(1+1,COUNT($L$2:$L$6)))/INDEX($L$2:$L$6,MIN(IFERROR(IF(ISNUMBER(INDEX(aditivos!$O$2:$O$200,MATCH($A71,aditivos!$A$2:$A$200,0))),MIN(INDEX(aditivos!$O$2:$O$200,MATCH($A71,aditivos!$A$2:$A$200,0)),posicao_contratual!$Y71),posicao_contratual!$Y71),posicao_contratual!$Y71)+1,COUNT($L$2:$L$6))),2),"")),IF(OR(NOT(ISNUMBER($L$3)),NOT(ISNUMBER(INDEX($L$2:$L$6,IFERROR(IF(ISNUMBER(INDEX(aditivos!$O$2:$O$200,MATCH($A71,aditivos!$A$2:$A$200,0))),MIN(INDEX(aditivos!$O$2:$O$200,MATCH($A71,aditivos!$A$2:$A$200,0)),posicao_contratual!$Y71),posicao_contratual!$Y71),posicao_contratual!$Y71)+1)))),"",ROUND(itens_Remanesc!C71*$L$3/INDEX($L$2:$L$6,IFERROR(IF(ISNUMBER(INDEX(aditivos!$O$2:$O$200,MATCH($A71,aditivos!$A$2:$A$200,0))),MIN(INDEX(aditivos!$O$2:$O$200,MATCH($A71,aditivos!$A$2:$A$200,0)),posicao_contratual!$Y71),posicao_contratual!$Y71),posicao_contratual!$Y71)+1),2))))))</f>
        <v/>
      </c>
      <c r="E71" s="79" t="str">
        <f>IF(OR($A71="",posicao_contratual!$Y71=""),"",IF(posicao_contratual!$Y71&gt;2,"",IF(NOT(ISNUMBER(itens_Remanesc!C71)),"",IF(posicao_contratual!$Y71=2,IF(IFERROR(IF(ISNUMBER(INDEX(aditivos!$O$2:$O$200,MATCH($A71,aditivos!$A$2:$A$200,0))),MIN(INDEX(aditivos!$O$2:$O$200,MATCH($A71,aditivos!$A$2:$A$200,0)),posicao_contratual!$Y71),posicao_contratual!$Y71),posicao_contratual!$Y71)=2,itens_Remanesc!C71,IFERROR(ROUND(itens_Remanesc!C71*INDEX($L$2:$L$6,MIN(2+1,COUNT($L$2:$L$6)))/INDEX($L$2:$L$6,MIN(IFERROR(IF(ISNUMBER(INDEX(aditivos!$O$2:$O$200,MATCH($A71,aditivos!$A$2:$A$200,0))),MIN(INDEX(aditivos!$O$2:$O$200,MATCH($A71,aditivos!$A$2:$A$200,0)),posicao_contratual!$Y71),posicao_contratual!$Y71),posicao_contratual!$Y71)+1,COUNT($L$2:$L$6))),2),"")),IF(OR(NOT(ISNUMBER($L$4)),NOT(ISNUMBER(INDEX($L$2:$L$6,IFERROR(IF(ISNUMBER(INDEX(aditivos!$O$2:$O$200,MATCH($A71,aditivos!$A$2:$A$200,0))),MIN(INDEX(aditivos!$O$2:$O$200,MATCH($A71,aditivos!$A$2:$A$200,0)),posicao_contratual!$Y71),posicao_contratual!$Y71),posicao_contratual!$Y71)+1)))),"",ROUND(itens_Remanesc!C71*$L$4/INDEX($L$2:$L$6,IFERROR(IF(ISNUMBER(INDEX(aditivos!$O$2:$O$200,MATCH($A71,aditivos!$A$2:$A$200,0))),MIN(INDEX(aditivos!$O$2:$O$200,MATCH($A71,aditivos!$A$2:$A$200,0)),posicao_contratual!$Y71),posicao_contratual!$Y71),posicao_contratual!$Y71)+1),2))))))</f>
        <v/>
      </c>
      <c r="F71" s="79" t="str">
        <f>IF(OR($A71="",posicao_contratual!$Y71=""),"",IF(posicao_contratual!$Y71&gt;3,"",IF(NOT(ISNUMBER(itens_Remanesc!C71)),"",IF(posicao_contratual!$Y71=3,IF(IFERROR(IF(ISNUMBER(INDEX(aditivos!$O$2:$O$200,MATCH($A71,aditivos!$A$2:$A$200,0))),MIN(INDEX(aditivos!$O$2:$O$200,MATCH($A71,aditivos!$A$2:$A$200,0)),posicao_contratual!$Y71),posicao_contratual!$Y71),posicao_contratual!$Y71)=3,itens_Remanesc!C71,IFERROR(ROUND(itens_Remanesc!C71*INDEX($L$2:$L$6,MIN(3+1,COUNT($L$2:$L$6)))/INDEX($L$2:$L$6,MIN(IFERROR(IF(ISNUMBER(INDEX(aditivos!$O$2:$O$200,MATCH($A71,aditivos!$A$2:$A$200,0))),MIN(INDEX(aditivos!$O$2:$O$200,MATCH($A71,aditivos!$A$2:$A$200,0)),posicao_contratual!$Y71),posicao_contratual!$Y71),posicao_contratual!$Y71)+1,COUNT($L$2:$L$6))),2),"")),IF(OR(NOT(ISNUMBER($L$5)),NOT(ISNUMBER(INDEX($L$2:$L$6,IFERROR(IF(ISNUMBER(INDEX(aditivos!$O$2:$O$200,MATCH($A71,aditivos!$A$2:$A$200,0))),MIN(INDEX(aditivos!$O$2:$O$200,MATCH($A71,aditivos!$A$2:$A$200,0)),posicao_contratual!$Y71),posicao_contratual!$Y71),posicao_contratual!$Y71)+1)))),"",ROUND(itens_Remanesc!C71*$L$5/INDEX($L$2:$L$6,IFERROR(IF(ISNUMBER(INDEX(aditivos!$O$2:$O$200,MATCH($A71,aditivos!$A$2:$A$200,0))),MIN(INDEX(aditivos!$O$2:$O$200,MATCH($A71,aditivos!$A$2:$A$200,0)),posicao_contratual!$Y71),posicao_contratual!$Y71),posicao_contratual!$Y71)+1),2))))))</f>
        <v/>
      </c>
      <c r="G71" s="79" t="str">
        <f>IF(OR($A71="",posicao_contratual!$Y71=""),"",IF(posicao_contratual!$Y71&gt;4,"",IF(NOT(ISNUMBER(itens_Remanesc!C71)),"",IF(posicao_contratual!$Y71=4,IF(IFERROR(IF(ISNUMBER(INDEX(aditivos!$O$2:$O$200,MATCH($A71,aditivos!$A$2:$A$200,0))),MIN(INDEX(aditivos!$O$2:$O$200,MATCH($A71,aditivos!$A$2:$A$200,0)),posicao_contratual!$Y71),posicao_contratual!$Y71),posicao_contratual!$Y71)=4,itens_Remanesc!C71,IFERROR(ROUND(itens_Remanesc!C71*INDEX($L$2:$L$6,MIN(4+1,COUNT($L$2:$L$6)))/INDEX($L$2:$L$6,MIN(IFERROR(IF(ISNUMBER(INDEX(aditivos!$O$2:$O$200,MATCH($A71,aditivos!$A$2:$A$200,0))),MIN(INDEX(aditivos!$O$2:$O$200,MATCH($A71,aditivos!$A$2:$A$200,0)),posicao_contratual!$Y71),posicao_contratual!$Y71),posicao_contratual!$Y71)+1,COUNT($L$2:$L$6))),2),"")),IF(OR(NOT(ISNUMBER($L$6)),NOT(ISNUMBER(INDEX($L$2:$L$6,IFERROR(IF(ISNUMBER(INDEX(aditivos!$O$2:$O$200,MATCH($A71,aditivos!$A$2:$A$200,0))),MIN(INDEX(aditivos!$O$2:$O$200,MATCH($A71,aditivos!$A$2:$A$200,0)),posicao_contratual!$Y71),posicao_contratual!$Y71),posicao_contratual!$Y71)+1)))),"",ROUND(itens_Remanesc!C71*$L$6/INDEX($L$2:$L$6,IFERROR(IF(ISNUMBER(INDEX(aditivos!$O$2:$O$200,MATCH($A71,aditivos!$A$2:$A$200,0))),MIN(INDEX(aditivos!$O$2:$O$200,MATCH($A71,aditivos!$A$2:$A$200,0)),posicao_contratual!$Y71),posicao_contratual!$Y71),posicao_contratual!$Y71)+1),2))))))</f>
        <v/>
      </c>
      <c r="H71" s="116" t="str">
        <f t="shared" si="2"/>
        <v/>
      </c>
      <c r="I71" s="14"/>
      <c r="J71" s="14"/>
      <c r="K71" s="14"/>
      <c r="L71" s="14"/>
      <c r="M71" s="14"/>
      <c r="N71" s="147" t="str">
        <f>IF(A71="","",IF(posicao_contratual!$Y71="","",IF(posicao_contratual!$Y71&gt;0,"",posicao_contratual!E71)))</f>
        <v/>
      </c>
      <c r="O71" s="147" t="str">
        <f>IF(A71="","",IF(posicao_contratual!$Y71="","",IF(posicao_contratual!$Y71&gt;1,"",posicao_contratual!I71)))</f>
        <v/>
      </c>
      <c r="P71" s="147" t="str">
        <f>IF(A71="","",IF(posicao_contratual!$Y71="","",IF(posicao_contratual!$Y71&gt;2,"",posicao_contratual!M71)))</f>
        <v/>
      </c>
      <c r="Q71" s="147" t="str">
        <f>IF(A71="","",IF(posicao_contratual!$Y71="","",IF(posicao_contratual!$Y71&gt;3,"",posicao_contratual!Q71)))</f>
        <v/>
      </c>
      <c r="R71" s="147" t="str">
        <f>IF(A71="","",IF(posicao_contratual!$Y71="","",IF(posicao_contratual!$Y71&gt;4,"",posicao_contratual!U71)))</f>
        <v/>
      </c>
      <c r="S71" s="167" t="str">
        <f>IF(A71="","",posicao_contratual!G71)</f>
        <v/>
      </c>
      <c r="T71" s="167" t="str">
        <f>IF(A71="","",posicao_contratual!K71)</f>
        <v/>
      </c>
      <c r="U71" s="167" t="str">
        <f>IF(A71="","",posicao_contratual!O71)</f>
        <v/>
      </c>
      <c r="V71" s="167" t="str">
        <f>IF(A71="","",posicao_contratual!S71)</f>
        <v/>
      </c>
      <c r="W71" s="167" t="str">
        <f>IF(A71="","",posicao_contratual!W71)</f>
        <v/>
      </c>
    </row>
    <row r="72" spans="1:23" x14ac:dyDescent="0.35">
      <c r="A72" s="86" t="str">
        <f>IF(itens_Remanesc!A72="","",itens_Remanesc!A72)</f>
        <v/>
      </c>
      <c r="B72" s="85" t="str">
        <f>IF(A72="","",IF(posicao_contratual!$Y72="","",IF(posicao_contratual!$Y72&gt;0,"",posicao_contratual!G72)))</f>
        <v/>
      </c>
      <c r="C72" s="79" t="str">
        <f>IF(itens_Remanesc!A72="","",IF(posicao_contratual!$Y72="","",IF(posicao_contratual!$Y72&gt;0,"",itens_Remanesc!C72)))</f>
        <v/>
      </c>
      <c r="D72" s="79" t="str">
        <f>IF(OR($A72="",posicao_contratual!$Y72=""),"",IF(posicao_contratual!$Y72&gt;1,"",IF(NOT(ISNUMBER(itens_Remanesc!C72)),"",IF(posicao_contratual!$Y72=1,IF(IFERROR(IF(ISNUMBER(INDEX(aditivos!$O$2:$O$200,MATCH($A72,aditivos!$A$2:$A$200,0))),MIN(INDEX(aditivos!$O$2:$O$200,MATCH($A72,aditivos!$A$2:$A$200,0)),posicao_contratual!$Y72),posicao_contratual!$Y72),posicao_contratual!$Y72)=1,itens_Remanesc!C72,IFERROR(ROUND(itens_Remanesc!C72*INDEX($L$2:$L$6,MIN(1+1,COUNT($L$2:$L$6)))/INDEX($L$2:$L$6,MIN(IFERROR(IF(ISNUMBER(INDEX(aditivos!$O$2:$O$200,MATCH($A72,aditivos!$A$2:$A$200,0))),MIN(INDEX(aditivos!$O$2:$O$200,MATCH($A72,aditivos!$A$2:$A$200,0)),posicao_contratual!$Y72),posicao_contratual!$Y72),posicao_contratual!$Y72)+1,COUNT($L$2:$L$6))),2),"")),IF(OR(NOT(ISNUMBER($L$3)),NOT(ISNUMBER(INDEX($L$2:$L$6,IFERROR(IF(ISNUMBER(INDEX(aditivos!$O$2:$O$200,MATCH($A72,aditivos!$A$2:$A$200,0))),MIN(INDEX(aditivos!$O$2:$O$200,MATCH($A72,aditivos!$A$2:$A$200,0)),posicao_contratual!$Y72),posicao_contratual!$Y72),posicao_contratual!$Y72)+1)))),"",ROUND(itens_Remanesc!C72*$L$3/INDEX($L$2:$L$6,IFERROR(IF(ISNUMBER(INDEX(aditivos!$O$2:$O$200,MATCH($A72,aditivos!$A$2:$A$200,0))),MIN(INDEX(aditivos!$O$2:$O$200,MATCH($A72,aditivos!$A$2:$A$200,0)),posicao_contratual!$Y72),posicao_contratual!$Y72),posicao_contratual!$Y72)+1),2))))))</f>
        <v/>
      </c>
      <c r="E72" s="79" t="str">
        <f>IF(OR($A72="",posicao_contratual!$Y72=""),"",IF(posicao_contratual!$Y72&gt;2,"",IF(NOT(ISNUMBER(itens_Remanesc!C72)),"",IF(posicao_contratual!$Y72=2,IF(IFERROR(IF(ISNUMBER(INDEX(aditivos!$O$2:$O$200,MATCH($A72,aditivos!$A$2:$A$200,0))),MIN(INDEX(aditivos!$O$2:$O$200,MATCH($A72,aditivos!$A$2:$A$200,0)),posicao_contratual!$Y72),posicao_contratual!$Y72),posicao_contratual!$Y72)=2,itens_Remanesc!C72,IFERROR(ROUND(itens_Remanesc!C72*INDEX($L$2:$L$6,MIN(2+1,COUNT($L$2:$L$6)))/INDEX($L$2:$L$6,MIN(IFERROR(IF(ISNUMBER(INDEX(aditivos!$O$2:$O$200,MATCH($A72,aditivos!$A$2:$A$200,0))),MIN(INDEX(aditivos!$O$2:$O$200,MATCH($A72,aditivos!$A$2:$A$200,0)),posicao_contratual!$Y72),posicao_contratual!$Y72),posicao_contratual!$Y72)+1,COUNT($L$2:$L$6))),2),"")),IF(OR(NOT(ISNUMBER($L$4)),NOT(ISNUMBER(INDEX($L$2:$L$6,IFERROR(IF(ISNUMBER(INDEX(aditivos!$O$2:$O$200,MATCH($A72,aditivos!$A$2:$A$200,0))),MIN(INDEX(aditivos!$O$2:$O$200,MATCH($A72,aditivos!$A$2:$A$200,0)),posicao_contratual!$Y72),posicao_contratual!$Y72),posicao_contratual!$Y72)+1)))),"",ROUND(itens_Remanesc!C72*$L$4/INDEX($L$2:$L$6,IFERROR(IF(ISNUMBER(INDEX(aditivos!$O$2:$O$200,MATCH($A72,aditivos!$A$2:$A$200,0))),MIN(INDEX(aditivos!$O$2:$O$200,MATCH($A72,aditivos!$A$2:$A$200,0)),posicao_contratual!$Y72),posicao_contratual!$Y72),posicao_contratual!$Y72)+1),2))))))</f>
        <v/>
      </c>
      <c r="F72" s="79" t="str">
        <f>IF(OR($A72="",posicao_contratual!$Y72=""),"",IF(posicao_contratual!$Y72&gt;3,"",IF(NOT(ISNUMBER(itens_Remanesc!C72)),"",IF(posicao_contratual!$Y72=3,IF(IFERROR(IF(ISNUMBER(INDEX(aditivos!$O$2:$O$200,MATCH($A72,aditivos!$A$2:$A$200,0))),MIN(INDEX(aditivos!$O$2:$O$200,MATCH($A72,aditivos!$A$2:$A$200,0)),posicao_contratual!$Y72),posicao_contratual!$Y72),posicao_contratual!$Y72)=3,itens_Remanesc!C72,IFERROR(ROUND(itens_Remanesc!C72*INDEX($L$2:$L$6,MIN(3+1,COUNT($L$2:$L$6)))/INDEX($L$2:$L$6,MIN(IFERROR(IF(ISNUMBER(INDEX(aditivos!$O$2:$O$200,MATCH($A72,aditivos!$A$2:$A$200,0))),MIN(INDEX(aditivos!$O$2:$O$200,MATCH($A72,aditivos!$A$2:$A$200,0)),posicao_contratual!$Y72),posicao_contratual!$Y72),posicao_contratual!$Y72)+1,COUNT($L$2:$L$6))),2),"")),IF(OR(NOT(ISNUMBER($L$5)),NOT(ISNUMBER(INDEX($L$2:$L$6,IFERROR(IF(ISNUMBER(INDEX(aditivos!$O$2:$O$200,MATCH($A72,aditivos!$A$2:$A$200,0))),MIN(INDEX(aditivos!$O$2:$O$200,MATCH($A72,aditivos!$A$2:$A$200,0)),posicao_contratual!$Y72),posicao_contratual!$Y72),posicao_contratual!$Y72)+1)))),"",ROUND(itens_Remanesc!C72*$L$5/INDEX($L$2:$L$6,IFERROR(IF(ISNUMBER(INDEX(aditivos!$O$2:$O$200,MATCH($A72,aditivos!$A$2:$A$200,0))),MIN(INDEX(aditivos!$O$2:$O$200,MATCH($A72,aditivos!$A$2:$A$200,0)),posicao_contratual!$Y72),posicao_contratual!$Y72),posicao_contratual!$Y72)+1),2))))))</f>
        <v/>
      </c>
      <c r="G72" s="79" t="str">
        <f>IF(OR($A72="",posicao_contratual!$Y72=""),"",IF(posicao_contratual!$Y72&gt;4,"",IF(NOT(ISNUMBER(itens_Remanesc!C72)),"",IF(posicao_contratual!$Y72=4,IF(IFERROR(IF(ISNUMBER(INDEX(aditivos!$O$2:$O$200,MATCH($A72,aditivos!$A$2:$A$200,0))),MIN(INDEX(aditivos!$O$2:$O$200,MATCH($A72,aditivos!$A$2:$A$200,0)),posicao_contratual!$Y72),posicao_contratual!$Y72),posicao_contratual!$Y72)=4,itens_Remanesc!C72,IFERROR(ROUND(itens_Remanesc!C72*INDEX($L$2:$L$6,MIN(4+1,COUNT($L$2:$L$6)))/INDEX($L$2:$L$6,MIN(IFERROR(IF(ISNUMBER(INDEX(aditivos!$O$2:$O$200,MATCH($A72,aditivos!$A$2:$A$200,0))),MIN(INDEX(aditivos!$O$2:$O$200,MATCH($A72,aditivos!$A$2:$A$200,0)),posicao_contratual!$Y72),posicao_contratual!$Y72),posicao_contratual!$Y72)+1,COUNT($L$2:$L$6))),2),"")),IF(OR(NOT(ISNUMBER($L$6)),NOT(ISNUMBER(INDEX($L$2:$L$6,IFERROR(IF(ISNUMBER(INDEX(aditivos!$O$2:$O$200,MATCH($A72,aditivos!$A$2:$A$200,0))),MIN(INDEX(aditivos!$O$2:$O$200,MATCH($A72,aditivos!$A$2:$A$200,0)),posicao_contratual!$Y72),posicao_contratual!$Y72),posicao_contratual!$Y72)+1)))),"",ROUND(itens_Remanesc!C72*$L$6/INDEX($L$2:$L$6,IFERROR(IF(ISNUMBER(INDEX(aditivos!$O$2:$O$200,MATCH($A72,aditivos!$A$2:$A$200,0))),MIN(INDEX(aditivos!$O$2:$O$200,MATCH($A72,aditivos!$A$2:$A$200,0)),posicao_contratual!$Y72),posicao_contratual!$Y72),posicao_contratual!$Y72)+1),2))))))</f>
        <v/>
      </c>
      <c r="H72" s="116" t="str">
        <f t="shared" si="2"/>
        <v/>
      </c>
      <c r="I72" s="14"/>
      <c r="J72" s="14"/>
      <c r="K72" s="14"/>
      <c r="L72" s="14"/>
      <c r="M72" s="14"/>
      <c r="N72" s="147" t="str">
        <f>IF(A72="","",IF(posicao_contratual!$Y72="","",IF(posicao_contratual!$Y72&gt;0,"",posicao_contratual!E72)))</f>
        <v/>
      </c>
      <c r="O72" s="147" t="str">
        <f>IF(A72="","",IF(posicao_contratual!$Y72="","",IF(posicao_contratual!$Y72&gt;1,"",posicao_contratual!I72)))</f>
        <v/>
      </c>
      <c r="P72" s="147" t="str">
        <f>IF(A72="","",IF(posicao_contratual!$Y72="","",IF(posicao_contratual!$Y72&gt;2,"",posicao_contratual!M72)))</f>
        <v/>
      </c>
      <c r="Q72" s="147" t="str">
        <f>IF(A72="","",IF(posicao_contratual!$Y72="","",IF(posicao_contratual!$Y72&gt;3,"",posicao_contratual!Q72)))</f>
        <v/>
      </c>
      <c r="R72" s="147" t="str">
        <f>IF(A72="","",IF(posicao_contratual!$Y72="","",IF(posicao_contratual!$Y72&gt;4,"",posicao_contratual!U72)))</f>
        <v/>
      </c>
      <c r="S72" s="167" t="str">
        <f>IF(A72="","",posicao_contratual!G72)</f>
        <v/>
      </c>
      <c r="T72" s="167" t="str">
        <f>IF(A72="","",posicao_contratual!K72)</f>
        <v/>
      </c>
      <c r="U72" s="167" t="str">
        <f>IF(A72="","",posicao_contratual!O72)</f>
        <v/>
      </c>
      <c r="V72" s="167" t="str">
        <f>IF(A72="","",posicao_contratual!S72)</f>
        <v/>
      </c>
      <c r="W72" s="167" t="str">
        <f>IF(A72="","",posicao_contratual!W72)</f>
        <v/>
      </c>
    </row>
    <row r="73" spans="1:23" x14ac:dyDescent="0.35">
      <c r="A73" s="86" t="str">
        <f>IF(itens_Remanesc!A73="","",itens_Remanesc!A73)</f>
        <v/>
      </c>
      <c r="B73" s="85" t="str">
        <f>IF(A73="","",IF(posicao_contratual!$Y73="","",IF(posicao_contratual!$Y73&gt;0,"",posicao_contratual!G73)))</f>
        <v/>
      </c>
      <c r="C73" s="79" t="str">
        <f>IF(itens_Remanesc!A73="","",IF(posicao_contratual!$Y73="","",IF(posicao_contratual!$Y73&gt;0,"",itens_Remanesc!C73)))</f>
        <v/>
      </c>
      <c r="D73" s="79" t="str">
        <f>IF(OR($A73="",posicao_contratual!$Y73=""),"",IF(posicao_contratual!$Y73&gt;1,"",IF(NOT(ISNUMBER(itens_Remanesc!C73)),"",IF(posicao_contratual!$Y73=1,IF(IFERROR(IF(ISNUMBER(INDEX(aditivos!$O$2:$O$200,MATCH($A73,aditivos!$A$2:$A$200,0))),MIN(INDEX(aditivos!$O$2:$O$200,MATCH($A73,aditivos!$A$2:$A$200,0)),posicao_contratual!$Y73),posicao_contratual!$Y73),posicao_contratual!$Y73)=1,itens_Remanesc!C73,IFERROR(ROUND(itens_Remanesc!C73*INDEX($L$2:$L$6,MIN(1+1,COUNT($L$2:$L$6)))/INDEX($L$2:$L$6,MIN(IFERROR(IF(ISNUMBER(INDEX(aditivos!$O$2:$O$200,MATCH($A73,aditivos!$A$2:$A$200,0))),MIN(INDEX(aditivos!$O$2:$O$200,MATCH($A73,aditivos!$A$2:$A$200,0)),posicao_contratual!$Y73),posicao_contratual!$Y73),posicao_contratual!$Y73)+1,COUNT($L$2:$L$6))),2),"")),IF(OR(NOT(ISNUMBER($L$3)),NOT(ISNUMBER(INDEX($L$2:$L$6,IFERROR(IF(ISNUMBER(INDEX(aditivos!$O$2:$O$200,MATCH($A73,aditivos!$A$2:$A$200,0))),MIN(INDEX(aditivos!$O$2:$O$200,MATCH($A73,aditivos!$A$2:$A$200,0)),posicao_contratual!$Y73),posicao_contratual!$Y73),posicao_contratual!$Y73)+1)))),"",ROUND(itens_Remanesc!C73*$L$3/INDEX($L$2:$L$6,IFERROR(IF(ISNUMBER(INDEX(aditivos!$O$2:$O$200,MATCH($A73,aditivos!$A$2:$A$200,0))),MIN(INDEX(aditivos!$O$2:$O$200,MATCH($A73,aditivos!$A$2:$A$200,0)),posicao_contratual!$Y73),posicao_contratual!$Y73),posicao_contratual!$Y73)+1),2))))))</f>
        <v/>
      </c>
      <c r="E73" s="79" t="str">
        <f>IF(OR($A73="",posicao_contratual!$Y73=""),"",IF(posicao_contratual!$Y73&gt;2,"",IF(NOT(ISNUMBER(itens_Remanesc!C73)),"",IF(posicao_contratual!$Y73=2,IF(IFERROR(IF(ISNUMBER(INDEX(aditivos!$O$2:$O$200,MATCH($A73,aditivos!$A$2:$A$200,0))),MIN(INDEX(aditivos!$O$2:$O$200,MATCH($A73,aditivos!$A$2:$A$200,0)),posicao_contratual!$Y73),posicao_contratual!$Y73),posicao_contratual!$Y73)=2,itens_Remanesc!C73,IFERROR(ROUND(itens_Remanesc!C73*INDEX($L$2:$L$6,MIN(2+1,COUNT($L$2:$L$6)))/INDEX($L$2:$L$6,MIN(IFERROR(IF(ISNUMBER(INDEX(aditivos!$O$2:$O$200,MATCH($A73,aditivos!$A$2:$A$200,0))),MIN(INDEX(aditivos!$O$2:$O$200,MATCH($A73,aditivos!$A$2:$A$200,0)),posicao_contratual!$Y73),posicao_contratual!$Y73),posicao_contratual!$Y73)+1,COUNT($L$2:$L$6))),2),"")),IF(OR(NOT(ISNUMBER($L$4)),NOT(ISNUMBER(INDEX($L$2:$L$6,IFERROR(IF(ISNUMBER(INDEX(aditivos!$O$2:$O$200,MATCH($A73,aditivos!$A$2:$A$200,0))),MIN(INDEX(aditivos!$O$2:$O$200,MATCH($A73,aditivos!$A$2:$A$200,0)),posicao_contratual!$Y73),posicao_contratual!$Y73),posicao_contratual!$Y73)+1)))),"",ROUND(itens_Remanesc!C73*$L$4/INDEX($L$2:$L$6,IFERROR(IF(ISNUMBER(INDEX(aditivos!$O$2:$O$200,MATCH($A73,aditivos!$A$2:$A$200,0))),MIN(INDEX(aditivos!$O$2:$O$200,MATCH($A73,aditivos!$A$2:$A$200,0)),posicao_contratual!$Y73),posicao_contratual!$Y73),posicao_contratual!$Y73)+1),2))))))</f>
        <v/>
      </c>
      <c r="F73" s="79" t="str">
        <f>IF(OR($A73="",posicao_contratual!$Y73=""),"",IF(posicao_contratual!$Y73&gt;3,"",IF(NOT(ISNUMBER(itens_Remanesc!C73)),"",IF(posicao_contratual!$Y73=3,IF(IFERROR(IF(ISNUMBER(INDEX(aditivos!$O$2:$O$200,MATCH($A73,aditivos!$A$2:$A$200,0))),MIN(INDEX(aditivos!$O$2:$O$200,MATCH($A73,aditivos!$A$2:$A$200,0)),posicao_contratual!$Y73),posicao_contratual!$Y73),posicao_contratual!$Y73)=3,itens_Remanesc!C73,IFERROR(ROUND(itens_Remanesc!C73*INDEX($L$2:$L$6,MIN(3+1,COUNT($L$2:$L$6)))/INDEX($L$2:$L$6,MIN(IFERROR(IF(ISNUMBER(INDEX(aditivos!$O$2:$O$200,MATCH($A73,aditivos!$A$2:$A$200,0))),MIN(INDEX(aditivos!$O$2:$O$200,MATCH($A73,aditivos!$A$2:$A$200,0)),posicao_contratual!$Y73),posicao_contratual!$Y73),posicao_contratual!$Y73)+1,COUNT($L$2:$L$6))),2),"")),IF(OR(NOT(ISNUMBER($L$5)),NOT(ISNUMBER(INDEX($L$2:$L$6,IFERROR(IF(ISNUMBER(INDEX(aditivos!$O$2:$O$200,MATCH($A73,aditivos!$A$2:$A$200,0))),MIN(INDEX(aditivos!$O$2:$O$200,MATCH($A73,aditivos!$A$2:$A$200,0)),posicao_contratual!$Y73),posicao_contratual!$Y73),posicao_contratual!$Y73)+1)))),"",ROUND(itens_Remanesc!C73*$L$5/INDEX($L$2:$L$6,IFERROR(IF(ISNUMBER(INDEX(aditivos!$O$2:$O$200,MATCH($A73,aditivos!$A$2:$A$200,0))),MIN(INDEX(aditivos!$O$2:$O$200,MATCH($A73,aditivos!$A$2:$A$200,0)),posicao_contratual!$Y73),posicao_contratual!$Y73),posicao_contratual!$Y73)+1),2))))))</f>
        <v/>
      </c>
      <c r="G73" s="79" t="str">
        <f>IF(OR($A73="",posicao_contratual!$Y73=""),"",IF(posicao_contratual!$Y73&gt;4,"",IF(NOT(ISNUMBER(itens_Remanesc!C73)),"",IF(posicao_contratual!$Y73=4,IF(IFERROR(IF(ISNUMBER(INDEX(aditivos!$O$2:$O$200,MATCH($A73,aditivos!$A$2:$A$200,0))),MIN(INDEX(aditivos!$O$2:$O$200,MATCH($A73,aditivos!$A$2:$A$200,0)),posicao_contratual!$Y73),posicao_contratual!$Y73),posicao_contratual!$Y73)=4,itens_Remanesc!C73,IFERROR(ROUND(itens_Remanesc!C73*INDEX($L$2:$L$6,MIN(4+1,COUNT($L$2:$L$6)))/INDEX($L$2:$L$6,MIN(IFERROR(IF(ISNUMBER(INDEX(aditivos!$O$2:$O$200,MATCH($A73,aditivos!$A$2:$A$200,0))),MIN(INDEX(aditivos!$O$2:$O$200,MATCH($A73,aditivos!$A$2:$A$200,0)),posicao_contratual!$Y73),posicao_contratual!$Y73),posicao_contratual!$Y73)+1,COUNT($L$2:$L$6))),2),"")),IF(OR(NOT(ISNUMBER($L$6)),NOT(ISNUMBER(INDEX($L$2:$L$6,IFERROR(IF(ISNUMBER(INDEX(aditivos!$O$2:$O$200,MATCH($A73,aditivos!$A$2:$A$200,0))),MIN(INDEX(aditivos!$O$2:$O$200,MATCH($A73,aditivos!$A$2:$A$200,0)),posicao_contratual!$Y73),posicao_contratual!$Y73),posicao_contratual!$Y73)+1)))),"",ROUND(itens_Remanesc!C73*$L$6/INDEX($L$2:$L$6,IFERROR(IF(ISNUMBER(INDEX(aditivos!$O$2:$O$200,MATCH($A73,aditivos!$A$2:$A$200,0))),MIN(INDEX(aditivos!$O$2:$O$200,MATCH($A73,aditivos!$A$2:$A$200,0)),posicao_contratual!$Y73),posicao_contratual!$Y73),posicao_contratual!$Y73)+1),2))))))</f>
        <v/>
      </c>
      <c r="H73" s="116" t="str">
        <f t="shared" si="2"/>
        <v/>
      </c>
      <c r="I73" s="14"/>
      <c r="J73" s="14"/>
      <c r="K73" s="14"/>
      <c r="L73" s="14"/>
      <c r="M73" s="14"/>
      <c r="N73" s="147" t="str">
        <f>IF(A73="","",IF(posicao_contratual!$Y73="","",IF(posicao_contratual!$Y73&gt;0,"",posicao_contratual!E73)))</f>
        <v/>
      </c>
      <c r="O73" s="147" t="str">
        <f>IF(A73="","",IF(posicao_contratual!$Y73="","",IF(posicao_contratual!$Y73&gt;1,"",posicao_contratual!I73)))</f>
        <v/>
      </c>
      <c r="P73" s="147" t="str">
        <f>IF(A73="","",IF(posicao_contratual!$Y73="","",IF(posicao_contratual!$Y73&gt;2,"",posicao_contratual!M73)))</f>
        <v/>
      </c>
      <c r="Q73" s="147" t="str">
        <f>IF(A73="","",IF(posicao_contratual!$Y73="","",IF(posicao_contratual!$Y73&gt;3,"",posicao_contratual!Q73)))</f>
        <v/>
      </c>
      <c r="R73" s="147" t="str">
        <f>IF(A73="","",IF(posicao_contratual!$Y73="","",IF(posicao_contratual!$Y73&gt;4,"",posicao_contratual!U73)))</f>
        <v/>
      </c>
      <c r="S73" s="167" t="str">
        <f>IF(A73="","",posicao_contratual!G73)</f>
        <v/>
      </c>
      <c r="T73" s="167" t="str">
        <f>IF(A73="","",posicao_contratual!K73)</f>
        <v/>
      </c>
      <c r="U73" s="167" t="str">
        <f>IF(A73="","",posicao_contratual!O73)</f>
        <v/>
      </c>
      <c r="V73" s="167" t="str">
        <f>IF(A73="","",posicao_contratual!S73)</f>
        <v/>
      </c>
      <c r="W73" s="167" t="str">
        <f>IF(A73="","",posicao_contratual!W73)</f>
        <v/>
      </c>
    </row>
    <row r="74" spans="1:23" x14ac:dyDescent="0.35">
      <c r="A74" s="86" t="str">
        <f>IF(itens_Remanesc!A74="","",itens_Remanesc!A74)</f>
        <v/>
      </c>
      <c r="B74" s="85" t="str">
        <f>IF(A74="","",IF(posicao_contratual!$Y74="","",IF(posicao_contratual!$Y74&gt;0,"",posicao_contratual!G74)))</f>
        <v/>
      </c>
      <c r="C74" s="79" t="str">
        <f>IF(itens_Remanesc!A74="","",IF(posicao_contratual!$Y74="","",IF(posicao_contratual!$Y74&gt;0,"",itens_Remanesc!C74)))</f>
        <v/>
      </c>
      <c r="D74" s="79" t="str">
        <f>IF(OR($A74="",posicao_contratual!$Y74=""),"",IF(posicao_contratual!$Y74&gt;1,"",IF(NOT(ISNUMBER(itens_Remanesc!C74)),"",IF(posicao_contratual!$Y74=1,IF(IFERROR(IF(ISNUMBER(INDEX(aditivos!$O$2:$O$200,MATCH($A74,aditivos!$A$2:$A$200,0))),MIN(INDEX(aditivos!$O$2:$O$200,MATCH($A74,aditivos!$A$2:$A$200,0)),posicao_contratual!$Y74),posicao_contratual!$Y74),posicao_contratual!$Y74)=1,itens_Remanesc!C74,IFERROR(ROUND(itens_Remanesc!C74*INDEX($L$2:$L$6,MIN(1+1,COUNT($L$2:$L$6)))/INDEX($L$2:$L$6,MIN(IFERROR(IF(ISNUMBER(INDEX(aditivos!$O$2:$O$200,MATCH($A74,aditivos!$A$2:$A$200,0))),MIN(INDEX(aditivos!$O$2:$O$200,MATCH($A74,aditivos!$A$2:$A$200,0)),posicao_contratual!$Y74),posicao_contratual!$Y74),posicao_contratual!$Y74)+1,COUNT($L$2:$L$6))),2),"")),IF(OR(NOT(ISNUMBER($L$3)),NOT(ISNUMBER(INDEX($L$2:$L$6,IFERROR(IF(ISNUMBER(INDEX(aditivos!$O$2:$O$200,MATCH($A74,aditivos!$A$2:$A$200,0))),MIN(INDEX(aditivos!$O$2:$O$200,MATCH($A74,aditivos!$A$2:$A$200,0)),posicao_contratual!$Y74),posicao_contratual!$Y74),posicao_contratual!$Y74)+1)))),"",ROUND(itens_Remanesc!C74*$L$3/INDEX($L$2:$L$6,IFERROR(IF(ISNUMBER(INDEX(aditivos!$O$2:$O$200,MATCH($A74,aditivos!$A$2:$A$200,0))),MIN(INDEX(aditivos!$O$2:$O$200,MATCH($A74,aditivos!$A$2:$A$200,0)),posicao_contratual!$Y74),posicao_contratual!$Y74),posicao_contratual!$Y74)+1),2))))))</f>
        <v/>
      </c>
      <c r="E74" s="79" t="str">
        <f>IF(OR($A74="",posicao_contratual!$Y74=""),"",IF(posicao_contratual!$Y74&gt;2,"",IF(NOT(ISNUMBER(itens_Remanesc!C74)),"",IF(posicao_contratual!$Y74=2,IF(IFERROR(IF(ISNUMBER(INDEX(aditivos!$O$2:$O$200,MATCH($A74,aditivos!$A$2:$A$200,0))),MIN(INDEX(aditivos!$O$2:$O$200,MATCH($A74,aditivos!$A$2:$A$200,0)),posicao_contratual!$Y74),posicao_contratual!$Y74),posicao_contratual!$Y74)=2,itens_Remanesc!C74,IFERROR(ROUND(itens_Remanesc!C74*INDEX($L$2:$L$6,MIN(2+1,COUNT($L$2:$L$6)))/INDEX($L$2:$L$6,MIN(IFERROR(IF(ISNUMBER(INDEX(aditivos!$O$2:$O$200,MATCH($A74,aditivos!$A$2:$A$200,0))),MIN(INDEX(aditivos!$O$2:$O$200,MATCH($A74,aditivos!$A$2:$A$200,0)),posicao_contratual!$Y74),posicao_contratual!$Y74),posicao_contratual!$Y74)+1,COUNT($L$2:$L$6))),2),"")),IF(OR(NOT(ISNUMBER($L$4)),NOT(ISNUMBER(INDEX($L$2:$L$6,IFERROR(IF(ISNUMBER(INDEX(aditivos!$O$2:$O$200,MATCH($A74,aditivos!$A$2:$A$200,0))),MIN(INDEX(aditivos!$O$2:$O$200,MATCH($A74,aditivos!$A$2:$A$200,0)),posicao_contratual!$Y74),posicao_contratual!$Y74),posicao_contratual!$Y74)+1)))),"",ROUND(itens_Remanesc!C74*$L$4/INDEX($L$2:$L$6,IFERROR(IF(ISNUMBER(INDEX(aditivos!$O$2:$O$200,MATCH($A74,aditivos!$A$2:$A$200,0))),MIN(INDEX(aditivos!$O$2:$O$200,MATCH($A74,aditivos!$A$2:$A$200,0)),posicao_contratual!$Y74),posicao_contratual!$Y74),posicao_contratual!$Y74)+1),2))))))</f>
        <v/>
      </c>
      <c r="F74" s="79" t="str">
        <f>IF(OR($A74="",posicao_contratual!$Y74=""),"",IF(posicao_contratual!$Y74&gt;3,"",IF(NOT(ISNUMBER(itens_Remanesc!C74)),"",IF(posicao_contratual!$Y74=3,IF(IFERROR(IF(ISNUMBER(INDEX(aditivos!$O$2:$O$200,MATCH($A74,aditivos!$A$2:$A$200,0))),MIN(INDEX(aditivos!$O$2:$O$200,MATCH($A74,aditivos!$A$2:$A$200,0)),posicao_contratual!$Y74),posicao_contratual!$Y74),posicao_contratual!$Y74)=3,itens_Remanesc!C74,IFERROR(ROUND(itens_Remanesc!C74*INDEX($L$2:$L$6,MIN(3+1,COUNT($L$2:$L$6)))/INDEX($L$2:$L$6,MIN(IFERROR(IF(ISNUMBER(INDEX(aditivos!$O$2:$O$200,MATCH($A74,aditivos!$A$2:$A$200,0))),MIN(INDEX(aditivos!$O$2:$O$200,MATCH($A74,aditivos!$A$2:$A$200,0)),posicao_contratual!$Y74),posicao_contratual!$Y74),posicao_contratual!$Y74)+1,COUNT($L$2:$L$6))),2),"")),IF(OR(NOT(ISNUMBER($L$5)),NOT(ISNUMBER(INDEX($L$2:$L$6,IFERROR(IF(ISNUMBER(INDEX(aditivos!$O$2:$O$200,MATCH($A74,aditivos!$A$2:$A$200,0))),MIN(INDEX(aditivos!$O$2:$O$200,MATCH($A74,aditivos!$A$2:$A$200,0)),posicao_contratual!$Y74),posicao_contratual!$Y74),posicao_contratual!$Y74)+1)))),"",ROUND(itens_Remanesc!C74*$L$5/INDEX($L$2:$L$6,IFERROR(IF(ISNUMBER(INDEX(aditivos!$O$2:$O$200,MATCH($A74,aditivos!$A$2:$A$200,0))),MIN(INDEX(aditivos!$O$2:$O$200,MATCH($A74,aditivos!$A$2:$A$200,0)),posicao_contratual!$Y74),posicao_contratual!$Y74),posicao_contratual!$Y74)+1),2))))))</f>
        <v/>
      </c>
      <c r="G74" s="79" t="str">
        <f>IF(OR($A74="",posicao_contratual!$Y74=""),"",IF(posicao_contratual!$Y74&gt;4,"",IF(NOT(ISNUMBER(itens_Remanesc!C74)),"",IF(posicao_contratual!$Y74=4,IF(IFERROR(IF(ISNUMBER(INDEX(aditivos!$O$2:$O$200,MATCH($A74,aditivos!$A$2:$A$200,0))),MIN(INDEX(aditivos!$O$2:$O$200,MATCH($A74,aditivos!$A$2:$A$200,0)),posicao_contratual!$Y74),posicao_contratual!$Y74),posicao_contratual!$Y74)=4,itens_Remanesc!C74,IFERROR(ROUND(itens_Remanesc!C74*INDEX($L$2:$L$6,MIN(4+1,COUNT($L$2:$L$6)))/INDEX($L$2:$L$6,MIN(IFERROR(IF(ISNUMBER(INDEX(aditivos!$O$2:$O$200,MATCH($A74,aditivos!$A$2:$A$200,0))),MIN(INDEX(aditivos!$O$2:$O$200,MATCH($A74,aditivos!$A$2:$A$200,0)),posicao_contratual!$Y74),posicao_contratual!$Y74),posicao_contratual!$Y74)+1,COUNT($L$2:$L$6))),2),"")),IF(OR(NOT(ISNUMBER($L$6)),NOT(ISNUMBER(INDEX($L$2:$L$6,IFERROR(IF(ISNUMBER(INDEX(aditivos!$O$2:$O$200,MATCH($A74,aditivos!$A$2:$A$200,0))),MIN(INDEX(aditivos!$O$2:$O$200,MATCH($A74,aditivos!$A$2:$A$200,0)),posicao_contratual!$Y74),posicao_contratual!$Y74),posicao_contratual!$Y74)+1)))),"",ROUND(itens_Remanesc!C74*$L$6/INDEX($L$2:$L$6,IFERROR(IF(ISNUMBER(INDEX(aditivos!$O$2:$O$200,MATCH($A74,aditivos!$A$2:$A$200,0))),MIN(INDEX(aditivos!$O$2:$O$200,MATCH($A74,aditivos!$A$2:$A$200,0)),posicao_contratual!$Y74),posicao_contratual!$Y74),posicao_contratual!$Y74)+1),2))))))</f>
        <v/>
      </c>
      <c r="H74" s="116" t="str">
        <f t="shared" si="2"/>
        <v/>
      </c>
      <c r="I74" s="14"/>
      <c r="J74" s="14"/>
      <c r="K74" s="14"/>
      <c r="L74" s="14"/>
      <c r="M74" s="14"/>
      <c r="N74" s="147" t="str">
        <f>IF(A74="","",IF(posicao_contratual!$Y74="","",IF(posicao_contratual!$Y74&gt;0,"",posicao_contratual!E74)))</f>
        <v/>
      </c>
      <c r="O74" s="147" t="str">
        <f>IF(A74="","",IF(posicao_contratual!$Y74="","",IF(posicao_contratual!$Y74&gt;1,"",posicao_contratual!I74)))</f>
        <v/>
      </c>
      <c r="P74" s="147" t="str">
        <f>IF(A74="","",IF(posicao_contratual!$Y74="","",IF(posicao_contratual!$Y74&gt;2,"",posicao_contratual!M74)))</f>
        <v/>
      </c>
      <c r="Q74" s="147" t="str">
        <f>IF(A74="","",IF(posicao_contratual!$Y74="","",IF(posicao_contratual!$Y74&gt;3,"",posicao_contratual!Q74)))</f>
        <v/>
      </c>
      <c r="R74" s="147" t="str">
        <f>IF(A74="","",IF(posicao_contratual!$Y74="","",IF(posicao_contratual!$Y74&gt;4,"",posicao_contratual!U74)))</f>
        <v/>
      </c>
      <c r="S74" s="167" t="str">
        <f>IF(A74="","",posicao_contratual!G74)</f>
        <v/>
      </c>
      <c r="T74" s="167" t="str">
        <f>IF(A74="","",posicao_contratual!K74)</f>
        <v/>
      </c>
      <c r="U74" s="167" t="str">
        <f>IF(A74="","",posicao_contratual!O74)</f>
        <v/>
      </c>
      <c r="V74" s="167" t="str">
        <f>IF(A74="","",posicao_contratual!S74)</f>
        <v/>
      </c>
      <c r="W74" s="167" t="str">
        <f>IF(A74="","",posicao_contratual!W74)</f>
        <v/>
      </c>
    </row>
    <row r="75" spans="1:23" x14ac:dyDescent="0.35">
      <c r="A75" s="86" t="str">
        <f>IF(itens_Remanesc!A75="","",itens_Remanesc!A75)</f>
        <v/>
      </c>
      <c r="B75" s="85" t="str">
        <f>IF(A75="","",IF(posicao_contratual!$Y75="","",IF(posicao_contratual!$Y75&gt;0,"",posicao_contratual!G75)))</f>
        <v/>
      </c>
      <c r="C75" s="79" t="str">
        <f>IF(itens_Remanesc!A75="","",IF(posicao_contratual!$Y75="","",IF(posicao_contratual!$Y75&gt;0,"",itens_Remanesc!C75)))</f>
        <v/>
      </c>
      <c r="D75" s="79" t="str">
        <f>IF(OR($A75="",posicao_contratual!$Y75=""),"",IF(posicao_contratual!$Y75&gt;1,"",IF(NOT(ISNUMBER(itens_Remanesc!C75)),"",IF(posicao_contratual!$Y75=1,IF(IFERROR(IF(ISNUMBER(INDEX(aditivos!$O$2:$O$200,MATCH($A75,aditivos!$A$2:$A$200,0))),MIN(INDEX(aditivos!$O$2:$O$200,MATCH($A75,aditivos!$A$2:$A$200,0)),posicao_contratual!$Y75),posicao_contratual!$Y75),posicao_contratual!$Y75)=1,itens_Remanesc!C75,IFERROR(ROUND(itens_Remanesc!C75*INDEX($L$2:$L$6,MIN(1+1,COUNT($L$2:$L$6)))/INDEX($L$2:$L$6,MIN(IFERROR(IF(ISNUMBER(INDEX(aditivos!$O$2:$O$200,MATCH($A75,aditivos!$A$2:$A$200,0))),MIN(INDEX(aditivos!$O$2:$O$200,MATCH($A75,aditivos!$A$2:$A$200,0)),posicao_contratual!$Y75),posicao_contratual!$Y75),posicao_contratual!$Y75)+1,COUNT($L$2:$L$6))),2),"")),IF(OR(NOT(ISNUMBER($L$3)),NOT(ISNUMBER(INDEX($L$2:$L$6,IFERROR(IF(ISNUMBER(INDEX(aditivos!$O$2:$O$200,MATCH($A75,aditivos!$A$2:$A$200,0))),MIN(INDEX(aditivos!$O$2:$O$200,MATCH($A75,aditivos!$A$2:$A$200,0)),posicao_contratual!$Y75),posicao_contratual!$Y75),posicao_contratual!$Y75)+1)))),"",ROUND(itens_Remanesc!C75*$L$3/INDEX($L$2:$L$6,IFERROR(IF(ISNUMBER(INDEX(aditivos!$O$2:$O$200,MATCH($A75,aditivos!$A$2:$A$200,0))),MIN(INDEX(aditivos!$O$2:$O$200,MATCH($A75,aditivos!$A$2:$A$200,0)),posicao_contratual!$Y75),posicao_contratual!$Y75),posicao_contratual!$Y75)+1),2))))))</f>
        <v/>
      </c>
      <c r="E75" s="79" t="str">
        <f>IF(OR($A75="",posicao_contratual!$Y75=""),"",IF(posicao_contratual!$Y75&gt;2,"",IF(NOT(ISNUMBER(itens_Remanesc!C75)),"",IF(posicao_contratual!$Y75=2,IF(IFERROR(IF(ISNUMBER(INDEX(aditivos!$O$2:$O$200,MATCH($A75,aditivos!$A$2:$A$200,0))),MIN(INDEX(aditivos!$O$2:$O$200,MATCH($A75,aditivos!$A$2:$A$200,0)),posicao_contratual!$Y75),posicao_contratual!$Y75),posicao_contratual!$Y75)=2,itens_Remanesc!C75,IFERROR(ROUND(itens_Remanesc!C75*INDEX($L$2:$L$6,MIN(2+1,COUNT($L$2:$L$6)))/INDEX($L$2:$L$6,MIN(IFERROR(IF(ISNUMBER(INDEX(aditivos!$O$2:$O$200,MATCH($A75,aditivos!$A$2:$A$200,0))),MIN(INDEX(aditivos!$O$2:$O$200,MATCH($A75,aditivos!$A$2:$A$200,0)),posicao_contratual!$Y75),posicao_contratual!$Y75),posicao_contratual!$Y75)+1,COUNT($L$2:$L$6))),2),"")),IF(OR(NOT(ISNUMBER($L$4)),NOT(ISNUMBER(INDEX($L$2:$L$6,IFERROR(IF(ISNUMBER(INDEX(aditivos!$O$2:$O$200,MATCH($A75,aditivos!$A$2:$A$200,0))),MIN(INDEX(aditivos!$O$2:$O$200,MATCH($A75,aditivos!$A$2:$A$200,0)),posicao_contratual!$Y75),posicao_contratual!$Y75),posicao_contratual!$Y75)+1)))),"",ROUND(itens_Remanesc!C75*$L$4/INDEX($L$2:$L$6,IFERROR(IF(ISNUMBER(INDEX(aditivos!$O$2:$O$200,MATCH($A75,aditivos!$A$2:$A$200,0))),MIN(INDEX(aditivos!$O$2:$O$200,MATCH($A75,aditivos!$A$2:$A$200,0)),posicao_contratual!$Y75),posicao_contratual!$Y75),posicao_contratual!$Y75)+1),2))))))</f>
        <v/>
      </c>
      <c r="F75" s="79" t="str">
        <f>IF(OR($A75="",posicao_contratual!$Y75=""),"",IF(posicao_contratual!$Y75&gt;3,"",IF(NOT(ISNUMBER(itens_Remanesc!C75)),"",IF(posicao_contratual!$Y75=3,IF(IFERROR(IF(ISNUMBER(INDEX(aditivos!$O$2:$O$200,MATCH($A75,aditivos!$A$2:$A$200,0))),MIN(INDEX(aditivos!$O$2:$O$200,MATCH($A75,aditivos!$A$2:$A$200,0)),posicao_contratual!$Y75),posicao_contratual!$Y75),posicao_contratual!$Y75)=3,itens_Remanesc!C75,IFERROR(ROUND(itens_Remanesc!C75*INDEX($L$2:$L$6,MIN(3+1,COUNT($L$2:$L$6)))/INDEX($L$2:$L$6,MIN(IFERROR(IF(ISNUMBER(INDEX(aditivos!$O$2:$O$200,MATCH($A75,aditivos!$A$2:$A$200,0))),MIN(INDEX(aditivos!$O$2:$O$200,MATCH($A75,aditivos!$A$2:$A$200,0)),posicao_contratual!$Y75),posicao_contratual!$Y75),posicao_contratual!$Y75)+1,COUNT($L$2:$L$6))),2),"")),IF(OR(NOT(ISNUMBER($L$5)),NOT(ISNUMBER(INDEX($L$2:$L$6,IFERROR(IF(ISNUMBER(INDEX(aditivos!$O$2:$O$200,MATCH($A75,aditivos!$A$2:$A$200,0))),MIN(INDEX(aditivos!$O$2:$O$200,MATCH($A75,aditivos!$A$2:$A$200,0)),posicao_contratual!$Y75),posicao_contratual!$Y75),posicao_contratual!$Y75)+1)))),"",ROUND(itens_Remanesc!C75*$L$5/INDEX($L$2:$L$6,IFERROR(IF(ISNUMBER(INDEX(aditivos!$O$2:$O$200,MATCH($A75,aditivos!$A$2:$A$200,0))),MIN(INDEX(aditivos!$O$2:$O$200,MATCH($A75,aditivos!$A$2:$A$200,0)),posicao_contratual!$Y75),posicao_contratual!$Y75),posicao_contratual!$Y75)+1),2))))))</f>
        <v/>
      </c>
      <c r="G75" s="79" t="str">
        <f>IF(OR($A75="",posicao_contratual!$Y75=""),"",IF(posicao_contratual!$Y75&gt;4,"",IF(NOT(ISNUMBER(itens_Remanesc!C75)),"",IF(posicao_contratual!$Y75=4,IF(IFERROR(IF(ISNUMBER(INDEX(aditivos!$O$2:$O$200,MATCH($A75,aditivos!$A$2:$A$200,0))),MIN(INDEX(aditivos!$O$2:$O$200,MATCH($A75,aditivos!$A$2:$A$200,0)),posicao_contratual!$Y75),posicao_contratual!$Y75),posicao_contratual!$Y75)=4,itens_Remanesc!C75,IFERROR(ROUND(itens_Remanesc!C75*INDEX($L$2:$L$6,MIN(4+1,COUNT($L$2:$L$6)))/INDEX($L$2:$L$6,MIN(IFERROR(IF(ISNUMBER(INDEX(aditivos!$O$2:$O$200,MATCH($A75,aditivos!$A$2:$A$200,0))),MIN(INDEX(aditivos!$O$2:$O$200,MATCH($A75,aditivos!$A$2:$A$200,0)),posicao_contratual!$Y75),posicao_contratual!$Y75),posicao_contratual!$Y75)+1,COUNT($L$2:$L$6))),2),"")),IF(OR(NOT(ISNUMBER($L$6)),NOT(ISNUMBER(INDEX($L$2:$L$6,IFERROR(IF(ISNUMBER(INDEX(aditivos!$O$2:$O$200,MATCH($A75,aditivos!$A$2:$A$200,0))),MIN(INDEX(aditivos!$O$2:$O$200,MATCH($A75,aditivos!$A$2:$A$200,0)),posicao_contratual!$Y75),posicao_contratual!$Y75),posicao_contratual!$Y75)+1)))),"",ROUND(itens_Remanesc!C75*$L$6/INDEX($L$2:$L$6,IFERROR(IF(ISNUMBER(INDEX(aditivos!$O$2:$O$200,MATCH($A75,aditivos!$A$2:$A$200,0))),MIN(INDEX(aditivos!$O$2:$O$200,MATCH($A75,aditivos!$A$2:$A$200,0)),posicao_contratual!$Y75),posicao_contratual!$Y75),posicao_contratual!$Y75)+1),2))))))</f>
        <v/>
      </c>
      <c r="H75" s="116" t="str">
        <f t="shared" si="2"/>
        <v/>
      </c>
      <c r="I75" s="14"/>
      <c r="J75" s="14"/>
      <c r="K75" s="14"/>
      <c r="L75" s="14"/>
      <c r="M75" s="14"/>
      <c r="N75" s="147" t="str">
        <f>IF(A75="","",IF(posicao_contratual!$Y75="","",IF(posicao_contratual!$Y75&gt;0,"",posicao_contratual!E75)))</f>
        <v/>
      </c>
      <c r="O75" s="147" t="str">
        <f>IF(A75="","",IF(posicao_contratual!$Y75="","",IF(posicao_contratual!$Y75&gt;1,"",posicao_contratual!I75)))</f>
        <v/>
      </c>
      <c r="P75" s="147" t="str">
        <f>IF(A75="","",IF(posicao_contratual!$Y75="","",IF(posicao_contratual!$Y75&gt;2,"",posicao_contratual!M75)))</f>
        <v/>
      </c>
      <c r="Q75" s="147" t="str">
        <f>IF(A75="","",IF(posicao_contratual!$Y75="","",IF(posicao_contratual!$Y75&gt;3,"",posicao_contratual!Q75)))</f>
        <v/>
      </c>
      <c r="R75" s="147" t="str">
        <f>IF(A75="","",IF(posicao_contratual!$Y75="","",IF(posicao_contratual!$Y75&gt;4,"",posicao_contratual!U75)))</f>
        <v/>
      </c>
      <c r="S75" s="167" t="str">
        <f>IF(A75="","",posicao_contratual!G75)</f>
        <v/>
      </c>
      <c r="T75" s="167" t="str">
        <f>IF(A75="","",posicao_contratual!K75)</f>
        <v/>
      </c>
      <c r="U75" s="167" t="str">
        <f>IF(A75="","",posicao_contratual!O75)</f>
        <v/>
      </c>
      <c r="V75" s="167" t="str">
        <f>IF(A75="","",posicao_contratual!S75)</f>
        <v/>
      </c>
      <c r="W75" s="167" t="str">
        <f>IF(A75="","",posicao_contratual!W75)</f>
        <v/>
      </c>
    </row>
    <row r="76" spans="1:23" x14ac:dyDescent="0.35">
      <c r="A76" s="86" t="str">
        <f>IF(itens_Remanesc!A76="","",itens_Remanesc!A76)</f>
        <v/>
      </c>
      <c r="B76" s="85" t="str">
        <f>IF(A76="","",IF(posicao_contratual!$Y76="","",IF(posicao_contratual!$Y76&gt;0,"",posicao_contratual!G76)))</f>
        <v/>
      </c>
      <c r="C76" s="79" t="str">
        <f>IF(itens_Remanesc!A76="","",IF(posicao_contratual!$Y76="","",IF(posicao_contratual!$Y76&gt;0,"",itens_Remanesc!C76)))</f>
        <v/>
      </c>
      <c r="D76" s="79" t="str">
        <f>IF(OR($A76="",posicao_contratual!$Y76=""),"",IF(posicao_contratual!$Y76&gt;1,"",IF(NOT(ISNUMBER(itens_Remanesc!C76)),"",IF(posicao_contratual!$Y76=1,IF(IFERROR(IF(ISNUMBER(INDEX(aditivos!$O$2:$O$200,MATCH($A76,aditivos!$A$2:$A$200,0))),MIN(INDEX(aditivos!$O$2:$O$200,MATCH($A76,aditivos!$A$2:$A$200,0)),posicao_contratual!$Y76),posicao_contratual!$Y76),posicao_contratual!$Y76)=1,itens_Remanesc!C76,IFERROR(ROUND(itens_Remanesc!C76*INDEX($L$2:$L$6,MIN(1+1,COUNT($L$2:$L$6)))/INDEX($L$2:$L$6,MIN(IFERROR(IF(ISNUMBER(INDEX(aditivos!$O$2:$O$200,MATCH($A76,aditivos!$A$2:$A$200,0))),MIN(INDEX(aditivos!$O$2:$O$200,MATCH($A76,aditivos!$A$2:$A$200,0)),posicao_contratual!$Y76),posicao_contratual!$Y76),posicao_contratual!$Y76)+1,COUNT($L$2:$L$6))),2),"")),IF(OR(NOT(ISNUMBER($L$3)),NOT(ISNUMBER(INDEX($L$2:$L$6,IFERROR(IF(ISNUMBER(INDEX(aditivos!$O$2:$O$200,MATCH($A76,aditivos!$A$2:$A$200,0))),MIN(INDEX(aditivos!$O$2:$O$200,MATCH($A76,aditivos!$A$2:$A$200,0)),posicao_contratual!$Y76),posicao_contratual!$Y76),posicao_contratual!$Y76)+1)))),"",ROUND(itens_Remanesc!C76*$L$3/INDEX($L$2:$L$6,IFERROR(IF(ISNUMBER(INDEX(aditivos!$O$2:$O$200,MATCH($A76,aditivos!$A$2:$A$200,0))),MIN(INDEX(aditivos!$O$2:$O$200,MATCH($A76,aditivos!$A$2:$A$200,0)),posicao_contratual!$Y76),posicao_contratual!$Y76),posicao_contratual!$Y76)+1),2))))))</f>
        <v/>
      </c>
      <c r="E76" s="79" t="str">
        <f>IF(OR($A76="",posicao_contratual!$Y76=""),"",IF(posicao_contratual!$Y76&gt;2,"",IF(NOT(ISNUMBER(itens_Remanesc!C76)),"",IF(posicao_contratual!$Y76=2,IF(IFERROR(IF(ISNUMBER(INDEX(aditivos!$O$2:$O$200,MATCH($A76,aditivos!$A$2:$A$200,0))),MIN(INDEX(aditivos!$O$2:$O$200,MATCH($A76,aditivos!$A$2:$A$200,0)),posicao_contratual!$Y76),posicao_contratual!$Y76),posicao_contratual!$Y76)=2,itens_Remanesc!C76,IFERROR(ROUND(itens_Remanesc!C76*INDEX($L$2:$L$6,MIN(2+1,COUNT($L$2:$L$6)))/INDEX($L$2:$L$6,MIN(IFERROR(IF(ISNUMBER(INDEX(aditivos!$O$2:$O$200,MATCH($A76,aditivos!$A$2:$A$200,0))),MIN(INDEX(aditivos!$O$2:$O$200,MATCH($A76,aditivos!$A$2:$A$200,0)),posicao_contratual!$Y76),posicao_contratual!$Y76),posicao_contratual!$Y76)+1,COUNT($L$2:$L$6))),2),"")),IF(OR(NOT(ISNUMBER($L$4)),NOT(ISNUMBER(INDEX($L$2:$L$6,IFERROR(IF(ISNUMBER(INDEX(aditivos!$O$2:$O$200,MATCH($A76,aditivos!$A$2:$A$200,0))),MIN(INDEX(aditivos!$O$2:$O$200,MATCH($A76,aditivos!$A$2:$A$200,0)),posicao_contratual!$Y76),posicao_contratual!$Y76),posicao_contratual!$Y76)+1)))),"",ROUND(itens_Remanesc!C76*$L$4/INDEX($L$2:$L$6,IFERROR(IF(ISNUMBER(INDEX(aditivos!$O$2:$O$200,MATCH($A76,aditivos!$A$2:$A$200,0))),MIN(INDEX(aditivos!$O$2:$O$200,MATCH($A76,aditivos!$A$2:$A$200,0)),posicao_contratual!$Y76),posicao_contratual!$Y76),posicao_contratual!$Y76)+1),2))))))</f>
        <v/>
      </c>
      <c r="F76" s="79" t="str">
        <f>IF(OR($A76="",posicao_contratual!$Y76=""),"",IF(posicao_contratual!$Y76&gt;3,"",IF(NOT(ISNUMBER(itens_Remanesc!C76)),"",IF(posicao_contratual!$Y76=3,IF(IFERROR(IF(ISNUMBER(INDEX(aditivos!$O$2:$O$200,MATCH($A76,aditivos!$A$2:$A$200,0))),MIN(INDEX(aditivos!$O$2:$O$200,MATCH($A76,aditivos!$A$2:$A$200,0)),posicao_contratual!$Y76),posicao_contratual!$Y76),posicao_contratual!$Y76)=3,itens_Remanesc!C76,IFERROR(ROUND(itens_Remanesc!C76*INDEX($L$2:$L$6,MIN(3+1,COUNT($L$2:$L$6)))/INDEX($L$2:$L$6,MIN(IFERROR(IF(ISNUMBER(INDEX(aditivos!$O$2:$O$200,MATCH($A76,aditivos!$A$2:$A$200,0))),MIN(INDEX(aditivos!$O$2:$O$200,MATCH($A76,aditivos!$A$2:$A$200,0)),posicao_contratual!$Y76),posicao_contratual!$Y76),posicao_contratual!$Y76)+1,COUNT($L$2:$L$6))),2),"")),IF(OR(NOT(ISNUMBER($L$5)),NOT(ISNUMBER(INDEX($L$2:$L$6,IFERROR(IF(ISNUMBER(INDEX(aditivos!$O$2:$O$200,MATCH($A76,aditivos!$A$2:$A$200,0))),MIN(INDEX(aditivos!$O$2:$O$200,MATCH($A76,aditivos!$A$2:$A$200,0)),posicao_contratual!$Y76),posicao_contratual!$Y76),posicao_contratual!$Y76)+1)))),"",ROUND(itens_Remanesc!C76*$L$5/INDEX($L$2:$L$6,IFERROR(IF(ISNUMBER(INDEX(aditivos!$O$2:$O$200,MATCH($A76,aditivos!$A$2:$A$200,0))),MIN(INDEX(aditivos!$O$2:$O$200,MATCH($A76,aditivos!$A$2:$A$200,0)),posicao_contratual!$Y76),posicao_contratual!$Y76),posicao_contratual!$Y76)+1),2))))))</f>
        <v/>
      </c>
      <c r="G76" s="79" t="str">
        <f>IF(OR($A76="",posicao_contratual!$Y76=""),"",IF(posicao_contratual!$Y76&gt;4,"",IF(NOT(ISNUMBER(itens_Remanesc!C76)),"",IF(posicao_contratual!$Y76=4,IF(IFERROR(IF(ISNUMBER(INDEX(aditivos!$O$2:$O$200,MATCH($A76,aditivos!$A$2:$A$200,0))),MIN(INDEX(aditivos!$O$2:$O$200,MATCH($A76,aditivos!$A$2:$A$200,0)),posicao_contratual!$Y76),posicao_contratual!$Y76),posicao_contratual!$Y76)=4,itens_Remanesc!C76,IFERROR(ROUND(itens_Remanesc!C76*INDEX($L$2:$L$6,MIN(4+1,COUNT($L$2:$L$6)))/INDEX($L$2:$L$6,MIN(IFERROR(IF(ISNUMBER(INDEX(aditivos!$O$2:$O$200,MATCH($A76,aditivos!$A$2:$A$200,0))),MIN(INDEX(aditivos!$O$2:$O$200,MATCH($A76,aditivos!$A$2:$A$200,0)),posicao_contratual!$Y76),posicao_contratual!$Y76),posicao_contratual!$Y76)+1,COUNT($L$2:$L$6))),2),"")),IF(OR(NOT(ISNUMBER($L$6)),NOT(ISNUMBER(INDEX($L$2:$L$6,IFERROR(IF(ISNUMBER(INDEX(aditivos!$O$2:$O$200,MATCH($A76,aditivos!$A$2:$A$200,0))),MIN(INDEX(aditivos!$O$2:$O$200,MATCH($A76,aditivos!$A$2:$A$200,0)),posicao_contratual!$Y76),posicao_contratual!$Y76),posicao_contratual!$Y76)+1)))),"",ROUND(itens_Remanesc!C76*$L$6/INDEX($L$2:$L$6,IFERROR(IF(ISNUMBER(INDEX(aditivos!$O$2:$O$200,MATCH($A76,aditivos!$A$2:$A$200,0))),MIN(INDEX(aditivos!$O$2:$O$200,MATCH($A76,aditivos!$A$2:$A$200,0)),posicao_contratual!$Y76),posicao_contratual!$Y76),posicao_contratual!$Y76)+1),2))))))</f>
        <v/>
      </c>
      <c r="H76" s="116" t="str">
        <f t="shared" si="2"/>
        <v/>
      </c>
      <c r="I76" s="14"/>
      <c r="J76" s="14"/>
      <c r="K76" s="14"/>
      <c r="L76" s="14"/>
      <c r="M76" s="14"/>
      <c r="N76" s="147" t="str">
        <f>IF(A76="","",IF(posicao_contratual!$Y76="","",IF(posicao_contratual!$Y76&gt;0,"",posicao_contratual!E76)))</f>
        <v/>
      </c>
      <c r="O76" s="147" t="str">
        <f>IF(A76="","",IF(posicao_contratual!$Y76="","",IF(posicao_contratual!$Y76&gt;1,"",posicao_contratual!I76)))</f>
        <v/>
      </c>
      <c r="P76" s="147" t="str">
        <f>IF(A76="","",IF(posicao_contratual!$Y76="","",IF(posicao_contratual!$Y76&gt;2,"",posicao_contratual!M76)))</f>
        <v/>
      </c>
      <c r="Q76" s="147" t="str">
        <f>IF(A76="","",IF(posicao_contratual!$Y76="","",IF(posicao_contratual!$Y76&gt;3,"",posicao_contratual!Q76)))</f>
        <v/>
      </c>
      <c r="R76" s="147" t="str">
        <f>IF(A76="","",IF(posicao_contratual!$Y76="","",IF(posicao_contratual!$Y76&gt;4,"",posicao_contratual!U76)))</f>
        <v/>
      </c>
      <c r="S76" s="167" t="str">
        <f>IF(A76="","",posicao_contratual!G76)</f>
        <v/>
      </c>
      <c r="T76" s="167" t="str">
        <f>IF(A76="","",posicao_contratual!K76)</f>
        <v/>
      </c>
      <c r="U76" s="167" t="str">
        <f>IF(A76="","",posicao_contratual!O76)</f>
        <v/>
      </c>
      <c r="V76" s="167" t="str">
        <f>IF(A76="","",posicao_contratual!S76)</f>
        <v/>
      </c>
      <c r="W76" s="167" t="str">
        <f>IF(A76="","",posicao_contratual!W76)</f>
        <v/>
      </c>
    </row>
    <row r="77" spans="1:23" x14ac:dyDescent="0.35">
      <c r="A77" s="86" t="str">
        <f>IF(itens_Remanesc!A77="","",itens_Remanesc!A77)</f>
        <v/>
      </c>
      <c r="B77" s="85" t="str">
        <f>IF(A77="","",IF(posicao_contratual!$Y77="","",IF(posicao_contratual!$Y77&gt;0,"",posicao_contratual!G77)))</f>
        <v/>
      </c>
      <c r="C77" s="79" t="str">
        <f>IF(itens_Remanesc!A77="","",IF(posicao_contratual!$Y77="","",IF(posicao_contratual!$Y77&gt;0,"",itens_Remanesc!C77)))</f>
        <v/>
      </c>
      <c r="D77" s="79" t="str">
        <f>IF(OR($A77="",posicao_contratual!$Y77=""),"",IF(posicao_contratual!$Y77&gt;1,"",IF(NOT(ISNUMBER(itens_Remanesc!C77)),"",IF(posicao_contratual!$Y77=1,IF(IFERROR(IF(ISNUMBER(INDEX(aditivos!$O$2:$O$200,MATCH($A77,aditivos!$A$2:$A$200,0))),MIN(INDEX(aditivos!$O$2:$O$200,MATCH($A77,aditivos!$A$2:$A$200,0)),posicao_contratual!$Y77),posicao_contratual!$Y77),posicao_contratual!$Y77)=1,itens_Remanesc!C77,IFERROR(ROUND(itens_Remanesc!C77*INDEX($L$2:$L$6,MIN(1+1,COUNT($L$2:$L$6)))/INDEX($L$2:$L$6,MIN(IFERROR(IF(ISNUMBER(INDEX(aditivos!$O$2:$O$200,MATCH($A77,aditivos!$A$2:$A$200,0))),MIN(INDEX(aditivos!$O$2:$O$200,MATCH($A77,aditivos!$A$2:$A$200,0)),posicao_contratual!$Y77),posicao_contratual!$Y77),posicao_contratual!$Y77)+1,COUNT($L$2:$L$6))),2),"")),IF(OR(NOT(ISNUMBER($L$3)),NOT(ISNUMBER(INDEX($L$2:$L$6,IFERROR(IF(ISNUMBER(INDEX(aditivos!$O$2:$O$200,MATCH($A77,aditivos!$A$2:$A$200,0))),MIN(INDEX(aditivos!$O$2:$O$200,MATCH($A77,aditivos!$A$2:$A$200,0)),posicao_contratual!$Y77),posicao_contratual!$Y77),posicao_contratual!$Y77)+1)))),"",ROUND(itens_Remanesc!C77*$L$3/INDEX($L$2:$L$6,IFERROR(IF(ISNUMBER(INDEX(aditivos!$O$2:$O$200,MATCH($A77,aditivos!$A$2:$A$200,0))),MIN(INDEX(aditivos!$O$2:$O$200,MATCH($A77,aditivos!$A$2:$A$200,0)),posicao_contratual!$Y77),posicao_contratual!$Y77),posicao_contratual!$Y77)+1),2))))))</f>
        <v/>
      </c>
      <c r="E77" s="79" t="str">
        <f>IF(OR($A77="",posicao_contratual!$Y77=""),"",IF(posicao_contratual!$Y77&gt;2,"",IF(NOT(ISNUMBER(itens_Remanesc!C77)),"",IF(posicao_contratual!$Y77=2,IF(IFERROR(IF(ISNUMBER(INDEX(aditivos!$O$2:$O$200,MATCH($A77,aditivos!$A$2:$A$200,0))),MIN(INDEX(aditivos!$O$2:$O$200,MATCH($A77,aditivos!$A$2:$A$200,0)),posicao_contratual!$Y77),posicao_contratual!$Y77),posicao_contratual!$Y77)=2,itens_Remanesc!C77,IFERROR(ROUND(itens_Remanesc!C77*INDEX($L$2:$L$6,MIN(2+1,COUNT($L$2:$L$6)))/INDEX($L$2:$L$6,MIN(IFERROR(IF(ISNUMBER(INDEX(aditivos!$O$2:$O$200,MATCH($A77,aditivos!$A$2:$A$200,0))),MIN(INDEX(aditivos!$O$2:$O$200,MATCH($A77,aditivos!$A$2:$A$200,0)),posicao_contratual!$Y77),posicao_contratual!$Y77),posicao_contratual!$Y77)+1,COUNT($L$2:$L$6))),2),"")),IF(OR(NOT(ISNUMBER($L$4)),NOT(ISNUMBER(INDEX($L$2:$L$6,IFERROR(IF(ISNUMBER(INDEX(aditivos!$O$2:$O$200,MATCH($A77,aditivos!$A$2:$A$200,0))),MIN(INDEX(aditivos!$O$2:$O$200,MATCH($A77,aditivos!$A$2:$A$200,0)),posicao_contratual!$Y77),posicao_contratual!$Y77),posicao_contratual!$Y77)+1)))),"",ROUND(itens_Remanesc!C77*$L$4/INDEX($L$2:$L$6,IFERROR(IF(ISNUMBER(INDEX(aditivos!$O$2:$O$200,MATCH($A77,aditivos!$A$2:$A$200,0))),MIN(INDEX(aditivos!$O$2:$O$200,MATCH($A77,aditivos!$A$2:$A$200,0)),posicao_contratual!$Y77),posicao_contratual!$Y77),posicao_contratual!$Y77)+1),2))))))</f>
        <v/>
      </c>
      <c r="F77" s="79" t="str">
        <f>IF(OR($A77="",posicao_contratual!$Y77=""),"",IF(posicao_contratual!$Y77&gt;3,"",IF(NOT(ISNUMBER(itens_Remanesc!C77)),"",IF(posicao_contratual!$Y77=3,IF(IFERROR(IF(ISNUMBER(INDEX(aditivos!$O$2:$O$200,MATCH($A77,aditivos!$A$2:$A$200,0))),MIN(INDEX(aditivos!$O$2:$O$200,MATCH($A77,aditivos!$A$2:$A$200,0)),posicao_contratual!$Y77),posicao_contratual!$Y77),posicao_contratual!$Y77)=3,itens_Remanesc!C77,IFERROR(ROUND(itens_Remanesc!C77*INDEX($L$2:$L$6,MIN(3+1,COUNT($L$2:$L$6)))/INDEX($L$2:$L$6,MIN(IFERROR(IF(ISNUMBER(INDEX(aditivos!$O$2:$O$200,MATCH($A77,aditivos!$A$2:$A$200,0))),MIN(INDEX(aditivos!$O$2:$O$200,MATCH($A77,aditivos!$A$2:$A$200,0)),posicao_contratual!$Y77),posicao_contratual!$Y77),posicao_contratual!$Y77)+1,COUNT($L$2:$L$6))),2),"")),IF(OR(NOT(ISNUMBER($L$5)),NOT(ISNUMBER(INDEX($L$2:$L$6,IFERROR(IF(ISNUMBER(INDEX(aditivos!$O$2:$O$200,MATCH($A77,aditivos!$A$2:$A$200,0))),MIN(INDEX(aditivos!$O$2:$O$200,MATCH($A77,aditivos!$A$2:$A$200,0)),posicao_contratual!$Y77),posicao_contratual!$Y77),posicao_contratual!$Y77)+1)))),"",ROUND(itens_Remanesc!C77*$L$5/INDEX($L$2:$L$6,IFERROR(IF(ISNUMBER(INDEX(aditivos!$O$2:$O$200,MATCH($A77,aditivos!$A$2:$A$200,0))),MIN(INDEX(aditivos!$O$2:$O$200,MATCH($A77,aditivos!$A$2:$A$200,0)),posicao_contratual!$Y77),posicao_contratual!$Y77),posicao_contratual!$Y77)+1),2))))))</f>
        <v/>
      </c>
      <c r="G77" s="79" t="str">
        <f>IF(OR($A77="",posicao_contratual!$Y77=""),"",IF(posicao_contratual!$Y77&gt;4,"",IF(NOT(ISNUMBER(itens_Remanesc!C77)),"",IF(posicao_contratual!$Y77=4,IF(IFERROR(IF(ISNUMBER(INDEX(aditivos!$O$2:$O$200,MATCH($A77,aditivos!$A$2:$A$200,0))),MIN(INDEX(aditivos!$O$2:$O$200,MATCH($A77,aditivos!$A$2:$A$200,0)),posicao_contratual!$Y77),posicao_contratual!$Y77),posicao_contratual!$Y77)=4,itens_Remanesc!C77,IFERROR(ROUND(itens_Remanesc!C77*INDEX($L$2:$L$6,MIN(4+1,COUNT($L$2:$L$6)))/INDEX($L$2:$L$6,MIN(IFERROR(IF(ISNUMBER(INDEX(aditivos!$O$2:$O$200,MATCH($A77,aditivos!$A$2:$A$200,0))),MIN(INDEX(aditivos!$O$2:$O$200,MATCH($A77,aditivos!$A$2:$A$200,0)),posicao_contratual!$Y77),posicao_contratual!$Y77),posicao_contratual!$Y77)+1,COUNT($L$2:$L$6))),2),"")),IF(OR(NOT(ISNUMBER($L$6)),NOT(ISNUMBER(INDEX($L$2:$L$6,IFERROR(IF(ISNUMBER(INDEX(aditivos!$O$2:$O$200,MATCH($A77,aditivos!$A$2:$A$200,0))),MIN(INDEX(aditivos!$O$2:$O$200,MATCH($A77,aditivos!$A$2:$A$200,0)),posicao_contratual!$Y77),posicao_contratual!$Y77),posicao_contratual!$Y77)+1)))),"",ROUND(itens_Remanesc!C77*$L$6/INDEX($L$2:$L$6,IFERROR(IF(ISNUMBER(INDEX(aditivos!$O$2:$O$200,MATCH($A77,aditivos!$A$2:$A$200,0))),MIN(INDEX(aditivos!$O$2:$O$200,MATCH($A77,aditivos!$A$2:$A$200,0)),posicao_contratual!$Y77),posicao_contratual!$Y77),posicao_contratual!$Y77)+1),2))))))</f>
        <v/>
      </c>
      <c r="H77" s="116" t="str">
        <f t="shared" si="2"/>
        <v/>
      </c>
      <c r="I77" s="14"/>
      <c r="J77" s="14"/>
      <c r="K77" s="14"/>
      <c r="L77" s="14"/>
      <c r="M77" s="14"/>
      <c r="N77" s="147" t="str">
        <f>IF(A77="","",IF(posicao_contratual!$Y77="","",IF(posicao_contratual!$Y77&gt;0,"",posicao_contratual!E77)))</f>
        <v/>
      </c>
      <c r="O77" s="147" t="str">
        <f>IF(A77="","",IF(posicao_contratual!$Y77="","",IF(posicao_contratual!$Y77&gt;1,"",posicao_contratual!I77)))</f>
        <v/>
      </c>
      <c r="P77" s="147" t="str">
        <f>IF(A77="","",IF(posicao_contratual!$Y77="","",IF(posicao_contratual!$Y77&gt;2,"",posicao_contratual!M77)))</f>
        <v/>
      </c>
      <c r="Q77" s="147" t="str">
        <f>IF(A77="","",IF(posicao_contratual!$Y77="","",IF(posicao_contratual!$Y77&gt;3,"",posicao_contratual!Q77)))</f>
        <v/>
      </c>
      <c r="R77" s="147" t="str">
        <f>IF(A77="","",IF(posicao_contratual!$Y77="","",IF(posicao_contratual!$Y77&gt;4,"",posicao_contratual!U77)))</f>
        <v/>
      </c>
      <c r="S77" s="167" t="str">
        <f>IF(A77="","",posicao_contratual!G77)</f>
        <v/>
      </c>
      <c r="T77" s="167" t="str">
        <f>IF(A77="","",posicao_contratual!K77)</f>
        <v/>
      </c>
      <c r="U77" s="167" t="str">
        <f>IF(A77="","",posicao_contratual!O77)</f>
        <v/>
      </c>
      <c r="V77" s="167" t="str">
        <f>IF(A77="","",posicao_contratual!S77)</f>
        <v/>
      </c>
      <c r="W77" s="167" t="str">
        <f>IF(A77="","",posicao_contratual!W77)</f>
        <v/>
      </c>
    </row>
    <row r="78" spans="1:23" x14ac:dyDescent="0.35">
      <c r="A78" s="86" t="str">
        <f>IF(itens_Remanesc!A78="","",itens_Remanesc!A78)</f>
        <v/>
      </c>
      <c r="B78" s="85" t="str">
        <f>IF(A78="","",IF(posicao_contratual!$Y78="","",IF(posicao_contratual!$Y78&gt;0,"",posicao_contratual!G78)))</f>
        <v/>
      </c>
      <c r="C78" s="79" t="str">
        <f>IF(itens_Remanesc!A78="","",IF(posicao_contratual!$Y78="","",IF(posicao_contratual!$Y78&gt;0,"",itens_Remanesc!C78)))</f>
        <v/>
      </c>
      <c r="D78" s="79" t="str">
        <f>IF(OR($A78="",posicao_contratual!$Y78=""),"",IF(posicao_contratual!$Y78&gt;1,"",IF(NOT(ISNUMBER(itens_Remanesc!C78)),"",IF(posicao_contratual!$Y78=1,IF(IFERROR(IF(ISNUMBER(INDEX(aditivos!$O$2:$O$200,MATCH($A78,aditivos!$A$2:$A$200,0))),MIN(INDEX(aditivos!$O$2:$O$200,MATCH($A78,aditivos!$A$2:$A$200,0)),posicao_contratual!$Y78),posicao_contratual!$Y78),posicao_contratual!$Y78)=1,itens_Remanesc!C78,IFERROR(ROUND(itens_Remanesc!C78*INDEX($L$2:$L$6,MIN(1+1,COUNT($L$2:$L$6)))/INDEX($L$2:$L$6,MIN(IFERROR(IF(ISNUMBER(INDEX(aditivos!$O$2:$O$200,MATCH($A78,aditivos!$A$2:$A$200,0))),MIN(INDEX(aditivos!$O$2:$O$200,MATCH($A78,aditivos!$A$2:$A$200,0)),posicao_contratual!$Y78),posicao_contratual!$Y78),posicao_contratual!$Y78)+1,COUNT($L$2:$L$6))),2),"")),IF(OR(NOT(ISNUMBER($L$3)),NOT(ISNUMBER(INDEX($L$2:$L$6,IFERROR(IF(ISNUMBER(INDEX(aditivos!$O$2:$O$200,MATCH($A78,aditivos!$A$2:$A$200,0))),MIN(INDEX(aditivos!$O$2:$O$200,MATCH($A78,aditivos!$A$2:$A$200,0)),posicao_contratual!$Y78),posicao_contratual!$Y78),posicao_contratual!$Y78)+1)))),"",ROUND(itens_Remanesc!C78*$L$3/INDEX($L$2:$L$6,IFERROR(IF(ISNUMBER(INDEX(aditivos!$O$2:$O$200,MATCH($A78,aditivos!$A$2:$A$200,0))),MIN(INDEX(aditivos!$O$2:$O$200,MATCH($A78,aditivos!$A$2:$A$200,0)),posicao_contratual!$Y78),posicao_contratual!$Y78),posicao_contratual!$Y78)+1),2))))))</f>
        <v/>
      </c>
      <c r="E78" s="79" t="str">
        <f>IF(OR($A78="",posicao_contratual!$Y78=""),"",IF(posicao_contratual!$Y78&gt;2,"",IF(NOT(ISNUMBER(itens_Remanesc!C78)),"",IF(posicao_contratual!$Y78=2,IF(IFERROR(IF(ISNUMBER(INDEX(aditivos!$O$2:$O$200,MATCH($A78,aditivos!$A$2:$A$200,0))),MIN(INDEX(aditivos!$O$2:$O$200,MATCH($A78,aditivos!$A$2:$A$200,0)),posicao_contratual!$Y78),posicao_contratual!$Y78),posicao_contratual!$Y78)=2,itens_Remanesc!C78,IFERROR(ROUND(itens_Remanesc!C78*INDEX($L$2:$L$6,MIN(2+1,COUNT($L$2:$L$6)))/INDEX($L$2:$L$6,MIN(IFERROR(IF(ISNUMBER(INDEX(aditivos!$O$2:$O$200,MATCH($A78,aditivos!$A$2:$A$200,0))),MIN(INDEX(aditivos!$O$2:$O$200,MATCH($A78,aditivos!$A$2:$A$200,0)),posicao_contratual!$Y78),posicao_contratual!$Y78),posicao_contratual!$Y78)+1,COUNT($L$2:$L$6))),2),"")),IF(OR(NOT(ISNUMBER($L$4)),NOT(ISNUMBER(INDEX($L$2:$L$6,IFERROR(IF(ISNUMBER(INDEX(aditivos!$O$2:$O$200,MATCH($A78,aditivos!$A$2:$A$200,0))),MIN(INDEX(aditivos!$O$2:$O$200,MATCH($A78,aditivos!$A$2:$A$200,0)),posicao_contratual!$Y78),posicao_contratual!$Y78),posicao_contratual!$Y78)+1)))),"",ROUND(itens_Remanesc!C78*$L$4/INDEX($L$2:$L$6,IFERROR(IF(ISNUMBER(INDEX(aditivos!$O$2:$O$200,MATCH($A78,aditivos!$A$2:$A$200,0))),MIN(INDEX(aditivos!$O$2:$O$200,MATCH($A78,aditivos!$A$2:$A$200,0)),posicao_contratual!$Y78),posicao_contratual!$Y78),posicao_contratual!$Y78)+1),2))))))</f>
        <v/>
      </c>
      <c r="F78" s="79" t="str">
        <f>IF(OR($A78="",posicao_contratual!$Y78=""),"",IF(posicao_contratual!$Y78&gt;3,"",IF(NOT(ISNUMBER(itens_Remanesc!C78)),"",IF(posicao_contratual!$Y78=3,IF(IFERROR(IF(ISNUMBER(INDEX(aditivos!$O$2:$O$200,MATCH($A78,aditivos!$A$2:$A$200,0))),MIN(INDEX(aditivos!$O$2:$O$200,MATCH($A78,aditivos!$A$2:$A$200,0)),posicao_contratual!$Y78),posicao_contratual!$Y78),posicao_contratual!$Y78)=3,itens_Remanesc!C78,IFERROR(ROUND(itens_Remanesc!C78*INDEX($L$2:$L$6,MIN(3+1,COUNT($L$2:$L$6)))/INDEX($L$2:$L$6,MIN(IFERROR(IF(ISNUMBER(INDEX(aditivos!$O$2:$O$200,MATCH($A78,aditivos!$A$2:$A$200,0))),MIN(INDEX(aditivos!$O$2:$O$200,MATCH($A78,aditivos!$A$2:$A$200,0)),posicao_contratual!$Y78),posicao_contratual!$Y78),posicao_contratual!$Y78)+1,COUNT($L$2:$L$6))),2),"")),IF(OR(NOT(ISNUMBER($L$5)),NOT(ISNUMBER(INDEX($L$2:$L$6,IFERROR(IF(ISNUMBER(INDEX(aditivos!$O$2:$O$200,MATCH($A78,aditivos!$A$2:$A$200,0))),MIN(INDEX(aditivos!$O$2:$O$200,MATCH($A78,aditivos!$A$2:$A$200,0)),posicao_contratual!$Y78),posicao_contratual!$Y78),posicao_contratual!$Y78)+1)))),"",ROUND(itens_Remanesc!C78*$L$5/INDEX($L$2:$L$6,IFERROR(IF(ISNUMBER(INDEX(aditivos!$O$2:$O$200,MATCH($A78,aditivos!$A$2:$A$200,0))),MIN(INDEX(aditivos!$O$2:$O$200,MATCH($A78,aditivos!$A$2:$A$200,0)),posicao_contratual!$Y78),posicao_contratual!$Y78),posicao_contratual!$Y78)+1),2))))))</f>
        <v/>
      </c>
      <c r="G78" s="79" t="str">
        <f>IF(OR($A78="",posicao_contratual!$Y78=""),"",IF(posicao_contratual!$Y78&gt;4,"",IF(NOT(ISNUMBER(itens_Remanesc!C78)),"",IF(posicao_contratual!$Y78=4,IF(IFERROR(IF(ISNUMBER(INDEX(aditivos!$O$2:$O$200,MATCH($A78,aditivos!$A$2:$A$200,0))),MIN(INDEX(aditivos!$O$2:$O$200,MATCH($A78,aditivos!$A$2:$A$200,0)),posicao_contratual!$Y78),posicao_contratual!$Y78),posicao_contratual!$Y78)=4,itens_Remanesc!C78,IFERROR(ROUND(itens_Remanesc!C78*INDEX($L$2:$L$6,MIN(4+1,COUNT($L$2:$L$6)))/INDEX($L$2:$L$6,MIN(IFERROR(IF(ISNUMBER(INDEX(aditivos!$O$2:$O$200,MATCH($A78,aditivos!$A$2:$A$200,0))),MIN(INDEX(aditivos!$O$2:$O$200,MATCH($A78,aditivos!$A$2:$A$200,0)),posicao_contratual!$Y78),posicao_contratual!$Y78),posicao_contratual!$Y78)+1,COUNT($L$2:$L$6))),2),"")),IF(OR(NOT(ISNUMBER($L$6)),NOT(ISNUMBER(INDEX($L$2:$L$6,IFERROR(IF(ISNUMBER(INDEX(aditivos!$O$2:$O$200,MATCH($A78,aditivos!$A$2:$A$200,0))),MIN(INDEX(aditivos!$O$2:$O$200,MATCH($A78,aditivos!$A$2:$A$200,0)),posicao_contratual!$Y78),posicao_contratual!$Y78),posicao_contratual!$Y78)+1)))),"",ROUND(itens_Remanesc!C78*$L$6/INDEX($L$2:$L$6,IFERROR(IF(ISNUMBER(INDEX(aditivos!$O$2:$O$200,MATCH($A78,aditivos!$A$2:$A$200,0))),MIN(INDEX(aditivos!$O$2:$O$200,MATCH($A78,aditivos!$A$2:$A$200,0)),posicao_contratual!$Y78),posicao_contratual!$Y78),posicao_contratual!$Y78)+1),2))))))</f>
        <v/>
      </c>
      <c r="H78" s="116" t="str">
        <f t="shared" si="2"/>
        <v/>
      </c>
      <c r="I78" s="14"/>
      <c r="J78" s="14"/>
      <c r="K78" s="14"/>
      <c r="L78" s="14"/>
      <c r="M78" s="14"/>
      <c r="N78" s="147" t="str">
        <f>IF(A78="","",IF(posicao_contratual!$Y78="","",IF(posicao_contratual!$Y78&gt;0,"",posicao_contratual!E78)))</f>
        <v/>
      </c>
      <c r="O78" s="147" t="str">
        <f>IF(A78="","",IF(posicao_contratual!$Y78="","",IF(posicao_contratual!$Y78&gt;1,"",posicao_contratual!I78)))</f>
        <v/>
      </c>
      <c r="P78" s="147" t="str">
        <f>IF(A78="","",IF(posicao_contratual!$Y78="","",IF(posicao_contratual!$Y78&gt;2,"",posicao_contratual!M78)))</f>
        <v/>
      </c>
      <c r="Q78" s="147" t="str">
        <f>IF(A78="","",IF(posicao_contratual!$Y78="","",IF(posicao_contratual!$Y78&gt;3,"",posicao_contratual!Q78)))</f>
        <v/>
      </c>
      <c r="R78" s="147" t="str">
        <f>IF(A78="","",IF(posicao_contratual!$Y78="","",IF(posicao_contratual!$Y78&gt;4,"",posicao_contratual!U78)))</f>
        <v/>
      </c>
      <c r="S78" s="167" t="str">
        <f>IF(A78="","",posicao_contratual!G78)</f>
        <v/>
      </c>
      <c r="T78" s="167" t="str">
        <f>IF(A78="","",posicao_contratual!K78)</f>
        <v/>
      </c>
      <c r="U78" s="167" t="str">
        <f>IF(A78="","",posicao_contratual!O78)</f>
        <v/>
      </c>
      <c r="V78" s="167" t="str">
        <f>IF(A78="","",posicao_contratual!S78)</f>
        <v/>
      </c>
      <c r="W78" s="167" t="str">
        <f>IF(A78="","",posicao_contratual!W78)</f>
        <v/>
      </c>
    </row>
    <row r="79" spans="1:23" x14ac:dyDescent="0.35">
      <c r="A79" s="86" t="str">
        <f>IF(itens_Remanesc!A79="","",itens_Remanesc!A79)</f>
        <v/>
      </c>
      <c r="B79" s="85" t="str">
        <f>IF(A79="","",IF(posicao_contratual!$Y79="","",IF(posicao_contratual!$Y79&gt;0,"",posicao_contratual!G79)))</f>
        <v/>
      </c>
      <c r="C79" s="79" t="str">
        <f>IF(itens_Remanesc!A79="","",IF(posicao_contratual!$Y79="","",IF(posicao_contratual!$Y79&gt;0,"",itens_Remanesc!C79)))</f>
        <v/>
      </c>
      <c r="D79" s="79" t="str">
        <f>IF(OR($A79="",posicao_contratual!$Y79=""),"",IF(posicao_contratual!$Y79&gt;1,"",IF(NOT(ISNUMBER(itens_Remanesc!C79)),"",IF(posicao_contratual!$Y79=1,IF(IFERROR(IF(ISNUMBER(INDEX(aditivos!$O$2:$O$200,MATCH($A79,aditivos!$A$2:$A$200,0))),MIN(INDEX(aditivos!$O$2:$O$200,MATCH($A79,aditivos!$A$2:$A$200,0)),posicao_contratual!$Y79),posicao_contratual!$Y79),posicao_contratual!$Y79)=1,itens_Remanesc!C79,IFERROR(ROUND(itens_Remanesc!C79*INDEX($L$2:$L$6,MIN(1+1,COUNT($L$2:$L$6)))/INDEX($L$2:$L$6,MIN(IFERROR(IF(ISNUMBER(INDEX(aditivos!$O$2:$O$200,MATCH($A79,aditivos!$A$2:$A$200,0))),MIN(INDEX(aditivos!$O$2:$O$200,MATCH($A79,aditivos!$A$2:$A$200,0)),posicao_contratual!$Y79),posicao_contratual!$Y79),posicao_contratual!$Y79)+1,COUNT($L$2:$L$6))),2),"")),IF(OR(NOT(ISNUMBER($L$3)),NOT(ISNUMBER(INDEX($L$2:$L$6,IFERROR(IF(ISNUMBER(INDEX(aditivos!$O$2:$O$200,MATCH($A79,aditivos!$A$2:$A$200,0))),MIN(INDEX(aditivos!$O$2:$O$200,MATCH($A79,aditivos!$A$2:$A$200,0)),posicao_contratual!$Y79),posicao_contratual!$Y79),posicao_contratual!$Y79)+1)))),"",ROUND(itens_Remanesc!C79*$L$3/INDEX($L$2:$L$6,IFERROR(IF(ISNUMBER(INDEX(aditivos!$O$2:$O$200,MATCH($A79,aditivos!$A$2:$A$200,0))),MIN(INDEX(aditivos!$O$2:$O$200,MATCH($A79,aditivos!$A$2:$A$200,0)),posicao_contratual!$Y79),posicao_contratual!$Y79),posicao_contratual!$Y79)+1),2))))))</f>
        <v/>
      </c>
      <c r="E79" s="79" t="str">
        <f>IF(OR($A79="",posicao_contratual!$Y79=""),"",IF(posicao_contratual!$Y79&gt;2,"",IF(NOT(ISNUMBER(itens_Remanesc!C79)),"",IF(posicao_contratual!$Y79=2,IF(IFERROR(IF(ISNUMBER(INDEX(aditivos!$O$2:$O$200,MATCH($A79,aditivos!$A$2:$A$200,0))),MIN(INDEX(aditivos!$O$2:$O$200,MATCH($A79,aditivos!$A$2:$A$200,0)),posicao_contratual!$Y79),posicao_contratual!$Y79),posicao_contratual!$Y79)=2,itens_Remanesc!C79,IFERROR(ROUND(itens_Remanesc!C79*INDEX($L$2:$L$6,MIN(2+1,COUNT($L$2:$L$6)))/INDEX($L$2:$L$6,MIN(IFERROR(IF(ISNUMBER(INDEX(aditivos!$O$2:$O$200,MATCH($A79,aditivos!$A$2:$A$200,0))),MIN(INDEX(aditivos!$O$2:$O$200,MATCH($A79,aditivos!$A$2:$A$200,0)),posicao_contratual!$Y79),posicao_contratual!$Y79),posicao_contratual!$Y79)+1,COUNT($L$2:$L$6))),2),"")),IF(OR(NOT(ISNUMBER($L$4)),NOT(ISNUMBER(INDEX($L$2:$L$6,IFERROR(IF(ISNUMBER(INDEX(aditivos!$O$2:$O$200,MATCH($A79,aditivos!$A$2:$A$200,0))),MIN(INDEX(aditivos!$O$2:$O$200,MATCH($A79,aditivos!$A$2:$A$200,0)),posicao_contratual!$Y79),posicao_contratual!$Y79),posicao_contratual!$Y79)+1)))),"",ROUND(itens_Remanesc!C79*$L$4/INDEX($L$2:$L$6,IFERROR(IF(ISNUMBER(INDEX(aditivos!$O$2:$O$200,MATCH($A79,aditivos!$A$2:$A$200,0))),MIN(INDEX(aditivos!$O$2:$O$200,MATCH($A79,aditivos!$A$2:$A$200,0)),posicao_contratual!$Y79),posicao_contratual!$Y79),posicao_contratual!$Y79)+1),2))))))</f>
        <v/>
      </c>
      <c r="F79" s="79" t="str">
        <f>IF(OR($A79="",posicao_contratual!$Y79=""),"",IF(posicao_contratual!$Y79&gt;3,"",IF(NOT(ISNUMBER(itens_Remanesc!C79)),"",IF(posicao_contratual!$Y79=3,IF(IFERROR(IF(ISNUMBER(INDEX(aditivos!$O$2:$O$200,MATCH($A79,aditivos!$A$2:$A$200,0))),MIN(INDEX(aditivos!$O$2:$O$200,MATCH($A79,aditivos!$A$2:$A$200,0)),posicao_contratual!$Y79),posicao_contratual!$Y79),posicao_contratual!$Y79)=3,itens_Remanesc!C79,IFERROR(ROUND(itens_Remanesc!C79*INDEX($L$2:$L$6,MIN(3+1,COUNT($L$2:$L$6)))/INDEX($L$2:$L$6,MIN(IFERROR(IF(ISNUMBER(INDEX(aditivos!$O$2:$O$200,MATCH($A79,aditivos!$A$2:$A$200,0))),MIN(INDEX(aditivos!$O$2:$O$200,MATCH($A79,aditivos!$A$2:$A$200,0)),posicao_contratual!$Y79),posicao_contratual!$Y79),posicao_contratual!$Y79)+1,COUNT($L$2:$L$6))),2),"")),IF(OR(NOT(ISNUMBER($L$5)),NOT(ISNUMBER(INDEX($L$2:$L$6,IFERROR(IF(ISNUMBER(INDEX(aditivos!$O$2:$O$200,MATCH($A79,aditivos!$A$2:$A$200,0))),MIN(INDEX(aditivos!$O$2:$O$200,MATCH($A79,aditivos!$A$2:$A$200,0)),posicao_contratual!$Y79),posicao_contratual!$Y79),posicao_contratual!$Y79)+1)))),"",ROUND(itens_Remanesc!C79*$L$5/INDEX($L$2:$L$6,IFERROR(IF(ISNUMBER(INDEX(aditivos!$O$2:$O$200,MATCH($A79,aditivos!$A$2:$A$200,0))),MIN(INDEX(aditivos!$O$2:$O$200,MATCH($A79,aditivos!$A$2:$A$200,0)),posicao_contratual!$Y79),posicao_contratual!$Y79),posicao_contratual!$Y79)+1),2))))))</f>
        <v/>
      </c>
      <c r="G79" s="79" t="str">
        <f>IF(OR($A79="",posicao_contratual!$Y79=""),"",IF(posicao_contratual!$Y79&gt;4,"",IF(NOT(ISNUMBER(itens_Remanesc!C79)),"",IF(posicao_contratual!$Y79=4,IF(IFERROR(IF(ISNUMBER(INDEX(aditivos!$O$2:$O$200,MATCH($A79,aditivos!$A$2:$A$200,0))),MIN(INDEX(aditivos!$O$2:$O$200,MATCH($A79,aditivos!$A$2:$A$200,0)),posicao_contratual!$Y79),posicao_contratual!$Y79),posicao_contratual!$Y79)=4,itens_Remanesc!C79,IFERROR(ROUND(itens_Remanesc!C79*INDEX($L$2:$L$6,MIN(4+1,COUNT($L$2:$L$6)))/INDEX($L$2:$L$6,MIN(IFERROR(IF(ISNUMBER(INDEX(aditivos!$O$2:$O$200,MATCH($A79,aditivos!$A$2:$A$200,0))),MIN(INDEX(aditivos!$O$2:$O$200,MATCH($A79,aditivos!$A$2:$A$200,0)),posicao_contratual!$Y79),posicao_contratual!$Y79),posicao_contratual!$Y79)+1,COUNT($L$2:$L$6))),2),"")),IF(OR(NOT(ISNUMBER($L$6)),NOT(ISNUMBER(INDEX($L$2:$L$6,IFERROR(IF(ISNUMBER(INDEX(aditivos!$O$2:$O$200,MATCH($A79,aditivos!$A$2:$A$200,0))),MIN(INDEX(aditivos!$O$2:$O$200,MATCH($A79,aditivos!$A$2:$A$200,0)),posicao_contratual!$Y79),posicao_contratual!$Y79),posicao_contratual!$Y79)+1)))),"",ROUND(itens_Remanesc!C79*$L$6/INDEX($L$2:$L$6,IFERROR(IF(ISNUMBER(INDEX(aditivos!$O$2:$O$200,MATCH($A79,aditivos!$A$2:$A$200,0))),MIN(INDEX(aditivos!$O$2:$O$200,MATCH($A79,aditivos!$A$2:$A$200,0)),posicao_contratual!$Y79),posicao_contratual!$Y79),posicao_contratual!$Y79)+1),2))))))</f>
        <v/>
      </c>
      <c r="H79" s="116" t="str">
        <f t="shared" si="2"/>
        <v/>
      </c>
      <c r="I79" s="14"/>
      <c r="J79" s="14"/>
      <c r="K79" s="14"/>
      <c r="L79" s="14"/>
      <c r="M79" s="14"/>
      <c r="N79" s="147" t="str">
        <f>IF(A79="","",IF(posicao_contratual!$Y79="","",IF(posicao_contratual!$Y79&gt;0,"",posicao_contratual!E79)))</f>
        <v/>
      </c>
      <c r="O79" s="147" t="str">
        <f>IF(A79="","",IF(posicao_contratual!$Y79="","",IF(posicao_contratual!$Y79&gt;1,"",posicao_contratual!I79)))</f>
        <v/>
      </c>
      <c r="P79" s="147" t="str">
        <f>IF(A79="","",IF(posicao_contratual!$Y79="","",IF(posicao_contratual!$Y79&gt;2,"",posicao_contratual!M79)))</f>
        <v/>
      </c>
      <c r="Q79" s="147" t="str">
        <f>IF(A79="","",IF(posicao_contratual!$Y79="","",IF(posicao_contratual!$Y79&gt;3,"",posicao_contratual!Q79)))</f>
        <v/>
      </c>
      <c r="R79" s="147" t="str">
        <f>IF(A79="","",IF(posicao_contratual!$Y79="","",IF(posicao_contratual!$Y79&gt;4,"",posicao_contratual!U79)))</f>
        <v/>
      </c>
      <c r="S79" s="167" t="str">
        <f>IF(A79="","",posicao_contratual!G79)</f>
        <v/>
      </c>
      <c r="T79" s="167" t="str">
        <f>IF(A79="","",posicao_contratual!K79)</f>
        <v/>
      </c>
      <c r="U79" s="167" t="str">
        <f>IF(A79="","",posicao_contratual!O79)</f>
        <v/>
      </c>
      <c r="V79" s="167" t="str">
        <f>IF(A79="","",posicao_contratual!S79)</f>
        <v/>
      </c>
      <c r="W79" s="167" t="str">
        <f>IF(A79="","",posicao_contratual!W79)</f>
        <v/>
      </c>
    </row>
    <row r="80" spans="1:23" x14ac:dyDescent="0.35">
      <c r="A80" s="86" t="str">
        <f>IF(itens_Remanesc!A80="","",itens_Remanesc!A80)</f>
        <v/>
      </c>
      <c r="B80" s="85" t="str">
        <f>IF(A80="","",IF(posicao_contratual!$Y80="","",IF(posicao_contratual!$Y80&gt;0,"",posicao_contratual!G80)))</f>
        <v/>
      </c>
      <c r="C80" s="79" t="str">
        <f>IF(itens_Remanesc!A80="","",IF(posicao_contratual!$Y80="","",IF(posicao_contratual!$Y80&gt;0,"",itens_Remanesc!C80)))</f>
        <v/>
      </c>
      <c r="D80" s="79" t="str">
        <f>IF(OR($A80="",posicao_contratual!$Y80=""),"",IF(posicao_contratual!$Y80&gt;1,"",IF(NOT(ISNUMBER(itens_Remanesc!C80)),"",IF(posicao_contratual!$Y80=1,IF(IFERROR(IF(ISNUMBER(INDEX(aditivos!$O$2:$O$200,MATCH($A80,aditivos!$A$2:$A$200,0))),MIN(INDEX(aditivos!$O$2:$O$200,MATCH($A80,aditivos!$A$2:$A$200,0)),posicao_contratual!$Y80),posicao_contratual!$Y80),posicao_contratual!$Y80)=1,itens_Remanesc!C80,IFERROR(ROUND(itens_Remanesc!C80*INDEX($L$2:$L$6,MIN(1+1,COUNT($L$2:$L$6)))/INDEX($L$2:$L$6,MIN(IFERROR(IF(ISNUMBER(INDEX(aditivos!$O$2:$O$200,MATCH($A80,aditivos!$A$2:$A$200,0))),MIN(INDEX(aditivos!$O$2:$O$200,MATCH($A80,aditivos!$A$2:$A$200,0)),posicao_contratual!$Y80),posicao_contratual!$Y80),posicao_contratual!$Y80)+1,COUNT($L$2:$L$6))),2),"")),IF(OR(NOT(ISNUMBER($L$3)),NOT(ISNUMBER(INDEX($L$2:$L$6,IFERROR(IF(ISNUMBER(INDEX(aditivos!$O$2:$O$200,MATCH($A80,aditivos!$A$2:$A$200,0))),MIN(INDEX(aditivos!$O$2:$O$200,MATCH($A80,aditivos!$A$2:$A$200,0)),posicao_contratual!$Y80),posicao_contratual!$Y80),posicao_contratual!$Y80)+1)))),"",ROUND(itens_Remanesc!C80*$L$3/INDEX($L$2:$L$6,IFERROR(IF(ISNUMBER(INDEX(aditivos!$O$2:$O$200,MATCH($A80,aditivos!$A$2:$A$200,0))),MIN(INDEX(aditivos!$O$2:$O$200,MATCH($A80,aditivos!$A$2:$A$200,0)),posicao_contratual!$Y80),posicao_contratual!$Y80),posicao_contratual!$Y80)+1),2))))))</f>
        <v/>
      </c>
      <c r="E80" s="79" t="str">
        <f>IF(OR($A80="",posicao_contratual!$Y80=""),"",IF(posicao_contratual!$Y80&gt;2,"",IF(NOT(ISNUMBER(itens_Remanesc!C80)),"",IF(posicao_contratual!$Y80=2,IF(IFERROR(IF(ISNUMBER(INDEX(aditivos!$O$2:$O$200,MATCH($A80,aditivos!$A$2:$A$200,0))),MIN(INDEX(aditivos!$O$2:$O$200,MATCH($A80,aditivos!$A$2:$A$200,0)),posicao_contratual!$Y80),posicao_contratual!$Y80),posicao_contratual!$Y80)=2,itens_Remanesc!C80,IFERROR(ROUND(itens_Remanesc!C80*INDEX($L$2:$L$6,MIN(2+1,COUNT($L$2:$L$6)))/INDEX($L$2:$L$6,MIN(IFERROR(IF(ISNUMBER(INDEX(aditivos!$O$2:$O$200,MATCH($A80,aditivos!$A$2:$A$200,0))),MIN(INDEX(aditivos!$O$2:$O$200,MATCH($A80,aditivos!$A$2:$A$200,0)),posicao_contratual!$Y80),posicao_contratual!$Y80),posicao_contratual!$Y80)+1,COUNT($L$2:$L$6))),2),"")),IF(OR(NOT(ISNUMBER($L$4)),NOT(ISNUMBER(INDEX($L$2:$L$6,IFERROR(IF(ISNUMBER(INDEX(aditivos!$O$2:$O$200,MATCH($A80,aditivos!$A$2:$A$200,0))),MIN(INDEX(aditivos!$O$2:$O$200,MATCH($A80,aditivos!$A$2:$A$200,0)),posicao_contratual!$Y80),posicao_contratual!$Y80),posicao_contratual!$Y80)+1)))),"",ROUND(itens_Remanesc!C80*$L$4/INDEX($L$2:$L$6,IFERROR(IF(ISNUMBER(INDEX(aditivos!$O$2:$O$200,MATCH($A80,aditivos!$A$2:$A$200,0))),MIN(INDEX(aditivos!$O$2:$O$200,MATCH($A80,aditivos!$A$2:$A$200,0)),posicao_contratual!$Y80),posicao_contratual!$Y80),posicao_contratual!$Y80)+1),2))))))</f>
        <v/>
      </c>
      <c r="F80" s="79" t="str">
        <f>IF(OR($A80="",posicao_contratual!$Y80=""),"",IF(posicao_contratual!$Y80&gt;3,"",IF(NOT(ISNUMBER(itens_Remanesc!C80)),"",IF(posicao_contratual!$Y80=3,IF(IFERROR(IF(ISNUMBER(INDEX(aditivos!$O$2:$O$200,MATCH($A80,aditivos!$A$2:$A$200,0))),MIN(INDEX(aditivos!$O$2:$O$200,MATCH($A80,aditivos!$A$2:$A$200,0)),posicao_contratual!$Y80),posicao_contratual!$Y80),posicao_contratual!$Y80)=3,itens_Remanesc!C80,IFERROR(ROUND(itens_Remanesc!C80*INDEX($L$2:$L$6,MIN(3+1,COUNT($L$2:$L$6)))/INDEX($L$2:$L$6,MIN(IFERROR(IF(ISNUMBER(INDEX(aditivos!$O$2:$O$200,MATCH($A80,aditivos!$A$2:$A$200,0))),MIN(INDEX(aditivos!$O$2:$O$200,MATCH($A80,aditivos!$A$2:$A$200,0)),posicao_contratual!$Y80),posicao_contratual!$Y80),posicao_contratual!$Y80)+1,COUNT($L$2:$L$6))),2),"")),IF(OR(NOT(ISNUMBER($L$5)),NOT(ISNUMBER(INDEX($L$2:$L$6,IFERROR(IF(ISNUMBER(INDEX(aditivos!$O$2:$O$200,MATCH($A80,aditivos!$A$2:$A$200,0))),MIN(INDEX(aditivos!$O$2:$O$200,MATCH($A80,aditivos!$A$2:$A$200,0)),posicao_contratual!$Y80),posicao_contratual!$Y80),posicao_contratual!$Y80)+1)))),"",ROUND(itens_Remanesc!C80*$L$5/INDEX($L$2:$L$6,IFERROR(IF(ISNUMBER(INDEX(aditivos!$O$2:$O$200,MATCH($A80,aditivos!$A$2:$A$200,0))),MIN(INDEX(aditivos!$O$2:$O$200,MATCH($A80,aditivos!$A$2:$A$200,0)),posicao_contratual!$Y80),posicao_contratual!$Y80),posicao_contratual!$Y80)+1),2))))))</f>
        <v/>
      </c>
      <c r="G80" s="79" t="str">
        <f>IF(OR($A80="",posicao_contratual!$Y80=""),"",IF(posicao_contratual!$Y80&gt;4,"",IF(NOT(ISNUMBER(itens_Remanesc!C80)),"",IF(posicao_contratual!$Y80=4,IF(IFERROR(IF(ISNUMBER(INDEX(aditivos!$O$2:$O$200,MATCH($A80,aditivos!$A$2:$A$200,0))),MIN(INDEX(aditivos!$O$2:$O$200,MATCH($A80,aditivos!$A$2:$A$200,0)),posicao_contratual!$Y80),posicao_contratual!$Y80),posicao_contratual!$Y80)=4,itens_Remanesc!C80,IFERROR(ROUND(itens_Remanesc!C80*INDEX($L$2:$L$6,MIN(4+1,COUNT($L$2:$L$6)))/INDEX($L$2:$L$6,MIN(IFERROR(IF(ISNUMBER(INDEX(aditivos!$O$2:$O$200,MATCH($A80,aditivos!$A$2:$A$200,0))),MIN(INDEX(aditivos!$O$2:$O$200,MATCH($A80,aditivos!$A$2:$A$200,0)),posicao_contratual!$Y80),posicao_contratual!$Y80),posicao_contratual!$Y80)+1,COUNT($L$2:$L$6))),2),"")),IF(OR(NOT(ISNUMBER($L$6)),NOT(ISNUMBER(INDEX($L$2:$L$6,IFERROR(IF(ISNUMBER(INDEX(aditivos!$O$2:$O$200,MATCH($A80,aditivos!$A$2:$A$200,0))),MIN(INDEX(aditivos!$O$2:$O$200,MATCH($A80,aditivos!$A$2:$A$200,0)),posicao_contratual!$Y80),posicao_contratual!$Y80),posicao_contratual!$Y80)+1)))),"",ROUND(itens_Remanesc!C80*$L$6/INDEX($L$2:$L$6,IFERROR(IF(ISNUMBER(INDEX(aditivos!$O$2:$O$200,MATCH($A80,aditivos!$A$2:$A$200,0))),MIN(INDEX(aditivos!$O$2:$O$200,MATCH($A80,aditivos!$A$2:$A$200,0)),posicao_contratual!$Y80),posicao_contratual!$Y80),posicao_contratual!$Y80)+1),2))))))</f>
        <v/>
      </c>
      <c r="H80" s="116" t="str">
        <f t="shared" si="2"/>
        <v/>
      </c>
      <c r="I80" s="14"/>
      <c r="J80" s="14"/>
      <c r="K80" s="14"/>
      <c r="L80" s="14"/>
      <c r="M80" s="14"/>
      <c r="N80" s="147" t="str">
        <f>IF(A80="","",IF(posicao_contratual!$Y80="","",IF(posicao_contratual!$Y80&gt;0,"",posicao_contratual!E80)))</f>
        <v/>
      </c>
      <c r="O80" s="147" t="str">
        <f>IF(A80="","",IF(posicao_contratual!$Y80="","",IF(posicao_contratual!$Y80&gt;1,"",posicao_contratual!I80)))</f>
        <v/>
      </c>
      <c r="P80" s="147" t="str">
        <f>IF(A80="","",IF(posicao_contratual!$Y80="","",IF(posicao_contratual!$Y80&gt;2,"",posicao_contratual!M80)))</f>
        <v/>
      </c>
      <c r="Q80" s="147" t="str">
        <f>IF(A80="","",IF(posicao_contratual!$Y80="","",IF(posicao_contratual!$Y80&gt;3,"",posicao_contratual!Q80)))</f>
        <v/>
      </c>
      <c r="R80" s="147" t="str">
        <f>IF(A80="","",IF(posicao_contratual!$Y80="","",IF(posicao_contratual!$Y80&gt;4,"",posicao_contratual!U80)))</f>
        <v/>
      </c>
      <c r="S80" s="167" t="str">
        <f>IF(A80="","",posicao_contratual!G80)</f>
        <v/>
      </c>
      <c r="T80" s="167" t="str">
        <f>IF(A80="","",posicao_contratual!K80)</f>
        <v/>
      </c>
      <c r="U80" s="167" t="str">
        <f>IF(A80="","",posicao_contratual!O80)</f>
        <v/>
      </c>
      <c r="V80" s="167" t="str">
        <f>IF(A80="","",posicao_contratual!S80)</f>
        <v/>
      </c>
      <c r="W80" s="167" t="str">
        <f>IF(A80="","",posicao_contratual!W80)</f>
        <v/>
      </c>
    </row>
    <row r="81" spans="1:23" x14ac:dyDescent="0.35">
      <c r="A81" s="86" t="str">
        <f>IF(itens_Remanesc!A81="","",itens_Remanesc!A81)</f>
        <v/>
      </c>
      <c r="B81" s="85" t="str">
        <f>IF(A81="","",IF(posicao_contratual!$Y81="","",IF(posicao_contratual!$Y81&gt;0,"",posicao_contratual!G81)))</f>
        <v/>
      </c>
      <c r="C81" s="79" t="str">
        <f>IF(itens_Remanesc!A81="","",IF(posicao_contratual!$Y81="","",IF(posicao_contratual!$Y81&gt;0,"",itens_Remanesc!C81)))</f>
        <v/>
      </c>
      <c r="D81" s="79" t="str">
        <f>IF(OR($A81="",posicao_contratual!$Y81=""),"",IF(posicao_contratual!$Y81&gt;1,"",IF(NOT(ISNUMBER(itens_Remanesc!C81)),"",IF(posicao_contratual!$Y81=1,IF(IFERROR(IF(ISNUMBER(INDEX(aditivos!$O$2:$O$200,MATCH($A81,aditivos!$A$2:$A$200,0))),MIN(INDEX(aditivos!$O$2:$O$200,MATCH($A81,aditivos!$A$2:$A$200,0)),posicao_contratual!$Y81),posicao_contratual!$Y81),posicao_contratual!$Y81)=1,itens_Remanesc!C81,IFERROR(ROUND(itens_Remanesc!C81*INDEX($L$2:$L$6,MIN(1+1,COUNT($L$2:$L$6)))/INDEX($L$2:$L$6,MIN(IFERROR(IF(ISNUMBER(INDEX(aditivos!$O$2:$O$200,MATCH($A81,aditivos!$A$2:$A$200,0))),MIN(INDEX(aditivos!$O$2:$O$200,MATCH($A81,aditivos!$A$2:$A$200,0)),posicao_contratual!$Y81),posicao_contratual!$Y81),posicao_contratual!$Y81)+1,COUNT($L$2:$L$6))),2),"")),IF(OR(NOT(ISNUMBER($L$3)),NOT(ISNUMBER(INDEX($L$2:$L$6,IFERROR(IF(ISNUMBER(INDEX(aditivos!$O$2:$O$200,MATCH($A81,aditivos!$A$2:$A$200,0))),MIN(INDEX(aditivos!$O$2:$O$200,MATCH($A81,aditivos!$A$2:$A$200,0)),posicao_contratual!$Y81),posicao_contratual!$Y81),posicao_contratual!$Y81)+1)))),"",ROUND(itens_Remanesc!C81*$L$3/INDEX($L$2:$L$6,IFERROR(IF(ISNUMBER(INDEX(aditivos!$O$2:$O$200,MATCH($A81,aditivos!$A$2:$A$200,0))),MIN(INDEX(aditivos!$O$2:$O$200,MATCH($A81,aditivos!$A$2:$A$200,0)),posicao_contratual!$Y81),posicao_contratual!$Y81),posicao_contratual!$Y81)+1),2))))))</f>
        <v/>
      </c>
      <c r="E81" s="79" t="str">
        <f>IF(OR($A81="",posicao_contratual!$Y81=""),"",IF(posicao_contratual!$Y81&gt;2,"",IF(NOT(ISNUMBER(itens_Remanesc!C81)),"",IF(posicao_contratual!$Y81=2,IF(IFERROR(IF(ISNUMBER(INDEX(aditivos!$O$2:$O$200,MATCH($A81,aditivos!$A$2:$A$200,0))),MIN(INDEX(aditivos!$O$2:$O$200,MATCH($A81,aditivos!$A$2:$A$200,0)),posicao_contratual!$Y81),posicao_contratual!$Y81),posicao_contratual!$Y81)=2,itens_Remanesc!C81,IFERROR(ROUND(itens_Remanesc!C81*INDEX($L$2:$L$6,MIN(2+1,COUNT($L$2:$L$6)))/INDEX($L$2:$L$6,MIN(IFERROR(IF(ISNUMBER(INDEX(aditivos!$O$2:$O$200,MATCH($A81,aditivos!$A$2:$A$200,0))),MIN(INDEX(aditivos!$O$2:$O$200,MATCH($A81,aditivos!$A$2:$A$200,0)),posicao_contratual!$Y81),posicao_contratual!$Y81),posicao_contratual!$Y81)+1,COUNT($L$2:$L$6))),2),"")),IF(OR(NOT(ISNUMBER($L$4)),NOT(ISNUMBER(INDEX($L$2:$L$6,IFERROR(IF(ISNUMBER(INDEX(aditivos!$O$2:$O$200,MATCH($A81,aditivos!$A$2:$A$200,0))),MIN(INDEX(aditivos!$O$2:$O$200,MATCH($A81,aditivos!$A$2:$A$200,0)),posicao_contratual!$Y81),posicao_contratual!$Y81),posicao_contratual!$Y81)+1)))),"",ROUND(itens_Remanesc!C81*$L$4/INDEX($L$2:$L$6,IFERROR(IF(ISNUMBER(INDEX(aditivos!$O$2:$O$200,MATCH($A81,aditivos!$A$2:$A$200,0))),MIN(INDEX(aditivos!$O$2:$O$200,MATCH($A81,aditivos!$A$2:$A$200,0)),posicao_contratual!$Y81),posicao_contratual!$Y81),posicao_contratual!$Y81)+1),2))))))</f>
        <v/>
      </c>
      <c r="F81" s="79" t="str">
        <f>IF(OR($A81="",posicao_contratual!$Y81=""),"",IF(posicao_contratual!$Y81&gt;3,"",IF(NOT(ISNUMBER(itens_Remanesc!C81)),"",IF(posicao_contratual!$Y81=3,IF(IFERROR(IF(ISNUMBER(INDEX(aditivos!$O$2:$O$200,MATCH($A81,aditivos!$A$2:$A$200,0))),MIN(INDEX(aditivos!$O$2:$O$200,MATCH($A81,aditivos!$A$2:$A$200,0)),posicao_contratual!$Y81),posicao_contratual!$Y81),posicao_contratual!$Y81)=3,itens_Remanesc!C81,IFERROR(ROUND(itens_Remanesc!C81*INDEX($L$2:$L$6,MIN(3+1,COUNT($L$2:$L$6)))/INDEX($L$2:$L$6,MIN(IFERROR(IF(ISNUMBER(INDEX(aditivos!$O$2:$O$200,MATCH($A81,aditivos!$A$2:$A$200,0))),MIN(INDEX(aditivos!$O$2:$O$200,MATCH($A81,aditivos!$A$2:$A$200,0)),posicao_contratual!$Y81),posicao_contratual!$Y81),posicao_contratual!$Y81)+1,COUNT($L$2:$L$6))),2),"")),IF(OR(NOT(ISNUMBER($L$5)),NOT(ISNUMBER(INDEX($L$2:$L$6,IFERROR(IF(ISNUMBER(INDEX(aditivos!$O$2:$O$200,MATCH($A81,aditivos!$A$2:$A$200,0))),MIN(INDEX(aditivos!$O$2:$O$200,MATCH($A81,aditivos!$A$2:$A$200,0)),posicao_contratual!$Y81),posicao_contratual!$Y81),posicao_contratual!$Y81)+1)))),"",ROUND(itens_Remanesc!C81*$L$5/INDEX($L$2:$L$6,IFERROR(IF(ISNUMBER(INDEX(aditivos!$O$2:$O$200,MATCH($A81,aditivos!$A$2:$A$200,0))),MIN(INDEX(aditivos!$O$2:$O$200,MATCH($A81,aditivos!$A$2:$A$200,0)),posicao_contratual!$Y81),posicao_contratual!$Y81),posicao_contratual!$Y81)+1),2))))))</f>
        <v/>
      </c>
      <c r="G81" s="79" t="str">
        <f>IF(OR($A81="",posicao_contratual!$Y81=""),"",IF(posicao_contratual!$Y81&gt;4,"",IF(NOT(ISNUMBER(itens_Remanesc!C81)),"",IF(posicao_contratual!$Y81=4,IF(IFERROR(IF(ISNUMBER(INDEX(aditivos!$O$2:$O$200,MATCH($A81,aditivos!$A$2:$A$200,0))),MIN(INDEX(aditivos!$O$2:$O$200,MATCH($A81,aditivos!$A$2:$A$200,0)),posicao_contratual!$Y81),posicao_contratual!$Y81),posicao_contratual!$Y81)=4,itens_Remanesc!C81,IFERROR(ROUND(itens_Remanesc!C81*INDEX($L$2:$L$6,MIN(4+1,COUNT($L$2:$L$6)))/INDEX($L$2:$L$6,MIN(IFERROR(IF(ISNUMBER(INDEX(aditivos!$O$2:$O$200,MATCH($A81,aditivos!$A$2:$A$200,0))),MIN(INDEX(aditivos!$O$2:$O$200,MATCH($A81,aditivos!$A$2:$A$200,0)),posicao_contratual!$Y81),posicao_contratual!$Y81),posicao_contratual!$Y81)+1,COUNT($L$2:$L$6))),2),"")),IF(OR(NOT(ISNUMBER($L$6)),NOT(ISNUMBER(INDEX($L$2:$L$6,IFERROR(IF(ISNUMBER(INDEX(aditivos!$O$2:$O$200,MATCH($A81,aditivos!$A$2:$A$200,0))),MIN(INDEX(aditivos!$O$2:$O$200,MATCH($A81,aditivos!$A$2:$A$200,0)),posicao_contratual!$Y81),posicao_contratual!$Y81),posicao_contratual!$Y81)+1)))),"",ROUND(itens_Remanesc!C81*$L$6/INDEX($L$2:$L$6,IFERROR(IF(ISNUMBER(INDEX(aditivos!$O$2:$O$200,MATCH($A81,aditivos!$A$2:$A$200,0))),MIN(INDEX(aditivos!$O$2:$O$200,MATCH($A81,aditivos!$A$2:$A$200,0)),posicao_contratual!$Y81),posicao_contratual!$Y81),posicao_contratual!$Y81)+1),2))))))</f>
        <v/>
      </c>
      <c r="H81" s="116" t="str">
        <f t="shared" si="2"/>
        <v/>
      </c>
      <c r="I81" s="14"/>
      <c r="J81" s="14"/>
      <c r="K81" s="14"/>
      <c r="L81" s="14"/>
      <c r="M81" s="14"/>
      <c r="N81" s="147" t="str">
        <f>IF(A81="","",IF(posicao_contratual!$Y81="","",IF(posicao_contratual!$Y81&gt;0,"",posicao_contratual!E81)))</f>
        <v/>
      </c>
      <c r="O81" s="147" t="str">
        <f>IF(A81="","",IF(posicao_contratual!$Y81="","",IF(posicao_contratual!$Y81&gt;1,"",posicao_contratual!I81)))</f>
        <v/>
      </c>
      <c r="P81" s="147" t="str">
        <f>IF(A81="","",IF(posicao_contratual!$Y81="","",IF(posicao_contratual!$Y81&gt;2,"",posicao_contratual!M81)))</f>
        <v/>
      </c>
      <c r="Q81" s="147" t="str">
        <f>IF(A81="","",IF(posicao_contratual!$Y81="","",IF(posicao_contratual!$Y81&gt;3,"",posicao_contratual!Q81)))</f>
        <v/>
      </c>
      <c r="R81" s="147" t="str">
        <f>IF(A81="","",IF(posicao_contratual!$Y81="","",IF(posicao_contratual!$Y81&gt;4,"",posicao_contratual!U81)))</f>
        <v/>
      </c>
      <c r="S81" s="167" t="str">
        <f>IF(A81="","",posicao_contratual!G81)</f>
        <v/>
      </c>
      <c r="T81" s="167" t="str">
        <f>IF(A81="","",posicao_contratual!K81)</f>
        <v/>
      </c>
      <c r="U81" s="167" t="str">
        <f>IF(A81="","",posicao_contratual!O81)</f>
        <v/>
      </c>
      <c r="V81" s="167" t="str">
        <f>IF(A81="","",posicao_contratual!S81)</f>
        <v/>
      </c>
      <c r="W81" s="167" t="str">
        <f>IF(A81="","",posicao_contratual!W81)</f>
        <v/>
      </c>
    </row>
    <row r="82" spans="1:23" x14ac:dyDescent="0.35">
      <c r="A82" s="86" t="str">
        <f>IF(itens_Remanesc!A82="","",itens_Remanesc!A82)</f>
        <v/>
      </c>
      <c r="B82" s="85" t="str">
        <f>IF(A82="","",IF(posicao_contratual!$Y82="","",IF(posicao_contratual!$Y82&gt;0,"",posicao_contratual!G82)))</f>
        <v/>
      </c>
      <c r="C82" s="79" t="str">
        <f>IF(itens_Remanesc!A82="","",IF(posicao_contratual!$Y82="","",IF(posicao_contratual!$Y82&gt;0,"",itens_Remanesc!C82)))</f>
        <v/>
      </c>
      <c r="D82" s="79" t="str">
        <f>IF(OR($A82="",posicao_contratual!$Y82=""),"",IF(posicao_contratual!$Y82&gt;1,"",IF(NOT(ISNUMBER(itens_Remanesc!C82)),"",IF(posicao_contratual!$Y82=1,IF(IFERROR(IF(ISNUMBER(INDEX(aditivos!$O$2:$O$200,MATCH($A82,aditivos!$A$2:$A$200,0))),MIN(INDEX(aditivos!$O$2:$O$200,MATCH($A82,aditivos!$A$2:$A$200,0)),posicao_contratual!$Y82),posicao_contratual!$Y82),posicao_contratual!$Y82)=1,itens_Remanesc!C82,IFERROR(ROUND(itens_Remanesc!C82*INDEX($L$2:$L$6,MIN(1+1,COUNT($L$2:$L$6)))/INDEX($L$2:$L$6,MIN(IFERROR(IF(ISNUMBER(INDEX(aditivos!$O$2:$O$200,MATCH($A82,aditivos!$A$2:$A$200,0))),MIN(INDEX(aditivos!$O$2:$O$200,MATCH($A82,aditivos!$A$2:$A$200,0)),posicao_contratual!$Y82),posicao_contratual!$Y82),posicao_contratual!$Y82)+1,COUNT($L$2:$L$6))),2),"")),IF(OR(NOT(ISNUMBER($L$3)),NOT(ISNUMBER(INDEX($L$2:$L$6,IFERROR(IF(ISNUMBER(INDEX(aditivos!$O$2:$O$200,MATCH($A82,aditivos!$A$2:$A$200,0))),MIN(INDEX(aditivos!$O$2:$O$200,MATCH($A82,aditivos!$A$2:$A$200,0)),posicao_contratual!$Y82),posicao_contratual!$Y82),posicao_contratual!$Y82)+1)))),"",ROUND(itens_Remanesc!C82*$L$3/INDEX($L$2:$L$6,IFERROR(IF(ISNUMBER(INDEX(aditivos!$O$2:$O$200,MATCH($A82,aditivos!$A$2:$A$200,0))),MIN(INDEX(aditivos!$O$2:$O$200,MATCH($A82,aditivos!$A$2:$A$200,0)),posicao_contratual!$Y82),posicao_contratual!$Y82),posicao_contratual!$Y82)+1),2))))))</f>
        <v/>
      </c>
      <c r="E82" s="79" t="str">
        <f>IF(OR($A82="",posicao_contratual!$Y82=""),"",IF(posicao_contratual!$Y82&gt;2,"",IF(NOT(ISNUMBER(itens_Remanesc!C82)),"",IF(posicao_contratual!$Y82=2,IF(IFERROR(IF(ISNUMBER(INDEX(aditivos!$O$2:$O$200,MATCH($A82,aditivos!$A$2:$A$200,0))),MIN(INDEX(aditivos!$O$2:$O$200,MATCH($A82,aditivos!$A$2:$A$200,0)),posicao_contratual!$Y82),posicao_contratual!$Y82),posicao_contratual!$Y82)=2,itens_Remanesc!C82,IFERROR(ROUND(itens_Remanesc!C82*INDEX($L$2:$L$6,MIN(2+1,COUNT($L$2:$L$6)))/INDEX($L$2:$L$6,MIN(IFERROR(IF(ISNUMBER(INDEX(aditivos!$O$2:$O$200,MATCH($A82,aditivos!$A$2:$A$200,0))),MIN(INDEX(aditivos!$O$2:$O$200,MATCH($A82,aditivos!$A$2:$A$200,0)),posicao_contratual!$Y82),posicao_contratual!$Y82),posicao_contratual!$Y82)+1,COUNT($L$2:$L$6))),2),"")),IF(OR(NOT(ISNUMBER($L$4)),NOT(ISNUMBER(INDEX($L$2:$L$6,IFERROR(IF(ISNUMBER(INDEX(aditivos!$O$2:$O$200,MATCH($A82,aditivos!$A$2:$A$200,0))),MIN(INDEX(aditivos!$O$2:$O$200,MATCH($A82,aditivos!$A$2:$A$200,0)),posicao_contratual!$Y82),posicao_contratual!$Y82),posicao_contratual!$Y82)+1)))),"",ROUND(itens_Remanesc!C82*$L$4/INDEX($L$2:$L$6,IFERROR(IF(ISNUMBER(INDEX(aditivos!$O$2:$O$200,MATCH($A82,aditivos!$A$2:$A$200,0))),MIN(INDEX(aditivos!$O$2:$O$200,MATCH($A82,aditivos!$A$2:$A$200,0)),posicao_contratual!$Y82),posicao_contratual!$Y82),posicao_contratual!$Y82)+1),2))))))</f>
        <v/>
      </c>
      <c r="F82" s="79" t="str">
        <f>IF(OR($A82="",posicao_contratual!$Y82=""),"",IF(posicao_contratual!$Y82&gt;3,"",IF(NOT(ISNUMBER(itens_Remanesc!C82)),"",IF(posicao_contratual!$Y82=3,IF(IFERROR(IF(ISNUMBER(INDEX(aditivos!$O$2:$O$200,MATCH($A82,aditivos!$A$2:$A$200,0))),MIN(INDEX(aditivos!$O$2:$O$200,MATCH($A82,aditivos!$A$2:$A$200,0)),posicao_contratual!$Y82),posicao_contratual!$Y82),posicao_contratual!$Y82)=3,itens_Remanesc!C82,IFERROR(ROUND(itens_Remanesc!C82*INDEX($L$2:$L$6,MIN(3+1,COUNT($L$2:$L$6)))/INDEX($L$2:$L$6,MIN(IFERROR(IF(ISNUMBER(INDEX(aditivos!$O$2:$O$200,MATCH($A82,aditivos!$A$2:$A$200,0))),MIN(INDEX(aditivos!$O$2:$O$200,MATCH($A82,aditivos!$A$2:$A$200,0)),posicao_contratual!$Y82),posicao_contratual!$Y82),posicao_contratual!$Y82)+1,COUNT($L$2:$L$6))),2),"")),IF(OR(NOT(ISNUMBER($L$5)),NOT(ISNUMBER(INDEX($L$2:$L$6,IFERROR(IF(ISNUMBER(INDEX(aditivos!$O$2:$O$200,MATCH($A82,aditivos!$A$2:$A$200,0))),MIN(INDEX(aditivos!$O$2:$O$200,MATCH($A82,aditivos!$A$2:$A$200,0)),posicao_contratual!$Y82),posicao_contratual!$Y82),posicao_contratual!$Y82)+1)))),"",ROUND(itens_Remanesc!C82*$L$5/INDEX($L$2:$L$6,IFERROR(IF(ISNUMBER(INDEX(aditivos!$O$2:$O$200,MATCH($A82,aditivos!$A$2:$A$200,0))),MIN(INDEX(aditivos!$O$2:$O$200,MATCH($A82,aditivos!$A$2:$A$200,0)),posicao_contratual!$Y82),posicao_contratual!$Y82),posicao_contratual!$Y82)+1),2))))))</f>
        <v/>
      </c>
      <c r="G82" s="79" t="str">
        <f>IF(OR($A82="",posicao_contratual!$Y82=""),"",IF(posicao_contratual!$Y82&gt;4,"",IF(NOT(ISNUMBER(itens_Remanesc!C82)),"",IF(posicao_contratual!$Y82=4,IF(IFERROR(IF(ISNUMBER(INDEX(aditivos!$O$2:$O$200,MATCH($A82,aditivos!$A$2:$A$200,0))),MIN(INDEX(aditivos!$O$2:$O$200,MATCH($A82,aditivos!$A$2:$A$200,0)),posicao_contratual!$Y82),posicao_contratual!$Y82),posicao_contratual!$Y82)=4,itens_Remanesc!C82,IFERROR(ROUND(itens_Remanesc!C82*INDEX($L$2:$L$6,MIN(4+1,COUNT($L$2:$L$6)))/INDEX($L$2:$L$6,MIN(IFERROR(IF(ISNUMBER(INDEX(aditivos!$O$2:$O$200,MATCH($A82,aditivos!$A$2:$A$200,0))),MIN(INDEX(aditivos!$O$2:$O$200,MATCH($A82,aditivos!$A$2:$A$200,0)),posicao_contratual!$Y82),posicao_contratual!$Y82),posicao_contratual!$Y82)+1,COUNT($L$2:$L$6))),2),"")),IF(OR(NOT(ISNUMBER($L$6)),NOT(ISNUMBER(INDEX($L$2:$L$6,IFERROR(IF(ISNUMBER(INDEX(aditivos!$O$2:$O$200,MATCH($A82,aditivos!$A$2:$A$200,0))),MIN(INDEX(aditivos!$O$2:$O$200,MATCH($A82,aditivos!$A$2:$A$200,0)),posicao_contratual!$Y82),posicao_contratual!$Y82),posicao_contratual!$Y82)+1)))),"",ROUND(itens_Remanesc!C82*$L$6/INDEX($L$2:$L$6,IFERROR(IF(ISNUMBER(INDEX(aditivos!$O$2:$O$200,MATCH($A82,aditivos!$A$2:$A$200,0))),MIN(INDEX(aditivos!$O$2:$O$200,MATCH($A82,aditivos!$A$2:$A$200,0)),posicao_contratual!$Y82),posicao_contratual!$Y82),posicao_contratual!$Y82)+1),2))))))</f>
        <v/>
      </c>
      <c r="H82" s="116" t="str">
        <f t="shared" si="2"/>
        <v/>
      </c>
      <c r="I82" s="14"/>
      <c r="J82" s="14"/>
      <c r="K82" s="14"/>
      <c r="L82" s="14"/>
      <c r="M82" s="14"/>
      <c r="N82" s="147" t="str">
        <f>IF(A82="","",IF(posicao_contratual!$Y82="","",IF(posicao_contratual!$Y82&gt;0,"",posicao_contratual!E82)))</f>
        <v/>
      </c>
      <c r="O82" s="147" t="str">
        <f>IF(A82="","",IF(posicao_contratual!$Y82="","",IF(posicao_contratual!$Y82&gt;1,"",posicao_contratual!I82)))</f>
        <v/>
      </c>
      <c r="P82" s="147" t="str">
        <f>IF(A82="","",IF(posicao_contratual!$Y82="","",IF(posicao_contratual!$Y82&gt;2,"",posicao_contratual!M82)))</f>
        <v/>
      </c>
      <c r="Q82" s="147" t="str">
        <f>IF(A82="","",IF(posicao_contratual!$Y82="","",IF(posicao_contratual!$Y82&gt;3,"",posicao_contratual!Q82)))</f>
        <v/>
      </c>
      <c r="R82" s="147" t="str">
        <f>IF(A82="","",IF(posicao_contratual!$Y82="","",IF(posicao_contratual!$Y82&gt;4,"",posicao_contratual!U82)))</f>
        <v/>
      </c>
      <c r="S82" s="167" t="str">
        <f>IF(A82="","",posicao_contratual!G82)</f>
        <v/>
      </c>
      <c r="T82" s="167" t="str">
        <f>IF(A82="","",posicao_contratual!K82)</f>
        <v/>
      </c>
      <c r="U82" s="167" t="str">
        <f>IF(A82="","",posicao_contratual!O82)</f>
        <v/>
      </c>
      <c r="V82" s="167" t="str">
        <f>IF(A82="","",posicao_contratual!S82)</f>
        <v/>
      </c>
      <c r="W82" s="167" t="str">
        <f>IF(A82="","",posicao_contratual!W82)</f>
        <v/>
      </c>
    </row>
    <row r="83" spans="1:23" x14ac:dyDescent="0.35">
      <c r="A83" s="86" t="str">
        <f>IF(itens_Remanesc!A83="","",itens_Remanesc!A83)</f>
        <v/>
      </c>
      <c r="B83" s="85" t="str">
        <f>IF(A83="","",IF(posicao_contratual!$Y83="","",IF(posicao_contratual!$Y83&gt;0,"",posicao_contratual!G83)))</f>
        <v/>
      </c>
      <c r="C83" s="79" t="str">
        <f>IF(itens_Remanesc!A83="","",IF(posicao_contratual!$Y83="","",IF(posicao_contratual!$Y83&gt;0,"",itens_Remanesc!C83)))</f>
        <v/>
      </c>
      <c r="D83" s="79" t="str">
        <f>IF(OR($A83="",posicao_contratual!$Y83=""),"",IF(posicao_contratual!$Y83&gt;1,"",IF(NOT(ISNUMBER(itens_Remanesc!C83)),"",IF(posicao_contratual!$Y83=1,IF(IFERROR(IF(ISNUMBER(INDEX(aditivos!$O$2:$O$200,MATCH($A83,aditivos!$A$2:$A$200,0))),MIN(INDEX(aditivos!$O$2:$O$200,MATCH($A83,aditivos!$A$2:$A$200,0)),posicao_contratual!$Y83),posicao_contratual!$Y83),posicao_contratual!$Y83)=1,itens_Remanesc!C83,IFERROR(ROUND(itens_Remanesc!C83*INDEX($L$2:$L$6,MIN(1+1,COUNT($L$2:$L$6)))/INDEX($L$2:$L$6,MIN(IFERROR(IF(ISNUMBER(INDEX(aditivos!$O$2:$O$200,MATCH($A83,aditivos!$A$2:$A$200,0))),MIN(INDEX(aditivos!$O$2:$O$200,MATCH($A83,aditivos!$A$2:$A$200,0)),posicao_contratual!$Y83),posicao_contratual!$Y83),posicao_contratual!$Y83)+1,COUNT($L$2:$L$6))),2),"")),IF(OR(NOT(ISNUMBER($L$3)),NOT(ISNUMBER(INDEX($L$2:$L$6,IFERROR(IF(ISNUMBER(INDEX(aditivos!$O$2:$O$200,MATCH($A83,aditivos!$A$2:$A$200,0))),MIN(INDEX(aditivos!$O$2:$O$200,MATCH($A83,aditivos!$A$2:$A$200,0)),posicao_contratual!$Y83),posicao_contratual!$Y83),posicao_contratual!$Y83)+1)))),"",ROUND(itens_Remanesc!C83*$L$3/INDEX($L$2:$L$6,IFERROR(IF(ISNUMBER(INDEX(aditivos!$O$2:$O$200,MATCH($A83,aditivos!$A$2:$A$200,0))),MIN(INDEX(aditivos!$O$2:$O$200,MATCH($A83,aditivos!$A$2:$A$200,0)),posicao_contratual!$Y83),posicao_contratual!$Y83),posicao_contratual!$Y83)+1),2))))))</f>
        <v/>
      </c>
      <c r="E83" s="79" t="str">
        <f>IF(OR($A83="",posicao_contratual!$Y83=""),"",IF(posicao_contratual!$Y83&gt;2,"",IF(NOT(ISNUMBER(itens_Remanesc!C83)),"",IF(posicao_contratual!$Y83=2,IF(IFERROR(IF(ISNUMBER(INDEX(aditivos!$O$2:$O$200,MATCH($A83,aditivos!$A$2:$A$200,0))),MIN(INDEX(aditivos!$O$2:$O$200,MATCH($A83,aditivos!$A$2:$A$200,0)),posicao_contratual!$Y83),posicao_contratual!$Y83),posicao_contratual!$Y83)=2,itens_Remanesc!C83,IFERROR(ROUND(itens_Remanesc!C83*INDEX($L$2:$L$6,MIN(2+1,COUNT($L$2:$L$6)))/INDEX($L$2:$L$6,MIN(IFERROR(IF(ISNUMBER(INDEX(aditivos!$O$2:$O$200,MATCH($A83,aditivos!$A$2:$A$200,0))),MIN(INDEX(aditivos!$O$2:$O$200,MATCH($A83,aditivos!$A$2:$A$200,0)),posicao_contratual!$Y83),posicao_contratual!$Y83),posicao_contratual!$Y83)+1,COUNT($L$2:$L$6))),2),"")),IF(OR(NOT(ISNUMBER($L$4)),NOT(ISNUMBER(INDEX($L$2:$L$6,IFERROR(IF(ISNUMBER(INDEX(aditivos!$O$2:$O$200,MATCH($A83,aditivos!$A$2:$A$200,0))),MIN(INDEX(aditivos!$O$2:$O$200,MATCH($A83,aditivos!$A$2:$A$200,0)),posicao_contratual!$Y83),posicao_contratual!$Y83),posicao_contratual!$Y83)+1)))),"",ROUND(itens_Remanesc!C83*$L$4/INDEX($L$2:$L$6,IFERROR(IF(ISNUMBER(INDEX(aditivos!$O$2:$O$200,MATCH($A83,aditivos!$A$2:$A$200,0))),MIN(INDEX(aditivos!$O$2:$O$200,MATCH($A83,aditivos!$A$2:$A$200,0)),posicao_contratual!$Y83),posicao_contratual!$Y83),posicao_contratual!$Y83)+1),2))))))</f>
        <v/>
      </c>
      <c r="F83" s="79" t="str">
        <f>IF(OR($A83="",posicao_contratual!$Y83=""),"",IF(posicao_contratual!$Y83&gt;3,"",IF(NOT(ISNUMBER(itens_Remanesc!C83)),"",IF(posicao_contratual!$Y83=3,IF(IFERROR(IF(ISNUMBER(INDEX(aditivos!$O$2:$O$200,MATCH($A83,aditivos!$A$2:$A$200,0))),MIN(INDEX(aditivos!$O$2:$O$200,MATCH($A83,aditivos!$A$2:$A$200,0)),posicao_contratual!$Y83),posicao_contratual!$Y83),posicao_contratual!$Y83)=3,itens_Remanesc!C83,IFERROR(ROUND(itens_Remanesc!C83*INDEX($L$2:$L$6,MIN(3+1,COUNT($L$2:$L$6)))/INDEX($L$2:$L$6,MIN(IFERROR(IF(ISNUMBER(INDEX(aditivos!$O$2:$O$200,MATCH($A83,aditivos!$A$2:$A$200,0))),MIN(INDEX(aditivos!$O$2:$O$200,MATCH($A83,aditivos!$A$2:$A$200,0)),posicao_contratual!$Y83),posicao_contratual!$Y83),posicao_contratual!$Y83)+1,COUNT($L$2:$L$6))),2),"")),IF(OR(NOT(ISNUMBER($L$5)),NOT(ISNUMBER(INDEX($L$2:$L$6,IFERROR(IF(ISNUMBER(INDEX(aditivos!$O$2:$O$200,MATCH($A83,aditivos!$A$2:$A$200,0))),MIN(INDEX(aditivos!$O$2:$O$200,MATCH($A83,aditivos!$A$2:$A$200,0)),posicao_contratual!$Y83),posicao_contratual!$Y83),posicao_contratual!$Y83)+1)))),"",ROUND(itens_Remanesc!C83*$L$5/INDEX($L$2:$L$6,IFERROR(IF(ISNUMBER(INDEX(aditivos!$O$2:$O$200,MATCH($A83,aditivos!$A$2:$A$200,0))),MIN(INDEX(aditivos!$O$2:$O$200,MATCH($A83,aditivos!$A$2:$A$200,0)),posicao_contratual!$Y83),posicao_contratual!$Y83),posicao_contratual!$Y83)+1),2))))))</f>
        <v/>
      </c>
      <c r="G83" s="79" t="str">
        <f>IF(OR($A83="",posicao_contratual!$Y83=""),"",IF(posicao_contratual!$Y83&gt;4,"",IF(NOT(ISNUMBER(itens_Remanesc!C83)),"",IF(posicao_contratual!$Y83=4,IF(IFERROR(IF(ISNUMBER(INDEX(aditivos!$O$2:$O$200,MATCH($A83,aditivos!$A$2:$A$200,0))),MIN(INDEX(aditivos!$O$2:$O$200,MATCH($A83,aditivos!$A$2:$A$200,0)),posicao_contratual!$Y83),posicao_contratual!$Y83),posicao_contratual!$Y83)=4,itens_Remanesc!C83,IFERROR(ROUND(itens_Remanesc!C83*INDEX($L$2:$L$6,MIN(4+1,COUNT($L$2:$L$6)))/INDEX($L$2:$L$6,MIN(IFERROR(IF(ISNUMBER(INDEX(aditivos!$O$2:$O$200,MATCH($A83,aditivos!$A$2:$A$200,0))),MIN(INDEX(aditivos!$O$2:$O$200,MATCH($A83,aditivos!$A$2:$A$200,0)),posicao_contratual!$Y83),posicao_contratual!$Y83),posicao_contratual!$Y83)+1,COUNT($L$2:$L$6))),2),"")),IF(OR(NOT(ISNUMBER($L$6)),NOT(ISNUMBER(INDEX($L$2:$L$6,IFERROR(IF(ISNUMBER(INDEX(aditivos!$O$2:$O$200,MATCH($A83,aditivos!$A$2:$A$200,0))),MIN(INDEX(aditivos!$O$2:$O$200,MATCH($A83,aditivos!$A$2:$A$200,0)),posicao_contratual!$Y83),posicao_contratual!$Y83),posicao_contratual!$Y83)+1)))),"",ROUND(itens_Remanesc!C83*$L$6/INDEX($L$2:$L$6,IFERROR(IF(ISNUMBER(INDEX(aditivos!$O$2:$O$200,MATCH($A83,aditivos!$A$2:$A$200,0))),MIN(INDEX(aditivos!$O$2:$O$200,MATCH($A83,aditivos!$A$2:$A$200,0)),posicao_contratual!$Y83),posicao_contratual!$Y83),posicao_contratual!$Y83)+1),2))))))</f>
        <v/>
      </c>
      <c r="H83" s="116" t="str">
        <f t="shared" si="2"/>
        <v/>
      </c>
      <c r="I83" s="14"/>
      <c r="J83" s="14"/>
      <c r="K83" s="14"/>
      <c r="L83" s="14"/>
      <c r="M83" s="14"/>
      <c r="N83" s="147" t="str">
        <f>IF(A83="","",IF(posicao_contratual!$Y83="","",IF(posicao_contratual!$Y83&gt;0,"",posicao_contratual!E83)))</f>
        <v/>
      </c>
      <c r="O83" s="147" t="str">
        <f>IF(A83="","",IF(posicao_contratual!$Y83="","",IF(posicao_contratual!$Y83&gt;1,"",posicao_contratual!I83)))</f>
        <v/>
      </c>
      <c r="P83" s="147" t="str">
        <f>IF(A83="","",IF(posicao_contratual!$Y83="","",IF(posicao_contratual!$Y83&gt;2,"",posicao_contratual!M83)))</f>
        <v/>
      </c>
      <c r="Q83" s="147" t="str">
        <f>IF(A83="","",IF(posicao_contratual!$Y83="","",IF(posicao_contratual!$Y83&gt;3,"",posicao_contratual!Q83)))</f>
        <v/>
      </c>
      <c r="R83" s="147" t="str">
        <f>IF(A83="","",IF(posicao_contratual!$Y83="","",IF(posicao_contratual!$Y83&gt;4,"",posicao_contratual!U83)))</f>
        <v/>
      </c>
      <c r="S83" s="167" t="str">
        <f>IF(A83="","",posicao_contratual!G83)</f>
        <v/>
      </c>
      <c r="T83" s="167" t="str">
        <f>IF(A83="","",posicao_contratual!K83)</f>
        <v/>
      </c>
      <c r="U83" s="167" t="str">
        <f>IF(A83="","",posicao_contratual!O83)</f>
        <v/>
      </c>
      <c r="V83" s="167" t="str">
        <f>IF(A83="","",posicao_contratual!S83)</f>
        <v/>
      </c>
      <c r="W83" s="167" t="str">
        <f>IF(A83="","",posicao_contratual!W83)</f>
        <v/>
      </c>
    </row>
    <row r="84" spans="1:23" x14ac:dyDescent="0.35">
      <c r="A84" s="86" t="str">
        <f>IF(itens_Remanesc!A84="","",itens_Remanesc!A84)</f>
        <v/>
      </c>
      <c r="B84" s="85" t="str">
        <f>IF(A84="","",IF(posicao_contratual!$Y84="","",IF(posicao_contratual!$Y84&gt;0,"",posicao_contratual!G84)))</f>
        <v/>
      </c>
      <c r="C84" s="79" t="str">
        <f>IF(itens_Remanesc!A84="","",IF(posicao_contratual!$Y84="","",IF(posicao_contratual!$Y84&gt;0,"",itens_Remanesc!C84)))</f>
        <v/>
      </c>
      <c r="D84" s="79" t="str">
        <f>IF(OR($A84="",posicao_contratual!$Y84=""),"",IF(posicao_contratual!$Y84&gt;1,"",IF(NOT(ISNUMBER(itens_Remanesc!C84)),"",IF(posicao_contratual!$Y84=1,IF(IFERROR(IF(ISNUMBER(INDEX(aditivos!$O$2:$O$200,MATCH($A84,aditivos!$A$2:$A$200,0))),MIN(INDEX(aditivos!$O$2:$O$200,MATCH($A84,aditivos!$A$2:$A$200,0)),posicao_contratual!$Y84),posicao_contratual!$Y84),posicao_contratual!$Y84)=1,itens_Remanesc!C84,IFERROR(ROUND(itens_Remanesc!C84*INDEX($L$2:$L$6,MIN(1+1,COUNT($L$2:$L$6)))/INDEX($L$2:$L$6,MIN(IFERROR(IF(ISNUMBER(INDEX(aditivos!$O$2:$O$200,MATCH($A84,aditivos!$A$2:$A$200,0))),MIN(INDEX(aditivos!$O$2:$O$200,MATCH($A84,aditivos!$A$2:$A$200,0)),posicao_contratual!$Y84),posicao_contratual!$Y84),posicao_contratual!$Y84)+1,COUNT($L$2:$L$6))),2),"")),IF(OR(NOT(ISNUMBER($L$3)),NOT(ISNUMBER(INDEX($L$2:$L$6,IFERROR(IF(ISNUMBER(INDEX(aditivos!$O$2:$O$200,MATCH($A84,aditivos!$A$2:$A$200,0))),MIN(INDEX(aditivos!$O$2:$O$200,MATCH($A84,aditivos!$A$2:$A$200,0)),posicao_contratual!$Y84),posicao_contratual!$Y84),posicao_contratual!$Y84)+1)))),"",ROUND(itens_Remanesc!C84*$L$3/INDEX($L$2:$L$6,IFERROR(IF(ISNUMBER(INDEX(aditivos!$O$2:$O$200,MATCH($A84,aditivos!$A$2:$A$200,0))),MIN(INDEX(aditivos!$O$2:$O$200,MATCH($A84,aditivos!$A$2:$A$200,0)),posicao_contratual!$Y84),posicao_contratual!$Y84),posicao_contratual!$Y84)+1),2))))))</f>
        <v/>
      </c>
      <c r="E84" s="79" t="str">
        <f>IF(OR($A84="",posicao_contratual!$Y84=""),"",IF(posicao_contratual!$Y84&gt;2,"",IF(NOT(ISNUMBER(itens_Remanesc!C84)),"",IF(posicao_contratual!$Y84=2,IF(IFERROR(IF(ISNUMBER(INDEX(aditivos!$O$2:$O$200,MATCH($A84,aditivos!$A$2:$A$200,0))),MIN(INDEX(aditivos!$O$2:$O$200,MATCH($A84,aditivos!$A$2:$A$200,0)),posicao_contratual!$Y84),posicao_contratual!$Y84),posicao_contratual!$Y84)=2,itens_Remanesc!C84,IFERROR(ROUND(itens_Remanesc!C84*INDEX($L$2:$L$6,MIN(2+1,COUNT($L$2:$L$6)))/INDEX($L$2:$L$6,MIN(IFERROR(IF(ISNUMBER(INDEX(aditivos!$O$2:$O$200,MATCH($A84,aditivos!$A$2:$A$200,0))),MIN(INDEX(aditivos!$O$2:$O$200,MATCH($A84,aditivos!$A$2:$A$200,0)),posicao_contratual!$Y84),posicao_contratual!$Y84),posicao_contratual!$Y84)+1,COUNT($L$2:$L$6))),2),"")),IF(OR(NOT(ISNUMBER($L$4)),NOT(ISNUMBER(INDEX($L$2:$L$6,IFERROR(IF(ISNUMBER(INDEX(aditivos!$O$2:$O$200,MATCH($A84,aditivos!$A$2:$A$200,0))),MIN(INDEX(aditivos!$O$2:$O$200,MATCH($A84,aditivos!$A$2:$A$200,0)),posicao_contratual!$Y84),posicao_contratual!$Y84),posicao_contratual!$Y84)+1)))),"",ROUND(itens_Remanesc!C84*$L$4/INDEX($L$2:$L$6,IFERROR(IF(ISNUMBER(INDEX(aditivos!$O$2:$O$200,MATCH($A84,aditivos!$A$2:$A$200,0))),MIN(INDEX(aditivos!$O$2:$O$200,MATCH($A84,aditivos!$A$2:$A$200,0)),posicao_contratual!$Y84),posicao_contratual!$Y84),posicao_contratual!$Y84)+1),2))))))</f>
        <v/>
      </c>
      <c r="F84" s="79" t="str">
        <f>IF(OR($A84="",posicao_contratual!$Y84=""),"",IF(posicao_contratual!$Y84&gt;3,"",IF(NOT(ISNUMBER(itens_Remanesc!C84)),"",IF(posicao_contratual!$Y84=3,IF(IFERROR(IF(ISNUMBER(INDEX(aditivos!$O$2:$O$200,MATCH($A84,aditivos!$A$2:$A$200,0))),MIN(INDEX(aditivos!$O$2:$O$200,MATCH($A84,aditivos!$A$2:$A$200,0)),posicao_contratual!$Y84),posicao_contratual!$Y84),posicao_contratual!$Y84)=3,itens_Remanesc!C84,IFERROR(ROUND(itens_Remanesc!C84*INDEX($L$2:$L$6,MIN(3+1,COUNT($L$2:$L$6)))/INDEX($L$2:$L$6,MIN(IFERROR(IF(ISNUMBER(INDEX(aditivos!$O$2:$O$200,MATCH($A84,aditivos!$A$2:$A$200,0))),MIN(INDEX(aditivos!$O$2:$O$200,MATCH($A84,aditivos!$A$2:$A$200,0)),posicao_contratual!$Y84),posicao_contratual!$Y84),posicao_contratual!$Y84)+1,COUNT($L$2:$L$6))),2),"")),IF(OR(NOT(ISNUMBER($L$5)),NOT(ISNUMBER(INDEX($L$2:$L$6,IFERROR(IF(ISNUMBER(INDEX(aditivos!$O$2:$O$200,MATCH($A84,aditivos!$A$2:$A$200,0))),MIN(INDEX(aditivos!$O$2:$O$200,MATCH($A84,aditivos!$A$2:$A$200,0)),posicao_contratual!$Y84),posicao_contratual!$Y84),posicao_contratual!$Y84)+1)))),"",ROUND(itens_Remanesc!C84*$L$5/INDEX($L$2:$L$6,IFERROR(IF(ISNUMBER(INDEX(aditivos!$O$2:$O$200,MATCH($A84,aditivos!$A$2:$A$200,0))),MIN(INDEX(aditivos!$O$2:$O$200,MATCH($A84,aditivos!$A$2:$A$200,0)),posicao_contratual!$Y84),posicao_contratual!$Y84),posicao_contratual!$Y84)+1),2))))))</f>
        <v/>
      </c>
      <c r="G84" s="79" t="str">
        <f>IF(OR($A84="",posicao_contratual!$Y84=""),"",IF(posicao_contratual!$Y84&gt;4,"",IF(NOT(ISNUMBER(itens_Remanesc!C84)),"",IF(posicao_contratual!$Y84=4,IF(IFERROR(IF(ISNUMBER(INDEX(aditivos!$O$2:$O$200,MATCH($A84,aditivos!$A$2:$A$200,0))),MIN(INDEX(aditivos!$O$2:$O$200,MATCH($A84,aditivos!$A$2:$A$200,0)),posicao_contratual!$Y84),posicao_contratual!$Y84),posicao_contratual!$Y84)=4,itens_Remanesc!C84,IFERROR(ROUND(itens_Remanesc!C84*INDEX($L$2:$L$6,MIN(4+1,COUNT($L$2:$L$6)))/INDEX($L$2:$L$6,MIN(IFERROR(IF(ISNUMBER(INDEX(aditivos!$O$2:$O$200,MATCH($A84,aditivos!$A$2:$A$200,0))),MIN(INDEX(aditivos!$O$2:$O$200,MATCH($A84,aditivos!$A$2:$A$200,0)),posicao_contratual!$Y84),posicao_contratual!$Y84),posicao_contratual!$Y84)+1,COUNT($L$2:$L$6))),2),"")),IF(OR(NOT(ISNUMBER($L$6)),NOT(ISNUMBER(INDEX($L$2:$L$6,IFERROR(IF(ISNUMBER(INDEX(aditivos!$O$2:$O$200,MATCH($A84,aditivos!$A$2:$A$200,0))),MIN(INDEX(aditivos!$O$2:$O$200,MATCH($A84,aditivos!$A$2:$A$200,0)),posicao_contratual!$Y84),posicao_contratual!$Y84),posicao_contratual!$Y84)+1)))),"",ROUND(itens_Remanesc!C84*$L$6/INDEX($L$2:$L$6,IFERROR(IF(ISNUMBER(INDEX(aditivos!$O$2:$O$200,MATCH($A84,aditivos!$A$2:$A$200,0))),MIN(INDEX(aditivos!$O$2:$O$200,MATCH($A84,aditivos!$A$2:$A$200,0)),posicao_contratual!$Y84),posicao_contratual!$Y84),posicao_contratual!$Y84)+1),2))))))</f>
        <v/>
      </c>
      <c r="H84" s="116" t="str">
        <f t="shared" si="2"/>
        <v/>
      </c>
      <c r="I84" s="14"/>
      <c r="J84" s="14"/>
      <c r="K84" s="14"/>
      <c r="L84" s="14"/>
      <c r="M84" s="14"/>
      <c r="N84" s="147" t="str">
        <f>IF(A84="","",IF(posicao_contratual!$Y84="","",IF(posicao_contratual!$Y84&gt;0,"",posicao_contratual!E84)))</f>
        <v/>
      </c>
      <c r="O84" s="147" t="str">
        <f>IF(A84="","",IF(posicao_contratual!$Y84="","",IF(posicao_contratual!$Y84&gt;1,"",posicao_contratual!I84)))</f>
        <v/>
      </c>
      <c r="P84" s="147" t="str">
        <f>IF(A84="","",IF(posicao_contratual!$Y84="","",IF(posicao_contratual!$Y84&gt;2,"",posicao_contratual!M84)))</f>
        <v/>
      </c>
      <c r="Q84" s="147" t="str">
        <f>IF(A84="","",IF(posicao_contratual!$Y84="","",IF(posicao_contratual!$Y84&gt;3,"",posicao_contratual!Q84)))</f>
        <v/>
      </c>
      <c r="R84" s="147" t="str">
        <f>IF(A84="","",IF(posicao_contratual!$Y84="","",IF(posicao_contratual!$Y84&gt;4,"",posicao_contratual!U84)))</f>
        <v/>
      </c>
      <c r="S84" s="167" t="str">
        <f>IF(A84="","",posicao_contratual!G84)</f>
        <v/>
      </c>
      <c r="T84" s="167" t="str">
        <f>IF(A84="","",posicao_contratual!K84)</f>
        <v/>
      </c>
      <c r="U84" s="167" t="str">
        <f>IF(A84="","",posicao_contratual!O84)</f>
        <v/>
      </c>
      <c r="V84" s="167" t="str">
        <f>IF(A84="","",posicao_contratual!S84)</f>
        <v/>
      </c>
      <c r="W84" s="167" t="str">
        <f>IF(A84="","",posicao_contratual!W84)</f>
        <v/>
      </c>
    </row>
    <row r="85" spans="1:23" x14ac:dyDescent="0.35">
      <c r="A85" s="86" t="str">
        <f>IF(itens_Remanesc!A85="","",itens_Remanesc!A85)</f>
        <v/>
      </c>
      <c r="B85" s="85" t="str">
        <f>IF(A85="","",IF(posicao_contratual!$Y85="","",IF(posicao_contratual!$Y85&gt;0,"",posicao_contratual!G85)))</f>
        <v/>
      </c>
      <c r="C85" s="79" t="str">
        <f>IF(itens_Remanesc!A85="","",IF(posicao_contratual!$Y85="","",IF(posicao_contratual!$Y85&gt;0,"",itens_Remanesc!C85)))</f>
        <v/>
      </c>
      <c r="D85" s="79" t="str">
        <f>IF(OR($A85="",posicao_contratual!$Y85=""),"",IF(posicao_contratual!$Y85&gt;1,"",IF(NOT(ISNUMBER(itens_Remanesc!C85)),"",IF(posicao_contratual!$Y85=1,IF(IFERROR(IF(ISNUMBER(INDEX(aditivos!$O$2:$O$200,MATCH($A85,aditivos!$A$2:$A$200,0))),MIN(INDEX(aditivos!$O$2:$O$200,MATCH($A85,aditivos!$A$2:$A$200,0)),posicao_contratual!$Y85),posicao_contratual!$Y85),posicao_contratual!$Y85)=1,itens_Remanesc!C85,IFERROR(ROUND(itens_Remanesc!C85*INDEX($L$2:$L$6,MIN(1+1,COUNT($L$2:$L$6)))/INDEX($L$2:$L$6,MIN(IFERROR(IF(ISNUMBER(INDEX(aditivos!$O$2:$O$200,MATCH($A85,aditivos!$A$2:$A$200,0))),MIN(INDEX(aditivos!$O$2:$O$200,MATCH($A85,aditivos!$A$2:$A$200,0)),posicao_contratual!$Y85),posicao_contratual!$Y85),posicao_contratual!$Y85)+1,COUNT($L$2:$L$6))),2),"")),IF(OR(NOT(ISNUMBER($L$3)),NOT(ISNUMBER(INDEX($L$2:$L$6,IFERROR(IF(ISNUMBER(INDEX(aditivos!$O$2:$O$200,MATCH($A85,aditivos!$A$2:$A$200,0))),MIN(INDEX(aditivos!$O$2:$O$200,MATCH($A85,aditivos!$A$2:$A$200,0)),posicao_contratual!$Y85),posicao_contratual!$Y85),posicao_contratual!$Y85)+1)))),"",ROUND(itens_Remanesc!C85*$L$3/INDEX($L$2:$L$6,IFERROR(IF(ISNUMBER(INDEX(aditivos!$O$2:$O$200,MATCH($A85,aditivos!$A$2:$A$200,0))),MIN(INDEX(aditivos!$O$2:$O$200,MATCH($A85,aditivos!$A$2:$A$200,0)),posicao_contratual!$Y85),posicao_contratual!$Y85),posicao_contratual!$Y85)+1),2))))))</f>
        <v/>
      </c>
      <c r="E85" s="79" t="str">
        <f>IF(OR($A85="",posicao_contratual!$Y85=""),"",IF(posicao_contratual!$Y85&gt;2,"",IF(NOT(ISNUMBER(itens_Remanesc!C85)),"",IF(posicao_contratual!$Y85=2,IF(IFERROR(IF(ISNUMBER(INDEX(aditivos!$O$2:$O$200,MATCH($A85,aditivos!$A$2:$A$200,0))),MIN(INDEX(aditivos!$O$2:$O$200,MATCH($A85,aditivos!$A$2:$A$200,0)),posicao_contratual!$Y85),posicao_contratual!$Y85),posicao_contratual!$Y85)=2,itens_Remanesc!C85,IFERROR(ROUND(itens_Remanesc!C85*INDEX($L$2:$L$6,MIN(2+1,COUNT($L$2:$L$6)))/INDEX($L$2:$L$6,MIN(IFERROR(IF(ISNUMBER(INDEX(aditivos!$O$2:$O$200,MATCH($A85,aditivos!$A$2:$A$200,0))),MIN(INDEX(aditivos!$O$2:$O$200,MATCH($A85,aditivos!$A$2:$A$200,0)),posicao_contratual!$Y85),posicao_contratual!$Y85),posicao_contratual!$Y85)+1,COUNT($L$2:$L$6))),2),"")),IF(OR(NOT(ISNUMBER($L$4)),NOT(ISNUMBER(INDEX($L$2:$L$6,IFERROR(IF(ISNUMBER(INDEX(aditivos!$O$2:$O$200,MATCH($A85,aditivos!$A$2:$A$200,0))),MIN(INDEX(aditivos!$O$2:$O$200,MATCH($A85,aditivos!$A$2:$A$200,0)),posicao_contratual!$Y85),posicao_contratual!$Y85),posicao_contratual!$Y85)+1)))),"",ROUND(itens_Remanesc!C85*$L$4/INDEX($L$2:$L$6,IFERROR(IF(ISNUMBER(INDEX(aditivos!$O$2:$O$200,MATCH($A85,aditivos!$A$2:$A$200,0))),MIN(INDEX(aditivos!$O$2:$O$200,MATCH($A85,aditivos!$A$2:$A$200,0)),posicao_contratual!$Y85),posicao_contratual!$Y85),posicao_contratual!$Y85)+1),2))))))</f>
        <v/>
      </c>
      <c r="F85" s="79" t="str">
        <f>IF(OR($A85="",posicao_contratual!$Y85=""),"",IF(posicao_contratual!$Y85&gt;3,"",IF(NOT(ISNUMBER(itens_Remanesc!C85)),"",IF(posicao_contratual!$Y85=3,IF(IFERROR(IF(ISNUMBER(INDEX(aditivos!$O$2:$O$200,MATCH($A85,aditivos!$A$2:$A$200,0))),MIN(INDEX(aditivos!$O$2:$O$200,MATCH($A85,aditivos!$A$2:$A$200,0)),posicao_contratual!$Y85),posicao_contratual!$Y85),posicao_contratual!$Y85)=3,itens_Remanesc!C85,IFERROR(ROUND(itens_Remanesc!C85*INDEX($L$2:$L$6,MIN(3+1,COUNT($L$2:$L$6)))/INDEX($L$2:$L$6,MIN(IFERROR(IF(ISNUMBER(INDEX(aditivos!$O$2:$O$200,MATCH($A85,aditivos!$A$2:$A$200,0))),MIN(INDEX(aditivos!$O$2:$O$200,MATCH($A85,aditivos!$A$2:$A$200,0)),posicao_contratual!$Y85),posicao_contratual!$Y85),posicao_contratual!$Y85)+1,COUNT($L$2:$L$6))),2),"")),IF(OR(NOT(ISNUMBER($L$5)),NOT(ISNUMBER(INDEX($L$2:$L$6,IFERROR(IF(ISNUMBER(INDEX(aditivos!$O$2:$O$200,MATCH($A85,aditivos!$A$2:$A$200,0))),MIN(INDEX(aditivos!$O$2:$O$200,MATCH($A85,aditivos!$A$2:$A$200,0)),posicao_contratual!$Y85),posicao_contratual!$Y85),posicao_contratual!$Y85)+1)))),"",ROUND(itens_Remanesc!C85*$L$5/INDEX($L$2:$L$6,IFERROR(IF(ISNUMBER(INDEX(aditivos!$O$2:$O$200,MATCH($A85,aditivos!$A$2:$A$200,0))),MIN(INDEX(aditivos!$O$2:$O$200,MATCH($A85,aditivos!$A$2:$A$200,0)),posicao_contratual!$Y85),posicao_contratual!$Y85),posicao_contratual!$Y85)+1),2))))))</f>
        <v/>
      </c>
      <c r="G85" s="79" t="str">
        <f>IF(OR($A85="",posicao_contratual!$Y85=""),"",IF(posicao_contratual!$Y85&gt;4,"",IF(NOT(ISNUMBER(itens_Remanesc!C85)),"",IF(posicao_contratual!$Y85=4,IF(IFERROR(IF(ISNUMBER(INDEX(aditivos!$O$2:$O$200,MATCH($A85,aditivos!$A$2:$A$200,0))),MIN(INDEX(aditivos!$O$2:$O$200,MATCH($A85,aditivos!$A$2:$A$200,0)),posicao_contratual!$Y85),posicao_contratual!$Y85),posicao_contratual!$Y85)=4,itens_Remanesc!C85,IFERROR(ROUND(itens_Remanesc!C85*INDEX($L$2:$L$6,MIN(4+1,COUNT($L$2:$L$6)))/INDEX($L$2:$L$6,MIN(IFERROR(IF(ISNUMBER(INDEX(aditivos!$O$2:$O$200,MATCH($A85,aditivos!$A$2:$A$200,0))),MIN(INDEX(aditivos!$O$2:$O$200,MATCH($A85,aditivos!$A$2:$A$200,0)),posicao_contratual!$Y85),posicao_contratual!$Y85),posicao_contratual!$Y85)+1,COUNT($L$2:$L$6))),2),"")),IF(OR(NOT(ISNUMBER($L$6)),NOT(ISNUMBER(INDEX($L$2:$L$6,IFERROR(IF(ISNUMBER(INDEX(aditivos!$O$2:$O$200,MATCH($A85,aditivos!$A$2:$A$200,0))),MIN(INDEX(aditivos!$O$2:$O$200,MATCH($A85,aditivos!$A$2:$A$200,0)),posicao_contratual!$Y85),posicao_contratual!$Y85),posicao_contratual!$Y85)+1)))),"",ROUND(itens_Remanesc!C85*$L$6/INDEX($L$2:$L$6,IFERROR(IF(ISNUMBER(INDEX(aditivos!$O$2:$O$200,MATCH($A85,aditivos!$A$2:$A$200,0))),MIN(INDEX(aditivos!$O$2:$O$200,MATCH($A85,aditivos!$A$2:$A$200,0)),posicao_contratual!$Y85),posicao_contratual!$Y85),posicao_contratual!$Y85)+1),2))))))</f>
        <v/>
      </c>
      <c r="H85" s="116" t="str">
        <f t="shared" si="2"/>
        <v/>
      </c>
      <c r="I85" s="14"/>
      <c r="J85" s="14"/>
      <c r="K85" s="14"/>
      <c r="L85" s="14"/>
      <c r="M85" s="14"/>
      <c r="N85" s="147" t="str">
        <f>IF(A85="","",IF(posicao_contratual!$Y85="","",IF(posicao_contratual!$Y85&gt;0,"",posicao_contratual!E85)))</f>
        <v/>
      </c>
      <c r="O85" s="147" t="str">
        <f>IF(A85="","",IF(posicao_contratual!$Y85="","",IF(posicao_contratual!$Y85&gt;1,"",posicao_contratual!I85)))</f>
        <v/>
      </c>
      <c r="P85" s="147" t="str">
        <f>IF(A85="","",IF(posicao_contratual!$Y85="","",IF(posicao_contratual!$Y85&gt;2,"",posicao_contratual!M85)))</f>
        <v/>
      </c>
      <c r="Q85" s="147" t="str">
        <f>IF(A85="","",IF(posicao_contratual!$Y85="","",IF(posicao_contratual!$Y85&gt;3,"",posicao_contratual!Q85)))</f>
        <v/>
      </c>
      <c r="R85" s="147" t="str">
        <f>IF(A85="","",IF(posicao_contratual!$Y85="","",IF(posicao_contratual!$Y85&gt;4,"",posicao_contratual!U85)))</f>
        <v/>
      </c>
      <c r="S85" s="167" t="str">
        <f>IF(A85="","",posicao_contratual!G85)</f>
        <v/>
      </c>
      <c r="T85" s="167" t="str">
        <f>IF(A85="","",posicao_contratual!K85)</f>
        <v/>
      </c>
      <c r="U85" s="167" t="str">
        <f>IF(A85="","",posicao_contratual!O85)</f>
        <v/>
      </c>
      <c r="V85" s="167" t="str">
        <f>IF(A85="","",posicao_contratual!S85)</f>
        <v/>
      </c>
      <c r="W85" s="167" t="str">
        <f>IF(A85="","",posicao_contratual!W85)</f>
        <v/>
      </c>
    </row>
    <row r="86" spans="1:23" x14ac:dyDescent="0.35">
      <c r="A86" s="86" t="str">
        <f>IF(itens_Remanesc!A86="","",itens_Remanesc!A86)</f>
        <v/>
      </c>
      <c r="B86" s="85" t="str">
        <f>IF(A86="","",IF(posicao_contratual!$Y86="","",IF(posicao_contratual!$Y86&gt;0,"",posicao_contratual!G86)))</f>
        <v/>
      </c>
      <c r="C86" s="79" t="str">
        <f>IF(itens_Remanesc!A86="","",IF(posicao_contratual!$Y86="","",IF(posicao_contratual!$Y86&gt;0,"",itens_Remanesc!C86)))</f>
        <v/>
      </c>
      <c r="D86" s="79" t="str">
        <f>IF(OR($A86="",posicao_contratual!$Y86=""),"",IF(posicao_contratual!$Y86&gt;1,"",IF(NOT(ISNUMBER(itens_Remanesc!C86)),"",IF(posicao_contratual!$Y86=1,IF(IFERROR(IF(ISNUMBER(INDEX(aditivos!$O$2:$O$200,MATCH($A86,aditivos!$A$2:$A$200,0))),MIN(INDEX(aditivos!$O$2:$O$200,MATCH($A86,aditivos!$A$2:$A$200,0)),posicao_contratual!$Y86),posicao_contratual!$Y86),posicao_contratual!$Y86)=1,itens_Remanesc!C86,IFERROR(ROUND(itens_Remanesc!C86*INDEX($L$2:$L$6,MIN(1+1,COUNT($L$2:$L$6)))/INDEX($L$2:$L$6,MIN(IFERROR(IF(ISNUMBER(INDEX(aditivos!$O$2:$O$200,MATCH($A86,aditivos!$A$2:$A$200,0))),MIN(INDEX(aditivos!$O$2:$O$200,MATCH($A86,aditivos!$A$2:$A$200,0)),posicao_contratual!$Y86),posicao_contratual!$Y86),posicao_contratual!$Y86)+1,COUNT($L$2:$L$6))),2),"")),IF(OR(NOT(ISNUMBER($L$3)),NOT(ISNUMBER(INDEX($L$2:$L$6,IFERROR(IF(ISNUMBER(INDEX(aditivos!$O$2:$O$200,MATCH($A86,aditivos!$A$2:$A$200,0))),MIN(INDEX(aditivos!$O$2:$O$200,MATCH($A86,aditivos!$A$2:$A$200,0)),posicao_contratual!$Y86),posicao_contratual!$Y86),posicao_contratual!$Y86)+1)))),"",ROUND(itens_Remanesc!C86*$L$3/INDEX($L$2:$L$6,IFERROR(IF(ISNUMBER(INDEX(aditivos!$O$2:$O$200,MATCH($A86,aditivos!$A$2:$A$200,0))),MIN(INDEX(aditivos!$O$2:$O$200,MATCH($A86,aditivos!$A$2:$A$200,0)),posicao_contratual!$Y86),posicao_contratual!$Y86),posicao_contratual!$Y86)+1),2))))))</f>
        <v/>
      </c>
      <c r="E86" s="79" t="str">
        <f>IF(OR($A86="",posicao_contratual!$Y86=""),"",IF(posicao_contratual!$Y86&gt;2,"",IF(NOT(ISNUMBER(itens_Remanesc!C86)),"",IF(posicao_contratual!$Y86=2,IF(IFERROR(IF(ISNUMBER(INDEX(aditivos!$O$2:$O$200,MATCH($A86,aditivos!$A$2:$A$200,0))),MIN(INDEX(aditivos!$O$2:$O$200,MATCH($A86,aditivos!$A$2:$A$200,0)),posicao_contratual!$Y86),posicao_contratual!$Y86),posicao_contratual!$Y86)=2,itens_Remanesc!C86,IFERROR(ROUND(itens_Remanesc!C86*INDEX($L$2:$L$6,MIN(2+1,COUNT($L$2:$L$6)))/INDEX($L$2:$L$6,MIN(IFERROR(IF(ISNUMBER(INDEX(aditivos!$O$2:$O$200,MATCH($A86,aditivos!$A$2:$A$200,0))),MIN(INDEX(aditivos!$O$2:$O$200,MATCH($A86,aditivos!$A$2:$A$200,0)),posicao_contratual!$Y86),posicao_contratual!$Y86),posicao_contratual!$Y86)+1,COUNT($L$2:$L$6))),2),"")),IF(OR(NOT(ISNUMBER($L$4)),NOT(ISNUMBER(INDEX($L$2:$L$6,IFERROR(IF(ISNUMBER(INDEX(aditivos!$O$2:$O$200,MATCH($A86,aditivos!$A$2:$A$200,0))),MIN(INDEX(aditivos!$O$2:$O$200,MATCH($A86,aditivos!$A$2:$A$200,0)),posicao_contratual!$Y86),posicao_contratual!$Y86),posicao_contratual!$Y86)+1)))),"",ROUND(itens_Remanesc!C86*$L$4/INDEX($L$2:$L$6,IFERROR(IF(ISNUMBER(INDEX(aditivos!$O$2:$O$200,MATCH($A86,aditivos!$A$2:$A$200,0))),MIN(INDEX(aditivos!$O$2:$O$200,MATCH($A86,aditivos!$A$2:$A$200,0)),posicao_contratual!$Y86),posicao_contratual!$Y86),posicao_contratual!$Y86)+1),2))))))</f>
        <v/>
      </c>
      <c r="F86" s="79" t="str">
        <f>IF(OR($A86="",posicao_contratual!$Y86=""),"",IF(posicao_contratual!$Y86&gt;3,"",IF(NOT(ISNUMBER(itens_Remanesc!C86)),"",IF(posicao_contratual!$Y86=3,IF(IFERROR(IF(ISNUMBER(INDEX(aditivos!$O$2:$O$200,MATCH($A86,aditivos!$A$2:$A$200,0))),MIN(INDEX(aditivos!$O$2:$O$200,MATCH($A86,aditivos!$A$2:$A$200,0)),posicao_contratual!$Y86),posicao_contratual!$Y86),posicao_contratual!$Y86)=3,itens_Remanesc!C86,IFERROR(ROUND(itens_Remanesc!C86*INDEX($L$2:$L$6,MIN(3+1,COUNT($L$2:$L$6)))/INDEX($L$2:$L$6,MIN(IFERROR(IF(ISNUMBER(INDEX(aditivos!$O$2:$O$200,MATCH($A86,aditivos!$A$2:$A$200,0))),MIN(INDEX(aditivos!$O$2:$O$200,MATCH($A86,aditivos!$A$2:$A$200,0)),posicao_contratual!$Y86),posicao_contratual!$Y86),posicao_contratual!$Y86)+1,COUNT($L$2:$L$6))),2),"")),IF(OR(NOT(ISNUMBER($L$5)),NOT(ISNUMBER(INDEX($L$2:$L$6,IFERROR(IF(ISNUMBER(INDEX(aditivos!$O$2:$O$200,MATCH($A86,aditivos!$A$2:$A$200,0))),MIN(INDEX(aditivos!$O$2:$O$200,MATCH($A86,aditivos!$A$2:$A$200,0)),posicao_contratual!$Y86),posicao_contratual!$Y86),posicao_contratual!$Y86)+1)))),"",ROUND(itens_Remanesc!C86*$L$5/INDEX($L$2:$L$6,IFERROR(IF(ISNUMBER(INDEX(aditivos!$O$2:$O$200,MATCH($A86,aditivos!$A$2:$A$200,0))),MIN(INDEX(aditivos!$O$2:$O$200,MATCH($A86,aditivos!$A$2:$A$200,0)),posicao_contratual!$Y86),posicao_contratual!$Y86),posicao_contratual!$Y86)+1),2))))))</f>
        <v/>
      </c>
      <c r="G86" s="79" t="str">
        <f>IF(OR($A86="",posicao_contratual!$Y86=""),"",IF(posicao_contratual!$Y86&gt;4,"",IF(NOT(ISNUMBER(itens_Remanesc!C86)),"",IF(posicao_contratual!$Y86=4,IF(IFERROR(IF(ISNUMBER(INDEX(aditivos!$O$2:$O$200,MATCH($A86,aditivos!$A$2:$A$200,0))),MIN(INDEX(aditivos!$O$2:$O$200,MATCH($A86,aditivos!$A$2:$A$200,0)),posicao_contratual!$Y86),posicao_contratual!$Y86),posicao_contratual!$Y86)=4,itens_Remanesc!C86,IFERROR(ROUND(itens_Remanesc!C86*INDEX($L$2:$L$6,MIN(4+1,COUNT($L$2:$L$6)))/INDEX($L$2:$L$6,MIN(IFERROR(IF(ISNUMBER(INDEX(aditivos!$O$2:$O$200,MATCH($A86,aditivos!$A$2:$A$200,0))),MIN(INDEX(aditivos!$O$2:$O$200,MATCH($A86,aditivos!$A$2:$A$200,0)),posicao_contratual!$Y86),posicao_contratual!$Y86),posicao_contratual!$Y86)+1,COUNT($L$2:$L$6))),2),"")),IF(OR(NOT(ISNUMBER($L$6)),NOT(ISNUMBER(INDEX($L$2:$L$6,IFERROR(IF(ISNUMBER(INDEX(aditivos!$O$2:$O$200,MATCH($A86,aditivos!$A$2:$A$200,0))),MIN(INDEX(aditivos!$O$2:$O$200,MATCH($A86,aditivos!$A$2:$A$200,0)),posicao_contratual!$Y86),posicao_contratual!$Y86),posicao_contratual!$Y86)+1)))),"",ROUND(itens_Remanesc!C86*$L$6/INDEX($L$2:$L$6,IFERROR(IF(ISNUMBER(INDEX(aditivos!$O$2:$O$200,MATCH($A86,aditivos!$A$2:$A$200,0))),MIN(INDEX(aditivos!$O$2:$O$200,MATCH($A86,aditivos!$A$2:$A$200,0)),posicao_contratual!$Y86),posicao_contratual!$Y86),posicao_contratual!$Y86)+1),2))))))</f>
        <v/>
      </c>
      <c r="H86" s="116" t="str">
        <f t="shared" si="2"/>
        <v/>
      </c>
      <c r="I86" s="14"/>
      <c r="J86" s="14"/>
      <c r="K86" s="14"/>
      <c r="L86" s="14"/>
      <c r="M86" s="14"/>
      <c r="N86" s="147" t="str">
        <f>IF(A86="","",IF(posicao_contratual!$Y86="","",IF(posicao_contratual!$Y86&gt;0,"",posicao_contratual!E86)))</f>
        <v/>
      </c>
      <c r="O86" s="147" t="str">
        <f>IF(A86="","",IF(posicao_contratual!$Y86="","",IF(posicao_contratual!$Y86&gt;1,"",posicao_contratual!I86)))</f>
        <v/>
      </c>
      <c r="P86" s="147" t="str">
        <f>IF(A86="","",IF(posicao_contratual!$Y86="","",IF(posicao_contratual!$Y86&gt;2,"",posicao_contratual!M86)))</f>
        <v/>
      </c>
      <c r="Q86" s="147" t="str">
        <f>IF(A86="","",IF(posicao_contratual!$Y86="","",IF(posicao_contratual!$Y86&gt;3,"",posicao_contratual!Q86)))</f>
        <v/>
      </c>
      <c r="R86" s="147" t="str">
        <f>IF(A86="","",IF(posicao_contratual!$Y86="","",IF(posicao_contratual!$Y86&gt;4,"",posicao_contratual!U86)))</f>
        <v/>
      </c>
      <c r="S86" s="167" t="str">
        <f>IF(A86="","",posicao_contratual!G86)</f>
        <v/>
      </c>
      <c r="T86" s="167" t="str">
        <f>IF(A86="","",posicao_contratual!K86)</f>
        <v/>
      </c>
      <c r="U86" s="167" t="str">
        <f>IF(A86="","",posicao_contratual!O86)</f>
        <v/>
      </c>
      <c r="V86" s="167" t="str">
        <f>IF(A86="","",posicao_contratual!S86)</f>
        <v/>
      </c>
      <c r="W86" s="167" t="str">
        <f>IF(A86="","",posicao_contratual!W86)</f>
        <v/>
      </c>
    </row>
    <row r="87" spans="1:23" x14ac:dyDescent="0.35">
      <c r="A87" s="86" t="str">
        <f>IF(itens_Remanesc!A87="","",itens_Remanesc!A87)</f>
        <v/>
      </c>
      <c r="B87" s="85" t="str">
        <f>IF(A87="","",IF(posicao_contratual!$Y87="","",IF(posicao_contratual!$Y87&gt;0,"",posicao_contratual!G87)))</f>
        <v/>
      </c>
      <c r="C87" s="79" t="str">
        <f>IF(itens_Remanesc!A87="","",IF(posicao_contratual!$Y87="","",IF(posicao_contratual!$Y87&gt;0,"",itens_Remanesc!C87)))</f>
        <v/>
      </c>
      <c r="D87" s="79" t="str">
        <f>IF(OR($A87="",posicao_contratual!$Y87=""),"",IF(posicao_contratual!$Y87&gt;1,"",IF(NOT(ISNUMBER(itens_Remanesc!C87)),"",IF(posicao_contratual!$Y87=1,IF(IFERROR(IF(ISNUMBER(INDEX(aditivos!$O$2:$O$200,MATCH($A87,aditivos!$A$2:$A$200,0))),MIN(INDEX(aditivos!$O$2:$O$200,MATCH($A87,aditivos!$A$2:$A$200,0)),posicao_contratual!$Y87),posicao_contratual!$Y87),posicao_contratual!$Y87)=1,itens_Remanesc!C87,IFERROR(ROUND(itens_Remanesc!C87*INDEX($L$2:$L$6,MIN(1+1,COUNT($L$2:$L$6)))/INDEX($L$2:$L$6,MIN(IFERROR(IF(ISNUMBER(INDEX(aditivos!$O$2:$O$200,MATCH($A87,aditivos!$A$2:$A$200,0))),MIN(INDEX(aditivos!$O$2:$O$200,MATCH($A87,aditivos!$A$2:$A$200,0)),posicao_contratual!$Y87),posicao_contratual!$Y87),posicao_contratual!$Y87)+1,COUNT($L$2:$L$6))),2),"")),IF(OR(NOT(ISNUMBER($L$3)),NOT(ISNUMBER(INDEX($L$2:$L$6,IFERROR(IF(ISNUMBER(INDEX(aditivos!$O$2:$O$200,MATCH($A87,aditivos!$A$2:$A$200,0))),MIN(INDEX(aditivos!$O$2:$O$200,MATCH($A87,aditivos!$A$2:$A$200,0)),posicao_contratual!$Y87),posicao_contratual!$Y87),posicao_contratual!$Y87)+1)))),"",ROUND(itens_Remanesc!C87*$L$3/INDEX($L$2:$L$6,IFERROR(IF(ISNUMBER(INDEX(aditivos!$O$2:$O$200,MATCH($A87,aditivos!$A$2:$A$200,0))),MIN(INDEX(aditivos!$O$2:$O$200,MATCH($A87,aditivos!$A$2:$A$200,0)),posicao_contratual!$Y87),posicao_contratual!$Y87),posicao_contratual!$Y87)+1),2))))))</f>
        <v/>
      </c>
      <c r="E87" s="79" t="str">
        <f>IF(OR($A87="",posicao_contratual!$Y87=""),"",IF(posicao_contratual!$Y87&gt;2,"",IF(NOT(ISNUMBER(itens_Remanesc!C87)),"",IF(posicao_contratual!$Y87=2,IF(IFERROR(IF(ISNUMBER(INDEX(aditivos!$O$2:$O$200,MATCH($A87,aditivos!$A$2:$A$200,0))),MIN(INDEX(aditivos!$O$2:$O$200,MATCH($A87,aditivos!$A$2:$A$200,0)),posicao_contratual!$Y87),posicao_contratual!$Y87),posicao_contratual!$Y87)=2,itens_Remanesc!C87,IFERROR(ROUND(itens_Remanesc!C87*INDEX($L$2:$L$6,MIN(2+1,COUNT($L$2:$L$6)))/INDEX($L$2:$L$6,MIN(IFERROR(IF(ISNUMBER(INDEX(aditivos!$O$2:$O$200,MATCH($A87,aditivos!$A$2:$A$200,0))),MIN(INDEX(aditivos!$O$2:$O$200,MATCH($A87,aditivos!$A$2:$A$200,0)),posicao_contratual!$Y87),posicao_contratual!$Y87),posicao_contratual!$Y87)+1,COUNT($L$2:$L$6))),2),"")),IF(OR(NOT(ISNUMBER($L$4)),NOT(ISNUMBER(INDEX($L$2:$L$6,IFERROR(IF(ISNUMBER(INDEX(aditivos!$O$2:$O$200,MATCH($A87,aditivos!$A$2:$A$200,0))),MIN(INDEX(aditivos!$O$2:$O$200,MATCH($A87,aditivos!$A$2:$A$200,0)),posicao_contratual!$Y87),posicao_contratual!$Y87),posicao_contratual!$Y87)+1)))),"",ROUND(itens_Remanesc!C87*$L$4/INDEX($L$2:$L$6,IFERROR(IF(ISNUMBER(INDEX(aditivos!$O$2:$O$200,MATCH($A87,aditivos!$A$2:$A$200,0))),MIN(INDEX(aditivos!$O$2:$O$200,MATCH($A87,aditivos!$A$2:$A$200,0)),posicao_contratual!$Y87),posicao_contratual!$Y87),posicao_contratual!$Y87)+1),2))))))</f>
        <v/>
      </c>
      <c r="F87" s="79" t="str">
        <f>IF(OR($A87="",posicao_contratual!$Y87=""),"",IF(posicao_contratual!$Y87&gt;3,"",IF(NOT(ISNUMBER(itens_Remanesc!C87)),"",IF(posicao_contratual!$Y87=3,IF(IFERROR(IF(ISNUMBER(INDEX(aditivos!$O$2:$O$200,MATCH($A87,aditivos!$A$2:$A$200,0))),MIN(INDEX(aditivos!$O$2:$O$200,MATCH($A87,aditivos!$A$2:$A$200,0)),posicao_contratual!$Y87),posicao_contratual!$Y87),posicao_contratual!$Y87)=3,itens_Remanesc!C87,IFERROR(ROUND(itens_Remanesc!C87*INDEX($L$2:$L$6,MIN(3+1,COUNT($L$2:$L$6)))/INDEX($L$2:$L$6,MIN(IFERROR(IF(ISNUMBER(INDEX(aditivos!$O$2:$O$200,MATCH($A87,aditivos!$A$2:$A$200,0))),MIN(INDEX(aditivos!$O$2:$O$200,MATCH($A87,aditivos!$A$2:$A$200,0)),posicao_contratual!$Y87),posicao_contratual!$Y87),posicao_contratual!$Y87)+1,COUNT($L$2:$L$6))),2),"")),IF(OR(NOT(ISNUMBER($L$5)),NOT(ISNUMBER(INDEX($L$2:$L$6,IFERROR(IF(ISNUMBER(INDEX(aditivos!$O$2:$O$200,MATCH($A87,aditivos!$A$2:$A$200,0))),MIN(INDEX(aditivos!$O$2:$O$200,MATCH($A87,aditivos!$A$2:$A$200,0)),posicao_contratual!$Y87),posicao_contratual!$Y87),posicao_contratual!$Y87)+1)))),"",ROUND(itens_Remanesc!C87*$L$5/INDEX($L$2:$L$6,IFERROR(IF(ISNUMBER(INDEX(aditivos!$O$2:$O$200,MATCH($A87,aditivos!$A$2:$A$200,0))),MIN(INDEX(aditivos!$O$2:$O$200,MATCH($A87,aditivos!$A$2:$A$200,0)),posicao_contratual!$Y87),posicao_contratual!$Y87),posicao_contratual!$Y87)+1),2))))))</f>
        <v/>
      </c>
      <c r="G87" s="79" t="str">
        <f>IF(OR($A87="",posicao_contratual!$Y87=""),"",IF(posicao_contratual!$Y87&gt;4,"",IF(NOT(ISNUMBER(itens_Remanesc!C87)),"",IF(posicao_contratual!$Y87=4,IF(IFERROR(IF(ISNUMBER(INDEX(aditivos!$O$2:$O$200,MATCH($A87,aditivos!$A$2:$A$200,0))),MIN(INDEX(aditivos!$O$2:$O$200,MATCH($A87,aditivos!$A$2:$A$200,0)),posicao_contratual!$Y87),posicao_contratual!$Y87),posicao_contratual!$Y87)=4,itens_Remanesc!C87,IFERROR(ROUND(itens_Remanesc!C87*INDEX($L$2:$L$6,MIN(4+1,COUNT($L$2:$L$6)))/INDEX($L$2:$L$6,MIN(IFERROR(IF(ISNUMBER(INDEX(aditivos!$O$2:$O$200,MATCH($A87,aditivos!$A$2:$A$200,0))),MIN(INDEX(aditivos!$O$2:$O$200,MATCH($A87,aditivos!$A$2:$A$200,0)),posicao_contratual!$Y87),posicao_contratual!$Y87),posicao_contratual!$Y87)+1,COUNT($L$2:$L$6))),2),"")),IF(OR(NOT(ISNUMBER($L$6)),NOT(ISNUMBER(INDEX($L$2:$L$6,IFERROR(IF(ISNUMBER(INDEX(aditivos!$O$2:$O$200,MATCH($A87,aditivos!$A$2:$A$200,0))),MIN(INDEX(aditivos!$O$2:$O$200,MATCH($A87,aditivos!$A$2:$A$200,0)),posicao_contratual!$Y87),posicao_contratual!$Y87),posicao_contratual!$Y87)+1)))),"",ROUND(itens_Remanesc!C87*$L$6/INDEX($L$2:$L$6,IFERROR(IF(ISNUMBER(INDEX(aditivos!$O$2:$O$200,MATCH($A87,aditivos!$A$2:$A$200,0))),MIN(INDEX(aditivos!$O$2:$O$200,MATCH($A87,aditivos!$A$2:$A$200,0)),posicao_contratual!$Y87),posicao_contratual!$Y87),posicao_contratual!$Y87)+1),2))))))</f>
        <v/>
      </c>
      <c r="H87" s="116" t="str">
        <f t="shared" si="2"/>
        <v/>
      </c>
      <c r="I87" s="14"/>
      <c r="J87" s="14"/>
      <c r="K87" s="14"/>
      <c r="L87" s="14"/>
      <c r="M87" s="14"/>
      <c r="N87" s="147" t="str">
        <f>IF(A87="","",IF(posicao_contratual!$Y87="","",IF(posicao_contratual!$Y87&gt;0,"",posicao_contratual!E87)))</f>
        <v/>
      </c>
      <c r="O87" s="147" t="str">
        <f>IF(A87="","",IF(posicao_contratual!$Y87="","",IF(posicao_contratual!$Y87&gt;1,"",posicao_contratual!I87)))</f>
        <v/>
      </c>
      <c r="P87" s="147" t="str">
        <f>IF(A87="","",IF(posicao_contratual!$Y87="","",IF(posicao_contratual!$Y87&gt;2,"",posicao_contratual!M87)))</f>
        <v/>
      </c>
      <c r="Q87" s="147" t="str">
        <f>IF(A87="","",IF(posicao_contratual!$Y87="","",IF(posicao_contratual!$Y87&gt;3,"",posicao_contratual!Q87)))</f>
        <v/>
      </c>
      <c r="R87" s="147" t="str">
        <f>IF(A87="","",IF(posicao_contratual!$Y87="","",IF(posicao_contratual!$Y87&gt;4,"",posicao_contratual!U87)))</f>
        <v/>
      </c>
      <c r="S87" s="167" t="str">
        <f>IF(A87="","",posicao_contratual!G87)</f>
        <v/>
      </c>
      <c r="T87" s="167" t="str">
        <f>IF(A87="","",posicao_contratual!K87)</f>
        <v/>
      </c>
      <c r="U87" s="167" t="str">
        <f>IF(A87="","",posicao_contratual!O87)</f>
        <v/>
      </c>
      <c r="V87" s="167" t="str">
        <f>IF(A87="","",posicao_contratual!S87)</f>
        <v/>
      </c>
      <c r="W87" s="167" t="str">
        <f>IF(A87="","",posicao_contratual!W87)</f>
        <v/>
      </c>
    </row>
    <row r="88" spans="1:23" x14ac:dyDescent="0.35">
      <c r="A88" s="86" t="str">
        <f>IF(itens_Remanesc!A88="","",itens_Remanesc!A88)</f>
        <v/>
      </c>
      <c r="B88" s="85" t="str">
        <f>IF(A88="","",IF(posicao_contratual!$Y88="","",IF(posicao_contratual!$Y88&gt;0,"",posicao_contratual!G88)))</f>
        <v/>
      </c>
      <c r="C88" s="79" t="str">
        <f>IF(itens_Remanesc!A88="","",IF(posicao_contratual!$Y88="","",IF(posicao_contratual!$Y88&gt;0,"",itens_Remanesc!C88)))</f>
        <v/>
      </c>
      <c r="D88" s="79" t="str">
        <f>IF(OR($A88="",posicao_contratual!$Y88=""),"",IF(posicao_contratual!$Y88&gt;1,"",IF(NOT(ISNUMBER(itens_Remanesc!C88)),"",IF(posicao_contratual!$Y88=1,IF(IFERROR(IF(ISNUMBER(INDEX(aditivos!$O$2:$O$200,MATCH($A88,aditivos!$A$2:$A$200,0))),MIN(INDEX(aditivos!$O$2:$O$200,MATCH($A88,aditivos!$A$2:$A$200,0)),posicao_contratual!$Y88),posicao_contratual!$Y88),posicao_contratual!$Y88)=1,itens_Remanesc!C88,IFERROR(ROUND(itens_Remanesc!C88*INDEX($L$2:$L$6,MIN(1+1,COUNT($L$2:$L$6)))/INDEX($L$2:$L$6,MIN(IFERROR(IF(ISNUMBER(INDEX(aditivos!$O$2:$O$200,MATCH($A88,aditivos!$A$2:$A$200,0))),MIN(INDEX(aditivos!$O$2:$O$200,MATCH($A88,aditivos!$A$2:$A$200,0)),posicao_contratual!$Y88),posicao_contratual!$Y88),posicao_contratual!$Y88)+1,COUNT($L$2:$L$6))),2),"")),IF(OR(NOT(ISNUMBER($L$3)),NOT(ISNUMBER(INDEX($L$2:$L$6,IFERROR(IF(ISNUMBER(INDEX(aditivos!$O$2:$O$200,MATCH($A88,aditivos!$A$2:$A$200,0))),MIN(INDEX(aditivos!$O$2:$O$200,MATCH($A88,aditivos!$A$2:$A$200,0)),posicao_contratual!$Y88),posicao_contratual!$Y88),posicao_contratual!$Y88)+1)))),"",ROUND(itens_Remanesc!C88*$L$3/INDEX($L$2:$L$6,IFERROR(IF(ISNUMBER(INDEX(aditivos!$O$2:$O$200,MATCH($A88,aditivos!$A$2:$A$200,0))),MIN(INDEX(aditivos!$O$2:$O$200,MATCH($A88,aditivos!$A$2:$A$200,0)),posicao_contratual!$Y88),posicao_contratual!$Y88),posicao_contratual!$Y88)+1),2))))))</f>
        <v/>
      </c>
      <c r="E88" s="79" t="str">
        <f>IF(OR($A88="",posicao_contratual!$Y88=""),"",IF(posicao_contratual!$Y88&gt;2,"",IF(NOT(ISNUMBER(itens_Remanesc!C88)),"",IF(posicao_contratual!$Y88=2,IF(IFERROR(IF(ISNUMBER(INDEX(aditivos!$O$2:$O$200,MATCH($A88,aditivos!$A$2:$A$200,0))),MIN(INDEX(aditivos!$O$2:$O$200,MATCH($A88,aditivos!$A$2:$A$200,0)),posicao_contratual!$Y88),posicao_contratual!$Y88),posicao_contratual!$Y88)=2,itens_Remanesc!C88,IFERROR(ROUND(itens_Remanesc!C88*INDEX($L$2:$L$6,MIN(2+1,COUNT($L$2:$L$6)))/INDEX($L$2:$L$6,MIN(IFERROR(IF(ISNUMBER(INDEX(aditivos!$O$2:$O$200,MATCH($A88,aditivos!$A$2:$A$200,0))),MIN(INDEX(aditivos!$O$2:$O$200,MATCH($A88,aditivos!$A$2:$A$200,0)),posicao_contratual!$Y88),posicao_contratual!$Y88),posicao_contratual!$Y88)+1,COUNT($L$2:$L$6))),2),"")),IF(OR(NOT(ISNUMBER($L$4)),NOT(ISNUMBER(INDEX($L$2:$L$6,IFERROR(IF(ISNUMBER(INDEX(aditivos!$O$2:$O$200,MATCH($A88,aditivos!$A$2:$A$200,0))),MIN(INDEX(aditivos!$O$2:$O$200,MATCH($A88,aditivos!$A$2:$A$200,0)),posicao_contratual!$Y88),posicao_contratual!$Y88),posicao_contratual!$Y88)+1)))),"",ROUND(itens_Remanesc!C88*$L$4/INDEX($L$2:$L$6,IFERROR(IF(ISNUMBER(INDEX(aditivos!$O$2:$O$200,MATCH($A88,aditivos!$A$2:$A$200,0))),MIN(INDEX(aditivos!$O$2:$O$200,MATCH($A88,aditivos!$A$2:$A$200,0)),posicao_contratual!$Y88),posicao_contratual!$Y88),posicao_contratual!$Y88)+1),2))))))</f>
        <v/>
      </c>
      <c r="F88" s="79" t="str">
        <f>IF(OR($A88="",posicao_contratual!$Y88=""),"",IF(posicao_contratual!$Y88&gt;3,"",IF(NOT(ISNUMBER(itens_Remanesc!C88)),"",IF(posicao_contratual!$Y88=3,IF(IFERROR(IF(ISNUMBER(INDEX(aditivos!$O$2:$O$200,MATCH($A88,aditivos!$A$2:$A$200,0))),MIN(INDEX(aditivos!$O$2:$O$200,MATCH($A88,aditivos!$A$2:$A$200,0)),posicao_contratual!$Y88),posicao_contratual!$Y88),posicao_contratual!$Y88)=3,itens_Remanesc!C88,IFERROR(ROUND(itens_Remanesc!C88*INDEX($L$2:$L$6,MIN(3+1,COUNT($L$2:$L$6)))/INDEX($L$2:$L$6,MIN(IFERROR(IF(ISNUMBER(INDEX(aditivos!$O$2:$O$200,MATCH($A88,aditivos!$A$2:$A$200,0))),MIN(INDEX(aditivos!$O$2:$O$200,MATCH($A88,aditivos!$A$2:$A$200,0)),posicao_contratual!$Y88),posicao_contratual!$Y88),posicao_contratual!$Y88)+1,COUNT($L$2:$L$6))),2),"")),IF(OR(NOT(ISNUMBER($L$5)),NOT(ISNUMBER(INDEX($L$2:$L$6,IFERROR(IF(ISNUMBER(INDEX(aditivos!$O$2:$O$200,MATCH($A88,aditivos!$A$2:$A$200,0))),MIN(INDEX(aditivos!$O$2:$O$200,MATCH($A88,aditivos!$A$2:$A$200,0)),posicao_contratual!$Y88),posicao_contratual!$Y88),posicao_contratual!$Y88)+1)))),"",ROUND(itens_Remanesc!C88*$L$5/INDEX($L$2:$L$6,IFERROR(IF(ISNUMBER(INDEX(aditivos!$O$2:$O$200,MATCH($A88,aditivos!$A$2:$A$200,0))),MIN(INDEX(aditivos!$O$2:$O$200,MATCH($A88,aditivos!$A$2:$A$200,0)),posicao_contratual!$Y88),posicao_contratual!$Y88),posicao_contratual!$Y88)+1),2))))))</f>
        <v/>
      </c>
      <c r="G88" s="79" t="str">
        <f>IF(OR($A88="",posicao_contratual!$Y88=""),"",IF(posicao_contratual!$Y88&gt;4,"",IF(NOT(ISNUMBER(itens_Remanesc!C88)),"",IF(posicao_contratual!$Y88=4,IF(IFERROR(IF(ISNUMBER(INDEX(aditivos!$O$2:$O$200,MATCH($A88,aditivos!$A$2:$A$200,0))),MIN(INDEX(aditivos!$O$2:$O$200,MATCH($A88,aditivos!$A$2:$A$200,0)),posicao_contratual!$Y88),posicao_contratual!$Y88),posicao_contratual!$Y88)=4,itens_Remanesc!C88,IFERROR(ROUND(itens_Remanesc!C88*INDEX($L$2:$L$6,MIN(4+1,COUNT($L$2:$L$6)))/INDEX($L$2:$L$6,MIN(IFERROR(IF(ISNUMBER(INDEX(aditivos!$O$2:$O$200,MATCH($A88,aditivos!$A$2:$A$200,0))),MIN(INDEX(aditivos!$O$2:$O$200,MATCH($A88,aditivos!$A$2:$A$200,0)),posicao_contratual!$Y88),posicao_contratual!$Y88),posicao_contratual!$Y88)+1,COUNT($L$2:$L$6))),2),"")),IF(OR(NOT(ISNUMBER($L$6)),NOT(ISNUMBER(INDEX($L$2:$L$6,IFERROR(IF(ISNUMBER(INDEX(aditivos!$O$2:$O$200,MATCH($A88,aditivos!$A$2:$A$200,0))),MIN(INDEX(aditivos!$O$2:$O$200,MATCH($A88,aditivos!$A$2:$A$200,0)),posicao_contratual!$Y88),posicao_contratual!$Y88),posicao_contratual!$Y88)+1)))),"",ROUND(itens_Remanesc!C88*$L$6/INDEX($L$2:$L$6,IFERROR(IF(ISNUMBER(INDEX(aditivos!$O$2:$O$200,MATCH($A88,aditivos!$A$2:$A$200,0))),MIN(INDEX(aditivos!$O$2:$O$200,MATCH($A88,aditivos!$A$2:$A$200,0)),posicao_contratual!$Y88),posicao_contratual!$Y88),posicao_contratual!$Y88)+1),2))))))</f>
        <v/>
      </c>
      <c r="H88" s="116" t="str">
        <f t="shared" si="2"/>
        <v/>
      </c>
      <c r="I88" s="14"/>
      <c r="J88" s="14"/>
      <c r="K88" s="14"/>
      <c r="L88" s="14"/>
      <c r="M88" s="14"/>
      <c r="N88" s="147" t="str">
        <f>IF(A88="","",IF(posicao_contratual!$Y88="","",IF(posicao_contratual!$Y88&gt;0,"",posicao_contratual!E88)))</f>
        <v/>
      </c>
      <c r="O88" s="147" t="str">
        <f>IF(A88="","",IF(posicao_contratual!$Y88="","",IF(posicao_contratual!$Y88&gt;1,"",posicao_contratual!I88)))</f>
        <v/>
      </c>
      <c r="P88" s="147" t="str">
        <f>IF(A88="","",IF(posicao_contratual!$Y88="","",IF(posicao_contratual!$Y88&gt;2,"",posicao_contratual!M88)))</f>
        <v/>
      </c>
      <c r="Q88" s="147" t="str">
        <f>IF(A88="","",IF(posicao_contratual!$Y88="","",IF(posicao_contratual!$Y88&gt;3,"",posicao_contratual!Q88)))</f>
        <v/>
      </c>
      <c r="R88" s="147" t="str">
        <f>IF(A88="","",IF(posicao_contratual!$Y88="","",IF(posicao_contratual!$Y88&gt;4,"",posicao_contratual!U88)))</f>
        <v/>
      </c>
      <c r="S88" s="167" t="str">
        <f>IF(A88="","",posicao_contratual!G88)</f>
        <v/>
      </c>
      <c r="T88" s="167" t="str">
        <f>IF(A88="","",posicao_contratual!K88)</f>
        <v/>
      </c>
      <c r="U88" s="167" t="str">
        <f>IF(A88="","",posicao_contratual!O88)</f>
        <v/>
      </c>
      <c r="V88" s="167" t="str">
        <f>IF(A88="","",posicao_contratual!S88)</f>
        <v/>
      </c>
      <c r="W88" s="167" t="str">
        <f>IF(A88="","",posicao_contratual!W88)</f>
        <v/>
      </c>
    </row>
    <row r="89" spans="1:23" x14ac:dyDescent="0.35">
      <c r="A89" s="86" t="str">
        <f>IF(itens_Remanesc!A89="","",itens_Remanesc!A89)</f>
        <v/>
      </c>
      <c r="B89" s="85" t="str">
        <f>IF(A89="","",IF(posicao_contratual!$Y89="","",IF(posicao_contratual!$Y89&gt;0,"",posicao_contratual!G89)))</f>
        <v/>
      </c>
      <c r="C89" s="79" t="str">
        <f>IF(itens_Remanesc!A89="","",IF(posicao_contratual!$Y89="","",IF(posicao_contratual!$Y89&gt;0,"",itens_Remanesc!C89)))</f>
        <v/>
      </c>
      <c r="D89" s="79" t="str">
        <f>IF(OR($A89="",posicao_contratual!$Y89=""),"",IF(posicao_contratual!$Y89&gt;1,"",IF(NOT(ISNUMBER(itens_Remanesc!C89)),"",IF(posicao_contratual!$Y89=1,IF(IFERROR(IF(ISNUMBER(INDEX(aditivos!$O$2:$O$200,MATCH($A89,aditivos!$A$2:$A$200,0))),MIN(INDEX(aditivos!$O$2:$O$200,MATCH($A89,aditivos!$A$2:$A$200,0)),posicao_contratual!$Y89),posicao_contratual!$Y89),posicao_contratual!$Y89)=1,itens_Remanesc!C89,IFERROR(ROUND(itens_Remanesc!C89*INDEX($L$2:$L$6,MIN(1+1,COUNT($L$2:$L$6)))/INDEX($L$2:$L$6,MIN(IFERROR(IF(ISNUMBER(INDEX(aditivos!$O$2:$O$200,MATCH($A89,aditivos!$A$2:$A$200,0))),MIN(INDEX(aditivos!$O$2:$O$200,MATCH($A89,aditivos!$A$2:$A$200,0)),posicao_contratual!$Y89),posicao_contratual!$Y89),posicao_contratual!$Y89)+1,COUNT($L$2:$L$6))),2),"")),IF(OR(NOT(ISNUMBER($L$3)),NOT(ISNUMBER(INDEX($L$2:$L$6,IFERROR(IF(ISNUMBER(INDEX(aditivos!$O$2:$O$200,MATCH($A89,aditivos!$A$2:$A$200,0))),MIN(INDEX(aditivos!$O$2:$O$200,MATCH($A89,aditivos!$A$2:$A$200,0)),posicao_contratual!$Y89),posicao_contratual!$Y89),posicao_contratual!$Y89)+1)))),"",ROUND(itens_Remanesc!C89*$L$3/INDEX($L$2:$L$6,IFERROR(IF(ISNUMBER(INDEX(aditivos!$O$2:$O$200,MATCH($A89,aditivos!$A$2:$A$200,0))),MIN(INDEX(aditivos!$O$2:$O$200,MATCH($A89,aditivos!$A$2:$A$200,0)),posicao_contratual!$Y89),posicao_contratual!$Y89),posicao_contratual!$Y89)+1),2))))))</f>
        <v/>
      </c>
      <c r="E89" s="79" t="str">
        <f>IF(OR($A89="",posicao_contratual!$Y89=""),"",IF(posicao_contratual!$Y89&gt;2,"",IF(NOT(ISNUMBER(itens_Remanesc!C89)),"",IF(posicao_contratual!$Y89=2,IF(IFERROR(IF(ISNUMBER(INDEX(aditivos!$O$2:$O$200,MATCH($A89,aditivos!$A$2:$A$200,0))),MIN(INDEX(aditivos!$O$2:$O$200,MATCH($A89,aditivos!$A$2:$A$200,0)),posicao_contratual!$Y89),posicao_contratual!$Y89),posicao_contratual!$Y89)=2,itens_Remanesc!C89,IFERROR(ROUND(itens_Remanesc!C89*INDEX($L$2:$L$6,MIN(2+1,COUNT($L$2:$L$6)))/INDEX($L$2:$L$6,MIN(IFERROR(IF(ISNUMBER(INDEX(aditivos!$O$2:$O$200,MATCH($A89,aditivos!$A$2:$A$200,0))),MIN(INDEX(aditivos!$O$2:$O$200,MATCH($A89,aditivos!$A$2:$A$200,0)),posicao_contratual!$Y89),posicao_contratual!$Y89),posicao_contratual!$Y89)+1,COUNT($L$2:$L$6))),2),"")),IF(OR(NOT(ISNUMBER($L$4)),NOT(ISNUMBER(INDEX($L$2:$L$6,IFERROR(IF(ISNUMBER(INDEX(aditivos!$O$2:$O$200,MATCH($A89,aditivos!$A$2:$A$200,0))),MIN(INDEX(aditivos!$O$2:$O$200,MATCH($A89,aditivos!$A$2:$A$200,0)),posicao_contratual!$Y89),posicao_contratual!$Y89),posicao_contratual!$Y89)+1)))),"",ROUND(itens_Remanesc!C89*$L$4/INDEX($L$2:$L$6,IFERROR(IF(ISNUMBER(INDEX(aditivos!$O$2:$O$200,MATCH($A89,aditivos!$A$2:$A$200,0))),MIN(INDEX(aditivos!$O$2:$O$200,MATCH($A89,aditivos!$A$2:$A$200,0)),posicao_contratual!$Y89),posicao_contratual!$Y89),posicao_contratual!$Y89)+1),2))))))</f>
        <v/>
      </c>
      <c r="F89" s="79" t="str">
        <f>IF(OR($A89="",posicao_contratual!$Y89=""),"",IF(posicao_contratual!$Y89&gt;3,"",IF(NOT(ISNUMBER(itens_Remanesc!C89)),"",IF(posicao_contratual!$Y89=3,IF(IFERROR(IF(ISNUMBER(INDEX(aditivos!$O$2:$O$200,MATCH($A89,aditivos!$A$2:$A$200,0))),MIN(INDEX(aditivos!$O$2:$O$200,MATCH($A89,aditivos!$A$2:$A$200,0)),posicao_contratual!$Y89),posicao_contratual!$Y89),posicao_contratual!$Y89)=3,itens_Remanesc!C89,IFERROR(ROUND(itens_Remanesc!C89*INDEX($L$2:$L$6,MIN(3+1,COUNT($L$2:$L$6)))/INDEX($L$2:$L$6,MIN(IFERROR(IF(ISNUMBER(INDEX(aditivos!$O$2:$O$200,MATCH($A89,aditivos!$A$2:$A$200,0))),MIN(INDEX(aditivos!$O$2:$O$200,MATCH($A89,aditivos!$A$2:$A$200,0)),posicao_contratual!$Y89),posicao_contratual!$Y89),posicao_contratual!$Y89)+1,COUNT($L$2:$L$6))),2),"")),IF(OR(NOT(ISNUMBER($L$5)),NOT(ISNUMBER(INDEX($L$2:$L$6,IFERROR(IF(ISNUMBER(INDEX(aditivos!$O$2:$O$200,MATCH($A89,aditivos!$A$2:$A$200,0))),MIN(INDEX(aditivos!$O$2:$O$200,MATCH($A89,aditivos!$A$2:$A$200,0)),posicao_contratual!$Y89),posicao_contratual!$Y89),posicao_contratual!$Y89)+1)))),"",ROUND(itens_Remanesc!C89*$L$5/INDEX($L$2:$L$6,IFERROR(IF(ISNUMBER(INDEX(aditivos!$O$2:$O$200,MATCH($A89,aditivos!$A$2:$A$200,0))),MIN(INDEX(aditivos!$O$2:$O$200,MATCH($A89,aditivos!$A$2:$A$200,0)),posicao_contratual!$Y89),posicao_contratual!$Y89),posicao_contratual!$Y89)+1),2))))))</f>
        <v/>
      </c>
      <c r="G89" s="79" t="str">
        <f>IF(OR($A89="",posicao_contratual!$Y89=""),"",IF(posicao_contratual!$Y89&gt;4,"",IF(NOT(ISNUMBER(itens_Remanesc!C89)),"",IF(posicao_contratual!$Y89=4,IF(IFERROR(IF(ISNUMBER(INDEX(aditivos!$O$2:$O$200,MATCH($A89,aditivos!$A$2:$A$200,0))),MIN(INDEX(aditivos!$O$2:$O$200,MATCH($A89,aditivos!$A$2:$A$200,0)),posicao_contratual!$Y89),posicao_contratual!$Y89),posicao_contratual!$Y89)=4,itens_Remanesc!C89,IFERROR(ROUND(itens_Remanesc!C89*INDEX($L$2:$L$6,MIN(4+1,COUNT($L$2:$L$6)))/INDEX($L$2:$L$6,MIN(IFERROR(IF(ISNUMBER(INDEX(aditivos!$O$2:$O$200,MATCH($A89,aditivos!$A$2:$A$200,0))),MIN(INDEX(aditivos!$O$2:$O$200,MATCH($A89,aditivos!$A$2:$A$200,0)),posicao_contratual!$Y89),posicao_contratual!$Y89),posicao_contratual!$Y89)+1,COUNT($L$2:$L$6))),2),"")),IF(OR(NOT(ISNUMBER($L$6)),NOT(ISNUMBER(INDEX($L$2:$L$6,IFERROR(IF(ISNUMBER(INDEX(aditivos!$O$2:$O$200,MATCH($A89,aditivos!$A$2:$A$200,0))),MIN(INDEX(aditivos!$O$2:$O$200,MATCH($A89,aditivos!$A$2:$A$200,0)),posicao_contratual!$Y89),posicao_contratual!$Y89),posicao_contratual!$Y89)+1)))),"",ROUND(itens_Remanesc!C89*$L$6/INDEX($L$2:$L$6,IFERROR(IF(ISNUMBER(INDEX(aditivos!$O$2:$O$200,MATCH($A89,aditivos!$A$2:$A$200,0))),MIN(INDEX(aditivos!$O$2:$O$200,MATCH($A89,aditivos!$A$2:$A$200,0)),posicao_contratual!$Y89),posicao_contratual!$Y89),posicao_contratual!$Y89)+1),2))))))</f>
        <v/>
      </c>
      <c r="H89" s="116" t="str">
        <f t="shared" si="2"/>
        <v/>
      </c>
      <c r="I89" s="14"/>
      <c r="J89" s="14"/>
      <c r="K89" s="14"/>
      <c r="L89" s="14"/>
      <c r="M89" s="14"/>
      <c r="N89" s="147" t="str">
        <f>IF(A89="","",IF(posicao_contratual!$Y89="","",IF(posicao_contratual!$Y89&gt;0,"",posicao_contratual!E89)))</f>
        <v/>
      </c>
      <c r="O89" s="147" t="str">
        <f>IF(A89="","",IF(posicao_contratual!$Y89="","",IF(posicao_contratual!$Y89&gt;1,"",posicao_contratual!I89)))</f>
        <v/>
      </c>
      <c r="P89" s="147" t="str">
        <f>IF(A89="","",IF(posicao_contratual!$Y89="","",IF(posicao_contratual!$Y89&gt;2,"",posicao_contratual!M89)))</f>
        <v/>
      </c>
      <c r="Q89" s="147" t="str">
        <f>IF(A89="","",IF(posicao_contratual!$Y89="","",IF(posicao_contratual!$Y89&gt;3,"",posicao_contratual!Q89)))</f>
        <v/>
      </c>
      <c r="R89" s="147" t="str">
        <f>IF(A89="","",IF(posicao_contratual!$Y89="","",IF(posicao_contratual!$Y89&gt;4,"",posicao_contratual!U89)))</f>
        <v/>
      </c>
      <c r="S89" s="167" t="str">
        <f>IF(A89="","",posicao_contratual!G89)</f>
        <v/>
      </c>
      <c r="T89" s="167" t="str">
        <f>IF(A89="","",posicao_contratual!K89)</f>
        <v/>
      </c>
      <c r="U89" s="167" t="str">
        <f>IF(A89="","",posicao_contratual!O89)</f>
        <v/>
      </c>
      <c r="V89" s="167" t="str">
        <f>IF(A89="","",posicao_contratual!S89)</f>
        <v/>
      </c>
      <c r="W89" s="167" t="str">
        <f>IF(A89="","",posicao_contratual!W89)</f>
        <v/>
      </c>
    </row>
    <row r="90" spans="1:23" x14ac:dyDescent="0.35">
      <c r="A90" s="86" t="str">
        <f>IF(itens_Remanesc!A90="","",itens_Remanesc!A90)</f>
        <v/>
      </c>
      <c r="B90" s="85" t="str">
        <f>IF(A90="","",IF(posicao_contratual!$Y90="","",IF(posicao_contratual!$Y90&gt;0,"",posicao_contratual!G90)))</f>
        <v/>
      </c>
      <c r="C90" s="79" t="str">
        <f>IF(itens_Remanesc!A90="","",IF(posicao_contratual!$Y90="","",IF(posicao_contratual!$Y90&gt;0,"",itens_Remanesc!C90)))</f>
        <v/>
      </c>
      <c r="D90" s="79" t="str">
        <f>IF(OR($A90="",posicao_contratual!$Y90=""),"",IF(posicao_contratual!$Y90&gt;1,"",IF(NOT(ISNUMBER(itens_Remanesc!C90)),"",IF(posicao_contratual!$Y90=1,IF(IFERROR(IF(ISNUMBER(INDEX(aditivos!$O$2:$O$200,MATCH($A90,aditivos!$A$2:$A$200,0))),MIN(INDEX(aditivos!$O$2:$O$200,MATCH($A90,aditivos!$A$2:$A$200,0)),posicao_contratual!$Y90),posicao_contratual!$Y90),posicao_contratual!$Y90)=1,itens_Remanesc!C90,IFERROR(ROUND(itens_Remanesc!C90*INDEX($L$2:$L$6,MIN(1+1,COUNT($L$2:$L$6)))/INDEX($L$2:$L$6,MIN(IFERROR(IF(ISNUMBER(INDEX(aditivos!$O$2:$O$200,MATCH($A90,aditivos!$A$2:$A$200,0))),MIN(INDEX(aditivos!$O$2:$O$200,MATCH($A90,aditivos!$A$2:$A$200,0)),posicao_contratual!$Y90),posicao_contratual!$Y90),posicao_contratual!$Y90)+1,COUNT($L$2:$L$6))),2),"")),IF(OR(NOT(ISNUMBER($L$3)),NOT(ISNUMBER(INDEX($L$2:$L$6,IFERROR(IF(ISNUMBER(INDEX(aditivos!$O$2:$O$200,MATCH($A90,aditivos!$A$2:$A$200,0))),MIN(INDEX(aditivos!$O$2:$O$200,MATCH($A90,aditivos!$A$2:$A$200,0)),posicao_contratual!$Y90),posicao_contratual!$Y90),posicao_contratual!$Y90)+1)))),"",ROUND(itens_Remanesc!C90*$L$3/INDEX($L$2:$L$6,IFERROR(IF(ISNUMBER(INDEX(aditivos!$O$2:$O$200,MATCH($A90,aditivos!$A$2:$A$200,0))),MIN(INDEX(aditivos!$O$2:$O$200,MATCH($A90,aditivos!$A$2:$A$200,0)),posicao_contratual!$Y90),posicao_contratual!$Y90),posicao_contratual!$Y90)+1),2))))))</f>
        <v/>
      </c>
      <c r="E90" s="79" t="str">
        <f>IF(OR($A90="",posicao_contratual!$Y90=""),"",IF(posicao_contratual!$Y90&gt;2,"",IF(NOT(ISNUMBER(itens_Remanesc!C90)),"",IF(posicao_contratual!$Y90=2,IF(IFERROR(IF(ISNUMBER(INDEX(aditivos!$O$2:$O$200,MATCH($A90,aditivos!$A$2:$A$200,0))),MIN(INDEX(aditivos!$O$2:$O$200,MATCH($A90,aditivos!$A$2:$A$200,0)),posicao_contratual!$Y90),posicao_contratual!$Y90),posicao_contratual!$Y90)=2,itens_Remanesc!C90,IFERROR(ROUND(itens_Remanesc!C90*INDEX($L$2:$L$6,MIN(2+1,COUNT($L$2:$L$6)))/INDEX($L$2:$L$6,MIN(IFERROR(IF(ISNUMBER(INDEX(aditivos!$O$2:$O$200,MATCH($A90,aditivos!$A$2:$A$200,0))),MIN(INDEX(aditivos!$O$2:$O$200,MATCH($A90,aditivos!$A$2:$A$200,0)),posicao_contratual!$Y90),posicao_contratual!$Y90),posicao_contratual!$Y90)+1,COUNT($L$2:$L$6))),2),"")),IF(OR(NOT(ISNUMBER($L$4)),NOT(ISNUMBER(INDEX($L$2:$L$6,IFERROR(IF(ISNUMBER(INDEX(aditivos!$O$2:$O$200,MATCH($A90,aditivos!$A$2:$A$200,0))),MIN(INDEX(aditivos!$O$2:$O$200,MATCH($A90,aditivos!$A$2:$A$200,0)),posicao_contratual!$Y90),posicao_contratual!$Y90),posicao_contratual!$Y90)+1)))),"",ROUND(itens_Remanesc!C90*$L$4/INDEX($L$2:$L$6,IFERROR(IF(ISNUMBER(INDEX(aditivos!$O$2:$O$200,MATCH($A90,aditivos!$A$2:$A$200,0))),MIN(INDEX(aditivos!$O$2:$O$200,MATCH($A90,aditivos!$A$2:$A$200,0)),posicao_contratual!$Y90),posicao_contratual!$Y90),posicao_contratual!$Y90)+1),2))))))</f>
        <v/>
      </c>
      <c r="F90" s="79" t="str">
        <f>IF(OR($A90="",posicao_contratual!$Y90=""),"",IF(posicao_contratual!$Y90&gt;3,"",IF(NOT(ISNUMBER(itens_Remanesc!C90)),"",IF(posicao_contratual!$Y90=3,IF(IFERROR(IF(ISNUMBER(INDEX(aditivos!$O$2:$O$200,MATCH($A90,aditivos!$A$2:$A$200,0))),MIN(INDEX(aditivos!$O$2:$O$200,MATCH($A90,aditivos!$A$2:$A$200,0)),posicao_contratual!$Y90),posicao_contratual!$Y90),posicao_contratual!$Y90)=3,itens_Remanesc!C90,IFERROR(ROUND(itens_Remanesc!C90*INDEX($L$2:$L$6,MIN(3+1,COUNT($L$2:$L$6)))/INDEX($L$2:$L$6,MIN(IFERROR(IF(ISNUMBER(INDEX(aditivos!$O$2:$O$200,MATCH($A90,aditivos!$A$2:$A$200,0))),MIN(INDEX(aditivos!$O$2:$O$200,MATCH($A90,aditivos!$A$2:$A$200,0)),posicao_contratual!$Y90),posicao_contratual!$Y90),posicao_contratual!$Y90)+1,COUNT($L$2:$L$6))),2),"")),IF(OR(NOT(ISNUMBER($L$5)),NOT(ISNUMBER(INDEX($L$2:$L$6,IFERROR(IF(ISNUMBER(INDEX(aditivos!$O$2:$O$200,MATCH($A90,aditivos!$A$2:$A$200,0))),MIN(INDEX(aditivos!$O$2:$O$200,MATCH($A90,aditivos!$A$2:$A$200,0)),posicao_contratual!$Y90),posicao_contratual!$Y90),posicao_contratual!$Y90)+1)))),"",ROUND(itens_Remanesc!C90*$L$5/INDEX($L$2:$L$6,IFERROR(IF(ISNUMBER(INDEX(aditivos!$O$2:$O$200,MATCH($A90,aditivos!$A$2:$A$200,0))),MIN(INDEX(aditivos!$O$2:$O$200,MATCH($A90,aditivos!$A$2:$A$200,0)),posicao_contratual!$Y90),posicao_contratual!$Y90),posicao_contratual!$Y90)+1),2))))))</f>
        <v/>
      </c>
      <c r="G90" s="79" t="str">
        <f>IF(OR($A90="",posicao_contratual!$Y90=""),"",IF(posicao_contratual!$Y90&gt;4,"",IF(NOT(ISNUMBER(itens_Remanesc!C90)),"",IF(posicao_contratual!$Y90=4,IF(IFERROR(IF(ISNUMBER(INDEX(aditivos!$O$2:$O$200,MATCH($A90,aditivos!$A$2:$A$200,0))),MIN(INDEX(aditivos!$O$2:$O$200,MATCH($A90,aditivos!$A$2:$A$200,0)),posicao_contratual!$Y90),posicao_contratual!$Y90),posicao_contratual!$Y90)=4,itens_Remanesc!C90,IFERROR(ROUND(itens_Remanesc!C90*INDEX($L$2:$L$6,MIN(4+1,COUNT($L$2:$L$6)))/INDEX($L$2:$L$6,MIN(IFERROR(IF(ISNUMBER(INDEX(aditivos!$O$2:$O$200,MATCH($A90,aditivos!$A$2:$A$200,0))),MIN(INDEX(aditivos!$O$2:$O$200,MATCH($A90,aditivos!$A$2:$A$200,0)),posicao_contratual!$Y90),posicao_contratual!$Y90),posicao_contratual!$Y90)+1,COUNT($L$2:$L$6))),2),"")),IF(OR(NOT(ISNUMBER($L$6)),NOT(ISNUMBER(INDEX($L$2:$L$6,IFERROR(IF(ISNUMBER(INDEX(aditivos!$O$2:$O$200,MATCH($A90,aditivos!$A$2:$A$200,0))),MIN(INDEX(aditivos!$O$2:$O$200,MATCH($A90,aditivos!$A$2:$A$200,0)),posicao_contratual!$Y90),posicao_contratual!$Y90),posicao_contratual!$Y90)+1)))),"",ROUND(itens_Remanesc!C90*$L$6/INDEX($L$2:$L$6,IFERROR(IF(ISNUMBER(INDEX(aditivos!$O$2:$O$200,MATCH($A90,aditivos!$A$2:$A$200,0))),MIN(INDEX(aditivos!$O$2:$O$200,MATCH($A90,aditivos!$A$2:$A$200,0)),posicao_contratual!$Y90),posicao_contratual!$Y90),posicao_contratual!$Y90)+1),2))))))</f>
        <v/>
      </c>
      <c r="H90" s="116" t="str">
        <f t="shared" si="2"/>
        <v/>
      </c>
      <c r="I90" s="14"/>
      <c r="J90" s="14"/>
      <c r="K90" s="14"/>
      <c r="L90" s="14"/>
      <c r="M90" s="14"/>
      <c r="N90" s="147" t="str">
        <f>IF(A90="","",IF(posicao_contratual!$Y90="","",IF(posicao_contratual!$Y90&gt;0,"",posicao_contratual!E90)))</f>
        <v/>
      </c>
      <c r="O90" s="147" t="str">
        <f>IF(A90="","",IF(posicao_contratual!$Y90="","",IF(posicao_contratual!$Y90&gt;1,"",posicao_contratual!I90)))</f>
        <v/>
      </c>
      <c r="P90" s="147" t="str">
        <f>IF(A90="","",IF(posicao_contratual!$Y90="","",IF(posicao_contratual!$Y90&gt;2,"",posicao_contratual!M90)))</f>
        <v/>
      </c>
      <c r="Q90" s="147" t="str">
        <f>IF(A90="","",IF(posicao_contratual!$Y90="","",IF(posicao_contratual!$Y90&gt;3,"",posicao_contratual!Q90)))</f>
        <v/>
      </c>
      <c r="R90" s="147" t="str">
        <f>IF(A90="","",IF(posicao_contratual!$Y90="","",IF(posicao_contratual!$Y90&gt;4,"",posicao_contratual!U90)))</f>
        <v/>
      </c>
      <c r="S90" s="167" t="str">
        <f>IF(A90="","",posicao_contratual!G90)</f>
        <v/>
      </c>
      <c r="T90" s="167" t="str">
        <f>IF(A90="","",posicao_contratual!K90)</f>
        <v/>
      </c>
      <c r="U90" s="167" t="str">
        <f>IF(A90="","",posicao_contratual!O90)</f>
        <v/>
      </c>
      <c r="V90" s="167" t="str">
        <f>IF(A90="","",posicao_contratual!S90)</f>
        <v/>
      </c>
      <c r="W90" s="167" t="str">
        <f>IF(A90="","",posicao_contratual!W90)</f>
        <v/>
      </c>
    </row>
    <row r="91" spans="1:23" x14ac:dyDescent="0.35">
      <c r="A91" s="86" t="str">
        <f>IF(itens_Remanesc!A91="","",itens_Remanesc!A91)</f>
        <v/>
      </c>
      <c r="B91" s="85" t="str">
        <f>IF(A91="","",IF(posicao_contratual!$Y91="","",IF(posicao_contratual!$Y91&gt;0,"",posicao_contratual!G91)))</f>
        <v/>
      </c>
      <c r="C91" s="79" t="str">
        <f>IF(itens_Remanesc!A91="","",IF(posicao_contratual!$Y91="","",IF(posicao_contratual!$Y91&gt;0,"",itens_Remanesc!C91)))</f>
        <v/>
      </c>
      <c r="D91" s="79" t="str">
        <f>IF(OR($A91="",posicao_contratual!$Y91=""),"",IF(posicao_contratual!$Y91&gt;1,"",IF(NOT(ISNUMBER(itens_Remanesc!C91)),"",IF(posicao_contratual!$Y91=1,IF(IFERROR(IF(ISNUMBER(INDEX(aditivos!$O$2:$O$200,MATCH($A91,aditivos!$A$2:$A$200,0))),MIN(INDEX(aditivos!$O$2:$O$200,MATCH($A91,aditivos!$A$2:$A$200,0)),posicao_contratual!$Y91),posicao_contratual!$Y91),posicao_contratual!$Y91)=1,itens_Remanesc!C91,IFERROR(ROUND(itens_Remanesc!C91*INDEX($L$2:$L$6,MIN(1+1,COUNT($L$2:$L$6)))/INDEX($L$2:$L$6,MIN(IFERROR(IF(ISNUMBER(INDEX(aditivos!$O$2:$O$200,MATCH($A91,aditivos!$A$2:$A$200,0))),MIN(INDEX(aditivos!$O$2:$O$200,MATCH($A91,aditivos!$A$2:$A$200,0)),posicao_contratual!$Y91),posicao_contratual!$Y91),posicao_contratual!$Y91)+1,COUNT($L$2:$L$6))),2),"")),IF(OR(NOT(ISNUMBER($L$3)),NOT(ISNUMBER(INDEX($L$2:$L$6,IFERROR(IF(ISNUMBER(INDEX(aditivos!$O$2:$O$200,MATCH($A91,aditivos!$A$2:$A$200,0))),MIN(INDEX(aditivos!$O$2:$O$200,MATCH($A91,aditivos!$A$2:$A$200,0)),posicao_contratual!$Y91),posicao_contratual!$Y91),posicao_contratual!$Y91)+1)))),"",ROUND(itens_Remanesc!C91*$L$3/INDEX($L$2:$L$6,IFERROR(IF(ISNUMBER(INDEX(aditivos!$O$2:$O$200,MATCH($A91,aditivos!$A$2:$A$200,0))),MIN(INDEX(aditivos!$O$2:$O$200,MATCH($A91,aditivos!$A$2:$A$200,0)),posicao_contratual!$Y91),posicao_contratual!$Y91),posicao_contratual!$Y91)+1),2))))))</f>
        <v/>
      </c>
      <c r="E91" s="79" t="str">
        <f>IF(OR($A91="",posicao_contratual!$Y91=""),"",IF(posicao_contratual!$Y91&gt;2,"",IF(NOT(ISNUMBER(itens_Remanesc!C91)),"",IF(posicao_contratual!$Y91=2,IF(IFERROR(IF(ISNUMBER(INDEX(aditivos!$O$2:$O$200,MATCH($A91,aditivos!$A$2:$A$200,0))),MIN(INDEX(aditivos!$O$2:$O$200,MATCH($A91,aditivos!$A$2:$A$200,0)),posicao_contratual!$Y91),posicao_contratual!$Y91),posicao_contratual!$Y91)=2,itens_Remanesc!C91,IFERROR(ROUND(itens_Remanesc!C91*INDEX($L$2:$L$6,MIN(2+1,COUNT($L$2:$L$6)))/INDEX($L$2:$L$6,MIN(IFERROR(IF(ISNUMBER(INDEX(aditivos!$O$2:$O$200,MATCH($A91,aditivos!$A$2:$A$200,0))),MIN(INDEX(aditivos!$O$2:$O$200,MATCH($A91,aditivos!$A$2:$A$200,0)),posicao_contratual!$Y91),posicao_contratual!$Y91),posicao_contratual!$Y91)+1,COUNT($L$2:$L$6))),2),"")),IF(OR(NOT(ISNUMBER($L$4)),NOT(ISNUMBER(INDEX($L$2:$L$6,IFERROR(IF(ISNUMBER(INDEX(aditivos!$O$2:$O$200,MATCH($A91,aditivos!$A$2:$A$200,0))),MIN(INDEX(aditivos!$O$2:$O$200,MATCH($A91,aditivos!$A$2:$A$200,0)),posicao_contratual!$Y91),posicao_contratual!$Y91),posicao_contratual!$Y91)+1)))),"",ROUND(itens_Remanesc!C91*$L$4/INDEX($L$2:$L$6,IFERROR(IF(ISNUMBER(INDEX(aditivos!$O$2:$O$200,MATCH($A91,aditivos!$A$2:$A$200,0))),MIN(INDEX(aditivos!$O$2:$O$200,MATCH($A91,aditivos!$A$2:$A$200,0)),posicao_contratual!$Y91),posicao_contratual!$Y91),posicao_contratual!$Y91)+1),2))))))</f>
        <v/>
      </c>
      <c r="F91" s="79" t="str">
        <f>IF(OR($A91="",posicao_contratual!$Y91=""),"",IF(posicao_contratual!$Y91&gt;3,"",IF(NOT(ISNUMBER(itens_Remanesc!C91)),"",IF(posicao_contratual!$Y91=3,IF(IFERROR(IF(ISNUMBER(INDEX(aditivos!$O$2:$O$200,MATCH($A91,aditivos!$A$2:$A$200,0))),MIN(INDEX(aditivos!$O$2:$O$200,MATCH($A91,aditivos!$A$2:$A$200,0)),posicao_contratual!$Y91),posicao_contratual!$Y91),posicao_contratual!$Y91)=3,itens_Remanesc!C91,IFERROR(ROUND(itens_Remanesc!C91*INDEX($L$2:$L$6,MIN(3+1,COUNT($L$2:$L$6)))/INDEX($L$2:$L$6,MIN(IFERROR(IF(ISNUMBER(INDEX(aditivos!$O$2:$O$200,MATCH($A91,aditivos!$A$2:$A$200,0))),MIN(INDEX(aditivos!$O$2:$O$200,MATCH($A91,aditivos!$A$2:$A$200,0)),posicao_contratual!$Y91),posicao_contratual!$Y91),posicao_contratual!$Y91)+1,COUNT($L$2:$L$6))),2),"")),IF(OR(NOT(ISNUMBER($L$5)),NOT(ISNUMBER(INDEX($L$2:$L$6,IFERROR(IF(ISNUMBER(INDEX(aditivos!$O$2:$O$200,MATCH($A91,aditivos!$A$2:$A$200,0))),MIN(INDEX(aditivos!$O$2:$O$200,MATCH($A91,aditivos!$A$2:$A$200,0)),posicao_contratual!$Y91),posicao_contratual!$Y91),posicao_contratual!$Y91)+1)))),"",ROUND(itens_Remanesc!C91*$L$5/INDEX($L$2:$L$6,IFERROR(IF(ISNUMBER(INDEX(aditivos!$O$2:$O$200,MATCH($A91,aditivos!$A$2:$A$200,0))),MIN(INDEX(aditivos!$O$2:$O$200,MATCH($A91,aditivos!$A$2:$A$200,0)),posicao_contratual!$Y91),posicao_contratual!$Y91),posicao_contratual!$Y91)+1),2))))))</f>
        <v/>
      </c>
      <c r="G91" s="79" t="str">
        <f>IF(OR($A91="",posicao_contratual!$Y91=""),"",IF(posicao_contratual!$Y91&gt;4,"",IF(NOT(ISNUMBER(itens_Remanesc!C91)),"",IF(posicao_contratual!$Y91=4,IF(IFERROR(IF(ISNUMBER(INDEX(aditivos!$O$2:$O$200,MATCH($A91,aditivos!$A$2:$A$200,0))),MIN(INDEX(aditivos!$O$2:$O$200,MATCH($A91,aditivos!$A$2:$A$200,0)),posicao_contratual!$Y91),posicao_contratual!$Y91),posicao_contratual!$Y91)=4,itens_Remanesc!C91,IFERROR(ROUND(itens_Remanesc!C91*INDEX($L$2:$L$6,MIN(4+1,COUNT($L$2:$L$6)))/INDEX($L$2:$L$6,MIN(IFERROR(IF(ISNUMBER(INDEX(aditivos!$O$2:$O$200,MATCH($A91,aditivos!$A$2:$A$200,0))),MIN(INDEX(aditivos!$O$2:$O$200,MATCH($A91,aditivos!$A$2:$A$200,0)),posicao_contratual!$Y91),posicao_contratual!$Y91),posicao_contratual!$Y91)+1,COUNT($L$2:$L$6))),2),"")),IF(OR(NOT(ISNUMBER($L$6)),NOT(ISNUMBER(INDEX($L$2:$L$6,IFERROR(IF(ISNUMBER(INDEX(aditivos!$O$2:$O$200,MATCH($A91,aditivos!$A$2:$A$200,0))),MIN(INDEX(aditivos!$O$2:$O$200,MATCH($A91,aditivos!$A$2:$A$200,0)),posicao_contratual!$Y91),posicao_contratual!$Y91),posicao_contratual!$Y91)+1)))),"",ROUND(itens_Remanesc!C91*$L$6/INDEX($L$2:$L$6,IFERROR(IF(ISNUMBER(INDEX(aditivos!$O$2:$O$200,MATCH($A91,aditivos!$A$2:$A$200,0))),MIN(INDEX(aditivos!$O$2:$O$200,MATCH($A91,aditivos!$A$2:$A$200,0)),posicao_contratual!$Y91),posicao_contratual!$Y91),posicao_contratual!$Y91)+1),2))))))</f>
        <v/>
      </c>
      <c r="H91" s="116" t="str">
        <f t="shared" si="2"/>
        <v/>
      </c>
      <c r="I91" s="14"/>
      <c r="J91" s="14"/>
      <c r="K91" s="14"/>
      <c r="L91" s="14"/>
      <c r="M91" s="14"/>
      <c r="N91" s="147" t="str">
        <f>IF(A91="","",IF(posicao_contratual!$Y91="","",IF(posicao_contratual!$Y91&gt;0,"",posicao_contratual!E91)))</f>
        <v/>
      </c>
      <c r="O91" s="147" t="str">
        <f>IF(A91="","",IF(posicao_contratual!$Y91="","",IF(posicao_contratual!$Y91&gt;1,"",posicao_contratual!I91)))</f>
        <v/>
      </c>
      <c r="P91" s="147" t="str">
        <f>IF(A91="","",IF(posicao_contratual!$Y91="","",IF(posicao_contratual!$Y91&gt;2,"",posicao_contratual!M91)))</f>
        <v/>
      </c>
      <c r="Q91" s="147" t="str">
        <f>IF(A91="","",IF(posicao_contratual!$Y91="","",IF(posicao_contratual!$Y91&gt;3,"",posicao_contratual!Q91)))</f>
        <v/>
      </c>
      <c r="R91" s="147" t="str">
        <f>IF(A91="","",IF(posicao_contratual!$Y91="","",IF(posicao_contratual!$Y91&gt;4,"",posicao_contratual!U91)))</f>
        <v/>
      </c>
      <c r="S91" s="167" t="str">
        <f>IF(A91="","",posicao_contratual!G91)</f>
        <v/>
      </c>
      <c r="T91" s="167" t="str">
        <f>IF(A91="","",posicao_contratual!K91)</f>
        <v/>
      </c>
      <c r="U91" s="167" t="str">
        <f>IF(A91="","",posicao_contratual!O91)</f>
        <v/>
      </c>
      <c r="V91" s="167" t="str">
        <f>IF(A91="","",posicao_contratual!S91)</f>
        <v/>
      </c>
      <c r="W91" s="167" t="str">
        <f>IF(A91="","",posicao_contratual!W91)</f>
        <v/>
      </c>
    </row>
    <row r="92" spans="1:23" x14ac:dyDescent="0.35">
      <c r="A92" s="86" t="str">
        <f>IF(itens_Remanesc!A92="","",itens_Remanesc!A92)</f>
        <v/>
      </c>
      <c r="B92" s="85" t="str">
        <f>IF(A92="","",IF(posicao_contratual!$Y92="","",IF(posicao_contratual!$Y92&gt;0,"",posicao_contratual!G92)))</f>
        <v/>
      </c>
      <c r="C92" s="79" t="str">
        <f>IF(itens_Remanesc!A92="","",IF(posicao_contratual!$Y92="","",IF(posicao_contratual!$Y92&gt;0,"",itens_Remanesc!C92)))</f>
        <v/>
      </c>
      <c r="D92" s="79" t="str">
        <f>IF(OR($A92="",posicao_contratual!$Y92=""),"",IF(posicao_contratual!$Y92&gt;1,"",IF(NOT(ISNUMBER(itens_Remanesc!C92)),"",IF(posicao_contratual!$Y92=1,IF(IFERROR(IF(ISNUMBER(INDEX(aditivos!$O$2:$O$200,MATCH($A92,aditivos!$A$2:$A$200,0))),MIN(INDEX(aditivos!$O$2:$O$200,MATCH($A92,aditivos!$A$2:$A$200,0)),posicao_contratual!$Y92),posicao_contratual!$Y92),posicao_contratual!$Y92)=1,itens_Remanesc!C92,IFERROR(ROUND(itens_Remanesc!C92*INDEX($L$2:$L$6,MIN(1+1,COUNT($L$2:$L$6)))/INDEX($L$2:$L$6,MIN(IFERROR(IF(ISNUMBER(INDEX(aditivos!$O$2:$O$200,MATCH($A92,aditivos!$A$2:$A$200,0))),MIN(INDEX(aditivos!$O$2:$O$200,MATCH($A92,aditivos!$A$2:$A$200,0)),posicao_contratual!$Y92),posicao_contratual!$Y92),posicao_contratual!$Y92)+1,COUNT($L$2:$L$6))),2),"")),IF(OR(NOT(ISNUMBER($L$3)),NOT(ISNUMBER(INDEX($L$2:$L$6,IFERROR(IF(ISNUMBER(INDEX(aditivos!$O$2:$O$200,MATCH($A92,aditivos!$A$2:$A$200,0))),MIN(INDEX(aditivos!$O$2:$O$200,MATCH($A92,aditivos!$A$2:$A$200,0)),posicao_contratual!$Y92),posicao_contratual!$Y92),posicao_contratual!$Y92)+1)))),"",ROUND(itens_Remanesc!C92*$L$3/INDEX($L$2:$L$6,IFERROR(IF(ISNUMBER(INDEX(aditivos!$O$2:$O$200,MATCH($A92,aditivos!$A$2:$A$200,0))),MIN(INDEX(aditivos!$O$2:$O$200,MATCH($A92,aditivos!$A$2:$A$200,0)),posicao_contratual!$Y92),posicao_contratual!$Y92),posicao_contratual!$Y92)+1),2))))))</f>
        <v/>
      </c>
      <c r="E92" s="79" t="str">
        <f>IF(OR($A92="",posicao_contratual!$Y92=""),"",IF(posicao_contratual!$Y92&gt;2,"",IF(NOT(ISNUMBER(itens_Remanesc!C92)),"",IF(posicao_contratual!$Y92=2,IF(IFERROR(IF(ISNUMBER(INDEX(aditivos!$O$2:$O$200,MATCH($A92,aditivos!$A$2:$A$200,0))),MIN(INDEX(aditivos!$O$2:$O$200,MATCH($A92,aditivos!$A$2:$A$200,0)),posicao_contratual!$Y92),posicao_contratual!$Y92),posicao_contratual!$Y92)=2,itens_Remanesc!C92,IFERROR(ROUND(itens_Remanesc!C92*INDEX($L$2:$L$6,MIN(2+1,COUNT($L$2:$L$6)))/INDEX($L$2:$L$6,MIN(IFERROR(IF(ISNUMBER(INDEX(aditivos!$O$2:$O$200,MATCH($A92,aditivos!$A$2:$A$200,0))),MIN(INDEX(aditivos!$O$2:$O$200,MATCH($A92,aditivos!$A$2:$A$200,0)),posicao_contratual!$Y92),posicao_contratual!$Y92),posicao_contratual!$Y92)+1,COUNT($L$2:$L$6))),2),"")),IF(OR(NOT(ISNUMBER($L$4)),NOT(ISNUMBER(INDEX($L$2:$L$6,IFERROR(IF(ISNUMBER(INDEX(aditivos!$O$2:$O$200,MATCH($A92,aditivos!$A$2:$A$200,0))),MIN(INDEX(aditivos!$O$2:$O$200,MATCH($A92,aditivos!$A$2:$A$200,0)),posicao_contratual!$Y92),posicao_contratual!$Y92),posicao_contratual!$Y92)+1)))),"",ROUND(itens_Remanesc!C92*$L$4/INDEX($L$2:$L$6,IFERROR(IF(ISNUMBER(INDEX(aditivos!$O$2:$O$200,MATCH($A92,aditivos!$A$2:$A$200,0))),MIN(INDEX(aditivos!$O$2:$O$200,MATCH($A92,aditivos!$A$2:$A$200,0)),posicao_contratual!$Y92),posicao_contratual!$Y92),posicao_contratual!$Y92)+1),2))))))</f>
        <v/>
      </c>
      <c r="F92" s="79" t="str">
        <f>IF(OR($A92="",posicao_contratual!$Y92=""),"",IF(posicao_contratual!$Y92&gt;3,"",IF(NOT(ISNUMBER(itens_Remanesc!C92)),"",IF(posicao_contratual!$Y92=3,IF(IFERROR(IF(ISNUMBER(INDEX(aditivos!$O$2:$O$200,MATCH($A92,aditivos!$A$2:$A$200,0))),MIN(INDEX(aditivos!$O$2:$O$200,MATCH($A92,aditivos!$A$2:$A$200,0)),posicao_contratual!$Y92),posicao_contratual!$Y92),posicao_contratual!$Y92)=3,itens_Remanesc!C92,IFERROR(ROUND(itens_Remanesc!C92*INDEX($L$2:$L$6,MIN(3+1,COUNT($L$2:$L$6)))/INDEX($L$2:$L$6,MIN(IFERROR(IF(ISNUMBER(INDEX(aditivos!$O$2:$O$200,MATCH($A92,aditivos!$A$2:$A$200,0))),MIN(INDEX(aditivos!$O$2:$O$200,MATCH($A92,aditivos!$A$2:$A$200,0)),posicao_contratual!$Y92),posicao_contratual!$Y92),posicao_contratual!$Y92)+1,COUNT($L$2:$L$6))),2),"")),IF(OR(NOT(ISNUMBER($L$5)),NOT(ISNUMBER(INDEX($L$2:$L$6,IFERROR(IF(ISNUMBER(INDEX(aditivos!$O$2:$O$200,MATCH($A92,aditivos!$A$2:$A$200,0))),MIN(INDEX(aditivos!$O$2:$O$200,MATCH($A92,aditivos!$A$2:$A$200,0)),posicao_contratual!$Y92),posicao_contratual!$Y92),posicao_contratual!$Y92)+1)))),"",ROUND(itens_Remanesc!C92*$L$5/INDEX($L$2:$L$6,IFERROR(IF(ISNUMBER(INDEX(aditivos!$O$2:$O$200,MATCH($A92,aditivos!$A$2:$A$200,0))),MIN(INDEX(aditivos!$O$2:$O$200,MATCH($A92,aditivos!$A$2:$A$200,0)),posicao_contratual!$Y92),posicao_contratual!$Y92),posicao_contratual!$Y92)+1),2))))))</f>
        <v/>
      </c>
      <c r="G92" s="79" t="str">
        <f>IF(OR($A92="",posicao_contratual!$Y92=""),"",IF(posicao_contratual!$Y92&gt;4,"",IF(NOT(ISNUMBER(itens_Remanesc!C92)),"",IF(posicao_contratual!$Y92=4,IF(IFERROR(IF(ISNUMBER(INDEX(aditivos!$O$2:$O$200,MATCH($A92,aditivos!$A$2:$A$200,0))),MIN(INDEX(aditivos!$O$2:$O$200,MATCH($A92,aditivos!$A$2:$A$200,0)),posicao_contratual!$Y92),posicao_contratual!$Y92),posicao_contratual!$Y92)=4,itens_Remanesc!C92,IFERROR(ROUND(itens_Remanesc!C92*INDEX($L$2:$L$6,MIN(4+1,COUNT($L$2:$L$6)))/INDEX($L$2:$L$6,MIN(IFERROR(IF(ISNUMBER(INDEX(aditivos!$O$2:$O$200,MATCH($A92,aditivos!$A$2:$A$200,0))),MIN(INDEX(aditivos!$O$2:$O$200,MATCH($A92,aditivos!$A$2:$A$200,0)),posicao_contratual!$Y92),posicao_contratual!$Y92),posicao_contratual!$Y92)+1,COUNT($L$2:$L$6))),2),"")),IF(OR(NOT(ISNUMBER($L$6)),NOT(ISNUMBER(INDEX($L$2:$L$6,IFERROR(IF(ISNUMBER(INDEX(aditivos!$O$2:$O$200,MATCH($A92,aditivos!$A$2:$A$200,0))),MIN(INDEX(aditivos!$O$2:$O$200,MATCH($A92,aditivos!$A$2:$A$200,0)),posicao_contratual!$Y92),posicao_contratual!$Y92),posicao_contratual!$Y92)+1)))),"",ROUND(itens_Remanesc!C92*$L$6/INDEX($L$2:$L$6,IFERROR(IF(ISNUMBER(INDEX(aditivos!$O$2:$O$200,MATCH($A92,aditivos!$A$2:$A$200,0))),MIN(INDEX(aditivos!$O$2:$O$200,MATCH($A92,aditivos!$A$2:$A$200,0)),posicao_contratual!$Y92),posicao_contratual!$Y92),posicao_contratual!$Y92)+1),2))))))</f>
        <v/>
      </c>
      <c r="H92" s="116" t="str">
        <f t="shared" si="2"/>
        <v/>
      </c>
      <c r="I92" s="14"/>
      <c r="J92" s="14"/>
      <c r="K92" s="14"/>
      <c r="L92" s="14"/>
      <c r="M92" s="14"/>
      <c r="N92" s="147" t="str">
        <f>IF(A92="","",IF(posicao_contratual!$Y92="","",IF(posicao_contratual!$Y92&gt;0,"",posicao_contratual!E92)))</f>
        <v/>
      </c>
      <c r="O92" s="147" t="str">
        <f>IF(A92="","",IF(posicao_contratual!$Y92="","",IF(posicao_contratual!$Y92&gt;1,"",posicao_contratual!I92)))</f>
        <v/>
      </c>
      <c r="P92" s="147" t="str">
        <f>IF(A92="","",IF(posicao_contratual!$Y92="","",IF(posicao_contratual!$Y92&gt;2,"",posicao_contratual!M92)))</f>
        <v/>
      </c>
      <c r="Q92" s="147" t="str">
        <f>IF(A92="","",IF(posicao_contratual!$Y92="","",IF(posicao_contratual!$Y92&gt;3,"",posicao_contratual!Q92)))</f>
        <v/>
      </c>
      <c r="R92" s="147" t="str">
        <f>IF(A92="","",IF(posicao_contratual!$Y92="","",IF(posicao_contratual!$Y92&gt;4,"",posicao_contratual!U92)))</f>
        <v/>
      </c>
      <c r="S92" s="167" t="str">
        <f>IF(A92="","",posicao_contratual!G92)</f>
        <v/>
      </c>
      <c r="T92" s="167" t="str">
        <f>IF(A92="","",posicao_contratual!K92)</f>
        <v/>
      </c>
      <c r="U92" s="167" t="str">
        <f>IF(A92="","",posicao_contratual!O92)</f>
        <v/>
      </c>
      <c r="V92" s="167" t="str">
        <f>IF(A92="","",posicao_contratual!S92)</f>
        <v/>
      </c>
      <c r="W92" s="167" t="str">
        <f>IF(A92="","",posicao_contratual!W92)</f>
        <v/>
      </c>
    </row>
    <row r="93" spans="1:23" x14ac:dyDescent="0.35">
      <c r="A93" s="86" t="str">
        <f>IF(itens_Remanesc!A93="","",itens_Remanesc!A93)</f>
        <v/>
      </c>
      <c r="B93" s="85" t="str">
        <f>IF(A93="","",IF(posicao_contratual!$Y93="","",IF(posicao_contratual!$Y93&gt;0,"",posicao_contratual!G93)))</f>
        <v/>
      </c>
      <c r="C93" s="79" t="str">
        <f>IF(itens_Remanesc!A93="","",IF(posicao_contratual!$Y93="","",IF(posicao_contratual!$Y93&gt;0,"",itens_Remanesc!C93)))</f>
        <v/>
      </c>
      <c r="D93" s="79" t="str">
        <f>IF(OR($A93="",posicao_contratual!$Y93=""),"",IF(posicao_contratual!$Y93&gt;1,"",IF(NOT(ISNUMBER(itens_Remanesc!C93)),"",IF(posicao_contratual!$Y93=1,IF(IFERROR(IF(ISNUMBER(INDEX(aditivos!$O$2:$O$200,MATCH($A93,aditivos!$A$2:$A$200,0))),MIN(INDEX(aditivos!$O$2:$O$200,MATCH($A93,aditivos!$A$2:$A$200,0)),posicao_contratual!$Y93),posicao_contratual!$Y93),posicao_contratual!$Y93)=1,itens_Remanesc!C93,IFERROR(ROUND(itens_Remanesc!C93*INDEX($L$2:$L$6,MIN(1+1,COUNT($L$2:$L$6)))/INDEX($L$2:$L$6,MIN(IFERROR(IF(ISNUMBER(INDEX(aditivos!$O$2:$O$200,MATCH($A93,aditivos!$A$2:$A$200,0))),MIN(INDEX(aditivos!$O$2:$O$200,MATCH($A93,aditivos!$A$2:$A$200,0)),posicao_contratual!$Y93),posicao_contratual!$Y93),posicao_contratual!$Y93)+1,COUNT($L$2:$L$6))),2),"")),IF(OR(NOT(ISNUMBER($L$3)),NOT(ISNUMBER(INDEX($L$2:$L$6,IFERROR(IF(ISNUMBER(INDEX(aditivos!$O$2:$O$200,MATCH($A93,aditivos!$A$2:$A$200,0))),MIN(INDEX(aditivos!$O$2:$O$200,MATCH($A93,aditivos!$A$2:$A$200,0)),posicao_contratual!$Y93),posicao_contratual!$Y93),posicao_contratual!$Y93)+1)))),"",ROUND(itens_Remanesc!C93*$L$3/INDEX($L$2:$L$6,IFERROR(IF(ISNUMBER(INDEX(aditivos!$O$2:$O$200,MATCH($A93,aditivos!$A$2:$A$200,0))),MIN(INDEX(aditivos!$O$2:$O$200,MATCH($A93,aditivos!$A$2:$A$200,0)),posicao_contratual!$Y93),posicao_contratual!$Y93),posicao_contratual!$Y93)+1),2))))))</f>
        <v/>
      </c>
      <c r="E93" s="79" t="str">
        <f>IF(OR($A93="",posicao_contratual!$Y93=""),"",IF(posicao_contratual!$Y93&gt;2,"",IF(NOT(ISNUMBER(itens_Remanesc!C93)),"",IF(posicao_contratual!$Y93=2,IF(IFERROR(IF(ISNUMBER(INDEX(aditivos!$O$2:$O$200,MATCH($A93,aditivos!$A$2:$A$200,0))),MIN(INDEX(aditivos!$O$2:$O$200,MATCH($A93,aditivos!$A$2:$A$200,0)),posicao_contratual!$Y93),posicao_contratual!$Y93),posicao_contratual!$Y93)=2,itens_Remanesc!C93,IFERROR(ROUND(itens_Remanesc!C93*INDEX($L$2:$L$6,MIN(2+1,COUNT($L$2:$L$6)))/INDEX($L$2:$L$6,MIN(IFERROR(IF(ISNUMBER(INDEX(aditivos!$O$2:$O$200,MATCH($A93,aditivos!$A$2:$A$200,0))),MIN(INDEX(aditivos!$O$2:$O$200,MATCH($A93,aditivos!$A$2:$A$200,0)),posicao_contratual!$Y93),posicao_contratual!$Y93),posicao_contratual!$Y93)+1,COUNT($L$2:$L$6))),2),"")),IF(OR(NOT(ISNUMBER($L$4)),NOT(ISNUMBER(INDEX($L$2:$L$6,IFERROR(IF(ISNUMBER(INDEX(aditivos!$O$2:$O$200,MATCH($A93,aditivos!$A$2:$A$200,0))),MIN(INDEX(aditivos!$O$2:$O$200,MATCH($A93,aditivos!$A$2:$A$200,0)),posicao_contratual!$Y93),posicao_contratual!$Y93),posicao_contratual!$Y93)+1)))),"",ROUND(itens_Remanesc!C93*$L$4/INDEX($L$2:$L$6,IFERROR(IF(ISNUMBER(INDEX(aditivos!$O$2:$O$200,MATCH($A93,aditivos!$A$2:$A$200,0))),MIN(INDEX(aditivos!$O$2:$O$200,MATCH($A93,aditivos!$A$2:$A$200,0)),posicao_contratual!$Y93),posicao_contratual!$Y93),posicao_contratual!$Y93)+1),2))))))</f>
        <v/>
      </c>
      <c r="F93" s="79" t="str">
        <f>IF(OR($A93="",posicao_contratual!$Y93=""),"",IF(posicao_contratual!$Y93&gt;3,"",IF(NOT(ISNUMBER(itens_Remanesc!C93)),"",IF(posicao_contratual!$Y93=3,IF(IFERROR(IF(ISNUMBER(INDEX(aditivos!$O$2:$O$200,MATCH($A93,aditivos!$A$2:$A$200,0))),MIN(INDEX(aditivos!$O$2:$O$200,MATCH($A93,aditivos!$A$2:$A$200,0)),posicao_contratual!$Y93),posicao_contratual!$Y93),posicao_contratual!$Y93)=3,itens_Remanesc!C93,IFERROR(ROUND(itens_Remanesc!C93*INDEX($L$2:$L$6,MIN(3+1,COUNT($L$2:$L$6)))/INDEX($L$2:$L$6,MIN(IFERROR(IF(ISNUMBER(INDEX(aditivos!$O$2:$O$200,MATCH($A93,aditivos!$A$2:$A$200,0))),MIN(INDEX(aditivos!$O$2:$O$200,MATCH($A93,aditivos!$A$2:$A$200,0)),posicao_contratual!$Y93),posicao_contratual!$Y93),posicao_contratual!$Y93)+1,COUNT($L$2:$L$6))),2),"")),IF(OR(NOT(ISNUMBER($L$5)),NOT(ISNUMBER(INDEX($L$2:$L$6,IFERROR(IF(ISNUMBER(INDEX(aditivos!$O$2:$O$200,MATCH($A93,aditivos!$A$2:$A$200,0))),MIN(INDEX(aditivos!$O$2:$O$200,MATCH($A93,aditivos!$A$2:$A$200,0)),posicao_contratual!$Y93),posicao_contratual!$Y93),posicao_contratual!$Y93)+1)))),"",ROUND(itens_Remanesc!C93*$L$5/INDEX($L$2:$L$6,IFERROR(IF(ISNUMBER(INDEX(aditivos!$O$2:$O$200,MATCH($A93,aditivos!$A$2:$A$200,0))),MIN(INDEX(aditivos!$O$2:$O$200,MATCH($A93,aditivos!$A$2:$A$200,0)),posicao_contratual!$Y93),posicao_contratual!$Y93),posicao_contratual!$Y93)+1),2))))))</f>
        <v/>
      </c>
      <c r="G93" s="79" t="str">
        <f>IF(OR($A93="",posicao_contratual!$Y93=""),"",IF(posicao_contratual!$Y93&gt;4,"",IF(NOT(ISNUMBER(itens_Remanesc!C93)),"",IF(posicao_contratual!$Y93=4,IF(IFERROR(IF(ISNUMBER(INDEX(aditivos!$O$2:$O$200,MATCH($A93,aditivos!$A$2:$A$200,0))),MIN(INDEX(aditivos!$O$2:$O$200,MATCH($A93,aditivos!$A$2:$A$200,0)),posicao_contratual!$Y93),posicao_contratual!$Y93),posicao_contratual!$Y93)=4,itens_Remanesc!C93,IFERROR(ROUND(itens_Remanesc!C93*INDEX($L$2:$L$6,MIN(4+1,COUNT($L$2:$L$6)))/INDEX($L$2:$L$6,MIN(IFERROR(IF(ISNUMBER(INDEX(aditivos!$O$2:$O$200,MATCH($A93,aditivos!$A$2:$A$200,0))),MIN(INDEX(aditivos!$O$2:$O$200,MATCH($A93,aditivos!$A$2:$A$200,0)),posicao_contratual!$Y93),posicao_contratual!$Y93),posicao_contratual!$Y93)+1,COUNT($L$2:$L$6))),2),"")),IF(OR(NOT(ISNUMBER($L$6)),NOT(ISNUMBER(INDEX($L$2:$L$6,IFERROR(IF(ISNUMBER(INDEX(aditivos!$O$2:$O$200,MATCH($A93,aditivos!$A$2:$A$200,0))),MIN(INDEX(aditivos!$O$2:$O$200,MATCH($A93,aditivos!$A$2:$A$200,0)),posicao_contratual!$Y93),posicao_contratual!$Y93),posicao_contratual!$Y93)+1)))),"",ROUND(itens_Remanesc!C93*$L$6/INDEX($L$2:$L$6,IFERROR(IF(ISNUMBER(INDEX(aditivos!$O$2:$O$200,MATCH($A93,aditivos!$A$2:$A$200,0))),MIN(INDEX(aditivos!$O$2:$O$200,MATCH($A93,aditivos!$A$2:$A$200,0)),posicao_contratual!$Y93),posicao_contratual!$Y93),posicao_contratual!$Y93)+1),2))))))</f>
        <v/>
      </c>
      <c r="H93" s="116" t="str">
        <f t="shared" si="2"/>
        <v/>
      </c>
      <c r="I93" s="14"/>
      <c r="J93" s="14"/>
      <c r="K93" s="14"/>
      <c r="L93" s="14"/>
      <c r="M93" s="14"/>
      <c r="N93" s="147" t="str">
        <f>IF(A93="","",IF(posicao_contratual!$Y93="","",IF(posicao_contratual!$Y93&gt;0,"",posicao_contratual!E93)))</f>
        <v/>
      </c>
      <c r="O93" s="147" t="str">
        <f>IF(A93="","",IF(posicao_contratual!$Y93="","",IF(posicao_contratual!$Y93&gt;1,"",posicao_contratual!I93)))</f>
        <v/>
      </c>
      <c r="P93" s="147" t="str">
        <f>IF(A93="","",IF(posicao_contratual!$Y93="","",IF(posicao_contratual!$Y93&gt;2,"",posicao_contratual!M93)))</f>
        <v/>
      </c>
      <c r="Q93" s="147" t="str">
        <f>IF(A93="","",IF(posicao_contratual!$Y93="","",IF(posicao_contratual!$Y93&gt;3,"",posicao_contratual!Q93)))</f>
        <v/>
      </c>
      <c r="R93" s="147" t="str">
        <f>IF(A93="","",IF(posicao_contratual!$Y93="","",IF(posicao_contratual!$Y93&gt;4,"",posicao_contratual!U93)))</f>
        <v/>
      </c>
      <c r="S93" s="167" t="str">
        <f>IF(A93="","",posicao_contratual!G93)</f>
        <v/>
      </c>
      <c r="T93" s="167" t="str">
        <f>IF(A93="","",posicao_contratual!K93)</f>
        <v/>
      </c>
      <c r="U93" s="167" t="str">
        <f>IF(A93="","",posicao_contratual!O93)</f>
        <v/>
      </c>
      <c r="V93" s="167" t="str">
        <f>IF(A93="","",posicao_contratual!S93)</f>
        <v/>
      </c>
      <c r="W93" s="167" t="str">
        <f>IF(A93="","",posicao_contratual!W93)</f>
        <v/>
      </c>
    </row>
    <row r="94" spans="1:23" x14ac:dyDescent="0.35">
      <c r="A94" s="86" t="str">
        <f>IF(itens_Remanesc!A94="","",itens_Remanesc!A94)</f>
        <v/>
      </c>
      <c r="B94" s="85" t="str">
        <f>IF(A94="","",IF(posicao_contratual!$Y94="","",IF(posicao_contratual!$Y94&gt;0,"",posicao_contratual!G94)))</f>
        <v/>
      </c>
      <c r="C94" s="79" t="str">
        <f>IF(itens_Remanesc!A94="","",IF(posicao_contratual!$Y94="","",IF(posicao_contratual!$Y94&gt;0,"",itens_Remanesc!C94)))</f>
        <v/>
      </c>
      <c r="D94" s="79" t="str">
        <f>IF(OR($A94="",posicao_contratual!$Y94=""),"",IF(posicao_contratual!$Y94&gt;1,"",IF(NOT(ISNUMBER(itens_Remanesc!C94)),"",IF(posicao_contratual!$Y94=1,IF(IFERROR(IF(ISNUMBER(INDEX(aditivos!$O$2:$O$200,MATCH($A94,aditivos!$A$2:$A$200,0))),MIN(INDEX(aditivos!$O$2:$O$200,MATCH($A94,aditivos!$A$2:$A$200,0)),posicao_contratual!$Y94),posicao_contratual!$Y94),posicao_contratual!$Y94)=1,itens_Remanesc!C94,IFERROR(ROUND(itens_Remanesc!C94*INDEX($L$2:$L$6,MIN(1+1,COUNT($L$2:$L$6)))/INDEX($L$2:$L$6,MIN(IFERROR(IF(ISNUMBER(INDEX(aditivos!$O$2:$O$200,MATCH($A94,aditivos!$A$2:$A$200,0))),MIN(INDEX(aditivos!$O$2:$O$200,MATCH($A94,aditivos!$A$2:$A$200,0)),posicao_contratual!$Y94),posicao_contratual!$Y94),posicao_contratual!$Y94)+1,COUNT($L$2:$L$6))),2),"")),IF(OR(NOT(ISNUMBER($L$3)),NOT(ISNUMBER(INDEX($L$2:$L$6,IFERROR(IF(ISNUMBER(INDEX(aditivos!$O$2:$O$200,MATCH($A94,aditivos!$A$2:$A$200,0))),MIN(INDEX(aditivos!$O$2:$O$200,MATCH($A94,aditivos!$A$2:$A$200,0)),posicao_contratual!$Y94),posicao_contratual!$Y94),posicao_contratual!$Y94)+1)))),"",ROUND(itens_Remanesc!C94*$L$3/INDEX($L$2:$L$6,IFERROR(IF(ISNUMBER(INDEX(aditivos!$O$2:$O$200,MATCH($A94,aditivos!$A$2:$A$200,0))),MIN(INDEX(aditivos!$O$2:$O$200,MATCH($A94,aditivos!$A$2:$A$200,0)),posicao_contratual!$Y94),posicao_contratual!$Y94),posicao_contratual!$Y94)+1),2))))))</f>
        <v/>
      </c>
      <c r="E94" s="79" t="str">
        <f>IF(OR($A94="",posicao_contratual!$Y94=""),"",IF(posicao_contratual!$Y94&gt;2,"",IF(NOT(ISNUMBER(itens_Remanesc!C94)),"",IF(posicao_contratual!$Y94=2,IF(IFERROR(IF(ISNUMBER(INDEX(aditivos!$O$2:$O$200,MATCH($A94,aditivos!$A$2:$A$200,0))),MIN(INDEX(aditivos!$O$2:$O$200,MATCH($A94,aditivos!$A$2:$A$200,0)),posicao_contratual!$Y94),posicao_contratual!$Y94),posicao_contratual!$Y94)=2,itens_Remanesc!C94,IFERROR(ROUND(itens_Remanesc!C94*INDEX($L$2:$L$6,MIN(2+1,COUNT($L$2:$L$6)))/INDEX($L$2:$L$6,MIN(IFERROR(IF(ISNUMBER(INDEX(aditivos!$O$2:$O$200,MATCH($A94,aditivos!$A$2:$A$200,0))),MIN(INDEX(aditivos!$O$2:$O$200,MATCH($A94,aditivos!$A$2:$A$200,0)),posicao_contratual!$Y94),posicao_contratual!$Y94),posicao_contratual!$Y94)+1,COUNT($L$2:$L$6))),2),"")),IF(OR(NOT(ISNUMBER($L$4)),NOT(ISNUMBER(INDEX($L$2:$L$6,IFERROR(IF(ISNUMBER(INDEX(aditivos!$O$2:$O$200,MATCH($A94,aditivos!$A$2:$A$200,0))),MIN(INDEX(aditivos!$O$2:$O$200,MATCH($A94,aditivos!$A$2:$A$200,0)),posicao_contratual!$Y94),posicao_contratual!$Y94),posicao_contratual!$Y94)+1)))),"",ROUND(itens_Remanesc!C94*$L$4/INDEX($L$2:$L$6,IFERROR(IF(ISNUMBER(INDEX(aditivos!$O$2:$O$200,MATCH($A94,aditivos!$A$2:$A$200,0))),MIN(INDEX(aditivos!$O$2:$O$200,MATCH($A94,aditivos!$A$2:$A$200,0)),posicao_contratual!$Y94),posicao_contratual!$Y94),posicao_contratual!$Y94)+1),2))))))</f>
        <v/>
      </c>
      <c r="F94" s="79" t="str">
        <f>IF(OR($A94="",posicao_contratual!$Y94=""),"",IF(posicao_contratual!$Y94&gt;3,"",IF(NOT(ISNUMBER(itens_Remanesc!C94)),"",IF(posicao_contratual!$Y94=3,IF(IFERROR(IF(ISNUMBER(INDEX(aditivos!$O$2:$O$200,MATCH($A94,aditivos!$A$2:$A$200,0))),MIN(INDEX(aditivos!$O$2:$O$200,MATCH($A94,aditivos!$A$2:$A$200,0)),posicao_contratual!$Y94),posicao_contratual!$Y94),posicao_contratual!$Y94)=3,itens_Remanesc!C94,IFERROR(ROUND(itens_Remanesc!C94*INDEX($L$2:$L$6,MIN(3+1,COUNT($L$2:$L$6)))/INDEX($L$2:$L$6,MIN(IFERROR(IF(ISNUMBER(INDEX(aditivos!$O$2:$O$200,MATCH($A94,aditivos!$A$2:$A$200,0))),MIN(INDEX(aditivos!$O$2:$O$200,MATCH($A94,aditivos!$A$2:$A$200,0)),posicao_contratual!$Y94),posicao_contratual!$Y94),posicao_contratual!$Y94)+1,COUNT($L$2:$L$6))),2),"")),IF(OR(NOT(ISNUMBER($L$5)),NOT(ISNUMBER(INDEX($L$2:$L$6,IFERROR(IF(ISNUMBER(INDEX(aditivos!$O$2:$O$200,MATCH($A94,aditivos!$A$2:$A$200,0))),MIN(INDEX(aditivos!$O$2:$O$200,MATCH($A94,aditivos!$A$2:$A$200,0)),posicao_contratual!$Y94),posicao_contratual!$Y94),posicao_contratual!$Y94)+1)))),"",ROUND(itens_Remanesc!C94*$L$5/INDEX($L$2:$L$6,IFERROR(IF(ISNUMBER(INDEX(aditivos!$O$2:$O$200,MATCH($A94,aditivos!$A$2:$A$200,0))),MIN(INDEX(aditivos!$O$2:$O$200,MATCH($A94,aditivos!$A$2:$A$200,0)),posicao_contratual!$Y94),posicao_contratual!$Y94),posicao_contratual!$Y94)+1),2))))))</f>
        <v/>
      </c>
      <c r="G94" s="79" t="str">
        <f>IF(OR($A94="",posicao_contratual!$Y94=""),"",IF(posicao_contratual!$Y94&gt;4,"",IF(NOT(ISNUMBER(itens_Remanesc!C94)),"",IF(posicao_contratual!$Y94=4,IF(IFERROR(IF(ISNUMBER(INDEX(aditivos!$O$2:$O$200,MATCH($A94,aditivos!$A$2:$A$200,0))),MIN(INDEX(aditivos!$O$2:$O$200,MATCH($A94,aditivos!$A$2:$A$200,0)),posicao_contratual!$Y94),posicao_contratual!$Y94),posicao_contratual!$Y94)=4,itens_Remanesc!C94,IFERROR(ROUND(itens_Remanesc!C94*INDEX($L$2:$L$6,MIN(4+1,COUNT($L$2:$L$6)))/INDEX($L$2:$L$6,MIN(IFERROR(IF(ISNUMBER(INDEX(aditivos!$O$2:$O$200,MATCH($A94,aditivos!$A$2:$A$200,0))),MIN(INDEX(aditivos!$O$2:$O$200,MATCH($A94,aditivos!$A$2:$A$200,0)),posicao_contratual!$Y94),posicao_contratual!$Y94),posicao_contratual!$Y94)+1,COUNT($L$2:$L$6))),2),"")),IF(OR(NOT(ISNUMBER($L$6)),NOT(ISNUMBER(INDEX($L$2:$L$6,IFERROR(IF(ISNUMBER(INDEX(aditivos!$O$2:$O$200,MATCH($A94,aditivos!$A$2:$A$200,0))),MIN(INDEX(aditivos!$O$2:$O$200,MATCH($A94,aditivos!$A$2:$A$200,0)),posicao_contratual!$Y94),posicao_contratual!$Y94),posicao_contratual!$Y94)+1)))),"",ROUND(itens_Remanesc!C94*$L$6/INDEX($L$2:$L$6,IFERROR(IF(ISNUMBER(INDEX(aditivos!$O$2:$O$200,MATCH($A94,aditivos!$A$2:$A$200,0))),MIN(INDEX(aditivos!$O$2:$O$200,MATCH($A94,aditivos!$A$2:$A$200,0)),posicao_contratual!$Y94),posicao_contratual!$Y94),posicao_contratual!$Y94)+1),2))))))</f>
        <v/>
      </c>
      <c r="H94" s="116" t="str">
        <f t="shared" si="2"/>
        <v/>
      </c>
      <c r="I94" s="14"/>
      <c r="J94" s="14"/>
      <c r="K94" s="14"/>
      <c r="L94" s="14"/>
      <c r="M94" s="14"/>
      <c r="N94" s="147" t="str">
        <f>IF(A94="","",IF(posicao_contratual!$Y94="","",IF(posicao_contratual!$Y94&gt;0,"",posicao_contratual!E94)))</f>
        <v/>
      </c>
      <c r="O94" s="147" t="str">
        <f>IF(A94="","",IF(posicao_contratual!$Y94="","",IF(posicao_contratual!$Y94&gt;1,"",posicao_contratual!I94)))</f>
        <v/>
      </c>
      <c r="P94" s="147" t="str">
        <f>IF(A94="","",IF(posicao_contratual!$Y94="","",IF(posicao_contratual!$Y94&gt;2,"",posicao_contratual!M94)))</f>
        <v/>
      </c>
      <c r="Q94" s="147" t="str">
        <f>IF(A94="","",IF(posicao_contratual!$Y94="","",IF(posicao_contratual!$Y94&gt;3,"",posicao_contratual!Q94)))</f>
        <v/>
      </c>
      <c r="R94" s="147" t="str">
        <f>IF(A94="","",IF(posicao_contratual!$Y94="","",IF(posicao_contratual!$Y94&gt;4,"",posicao_contratual!U94)))</f>
        <v/>
      </c>
      <c r="S94" s="167" t="str">
        <f>IF(A94="","",posicao_contratual!G94)</f>
        <v/>
      </c>
      <c r="T94" s="167" t="str">
        <f>IF(A94="","",posicao_contratual!K94)</f>
        <v/>
      </c>
      <c r="U94" s="167" t="str">
        <f>IF(A94="","",posicao_contratual!O94)</f>
        <v/>
      </c>
      <c r="V94" s="167" t="str">
        <f>IF(A94="","",posicao_contratual!S94)</f>
        <v/>
      </c>
      <c r="W94" s="167" t="str">
        <f>IF(A94="","",posicao_contratual!W94)</f>
        <v/>
      </c>
    </row>
    <row r="95" spans="1:23" x14ac:dyDescent="0.35">
      <c r="A95" s="86" t="str">
        <f>IF(itens_Remanesc!A95="","",itens_Remanesc!A95)</f>
        <v/>
      </c>
      <c r="B95" s="85" t="str">
        <f>IF(A95="","",IF(posicao_contratual!$Y95="","",IF(posicao_contratual!$Y95&gt;0,"",posicao_contratual!G95)))</f>
        <v/>
      </c>
      <c r="C95" s="79" t="str">
        <f>IF(itens_Remanesc!A95="","",IF(posicao_contratual!$Y95="","",IF(posicao_contratual!$Y95&gt;0,"",itens_Remanesc!C95)))</f>
        <v/>
      </c>
      <c r="D95" s="79" t="str">
        <f>IF(OR($A95="",posicao_contratual!$Y95=""),"",IF(posicao_contratual!$Y95&gt;1,"",IF(NOT(ISNUMBER(itens_Remanesc!C95)),"",IF(posicao_contratual!$Y95=1,IF(IFERROR(IF(ISNUMBER(INDEX(aditivos!$O$2:$O$200,MATCH($A95,aditivos!$A$2:$A$200,0))),MIN(INDEX(aditivos!$O$2:$O$200,MATCH($A95,aditivos!$A$2:$A$200,0)),posicao_contratual!$Y95),posicao_contratual!$Y95),posicao_contratual!$Y95)=1,itens_Remanesc!C95,IFERROR(ROUND(itens_Remanesc!C95*INDEX($L$2:$L$6,MIN(1+1,COUNT($L$2:$L$6)))/INDEX($L$2:$L$6,MIN(IFERROR(IF(ISNUMBER(INDEX(aditivos!$O$2:$O$200,MATCH($A95,aditivos!$A$2:$A$200,0))),MIN(INDEX(aditivos!$O$2:$O$200,MATCH($A95,aditivos!$A$2:$A$200,0)),posicao_contratual!$Y95),posicao_contratual!$Y95),posicao_contratual!$Y95)+1,COUNT($L$2:$L$6))),2),"")),IF(OR(NOT(ISNUMBER($L$3)),NOT(ISNUMBER(INDEX($L$2:$L$6,IFERROR(IF(ISNUMBER(INDEX(aditivos!$O$2:$O$200,MATCH($A95,aditivos!$A$2:$A$200,0))),MIN(INDEX(aditivos!$O$2:$O$200,MATCH($A95,aditivos!$A$2:$A$200,0)),posicao_contratual!$Y95),posicao_contratual!$Y95),posicao_contratual!$Y95)+1)))),"",ROUND(itens_Remanesc!C95*$L$3/INDEX($L$2:$L$6,IFERROR(IF(ISNUMBER(INDEX(aditivos!$O$2:$O$200,MATCH($A95,aditivos!$A$2:$A$200,0))),MIN(INDEX(aditivos!$O$2:$O$200,MATCH($A95,aditivos!$A$2:$A$200,0)),posicao_contratual!$Y95),posicao_contratual!$Y95),posicao_contratual!$Y95)+1),2))))))</f>
        <v/>
      </c>
      <c r="E95" s="79" t="str">
        <f>IF(OR($A95="",posicao_contratual!$Y95=""),"",IF(posicao_contratual!$Y95&gt;2,"",IF(NOT(ISNUMBER(itens_Remanesc!C95)),"",IF(posicao_contratual!$Y95=2,IF(IFERROR(IF(ISNUMBER(INDEX(aditivos!$O$2:$O$200,MATCH($A95,aditivos!$A$2:$A$200,0))),MIN(INDEX(aditivos!$O$2:$O$200,MATCH($A95,aditivos!$A$2:$A$200,0)),posicao_contratual!$Y95),posicao_contratual!$Y95),posicao_contratual!$Y95)=2,itens_Remanesc!C95,IFERROR(ROUND(itens_Remanesc!C95*INDEX($L$2:$L$6,MIN(2+1,COUNT($L$2:$L$6)))/INDEX($L$2:$L$6,MIN(IFERROR(IF(ISNUMBER(INDEX(aditivos!$O$2:$O$200,MATCH($A95,aditivos!$A$2:$A$200,0))),MIN(INDEX(aditivos!$O$2:$O$200,MATCH($A95,aditivos!$A$2:$A$200,0)),posicao_contratual!$Y95),posicao_contratual!$Y95),posicao_contratual!$Y95)+1,COUNT($L$2:$L$6))),2),"")),IF(OR(NOT(ISNUMBER($L$4)),NOT(ISNUMBER(INDEX($L$2:$L$6,IFERROR(IF(ISNUMBER(INDEX(aditivos!$O$2:$O$200,MATCH($A95,aditivos!$A$2:$A$200,0))),MIN(INDEX(aditivos!$O$2:$O$200,MATCH($A95,aditivos!$A$2:$A$200,0)),posicao_contratual!$Y95),posicao_contratual!$Y95),posicao_contratual!$Y95)+1)))),"",ROUND(itens_Remanesc!C95*$L$4/INDEX($L$2:$L$6,IFERROR(IF(ISNUMBER(INDEX(aditivos!$O$2:$O$200,MATCH($A95,aditivos!$A$2:$A$200,0))),MIN(INDEX(aditivos!$O$2:$O$200,MATCH($A95,aditivos!$A$2:$A$200,0)),posicao_contratual!$Y95),posicao_contratual!$Y95),posicao_contratual!$Y95)+1),2))))))</f>
        <v/>
      </c>
      <c r="F95" s="79" t="str">
        <f>IF(OR($A95="",posicao_contratual!$Y95=""),"",IF(posicao_contratual!$Y95&gt;3,"",IF(NOT(ISNUMBER(itens_Remanesc!C95)),"",IF(posicao_contratual!$Y95=3,IF(IFERROR(IF(ISNUMBER(INDEX(aditivos!$O$2:$O$200,MATCH($A95,aditivos!$A$2:$A$200,0))),MIN(INDEX(aditivos!$O$2:$O$200,MATCH($A95,aditivos!$A$2:$A$200,0)),posicao_contratual!$Y95),posicao_contratual!$Y95),posicao_contratual!$Y95)=3,itens_Remanesc!C95,IFERROR(ROUND(itens_Remanesc!C95*INDEX($L$2:$L$6,MIN(3+1,COUNT($L$2:$L$6)))/INDEX($L$2:$L$6,MIN(IFERROR(IF(ISNUMBER(INDEX(aditivos!$O$2:$O$200,MATCH($A95,aditivos!$A$2:$A$200,0))),MIN(INDEX(aditivos!$O$2:$O$200,MATCH($A95,aditivos!$A$2:$A$200,0)),posicao_contratual!$Y95),posicao_contratual!$Y95),posicao_contratual!$Y95)+1,COUNT($L$2:$L$6))),2),"")),IF(OR(NOT(ISNUMBER($L$5)),NOT(ISNUMBER(INDEX($L$2:$L$6,IFERROR(IF(ISNUMBER(INDEX(aditivos!$O$2:$O$200,MATCH($A95,aditivos!$A$2:$A$200,0))),MIN(INDEX(aditivos!$O$2:$O$200,MATCH($A95,aditivos!$A$2:$A$200,0)),posicao_contratual!$Y95),posicao_contratual!$Y95),posicao_contratual!$Y95)+1)))),"",ROUND(itens_Remanesc!C95*$L$5/INDEX($L$2:$L$6,IFERROR(IF(ISNUMBER(INDEX(aditivos!$O$2:$O$200,MATCH($A95,aditivos!$A$2:$A$200,0))),MIN(INDEX(aditivos!$O$2:$O$200,MATCH($A95,aditivos!$A$2:$A$200,0)),posicao_contratual!$Y95),posicao_contratual!$Y95),posicao_contratual!$Y95)+1),2))))))</f>
        <v/>
      </c>
      <c r="G95" s="79" t="str">
        <f>IF(OR($A95="",posicao_contratual!$Y95=""),"",IF(posicao_contratual!$Y95&gt;4,"",IF(NOT(ISNUMBER(itens_Remanesc!C95)),"",IF(posicao_contratual!$Y95=4,IF(IFERROR(IF(ISNUMBER(INDEX(aditivos!$O$2:$O$200,MATCH($A95,aditivos!$A$2:$A$200,0))),MIN(INDEX(aditivos!$O$2:$O$200,MATCH($A95,aditivos!$A$2:$A$200,0)),posicao_contratual!$Y95),posicao_contratual!$Y95),posicao_contratual!$Y95)=4,itens_Remanesc!C95,IFERROR(ROUND(itens_Remanesc!C95*INDEX($L$2:$L$6,MIN(4+1,COUNT($L$2:$L$6)))/INDEX($L$2:$L$6,MIN(IFERROR(IF(ISNUMBER(INDEX(aditivos!$O$2:$O$200,MATCH($A95,aditivos!$A$2:$A$200,0))),MIN(INDEX(aditivos!$O$2:$O$200,MATCH($A95,aditivos!$A$2:$A$200,0)),posicao_contratual!$Y95),posicao_contratual!$Y95),posicao_contratual!$Y95)+1,COUNT($L$2:$L$6))),2),"")),IF(OR(NOT(ISNUMBER($L$6)),NOT(ISNUMBER(INDEX($L$2:$L$6,IFERROR(IF(ISNUMBER(INDEX(aditivos!$O$2:$O$200,MATCH($A95,aditivos!$A$2:$A$200,0))),MIN(INDEX(aditivos!$O$2:$O$200,MATCH($A95,aditivos!$A$2:$A$200,0)),posicao_contratual!$Y95),posicao_contratual!$Y95),posicao_contratual!$Y95)+1)))),"",ROUND(itens_Remanesc!C95*$L$6/INDEX($L$2:$L$6,IFERROR(IF(ISNUMBER(INDEX(aditivos!$O$2:$O$200,MATCH($A95,aditivos!$A$2:$A$200,0))),MIN(INDEX(aditivos!$O$2:$O$200,MATCH($A95,aditivos!$A$2:$A$200,0)),posicao_contratual!$Y95),posicao_contratual!$Y95),posicao_contratual!$Y95)+1),2))))))</f>
        <v/>
      </c>
      <c r="H95" s="116" t="str">
        <f t="shared" si="2"/>
        <v/>
      </c>
      <c r="I95" s="14"/>
      <c r="J95" s="14"/>
      <c r="K95" s="14"/>
      <c r="L95" s="14"/>
      <c r="M95" s="14"/>
      <c r="N95" s="147" t="str">
        <f>IF(A95="","",IF(posicao_contratual!$Y95="","",IF(posicao_contratual!$Y95&gt;0,"",posicao_contratual!E95)))</f>
        <v/>
      </c>
      <c r="O95" s="147" t="str">
        <f>IF(A95="","",IF(posicao_contratual!$Y95="","",IF(posicao_contratual!$Y95&gt;1,"",posicao_contratual!I95)))</f>
        <v/>
      </c>
      <c r="P95" s="147" t="str">
        <f>IF(A95="","",IF(posicao_contratual!$Y95="","",IF(posicao_contratual!$Y95&gt;2,"",posicao_contratual!M95)))</f>
        <v/>
      </c>
      <c r="Q95" s="147" t="str">
        <f>IF(A95="","",IF(posicao_contratual!$Y95="","",IF(posicao_contratual!$Y95&gt;3,"",posicao_contratual!Q95)))</f>
        <v/>
      </c>
      <c r="R95" s="147" t="str">
        <f>IF(A95="","",IF(posicao_contratual!$Y95="","",IF(posicao_contratual!$Y95&gt;4,"",posicao_contratual!U95)))</f>
        <v/>
      </c>
      <c r="S95" s="167" t="str">
        <f>IF(A95="","",posicao_contratual!G95)</f>
        <v/>
      </c>
      <c r="T95" s="167" t="str">
        <f>IF(A95="","",posicao_contratual!K95)</f>
        <v/>
      </c>
      <c r="U95" s="167" t="str">
        <f>IF(A95="","",posicao_contratual!O95)</f>
        <v/>
      </c>
      <c r="V95" s="167" t="str">
        <f>IF(A95="","",posicao_contratual!S95)</f>
        <v/>
      </c>
      <c r="W95" s="167" t="str">
        <f>IF(A95="","",posicao_contratual!W95)</f>
        <v/>
      </c>
    </row>
    <row r="96" spans="1:23" x14ac:dyDescent="0.35">
      <c r="A96" s="86" t="str">
        <f>IF(itens_Remanesc!A96="","",itens_Remanesc!A96)</f>
        <v/>
      </c>
      <c r="B96" s="85" t="str">
        <f>IF(A96="","",IF(posicao_contratual!$Y96="","",IF(posicao_contratual!$Y96&gt;0,"",posicao_contratual!G96)))</f>
        <v/>
      </c>
      <c r="C96" s="79" t="str">
        <f>IF(itens_Remanesc!A96="","",IF(posicao_contratual!$Y96="","",IF(posicao_contratual!$Y96&gt;0,"",itens_Remanesc!C96)))</f>
        <v/>
      </c>
      <c r="D96" s="79" t="str">
        <f>IF(OR($A96="",posicao_contratual!$Y96=""),"",IF(posicao_contratual!$Y96&gt;1,"",IF(NOT(ISNUMBER(itens_Remanesc!C96)),"",IF(posicao_contratual!$Y96=1,IF(IFERROR(IF(ISNUMBER(INDEX(aditivos!$O$2:$O$200,MATCH($A96,aditivos!$A$2:$A$200,0))),MIN(INDEX(aditivos!$O$2:$O$200,MATCH($A96,aditivos!$A$2:$A$200,0)),posicao_contratual!$Y96),posicao_contratual!$Y96),posicao_contratual!$Y96)=1,itens_Remanesc!C96,IFERROR(ROUND(itens_Remanesc!C96*INDEX($L$2:$L$6,MIN(1+1,COUNT($L$2:$L$6)))/INDEX($L$2:$L$6,MIN(IFERROR(IF(ISNUMBER(INDEX(aditivos!$O$2:$O$200,MATCH($A96,aditivos!$A$2:$A$200,0))),MIN(INDEX(aditivos!$O$2:$O$200,MATCH($A96,aditivos!$A$2:$A$200,0)),posicao_contratual!$Y96),posicao_contratual!$Y96),posicao_contratual!$Y96)+1,COUNT($L$2:$L$6))),2),"")),IF(OR(NOT(ISNUMBER($L$3)),NOT(ISNUMBER(INDEX($L$2:$L$6,IFERROR(IF(ISNUMBER(INDEX(aditivos!$O$2:$O$200,MATCH($A96,aditivos!$A$2:$A$200,0))),MIN(INDEX(aditivos!$O$2:$O$200,MATCH($A96,aditivos!$A$2:$A$200,0)),posicao_contratual!$Y96),posicao_contratual!$Y96),posicao_contratual!$Y96)+1)))),"",ROUND(itens_Remanesc!C96*$L$3/INDEX($L$2:$L$6,IFERROR(IF(ISNUMBER(INDEX(aditivos!$O$2:$O$200,MATCH($A96,aditivos!$A$2:$A$200,0))),MIN(INDEX(aditivos!$O$2:$O$200,MATCH($A96,aditivos!$A$2:$A$200,0)),posicao_contratual!$Y96),posicao_contratual!$Y96),posicao_contratual!$Y96)+1),2))))))</f>
        <v/>
      </c>
      <c r="E96" s="79" t="str">
        <f>IF(OR($A96="",posicao_contratual!$Y96=""),"",IF(posicao_contratual!$Y96&gt;2,"",IF(NOT(ISNUMBER(itens_Remanesc!C96)),"",IF(posicao_contratual!$Y96=2,IF(IFERROR(IF(ISNUMBER(INDEX(aditivos!$O$2:$O$200,MATCH($A96,aditivos!$A$2:$A$200,0))),MIN(INDEX(aditivos!$O$2:$O$200,MATCH($A96,aditivos!$A$2:$A$200,0)),posicao_contratual!$Y96),posicao_contratual!$Y96),posicao_contratual!$Y96)=2,itens_Remanesc!C96,IFERROR(ROUND(itens_Remanesc!C96*INDEX($L$2:$L$6,MIN(2+1,COUNT($L$2:$L$6)))/INDEX($L$2:$L$6,MIN(IFERROR(IF(ISNUMBER(INDEX(aditivos!$O$2:$O$200,MATCH($A96,aditivos!$A$2:$A$200,0))),MIN(INDEX(aditivos!$O$2:$O$200,MATCH($A96,aditivos!$A$2:$A$200,0)),posicao_contratual!$Y96),posicao_contratual!$Y96),posicao_contratual!$Y96)+1,COUNT($L$2:$L$6))),2),"")),IF(OR(NOT(ISNUMBER($L$4)),NOT(ISNUMBER(INDEX($L$2:$L$6,IFERROR(IF(ISNUMBER(INDEX(aditivos!$O$2:$O$200,MATCH($A96,aditivos!$A$2:$A$200,0))),MIN(INDEX(aditivos!$O$2:$O$200,MATCH($A96,aditivos!$A$2:$A$200,0)),posicao_contratual!$Y96),posicao_contratual!$Y96),posicao_contratual!$Y96)+1)))),"",ROUND(itens_Remanesc!C96*$L$4/INDEX($L$2:$L$6,IFERROR(IF(ISNUMBER(INDEX(aditivos!$O$2:$O$200,MATCH($A96,aditivos!$A$2:$A$200,0))),MIN(INDEX(aditivos!$O$2:$O$200,MATCH($A96,aditivos!$A$2:$A$200,0)),posicao_contratual!$Y96),posicao_contratual!$Y96),posicao_contratual!$Y96)+1),2))))))</f>
        <v/>
      </c>
      <c r="F96" s="79" t="str">
        <f>IF(OR($A96="",posicao_contratual!$Y96=""),"",IF(posicao_contratual!$Y96&gt;3,"",IF(NOT(ISNUMBER(itens_Remanesc!C96)),"",IF(posicao_contratual!$Y96=3,IF(IFERROR(IF(ISNUMBER(INDEX(aditivos!$O$2:$O$200,MATCH($A96,aditivos!$A$2:$A$200,0))),MIN(INDEX(aditivos!$O$2:$O$200,MATCH($A96,aditivos!$A$2:$A$200,0)),posicao_contratual!$Y96),posicao_contratual!$Y96),posicao_contratual!$Y96)=3,itens_Remanesc!C96,IFERROR(ROUND(itens_Remanesc!C96*INDEX($L$2:$L$6,MIN(3+1,COUNT($L$2:$L$6)))/INDEX($L$2:$L$6,MIN(IFERROR(IF(ISNUMBER(INDEX(aditivos!$O$2:$O$200,MATCH($A96,aditivos!$A$2:$A$200,0))),MIN(INDEX(aditivos!$O$2:$O$200,MATCH($A96,aditivos!$A$2:$A$200,0)),posicao_contratual!$Y96),posicao_contratual!$Y96),posicao_contratual!$Y96)+1,COUNT($L$2:$L$6))),2),"")),IF(OR(NOT(ISNUMBER($L$5)),NOT(ISNUMBER(INDEX($L$2:$L$6,IFERROR(IF(ISNUMBER(INDEX(aditivos!$O$2:$O$200,MATCH($A96,aditivos!$A$2:$A$200,0))),MIN(INDEX(aditivos!$O$2:$O$200,MATCH($A96,aditivos!$A$2:$A$200,0)),posicao_contratual!$Y96),posicao_contratual!$Y96),posicao_contratual!$Y96)+1)))),"",ROUND(itens_Remanesc!C96*$L$5/INDEX($L$2:$L$6,IFERROR(IF(ISNUMBER(INDEX(aditivos!$O$2:$O$200,MATCH($A96,aditivos!$A$2:$A$200,0))),MIN(INDEX(aditivos!$O$2:$O$200,MATCH($A96,aditivos!$A$2:$A$200,0)),posicao_contratual!$Y96),posicao_contratual!$Y96),posicao_contratual!$Y96)+1),2))))))</f>
        <v/>
      </c>
      <c r="G96" s="79" t="str">
        <f>IF(OR($A96="",posicao_contratual!$Y96=""),"",IF(posicao_contratual!$Y96&gt;4,"",IF(NOT(ISNUMBER(itens_Remanesc!C96)),"",IF(posicao_contratual!$Y96=4,IF(IFERROR(IF(ISNUMBER(INDEX(aditivos!$O$2:$O$200,MATCH($A96,aditivos!$A$2:$A$200,0))),MIN(INDEX(aditivos!$O$2:$O$200,MATCH($A96,aditivos!$A$2:$A$200,0)),posicao_contratual!$Y96),posicao_contratual!$Y96),posicao_contratual!$Y96)=4,itens_Remanesc!C96,IFERROR(ROUND(itens_Remanesc!C96*INDEX($L$2:$L$6,MIN(4+1,COUNT($L$2:$L$6)))/INDEX($L$2:$L$6,MIN(IFERROR(IF(ISNUMBER(INDEX(aditivos!$O$2:$O$200,MATCH($A96,aditivos!$A$2:$A$200,0))),MIN(INDEX(aditivos!$O$2:$O$200,MATCH($A96,aditivos!$A$2:$A$200,0)),posicao_contratual!$Y96),posicao_contratual!$Y96),posicao_contratual!$Y96)+1,COUNT($L$2:$L$6))),2),"")),IF(OR(NOT(ISNUMBER($L$6)),NOT(ISNUMBER(INDEX($L$2:$L$6,IFERROR(IF(ISNUMBER(INDEX(aditivos!$O$2:$O$200,MATCH($A96,aditivos!$A$2:$A$200,0))),MIN(INDEX(aditivos!$O$2:$O$200,MATCH($A96,aditivos!$A$2:$A$200,0)),posicao_contratual!$Y96),posicao_contratual!$Y96),posicao_contratual!$Y96)+1)))),"",ROUND(itens_Remanesc!C96*$L$6/INDEX($L$2:$L$6,IFERROR(IF(ISNUMBER(INDEX(aditivos!$O$2:$O$200,MATCH($A96,aditivos!$A$2:$A$200,0))),MIN(INDEX(aditivos!$O$2:$O$200,MATCH($A96,aditivos!$A$2:$A$200,0)),posicao_contratual!$Y96),posicao_contratual!$Y96),posicao_contratual!$Y96)+1),2))))))</f>
        <v/>
      </c>
      <c r="H96" s="116" t="str">
        <f t="shared" si="2"/>
        <v/>
      </c>
      <c r="I96" s="14"/>
      <c r="J96" s="14"/>
      <c r="K96" s="14"/>
      <c r="L96" s="14"/>
      <c r="M96" s="14"/>
      <c r="N96" s="147" t="str">
        <f>IF(A96="","",IF(posicao_contratual!$Y96="","",IF(posicao_contratual!$Y96&gt;0,"",posicao_contratual!E96)))</f>
        <v/>
      </c>
      <c r="O96" s="147" t="str">
        <f>IF(A96="","",IF(posicao_contratual!$Y96="","",IF(posicao_contratual!$Y96&gt;1,"",posicao_contratual!I96)))</f>
        <v/>
      </c>
      <c r="P96" s="147" t="str">
        <f>IF(A96="","",IF(posicao_contratual!$Y96="","",IF(posicao_contratual!$Y96&gt;2,"",posicao_contratual!M96)))</f>
        <v/>
      </c>
      <c r="Q96" s="147" t="str">
        <f>IF(A96="","",IF(posicao_contratual!$Y96="","",IF(posicao_contratual!$Y96&gt;3,"",posicao_contratual!Q96)))</f>
        <v/>
      </c>
      <c r="R96" s="147" t="str">
        <f>IF(A96="","",IF(posicao_contratual!$Y96="","",IF(posicao_contratual!$Y96&gt;4,"",posicao_contratual!U96)))</f>
        <v/>
      </c>
      <c r="S96" s="167" t="str">
        <f>IF(A96="","",posicao_contratual!G96)</f>
        <v/>
      </c>
      <c r="T96" s="167" t="str">
        <f>IF(A96="","",posicao_contratual!K96)</f>
        <v/>
      </c>
      <c r="U96" s="167" t="str">
        <f>IF(A96="","",posicao_contratual!O96)</f>
        <v/>
      </c>
      <c r="V96" s="167" t="str">
        <f>IF(A96="","",posicao_contratual!S96)</f>
        <v/>
      </c>
      <c r="W96" s="167" t="str">
        <f>IF(A96="","",posicao_contratual!W96)</f>
        <v/>
      </c>
    </row>
    <row r="97" spans="1:23" x14ac:dyDescent="0.35">
      <c r="A97" s="86" t="str">
        <f>IF(itens_Remanesc!A97="","",itens_Remanesc!A97)</f>
        <v/>
      </c>
      <c r="B97" s="85" t="str">
        <f>IF(A97="","",IF(posicao_contratual!$Y97="","",IF(posicao_contratual!$Y97&gt;0,"",posicao_contratual!G97)))</f>
        <v/>
      </c>
      <c r="C97" s="79" t="str">
        <f>IF(itens_Remanesc!A97="","",IF(posicao_contratual!$Y97="","",IF(posicao_contratual!$Y97&gt;0,"",itens_Remanesc!C97)))</f>
        <v/>
      </c>
      <c r="D97" s="79" t="str">
        <f>IF(OR($A97="",posicao_contratual!$Y97=""),"",IF(posicao_contratual!$Y97&gt;1,"",IF(NOT(ISNUMBER(itens_Remanesc!C97)),"",IF(posicao_contratual!$Y97=1,IF(IFERROR(IF(ISNUMBER(INDEX(aditivos!$O$2:$O$200,MATCH($A97,aditivos!$A$2:$A$200,0))),MIN(INDEX(aditivos!$O$2:$O$200,MATCH($A97,aditivos!$A$2:$A$200,0)),posicao_contratual!$Y97),posicao_contratual!$Y97),posicao_contratual!$Y97)=1,itens_Remanesc!C97,IFERROR(ROUND(itens_Remanesc!C97*INDEX($L$2:$L$6,MIN(1+1,COUNT($L$2:$L$6)))/INDEX($L$2:$L$6,MIN(IFERROR(IF(ISNUMBER(INDEX(aditivos!$O$2:$O$200,MATCH($A97,aditivos!$A$2:$A$200,0))),MIN(INDEX(aditivos!$O$2:$O$200,MATCH($A97,aditivos!$A$2:$A$200,0)),posicao_contratual!$Y97),posicao_contratual!$Y97),posicao_contratual!$Y97)+1,COUNT($L$2:$L$6))),2),"")),IF(OR(NOT(ISNUMBER($L$3)),NOT(ISNUMBER(INDEX($L$2:$L$6,IFERROR(IF(ISNUMBER(INDEX(aditivos!$O$2:$O$200,MATCH($A97,aditivos!$A$2:$A$200,0))),MIN(INDEX(aditivos!$O$2:$O$200,MATCH($A97,aditivos!$A$2:$A$200,0)),posicao_contratual!$Y97),posicao_contratual!$Y97),posicao_contratual!$Y97)+1)))),"",ROUND(itens_Remanesc!C97*$L$3/INDEX($L$2:$L$6,IFERROR(IF(ISNUMBER(INDEX(aditivos!$O$2:$O$200,MATCH($A97,aditivos!$A$2:$A$200,0))),MIN(INDEX(aditivos!$O$2:$O$200,MATCH($A97,aditivos!$A$2:$A$200,0)),posicao_contratual!$Y97),posicao_contratual!$Y97),posicao_contratual!$Y97)+1),2))))))</f>
        <v/>
      </c>
      <c r="E97" s="79" t="str">
        <f>IF(OR($A97="",posicao_contratual!$Y97=""),"",IF(posicao_contratual!$Y97&gt;2,"",IF(NOT(ISNUMBER(itens_Remanesc!C97)),"",IF(posicao_contratual!$Y97=2,IF(IFERROR(IF(ISNUMBER(INDEX(aditivos!$O$2:$O$200,MATCH($A97,aditivos!$A$2:$A$200,0))),MIN(INDEX(aditivos!$O$2:$O$200,MATCH($A97,aditivos!$A$2:$A$200,0)),posicao_contratual!$Y97),posicao_contratual!$Y97),posicao_contratual!$Y97)=2,itens_Remanesc!C97,IFERROR(ROUND(itens_Remanesc!C97*INDEX($L$2:$L$6,MIN(2+1,COUNT($L$2:$L$6)))/INDEX($L$2:$L$6,MIN(IFERROR(IF(ISNUMBER(INDEX(aditivos!$O$2:$O$200,MATCH($A97,aditivos!$A$2:$A$200,0))),MIN(INDEX(aditivos!$O$2:$O$200,MATCH($A97,aditivos!$A$2:$A$200,0)),posicao_contratual!$Y97),posicao_contratual!$Y97),posicao_contratual!$Y97)+1,COUNT($L$2:$L$6))),2),"")),IF(OR(NOT(ISNUMBER($L$4)),NOT(ISNUMBER(INDEX($L$2:$L$6,IFERROR(IF(ISNUMBER(INDEX(aditivos!$O$2:$O$200,MATCH($A97,aditivos!$A$2:$A$200,0))),MIN(INDEX(aditivos!$O$2:$O$200,MATCH($A97,aditivos!$A$2:$A$200,0)),posicao_contratual!$Y97),posicao_contratual!$Y97),posicao_contratual!$Y97)+1)))),"",ROUND(itens_Remanesc!C97*$L$4/INDEX($L$2:$L$6,IFERROR(IF(ISNUMBER(INDEX(aditivos!$O$2:$O$200,MATCH($A97,aditivos!$A$2:$A$200,0))),MIN(INDEX(aditivos!$O$2:$O$200,MATCH($A97,aditivos!$A$2:$A$200,0)),posicao_contratual!$Y97),posicao_contratual!$Y97),posicao_contratual!$Y97)+1),2))))))</f>
        <v/>
      </c>
      <c r="F97" s="79" t="str">
        <f>IF(OR($A97="",posicao_contratual!$Y97=""),"",IF(posicao_contratual!$Y97&gt;3,"",IF(NOT(ISNUMBER(itens_Remanesc!C97)),"",IF(posicao_contratual!$Y97=3,IF(IFERROR(IF(ISNUMBER(INDEX(aditivos!$O$2:$O$200,MATCH($A97,aditivos!$A$2:$A$200,0))),MIN(INDEX(aditivos!$O$2:$O$200,MATCH($A97,aditivos!$A$2:$A$200,0)),posicao_contratual!$Y97),posicao_contratual!$Y97),posicao_contratual!$Y97)=3,itens_Remanesc!C97,IFERROR(ROUND(itens_Remanesc!C97*INDEX($L$2:$L$6,MIN(3+1,COUNT($L$2:$L$6)))/INDEX($L$2:$L$6,MIN(IFERROR(IF(ISNUMBER(INDEX(aditivos!$O$2:$O$200,MATCH($A97,aditivos!$A$2:$A$200,0))),MIN(INDEX(aditivos!$O$2:$O$200,MATCH($A97,aditivos!$A$2:$A$200,0)),posicao_contratual!$Y97),posicao_contratual!$Y97),posicao_contratual!$Y97)+1,COUNT($L$2:$L$6))),2),"")),IF(OR(NOT(ISNUMBER($L$5)),NOT(ISNUMBER(INDEX($L$2:$L$6,IFERROR(IF(ISNUMBER(INDEX(aditivos!$O$2:$O$200,MATCH($A97,aditivos!$A$2:$A$200,0))),MIN(INDEX(aditivos!$O$2:$O$200,MATCH($A97,aditivos!$A$2:$A$200,0)),posicao_contratual!$Y97),posicao_contratual!$Y97),posicao_contratual!$Y97)+1)))),"",ROUND(itens_Remanesc!C97*$L$5/INDEX($L$2:$L$6,IFERROR(IF(ISNUMBER(INDEX(aditivos!$O$2:$O$200,MATCH($A97,aditivos!$A$2:$A$200,0))),MIN(INDEX(aditivos!$O$2:$O$200,MATCH($A97,aditivos!$A$2:$A$200,0)),posicao_contratual!$Y97),posicao_contratual!$Y97),posicao_contratual!$Y97)+1),2))))))</f>
        <v/>
      </c>
      <c r="G97" s="79" t="str">
        <f>IF(OR($A97="",posicao_contratual!$Y97=""),"",IF(posicao_contratual!$Y97&gt;4,"",IF(NOT(ISNUMBER(itens_Remanesc!C97)),"",IF(posicao_contratual!$Y97=4,IF(IFERROR(IF(ISNUMBER(INDEX(aditivos!$O$2:$O$200,MATCH($A97,aditivos!$A$2:$A$200,0))),MIN(INDEX(aditivos!$O$2:$O$200,MATCH($A97,aditivos!$A$2:$A$200,0)),posicao_contratual!$Y97),posicao_contratual!$Y97),posicao_contratual!$Y97)=4,itens_Remanesc!C97,IFERROR(ROUND(itens_Remanesc!C97*INDEX($L$2:$L$6,MIN(4+1,COUNT($L$2:$L$6)))/INDEX($L$2:$L$6,MIN(IFERROR(IF(ISNUMBER(INDEX(aditivos!$O$2:$O$200,MATCH($A97,aditivos!$A$2:$A$200,0))),MIN(INDEX(aditivos!$O$2:$O$200,MATCH($A97,aditivos!$A$2:$A$200,0)),posicao_contratual!$Y97),posicao_contratual!$Y97),posicao_contratual!$Y97)+1,COUNT($L$2:$L$6))),2),"")),IF(OR(NOT(ISNUMBER($L$6)),NOT(ISNUMBER(INDEX($L$2:$L$6,IFERROR(IF(ISNUMBER(INDEX(aditivos!$O$2:$O$200,MATCH($A97,aditivos!$A$2:$A$200,0))),MIN(INDEX(aditivos!$O$2:$O$200,MATCH($A97,aditivos!$A$2:$A$200,0)),posicao_contratual!$Y97),posicao_contratual!$Y97),posicao_contratual!$Y97)+1)))),"",ROUND(itens_Remanesc!C97*$L$6/INDEX($L$2:$L$6,IFERROR(IF(ISNUMBER(INDEX(aditivos!$O$2:$O$200,MATCH($A97,aditivos!$A$2:$A$200,0))),MIN(INDEX(aditivos!$O$2:$O$200,MATCH($A97,aditivos!$A$2:$A$200,0)),posicao_contratual!$Y97),posicao_contratual!$Y97),posicao_contratual!$Y97)+1),2))))))</f>
        <v/>
      </c>
      <c r="H97" s="116" t="str">
        <f t="shared" si="2"/>
        <v/>
      </c>
      <c r="I97" s="14"/>
      <c r="J97" s="14"/>
      <c r="K97" s="14"/>
      <c r="L97" s="14"/>
      <c r="M97" s="14"/>
      <c r="N97" s="147" t="str">
        <f>IF(A97="","",IF(posicao_contratual!$Y97="","",IF(posicao_contratual!$Y97&gt;0,"",posicao_contratual!E97)))</f>
        <v/>
      </c>
      <c r="O97" s="147" t="str">
        <f>IF(A97="","",IF(posicao_contratual!$Y97="","",IF(posicao_contratual!$Y97&gt;1,"",posicao_contratual!I97)))</f>
        <v/>
      </c>
      <c r="P97" s="147" t="str">
        <f>IF(A97="","",IF(posicao_contratual!$Y97="","",IF(posicao_contratual!$Y97&gt;2,"",posicao_contratual!M97)))</f>
        <v/>
      </c>
      <c r="Q97" s="147" t="str">
        <f>IF(A97="","",IF(posicao_contratual!$Y97="","",IF(posicao_contratual!$Y97&gt;3,"",posicao_contratual!Q97)))</f>
        <v/>
      </c>
      <c r="R97" s="147" t="str">
        <f>IF(A97="","",IF(posicao_contratual!$Y97="","",IF(posicao_contratual!$Y97&gt;4,"",posicao_contratual!U97)))</f>
        <v/>
      </c>
      <c r="S97" s="167" t="str">
        <f>IF(A97="","",posicao_contratual!G97)</f>
        <v/>
      </c>
      <c r="T97" s="167" t="str">
        <f>IF(A97="","",posicao_contratual!K97)</f>
        <v/>
      </c>
      <c r="U97" s="167" t="str">
        <f>IF(A97="","",posicao_contratual!O97)</f>
        <v/>
      </c>
      <c r="V97" s="167" t="str">
        <f>IF(A97="","",posicao_contratual!S97)</f>
        <v/>
      </c>
      <c r="W97" s="167" t="str">
        <f>IF(A97="","",posicao_contratual!W97)</f>
        <v/>
      </c>
    </row>
    <row r="98" spans="1:23" x14ac:dyDescent="0.35">
      <c r="A98" s="86" t="str">
        <f>IF(itens_Remanesc!A98="","",itens_Remanesc!A98)</f>
        <v/>
      </c>
      <c r="B98" s="85" t="str">
        <f>IF(A98="","",IF(posicao_contratual!$Y98="","",IF(posicao_contratual!$Y98&gt;0,"",posicao_contratual!G98)))</f>
        <v/>
      </c>
      <c r="C98" s="79" t="str">
        <f>IF(itens_Remanesc!A98="","",IF(posicao_contratual!$Y98="","",IF(posicao_contratual!$Y98&gt;0,"",itens_Remanesc!C98)))</f>
        <v/>
      </c>
      <c r="D98" s="79" t="str">
        <f>IF(OR($A98="",posicao_contratual!$Y98=""),"",IF(posicao_contratual!$Y98&gt;1,"",IF(NOT(ISNUMBER(itens_Remanesc!C98)),"",IF(posicao_contratual!$Y98=1,IF(IFERROR(IF(ISNUMBER(INDEX(aditivos!$O$2:$O$200,MATCH($A98,aditivos!$A$2:$A$200,0))),MIN(INDEX(aditivos!$O$2:$O$200,MATCH($A98,aditivos!$A$2:$A$200,0)),posicao_contratual!$Y98),posicao_contratual!$Y98),posicao_contratual!$Y98)=1,itens_Remanesc!C98,IFERROR(ROUND(itens_Remanesc!C98*INDEX($L$2:$L$6,MIN(1+1,COUNT($L$2:$L$6)))/INDEX($L$2:$L$6,MIN(IFERROR(IF(ISNUMBER(INDEX(aditivos!$O$2:$O$200,MATCH($A98,aditivos!$A$2:$A$200,0))),MIN(INDEX(aditivos!$O$2:$O$200,MATCH($A98,aditivos!$A$2:$A$200,0)),posicao_contratual!$Y98),posicao_contratual!$Y98),posicao_contratual!$Y98)+1,COUNT($L$2:$L$6))),2),"")),IF(OR(NOT(ISNUMBER($L$3)),NOT(ISNUMBER(INDEX($L$2:$L$6,IFERROR(IF(ISNUMBER(INDEX(aditivos!$O$2:$O$200,MATCH($A98,aditivos!$A$2:$A$200,0))),MIN(INDEX(aditivos!$O$2:$O$200,MATCH($A98,aditivos!$A$2:$A$200,0)),posicao_contratual!$Y98),posicao_contratual!$Y98),posicao_contratual!$Y98)+1)))),"",ROUND(itens_Remanesc!C98*$L$3/INDEX($L$2:$L$6,IFERROR(IF(ISNUMBER(INDEX(aditivos!$O$2:$O$200,MATCH($A98,aditivos!$A$2:$A$200,0))),MIN(INDEX(aditivos!$O$2:$O$200,MATCH($A98,aditivos!$A$2:$A$200,0)),posicao_contratual!$Y98),posicao_contratual!$Y98),posicao_contratual!$Y98)+1),2))))))</f>
        <v/>
      </c>
      <c r="E98" s="79" t="str">
        <f>IF(OR($A98="",posicao_contratual!$Y98=""),"",IF(posicao_contratual!$Y98&gt;2,"",IF(NOT(ISNUMBER(itens_Remanesc!C98)),"",IF(posicao_contratual!$Y98=2,IF(IFERROR(IF(ISNUMBER(INDEX(aditivos!$O$2:$O$200,MATCH($A98,aditivos!$A$2:$A$200,0))),MIN(INDEX(aditivos!$O$2:$O$200,MATCH($A98,aditivos!$A$2:$A$200,0)),posicao_contratual!$Y98),posicao_contratual!$Y98),posicao_contratual!$Y98)=2,itens_Remanesc!C98,IFERROR(ROUND(itens_Remanesc!C98*INDEX($L$2:$L$6,MIN(2+1,COUNT($L$2:$L$6)))/INDEX($L$2:$L$6,MIN(IFERROR(IF(ISNUMBER(INDEX(aditivos!$O$2:$O$200,MATCH($A98,aditivos!$A$2:$A$200,0))),MIN(INDEX(aditivos!$O$2:$O$200,MATCH($A98,aditivos!$A$2:$A$200,0)),posicao_contratual!$Y98),posicao_contratual!$Y98),posicao_contratual!$Y98)+1,COUNT($L$2:$L$6))),2),"")),IF(OR(NOT(ISNUMBER($L$4)),NOT(ISNUMBER(INDEX($L$2:$L$6,IFERROR(IF(ISNUMBER(INDEX(aditivos!$O$2:$O$200,MATCH($A98,aditivos!$A$2:$A$200,0))),MIN(INDEX(aditivos!$O$2:$O$200,MATCH($A98,aditivos!$A$2:$A$200,0)),posicao_contratual!$Y98),posicao_contratual!$Y98),posicao_contratual!$Y98)+1)))),"",ROUND(itens_Remanesc!C98*$L$4/INDEX($L$2:$L$6,IFERROR(IF(ISNUMBER(INDEX(aditivos!$O$2:$O$200,MATCH($A98,aditivos!$A$2:$A$200,0))),MIN(INDEX(aditivos!$O$2:$O$200,MATCH($A98,aditivos!$A$2:$A$200,0)),posicao_contratual!$Y98),posicao_contratual!$Y98),posicao_contratual!$Y98)+1),2))))))</f>
        <v/>
      </c>
      <c r="F98" s="79" t="str">
        <f>IF(OR($A98="",posicao_contratual!$Y98=""),"",IF(posicao_contratual!$Y98&gt;3,"",IF(NOT(ISNUMBER(itens_Remanesc!C98)),"",IF(posicao_contratual!$Y98=3,IF(IFERROR(IF(ISNUMBER(INDEX(aditivos!$O$2:$O$200,MATCH($A98,aditivos!$A$2:$A$200,0))),MIN(INDEX(aditivos!$O$2:$O$200,MATCH($A98,aditivos!$A$2:$A$200,0)),posicao_contratual!$Y98),posicao_contratual!$Y98),posicao_contratual!$Y98)=3,itens_Remanesc!C98,IFERROR(ROUND(itens_Remanesc!C98*INDEX($L$2:$L$6,MIN(3+1,COUNT($L$2:$L$6)))/INDEX($L$2:$L$6,MIN(IFERROR(IF(ISNUMBER(INDEX(aditivos!$O$2:$O$200,MATCH($A98,aditivos!$A$2:$A$200,0))),MIN(INDEX(aditivos!$O$2:$O$200,MATCH($A98,aditivos!$A$2:$A$200,0)),posicao_contratual!$Y98),posicao_contratual!$Y98),posicao_contratual!$Y98)+1,COUNT($L$2:$L$6))),2),"")),IF(OR(NOT(ISNUMBER($L$5)),NOT(ISNUMBER(INDEX($L$2:$L$6,IFERROR(IF(ISNUMBER(INDEX(aditivos!$O$2:$O$200,MATCH($A98,aditivos!$A$2:$A$200,0))),MIN(INDEX(aditivos!$O$2:$O$200,MATCH($A98,aditivos!$A$2:$A$200,0)),posicao_contratual!$Y98),posicao_contratual!$Y98),posicao_contratual!$Y98)+1)))),"",ROUND(itens_Remanesc!C98*$L$5/INDEX($L$2:$L$6,IFERROR(IF(ISNUMBER(INDEX(aditivos!$O$2:$O$200,MATCH($A98,aditivos!$A$2:$A$200,0))),MIN(INDEX(aditivos!$O$2:$O$200,MATCH($A98,aditivos!$A$2:$A$200,0)),posicao_contratual!$Y98),posicao_contratual!$Y98),posicao_contratual!$Y98)+1),2))))))</f>
        <v/>
      </c>
      <c r="G98" s="79" t="str">
        <f>IF(OR($A98="",posicao_contratual!$Y98=""),"",IF(posicao_contratual!$Y98&gt;4,"",IF(NOT(ISNUMBER(itens_Remanesc!C98)),"",IF(posicao_contratual!$Y98=4,IF(IFERROR(IF(ISNUMBER(INDEX(aditivos!$O$2:$O$200,MATCH($A98,aditivos!$A$2:$A$200,0))),MIN(INDEX(aditivos!$O$2:$O$200,MATCH($A98,aditivos!$A$2:$A$200,0)),posicao_contratual!$Y98),posicao_contratual!$Y98),posicao_contratual!$Y98)=4,itens_Remanesc!C98,IFERROR(ROUND(itens_Remanesc!C98*INDEX($L$2:$L$6,MIN(4+1,COUNT($L$2:$L$6)))/INDEX($L$2:$L$6,MIN(IFERROR(IF(ISNUMBER(INDEX(aditivos!$O$2:$O$200,MATCH($A98,aditivos!$A$2:$A$200,0))),MIN(INDEX(aditivos!$O$2:$O$200,MATCH($A98,aditivos!$A$2:$A$200,0)),posicao_contratual!$Y98),posicao_contratual!$Y98),posicao_contratual!$Y98)+1,COUNT($L$2:$L$6))),2),"")),IF(OR(NOT(ISNUMBER($L$6)),NOT(ISNUMBER(INDEX($L$2:$L$6,IFERROR(IF(ISNUMBER(INDEX(aditivos!$O$2:$O$200,MATCH($A98,aditivos!$A$2:$A$200,0))),MIN(INDEX(aditivos!$O$2:$O$200,MATCH($A98,aditivos!$A$2:$A$200,0)),posicao_contratual!$Y98),posicao_contratual!$Y98),posicao_contratual!$Y98)+1)))),"",ROUND(itens_Remanesc!C98*$L$6/INDEX($L$2:$L$6,IFERROR(IF(ISNUMBER(INDEX(aditivos!$O$2:$O$200,MATCH($A98,aditivos!$A$2:$A$200,0))),MIN(INDEX(aditivos!$O$2:$O$200,MATCH($A98,aditivos!$A$2:$A$200,0)),posicao_contratual!$Y98),posicao_contratual!$Y98),posicao_contratual!$Y98)+1),2))))))</f>
        <v/>
      </c>
      <c r="H98" s="116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47" t="str">
        <f>IF(A98="","",IF(posicao_contratual!$Y98="","",IF(posicao_contratual!$Y98&gt;0,"",posicao_contratual!E98)))</f>
        <v/>
      </c>
      <c r="O98" s="147" t="str">
        <f>IF(A98="","",IF(posicao_contratual!$Y98="","",IF(posicao_contratual!$Y98&gt;1,"",posicao_contratual!I98)))</f>
        <v/>
      </c>
      <c r="P98" s="147" t="str">
        <f>IF(A98="","",IF(posicao_contratual!$Y98="","",IF(posicao_contratual!$Y98&gt;2,"",posicao_contratual!M98)))</f>
        <v/>
      </c>
      <c r="Q98" s="147" t="str">
        <f>IF(A98="","",IF(posicao_contratual!$Y98="","",IF(posicao_contratual!$Y98&gt;3,"",posicao_contratual!Q98)))</f>
        <v/>
      </c>
      <c r="R98" s="147" t="str">
        <f>IF(A98="","",IF(posicao_contratual!$Y98="","",IF(posicao_contratual!$Y98&gt;4,"",posicao_contratual!U98)))</f>
        <v/>
      </c>
      <c r="S98" s="167" t="str">
        <f>IF(A98="","",posicao_contratual!G98)</f>
        <v/>
      </c>
      <c r="T98" s="167" t="str">
        <f>IF(A98="","",posicao_contratual!K98)</f>
        <v/>
      </c>
      <c r="U98" s="167" t="str">
        <f>IF(A98="","",posicao_contratual!O98)</f>
        <v/>
      </c>
      <c r="V98" s="167" t="str">
        <f>IF(A98="","",posicao_contratual!S98)</f>
        <v/>
      </c>
      <c r="W98" s="167" t="str">
        <f>IF(A98="","",posicao_contratual!W98)</f>
        <v/>
      </c>
    </row>
    <row r="99" spans="1:23" x14ac:dyDescent="0.35">
      <c r="A99" s="86" t="str">
        <f>IF(itens_Remanesc!A99="","",itens_Remanesc!A99)</f>
        <v/>
      </c>
      <c r="B99" s="85" t="str">
        <f>IF(A99="","",IF(posicao_contratual!$Y99="","",IF(posicao_contratual!$Y99&gt;0,"",posicao_contratual!G99)))</f>
        <v/>
      </c>
      <c r="C99" s="79" t="str">
        <f>IF(itens_Remanesc!A99="","",IF(posicao_contratual!$Y99="","",IF(posicao_contratual!$Y99&gt;0,"",itens_Remanesc!C99)))</f>
        <v/>
      </c>
      <c r="D99" s="79" t="str">
        <f>IF(OR($A99="",posicao_contratual!$Y99=""),"",IF(posicao_contratual!$Y99&gt;1,"",IF(NOT(ISNUMBER(itens_Remanesc!C99)),"",IF(posicao_contratual!$Y99=1,IF(IFERROR(IF(ISNUMBER(INDEX(aditivos!$O$2:$O$200,MATCH($A99,aditivos!$A$2:$A$200,0))),MIN(INDEX(aditivos!$O$2:$O$200,MATCH($A99,aditivos!$A$2:$A$200,0)),posicao_contratual!$Y99),posicao_contratual!$Y99),posicao_contratual!$Y99)=1,itens_Remanesc!C99,IFERROR(ROUND(itens_Remanesc!C99*INDEX($L$2:$L$6,MIN(1+1,COUNT($L$2:$L$6)))/INDEX($L$2:$L$6,MIN(IFERROR(IF(ISNUMBER(INDEX(aditivos!$O$2:$O$200,MATCH($A99,aditivos!$A$2:$A$200,0))),MIN(INDEX(aditivos!$O$2:$O$200,MATCH($A99,aditivos!$A$2:$A$200,0)),posicao_contratual!$Y99),posicao_contratual!$Y99),posicao_contratual!$Y99)+1,COUNT($L$2:$L$6))),2),"")),IF(OR(NOT(ISNUMBER($L$3)),NOT(ISNUMBER(INDEX($L$2:$L$6,IFERROR(IF(ISNUMBER(INDEX(aditivos!$O$2:$O$200,MATCH($A99,aditivos!$A$2:$A$200,0))),MIN(INDEX(aditivos!$O$2:$O$200,MATCH($A99,aditivos!$A$2:$A$200,0)),posicao_contratual!$Y99),posicao_contratual!$Y99),posicao_contratual!$Y99)+1)))),"",ROUND(itens_Remanesc!C99*$L$3/INDEX($L$2:$L$6,IFERROR(IF(ISNUMBER(INDEX(aditivos!$O$2:$O$200,MATCH($A99,aditivos!$A$2:$A$200,0))),MIN(INDEX(aditivos!$O$2:$O$200,MATCH($A99,aditivos!$A$2:$A$200,0)),posicao_contratual!$Y99),posicao_contratual!$Y99),posicao_contratual!$Y99)+1),2))))))</f>
        <v/>
      </c>
      <c r="E99" s="79" t="str">
        <f>IF(OR($A99="",posicao_contratual!$Y99=""),"",IF(posicao_contratual!$Y99&gt;2,"",IF(NOT(ISNUMBER(itens_Remanesc!C99)),"",IF(posicao_contratual!$Y99=2,IF(IFERROR(IF(ISNUMBER(INDEX(aditivos!$O$2:$O$200,MATCH($A99,aditivos!$A$2:$A$200,0))),MIN(INDEX(aditivos!$O$2:$O$200,MATCH($A99,aditivos!$A$2:$A$200,0)),posicao_contratual!$Y99),posicao_contratual!$Y99),posicao_contratual!$Y99)=2,itens_Remanesc!C99,IFERROR(ROUND(itens_Remanesc!C99*INDEX($L$2:$L$6,MIN(2+1,COUNT($L$2:$L$6)))/INDEX($L$2:$L$6,MIN(IFERROR(IF(ISNUMBER(INDEX(aditivos!$O$2:$O$200,MATCH($A99,aditivos!$A$2:$A$200,0))),MIN(INDEX(aditivos!$O$2:$O$200,MATCH($A99,aditivos!$A$2:$A$200,0)),posicao_contratual!$Y99),posicao_contratual!$Y99),posicao_contratual!$Y99)+1,COUNT($L$2:$L$6))),2),"")),IF(OR(NOT(ISNUMBER($L$4)),NOT(ISNUMBER(INDEX($L$2:$L$6,IFERROR(IF(ISNUMBER(INDEX(aditivos!$O$2:$O$200,MATCH($A99,aditivos!$A$2:$A$200,0))),MIN(INDEX(aditivos!$O$2:$O$200,MATCH($A99,aditivos!$A$2:$A$200,0)),posicao_contratual!$Y99),posicao_contratual!$Y99),posicao_contratual!$Y99)+1)))),"",ROUND(itens_Remanesc!C99*$L$4/INDEX($L$2:$L$6,IFERROR(IF(ISNUMBER(INDEX(aditivos!$O$2:$O$200,MATCH($A99,aditivos!$A$2:$A$200,0))),MIN(INDEX(aditivos!$O$2:$O$200,MATCH($A99,aditivos!$A$2:$A$200,0)),posicao_contratual!$Y99),posicao_contratual!$Y99),posicao_contratual!$Y99)+1),2))))))</f>
        <v/>
      </c>
      <c r="F99" s="79" t="str">
        <f>IF(OR($A99="",posicao_contratual!$Y99=""),"",IF(posicao_contratual!$Y99&gt;3,"",IF(NOT(ISNUMBER(itens_Remanesc!C99)),"",IF(posicao_contratual!$Y99=3,IF(IFERROR(IF(ISNUMBER(INDEX(aditivos!$O$2:$O$200,MATCH($A99,aditivos!$A$2:$A$200,0))),MIN(INDEX(aditivos!$O$2:$O$200,MATCH($A99,aditivos!$A$2:$A$200,0)),posicao_contratual!$Y99),posicao_contratual!$Y99),posicao_contratual!$Y99)=3,itens_Remanesc!C99,IFERROR(ROUND(itens_Remanesc!C99*INDEX($L$2:$L$6,MIN(3+1,COUNT($L$2:$L$6)))/INDEX($L$2:$L$6,MIN(IFERROR(IF(ISNUMBER(INDEX(aditivos!$O$2:$O$200,MATCH($A99,aditivos!$A$2:$A$200,0))),MIN(INDEX(aditivos!$O$2:$O$200,MATCH($A99,aditivos!$A$2:$A$200,0)),posicao_contratual!$Y99),posicao_contratual!$Y99),posicao_contratual!$Y99)+1,COUNT($L$2:$L$6))),2),"")),IF(OR(NOT(ISNUMBER($L$5)),NOT(ISNUMBER(INDEX($L$2:$L$6,IFERROR(IF(ISNUMBER(INDEX(aditivos!$O$2:$O$200,MATCH($A99,aditivos!$A$2:$A$200,0))),MIN(INDEX(aditivos!$O$2:$O$200,MATCH($A99,aditivos!$A$2:$A$200,0)),posicao_contratual!$Y99),posicao_contratual!$Y99),posicao_contratual!$Y99)+1)))),"",ROUND(itens_Remanesc!C99*$L$5/INDEX($L$2:$L$6,IFERROR(IF(ISNUMBER(INDEX(aditivos!$O$2:$O$200,MATCH($A99,aditivos!$A$2:$A$200,0))),MIN(INDEX(aditivos!$O$2:$O$200,MATCH($A99,aditivos!$A$2:$A$200,0)),posicao_contratual!$Y99),posicao_contratual!$Y99),posicao_contratual!$Y99)+1),2))))))</f>
        <v/>
      </c>
      <c r="G99" s="79" t="str">
        <f>IF(OR($A99="",posicao_contratual!$Y99=""),"",IF(posicao_contratual!$Y99&gt;4,"",IF(NOT(ISNUMBER(itens_Remanesc!C99)),"",IF(posicao_contratual!$Y99=4,IF(IFERROR(IF(ISNUMBER(INDEX(aditivos!$O$2:$O$200,MATCH($A99,aditivos!$A$2:$A$200,0))),MIN(INDEX(aditivos!$O$2:$O$200,MATCH($A99,aditivos!$A$2:$A$200,0)),posicao_contratual!$Y99),posicao_contratual!$Y99),posicao_contratual!$Y99)=4,itens_Remanesc!C99,IFERROR(ROUND(itens_Remanesc!C99*INDEX($L$2:$L$6,MIN(4+1,COUNT($L$2:$L$6)))/INDEX($L$2:$L$6,MIN(IFERROR(IF(ISNUMBER(INDEX(aditivos!$O$2:$O$200,MATCH($A99,aditivos!$A$2:$A$200,0))),MIN(INDEX(aditivos!$O$2:$O$200,MATCH($A99,aditivos!$A$2:$A$200,0)),posicao_contratual!$Y99),posicao_contratual!$Y99),posicao_contratual!$Y99)+1,COUNT($L$2:$L$6))),2),"")),IF(OR(NOT(ISNUMBER($L$6)),NOT(ISNUMBER(INDEX($L$2:$L$6,IFERROR(IF(ISNUMBER(INDEX(aditivos!$O$2:$O$200,MATCH($A99,aditivos!$A$2:$A$200,0))),MIN(INDEX(aditivos!$O$2:$O$200,MATCH($A99,aditivos!$A$2:$A$200,0)),posicao_contratual!$Y99),posicao_contratual!$Y99),posicao_contratual!$Y99)+1)))),"",ROUND(itens_Remanesc!C99*$L$6/INDEX($L$2:$L$6,IFERROR(IF(ISNUMBER(INDEX(aditivos!$O$2:$O$200,MATCH($A99,aditivos!$A$2:$A$200,0))),MIN(INDEX(aditivos!$O$2:$O$200,MATCH($A99,aditivos!$A$2:$A$200,0)),posicao_contratual!$Y99),posicao_contratual!$Y99),posicao_contratual!$Y99)+1),2))))))</f>
        <v/>
      </c>
      <c r="H99" s="116" t="str">
        <f t="shared" si="3"/>
        <v/>
      </c>
      <c r="I99" s="14"/>
      <c r="J99" s="14"/>
      <c r="K99" s="14"/>
      <c r="L99" s="14"/>
      <c r="M99" s="14"/>
      <c r="N99" s="147" t="str">
        <f>IF(A99="","",IF(posicao_contratual!$Y99="","",IF(posicao_contratual!$Y99&gt;0,"",posicao_contratual!E99)))</f>
        <v/>
      </c>
      <c r="O99" s="147" t="str">
        <f>IF(A99="","",IF(posicao_contratual!$Y99="","",IF(posicao_contratual!$Y99&gt;1,"",posicao_contratual!I99)))</f>
        <v/>
      </c>
      <c r="P99" s="147" t="str">
        <f>IF(A99="","",IF(posicao_contratual!$Y99="","",IF(posicao_contratual!$Y99&gt;2,"",posicao_contratual!M99)))</f>
        <v/>
      </c>
      <c r="Q99" s="147" t="str">
        <f>IF(A99="","",IF(posicao_contratual!$Y99="","",IF(posicao_contratual!$Y99&gt;3,"",posicao_contratual!Q99)))</f>
        <v/>
      </c>
      <c r="R99" s="147" t="str">
        <f>IF(A99="","",IF(posicao_contratual!$Y99="","",IF(posicao_contratual!$Y99&gt;4,"",posicao_contratual!U99)))</f>
        <v/>
      </c>
      <c r="S99" s="167" t="str">
        <f>IF(A99="","",posicao_contratual!G99)</f>
        <v/>
      </c>
      <c r="T99" s="167" t="str">
        <f>IF(A99="","",posicao_contratual!K99)</f>
        <v/>
      </c>
      <c r="U99" s="167" t="str">
        <f>IF(A99="","",posicao_contratual!O99)</f>
        <v/>
      </c>
      <c r="V99" s="167" t="str">
        <f>IF(A99="","",posicao_contratual!S99)</f>
        <v/>
      </c>
      <c r="W99" s="167" t="str">
        <f>IF(A99="","",posicao_contratual!W99)</f>
        <v/>
      </c>
    </row>
    <row r="100" spans="1:23" x14ac:dyDescent="0.35">
      <c r="A100" s="86" t="str">
        <f>IF(itens_Remanesc!A100="","",itens_Remanesc!A100)</f>
        <v/>
      </c>
      <c r="B100" s="85" t="str">
        <f>IF(A100="","",IF(posicao_contratual!$Y100="","",IF(posicao_contratual!$Y100&gt;0,"",posicao_contratual!G100)))</f>
        <v/>
      </c>
      <c r="C100" s="79" t="str">
        <f>IF(itens_Remanesc!A100="","",IF(posicao_contratual!$Y100="","",IF(posicao_contratual!$Y100&gt;0,"",itens_Remanesc!C100)))</f>
        <v/>
      </c>
      <c r="D100" s="79" t="str">
        <f>IF(OR($A100="",posicao_contratual!$Y100=""),"",IF(posicao_contratual!$Y100&gt;1,"",IF(NOT(ISNUMBER(itens_Remanesc!C100)),"",IF(posicao_contratual!$Y100=1,IF(IFERROR(IF(ISNUMBER(INDEX(aditivos!$O$2:$O$200,MATCH($A100,aditivos!$A$2:$A$200,0))),MIN(INDEX(aditivos!$O$2:$O$200,MATCH($A100,aditivos!$A$2:$A$200,0)),posicao_contratual!$Y100),posicao_contratual!$Y100),posicao_contratual!$Y100)=1,itens_Remanesc!C100,IFERROR(ROUND(itens_Remanesc!C100*INDEX($L$2:$L$6,MIN(1+1,COUNT($L$2:$L$6)))/INDEX($L$2:$L$6,MIN(IFERROR(IF(ISNUMBER(INDEX(aditivos!$O$2:$O$200,MATCH($A100,aditivos!$A$2:$A$200,0))),MIN(INDEX(aditivos!$O$2:$O$200,MATCH($A100,aditivos!$A$2:$A$200,0)),posicao_contratual!$Y100),posicao_contratual!$Y100),posicao_contratual!$Y100)+1,COUNT($L$2:$L$6))),2),"")),IF(OR(NOT(ISNUMBER($L$3)),NOT(ISNUMBER(INDEX($L$2:$L$6,IFERROR(IF(ISNUMBER(INDEX(aditivos!$O$2:$O$200,MATCH($A100,aditivos!$A$2:$A$200,0))),MIN(INDEX(aditivos!$O$2:$O$200,MATCH($A100,aditivos!$A$2:$A$200,0)),posicao_contratual!$Y100),posicao_contratual!$Y100),posicao_contratual!$Y100)+1)))),"",ROUND(itens_Remanesc!C100*$L$3/INDEX($L$2:$L$6,IFERROR(IF(ISNUMBER(INDEX(aditivos!$O$2:$O$200,MATCH($A100,aditivos!$A$2:$A$200,0))),MIN(INDEX(aditivos!$O$2:$O$200,MATCH($A100,aditivos!$A$2:$A$200,0)),posicao_contratual!$Y100),posicao_contratual!$Y100),posicao_contratual!$Y100)+1),2))))))</f>
        <v/>
      </c>
      <c r="E100" s="79" t="str">
        <f>IF(OR($A100="",posicao_contratual!$Y100=""),"",IF(posicao_contratual!$Y100&gt;2,"",IF(NOT(ISNUMBER(itens_Remanesc!C100)),"",IF(posicao_contratual!$Y100=2,IF(IFERROR(IF(ISNUMBER(INDEX(aditivos!$O$2:$O$200,MATCH($A100,aditivos!$A$2:$A$200,0))),MIN(INDEX(aditivos!$O$2:$O$200,MATCH($A100,aditivos!$A$2:$A$200,0)),posicao_contratual!$Y100),posicao_contratual!$Y100),posicao_contratual!$Y100)=2,itens_Remanesc!C100,IFERROR(ROUND(itens_Remanesc!C100*INDEX($L$2:$L$6,MIN(2+1,COUNT($L$2:$L$6)))/INDEX($L$2:$L$6,MIN(IFERROR(IF(ISNUMBER(INDEX(aditivos!$O$2:$O$200,MATCH($A100,aditivos!$A$2:$A$200,0))),MIN(INDEX(aditivos!$O$2:$O$200,MATCH($A100,aditivos!$A$2:$A$200,0)),posicao_contratual!$Y100),posicao_contratual!$Y100),posicao_contratual!$Y100)+1,COUNT($L$2:$L$6))),2),"")),IF(OR(NOT(ISNUMBER($L$4)),NOT(ISNUMBER(INDEX($L$2:$L$6,IFERROR(IF(ISNUMBER(INDEX(aditivos!$O$2:$O$200,MATCH($A100,aditivos!$A$2:$A$200,0))),MIN(INDEX(aditivos!$O$2:$O$200,MATCH($A100,aditivos!$A$2:$A$200,0)),posicao_contratual!$Y100),posicao_contratual!$Y100),posicao_contratual!$Y100)+1)))),"",ROUND(itens_Remanesc!C100*$L$4/INDEX($L$2:$L$6,IFERROR(IF(ISNUMBER(INDEX(aditivos!$O$2:$O$200,MATCH($A100,aditivos!$A$2:$A$200,0))),MIN(INDEX(aditivos!$O$2:$O$200,MATCH($A100,aditivos!$A$2:$A$200,0)),posicao_contratual!$Y100),posicao_contratual!$Y100),posicao_contratual!$Y100)+1),2))))))</f>
        <v/>
      </c>
      <c r="F100" s="79" t="str">
        <f>IF(OR($A100="",posicao_contratual!$Y100=""),"",IF(posicao_contratual!$Y100&gt;3,"",IF(NOT(ISNUMBER(itens_Remanesc!C100)),"",IF(posicao_contratual!$Y100=3,IF(IFERROR(IF(ISNUMBER(INDEX(aditivos!$O$2:$O$200,MATCH($A100,aditivos!$A$2:$A$200,0))),MIN(INDEX(aditivos!$O$2:$O$200,MATCH($A100,aditivos!$A$2:$A$200,0)),posicao_contratual!$Y100),posicao_contratual!$Y100),posicao_contratual!$Y100)=3,itens_Remanesc!C100,IFERROR(ROUND(itens_Remanesc!C100*INDEX($L$2:$L$6,MIN(3+1,COUNT($L$2:$L$6)))/INDEX($L$2:$L$6,MIN(IFERROR(IF(ISNUMBER(INDEX(aditivos!$O$2:$O$200,MATCH($A100,aditivos!$A$2:$A$200,0))),MIN(INDEX(aditivos!$O$2:$O$200,MATCH($A100,aditivos!$A$2:$A$200,0)),posicao_contratual!$Y100),posicao_contratual!$Y100),posicao_contratual!$Y100)+1,COUNT($L$2:$L$6))),2),"")),IF(OR(NOT(ISNUMBER($L$5)),NOT(ISNUMBER(INDEX($L$2:$L$6,IFERROR(IF(ISNUMBER(INDEX(aditivos!$O$2:$O$200,MATCH($A100,aditivos!$A$2:$A$200,0))),MIN(INDEX(aditivos!$O$2:$O$200,MATCH($A100,aditivos!$A$2:$A$200,0)),posicao_contratual!$Y100),posicao_contratual!$Y100),posicao_contratual!$Y100)+1)))),"",ROUND(itens_Remanesc!C100*$L$5/INDEX($L$2:$L$6,IFERROR(IF(ISNUMBER(INDEX(aditivos!$O$2:$O$200,MATCH($A100,aditivos!$A$2:$A$200,0))),MIN(INDEX(aditivos!$O$2:$O$200,MATCH($A100,aditivos!$A$2:$A$200,0)),posicao_contratual!$Y100),posicao_contratual!$Y100),posicao_contratual!$Y100)+1),2))))))</f>
        <v/>
      </c>
      <c r="G100" s="79" t="str">
        <f>IF(OR($A100="",posicao_contratual!$Y100=""),"",IF(posicao_contratual!$Y100&gt;4,"",IF(NOT(ISNUMBER(itens_Remanesc!C100)),"",IF(posicao_contratual!$Y100=4,IF(IFERROR(IF(ISNUMBER(INDEX(aditivos!$O$2:$O$200,MATCH($A100,aditivos!$A$2:$A$200,0))),MIN(INDEX(aditivos!$O$2:$O$200,MATCH($A100,aditivos!$A$2:$A$200,0)),posicao_contratual!$Y100),posicao_contratual!$Y100),posicao_contratual!$Y100)=4,itens_Remanesc!C100,IFERROR(ROUND(itens_Remanesc!C100*INDEX($L$2:$L$6,MIN(4+1,COUNT($L$2:$L$6)))/INDEX($L$2:$L$6,MIN(IFERROR(IF(ISNUMBER(INDEX(aditivos!$O$2:$O$200,MATCH($A100,aditivos!$A$2:$A$200,0))),MIN(INDEX(aditivos!$O$2:$O$200,MATCH($A100,aditivos!$A$2:$A$200,0)),posicao_contratual!$Y100),posicao_contratual!$Y100),posicao_contratual!$Y100)+1,COUNT($L$2:$L$6))),2),"")),IF(OR(NOT(ISNUMBER($L$6)),NOT(ISNUMBER(INDEX($L$2:$L$6,IFERROR(IF(ISNUMBER(INDEX(aditivos!$O$2:$O$200,MATCH($A100,aditivos!$A$2:$A$200,0))),MIN(INDEX(aditivos!$O$2:$O$200,MATCH($A100,aditivos!$A$2:$A$200,0)),posicao_contratual!$Y100),posicao_contratual!$Y100),posicao_contratual!$Y100)+1)))),"",ROUND(itens_Remanesc!C100*$L$6/INDEX($L$2:$L$6,IFERROR(IF(ISNUMBER(INDEX(aditivos!$O$2:$O$200,MATCH($A100,aditivos!$A$2:$A$200,0))),MIN(INDEX(aditivos!$O$2:$O$200,MATCH($A100,aditivos!$A$2:$A$200,0)),posicao_contratual!$Y100),posicao_contratual!$Y100),posicao_contratual!$Y100)+1),2))))))</f>
        <v/>
      </c>
      <c r="H100" s="116" t="str">
        <f t="shared" si="3"/>
        <v/>
      </c>
      <c r="I100" s="14"/>
      <c r="J100" s="14"/>
      <c r="K100" s="14"/>
      <c r="L100" s="14"/>
      <c r="M100" s="14"/>
      <c r="N100" s="147" t="str">
        <f>IF(A100="","",IF(posicao_contratual!$Y100="","",IF(posicao_contratual!$Y100&gt;0,"",posicao_contratual!E100)))</f>
        <v/>
      </c>
      <c r="O100" s="147" t="str">
        <f>IF(A100="","",IF(posicao_contratual!$Y100="","",IF(posicao_contratual!$Y100&gt;1,"",posicao_contratual!I100)))</f>
        <v/>
      </c>
      <c r="P100" s="147" t="str">
        <f>IF(A100="","",IF(posicao_contratual!$Y100="","",IF(posicao_contratual!$Y100&gt;2,"",posicao_contratual!M100)))</f>
        <v/>
      </c>
      <c r="Q100" s="147" t="str">
        <f>IF(A100="","",IF(posicao_contratual!$Y100="","",IF(posicao_contratual!$Y100&gt;3,"",posicao_contratual!Q100)))</f>
        <v/>
      </c>
      <c r="R100" s="147" t="str">
        <f>IF(A100="","",IF(posicao_contratual!$Y100="","",IF(posicao_contratual!$Y100&gt;4,"",posicao_contratual!U100)))</f>
        <v/>
      </c>
      <c r="S100" s="167" t="str">
        <f>IF(A100="","",posicao_contratual!G100)</f>
        <v/>
      </c>
      <c r="T100" s="167" t="str">
        <f>IF(A100="","",posicao_contratual!K100)</f>
        <v/>
      </c>
      <c r="U100" s="167" t="str">
        <f>IF(A100="","",posicao_contratual!O100)</f>
        <v/>
      </c>
      <c r="V100" s="167" t="str">
        <f>IF(A100="","",posicao_contratual!S100)</f>
        <v/>
      </c>
      <c r="W100" s="167" t="str">
        <f>IF(A100="","",posicao_contratual!W100)</f>
        <v/>
      </c>
    </row>
    <row r="101" spans="1:23" x14ac:dyDescent="0.35">
      <c r="A101" s="86" t="str">
        <f>IF(itens_Remanesc!A101="","",itens_Remanesc!A101)</f>
        <v/>
      </c>
      <c r="B101" s="85" t="str">
        <f>IF(A101="","",IF(posicao_contratual!$Y101="","",IF(posicao_contratual!$Y101&gt;0,"",posicao_contratual!G101)))</f>
        <v/>
      </c>
      <c r="C101" s="79" t="str">
        <f>IF(itens_Remanesc!A101="","",IF(posicao_contratual!$Y101="","",IF(posicao_contratual!$Y101&gt;0,"",itens_Remanesc!C101)))</f>
        <v/>
      </c>
      <c r="D101" s="79" t="str">
        <f>IF(OR($A101="",posicao_contratual!$Y101=""),"",IF(posicao_contratual!$Y101&gt;1,"",IF(NOT(ISNUMBER(itens_Remanesc!C101)),"",IF(posicao_contratual!$Y101=1,IF(IFERROR(IF(ISNUMBER(INDEX(aditivos!$O$2:$O$200,MATCH($A101,aditivos!$A$2:$A$200,0))),MIN(INDEX(aditivos!$O$2:$O$200,MATCH($A101,aditivos!$A$2:$A$200,0)),posicao_contratual!$Y101),posicao_contratual!$Y101),posicao_contratual!$Y101)=1,itens_Remanesc!C101,IFERROR(ROUND(itens_Remanesc!C101*INDEX($L$2:$L$6,MIN(1+1,COUNT($L$2:$L$6)))/INDEX($L$2:$L$6,MIN(IFERROR(IF(ISNUMBER(INDEX(aditivos!$O$2:$O$200,MATCH($A101,aditivos!$A$2:$A$200,0))),MIN(INDEX(aditivos!$O$2:$O$200,MATCH($A101,aditivos!$A$2:$A$200,0)),posicao_contratual!$Y101),posicao_contratual!$Y101),posicao_contratual!$Y101)+1,COUNT($L$2:$L$6))),2),"")),IF(OR(NOT(ISNUMBER($L$3)),NOT(ISNUMBER(INDEX($L$2:$L$6,IFERROR(IF(ISNUMBER(INDEX(aditivos!$O$2:$O$200,MATCH($A101,aditivos!$A$2:$A$200,0))),MIN(INDEX(aditivos!$O$2:$O$200,MATCH($A101,aditivos!$A$2:$A$200,0)),posicao_contratual!$Y101),posicao_contratual!$Y101),posicao_contratual!$Y101)+1)))),"",ROUND(itens_Remanesc!C101*$L$3/INDEX($L$2:$L$6,IFERROR(IF(ISNUMBER(INDEX(aditivos!$O$2:$O$200,MATCH($A101,aditivos!$A$2:$A$200,0))),MIN(INDEX(aditivos!$O$2:$O$200,MATCH($A101,aditivos!$A$2:$A$200,0)),posicao_contratual!$Y101),posicao_contratual!$Y101),posicao_contratual!$Y101)+1),2))))))</f>
        <v/>
      </c>
      <c r="E101" s="79" t="str">
        <f>IF(OR($A101="",posicao_contratual!$Y101=""),"",IF(posicao_contratual!$Y101&gt;2,"",IF(NOT(ISNUMBER(itens_Remanesc!C101)),"",IF(posicao_contratual!$Y101=2,IF(IFERROR(IF(ISNUMBER(INDEX(aditivos!$O$2:$O$200,MATCH($A101,aditivos!$A$2:$A$200,0))),MIN(INDEX(aditivos!$O$2:$O$200,MATCH($A101,aditivos!$A$2:$A$200,0)),posicao_contratual!$Y101),posicao_contratual!$Y101),posicao_contratual!$Y101)=2,itens_Remanesc!C101,IFERROR(ROUND(itens_Remanesc!C101*INDEX($L$2:$L$6,MIN(2+1,COUNT($L$2:$L$6)))/INDEX($L$2:$L$6,MIN(IFERROR(IF(ISNUMBER(INDEX(aditivos!$O$2:$O$200,MATCH($A101,aditivos!$A$2:$A$200,0))),MIN(INDEX(aditivos!$O$2:$O$200,MATCH($A101,aditivos!$A$2:$A$200,0)),posicao_contratual!$Y101),posicao_contratual!$Y101),posicao_contratual!$Y101)+1,COUNT($L$2:$L$6))),2),"")),IF(OR(NOT(ISNUMBER($L$4)),NOT(ISNUMBER(INDEX($L$2:$L$6,IFERROR(IF(ISNUMBER(INDEX(aditivos!$O$2:$O$200,MATCH($A101,aditivos!$A$2:$A$200,0))),MIN(INDEX(aditivos!$O$2:$O$200,MATCH($A101,aditivos!$A$2:$A$200,0)),posicao_contratual!$Y101),posicao_contratual!$Y101),posicao_contratual!$Y101)+1)))),"",ROUND(itens_Remanesc!C101*$L$4/INDEX($L$2:$L$6,IFERROR(IF(ISNUMBER(INDEX(aditivos!$O$2:$O$200,MATCH($A101,aditivos!$A$2:$A$200,0))),MIN(INDEX(aditivos!$O$2:$O$200,MATCH($A101,aditivos!$A$2:$A$200,0)),posicao_contratual!$Y101),posicao_contratual!$Y101),posicao_contratual!$Y101)+1),2))))))</f>
        <v/>
      </c>
      <c r="F101" s="79" t="str">
        <f>IF(OR($A101="",posicao_contratual!$Y101=""),"",IF(posicao_contratual!$Y101&gt;3,"",IF(NOT(ISNUMBER(itens_Remanesc!C101)),"",IF(posicao_contratual!$Y101=3,IF(IFERROR(IF(ISNUMBER(INDEX(aditivos!$O$2:$O$200,MATCH($A101,aditivos!$A$2:$A$200,0))),MIN(INDEX(aditivos!$O$2:$O$200,MATCH($A101,aditivos!$A$2:$A$200,0)),posicao_contratual!$Y101),posicao_contratual!$Y101),posicao_contratual!$Y101)=3,itens_Remanesc!C101,IFERROR(ROUND(itens_Remanesc!C101*INDEX($L$2:$L$6,MIN(3+1,COUNT($L$2:$L$6)))/INDEX($L$2:$L$6,MIN(IFERROR(IF(ISNUMBER(INDEX(aditivos!$O$2:$O$200,MATCH($A101,aditivos!$A$2:$A$200,0))),MIN(INDEX(aditivos!$O$2:$O$200,MATCH($A101,aditivos!$A$2:$A$200,0)),posicao_contratual!$Y101),posicao_contratual!$Y101),posicao_contratual!$Y101)+1,COUNT($L$2:$L$6))),2),"")),IF(OR(NOT(ISNUMBER($L$5)),NOT(ISNUMBER(INDEX($L$2:$L$6,IFERROR(IF(ISNUMBER(INDEX(aditivos!$O$2:$O$200,MATCH($A101,aditivos!$A$2:$A$200,0))),MIN(INDEX(aditivos!$O$2:$O$200,MATCH($A101,aditivos!$A$2:$A$200,0)),posicao_contratual!$Y101),posicao_contratual!$Y101),posicao_contratual!$Y101)+1)))),"",ROUND(itens_Remanesc!C101*$L$5/INDEX($L$2:$L$6,IFERROR(IF(ISNUMBER(INDEX(aditivos!$O$2:$O$200,MATCH($A101,aditivos!$A$2:$A$200,0))),MIN(INDEX(aditivos!$O$2:$O$200,MATCH($A101,aditivos!$A$2:$A$200,0)),posicao_contratual!$Y101),posicao_contratual!$Y101),posicao_contratual!$Y101)+1),2))))))</f>
        <v/>
      </c>
      <c r="G101" s="79" t="str">
        <f>IF(OR($A101="",posicao_contratual!$Y101=""),"",IF(posicao_contratual!$Y101&gt;4,"",IF(NOT(ISNUMBER(itens_Remanesc!C101)),"",IF(posicao_contratual!$Y101=4,IF(IFERROR(IF(ISNUMBER(INDEX(aditivos!$O$2:$O$200,MATCH($A101,aditivos!$A$2:$A$200,0))),MIN(INDEX(aditivos!$O$2:$O$200,MATCH($A101,aditivos!$A$2:$A$200,0)),posicao_contratual!$Y101),posicao_contratual!$Y101),posicao_contratual!$Y101)=4,itens_Remanesc!C101,IFERROR(ROUND(itens_Remanesc!C101*INDEX($L$2:$L$6,MIN(4+1,COUNT($L$2:$L$6)))/INDEX($L$2:$L$6,MIN(IFERROR(IF(ISNUMBER(INDEX(aditivos!$O$2:$O$200,MATCH($A101,aditivos!$A$2:$A$200,0))),MIN(INDEX(aditivos!$O$2:$O$200,MATCH($A101,aditivos!$A$2:$A$200,0)),posicao_contratual!$Y101),posicao_contratual!$Y101),posicao_contratual!$Y101)+1,COUNT($L$2:$L$6))),2),"")),IF(OR(NOT(ISNUMBER($L$6)),NOT(ISNUMBER(INDEX($L$2:$L$6,IFERROR(IF(ISNUMBER(INDEX(aditivos!$O$2:$O$200,MATCH($A101,aditivos!$A$2:$A$200,0))),MIN(INDEX(aditivos!$O$2:$O$200,MATCH($A101,aditivos!$A$2:$A$200,0)),posicao_contratual!$Y101),posicao_contratual!$Y101),posicao_contratual!$Y101)+1)))),"",ROUND(itens_Remanesc!C101*$L$6/INDEX($L$2:$L$6,IFERROR(IF(ISNUMBER(INDEX(aditivos!$O$2:$O$200,MATCH($A101,aditivos!$A$2:$A$200,0))),MIN(INDEX(aditivos!$O$2:$O$200,MATCH($A101,aditivos!$A$2:$A$200,0)),posicao_contratual!$Y101),posicao_contratual!$Y101),posicao_contratual!$Y101)+1),2))))))</f>
        <v/>
      </c>
      <c r="H101" s="116" t="str">
        <f t="shared" si="3"/>
        <v/>
      </c>
      <c r="I101" s="13"/>
      <c r="J101" s="13"/>
      <c r="K101" s="13"/>
      <c r="L101" s="13"/>
      <c r="M101" s="13"/>
      <c r="N101" s="147" t="str">
        <f>IF(A101="","",IF(posicao_contratual!$Y101="","",IF(posicao_contratual!$Y101&gt;0,"",posicao_contratual!E101)))</f>
        <v/>
      </c>
      <c r="O101" s="147" t="str">
        <f>IF(A101="","",IF(posicao_contratual!$Y101="","",IF(posicao_contratual!$Y101&gt;1,"",posicao_contratual!I101)))</f>
        <v/>
      </c>
      <c r="P101" s="147" t="str">
        <f>IF(A101="","",IF(posicao_contratual!$Y101="","",IF(posicao_contratual!$Y101&gt;2,"",posicao_contratual!M101)))</f>
        <v/>
      </c>
      <c r="Q101" s="147" t="str">
        <f>IF(A101="","",IF(posicao_contratual!$Y101="","",IF(posicao_contratual!$Y101&gt;3,"",posicao_contratual!Q101)))</f>
        <v/>
      </c>
      <c r="R101" s="147" t="str">
        <f>IF(A101="","",IF(posicao_contratual!$Y101="","",IF(posicao_contratual!$Y101&gt;4,"",posicao_contratual!U101)))</f>
        <v/>
      </c>
      <c r="S101" s="167" t="str">
        <f>IF(A101="","",posicao_contratual!G101)</f>
        <v/>
      </c>
      <c r="T101" s="167" t="str">
        <f>IF(A101="","",posicao_contratual!K101)</f>
        <v/>
      </c>
      <c r="U101" s="167" t="str">
        <f>IF(A101="","",posicao_contratual!O101)</f>
        <v/>
      </c>
      <c r="V101" s="167" t="str">
        <f>IF(A101="","",posicao_contratual!S101)</f>
        <v/>
      </c>
      <c r="W101" s="167" t="str">
        <f>IF(A101="","",posicao_contratual!W101)</f>
        <v/>
      </c>
    </row>
    <row r="102" spans="1:23" x14ac:dyDescent="0.35">
      <c r="A102" s="86" t="str">
        <f>IF(itens_Remanesc!A102="","",itens_Remanesc!A102)</f>
        <v/>
      </c>
      <c r="B102" s="85" t="str">
        <f>IF(A102="","",IF(posicao_contratual!$Y102="","",IF(posicao_contratual!$Y102&gt;0,"",posicao_contratual!G102)))</f>
        <v/>
      </c>
      <c r="C102" s="79" t="str">
        <f>IF(itens_Remanesc!A102="","",IF(posicao_contratual!$Y102="","",IF(posicao_contratual!$Y102&gt;0,"",itens_Remanesc!C102)))</f>
        <v/>
      </c>
      <c r="D102" s="79" t="str">
        <f>IF(OR($A102="",posicao_contratual!$Y102=""),"",IF(posicao_contratual!$Y102&gt;1,"",IF(NOT(ISNUMBER(itens_Remanesc!C102)),"",IF(posicao_contratual!$Y102=1,IF(IFERROR(IF(ISNUMBER(INDEX(aditivos!$O$2:$O$200,MATCH($A102,aditivos!$A$2:$A$200,0))),MIN(INDEX(aditivos!$O$2:$O$200,MATCH($A102,aditivos!$A$2:$A$200,0)),posicao_contratual!$Y102),posicao_contratual!$Y102),posicao_contratual!$Y102)=1,itens_Remanesc!C102,IFERROR(ROUND(itens_Remanesc!C102*INDEX($L$2:$L$6,MIN(1+1,COUNT($L$2:$L$6)))/INDEX($L$2:$L$6,MIN(IFERROR(IF(ISNUMBER(INDEX(aditivos!$O$2:$O$200,MATCH($A102,aditivos!$A$2:$A$200,0))),MIN(INDEX(aditivos!$O$2:$O$200,MATCH($A102,aditivos!$A$2:$A$200,0)),posicao_contratual!$Y102),posicao_contratual!$Y102),posicao_contratual!$Y102)+1,COUNT($L$2:$L$6))),2),"")),IF(OR(NOT(ISNUMBER($L$3)),NOT(ISNUMBER(INDEX($L$2:$L$6,IFERROR(IF(ISNUMBER(INDEX(aditivos!$O$2:$O$200,MATCH($A102,aditivos!$A$2:$A$200,0))),MIN(INDEX(aditivos!$O$2:$O$200,MATCH($A102,aditivos!$A$2:$A$200,0)),posicao_contratual!$Y102),posicao_contratual!$Y102),posicao_contratual!$Y102)+1)))),"",ROUND(itens_Remanesc!C102*$L$3/INDEX($L$2:$L$6,IFERROR(IF(ISNUMBER(INDEX(aditivos!$O$2:$O$200,MATCH($A102,aditivos!$A$2:$A$200,0))),MIN(INDEX(aditivos!$O$2:$O$200,MATCH($A102,aditivos!$A$2:$A$200,0)),posicao_contratual!$Y102),posicao_contratual!$Y102),posicao_contratual!$Y102)+1),2))))))</f>
        <v/>
      </c>
      <c r="E102" s="79" t="str">
        <f>IF(OR($A102="",posicao_contratual!$Y102=""),"",IF(posicao_contratual!$Y102&gt;2,"",IF(NOT(ISNUMBER(itens_Remanesc!C102)),"",IF(posicao_contratual!$Y102=2,IF(IFERROR(IF(ISNUMBER(INDEX(aditivos!$O$2:$O$200,MATCH($A102,aditivos!$A$2:$A$200,0))),MIN(INDEX(aditivos!$O$2:$O$200,MATCH($A102,aditivos!$A$2:$A$200,0)),posicao_contratual!$Y102),posicao_contratual!$Y102),posicao_contratual!$Y102)=2,itens_Remanesc!C102,IFERROR(ROUND(itens_Remanesc!C102*INDEX($L$2:$L$6,MIN(2+1,COUNT($L$2:$L$6)))/INDEX($L$2:$L$6,MIN(IFERROR(IF(ISNUMBER(INDEX(aditivos!$O$2:$O$200,MATCH($A102,aditivos!$A$2:$A$200,0))),MIN(INDEX(aditivos!$O$2:$O$200,MATCH($A102,aditivos!$A$2:$A$200,0)),posicao_contratual!$Y102),posicao_contratual!$Y102),posicao_contratual!$Y102)+1,COUNT($L$2:$L$6))),2),"")),IF(OR(NOT(ISNUMBER($L$4)),NOT(ISNUMBER(INDEX($L$2:$L$6,IFERROR(IF(ISNUMBER(INDEX(aditivos!$O$2:$O$200,MATCH($A102,aditivos!$A$2:$A$200,0))),MIN(INDEX(aditivos!$O$2:$O$200,MATCH($A102,aditivos!$A$2:$A$200,0)),posicao_contratual!$Y102),posicao_contratual!$Y102),posicao_contratual!$Y102)+1)))),"",ROUND(itens_Remanesc!C102*$L$4/INDEX($L$2:$L$6,IFERROR(IF(ISNUMBER(INDEX(aditivos!$O$2:$O$200,MATCH($A102,aditivos!$A$2:$A$200,0))),MIN(INDEX(aditivos!$O$2:$O$200,MATCH($A102,aditivos!$A$2:$A$200,0)),posicao_contratual!$Y102),posicao_contratual!$Y102),posicao_contratual!$Y102)+1),2))))))</f>
        <v/>
      </c>
      <c r="F102" s="79" t="str">
        <f>IF(OR($A102="",posicao_contratual!$Y102=""),"",IF(posicao_contratual!$Y102&gt;3,"",IF(NOT(ISNUMBER(itens_Remanesc!C102)),"",IF(posicao_contratual!$Y102=3,IF(IFERROR(IF(ISNUMBER(INDEX(aditivos!$O$2:$O$200,MATCH($A102,aditivos!$A$2:$A$200,0))),MIN(INDEX(aditivos!$O$2:$O$200,MATCH($A102,aditivos!$A$2:$A$200,0)),posicao_contratual!$Y102),posicao_contratual!$Y102),posicao_contratual!$Y102)=3,itens_Remanesc!C102,IFERROR(ROUND(itens_Remanesc!C102*INDEX($L$2:$L$6,MIN(3+1,COUNT($L$2:$L$6)))/INDEX($L$2:$L$6,MIN(IFERROR(IF(ISNUMBER(INDEX(aditivos!$O$2:$O$200,MATCH($A102,aditivos!$A$2:$A$200,0))),MIN(INDEX(aditivos!$O$2:$O$200,MATCH($A102,aditivos!$A$2:$A$200,0)),posicao_contratual!$Y102),posicao_contratual!$Y102),posicao_contratual!$Y102)+1,COUNT($L$2:$L$6))),2),"")),IF(OR(NOT(ISNUMBER($L$5)),NOT(ISNUMBER(INDEX($L$2:$L$6,IFERROR(IF(ISNUMBER(INDEX(aditivos!$O$2:$O$200,MATCH($A102,aditivos!$A$2:$A$200,0))),MIN(INDEX(aditivos!$O$2:$O$200,MATCH($A102,aditivos!$A$2:$A$200,0)),posicao_contratual!$Y102),posicao_contratual!$Y102),posicao_contratual!$Y102)+1)))),"",ROUND(itens_Remanesc!C102*$L$5/INDEX($L$2:$L$6,IFERROR(IF(ISNUMBER(INDEX(aditivos!$O$2:$O$200,MATCH($A102,aditivos!$A$2:$A$200,0))),MIN(INDEX(aditivos!$O$2:$O$200,MATCH($A102,aditivos!$A$2:$A$200,0)),posicao_contratual!$Y102),posicao_contratual!$Y102),posicao_contratual!$Y102)+1),2))))))</f>
        <v/>
      </c>
      <c r="G102" s="79" t="str">
        <f>IF(OR($A102="",posicao_contratual!$Y102=""),"",IF(posicao_contratual!$Y102&gt;4,"",IF(NOT(ISNUMBER(itens_Remanesc!C102)),"",IF(posicao_contratual!$Y102=4,IF(IFERROR(IF(ISNUMBER(INDEX(aditivos!$O$2:$O$200,MATCH($A102,aditivos!$A$2:$A$200,0))),MIN(INDEX(aditivos!$O$2:$O$200,MATCH($A102,aditivos!$A$2:$A$200,0)),posicao_contratual!$Y102),posicao_contratual!$Y102),posicao_contratual!$Y102)=4,itens_Remanesc!C102,IFERROR(ROUND(itens_Remanesc!C102*INDEX($L$2:$L$6,MIN(4+1,COUNT($L$2:$L$6)))/INDEX($L$2:$L$6,MIN(IFERROR(IF(ISNUMBER(INDEX(aditivos!$O$2:$O$200,MATCH($A102,aditivos!$A$2:$A$200,0))),MIN(INDEX(aditivos!$O$2:$O$200,MATCH($A102,aditivos!$A$2:$A$200,0)),posicao_contratual!$Y102),posicao_contratual!$Y102),posicao_contratual!$Y102)+1,COUNT($L$2:$L$6))),2),"")),IF(OR(NOT(ISNUMBER($L$6)),NOT(ISNUMBER(INDEX($L$2:$L$6,IFERROR(IF(ISNUMBER(INDEX(aditivos!$O$2:$O$200,MATCH($A102,aditivos!$A$2:$A$200,0))),MIN(INDEX(aditivos!$O$2:$O$200,MATCH($A102,aditivos!$A$2:$A$200,0)),posicao_contratual!$Y102),posicao_contratual!$Y102),posicao_contratual!$Y102)+1)))),"",ROUND(itens_Remanesc!C102*$L$6/INDEX($L$2:$L$6,IFERROR(IF(ISNUMBER(INDEX(aditivos!$O$2:$O$200,MATCH($A102,aditivos!$A$2:$A$200,0))),MIN(INDEX(aditivos!$O$2:$O$200,MATCH($A102,aditivos!$A$2:$A$200,0)),posicao_contratual!$Y102),posicao_contratual!$Y102),posicao_contratual!$Y102)+1),2))))))</f>
        <v/>
      </c>
      <c r="H102" s="116" t="str">
        <f t="shared" si="3"/>
        <v/>
      </c>
      <c r="I102" s="13"/>
      <c r="J102" s="13"/>
      <c r="K102" s="13"/>
      <c r="L102" s="13"/>
      <c r="M102" s="13"/>
      <c r="N102" s="147" t="str">
        <f>IF(A102="","",IF(posicao_contratual!$Y102="","",IF(posicao_contratual!$Y102&gt;0,"",posicao_contratual!E102)))</f>
        <v/>
      </c>
      <c r="O102" s="147" t="str">
        <f>IF(A102="","",IF(posicao_contratual!$Y102="","",IF(posicao_contratual!$Y102&gt;1,"",posicao_contratual!I102)))</f>
        <v/>
      </c>
      <c r="P102" s="147" t="str">
        <f>IF(A102="","",IF(posicao_contratual!$Y102="","",IF(posicao_contratual!$Y102&gt;2,"",posicao_contratual!M102)))</f>
        <v/>
      </c>
      <c r="Q102" s="147" t="str">
        <f>IF(A102="","",IF(posicao_contratual!$Y102="","",IF(posicao_contratual!$Y102&gt;3,"",posicao_contratual!Q102)))</f>
        <v/>
      </c>
      <c r="R102" s="147" t="str">
        <f>IF(A102="","",IF(posicao_contratual!$Y102="","",IF(posicao_contratual!$Y102&gt;4,"",posicao_contratual!U102)))</f>
        <v/>
      </c>
      <c r="S102" s="167" t="str">
        <f>IF(A102="","",posicao_contratual!G102)</f>
        <v/>
      </c>
      <c r="T102" s="167" t="str">
        <f>IF(A102="","",posicao_contratual!K102)</f>
        <v/>
      </c>
      <c r="U102" s="167" t="str">
        <f>IF(A102="","",posicao_contratual!O102)</f>
        <v/>
      </c>
      <c r="V102" s="167" t="str">
        <f>IF(A102="","",posicao_contratual!S102)</f>
        <v/>
      </c>
      <c r="W102" s="167" t="str">
        <f>IF(A102="","",posicao_contratual!W102)</f>
        <v/>
      </c>
    </row>
    <row r="103" spans="1:23" x14ac:dyDescent="0.35">
      <c r="A103" s="86" t="str">
        <f>IF(itens_Remanesc!A103="","",itens_Remanesc!A103)</f>
        <v/>
      </c>
      <c r="B103" s="85" t="str">
        <f>IF(A103="","",IF(posicao_contratual!$Y103="","",IF(posicao_contratual!$Y103&gt;0,"",posicao_contratual!G103)))</f>
        <v/>
      </c>
      <c r="C103" s="79" t="str">
        <f>IF(itens_Remanesc!A103="","",IF(posicao_contratual!$Y103="","",IF(posicao_contratual!$Y103&gt;0,"",itens_Remanesc!C103)))</f>
        <v/>
      </c>
      <c r="D103" s="79" t="str">
        <f>IF(OR($A103="",posicao_contratual!$Y103=""),"",IF(posicao_contratual!$Y103&gt;1,"",IF(NOT(ISNUMBER(itens_Remanesc!C103)),"",IF(posicao_contratual!$Y103=1,IF(IFERROR(IF(ISNUMBER(INDEX(aditivos!$O$2:$O$200,MATCH($A103,aditivos!$A$2:$A$200,0))),MIN(INDEX(aditivos!$O$2:$O$200,MATCH($A103,aditivos!$A$2:$A$200,0)),posicao_contratual!$Y103),posicao_contratual!$Y103),posicao_contratual!$Y103)=1,itens_Remanesc!C103,IFERROR(ROUND(itens_Remanesc!C103*INDEX($L$2:$L$6,MIN(1+1,COUNT($L$2:$L$6)))/INDEX($L$2:$L$6,MIN(IFERROR(IF(ISNUMBER(INDEX(aditivos!$O$2:$O$200,MATCH($A103,aditivos!$A$2:$A$200,0))),MIN(INDEX(aditivos!$O$2:$O$200,MATCH($A103,aditivos!$A$2:$A$200,0)),posicao_contratual!$Y103),posicao_contratual!$Y103),posicao_contratual!$Y103)+1,COUNT($L$2:$L$6))),2),"")),IF(OR(NOT(ISNUMBER($L$3)),NOT(ISNUMBER(INDEX($L$2:$L$6,IFERROR(IF(ISNUMBER(INDEX(aditivos!$O$2:$O$200,MATCH($A103,aditivos!$A$2:$A$200,0))),MIN(INDEX(aditivos!$O$2:$O$200,MATCH($A103,aditivos!$A$2:$A$200,0)),posicao_contratual!$Y103),posicao_contratual!$Y103),posicao_contratual!$Y103)+1)))),"",ROUND(itens_Remanesc!C103*$L$3/INDEX($L$2:$L$6,IFERROR(IF(ISNUMBER(INDEX(aditivos!$O$2:$O$200,MATCH($A103,aditivos!$A$2:$A$200,0))),MIN(INDEX(aditivos!$O$2:$O$200,MATCH($A103,aditivos!$A$2:$A$200,0)),posicao_contratual!$Y103),posicao_contratual!$Y103),posicao_contratual!$Y103)+1),2))))))</f>
        <v/>
      </c>
      <c r="E103" s="79" t="str">
        <f>IF(OR($A103="",posicao_contratual!$Y103=""),"",IF(posicao_contratual!$Y103&gt;2,"",IF(NOT(ISNUMBER(itens_Remanesc!C103)),"",IF(posicao_contratual!$Y103=2,IF(IFERROR(IF(ISNUMBER(INDEX(aditivos!$O$2:$O$200,MATCH($A103,aditivos!$A$2:$A$200,0))),MIN(INDEX(aditivos!$O$2:$O$200,MATCH($A103,aditivos!$A$2:$A$200,0)),posicao_contratual!$Y103),posicao_contratual!$Y103),posicao_contratual!$Y103)=2,itens_Remanesc!C103,IFERROR(ROUND(itens_Remanesc!C103*INDEX($L$2:$L$6,MIN(2+1,COUNT($L$2:$L$6)))/INDEX($L$2:$L$6,MIN(IFERROR(IF(ISNUMBER(INDEX(aditivos!$O$2:$O$200,MATCH($A103,aditivos!$A$2:$A$200,0))),MIN(INDEX(aditivos!$O$2:$O$200,MATCH($A103,aditivos!$A$2:$A$200,0)),posicao_contratual!$Y103),posicao_contratual!$Y103),posicao_contratual!$Y103)+1,COUNT($L$2:$L$6))),2),"")),IF(OR(NOT(ISNUMBER($L$4)),NOT(ISNUMBER(INDEX($L$2:$L$6,IFERROR(IF(ISNUMBER(INDEX(aditivos!$O$2:$O$200,MATCH($A103,aditivos!$A$2:$A$200,0))),MIN(INDEX(aditivos!$O$2:$O$200,MATCH($A103,aditivos!$A$2:$A$200,0)),posicao_contratual!$Y103),posicao_contratual!$Y103),posicao_contratual!$Y103)+1)))),"",ROUND(itens_Remanesc!C103*$L$4/INDEX($L$2:$L$6,IFERROR(IF(ISNUMBER(INDEX(aditivos!$O$2:$O$200,MATCH($A103,aditivos!$A$2:$A$200,0))),MIN(INDEX(aditivos!$O$2:$O$200,MATCH($A103,aditivos!$A$2:$A$200,0)),posicao_contratual!$Y103),posicao_contratual!$Y103),posicao_contratual!$Y103)+1),2))))))</f>
        <v/>
      </c>
      <c r="F103" s="79" t="str">
        <f>IF(OR($A103="",posicao_contratual!$Y103=""),"",IF(posicao_contratual!$Y103&gt;3,"",IF(NOT(ISNUMBER(itens_Remanesc!C103)),"",IF(posicao_contratual!$Y103=3,IF(IFERROR(IF(ISNUMBER(INDEX(aditivos!$O$2:$O$200,MATCH($A103,aditivos!$A$2:$A$200,0))),MIN(INDEX(aditivos!$O$2:$O$200,MATCH($A103,aditivos!$A$2:$A$200,0)),posicao_contratual!$Y103),posicao_contratual!$Y103),posicao_contratual!$Y103)=3,itens_Remanesc!C103,IFERROR(ROUND(itens_Remanesc!C103*INDEX($L$2:$L$6,MIN(3+1,COUNT($L$2:$L$6)))/INDEX($L$2:$L$6,MIN(IFERROR(IF(ISNUMBER(INDEX(aditivos!$O$2:$O$200,MATCH($A103,aditivos!$A$2:$A$200,0))),MIN(INDEX(aditivos!$O$2:$O$200,MATCH($A103,aditivos!$A$2:$A$200,0)),posicao_contratual!$Y103),posicao_contratual!$Y103),posicao_contratual!$Y103)+1,COUNT($L$2:$L$6))),2),"")),IF(OR(NOT(ISNUMBER($L$5)),NOT(ISNUMBER(INDEX($L$2:$L$6,IFERROR(IF(ISNUMBER(INDEX(aditivos!$O$2:$O$200,MATCH($A103,aditivos!$A$2:$A$200,0))),MIN(INDEX(aditivos!$O$2:$O$200,MATCH($A103,aditivos!$A$2:$A$200,0)),posicao_contratual!$Y103),posicao_contratual!$Y103),posicao_contratual!$Y103)+1)))),"",ROUND(itens_Remanesc!C103*$L$5/INDEX($L$2:$L$6,IFERROR(IF(ISNUMBER(INDEX(aditivos!$O$2:$O$200,MATCH($A103,aditivos!$A$2:$A$200,0))),MIN(INDEX(aditivos!$O$2:$O$200,MATCH($A103,aditivos!$A$2:$A$200,0)),posicao_contratual!$Y103),posicao_contratual!$Y103),posicao_contratual!$Y103)+1),2))))))</f>
        <v/>
      </c>
      <c r="G103" s="79" t="str">
        <f>IF(OR($A103="",posicao_contratual!$Y103=""),"",IF(posicao_contratual!$Y103&gt;4,"",IF(NOT(ISNUMBER(itens_Remanesc!C103)),"",IF(posicao_contratual!$Y103=4,IF(IFERROR(IF(ISNUMBER(INDEX(aditivos!$O$2:$O$200,MATCH($A103,aditivos!$A$2:$A$200,0))),MIN(INDEX(aditivos!$O$2:$O$200,MATCH($A103,aditivos!$A$2:$A$200,0)),posicao_contratual!$Y103),posicao_contratual!$Y103),posicao_contratual!$Y103)=4,itens_Remanesc!C103,IFERROR(ROUND(itens_Remanesc!C103*INDEX($L$2:$L$6,MIN(4+1,COUNT($L$2:$L$6)))/INDEX($L$2:$L$6,MIN(IFERROR(IF(ISNUMBER(INDEX(aditivos!$O$2:$O$200,MATCH($A103,aditivos!$A$2:$A$200,0))),MIN(INDEX(aditivos!$O$2:$O$200,MATCH($A103,aditivos!$A$2:$A$200,0)),posicao_contratual!$Y103),posicao_contratual!$Y103),posicao_contratual!$Y103)+1,COUNT($L$2:$L$6))),2),"")),IF(OR(NOT(ISNUMBER($L$6)),NOT(ISNUMBER(INDEX($L$2:$L$6,IFERROR(IF(ISNUMBER(INDEX(aditivos!$O$2:$O$200,MATCH($A103,aditivos!$A$2:$A$200,0))),MIN(INDEX(aditivos!$O$2:$O$200,MATCH($A103,aditivos!$A$2:$A$200,0)),posicao_contratual!$Y103),posicao_contratual!$Y103),posicao_contratual!$Y103)+1)))),"",ROUND(itens_Remanesc!C103*$L$6/INDEX($L$2:$L$6,IFERROR(IF(ISNUMBER(INDEX(aditivos!$O$2:$O$200,MATCH($A103,aditivos!$A$2:$A$200,0))),MIN(INDEX(aditivos!$O$2:$O$200,MATCH($A103,aditivos!$A$2:$A$200,0)),posicao_contratual!$Y103),posicao_contratual!$Y103),posicao_contratual!$Y103)+1),2))))))</f>
        <v/>
      </c>
      <c r="H103" s="116" t="str">
        <f t="shared" si="3"/>
        <v/>
      </c>
      <c r="I103" s="13"/>
      <c r="J103" s="13"/>
      <c r="K103" s="13"/>
      <c r="L103" s="13"/>
      <c r="M103" s="13"/>
      <c r="N103" s="147" t="str">
        <f>IF(A103="","",IF(posicao_contratual!$Y103="","",IF(posicao_contratual!$Y103&gt;0,"",posicao_contratual!E103)))</f>
        <v/>
      </c>
      <c r="O103" s="147" t="str">
        <f>IF(A103="","",IF(posicao_contratual!$Y103="","",IF(posicao_contratual!$Y103&gt;1,"",posicao_contratual!I103)))</f>
        <v/>
      </c>
      <c r="P103" s="147" t="str">
        <f>IF(A103="","",IF(posicao_contratual!$Y103="","",IF(posicao_contratual!$Y103&gt;2,"",posicao_contratual!M103)))</f>
        <v/>
      </c>
      <c r="Q103" s="147" t="str">
        <f>IF(A103="","",IF(posicao_contratual!$Y103="","",IF(posicao_contratual!$Y103&gt;3,"",posicao_contratual!Q103)))</f>
        <v/>
      </c>
      <c r="R103" s="147" t="str">
        <f>IF(A103="","",IF(posicao_contratual!$Y103="","",IF(posicao_contratual!$Y103&gt;4,"",posicao_contratual!U103)))</f>
        <v/>
      </c>
      <c r="S103" s="167" t="str">
        <f>IF(A103="","",posicao_contratual!G103)</f>
        <v/>
      </c>
      <c r="T103" s="167" t="str">
        <f>IF(A103="","",posicao_contratual!K103)</f>
        <v/>
      </c>
      <c r="U103" s="167" t="str">
        <f>IF(A103="","",posicao_contratual!O103)</f>
        <v/>
      </c>
      <c r="V103" s="167" t="str">
        <f>IF(A103="","",posicao_contratual!S103)</f>
        <v/>
      </c>
      <c r="W103" s="167" t="str">
        <f>IF(A103="","",posicao_contratual!W103)</f>
        <v/>
      </c>
    </row>
    <row r="104" spans="1:23" x14ac:dyDescent="0.35">
      <c r="A104" s="86" t="str">
        <f>IF(itens_Remanesc!A104="","",itens_Remanesc!A104)</f>
        <v/>
      </c>
      <c r="B104" s="85" t="str">
        <f>IF(A104="","",IF(posicao_contratual!$Y104="","",IF(posicao_contratual!$Y104&gt;0,"",posicao_contratual!G104)))</f>
        <v/>
      </c>
      <c r="C104" s="79" t="str">
        <f>IF(itens_Remanesc!A104="","",IF(posicao_contratual!$Y104="","",IF(posicao_contratual!$Y104&gt;0,"",itens_Remanesc!C104)))</f>
        <v/>
      </c>
      <c r="D104" s="79" t="str">
        <f>IF(OR($A104="",posicao_contratual!$Y104=""),"",IF(posicao_contratual!$Y104&gt;1,"",IF(NOT(ISNUMBER(itens_Remanesc!C104)),"",IF(posicao_contratual!$Y104=1,IF(IFERROR(IF(ISNUMBER(INDEX(aditivos!$O$2:$O$200,MATCH($A104,aditivos!$A$2:$A$200,0))),MIN(INDEX(aditivos!$O$2:$O$200,MATCH($A104,aditivos!$A$2:$A$200,0)),posicao_contratual!$Y104),posicao_contratual!$Y104),posicao_contratual!$Y104)=1,itens_Remanesc!C104,IFERROR(ROUND(itens_Remanesc!C104*INDEX($L$2:$L$6,MIN(1+1,COUNT($L$2:$L$6)))/INDEX($L$2:$L$6,MIN(IFERROR(IF(ISNUMBER(INDEX(aditivos!$O$2:$O$200,MATCH($A104,aditivos!$A$2:$A$200,0))),MIN(INDEX(aditivos!$O$2:$O$200,MATCH($A104,aditivos!$A$2:$A$200,0)),posicao_contratual!$Y104),posicao_contratual!$Y104),posicao_contratual!$Y104)+1,COUNT($L$2:$L$6))),2),"")),IF(OR(NOT(ISNUMBER($L$3)),NOT(ISNUMBER(INDEX($L$2:$L$6,IFERROR(IF(ISNUMBER(INDEX(aditivos!$O$2:$O$200,MATCH($A104,aditivos!$A$2:$A$200,0))),MIN(INDEX(aditivos!$O$2:$O$200,MATCH($A104,aditivos!$A$2:$A$200,0)),posicao_contratual!$Y104),posicao_contratual!$Y104),posicao_contratual!$Y104)+1)))),"",ROUND(itens_Remanesc!C104*$L$3/INDEX($L$2:$L$6,IFERROR(IF(ISNUMBER(INDEX(aditivos!$O$2:$O$200,MATCH($A104,aditivos!$A$2:$A$200,0))),MIN(INDEX(aditivos!$O$2:$O$200,MATCH($A104,aditivos!$A$2:$A$200,0)),posicao_contratual!$Y104),posicao_contratual!$Y104),posicao_contratual!$Y104)+1),2))))))</f>
        <v/>
      </c>
      <c r="E104" s="79" t="str">
        <f>IF(OR($A104="",posicao_contratual!$Y104=""),"",IF(posicao_contratual!$Y104&gt;2,"",IF(NOT(ISNUMBER(itens_Remanesc!C104)),"",IF(posicao_contratual!$Y104=2,IF(IFERROR(IF(ISNUMBER(INDEX(aditivos!$O$2:$O$200,MATCH($A104,aditivos!$A$2:$A$200,0))),MIN(INDEX(aditivos!$O$2:$O$200,MATCH($A104,aditivos!$A$2:$A$200,0)),posicao_contratual!$Y104),posicao_contratual!$Y104),posicao_contratual!$Y104)=2,itens_Remanesc!C104,IFERROR(ROUND(itens_Remanesc!C104*INDEX($L$2:$L$6,MIN(2+1,COUNT($L$2:$L$6)))/INDEX($L$2:$L$6,MIN(IFERROR(IF(ISNUMBER(INDEX(aditivos!$O$2:$O$200,MATCH($A104,aditivos!$A$2:$A$200,0))),MIN(INDEX(aditivos!$O$2:$O$200,MATCH($A104,aditivos!$A$2:$A$200,0)),posicao_contratual!$Y104),posicao_contratual!$Y104),posicao_contratual!$Y104)+1,COUNT($L$2:$L$6))),2),"")),IF(OR(NOT(ISNUMBER($L$4)),NOT(ISNUMBER(INDEX($L$2:$L$6,IFERROR(IF(ISNUMBER(INDEX(aditivos!$O$2:$O$200,MATCH($A104,aditivos!$A$2:$A$200,0))),MIN(INDEX(aditivos!$O$2:$O$200,MATCH($A104,aditivos!$A$2:$A$200,0)),posicao_contratual!$Y104),posicao_contratual!$Y104),posicao_contratual!$Y104)+1)))),"",ROUND(itens_Remanesc!C104*$L$4/INDEX($L$2:$L$6,IFERROR(IF(ISNUMBER(INDEX(aditivos!$O$2:$O$200,MATCH($A104,aditivos!$A$2:$A$200,0))),MIN(INDEX(aditivos!$O$2:$O$200,MATCH($A104,aditivos!$A$2:$A$200,0)),posicao_contratual!$Y104),posicao_contratual!$Y104),posicao_contratual!$Y104)+1),2))))))</f>
        <v/>
      </c>
      <c r="F104" s="79" t="str">
        <f>IF(OR($A104="",posicao_contratual!$Y104=""),"",IF(posicao_contratual!$Y104&gt;3,"",IF(NOT(ISNUMBER(itens_Remanesc!C104)),"",IF(posicao_contratual!$Y104=3,IF(IFERROR(IF(ISNUMBER(INDEX(aditivos!$O$2:$O$200,MATCH($A104,aditivos!$A$2:$A$200,0))),MIN(INDEX(aditivos!$O$2:$O$200,MATCH($A104,aditivos!$A$2:$A$200,0)),posicao_contratual!$Y104),posicao_contratual!$Y104),posicao_contratual!$Y104)=3,itens_Remanesc!C104,IFERROR(ROUND(itens_Remanesc!C104*INDEX($L$2:$L$6,MIN(3+1,COUNT($L$2:$L$6)))/INDEX($L$2:$L$6,MIN(IFERROR(IF(ISNUMBER(INDEX(aditivos!$O$2:$O$200,MATCH($A104,aditivos!$A$2:$A$200,0))),MIN(INDEX(aditivos!$O$2:$O$200,MATCH($A104,aditivos!$A$2:$A$200,0)),posicao_contratual!$Y104),posicao_contratual!$Y104),posicao_contratual!$Y104)+1,COUNT($L$2:$L$6))),2),"")),IF(OR(NOT(ISNUMBER($L$5)),NOT(ISNUMBER(INDEX($L$2:$L$6,IFERROR(IF(ISNUMBER(INDEX(aditivos!$O$2:$O$200,MATCH($A104,aditivos!$A$2:$A$200,0))),MIN(INDEX(aditivos!$O$2:$O$200,MATCH($A104,aditivos!$A$2:$A$200,0)),posicao_contratual!$Y104),posicao_contratual!$Y104),posicao_contratual!$Y104)+1)))),"",ROUND(itens_Remanesc!C104*$L$5/INDEX($L$2:$L$6,IFERROR(IF(ISNUMBER(INDEX(aditivos!$O$2:$O$200,MATCH($A104,aditivos!$A$2:$A$200,0))),MIN(INDEX(aditivos!$O$2:$O$200,MATCH($A104,aditivos!$A$2:$A$200,0)),posicao_contratual!$Y104),posicao_contratual!$Y104),posicao_contratual!$Y104)+1),2))))))</f>
        <v/>
      </c>
      <c r="G104" s="79" t="str">
        <f>IF(OR($A104="",posicao_contratual!$Y104=""),"",IF(posicao_contratual!$Y104&gt;4,"",IF(NOT(ISNUMBER(itens_Remanesc!C104)),"",IF(posicao_contratual!$Y104=4,IF(IFERROR(IF(ISNUMBER(INDEX(aditivos!$O$2:$O$200,MATCH($A104,aditivos!$A$2:$A$200,0))),MIN(INDEX(aditivos!$O$2:$O$200,MATCH($A104,aditivos!$A$2:$A$200,0)),posicao_contratual!$Y104),posicao_contratual!$Y104),posicao_contratual!$Y104)=4,itens_Remanesc!C104,IFERROR(ROUND(itens_Remanesc!C104*INDEX($L$2:$L$6,MIN(4+1,COUNT($L$2:$L$6)))/INDEX($L$2:$L$6,MIN(IFERROR(IF(ISNUMBER(INDEX(aditivos!$O$2:$O$200,MATCH($A104,aditivos!$A$2:$A$200,0))),MIN(INDEX(aditivos!$O$2:$O$200,MATCH($A104,aditivos!$A$2:$A$200,0)),posicao_contratual!$Y104),posicao_contratual!$Y104),posicao_contratual!$Y104)+1,COUNT($L$2:$L$6))),2),"")),IF(OR(NOT(ISNUMBER($L$6)),NOT(ISNUMBER(INDEX($L$2:$L$6,IFERROR(IF(ISNUMBER(INDEX(aditivos!$O$2:$O$200,MATCH($A104,aditivos!$A$2:$A$200,0))),MIN(INDEX(aditivos!$O$2:$O$200,MATCH($A104,aditivos!$A$2:$A$200,0)),posicao_contratual!$Y104),posicao_contratual!$Y104),posicao_contratual!$Y104)+1)))),"",ROUND(itens_Remanesc!C104*$L$6/INDEX($L$2:$L$6,IFERROR(IF(ISNUMBER(INDEX(aditivos!$O$2:$O$200,MATCH($A104,aditivos!$A$2:$A$200,0))),MIN(INDEX(aditivos!$O$2:$O$200,MATCH($A104,aditivos!$A$2:$A$200,0)),posicao_contratual!$Y104),posicao_contratual!$Y104),posicao_contratual!$Y104)+1),2))))))</f>
        <v/>
      </c>
      <c r="H104" s="116" t="str">
        <f t="shared" si="3"/>
        <v/>
      </c>
      <c r="I104" s="13"/>
      <c r="J104" s="13"/>
      <c r="K104" s="13"/>
      <c r="L104" s="13"/>
      <c r="M104" s="13"/>
      <c r="N104" s="147" t="str">
        <f>IF(A104="","",IF(posicao_contratual!$Y104="","",IF(posicao_contratual!$Y104&gt;0,"",posicao_contratual!E104)))</f>
        <v/>
      </c>
      <c r="O104" s="147" t="str">
        <f>IF(A104="","",IF(posicao_contratual!$Y104="","",IF(posicao_contratual!$Y104&gt;1,"",posicao_contratual!I104)))</f>
        <v/>
      </c>
      <c r="P104" s="147" t="str">
        <f>IF(A104="","",IF(posicao_contratual!$Y104="","",IF(posicao_contratual!$Y104&gt;2,"",posicao_contratual!M104)))</f>
        <v/>
      </c>
      <c r="Q104" s="147" t="str">
        <f>IF(A104="","",IF(posicao_contratual!$Y104="","",IF(posicao_contratual!$Y104&gt;3,"",posicao_contratual!Q104)))</f>
        <v/>
      </c>
      <c r="R104" s="147" t="str">
        <f>IF(A104="","",IF(posicao_contratual!$Y104="","",IF(posicao_contratual!$Y104&gt;4,"",posicao_contratual!U104)))</f>
        <v/>
      </c>
      <c r="S104" s="167" t="str">
        <f>IF(A104="","",posicao_contratual!G104)</f>
        <v/>
      </c>
      <c r="T104" s="167" t="str">
        <f>IF(A104="","",posicao_contratual!K104)</f>
        <v/>
      </c>
      <c r="U104" s="167" t="str">
        <f>IF(A104="","",posicao_contratual!O104)</f>
        <v/>
      </c>
      <c r="V104" s="167" t="str">
        <f>IF(A104="","",posicao_contratual!S104)</f>
        <v/>
      </c>
      <c r="W104" s="167" t="str">
        <f>IF(A104="","",posicao_contratual!W104)</f>
        <v/>
      </c>
    </row>
    <row r="105" spans="1:23" x14ac:dyDescent="0.35">
      <c r="A105" s="86" t="str">
        <f>IF(itens_Remanesc!A105="","",itens_Remanesc!A105)</f>
        <v/>
      </c>
      <c r="B105" s="85" t="str">
        <f>IF(A105="","",IF(posicao_contratual!$Y105="","",IF(posicao_contratual!$Y105&gt;0,"",posicao_contratual!G105)))</f>
        <v/>
      </c>
      <c r="C105" s="79" t="str">
        <f>IF(itens_Remanesc!A105="","",IF(posicao_contratual!$Y105="","",IF(posicao_contratual!$Y105&gt;0,"",itens_Remanesc!C105)))</f>
        <v/>
      </c>
      <c r="D105" s="79" t="str">
        <f>IF(OR($A105="",posicao_contratual!$Y105=""),"",IF(posicao_contratual!$Y105&gt;1,"",IF(NOT(ISNUMBER(itens_Remanesc!C105)),"",IF(posicao_contratual!$Y105=1,IF(IFERROR(IF(ISNUMBER(INDEX(aditivos!$O$2:$O$200,MATCH($A105,aditivos!$A$2:$A$200,0))),MIN(INDEX(aditivos!$O$2:$O$200,MATCH($A105,aditivos!$A$2:$A$200,0)),posicao_contratual!$Y105),posicao_contratual!$Y105),posicao_contratual!$Y105)=1,itens_Remanesc!C105,IFERROR(ROUND(itens_Remanesc!C105*INDEX($L$2:$L$6,MIN(1+1,COUNT($L$2:$L$6)))/INDEX($L$2:$L$6,MIN(IFERROR(IF(ISNUMBER(INDEX(aditivos!$O$2:$O$200,MATCH($A105,aditivos!$A$2:$A$200,0))),MIN(INDEX(aditivos!$O$2:$O$200,MATCH($A105,aditivos!$A$2:$A$200,0)),posicao_contratual!$Y105),posicao_contratual!$Y105),posicao_contratual!$Y105)+1,COUNT($L$2:$L$6))),2),"")),IF(OR(NOT(ISNUMBER($L$3)),NOT(ISNUMBER(INDEX($L$2:$L$6,IFERROR(IF(ISNUMBER(INDEX(aditivos!$O$2:$O$200,MATCH($A105,aditivos!$A$2:$A$200,0))),MIN(INDEX(aditivos!$O$2:$O$200,MATCH($A105,aditivos!$A$2:$A$200,0)),posicao_contratual!$Y105),posicao_contratual!$Y105),posicao_contratual!$Y105)+1)))),"",ROUND(itens_Remanesc!C105*$L$3/INDEX($L$2:$L$6,IFERROR(IF(ISNUMBER(INDEX(aditivos!$O$2:$O$200,MATCH($A105,aditivos!$A$2:$A$200,0))),MIN(INDEX(aditivos!$O$2:$O$200,MATCH($A105,aditivos!$A$2:$A$200,0)),posicao_contratual!$Y105),posicao_contratual!$Y105),posicao_contratual!$Y105)+1),2))))))</f>
        <v/>
      </c>
      <c r="E105" s="79" t="str">
        <f>IF(OR($A105="",posicao_contratual!$Y105=""),"",IF(posicao_contratual!$Y105&gt;2,"",IF(NOT(ISNUMBER(itens_Remanesc!C105)),"",IF(posicao_contratual!$Y105=2,IF(IFERROR(IF(ISNUMBER(INDEX(aditivos!$O$2:$O$200,MATCH($A105,aditivos!$A$2:$A$200,0))),MIN(INDEX(aditivos!$O$2:$O$200,MATCH($A105,aditivos!$A$2:$A$200,0)),posicao_contratual!$Y105),posicao_contratual!$Y105),posicao_contratual!$Y105)=2,itens_Remanesc!C105,IFERROR(ROUND(itens_Remanesc!C105*INDEX($L$2:$L$6,MIN(2+1,COUNT($L$2:$L$6)))/INDEX($L$2:$L$6,MIN(IFERROR(IF(ISNUMBER(INDEX(aditivos!$O$2:$O$200,MATCH($A105,aditivos!$A$2:$A$200,0))),MIN(INDEX(aditivos!$O$2:$O$200,MATCH($A105,aditivos!$A$2:$A$200,0)),posicao_contratual!$Y105),posicao_contratual!$Y105),posicao_contratual!$Y105)+1,COUNT($L$2:$L$6))),2),"")),IF(OR(NOT(ISNUMBER($L$4)),NOT(ISNUMBER(INDEX($L$2:$L$6,IFERROR(IF(ISNUMBER(INDEX(aditivos!$O$2:$O$200,MATCH($A105,aditivos!$A$2:$A$200,0))),MIN(INDEX(aditivos!$O$2:$O$200,MATCH($A105,aditivos!$A$2:$A$200,0)),posicao_contratual!$Y105),posicao_contratual!$Y105),posicao_contratual!$Y105)+1)))),"",ROUND(itens_Remanesc!C105*$L$4/INDEX($L$2:$L$6,IFERROR(IF(ISNUMBER(INDEX(aditivos!$O$2:$O$200,MATCH($A105,aditivos!$A$2:$A$200,0))),MIN(INDEX(aditivos!$O$2:$O$200,MATCH($A105,aditivos!$A$2:$A$200,0)),posicao_contratual!$Y105),posicao_contratual!$Y105),posicao_contratual!$Y105)+1),2))))))</f>
        <v/>
      </c>
      <c r="F105" s="79" t="str">
        <f>IF(OR($A105="",posicao_contratual!$Y105=""),"",IF(posicao_contratual!$Y105&gt;3,"",IF(NOT(ISNUMBER(itens_Remanesc!C105)),"",IF(posicao_contratual!$Y105=3,IF(IFERROR(IF(ISNUMBER(INDEX(aditivos!$O$2:$O$200,MATCH($A105,aditivos!$A$2:$A$200,0))),MIN(INDEX(aditivos!$O$2:$O$200,MATCH($A105,aditivos!$A$2:$A$200,0)),posicao_contratual!$Y105),posicao_contratual!$Y105),posicao_contratual!$Y105)=3,itens_Remanesc!C105,IFERROR(ROUND(itens_Remanesc!C105*INDEX($L$2:$L$6,MIN(3+1,COUNT($L$2:$L$6)))/INDEX($L$2:$L$6,MIN(IFERROR(IF(ISNUMBER(INDEX(aditivos!$O$2:$O$200,MATCH($A105,aditivos!$A$2:$A$200,0))),MIN(INDEX(aditivos!$O$2:$O$200,MATCH($A105,aditivos!$A$2:$A$200,0)),posicao_contratual!$Y105),posicao_contratual!$Y105),posicao_contratual!$Y105)+1,COUNT($L$2:$L$6))),2),"")),IF(OR(NOT(ISNUMBER($L$5)),NOT(ISNUMBER(INDEX($L$2:$L$6,IFERROR(IF(ISNUMBER(INDEX(aditivos!$O$2:$O$200,MATCH($A105,aditivos!$A$2:$A$200,0))),MIN(INDEX(aditivos!$O$2:$O$200,MATCH($A105,aditivos!$A$2:$A$200,0)),posicao_contratual!$Y105),posicao_contratual!$Y105),posicao_contratual!$Y105)+1)))),"",ROUND(itens_Remanesc!C105*$L$5/INDEX($L$2:$L$6,IFERROR(IF(ISNUMBER(INDEX(aditivos!$O$2:$O$200,MATCH($A105,aditivos!$A$2:$A$200,0))),MIN(INDEX(aditivos!$O$2:$O$200,MATCH($A105,aditivos!$A$2:$A$200,0)),posicao_contratual!$Y105),posicao_contratual!$Y105),posicao_contratual!$Y105)+1),2))))))</f>
        <v/>
      </c>
      <c r="G105" s="79" t="str">
        <f>IF(OR($A105="",posicao_contratual!$Y105=""),"",IF(posicao_contratual!$Y105&gt;4,"",IF(NOT(ISNUMBER(itens_Remanesc!C105)),"",IF(posicao_contratual!$Y105=4,IF(IFERROR(IF(ISNUMBER(INDEX(aditivos!$O$2:$O$200,MATCH($A105,aditivos!$A$2:$A$200,0))),MIN(INDEX(aditivos!$O$2:$O$200,MATCH($A105,aditivos!$A$2:$A$200,0)),posicao_contratual!$Y105),posicao_contratual!$Y105),posicao_contratual!$Y105)=4,itens_Remanesc!C105,IFERROR(ROUND(itens_Remanesc!C105*INDEX($L$2:$L$6,MIN(4+1,COUNT($L$2:$L$6)))/INDEX($L$2:$L$6,MIN(IFERROR(IF(ISNUMBER(INDEX(aditivos!$O$2:$O$200,MATCH($A105,aditivos!$A$2:$A$200,0))),MIN(INDEX(aditivos!$O$2:$O$200,MATCH($A105,aditivos!$A$2:$A$200,0)),posicao_contratual!$Y105),posicao_contratual!$Y105),posicao_contratual!$Y105)+1,COUNT($L$2:$L$6))),2),"")),IF(OR(NOT(ISNUMBER($L$6)),NOT(ISNUMBER(INDEX($L$2:$L$6,IFERROR(IF(ISNUMBER(INDEX(aditivos!$O$2:$O$200,MATCH($A105,aditivos!$A$2:$A$200,0))),MIN(INDEX(aditivos!$O$2:$O$200,MATCH($A105,aditivos!$A$2:$A$200,0)),posicao_contratual!$Y105),posicao_contratual!$Y105),posicao_contratual!$Y105)+1)))),"",ROUND(itens_Remanesc!C105*$L$6/INDEX($L$2:$L$6,IFERROR(IF(ISNUMBER(INDEX(aditivos!$O$2:$O$200,MATCH($A105,aditivos!$A$2:$A$200,0))),MIN(INDEX(aditivos!$O$2:$O$200,MATCH($A105,aditivos!$A$2:$A$200,0)),posicao_contratual!$Y105),posicao_contratual!$Y105),posicao_contratual!$Y105)+1),2))))))</f>
        <v/>
      </c>
      <c r="H105" s="116" t="str">
        <f t="shared" si="3"/>
        <v/>
      </c>
      <c r="I105" s="13"/>
      <c r="J105" s="13"/>
      <c r="K105" s="13"/>
      <c r="L105" s="13"/>
      <c r="M105" s="13"/>
      <c r="N105" s="147" t="str">
        <f>IF(A105="","",IF(posicao_contratual!$Y105="","",IF(posicao_contratual!$Y105&gt;0,"",posicao_contratual!E105)))</f>
        <v/>
      </c>
      <c r="O105" s="147" t="str">
        <f>IF(A105="","",IF(posicao_contratual!$Y105="","",IF(posicao_contratual!$Y105&gt;1,"",posicao_contratual!I105)))</f>
        <v/>
      </c>
      <c r="P105" s="147" t="str">
        <f>IF(A105="","",IF(posicao_contratual!$Y105="","",IF(posicao_contratual!$Y105&gt;2,"",posicao_contratual!M105)))</f>
        <v/>
      </c>
      <c r="Q105" s="147" t="str">
        <f>IF(A105="","",IF(posicao_contratual!$Y105="","",IF(posicao_contratual!$Y105&gt;3,"",posicao_contratual!Q105)))</f>
        <v/>
      </c>
      <c r="R105" s="147" t="str">
        <f>IF(A105="","",IF(posicao_contratual!$Y105="","",IF(posicao_contratual!$Y105&gt;4,"",posicao_contratual!U105)))</f>
        <v/>
      </c>
      <c r="S105" s="167" t="str">
        <f>IF(A105="","",posicao_contratual!G105)</f>
        <v/>
      </c>
      <c r="T105" s="167" t="str">
        <f>IF(A105="","",posicao_contratual!K105)</f>
        <v/>
      </c>
      <c r="U105" s="167" t="str">
        <f>IF(A105="","",posicao_contratual!O105)</f>
        <v/>
      </c>
      <c r="V105" s="167" t="str">
        <f>IF(A105="","",posicao_contratual!S105)</f>
        <v/>
      </c>
      <c r="W105" s="167" t="str">
        <f>IF(A105="","",posicao_contratual!W105)</f>
        <v/>
      </c>
    </row>
    <row r="106" spans="1:23" x14ac:dyDescent="0.35">
      <c r="A106" s="86" t="str">
        <f>IF(itens_Remanesc!A106="","",itens_Remanesc!A106)</f>
        <v/>
      </c>
      <c r="B106" s="85" t="str">
        <f>IF(A106="","",IF(posicao_contratual!$Y106="","",IF(posicao_contratual!$Y106&gt;0,"",posicao_contratual!G106)))</f>
        <v/>
      </c>
      <c r="C106" s="79" t="str">
        <f>IF(itens_Remanesc!A106="","",IF(posicao_contratual!$Y106="","",IF(posicao_contratual!$Y106&gt;0,"",itens_Remanesc!C106)))</f>
        <v/>
      </c>
      <c r="D106" s="79" t="str">
        <f>IF(OR($A106="",posicao_contratual!$Y106=""),"",IF(posicao_contratual!$Y106&gt;1,"",IF(NOT(ISNUMBER(itens_Remanesc!C106)),"",IF(posicao_contratual!$Y106=1,IF(IFERROR(IF(ISNUMBER(INDEX(aditivos!$O$2:$O$200,MATCH($A106,aditivos!$A$2:$A$200,0))),MIN(INDEX(aditivos!$O$2:$O$200,MATCH($A106,aditivos!$A$2:$A$200,0)),posicao_contratual!$Y106),posicao_contratual!$Y106),posicao_contratual!$Y106)=1,itens_Remanesc!C106,IFERROR(ROUND(itens_Remanesc!C106*INDEX($L$2:$L$6,MIN(1+1,COUNT($L$2:$L$6)))/INDEX($L$2:$L$6,MIN(IFERROR(IF(ISNUMBER(INDEX(aditivos!$O$2:$O$200,MATCH($A106,aditivos!$A$2:$A$200,0))),MIN(INDEX(aditivos!$O$2:$O$200,MATCH($A106,aditivos!$A$2:$A$200,0)),posicao_contratual!$Y106),posicao_contratual!$Y106),posicao_contratual!$Y106)+1,COUNT($L$2:$L$6))),2),"")),IF(OR(NOT(ISNUMBER($L$3)),NOT(ISNUMBER(INDEX($L$2:$L$6,IFERROR(IF(ISNUMBER(INDEX(aditivos!$O$2:$O$200,MATCH($A106,aditivos!$A$2:$A$200,0))),MIN(INDEX(aditivos!$O$2:$O$200,MATCH($A106,aditivos!$A$2:$A$200,0)),posicao_contratual!$Y106),posicao_contratual!$Y106),posicao_contratual!$Y106)+1)))),"",ROUND(itens_Remanesc!C106*$L$3/INDEX($L$2:$L$6,IFERROR(IF(ISNUMBER(INDEX(aditivos!$O$2:$O$200,MATCH($A106,aditivos!$A$2:$A$200,0))),MIN(INDEX(aditivos!$O$2:$O$200,MATCH($A106,aditivos!$A$2:$A$200,0)),posicao_contratual!$Y106),posicao_contratual!$Y106),posicao_contratual!$Y106)+1),2))))))</f>
        <v/>
      </c>
      <c r="E106" s="79" t="str">
        <f>IF(OR($A106="",posicao_contratual!$Y106=""),"",IF(posicao_contratual!$Y106&gt;2,"",IF(NOT(ISNUMBER(itens_Remanesc!C106)),"",IF(posicao_contratual!$Y106=2,IF(IFERROR(IF(ISNUMBER(INDEX(aditivos!$O$2:$O$200,MATCH($A106,aditivos!$A$2:$A$200,0))),MIN(INDEX(aditivos!$O$2:$O$200,MATCH($A106,aditivos!$A$2:$A$200,0)),posicao_contratual!$Y106),posicao_contratual!$Y106),posicao_contratual!$Y106)=2,itens_Remanesc!C106,IFERROR(ROUND(itens_Remanesc!C106*INDEX($L$2:$L$6,MIN(2+1,COUNT($L$2:$L$6)))/INDEX($L$2:$L$6,MIN(IFERROR(IF(ISNUMBER(INDEX(aditivos!$O$2:$O$200,MATCH($A106,aditivos!$A$2:$A$200,0))),MIN(INDEX(aditivos!$O$2:$O$200,MATCH($A106,aditivos!$A$2:$A$200,0)),posicao_contratual!$Y106),posicao_contratual!$Y106),posicao_contratual!$Y106)+1,COUNT($L$2:$L$6))),2),"")),IF(OR(NOT(ISNUMBER($L$4)),NOT(ISNUMBER(INDEX($L$2:$L$6,IFERROR(IF(ISNUMBER(INDEX(aditivos!$O$2:$O$200,MATCH($A106,aditivos!$A$2:$A$200,0))),MIN(INDEX(aditivos!$O$2:$O$200,MATCH($A106,aditivos!$A$2:$A$200,0)),posicao_contratual!$Y106),posicao_contratual!$Y106),posicao_contratual!$Y106)+1)))),"",ROUND(itens_Remanesc!C106*$L$4/INDEX($L$2:$L$6,IFERROR(IF(ISNUMBER(INDEX(aditivos!$O$2:$O$200,MATCH($A106,aditivos!$A$2:$A$200,0))),MIN(INDEX(aditivos!$O$2:$O$200,MATCH($A106,aditivos!$A$2:$A$200,0)),posicao_contratual!$Y106),posicao_contratual!$Y106),posicao_contratual!$Y106)+1),2))))))</f>
        <v/>
      </c>
      <c r="F106" s="79" t="str">
        <f>IF(OR($A106="",posicao_contratual!$Y106=""),"",IF(posicao_contratual!$Y106&gt;3,"",IF(NOT(ISNUMBER(itens_Remanesc!C106)),"",IF(posicao_contratual!$Y106=3,IF(IFERROR(IF(ISNUMBER(INDEX(aditivos!$O$2:$O$200,MATCH($A106,aditivos!$A$2:$A$200,0))),MIN(INDEX(aditivos!$O$2:$O$200,MATCH($A106,aditivos!$A$2:$A$200,0)),posicao_contratual!$Y106),posicao_contratual!$Y106),posicao_contratual!$Y106)=3,itens_Remanesc!C106,IFERROR(ROUND(itens_Remanesc!C106*INDEX($L$2:$L$6,MIN(3+1,COUNT($L$2:$L$6)))/INDEX($L$2:$L$6,MIN(IFERROR(IF(ISNUMBER(INDEX(aditivos!$O$2:$O$200,MATCH($A106,aditivos!$A$2:$A$200,0))),MIN(INDEX(aditivos!$O$2:$O$200,MATCH($A106,aditivos!$A$2:$A$200,0)),posicao_contratual!$Y106),posicao_contratual!$Y106),posicao_contratual!$Y106)+1,COUNT($L$2:$L$6))),2),"")),IF(OR(NOT(ISNUMBER($L$5)),NOT(ISNUMBER(INDEX($L$2:$L$6,IFERROR(IF(ISNUMBER(INDEX(aditivos!$O$2:$O$200,MATCH($A106,aditivos!$A$2:$A$200,0))),MIN(INDEX(aditivos!$O$2:$O$200,MATCH($A106,aditivos!$A$2:$A$200,0)),posicao_contratual!$Y106),posicao_contratual!$Y106),posicao_contratual!$Y106)+1)))),"",ROUND(itens_Remanesc!C106*$L$5/INDEX($L$2:$L$6,IFERROR(IF(ISNUMBER(INDEX(aditivos!$O$2:$O$200,MATCH($A106,aditivos!$A$2:$A$200,0))),MIN(INDEX(aditivos!$O$2:$O$200,MATCH($A106,aditivos!$A$2:$A$200,0)),posicao_contratual!$Y106),posicao_contratual!$Y106),posicao_contratual!$Y106)+1),2))))))</f>
        <v/>
      </c>
      <c r="G106" s="79" t="str">
        <f>IF(OR($A106="",posicao_contratual!$Y106=""),"",IF(posicao_contratual!$Y106&gt;4,"",IF(NOT(ISNUMBER(itens_Remanesc!C106)),"",IF(posicao_contratual!$Y106=4,IF(IFERROR(IF(ISNUMBER(INDEX(aditivos!$O$2:$O$200,MATCH($A106,aditivos!$A$2:$A$200,0))),MIN(INDEX(aditivos!$O$2:$O$200,MATCH($A106,aditivos!$A$2:$A$200,0)),posicao_contratual!$Y106),posicao_contratual!$Y106),posicao_contratual!$Y106)=4,itens_Remanesc!C106,IFERROR(ROUND(itens_Remanesc!C106*INDEX($L$2:$L$6,MIN(4+1,COUNT($L$2:$L$6)))/INDEX($L$2:$L$6,MIN(IFERROR(IF(ISNUMBER(INDEX(aditivos!$O$2:$O$200,MATCH($A106,aditivos!$A$2:$A$200,0))),MIN(INDEX(aditivos!$O$2:$O$200,MATCH($A106,aditivos!$A$2:$A$200,0)),posicao_contratual!$Y106),posicao_contratual!$Y106),posicao_contratual!$Y106)+1,COUNT($L$2:$L$6))),2),"")),IF(OR(NOT(ISNUMBER($L$6)),NOT(ISNUMBER(INDEX($L$2:$L$6,IFERROR(IF(ISNUMBER(INDEX(aditivos!$O$2:$O$200,MATCH($A106,aditivos!$A$2:$A$200,0))),MIN(INDEX(aditivos!$O$2:$O$200,MATCH($A106,aditivos!$A$2:$A$200,0)),posicao_contratual!$Y106),posicao_contratual!$Y106),posicao_contratual!$Y106)+1)))),"",ROUND(itens_Remanesc!C106*$L$6/INDEX($L$2:$L$6,IFERROR(IF(ISNUMBER(INDEX(aditivos!$O$2:$O$200,MATCH($A106,aditivos!$A$2:$A$200,0))),MIN(INDEX(aditivos!$O$2:$O$200,MATCH($A106,aditivos!$A$2:$A$200,0)),posicao_contratual!$Y106),posicao_contratual!$Y106),posicao_contratual!$Y106)+1),2))))))</f>
        <v/>
      </c>
      <c r="H106" s="116" t="str">
        <f t="shared" si="3"/>
        <v/>
      </c>
      <c r="I106" s="13"/>
      <c r="J106" s="13"/>
      <c r="K106" s="13"/>
      <c r="L106" s="13"/>
      <c r="M106" s="13"/>
      <c r="N106" s="147" t="str">
        <f>IF(A106="","",IF(posicao_contratual!$Y106="","",IF(posicao_contratual!$Y106&gt;0,"",posicao_contratual!E106)))</f>
        <v/>
      </c>
      <c r="O106" s="147" t="str">
        <f>IF(A106="","",IF(posicao_contratual!$Y106="","",IF(posicao_contratual!$Y106&gt;1,"",posicao_contratual!I106)))</f>
        <v/>
      </c>
      <c r="P106" s="147" t="str">
        <f>IF(A106="","",IF(posicao_contratual!$Y106="","",IF(posicao_contratual!$Y106&gt;2,"",posicao_contratual!M106)))</f>
        <v/>
      </c>
      <c r="Q106" s="147" t="str">
        <f>IF(A106="","",IF(posicao_contratual!$Y106="","",IF(posicao_contratual!$Y106&gt;3,"",posicao_contratual!Q106)))</f>
        <v/>
      </c>
      <c r="R106" s="147" t="str">
        <f>IF(A106="","",IF(posicao_contratual!$Y106="","",IF(posicao_contratual!$Y106&gt;4,"",posicao_contratual!U106)))</f>
        <v/>
      </c>
      <c r="S106" s="167" t="str">
        <f>IF(A106="","",posicao_contratual!G106)</f>
        <v/>
      </c>
      <c r="T106" s="167" t="str">
        <f>IF(A106="","",posicao_contratual!K106)</f>
        <v/>
      </c>
      <c r="U106" s="167" t="str">
        <f>IF(A106="","",posicao_contratual!O106)</f>
        <v/>
      </c>
      <c r="V106" s="167" t="str">
        <f>IF(A106="","",posicao_contratual!S106)</f>
        <v/>
      </c>
      <c r="W106" s="167" t="str">
        <f>IF(A106="","",posicao_contratual!W106)</f>
        <v/>
      </c>
    </row>
    <row r="107" spans="1:23" x14ac:dyDescent="0.35">
      <c r="A107" s="86" t="str">
        <f>IF(itens_Remanesc!A107="","",itens_Remanesc!A107)</f>
        <v/>
      </c>
      <c r="B107" s="85" t="str">
        <f>IF(A107="","",IF(posicao_contratual!$Y107="","",IF(posicao_contratual!$Y107&gt;0,"",posicao_contratual!G107)))</f>
        <v/>
      </c>
      <c r="C107" s="79" t="str">
        <f>IF(itens_Remanesc!A107="","",IF(posicao_contratual!$Y107="","",IF(posicao_contratual!$Y107&gt;0,"",itens_Remanesc!C107)))</f>
        <v/>
      </c>
      <c r="D107" s="79" t="str">
        <f>IF(OR($A107="",posicao_contratual!$Y107=""),"",IF(posicao_contratual!$Y107&gt;1,"",IF(NOT(ISNUMBER(itens_Remanesc!C107)),"",IF(posicao_contratual!$Y107=1,IF(IFERROR(IF(ISNUMBER(INDEX(aditivos!$O$2:$O$200,MATCH($A107,aditivos!$A$2:$A$200,0))),MIN(INDEX(aditivos!$O$2:$O$200,MATCH($A107,aditivos!$A$2:$A$200,0)),posicao_contratual!$Y107),posicao_contratual!$Y107),posicao_contratual!$Y107)=1,itens_Remanesc!C107,IFERROR(ROUND(itens_Remanesc!C107*INDEX($L$2:$L$6,MIN(1+1,COUNT($L$2:$L$6)))/INDEX($L$2:$L$6,MIN(IFERROR(IF(ISNUMBER(INDEX(aditivos!$O$2:$O$200,MATCH($A107,aditivos!$A$2:$A$200,0))),MIN(INDEX(aditivos!$O$2:$O$200,MATCH($A107,aditivos!$A$2:$A$200,0)),posicao_contratual!$Y107),posicao_contratual!$Y107),posicao_contratual!$Y107)+1,COUNT($L$2:$L$6))),2),"")),IF(OR(NOT(ISNUMBER($L$3)),NOT(ISNUMBER(INDEX($L$2:$L$6,IFERROR(IF(ISNUMBER(INDEX(aditivos!$O$2:$O$200,MATCH($A107,aditivos!$A$2:$A$200,0))),MIN(INDEX(aditivos!$O$2:$O$200,MATCH($A107,aditivos!$A$2:$A$200,0)),posicao_contratual!$Y107),posicao_contratual!$Y107),posicao_contratual!$Y107)+1)))),"",ROUND(itens_Remanesc!C107*$L$3/INDEX($L$2:$L$6,IFERROR(IF(ISNUMBER(INDEX(aditivos!$O$2:$O$200,MATCH($A107,aditivos!$A$2:$A$200,0))),MIN(INDEX(aditivos!$O$2:$O$200,MATCH($A107,aditivos!$A$2:$A$200,0)),posicao_contratual!$Y107),posicao_contratual!$Y107),posicao_contratual!$Y107)+1),2))))))</f>
        <v/>
      </c>
      <c r="E107" s="79" t="str">
        <f>IF(OR($A107="",posicao_contratual!$Y107=""),"",IF(posicao_contratual!$Y107&gt;2,"",IF(NOT(ISNUMBER(itens_Remanesc!C107)),"",IF(posicao_contratual!$Y107=2,IF(IFERROR(IF(ISNUMBER(INDEX(aditivos!$O$2:$O$200,MATCH($A107,aditivos!$A$2:$A$200,0))),MIN(INDEX(aditivos!$O$2:$O$200,MATCH($A107,aditivos!$A$2:$A$200,0)),posicao_contratual!$Y107),posicao_contratual!$Y107),posicao_contratual!$Y107)=2,itens_Remanesc!C107,IFERROR(ROUND(itens_Remanesc!C107*INDEX($L$2:$L$6,MIN(2+1,COUNT($L$2:$L$6)))/INDEX($L$2:$L$6,MIN(IFERROR(IF(ISNUMBER(INDEX(aditivos!$O$2:$O$200,MATCH($A107,aditivos!$A$2:$A$200,0))),MIN(INDEX(aditivos!$O$2:$O$200,MATCH($A107,aditivos!$A$2:$A$200,0)),posicao_contratual!$Y107),posicao_contratual!$Y107),posicao_contratual!$Y107)+1,COUNT($L$2:$L$6))),2),"")),IF(OR(NOT(ISNUMBER($L$4)),NOT(ISNUMBER(INDEX($L$2:$L$6,IFERROR(IF(ISNUMBER(INDEX(aditivos!$O$2:$O$200,MATCH($A107,aditivos!$A$2:$A$200,0))),MIN(INDEX(aditivos!$O$2:$O$200,MATCH($A107,aditivos!$A$2:$A$200,0)),posicao_contratual!$Y107),posicao_contratual!$Y107),posicao_contratual!$Y107)+1)))),"",ROUND(itens_Remanesc!C107*$L$4/INDEX($L$2:$L$6,IFERROR(IF(ISNUMBER(INDEX(aditivos!$O$2:$O$200,MATCH($A107,aditivos!$A$2:$A$200,0))),MIN(INDEX(aditivos!$O$2:$O$200,MATCH($A107,aditivos!$A$2:$A$200,0)),posicao_contratual!$Y107),posicao_contratual!$Y107),posicao_contratual!$Y107)+1),2))))))</f>
        <v/>
      </c>
      <c r="F107" s="79" t="str">
        <f>IF(OR($A107="",posicao_contratual!$Y107=""),"",IF(posicao_contratual!$Y107&gt;3,"",IF(NOT(ISNUMBER(itens_Remanesc!C107)),"",IF(posicao_contratual!$Y107=3,IF(IFERROR(IF(ISNUMBER(INDEX(aditivos!$O$2:$O$200,MATCH($A107,aditivos!$A$2:$A$200,0))),MIN(INDEX(aditivos!$O$2:$O$200,MATCH($A107,aditivos!$A$2:$A$200,0)),posicao_contratual!$Y107),posicao_contratual!$Y107),posicao_contratual!$Y107)=3,itens_Remanesc!C107,IFERROR(ROUND(itens_Remanesc!C107*INDEX($L$2:$L$6,MIN(3+1,COUNT($L$2:$L$6)))/INDEX($L$2:$L$6,MIN(IFERROR(IF(ISNUMBER(INDEX(aditivos!$O$2:$O$200,MATCH($A107,aditivos!$A$2:$A$200,0))),MIN(INDEX(aditivos!$O$2:$O$200,MATCH($A107,aditivos!$A$2:$A$200,0)),posicao_contratual!$Y107),posicao_contratual!$Y107),posicao_contratual!$Y107)+1,COUNT($L$2:$L$6))),2),"")),IF(OR(NOT(ISNUMBER($L$5)),NOT(ISNUMBER(INDEX($L$2:$L$6,IFERROR(IF(ISNUMBER(INDEX(aditivos!$O$2:$O$200,MATCH($A107,aditivos!$A$2:$A$200,0))),MIN(INDEX(aditivos!$O$2:$O$200,MATCH($A107,aditivos!$A$2:$A$200,0)),posicao_contratual!$Y107),posicao_contratual!$Y107),posicao_contratual!$Y107)+1)))),"",ROUND(itens_Remanesc!C107*$L$5/INDEX($L$2:$L$6,IFERROR(IF(ISNUMBER(INDEX(aditivos!$O$2:$O$200,MATCH($A107,aditivos!$A$2:$A$200,0))),MIN(INDEX(aditivos!$O$2:$O$200,MATCH($A107,aditivos!$A$2:$A$200,0)),posicao_contratual!$Y107),posicao_contratual!$Y107),posicao_contratual!$Y107)+1),2))))))</f>
        <v/>
      </c>
      <c r="G107" s="79" t="str">
        <f>IF(OR($A107="",posicao_contratual!$Y107=""),"",IF(posicao_contratual!$Y107&gt;4,"",IF(NOT(ISNUMBER(itens_Remanesc!C107)),"",IF(posicao_contratual!$Y107=4,IF(IFERROR(IF(ISNUMBER(INDEX(aditivos!$O$2:$O$200,MATCH($A107,aditivos!$A$2:$A$200,0))),MIN(INDEX(aditivos!$O$2:$O$200,MATCH($A107,aditivos!$A$2:$A$200,0)),posicao_contratual!$Y107),posicao_contratual!$Y107),posicao_contratual!$Y107)=4,itens_Remanesc!C107,IFERROR(ROUND(itens_Remanesc!C107*INDEX($L$2:$L$6,MIN(4+1,COUNT($L$2:$L$6)))/INDEX($L$2:$L$6,MIN(IFERROR(IF(ISNUMBER(INDEX(aditivos!$O$2:$O$200,MATCH($A107,aditivos!$A$2:$A$200,0))),MIN(INDEX(aditivos!$O$2:$O$200,MATCH($A107,aditivos!$A$2:$A$200,0)),posicao_contratual!$Y107),posicao_contratual!$Y107),posicao_contratual!$Y107)+1,COUNT($L$2:$L$6))),2),"")),IF(OR(NOT(ISNUMBER($L$6)),NOT(ISNUMBER(INDEX($L$2:$L$6,IFERROR(IF(ISNUMBER(INDEX(aditivos!$O$2:$O$200,MATCH($A107,aditivos!$A$2:$A$200,0))),MIN(INDEX(aditivos!$O$2:$O$200,MATCH($A107,aditivos!$A$2:$A$200,0)),posicao_contratual!$Y107),posicao_contratual!$Y107),posicao_contratual!$Y107)+1)))),"",ROUND(itens_Remanesc!C107*$L$6/INDEX($L$2:$L$6,IFERROR(IF(ISNUMBER(INDEX(aditivos!$O$2:$O$200,MATCH($A107,aditivos!$A$2:$A$200,0))),MIN(INDEX(aditivos!$O$2:$O$200,MATCH($A107,aditivos!$A$2:$A$200,0)),posicao_contratual!$Y107),posicao_contratual!$Y107),posicao_contratual!$Y107)+1),2))))))</f>
        <v/>
      </c>
      <c r="H107" s="116" t="str">
        <f t="shared" si="3"/>
        <v/>
      </c>
      <c r="I107" s="13"/>
      <c r="J107" s="13"/>
      <c r="K107" s="13"/>
      <c r="L107" s="13"/>
      <c r="M107" s="13"/>
      <c r="N107" s="147" t="str">
        <f>IF(A107="","",IF(posicao_contratual!$Y107="","",IF(posicao_contratual!$Y107&gt;0,"",posicao_contratual!E107)))</f>
        <v/>
      </c>
      <c r="O107" s="147" t="str">
        <f>IF(A107="","",IF(posicao_contratual!$Y107="","",IF(posicao_contratual!$Y107&gt;1,"",posicao_contratual!I107)))</f>
        <v/>
      </c>
      <c r="P107" s="147" t="str">
        <f>IF(A107="","",IF(posicao_contratual!$Y107="","",IF(posicao_contratual!$Y107&gt;2,"",posicao_contratual!M107)))</f>
        <v/>
      </c>
      <c r="Q107" s="147" t="str">
        <f>IF(A107="","",IF(posicao_contratual!$Y107="","",IF(posicao_contratual!$Y107&gt;3,"",posicao_contratual!Q107)))</f>
        <v/>
      </c>
      <c r="R107" s="147" t="str">
        <f>IF(A107="","",IF(posicao_contratual!$Y107="","",IF(posicao_contratual!$Y107&gt;4,"",posicao_contratual!U107)))</f>
        <v/>
      </c>
      <c r="S107" s="167" t="str">
        <f>IF(A107="","",posicao_contratual!G107)</f>
        <v/>
      </c>
      <c r="T107" s="167" t="str">
        <f>IF(A107="","",posicao_contratual!K107)</f>
        <v/>
      </c>
      <c r="U107" s="167" t="str">
        <f>IF(A107="","",posicao_contratual!O107)</f>
        <v/>
      </c>
      <c r="V107" s="167" t="str">
        <f>IF(A107="","",posicao_contratual!S107)</f>
        <v/>
      </c>
      <c r="W107" s="167" t="str">
        <f>IF(A107="","",posicao_contratual!W107)</f>
        <v/>
      </c>
    </row>
    <row r="108" spans="1:23" x14ac:dyDescent="0.35">
      <c r="A108" s="86" t="str">
        <f>IF(itens_Remanesc!A108="","",itens_Remanesc!A108)</f>
        <v/>
      </c>
      <c r="B108" s="85" t="str">
        <f>IF(A108="","",IF(posicao_contratual!$Y108="","",IF(posicao_contratual!$Y108&gt;0,"",posicao_contratual!G108)))</f>
        <v/>
      </c>
      <c r="C108" s="79" t="str">
        <f>IF(itens_Remanesc!A108="","",IF(posicao_contratual!$Y108="","",IF(posicao_contratual!$Y108&gt;0,"",itens_Remanesc!C108)))</f>
        <v/>
      </c>
      <c r="D108" s="79" t="str">
        <f>IF(OR($A108="",posicao_contratual!$Y108=""),"",IF(posicao_contratual!$Y108&gt;1,"",IF(NOT(ISNUMBER(itens_Remanesc!C108)),"",IF(posicao_contratual!$Y108=1,IF(IFERROR(IF(ISNUMBER(INDEX(aditivos!$O$2:$O$200,MATCH($A108,aditivos!$A$2:$A$200,0))),MIN(INDEX(aditivos!$O$2:$O$200,MATCH($A108,aditivos!$A$2:$A$200,0)),posicao_contratual!$Y108),posicao_contratual!$Y108),posicao_contratual!$Y108)=1,itens_Remanesc!C108,IFERROR(ROUND(itens_Remanesc!C108*INDEX($L$2:$L$6,MIN(1+1,COUNT($L$2:$L$6)))/INDEX($L$2:$L$6,MIN(IFERROR(IF(ISNUMBER(INDEX(aditivos!$O$2:$O$200,MATCH($A108,aditivos!$A$2:$A$200,0))),MIN(INDEX(aditivos!$O$2:$O$200,MATCH($A108,aditivos!$A$2:$A$200,0)),posicao_contratual!$Y108),posicao_contratual!$Y108),posicao_contratual!$Y108)+1,COUNT($L$2:$L$6))),2),"")),IF(OR(NOT(ISNUMBER($L$3)),NOT(ISNUMBER(INDEX($L$2:$L$6,IFERROR(IF(ISNUMBER(INDEX(aditivos!$O$2:$O$200,MATCH($A108,aditivos!$A$2:$A$200,0))),MIN(INDEX(aditivos!$O$2:$O$200,MATCH($A108,aditivos!$A$2:$A$200,0)),posicao_contratual!$Y108),posicao_contratual!$Y108),posicao_contratual!$Y108)+1)))),"",ROUND(itens_Remanesc!C108*$L$3/INDEX($L$2:$L$6,IFERROR(IF(ISNUMBER(INDEX(aditivos!$O$2:$O$200,MATCH($A108,aditivos!$A$2:$A$200,0))),MIN(INDEX(aditivos!$O$2:$O$200,MATCH($A108,aditivos!$A$2:$A$200,0)),posicao_contratual!$Y108),posicao_contratual!$Y108),posicao_contratual!$Y108)+1),2))))))</f>
        <v/>
      </c>
      <c r="E108" s="79" t="str">
        <f>IF(OR($A108="",posicao_contratual!$Y108=""),"",IF(posicao_contratual!$Y108&gt;2,"",IF(NOT(ISNUMBER(itens_Remanesc!C108)),"",IF(posicao_contratual!$Y108=2,IF(IFERROR(IF(ISNUMBER(INDEX(aditivos!$O$2:$O$200,MATCH($A108,aditivos!$A$2:$A$200,0))),MIN(INDEX(aditivos!$O$2:$O$200,MATCH($A108,aditivos!$A$2:$A$200,0)),posicao_contratual!$Y108),posicao_contratual!$Y108),posicao_contratual!$Y108)=2,itens_Remanesc!C108,IFERROR(ROUND(itens_Remanesc!C108*INDEX($L$2:$L$6,MIN(2+1,COUNT($L$2:$L$6)))/INDEX($L$2:$L$6,MIN(IFERROR(IF(ISNUMBER(INDEX(aditivos!$O$2:$O$200,MATCH($A108,aditivos!$A$2:$A$200,0))),MIN(INDEX(aditivos!$O$2:$O$200,MATCH($A108,aditivos!$A$2:$A$200,0)),posicao_contratual!$Y108),posicao_contratual!$Y108),posicao_contratual!$Y108)+1,COUNT($L$2:$L$6))),2),"")),IF(OR(NOT(ISNUMBER($L$4)),NOT(ISNUMBER(INDEX($L$2:$L$6,IFERROR(IF(ISNUMBER(INDEX(aditivos!$O$2:$O$200,MATCH($A108,aditivos!$A$2:$A$200,0))),MIN(INDEX(aditivos!$O$2:$O$200,MATCH($A108,aditivos!$A$2:$A$200,0)),posicao_contratual!$Y108),posicao_contratual!$Y108),posicao_contratual!$Y108)+1)))),"",ROUND(itens_Remanesc!C108*$L$4/INDEX($L$2:$L$6,IFERROR(IF(ISNUMBER(INDEX(aditivos!$O$2:$O$200,MATCH($A108,aditivos!$A$2:$A$200,0))),MIN(INDEX(aditivos!$O$2:$O$200,MATCH($A108,aditivos!$A$2:$A$200,0)),posicao_contratual!$Y108),posicao_contratual!$Y108),posicao_contratual!$Y108)+1),2))))))</f>
        <v/>
      </c>
      <c r="F108" s="79" t="str">
        <f>IF(OR($A108="",posicao_contratual!$Y108=""),"",IF(posicao_contratual!$Y108&gt;3,"",IF(NOT(ISNUMBER(itens_Remanesc!C108)),"",IF(posicao_contratual!$Y108=3,IF(IFERROR(IF(ISNUMBER(INDEX(aditivos!$O$2:$O$200,MATCH($A108,aditivos!$A$2:$A$200,0))),MIN(INDEX(aditivos!$O$2:$O$200,MATCH($A108,aditivos!$A$2:$A$200,0)),posicao_contratual!$Y108),posicao_contratual!$Y108),posicao_contratual!$Y108)=3,itens_Remanesc!C108,IFERROR(ROUND(itens_Remanesc!C108*INDEX($L$2:$L$6,MIN(3+1,COUNT($L$2:$L$6)))/INDEX($L$2:$L$6,MIN(IFERROR(IF(ISNUMBER(INDEX(aditivos!$O$2:$O$200,MATCH($A108,aditivos!$A$2:$A$200,0))),MIN(INDEX(aditivos!$O$2:$O$200,MATCH($A108,aditivos!$A$2:$A$200,0)),posicao_contratual!$Y108),posicao_contratual!$Y108),posicao_contratual!$Y108)+1,COUNT($L$2:$L$6))),2),"")),IF(OR(NOT(ISNUMBER($L$5)),NOT(ISNUMBER(INDEX($L$2:$L$6,IFERROR(IF(ISNUMBER(INDEX(aditivos!$O$2:$O$200,MATCH($A108,aditivos!$A$2:$A$200,0))),MIN(INDEX(aditivos!$O$2:$O$200,MATCH($A108,aditivos!$A$2:$A$200,0)),posicao_contratual!$Y108),posicao_contratual!$Y108),posicao_contratual!$Y108)+1)))),"",ROUND(itens_Remanesc!C108*$L$5/INDEX($L$2:$L$6,IFERROR(IF(ISNUMBER(INDEX(aditivos!$O$2:$O$200,MATCH($A108,aditivos!$A$2:$A$200,0))),MIN(INDEX(aditivos!$O$2:$O$200,MATCH($A108,aditivos!$A$2:$A$200,0)),posicao_contratual!$Y108),posicao_contratual!$Y108),posicao_contratual!$Y108)+1),2))))))</f>
        <v/>
      </c>
      <c r="G108" s="79" t="str">
        <f>IF(OR($A108="",posicao_contratual!$Y108=""),"",IF(posicao_contratual!$Y108&gt;4,"",IF(NOT(ISNUMBER(itens_Remanesc!C108)),"",IF(posicao_contratual!$Y108=4,IF(IFERROR(IF(ISNUMBER(INDEX(aditivos!$O$2:$O$200,MATCH($A108,aditivos!$A$2:$A$200,0))),MIN(INDEX(aditivos!$O$2:$O$200,MATCH($A108,aditivos!$A$2:$A$200,0)),posicao_contratual!$Y108),posicao_contratual!$Y108),posicao_contratual!$Y108)=4,itens_Remanesc!C108,IFERROR(ROUND(itens_Remanesc!C108*INDEX($L$2:$L$6,MIN(4+1,COUNT($L$2:$L$6)))/INDEX($L$2:$L$6,MIN(IFERROR(IF(ISNUMBER(INDEX(aditivos!$O$2:$O$200,MATCH($A108,aditivos!$A$2:$A$200,0))),MIN(INDEX(aditivos!$O$2:$O$200,MATCH($A108,aditivos!$A$2:$A$200,0)),posicao_contratual!$Y108),posicao_contratual!$Y108),posicao_contratual!$Y108)+1,COUNT($L$2:$L$6))),2),"")),IF(OR(NOT(ISNUMBER($L$6)),NOT(ISNUMBER(INDEX($L$2:$L$6,IFERROR(IF(ISNUMBER(INDEX(aditivos!$O$2:$O$200,MATCH($A108,aditivos!$A$2:$A$200,0))),MIN(INDEX(aditivos!$O$2:$O$200,MATCH($A108,aditivos!$A$2:$A$200,0)),posicao_contratual!$Y108),posicao_contratual!$Y108),posicao_contratual!$Y108)+1)))),"",ROUND(itens_Remanesc!C108*$L$6/INDEX($L$2:$L$6,IFERROR(IF(ISNUMBER(INDEX(aditivos!$O$2:$O$200,MATCH($A108,aditivos!$A$2:$A$200,0))),MIN(INDEX(aditivos!$O$2:$O$200,MATCH($A108,aditivos!$A$2:$A$200,0)),posicao_contratual!$Y108),posicao_contratual!$Y108),posicao_contratual!$Y108)+1),2))))))</f>
        <v/>
      </c>
      <c r="H108" s="116" t="str">
        <f t="shared" si="3"/>
        <v/>
      </c>
      <c r="I108" s="13"/>
      <c r="J108" s="13"/>
      <c r="K108" s="13"/>
      <c r="L108" s="13"/>
      <c r="M108" s="13"/>
      <c r="N108" s="147" t="str">
        <f>IF(A108="","",IF(posicao_contratual!$Y108="","",IF(posicao_contratual!$Y108&gt;0,"",posicao_contratual!E108)))</f>
        <v/>
      </c>
      <c r="O108" s="147" t="str">
        <f>IF(A108="","",IF(posicao_contratual!$Y108="","",IF(posicao_contratual!$Y108&gt;1,"",posicao_contratual!I108)))</f>
        <v/>
      </c>
      <c r="P108" s="147" t="str">
        <f>IF(A108="","",IF(posicao_contratual!$Y108="","",IF(posicao_contratual!$Y108&gt;2,"",posicao_contratual!M108)))</f>
        <v/>
      </c>
      <c r="Q108" s="147" t="str">
        <f>IF(A108="","",IF(posicao_contratual!$Y108="","",IF(posicao_contratual!$Y108&gt;3,"",posicao_contratual!Q108)))</f>
        <v/>
      </c>
      <c r="R108" s="147" t="str">
        <f>IF(A108="","",IF(posicao_contratual!$Y108="","",IF(posicao_contratual!$Y108&gt;4,"",posicao_contratual!U108)))</f>
        <v/>
      </c>
      <c r="S108" s="167" t="str">
        <f>IF(A108="","",posicao_contratual!G108)</f>
        <v/>
      </c>
      <c r="T108" s="167" t="str">
        <f>IF(A108="","",posicao_contratual!K108)</f>
        <v/>
      </c>
      <c r="U108" s="167" t="str">
        <f>IF(A108="","",posicao_contratual!O108)</f>
        <v/>
      </c>
      <c r="V108" s="167" t="str">
        <f>IF(A108="","",posicao_contratual!S108)</f>
        <v/>
      </c>
      <c r="W108" s="167" t="str">
        <f>IF(A108="","",posicao_contratual!W108)</f>
        <v/>
      </c>
    </row>
    <row r="109" spans="1:23" x14ac:dyDescent="0.35">
      <c r="A109" s="86" t="str">
        <f>IF(itens_Remanesc!A109="","",itens_Remanesc!A109)</f>
        <v/>
      </c>
      <c r="B109" s="85" t="str">
        <f>IF(A109="","",IF(posicao_contratual!$Y109="","",IF(posicao_contratual!$Y109&gt;0,"",posicao_contratual!G109)))</f>
        <v/>
      </c>
      <c r="C109" s="79" t="str">
        <f>IF(itens_Remanesc!A109="","",IF(posicao_contratual!$Y109="","",IF(posicao_contratual!$Y109&gt;0,"",itens_Remanesc!C109)))</f>
        <v/>
      </c>
      <c r="D109" s="79" t="str">
        <f>IF(OR($A109="",posicao_contratual!$Y109=""),"",IF(posicao_contratual!$Y109&gt;1,"",IF(NOT(ISNUMBER(itens_Remanesc!C109)),"",IF(posicao_contratual!$Y109=1,IF(IFERROR(IF(ISNUMBER(INDEX(aditivos!$O$2:$O$200,MATCH($A109,aditivos!$A$2:$A$200,0))),MIN(INDEX(aditivos!$O$2:$O$200,MATCH($A109,aditivos!$A$2:$A$200,0)),posicao_contratual!$Y109),posicao_contratual!$Y109),posicao_contratual!$Y109)=1,itens_Remanesc!C109,IFERROR(ROUND(itens_Remanesc!C109*INDEX($L$2:$L$6,MIN(1+1,COUNT($L$2:$L$6)))/INDEX($L$2:$L$6,MIN(IFERROR(IF(ISNUMBER(INDEX(aditivos!$O$2:$O$200,MATCH($A109,aditivos!$A$2:$A$200,0))),MIN(INDEX(aditivos!$O$2:$O$200,MATCH($A109,aditivos!$A$2:$A$200,0)),posicao_contratual!$Y109),posicao_contratual!$Y109),posicao_contratual!$Y109)+1,COUNT($L$2:$L$6))),2),"")),IF(OR(NOT(ISNUMBER($L$3)),NOT(ISNUMBER(INDEX($L$2:$L$6,IFERROR(IF(ISNUMBER(INDEX(aditivos!$O$2:$O$200,MATCH($A109,aditivos!$A$2:$A$200,0))),MIN(INDEX(aditivos!$O$2:$O$200,MATCH($A109,aditivos!$A$2:$A$200,0)),posicao_contratual!$Y109),posicao_contratual!$Y109),posicao_contratual!$Y109)+1)))),"",ROUND(itens_Remanesc!C109*$L$3/INDEX($L$2:$L$6,IFERROR(IF(ISNUMBER(INDEX(aditivos!$O$2:$O$200,MATCH($A109,aditivos!$A$2:$A$200,0))),MIN(INDEX(aditivos!$O$2:$O$200,MATCH($A109,aditivos!$A$2:$A$200,0)),posicao_contratual!$Y109),posicao_contratual!$Y109),posicao_contratual!$Y109)+1),2))))))</f>
        <v/>
      </c>
      <c r="E109" s="79" t="str">
        <f>IF(OR($A109="",posicao_contratual!$Y109=""),"",IF(posicao_contratual!$Y109&gt;2,"",IF(NOT(ISNUMBER(itens_Remanesc!C109)),"",IF(posicao_contratual!$Y109=2,IF(IFERROR(IF(ISNUMBER(INDEX(aditivos!$O$2:$O$200,MATCH($A109,aditivos!$A$2:$A$200,0))),MIN(INDEX(aditivos!$O$2:$O$200,MATCH($A109,aditivos!$A$2:$A$200,0)),posicao_contratual!$Y109),posicao_contratual!$Y109),posicao_contratual!$Y109)=2,itens_Remanesc!C109,IFERROR(ROUND(itens_Remanesc!C109*INDEX($L$2:$L$6,MIN(2+1,COUNT($L$2:$L$6)))/INDEX($L$2:$L$6,MIN(IFERROR(IF(ISNUMBER(INDEX(aditivos!$O$2:$O$200,MATCH($A109,aditivos!$A$2:$A$200,0))),MIN(INDEX(aditivos!$O$2:$O$200,MATCH($A109,aditivos!$A$2:$A$200,0)),posicao_contratual!$Y109),posicao_contratual!$Y109),posicao_contratual!$Y109)+1,COUNT($L$2:$L$6))),2),"")),IF(OR(NOT(ISNUMBER($L$4)),NOT(ISNUMBER(INDEX($L$2:$L$6,IFERROR(IF(ISNUMBER(INDEX(aditivos!$O$2:$O$200,MATCH($A109,aditivos!$A$2:$A$200,0))),MIN(INDEX(aditivos!$O$2:$O$200,MATCH($A109,aditivos!$A$2:$A$200,0)),posicao_contratual!$Y109),posicao_contratual!$Y109),posicao_contratual!$Y109)+1)))),"",ROUND(itens_Remanesc!C109*$L$4/INDEX($L$2:$L$6,IFERROR(IF(ISNUMBER(INDEX(aditivos!$O$2:$O$200,MATCH($A109,aditivos!$A$2:$A$200,0))),MIN(INDEX(aditivos!$O$2:$O$200,MATCH($A109,aditivos!$A$2:$A$200,0)),posicao_contratual!$Y109),posicao_contratual!$Y109),posicao_contratual!$Y109)+1),2))))))</f>
        <v/>
      </c>
      <c r="F109" s="79" t="str">
        <f>IF(OR($A109="",posicao_contratual!$Y109=""),"",IF(posicao_contratual!$Y109&gt;3,"",IF(NOT(ISNUMBER(itens_Remanesc!C109)),"",IF(posicao_contratual!$Y109=3,IF(IFERROR(IF(ISNUMBER(INDEX(aditivos!$O$2:$O$200,MATCH($A109,aditivos!$A$2:$A$200,0))),MIN(INDEX(aditivos!$O$2:$O$200,MATCH($A109,aditivos!$A$2:$A$200,0)),posicao_contratual!$Y109),posicao_contratual!$Y109),posicao_contratual!$Y109)=3,itens_Remanesc!C109,IFERROR(ROUND(itens_Remanesc!C109*INDEX($L$2:$L$6,MIN(3+1,COUNT($L$2:$L$6)))/INDEX($L$2:$L$6,MIN(IFERROR(IF(ISNUMBER(INDEX(aditivos!$O$2:$O$200,MATCH($A109,aditivos!$A$2:$A$200,0))),MIN(INDEX(aditivos!$O$2:$O$200,MATCH($A109,aditivos!$A$2:$A$200,0)),posicao_contratual!$Y109),posicao_contratual!$Y109),posicao_contratual!$Y109)+1,COUNT($L$2:$L$6))),2),"")),IF(OR(NOT(ISNUMBER($L$5)),NOT(ISNUMBER(INDEX($L$2:$L$6,IFERROR(IF(ISNUMBER(INDEX(aditivos!$O$2:$O$200,MATCH($A109,aditivos!$A$2:$A$200,0))),MIN(INDEX(aditivos!$O$2:$O$200,MATCH($A109,aditivos!$A$2:$A$200,0)),posicao_contratual!$Y109),posicao_contratual!$Y109),posicao_contratual!$Y109)+1)))),"",ROUND(itens_Remanesc!C109*$L$5/INDEX($L$2:$L$6,IFERROR(IF(ISNUMBER(INDEX(aditivos!$O$2:$O$200,MATCH($A109,aditivos!$A$2:$A$200,0))),MIN(INDEX(aditivos!$O$2:$O$200,MATCH($A109,aditivos!$A$2:$A$200,0)),posicao_contratual!$Y109),posicao_contratual!$Y109),posicao_contratual!$Y109)+1),2))))))</f>
        <v/>
      </c>
      <c r="G109" s="79" t="str">
        <f>IF(OR($A109="",posicao_contratual!$Y109=""),"",IF(posicao_contratual!$Y109&gt;4,"",IF(NOT(ISNUMBER(itens_Remanesc!C109)),"",IF(posicao_contratual!$Y109=4,IF(IFERROR(IF(ISNUMBER(INDEX(aditivos!$O$2:$O$200,MATCH($A109,aditivos!$A$2:$A$200,0))),MIN(INDEX(aditivos!$O$2:$O$200,MATCH($A109,aditivos!$A$2:$A$200,0)),posicao_contratual!$Y109),posicao_contratual!$Y109),posicao_contratual!$Y109)=4,itens_Remanesc!C109,IFERROR(ROUND(itens_Remanesc!C109*INDEX($L$2:$L$6,MIN(4+1,COUNT($L$2:$L$6)))/INDEX($L$2:$L$6,MIN(IFERROR(IF(ISNUMBER(INDEX(aditivos!$O$2:$O$200,MATCH($A109,aditivos!$A$2:$A$200,0))),MIN(INDEX(aditivos!$O$2:$O$200,MATCH($A109,aditivos!$A$2:$A$200,0)),posicao_contratual!$Y109),posicao_contratual!$Y109),posicao_contratual!$Y109)+1,COUNT($L$2:$L$6))),2),"")),IF(OR(NOT(ISNUMBER($L$6)),NOT(ISNUMBER(INDEX($L$2:$L$6,IFERROR(IF(ISNUMBER(INDEX(aditivos!$O$2:$O$200,MATCH($A109,aditivos!$A$2:$A$200,0))),MIN(INDEX(aditivos!$O$2:$O$200,MATCH($A109,aditivos!$A$2:$A$200,0)),posicao_contratual!$Y109),posicao_contratual!$Y109),posicao_contratual!$Y109)+1)))),"",ROUND(itens_Remanesc!C109*$L$6/INDEX($L$2:$L$6,IFERROR(IF(ISNUMBER(INDEX(aditivos!$O$2:$O$200,MATCH($A109,aditivos!$A$2:$A$200,0))),MIN(INDEX(aditivos!$O$2:$O$200,MATCH($A109,aditivos!$A$2:$A$200,0)),posicao_contratual!$Y109),posicao_contratual!$Y109),posicao_contratual!$Y109)+1),2))))))</f>
        <v/>
      </c>
      <c r="H109" s="116" t="str">
        <f t="shared" si="3"/>
        <v/>
      </c>
      <c r="I109" s="13"/>
      <c r="J109" s="13"/>
      <c r="K109" s="13"/>
      <c r="L109" s="13"/>
      <c r="M109" s="13"/>
      <c r="N109" s="147" t="str">
        <f>IF(A109="","",IF(posicao_contratual!$Y109="","",IF(posicao_contratual!$Y109&gt;0,"",posicao_contratual!E109)))</f>
        <v/>
      </c>
      <c r="O109" s="147" t="str">
        <f>IF(A109="","",IF(posicao_contratual!$Y109="","",IF(posicao_contratual!$Y109&gt;1,"",posicao_contratual!I109)))</f>
        <v/>
      </c>
      <c r="P109" s="147" t="str">
        <f>IF(A109="","",IF(posicao_contratual!$Y109="","",IF(posicao_contratual!$Y109&gt;2,"",posicao_contratual!M109)))</f>
        <v/>
      </c>
      <c r="Q109" s="147" t="str">
        <f>IF(A109="","",IF(posicao_contratual!$Y109="","",IF(posicao_contratual!$Y109&gt;3,"",posicao_contratual!Q109)))</f>
        <v/>
      </c>
      <c r="R109" s="147" t="str">
        <f>IF(A109="","",IF(posicao_contratual!$Y109="","",IF(posicao_contratual!$Y109&gt;4,"",posicao_contratual!U109)))</f>
        <v/>
      </c>
      <c r="S109" s="167" t="str">
        <f>IF(A109="","",posicao_contratual!G109)</f>
        <v/>
      </c>
      <c r="T109" s="167" t="str">
        <f>IF(A109="","",posicao_contratual!K109)</f>
        <v/>
      </c>
      <c r="U109" s="167" t="str">
        <f>IF(A109="","",posicao_contratual!O109)</f>
        <v/>
      </c>
      <c r="V109" s="167" t="str">
        <f>IF(A109="","",posicao_contratual!S109)</f>
        <v/>
      </c>
      <c r="W109" s="167" t="str">
        <f>IF(A109="","",posicao_contratual!W109)</f>
        <v/>
      </c>
    </row>
    <row r="110" spans="1:23" x14ac:dyDescent="0.35">
      <c r="A110" s="86" t="str">
        <f>IF(itens_Remanesc!A110="","",itens_Remanesc!A110)</f>
        <v/>
      </c>
      <c r="B110" s="85" t="str">
        <f>IF(A110="","",IF(posicao_contratual!$Y110="","",IF(posicao_contratual!$Y110&gt;0,"",posicao_contratual!G110)))</f>
        <v/>
      </c>
      <c r="C110" s="79" t="str">
        <f>IF(itens_Remanesc!A110="","",IF(posicao_contratual!$Y110="","",IF(posicao_contratual!$Y110&gt;0,"",itens_Remanesc!C110)))</f>
        <v/>
      </c>
      <c r="D110" s="79" t="str">
        <f>IF(OR($A110="",posicao_contratual!$Y110=""),"",IF(posicao_contratual!$Y110&gt;1,"",IF(NOT(ISNUMBER(itens_Remanesc!C110)),"",IF(posicao_contratual!$Y110=1,IF(IFERROR(IF(ISNUMBER(INDEX(aditivos!$O$2:$O$200,MATCH($A110,aditivos!$A$2:$A$200,0))),MIN(INDEX(aditivos!$O$2:$O$200,MATCH($A110,aditivos!$A$2:$A$200,0)),posicao_contratual!$Y110),posicao_contratual!$Y110),posicao_contratual!$Y110)=1,itens_Remanesc!C110,IFERROR(ROUND(itens_Remanesc!C110*INDEX($L$2:$L$6,MIN(1+1,COUNT($L$2:$L$6)))/INDEX($L$2:$L$6,MIN(IFERROR(IF(ISNUMBER(INDEX(aditivos!$O$2:$O$200,MATCH($A110,aditivos!$A$2:$A$200,0))),MIN(INDEX(aditivos!$O$2:$O$200,MATCH($A110,aditivos!$A$2:$A$200,0)),posicao_contratual!$Y110),posicao_contratual!$Y110),posicao_contratual!$Y110)+1,COUNT($L$2:$L$6))),2),"")),IF(OR(NOT(ISNUMBER($L$3)),NOT(ISNUMBER(INDEX($L$2:$L$6,IFERROR(IF(ISNUMBER(INDEX(aditivos!$O$2:$O$200,MATCH($A110,aditivos!$A$2:$A$200,0))),MIN(INDEX(aditivos!$O$2:$O$200,MATCH($A110,aditivos!$A$2:$A$200,0)),posicao_contratual!$Y110),posicao_contratual!$Y110),posicao_contratual!$Y110)+1)))),"",ROUND(itens_Remanesc!C110*$L$3/INDEX($L$2:$L$6,IFERROR(IF(ISNUMBER(INDEX(aditivos!$O$2:$O$200,MATCH($A110,aditivos!$A$2:$A$200,0))),MIN(INDEX(aditivos!$O$2:$O$200,MATCH($A110,aditivos!$A$2:$A$200,0)),posicao_contratual!$Y110),posicao_contratual!$Y110),posicao_contratual!$Y110)+1),2))))))</f>
        <v/>
      </c>
      <c r="E110" s="79" t="str">
        <f>IF(OR($A110="",posicao_contratual!$Y110=""),"",IF(posicao_contratual!$Y110&gt;2,"",IF(NOT(ISNUMBER(itens_Remanesc!C110)),"",IF(posicao_contratual!$Y110=2,IF(IFERROR(IF(ISNUMBER(INDEX(aditivos!$O$2:$O$200,MATCH($A110,aditivos!$A$2:$A$200,0))),MIN(INDEX(aditivos!$O$2:$O$200,MATCH($A110,aditivos!$A$2:$A$200,0)),posicao_contratual!$Y110),posicao_contratual!$Y110),posicao_contratual!$Y110)=2,itens_Remanesc!C110,IFERROR(ROUND(itens_Remanesc!C110*INDEX($L$2:$L$6,MIN(2+1,COUNT($L$2:$L$6)))/INDEX($L$2:$L$6,MIN(IFERROR(IF(ISNUMBER(INDEX(aditivos!$O$2:$O$200,MATCH($A110,aditivos!$A$2:$A$200,0))),MIN(INDEX(aditivos!$O$2:$O$200,MATCH($A110,aditivos!$A$2:$A$200,0)),posicao_contratual!$Y110),posicao_contratual!$Y110),posicao_contratual!$Y110)+1,COUNT($L$2:$L$6))),2),"")),IF(OR(NOT(ISNUMBER($L$4)),NOT(ISNUMBER(INDEX($L$2:$L$6,IFERROR(IF(ISNUMBER(INDEX(aditivos!$O$2:$O$200,MATCH($A110,aditivos!$A$2:$A$200,0))),MIN(INDEX(aditivos!$O$2:$O$200,MATCH($A110,aditivos!$A$2:$A$200,0)),posicao_contratual!$Y110),posicao_contratual!$Y110),posicao_contratual!$Y110)+1)))),"",ROUND(itens_Remanesc!C110*$L$4/INDEX($L$2:$L$6,IFERROR(IF(ISNUMBER(INDEX(aditivos!$O$2:$O$200,MATCH($A110,aditivos!$A$2:$A$200,0))),MIN(INDEX(aditivos!$O$2:$O$200,MATCH($A110,aditivos!$A$2:$A$200,0)),posicao_contratual!$Y110),posicao_contratual!$Y110),posicao_contratual!$Y110)+1),2))))))</f>
        <v/>
      </c>
      <c r="F110" s="79" t="str">
        <f>IF(OR($A110="",posicao_contratual!$Y110=""),"",IF(posicao_contratual!$Y110&gt;3,"",IF(NOT(ISNUMBER(itens_Remanesc!C110)),"",IF(posicao_contratual!$Y110=3,IF(IFERROR(IF(ISNUMBER(INDEX(aditivos!$O$2:$O$200,MATCH($A110,aditivos!$A$2:$A$200,0))),MIN(INDEX(aditivos!$O$2:$O$200,MATCH($A110,aditivos!$A$2:$A$200,0)),posicao_contratual!$Y110),posicao_contratual!$Y110),posicao_contratual!$Y110)=3,itens_Remanesc!C110,IFERROR(ROUND(itens_Remanesc!C110*INDEX($L$2:$L$6,MIN(3+1,COUNT($L$2:$L$6)))/INDEX($L$2:$L$6,MIN(IFERROR(IF(ISNUMBER(INDEX(aditivos!$O$2:$O$200,MATCH($A110,aditivos!$A$2:$A$200,0))),MIN(INDEX(aditivos!$O$2:$O$200,MATCH($A110,aditivos!$A$2:$A$200,0)),posicao_contratual!$Y110),posicao_contratual!$Y110),posicao_contratual!$Y110)+1,COUNT($L$2:$L$6))),2),"")),IF(OR(NOT(ISNUMBER($L$5)),NOT(ISNUMBER(INDEX($L$2:$L$6,IFERROR(IF(ISNUMBER(INDEX(aditivos!$O$2:$O$200,MATCH($A110,aditivos!$A$2:$A$200,0))),MIN(INDEX(aditivos!$O$2:$O$200,MATCH($A110,aditivos!$A$2:$A$200,0)),posicao_contratual!$Y110),posicao_contratual!$Y110),posicao_contratual!$Y110)+1)))),"",ROUND(itens_Remanesc!C110*$L$5/INDEX($L$2:$L$6,IFERROR(IF(ISNUMBER(INDEX(aditivos!$O$2:$O$200,MATCH($A110,aditivos!$A$2:$A$200,0))),MIN(INDEX(aditivos!$O$2:$O$200,MATCH($A110,aditivos!$A$2:$A$200,0)),posicao_contratual!$Y110),posicao_contratual!$Y110),posicao_contratual!$Y110)+1),2))))))</f>
        <v/>
      </c>
      <c r="G110" s="79" t="str">
        <f>IF(OR($A110="",posicao_contratual!$Y110=""),"",IF(posicao_contratual!$Y110&gt;4,"",IF(NOT(ISNUMBER(itens_Remanesc!C110)),"",IF(posicao_contratual!$Y110=4,IF(IFERROR(IF(ISNUMBER(INDEX(aditivos!$O$2:$O$200,MATCH($A110,aditivos!$A$2:$A$200,0))),MIN(INDEX(aditivos!$O$2:$O$200,MATCH($A110,aditivos!$A$2:$A$200,0)),posicao_contratual!$Y110),posicao_contratual!$Y110),posicao_contratual!$Y110)=4,itens_Remanesc!C110,IFERROR(ROUND(itens_Remanesc!C110*INDEX($L$2:$L$6,MIN(4+1,COUNT($L$2:$L$6)))/INDEX($L$2:$L$6,MIN(IFERROR(IF(ISNUMBER(INDEX(aditivos!$O$2:$O$200,MATCH($A110,aditivos!$A$2:$A$200,0))),MIN(INDEX(aditivos!$O$2:$O$200,MATCH($A110,aditivos!$A$2:$A$200,0)),posicao_contratual!$Y110),posicao_contratual!$Y110),posicao_contratual!$Y110)+1,COUNT($L$2:$L$6))),2),"")),IF(OR(NOT(ISNUMBER($L$6)),NOT(ISNUMBER(INDEX($L$2:$L$6,IFERROR(IF(ISNUMBER(INDEX(aditivos!$O$2:$O$200,MATCH($A110,aditivos!$A$2:$A$200,0))),MIN(INDEX(aditivos!$O$2:$O$200,MATCH($A110,aditivos!$A$2:$A$200,0)),posicao_contratual!$Y110),posicao_contratual!$Y110),posicao_contratual!$Y110)+1)))),"",ROUND(itens_Remanesc!C110*$L$6/INDEX($L$2:$L$6,IFERROR(IF(ISNUMBER(INDEX(aditivos!$O$2:$O$200,MATCH($A110,aditivos!$A$2:$A$200,0))),MIN(INDEX(aditivos!$O$2:$O$200,MATCH($A110,aditivos!$A$2:$A$200,0)),posicao_contratual!$Y110),posicao_contratual!$Y110),posicao_contratual!$Y110)+1),2))))))</f>
        <v/>
      </c>
      <c r="H110" s="116" t="str">
        <f t="shared" si="3"/>
        <v/>
      </c>
      <c r="I110" s="13"/>
      <c r="J110" s="13"/>
      <c r="K110" s="13"/>
      <c r="L110" s="13"/>
      <c r="M110" s="13"/>
      <c r="N110" s="147" t="str">
        <f>IF(A110="","",IF(posicao_contratual!$Y110="","",IF(posicao_contratual!$Y110&gt;0,"",posicao_contratual!E110)))</f>
        <v/>
      </c>
      <c r="O110" s="147" t="str">
        <f>IF(A110="","",IF(posicao_contratual!$Y110="","",IF(posicao_contratual!$Y110&gt;1,"",posicao_contratual!I110)))</f>
        <v/>
      </c>
      <c r="P110" s="147" t="str">
        <f>IF(A110="","",IF(posicao_contratual!$Y110="","",IF(posicao_contratual!$Y110&gt;2,"",posicao_contratual!M110)))</f>
        <v/>
      </c>
      <c r="Q110" s="147" t="str">
        <f>IF(A110="","",IF(posicao_contratual!$Y110="","",IF(posicao_contratual!$Y110&gt;3,"",posicao_contratual!Q110)))</f>
        <v/>
      </c>
      <c r="R110" s="147" t="str">
        <f>IF(A110="","",IF(posicao_contratual!$Y110="","",IF(posicao_contratual!$Y110&gt;4,"",posicao_contratual!U110)))</f>
        <v/>
      </c>
      <c r="S110" s="167" t="str">
        <f>IF(A110="","",posicao_contratual!G110)</f>
        <v/>
      </c>
      <c r="T110" s="167" t="str">
        <f>IF(A110="","",posicao_contratual!K110)</f>
        <v/>
      </c>
      <c r="U110" s="167" t="str">
        <f>IF(A110="","",posicao_contratual!O110)</f>
        <v/>
      </c>
      <c r="V110" s="167" t="str">
        <f>IF(A110="","",posicao_contratual!S110)</f>
        <v/>
      </c>
      <c r="W110" s="167" t="str">
        <f>IF(A110="","",posicao_contratual!W110)</f>
        <v/>
      </c>
    </row>
    <row r="111" spans="1:23" x14ac:dyDescent="0.35">
      <c r="A111" s="86" t="str">
        <f>IF(itens_Remanesc!A111="","",itens_Remanesc!A111)</f>
        <v/>
      </c>
      <c r="B111" s="85" t="str">
        <f>IF(A111="","",IF(posicao_contratual!$Y111="","",IF(posicao_contratual!$Y111&gt;0,"",posicao_contratual!G111)))</f>
        <v/>
      </c>
      <c r="C111" s="79" t="str">
        <f>IF(itens_Remanesc!A111="","",IF(posicao_contratual!$Y111="","",IF(posicao_contratual!$Y111&gt;0,"",itens_Remanesc!C111)))</f>
        <v/>
      </c>
      <c r="D111" s="79" t="str">
        <f>IF(OR($A111="",posicao_contratual!$Y111=""),"",IF(posicao_contratual!$Y111&gt;1,"",IF(NOT(ISNUMBER(itens_Remanesc!C111)),"",IF(posicao_contratual!$Y111=1,IF(IFERROR(IF(ISNUMBER(INDEX(aditivos!$O$2:$O$200,MATCH($A111,aditivos!$A$2:$A$200,0))),MIN(INDEX(aditivos!$O$2:$O$200,MATCH($A111,aditivos!$A$2:$A$200,0)),posicao_contratual!$Y111),posicao_contratual!$Y111),posicao_contratual!$Y111)=1,itens_Remanesc!C111,IFERROR(ROUND(itens_Remanesc!C111*INDEX($L$2:$L$6,MIN(1+1,COUNT($L$2:$L$6)))/INDEX($L$2:$L$6,MIN(IFERROR(IF(ISNUMBER(INDEX(aditivos!$O$2:$O$200,MATCH($A111,aditivos!$A$2:$A$200,0))),MIN(INDEX(aditivos!$O$2:$O$200,MATCH($A111,aditivos!$A$2:$A$200,0)),posicao_contratual!$Y111),posicao_contratual!$Y111),posicao_contratual!$Y111)+1,COUNT($L$2:$L$6))),2),"")),IF(OR(NOT(ISNUMBER($L$3)),NOT(ISNUMBER(INDEX($L$2:$L$6,IFERROR(IF(ISNUMBER(INDEX(aditivos!$O$2:$O$200,MATCH($A111,aditivos!$A$2:$A$200,0))),MIN(INDEX(aditivos!$O$2:$O$200,MATCH($A111,aditivos!$A$2:$A$200,0)),posicao_contratual!$Y111),posicao_contratual!$Y111),posicao_contratual!$Y111)+1)))),"",ROUND(itens_Remanesc!C111*$L$3/INDEX($L$2:$L$6,IFERROR(IF(ISNUMBER(INDEX(aditivos!$O$2:$O$200,MATCH($A111,aditivos!$A$2:$A$200,0))),MIN(INDEX(aditivos!$O$2:$O$200,MATCH($A111,aditivos!$A$2:$A$200,0)),posicao_contratual!$Y111),posicao_contratual!$Y111),posicao_contratual!$Y111)+1),2))))))</f>
        <v/>
      </c>
      <c r="E111" s="79" t="str">
        <f>IF(OR($A111="",posicao_contratual!$Y111=""),"",IF(posicao_contratual!$Y111&gt;2,"",IF(NOT(ISNUMBER(itens_Remanesc!C111)),"",IF(posicao_contratual!$Y111=2,IF(IFERROR(IF(ISNUMBER(INDEX(aditivos!$O$2:$O$200,MATCH($A111,aditivos!$A$2:$A$200,0))),MIN(INDEX(aditivos!$O$2:$O$200,MATCH($A111,aditivos!$A$2:$A$200,0)),posicao_contratual!$Y111),posicao_contratual!$Y111),posicao_contratual!$Y111)=2,itens_Remanesc!C111,IFERROR(ROUND(itens_Remanesc!C111*INDEX($L$2:$L$6,MIN(2+1,COUNT($L$2:$L$6)))/INDEX($L$2:$L$6,MIN(IFERROR(IF(ISNUMBER(INDEX(aditivos!$O$2:$O$200,MATCH($A111,aditivos!$A$2:$A$200,0))),MIN(INDEX(aditivos!$O$2:$O$200,MATCH($A111,aditivos!$A$2:$A$200,0)),posicao_contratual!$Y111),posicao_contratual!$Y111),posicao_contratual!$Y111)+1,COUNT($L$2:$L$6))),2),"")),IF(OR(NOT(ISNUMBER($L$4)),NOT(ISNUMBER(INDEX($L$2:$L$6,IFERROR(IF(ISNUMBER(INDEX(aditivos!$O$2:$O$200,MATCH($A111,aditivos!$A$2:$A$200,0))),MIN(INDEX(aditivos!$O$2:$O$200,MATCH($A111,aditivos!$A$2:$A$200,0)),posicao_contratual!$Y111),posicao_contratual!$Y111),posicao_contratual!$Y111)+1)))),"",ROUND(itens_Remanesc!C111*$L$4/INDEX($L$2:$L$6,IFERROR(IF(ISNUMBER(INDEX(aditivos!$O$2:$O$200,MATCH($A111,aditivos!$A$2:$A$200,0))),MIN(INDEX(aditivos!$O$2:$O$200,MATCH($A111,aditivos!$A$2:$A$200,0)),posicao_contratual!$Y111),posicao_contratual!$Y111),posicao_contratual!$Y111)+1),2))))))</f>
        <v/>
      </c>
      <c r="F111" s="79" t="str">
        <f>IF(OR($A111="",posicao_contratual!$Y111=""),"",IF(posicao_contratual!$Y111&gt;3,"",IF(NOT(ISNUMBER(itens_Remanesc!C111)),"",IF(posicao_contratual!$Y111=3,IF(IFERROR(IF(ISNUMBER(INDEX(aditivos!$O$2:$O$200,MATCH($A111,aditivos!$A$2:$A$200,0))),MIN(INDEX(aditivos!$O$2:$O$200,MATCH($A111,aditivos!$A$2:$A$200,0)),posicao_contratual!$Y111),posicao_contratual!$Y111),posicao_contratual!$Y111)=3,itens_Remanesc!C111,IFERROR(ROUND(itens_Remanesc!C111*INDEX($L$2:$L$6,MIN(3+1,COUNT($L$2:$L$6)))/INDEX($L$2:$L$6,MIN(IFERROR(IF(ISNUMBER(INDEX(aditivos!$O$2:$O$200,MATCH($A111,aditivos!$A$2:$A$200,0))),MIN(INDEX(aditivos!$O$2:$O$200,MATCH($A111,aditivos!$A$2:$A$200,0)),posicao_contratual!$Y111),posicao_contratual!$Y111),posicao_contratual!$Y111)+1,COUNT($L$2:$L$6))),2),"")),IF(OR(NOT(ISNUMBER($L$5)),NOT(ISNUMBER(INDEX($L$2:$L$6,IFERROR(IF(ISNUMBER(INDEX(aditivos!$O$2:$O$200,MATCH($A111,aditivos!$A$2:$A$200,0))),MIN(INDEX(aditivos!$O$2:$O$200,MATCH($A111,aditivos!$A$2:$A$200,0)),posicao_contratual!$Y111),posicao_contratual!$Y111),posicao_contratual!$Y111)+1)))),"",ROUND(itens_Remanesc!C111*$L$5/INDEX($L$2:$L$6,IFERROR(IF(ISNUMBER(INDEX(aditivos!$O$2:$O$200,MATCH($A111,aditivos!$A$2:$A$200,0))),MIN(INDEX(aditivos!$O$2:$O$200,MATCH($A111,aditivos!$A$2:$A$200,0)),posicao_contratual!$Y111),posicao_contratual!$Y111),posicao_contratual!$Y111)+1),2))))))</f>
        <v/>
      </c>
      <c r="G111" s="79" t="str">
        <f>IF(OR($A111="",posicao_contratual!$Y111=""),"",IF(posicao_contratual!$Y111&gt;4,"",IF(NOT(ISNUMBER(itens_Remanesc!C111)),"",IF(posicao_contratual!$Y111=4,IF(IFERROR(IF(ISNUMBER(INDEX(aditivos!$O$2:$O$200,MATCH($A111,aditivos!$A$2:$A$200,0))),MIN(INDEX(aditivos!$O$2:$O$200,MATCH($A111,aditivos!$A$2:$A$200,0)),posicao_contratual!$Y111),posicao_contratual!$Y111),posicao_contratual!$Y111)=4,itens_Remanesc!C111,IFERROR(ROUND(itens_Remanesc!C111*INDEX($L$2:$L$6,MIN(4+1,COUNT($L$2:$L$6)))/INDEX($L$2:$L$6,MIN(IFERROR(IF(ISNUMBER(INDEX(aditivos!$O$2:$O$200,MATCH($A111,aditivos!$A$2:$A$200,0))),MIN(INDEX(aditivos!$O$2:$O$200,MATCH($A111,aditivos!$A$2:$A$200,0)),posicao_contratual!$Y111),posicao_contratual!$Y111),posicao_contratual!$Y111)+1,COUNT($L$2:$L$6))),2),"")),IF(OR(NOT(ISNUMBER($L$6)),NOT(ISNUMBER(INDEX($L$2:$L$6,IFERROR(IF(ISNUMBER(INDEX(aditivos!$O$2:$O$200,MATCH($A111,aditivos!$A$2:$A$200,0))),MIN(INDEX(aditivos!$O$2:$O$200,MATCH($A111,aditivos!$A$2:$A$200,0)),posicao_contratual!$Y111),posicao_contratual!$Y111),posicao_contratual!$Y111)+1)))),"",ROUND(itens_Remanesc!C111*$L$6/INDEX($L$2:$L$6,IFERROR(IF(ISNUMBER(INDEX(aditivos!$O$2:$O$200,MATCH($A111,aditivos!$A$2:$A$200,0))),MIN(INDEX(aditivos!$O$2:$O$200,MATCH($A111,aditivos!$A$2:$A$200,0)),posicao_contratual!$Y111),posicao_contratual!$Y111),posicao_contratual!$Y111)+1),2))))))</f>
        <v/>
      </c>
      <c r="H111" s="116" t="str">
        <f t="shared" si="3"/>
        <v/>
      </c>
      <c r="I111" s="13"/>
      <c r="J111" s="13"/>
      <c r="K111" s="13"/>
      <c r="L111" s="13"/>
      <c r="M111" s="13"/>
      <c r="N111" s="147" t="str">
        <f>IF(A111="","",IF(posicao_contratual!$Y111="","",IF(posicao_contratual!$Y111&gt;0,"",posicao_contratual!E111)))</f>
        <v/>
      </c>
      <c r="O111" s="147" t="str">
        <f>IF(A111="","",IF(posicao_contratual!$Y111="","",IF(posicao_contratual!$Y111&gt;1,"",posicao_contratual!I111)))</f>
        <v/>
      </c>
      <c r="P111" s="147" t="str">
        <f>IF(A111="","",IF(posicao_contratual!$Y111="","",IF(posicao_contratual!$Y111&gt;2,"",posicao_contratual!M111)))</f>
        <v/>
      </c>
      <c r="Q111" s="147" t="str">
        <f>IF(A111="","",IF(posicao_contratual!$Y111="","",IF(posicao_contratual!$Y111&gt;3,"",posicao_contratual!Q111)))</f>
        <v/>
      </c>
      <c r="R111" s="147" t="str">
        <f>IF(A111="","",IF(posicao_contratual!$Y111="","",IF(posicao_contratual!$Y111&gt;4,"",posicao_contratual!U111)))</f>
        <v/>
      </c>
      <c r="S111" s="167" t="str">
        <f>IF(A111="","",posicao_contratual!G111)</f>
        <v/>
      </c>
      <c r="T111" s="167" t="str">
        <f>IF(A111="","",posicao_contratual!K111)</f>
        <v/>
      </c>
      <c r="U111" s="167" t="str">
        <f>IF(A111="","",posicao_contratual!O111)</f>
        <v/>
      </c>
      <c r="V111" s="167" t="str">
        <f>IF(A111="","",posicao_contratual!S111)</f>
        <v/>
      </c>
      <c r="W111" s="167" t="str">
        <f>IF(A111="","",posicao_contratual!W111)</f>
        <v/>
      </c>
    </row>
    <row r="112" spans="1:23" x14ac:dyDescent="0.35">
      <c r="A112" s="86" t="str">
        <f>IF(itens_Remanesc!A112="","",itens_Remanesc!A112)</f>
        <v/>
      </c>
      <c r="B112" s="85" t="str">
        <f>IF(A112="","",IF(posicao_contratual!$Y112="","",IF(posicao_contratual!$Y112&gt;0,"",posicao_contratual!G112)))</f>
        <v/>
      </c>
      <c r="C112" s="79" t="str">
        <f>IF(itens_Remanesc!A112="","",IF(posicao_contratual!$Y112="","",IF(posicao_contratual!$Y112&gt;0,"",itens_Remanesc!C112)))</f>
        <v/>
      </c>
      <c r="D112" s="79" t="str">
        <f>IF(OR($A112="",posicao_contratual!$Y112=""),"",IF(posicao_contratual!$Y112&gt;1,"",IF(NOT(ISNUMBER(itens_Remanesc!C112)),"",IF(posicao_contratual!$Y112=1,IF(IFERROR(IF(ISNUMBER(INDEX(aditivos!$O$2:$O$200,MATCH($A112,aditivos!$A$2:$A$200,0))),MIN(INDEX(aditivos!$O$2:$O$200,MATCH($A112,aditivos!$A$2:$A$200,0)),posicao_contratual!$Y112),posicao_contratual!$Y112),posicao_contratual!$Y112)=1,itens_Remanesc!C112,IFERROR(ROUND(itens_Remanesc!C112*INDEX($L$2:$L$6,MIN(1+1,COUNT($L$2:$L$6)))/INDEX($L$2:$L$6,MIN(IFERROR(IF(ISNUMBER(INDEX(aditivos!$O$2:$O$200,MATCH($A112,aditivos!$A$2:$A$200,0))),MIN(INDEX(aditivos!$O$2:$O$200,MATCH($A112,aditivos!$A$2:$A$200,0)),posicao_contratual!$Y112),posicao_contratual!$Y112),posicao_contratual!$Y112)+1,COUNT($L$2:$L$6))),2),"")),IF(OR(NOT(ISNUMBER($L$3)),NOT(ISNUMBER(INDEX($L$2:$L$6,IFERROR(IF(ISNUMBER(INDEX(aditivos!$O$2:$O$200,MATCH($A112,aditivos!$A$2:$A$200,0))),MIN(INDEX(aditivos!$O$2:$O$200,MATCH($A112,aditivos!$A$2:$A$200,0)),posicao_contratual!$Y112),posicao_contratual!$Y112),posicao_contratual!$Y112)+1)))),"",ROUND(itens_Remanesc!C112*$L$3/INDEX($L$2:$L$6,IFERROR(IF(ISNUMBER(INDEX(aditivos!$O$2:$O$200,MATCH($A112,aditivos!$A$2:$A$200,0))),MIN(INDEX(aditivos!$O$2:$O$200,MATCH($A112,aditivos!$A$2:$A$200,0)),posicao_contratual!$Y112),posicao_contratual!$Y112),posicao_contratual!$Y112)+1),2))))))</f>
        <v/>
      </c>
      <c r="E112" s="79" t="str">
        <f>IF(OR($A112="",posicao_contratual!$Y112=""),"",IF(posicao_contratual!$Y112&gt;2,"",IF(NOT(ISNUMBER(itens_Remanesc!C112)),"",IF(posicao_contratual!$Y112=2,IF(IFERROR(IF(ISNUMBER(INDEX(aditivos!$O$2:$O$200,MATCH($A112,aditivos!$A$2:$A$200,0))),MIN(INDEX(aditivos!$O$2:$O$200,MATCH($A112,aditivos!$A$2:$A$200,0)),posicao_contratual!$Y112),posicao_contratual!$Y112),posicao_contratual!$Y112)=2,itens_Remanesc!C112,IFERROR(ROUND(itens_Remanesc!C112*INDEX($L$2:$L$6,MIN(2+1,COUNT($L$2:$L$6)))/INDEX($L$2:$L$6,MIN(IFERROR(IF(ISNUMBER(INDEX(aditivos!$O$2:$O$200,MATCH($A112,aditivos!$A$2:$A$200,0))),MIN(INDEX(aditivos!$O$2:$O$200,MATCH($A112,aditivos!$A$2:$A$200,0)),posicao_contratual!$Y112),posicao_contratual!$Y112),posicao_contratual!$Y112)+1,COUNT($L$2:$L$6))),2),"")),IF(OR(NOT(ISNUMBER($L$4)),NOT(ISNUMBER(INDEX($L$2:$L$6,IFERROR(IF(ISNUMBER(INDEX(aditivos!$O$2:$O$200,MATCH($A112,aditivos!$A$2:$A$200,0))),MIN(INDEX(aditivos!$O$2:$O$200,MATCH($A112,aditivos!$A$2:$A$200,0)),posicao_contratual!$Y112),posicao_contratual!$Y112),posicao_contratual!$Y112)+1)))),"",ROUND(itens_Remanesc!C112*$L$4/INDEX($L$2:$L$6,IFERROR(IF(ISNUMBER(INDEX(aditivos!$O$2:$O$200,MATCH($A112,aditivos!$A$2:$A$200,0))),MIN(INDEX(aditivos!$O$2:$O$200,MATCH($A112,aditivos!$A$2:$A$200,0)),posicao_contratual!$Y112),posicao_contratual!$Y112),posicao_contratual!$Y112)+1),2))))))</f>
        <v/>
      </c>
      <c r="F112" s="79" t="str">
        <f>IF(OR($A112="",posicao_contratual!$Y112=""),"",IF(posicao_contratual!$Y112&gt;3,"",IF(NOT(ISNUMBER(itens_Remanesc!C112)),"",IF(posicao_contratual!$Y112=3,IF(IFERROR(IF(ISNUMBER(INDEX(aditivos!$O$2:$O$200,MATCH($A112,aditivos!$A$2:$A$200,0))),MIN(INDEX(aditivos!$O$2:$O$200,MATCH($A112,aditivos!$A$2:$A$200,0)),posicao_contratual!$Y112),posicao_contratual!$Y112),posicao_contratual!$Y112)=3,itens_Remanesc!C112,IFERROR(ROUND(itens_Remanesc!C112*INDEX($L$2:$L$6,MIN(3+1,COUNT($L$2:$L$6)))/INDEX($L$2:$L$6,MIN(IFERROR(IF(ISNUMBER(INDEX(aditivos!$O$2:$O$200,MATCH($A112,aditivos!$A$2:$A$200,0))),MIN(INDEX(aditivos!$O$2:$O$200,MATCH($A112,aditivos!$A$2:$A$200,0)),posicao_contratual!$Y112),posicao_contratual!$Y112),posicao_contratual!$Y112)+1,COUNT($L$2:$L$6))),2),"")),IF(OR(NOT(ISNUMBER($L$5)),NOT(ISNUMBER(INDEX($L$2:$L$6,IFERROR(IF(ISNUMBER(INDEX(aditivos!$O$2:$O$200,MATCH($A112,aditivos!$A$2:$A$200,0))),MIN(INDEX(aditivos!$O$2:$O$200,MATCH($A112,aditivos!$A$2:$A$200,0)),posicao_contratual!$Y112),posicao_contratual!$Y112),posicao_contratual!$Y112)+1)))),"",ROUND(itens_Remanesc!C112*$L$5/INDEX($L$2:$L$6,IFERROR(IF(ISNUMBER(INDEX(aditivos!$O$2:$O$200,MATCH($A112,aditivos!$A$2:$A$200,0))),MIN(INDEX(aditivos!$O$2:$O$200,MATCH($A112,aditivos!$A$2:$A$200,0)),posicao_contratual!$Y112),posicao_contratual!$Y112),posicao_contratual!$Y112)+1),2))))))</f>
        <v/>
      </c>
      <c r="G112" s="79" t="str">
        <f>IF(OR($A112="",posicao_contratual!$Y112=""),"",IF(posicao_contratual!$Y112&gt;4,"",IF(NOT(ISNUMBER(itens_Remanesc!C112)),"",IF(posicao_contratual!$Y112=4,IF(IFERROR(IF(ISNUMBER(INDEX(aditivos!$O$2:$O$200,MATCH($A112,aditivos!$A$2:$A$200,0))),MIN(INDEX(aditivos!$O$2:$O$200,MATCH($A112,aditivos!$A$2:$A$200,0)),posicao_contratual!$Y112),posicao_contratual!$Y112),posicao_contratual!$Y112)=4,itens_Remanesc!C112,IFERROR(ROUND(itens_Remanesc!C112*INDEX($L$2:$L$6,MIN(4+1,COUNT($L$2:$L$6)))/INDEX($L$2:$L$6,MIN(IFERROR(IF(ISNUMBER(INDEX(aditivos!$O$2:$O$200,MATCH($A112,aditivos!$A$2:$A$200,0))),MIN(INDEX(aditivos!$O$2:$O$200,MATCH($A112,aditivos!$A$2:$A$200,0)),posicao_contratual!$Y112),posicao_contratual!$Y112),posicao_contratual!$Y112)+1,COUNT($L$2:$L$6))),2),"")),IF(OR(NOT(ISNUMBER($L$6)),NOT(ISNUMBER(INDEX($L$2:$L$6,IFERROR(IF(ISNUMBER(INDEX(aditivos!$O$2:$O$200,MATCH($A112,aditivos!$A$2:$A$200,0))),MIN(INDEX(aditivos!$O$2:$O$200,MATCH($A112,aditivos!$A$2:$A$200,0)),posicao_contratual!$Y112),posicao_contratual!$Y112),posicao_contratual!$Y112)+1)))),"",ROUND(itens_Remanesc!C112*$L$6/INDEX($L$2:$L$6,IFERROR(IF(ISNUMBER(INDEX(aditivos!$O$2:$O$200,MATCH($A112,aditivos!$A$2:$A$200,0))),MIN(INDEX(aditivos!$O$2:$O$200,MATCH($A112,aditivos!$A$2:$A$200,0)),posicao_contratual!$Y112),posicao_contratual!$Y112),posicao_contratual!$Y112)+1),2))))))</f>
        <v/>
      </c>
      <c r="H112" s="116" t="str">
        <f t="shared" si="3"/>
        <v/>
      </c>
      <c r="I112" s="13"/>
      <c r="J112" s="13"/>
      <c r="K112" s="13"/>
      <c r="L112" s="13"/>
      <c r="M112" s="13"/>
      <c r="N112" s="147" t="str">
        <f>IF(A112="","",IF(posicao_contratual!$Y112="","",IF(posicao_contratual!$Y112&gt;0,"",posicao_contratual!E112)))</f>
        <v/>
      </c>
      <c r="O112" s="147" t="str">
        <f>IF(A112="","",IF(posicao_contratual!$Y112="","",IF(posicao_contratual!$Y112&gt;1,"",posicao_contratual!I112)))</f>
        <v/>
      </c>
      <c r="P112" s="147" t="str">
        <f>IF(A112="","",IF(posicao_contratual!$Y112="","",IF(posicao_contratual!$Y112&gt;2,"",posicao_contratual!M112)))</f>
        <v/>
      </c>
      <c r="Q112" s="147" t="str">
        <f>IF(A112="","",IF(posicao_contratual!$Y112="","",IF(posicao_contratual!$Y112&gt;3,"",posicao_contratual!Q112)))</f>
        <v/>
      </c>
      <c r="R112" s="147" t="str">
        <f>IF(A112="","",IF(posicao_contratual!$Y112="","",IF(posicao_contratual!$Y112&gt;4,"",posicao_contratual!U112)))</f>
        <v/>
      </c>
      <c r="S112" s="167" t="str">
        <f>IF(A112="","",posicao_contratual!G112)</f>
        <v/>
      </c>
      <c r="T112" s="167" t="str">
        <f>IF(A112="","",posicao_contratual!K112)</f>
        <v/>
      </c>
      <c r="U112" s="167" t="str">
        <f>IF(A112="","",posicao_contratual!O112)</f>
        <v/>
      </c>
      <c r="V112" s="167" t="str">
        <f>IF(A112="","",posicao_contratual!S112)</f>
        <v/>
      </c>
      <c r="W112" s="167" t="str">
        <f>IF(A112="","",posicao_contratual!W112)</f>
        <v/>
      </c>
    </row>
    <row r="113" spans="1:23" x14ac:dyDescent="0.35">
      <c r="A113" s="86" t="str">
        <f>IF(itens_Remanesc!A113="","",itens_Remanesc!A113)</f>
        <v/>
      </c>
      <c r="B113" s="85" t="str">
        <f>IF(A113="","",IF(posicao_contratual!$Y113="","",IF(posicao_contratual!$Y113&gt;0,"",posicao_contratual!G113)))</f>
        <v/>
      </c>
      <c r="C113" s="79" t="str">
        <f>IF(itens_Remanesc!A113="","",IF(posicao_contratual!$Y113="","",IF(posicao_contratual!$Y113&gt;0,"",itens_Remanesc!C113)))</f>
        <v/>
      </c>
      <c r="D113" s="79" t="str">
        <f>IF(OR($A113="",posicao_contratual!$Y113=""),"",IF(posicao_contratual!$Y113&gt;1,"",IF(NOT(ISNUMBER(itens_Remanesc!C113)),"",IF(posicao_contratual!$Y113=1,IF(IFERROR(IF(ISNUMBER(INDEX(aditivos!$O$2:$O$200,MATCH($A113,aditivos!$A$2:$A$200,0))),MIN(INDEX(aditivos!$O$2:$O$200,MATCH($A113,aditivos!$A$2:$A$200,0)),posicao_contratual!$Y113),posicao_contratual!$Y113),posicao_contratual!$Y113)=1,itens_Remanesc!C113,IFERROR(ROUND(itens_Remanesc!C113*INDEX($L$2:$L$6,MIN(1+1,COUNT($L$2:$L$6)))/INDEX($L$2:$L$6,MIN(IFERROR(IF(ISNUMBER(INDEX(aditivos!$O$2:$O$200,MATCH($A113,aditivos!$A$2:$A$200,0))),MIN(INDEX(aditivos!$O$2:$O$200,MATCH($A113,aditivos!$A$2:$A$200,0)),posicao_contratual!$Y113),posicao_contratual!$Y113),posicao_contratual!$Y113)+1,COUNT($L$2:$L$6))),2),"")),IF(OR(NOT(ISNUMBER($L$3)),NOT(ISNUMBER(INDEX($L$2:$L$6,IFERROR(IF(ISNUMBER(INDEX(aditivos!$O$2:$O$200,MATCH($A113,aditivos!$A$2:$A$200,0))),MIN(INDEX(aditivos!$O$2:$O$200,MATCH($A113,aditivos!$A$2:$A$200,0)),posicao_contratual!$Y113),posicao_contratual!$Y113),posicao_contratual!$Y113)+1)))),"",ROUND(itens_Remanesc!C113*$L$3/INDEX($L$2:$L$6,IFERROR(IF(ISNUMBER(INDEX(aditivos!$O$2:$O$200,MATCH($A113,aditivos!$A$2:$A$200,0))),MIN(INDEX(aditivos!$O$2:$O$200,MATCH($A113,aditivos!$A$2:$A$200,0)),posicao_contratual!$Y113),posicao_contratual!$Y113),posicao_contratual!$Y113)+1),2))))))</f>
        <v/>
      </c>
      <c r="E113" s="79" t="str">
        <f>IF(OR($A113="",posicao_contratual!$Y113=""),"",IF(posicao_contratual!$Y113&gt;2,"",IF(NOT(ISNUMBER(itens_Remanesc!C113)),"",IF(posicao_contratual!$Y113=2,IF(IFERROR(IF(ISNUMBER(INDEX(aditivos!$O$2:$O$200,MATCH($A113,aditivos!$A$2:$A$200,0))),MIN(INDEX(aditivos!$O$2:$O$200,MATCH($A113,aditivos!$A$2:$A$200,0)),posicao_contratual!$Y113),posicao_contratual!$Y113),posicao_contratual!$Y113)=2,itens_Remanesc!C113,IFERROR(ROUND(itens_Remanesc!C113*INDEX($L$2:$L$6,MIN(2+1,COUNT($L$2:$L$6)))/INDEX($L$2:$L$6,MIN(IFERROR(IF(ISNUMBER(INDEX(aditivos!$O$2:$O$200,MATCH($A113,aditivos!$A$2:$A$200,0))),MIN(INDEX(aditivos!$O$2:$O$200,MATCH($A113,aditivos!$A$2:$A$200,0)),posicao_contratual!$Y113),posicao_contratual!$Y113),posicao_contratual!$Y113)+1,COUNT($L$2:$L$6))),2),"")),IF(OR(NOT(ISNUMBER($L$4)),NOT(ISNUMBER(INDEX($L$2:$L$6,IFERROR(IF(ISNUMBER(INDEX(aditivos!$O$2:$O$200,MATCH($A113,aditivos!$A$2:$A$200,0))),MIN(INDEX(aditivos!$O$2:$O$200,MATCH($A113,aditivos!$A$2:$A$200,0)),posicao_contratual!$Y113),posicao_contratual!$Y113),posicao_contratual!$Y113)+1)))),"",ROUND(itens_Remanesc!C113*$L$4/INDEX($L$2:$L$6,IFERROR(IF(ISNUMBER(INDEX(aditivos!$O$2:$O$200,MATCH($A113,aditivos!$A$2:$A$200,0))),MIN(INDEX(aditivos!$O$2:$O$200,MATCH($A113,aditivos!$A$2:$A$200,0)),posicao_contratual!$Y113),posicao_contratual!$Y113),posicao_contratual!$Y113)+1),2))))))</f>
        <v/>
      </c>
      <c r="F113" s="79" t="str">
        <f>IF(OR($A113="",posicao_contratual!$Y113=""),"",IF(posicao_contratual!$Y113&gt;3,"",IF(NOT(ISNUMBER(itens_Remanesc!C113)),"",IF(posicao_contratual!$Y113=3,IF(IFERROR(IF(ISNUMBER(INDEX(aditivos!$O$2:$O$200,MATCH($A113,aditivos!$A$2:$A$200,0))),MIN(INDEX(aditivos!$O$2:$O$200,MATCH($A113,aditivos!$A$2:$A$200,0)),posicao_contratual!$Y113),posicao_contratual!$Y113),posicao_contratual!$Y113)=3,itens_Remanesc!C113,IFERROR(ROUND(itens_Remanesc!C113*INDEX($L$2:$L$6,MIN(3+1,COUNT($L$2:$L$6)))/INDEX($L$2:$L$6,MIN(IFERROR(IF(ISNUMBER(INDEX(aditivos!$O$2:$O$200,MATCH($A113,aditivos!$A$2:$A$200,0))),MIN(INDEX(aditivos!$O$2:$O$200,MATCH($A113,aditivos!$A$2:$A$200,0)),posicao_contratual!$Y113),posicao_contratual!$Y113),posicao_contratual!$Y113)+1,COUNT($L$2:$L$6))),2),"")),IF(OR(NOT(ISNUMBER($L$5)),NOT(ISNUMBER(INDEX($L$2:$L$6,IFERROR(IF(ISNUMBER(INDEX(aditivos!$O$2:$O$200,MATCH($A113,aditivos!$A$2:$A$200,0))),MIN(INDEX(aditivos!$O$2:$O$200,MATCH($A113,aditivos!$A$2:$A$200,0)),posicao_contratual!$Y113),posicao_contratual!$Y113),posicao_contratual!$Y113)+1)))),"",ROUND(itens_Remanesc!C113*$L$5/INDEX($L$2:$L$6,IFERROR(IF(ISNUMBER(INDEX(aditivos!$O$2:$O$200,MATCH($A113,aditivos!$A$2:$A$200,0))),MIN(INDEX(aditivos!$O$2:$O$200,MATCH($A113,aditivos!$A$2:$A$200,0)),posicao_contratual!$Y113),posicao_contratual!$Y113),posicao_contratual!$Y113)+1),2))))))</f>
        <v/>
      </c>
      <c r="G113" s="79" t="str">
        <f>IF(OR($A113="",posicao_contratual!$Y113=""),"",IF(posicao_contratual!$Y113&gt;4,"",IF(NOT(ISNUMBER(itens_Remanesc!C113)),"",IF(posicao_contratual!$Y113=4,IF(IFERROR(IF(ISNUMBER(INDEX(aditivos!$O$2:$O$200,MATCH($A113,aditivos!$A$2:$A$200,0))),MIN(INDEX(aditivos!$O$2:$O$200,MATCH($A113,aditivos!$A$2:$A$200,0)),posicao_contratual!$Y113),posicao_contratual!$Y113),posicao_contratual!$Y113)=4,itens_Remanesc!C113,IFERROR(ROUND(itens_Remanesc!C113*INDEX($L$2:$L$6,MIN(4+1,COUNT($L$2:$L$6)))/INDEX($L$2:$L$6,MIN(IFERROR(IF(ISNUMBER(INDEX(aditivos!$O$2:$O$200,MATCH($A113,aditivos!$A$2:$A$200,0))),MIN(INDEX(aditivos!$O$2:$O$200,MATCH($A113,aditivos!$A$2:$A$200,0)),posicao_contratual!$Y113),posicao_contratual!$Y113),posicao_contratual!$Y113)+1,COUNT($L$2:$L$6))),2),"")),IF(OR(NOT(ISNUMBER($L$6)),NOT(ISNUMBER(INDEX($L$2:$L$6,IFERROR(IF(ISNUMBER(INDEX(aditivos!$O$2:$O$200,MATCH($A113,aditivos!$A$2:$A$200,0))),MIN(INDEX(aditivos!$O$2:$O$200,MATCH($A113,aditivos!$A$2:$A$200,0)),posicao_contratual!$Y113),posicao_contratual!$Y113),posicao_contratual!$Y113)+1)))),"",ROUND(itens_Remanesc!C113*$L$6/INDEX($L$2:$L$6,IFERROR(IF(ISNUMBER(INDEX(aditivos!$O$2:$O$200,MATCH($A113,aditivos!$A$2:$A$200,0))),MIN(INDEX(aditivos!$O$2:$O$200,MATCH($A113,aditivos!$A$2:$A$200,0)),posicao_contratual!$Y113),posicao_contratual!$Y113),posicao_contratual!$Y113)+1),2))))))</f>
        <v/>
      </c>
      <c r="H113" s="116" t="str">
        <f t="shared" si="3"/>
        <v/>
      </c>
      <c r="I113" s="13"/>
      <c r="J113" s="13"/>
      <c r="K113" s="13"/>
      <c r="L113" s="13"/>
      <c r="M113" s="13"/>
      <c r="N113" s="147" t="str">
        <f>IF(A113="","",IF(posicao_contratual!$Y113="","",IF(posicao_contratual!$Y113&gt;0,"",posicao_contratual!E113)))</f>
        <v/>
      </c>
      <c r="O113" s="147" t="str">
        <f>IF(A113="","",IF(posicao_contratual!$Y113="","",IF(posicao_contratual!$Y113&gt;1,"",posicao_contratual!I113)))</f>
        <v/>
      </c>
      <c r="P113" s="147" t="str">
        <f>IF(A113="","",IF(posicao_contratual!$Y113="","",IF(posicao_contratual!$Y113&gt;2,"",posicao_contratual!M113)))</f>
        <v/>
      </c>
      <c r="Q113" s="147" t="str">
        <f>IF(A113="","",IF(posicao_contratual!$Y113="","",IF(posicao_contratual!$Y113&gt;3,"",posicao_contratual!Q113)))</f>
        <v/>
      </c>
      <c r="R113" s="147" t="str">
        <f>IF(A113="","",IF(posicao_contratual!$Y113="","",IF(posicao_contratual!$Y113&gt;4,"",posicao_contratual!U113)))</f>
        <v/>
      </c>
      <c r="S113" s="167" t="str">
        <f>IF(A113="","",posicao_contratual!G113)</f>
        <v/>
      </c>
      <c r="T113" s="167" t="str">
        <f>IF(A113="","",posicao_contratual!K113)</f>
        <v/>
      </c>
      <c r="U113" s="167" t="str">
        <f>IF(A113="","",posicao_contratual!O113)</f>
        <v/>
      </c>
      <c r="V113" s="167" t="str">
        <f>IF(A113="","",posicao_contratual!S113)</f>
        <v/>
      </c>
      <c r="W113" s="167" t="str">
        <f>IF(A113="","",posicao_contratual!W113)</f>
        <v/>
      </c>
    </row>
    <row r="114" spans="1:23" x14ac:dyDescent="0.35">
      <c r="A114" s="86" t="str">
        <f>IF(itens_Remanesc!A114="","",itens_Remanesc!A114)</f>
        <v/>
      </c>
      <c r="B114" s="85" t="str">
        <f>IF(A114="","",IF(posicao_contratual!$Y114="","",IF(posicao_contratual!$Y114&gt;0,"",posicao_contratual!G114)))</f>
        <v/>
      </c>
      <c r="C114" s="79" t="str">
        <f>IF(itens_Remanesc!A114="","",IF(posicao_contratual!$Y114="","",IF(posicao_contratual!$Y114&gt;0,"",itens_Remanesc!C114)))</f>
        <v/>
      </c>
      <c r="D114" s="79" t="str">
        <f>IF(OR($A114="",posicao_contratual!$Y114=""),"",IF(posicao_contratual!$Y114&gt;1,"",IF(NOT(ISNUMBER(itens_Remanesc!C114)),"",IF(posicao_contratual!$Y114=1,IF(IFERROR(IF(ISNUMBER(INDEX(aditivos!$O$2:$O$200,MATCH($A114,aditivos!$A$2:$A$200,0))),MIN(INDEX(aditivos!$O$2:$O$200,MATCH($A114,aditivos!$A$2:$A$200,0)),posicao_contratual!$Y114),posicao_contratual!$Y114),posicao_contratual!$Y114)=1,itens_Remanesc!C114,IFERROR(ROUND(itens_Remanesc!C114*INDEX($L$2:$L$6,MIN(1+1,COUNT($L$2:$L$6)))/INDEX($L$2:$L$6,MIN(IFERROR(IF(ISNUMBER(INDEX(aditivos!$O$2:$O$200,MATCH($A114,aditivos!$A$2:$A$200,0))),MIN(INDEX(aditivos!$O$2:$O$200,MATCH($A114,aditivos!$A$2:$A$200,0)),posicao_contratual!$Y114),posicao_contratual!$Y114),posicao_contratual!$Y114)+1,COUNT($L$2:$L$6))),2),"")),IF(OR(NOT(ISNUMBER($L$3)),NOT(ISNUMBER(INDEX($L$2:$L$6,IFERROR(IF(ISNUMBER(INDEX(aditivos!$O$2:$O$200,MATCH($A114,aditivos!$A$2:$A$200,0))),MIN(INDEX(aditivos!$O$2:$O$200,MATCH($A114,aditivos!$A$2:$A$200,0)),posicao_contratual!$Y114),posicao_contratual!$Y114),posicao_contratual!$Y114)+1)))),"",ROUND(itens_Remanesc!C114*$L$3/INDEX($L$2:$L$6,IFERROR(IF(ISNUMBER(INDEX(aditivos!$O$2:$O$200,MATCH($A114,aditivos!$A$2:$A$200,0))),MIN(INDEX(aditivos!$O$2:$O$200,MATCH($A114,aditivos!$A$2:$A$200,0)),posicao_contratual!$Y114),posicao_contratual!$Y114),posicao_contratual!$Y114)+1),2))))))</f>
        <v/>
      </c>
      <c r="E114" s="79" t="str">
        <f>IF(OR($A114="",posicao_contratual!$Y114=""),"",IF(posicao_contratual!$Y114&gt;2,"",IF(NOT(ISNUMBER(itens_Remanesc!C114)),"",IF(posicao_contratual!$Y114=2,IF(IFERROR(IF(ISNUMBER(INDEX(aditivos!$O$2:$O$200,MATCH($A114,aditivos!$A$2:$A$200,0))),MIN(INDEX(aditivos!$O$2:$O$200,MATCH($A114,aditivos!$A$2:$A$200,0)),posicao_contratual!$Y114),posicao_contratual!$Y114),posicao_contratual!$Y114)=2,itens_Remanesc!C114,IFERROR(ROUND(itens_Remanesc!C114*INDEX($L$2:$L$6,MIN(2+1,COUNT($L$2:$L$6)))/INDEX($L$2:$L$6,MIN(IFERROR(IF(ISNUMBER(INDEX(aditivos!$O$2:$O$200,MATCH($A114,aditivos!$A$2:$A$200,0))),MIN(INDEX(aditivos!$O$2:$O$200,MATCH($A114,aditivos!$A$2:$A$200,0)),posicao_contratual!$Y114),posicao_contratual!$Y114),posicao_contratual!$Y114)+1,COUNT($L$2:$L$6))),2),"")),IF(OR(NOT(ISNUMBER($L$4)),NOT(ISNUMBER(INDEX($L$2:$L$6,IFERROR(IF(ISNUMBER(INDEX(aditivos!$O$2:$O$200,MATCH($A114,aditivos!$A$2:$A$200,0))),MIN(INDEX(aditivos!$O$2:$O$200,MATCH($A114,aditivos!$A$2:$A$200,0)),posicao_contratual!$Y114),posicao_contratual!$Y114),posicao_contratual!$Y114)+1)))),"",ROUND(itens_Remanesc!C114*$L$4/INDEX($L$2:$L$6,IFERROR(IF(ISNUMBER(INDEX(aditivos!$O$2:$O$200,MATCH($A114,aditivos!$A$2:$A$200,0))),MIN(INDEX(aditivos!$O$2:$O$200,MATCH($A114,aditivos!$A$2:$A$200,0)),posicao_contratual!$Y114),posicao_contratual!$Y114),posicao_contratual!$Y114)+1),2))))))</f>
        <v/>
      </c>
      <c r="F114" s="79" t="str">
        <f>IF(OR($A114="",posicao_contratual!$Y114=""),"",IF(posicao_contratual!$Y114&gt;3,"",IF(NOT(ISNUMBER(itens_Remanesc!C114)),"",IF(posicao_contratual!$Y114=3,IF(IFERROR(IF(ISNUMBER(INDEX(aditivos!$O$2:$O$200,MATCH($A114,aditivos!$A$2:$A$200,0))),MIN(INDEX(aditivos!$O$2:$O$200,MATCH($A114,aditivos!$A$2:$A$200,0)),posicao_contratual!$Y114),posicao_contratual!$Y114),posicao_contratual!$Y114)=3,itens_Remanesc!C114,IFERROR(ROUND(itens_Remanesc!C114*INDEX($L$2:$L$6,MIN(3+1,COUNT($L$2:$L$6)))/INDEX($L$2:$L$6,MIN(IFERROR(IF(ISNUMBER(INDEX(aditivos!$O$2:$O$200,MATCH($A114,aditivos!$A$2:$A$200,0))),MIN(INDEX(aditivos!$O$2:$O$200,MATCH($A114,aditivos!$A$2:$A$200,0)),posicao_contratual!$Y114),posicao_contratual!$Y114),posicao_contratual!$Y114)+1,COUNT($L$2:$L$6))),2),"")),IF(OR(NOT(ISNUMBER($L$5)),NOT(ISNUMBER(INDEX($L$2:$L$6,IFERROR(IF(ISNUMBER(INDEX(aditivos!$O$2:$O$200,MATCH($A114,aditivos!$A$2:$A$200,0))),MIN(INDEX(aditivos!$O$2:$O$200,MATCH($A114,aditivos!$A$2:$A$200,0)),posicao_contratual!$Y114),posicao_contratual!$Y114),posicao_contratual!$Y114)+1)))),"",ROUND(itens_Remanesc!C114*$L$5/INDEX($L$2:$L$6,IFERROR(IF(ISNUMBER(INDEX(aditivos!$O$2:$O$200,MATCH($A114,aditivos!$A$2:$A$200,0))),MIN(INDEX(aditivos!$O$2:$O$200,MATCH($A114,aditivos!$A$2:$A$200,0)),posicao_contratual!$Y114),posicao_contratual!$Y114),posicao_contratual!$Y114)+1),2))))))</f>
        <v/>
      </c>
      <c r="G114" s="79" t="str">
        <f>IF(OR($A114="",posicao_contratual!$Y114=""),"",IF(posicao_contratual!$Y114&gt;4,"",IF(NOT(ISNUMBER(itens_Remanesc!C114)),"",IF(posicao_contratual!$Y114=4,IF(IFERROR(IF(ISNUMBER(INDEX(aditivos!$O$2:$O$200,MATCH($A114,aditivos!$A$2:$A$200,0))),MIN(INDEX(aditivos!$O$2:$O$200,MATCH($A114,aditivos!$A$2:$A$200,0)),posicao_contratual!$Y114),posicao_contratual!$Y114),posicao_contratual!$Y114)=4,itens_Remanesc!C114,IFERROR(ROUND(itens_Remanesc!C114*INDEX($L$2:$L$6,MIN(4+1,COUNT($L$2:$L$6)))/INDEX($L$2:$L$6,MIN(IFERROR(IF(ISNUMBER(INDEX(aditivos!$O$2:$O$200,MATCH($A114,aditivos!$A$2:$A$200,0))),MIN(INDEX(aditivos!$O$2:$O$200,MATCH($A114,aditivos!$A$2:$A$200,0)),posicao_contratual!$Y114),posicao_contratual!$Y114),posicao_contratual!$Y114)+1,COUNT($L$2:$L$6))),2),"")),IF(OR(NOT(ISNUMBER($L$6)),NOT(ISNUMBER(INDEX($L$2:$L$6,IFERROR(IF(ISNUMBER(INDEX(aditivos!$O$2:$O$200,MATCH($A114,aditivos!$A$2:$A$200,0))),MIN(INDEX(aditivos!$O$2:$O$200,MATCH($A114,aditivos!$A$2:$A$200,0)),posicao_contratual!$Y114),posicao_contratual!$Y114),posicao_contratual!$Y114)+1)))),"",ROUND(itens_Remanesc!C114*$L$6/INDEX($L$2:$L$6,IFERROR(IF(ISNUMBER(INDEX(aditivos!$O$2:$O$200,MATCH($A114,aditivos!$A$2:$A$200,0))),MIN(INDEX(aditivos!$O$2:$O$200,MATCH($A114,aditivos!$A$2:$A$200,0)),posicao_contratual!$Y114),posicao_contratual!$Y114),posicao_contratual!$Y114)+1),2))))))</f>
        <v/>
      </c>
      <c r="H114" s="116" t="str">
        <f t="shared" si="3"/>
        <v/>
      </c>
      <c r="I114" s="13"/>
      <c r="J114" s="13"/>
      <c r="K114" s="13"/>
      <c r="L114" s="13"/>
      <c r="M114" s="13"/>
      <c r="N114" s="147" t="str">
        <f>IF(A114="","",IF(posicao_contratual!$Y114="","",IF(posicao_contratual!$Y114&gt;0,"",posicao_contratual!E114)))</f>
        <v/>
      </c>
      <c r="O114" s="147" t="str">
        <f>IF(A114="","",IF(posicao_contratual!$Y114="","",IF(posicao_contratual!$Y114&gt;1,"",posicao_contratual!I114)))</f>
        <v/>
      </c>
      <c r="P114" s="147" t="str">
        <f>IF(A114="","",IF(posicao_contratual!$Y114="","",IF(posicao_contratual!$Y114&gt;2,"",posicao_contratual!M114)))</f>
        <v/>
      </c>
      <c r="Q114" s="147" t="str">
        <f>IF(A114="","",IF(posicao_contratual!$Y114="","",IF(posicao_contratual!$Y114&gt;3,"",posicao_contratual!Q114)))</f>
        <v/>
      </c>
      <c r="R114" s="147" t="str">
        <f>IF(A114="","",IF(posicao_contratual!$Y114="","",IF(posicao_contratual!$Y114&gt;4,"",posicao_contratual!U114)))</f>
        <v/>
      </c>
      <c r="S114" s="167" t="str">
        <f>IF(A114="","",posicao_contratual!G114)</f>
        <v/>
      </c>
      <c r="T114" s="167" t="str">
        <f>IF(A114="","",posicao_contratual!K114)</f>
        <v/>
      </c>
      <c r="U114" s="167" t="str">
        <f>IF(A114="","",posicao_contratual!O114)</f>
        <v/>
      </c>
      <c r="V114" s="167" t="str">
        <f>IF(A114="","",posicao_contratual!S114)</f>
        <v/>
      </c>
      <c r="W114" s="167" t="str">
        <f>IF(A114="","",posicao_contratual!W114)</f>
        <v/>
      </c>
    </row>
    <row r="115" spans="1:23" x14ac:dyDescent="0.35">
      <c r="A115" s="86" t="str">
        <f>IF(itens_Remanesc!A115="","",itens_Remanesc!A115)</f>
        <v/>
      </c>
      <c r="B115" s="85" t="str">
        <f>IF(A115="","",IF(posicao_contratual!$Y115="","",IF(posicao_contratual!$Y115&gt;0,"",posicao_contratual!G115)))</f>
        <v/>
      </c>
      <c r="C115" s="79" t="str">
        <f>IF(itens_Remanesc!A115="","",IF(posicao_contratual!$Y115="","",IF(posicao_contratual!$Y115&gt;0,"",itens_Remanesc!C115)))</f>
        <v/>
      </c>
      <c r="D115" s="79" t="str">
        <f>IF(OR($A115="",posicao_contratual!$Y115=""),"",IF(posicao_contratual!$Y115&gt;1,"",IF(NOT(ISNUMBER(itens_Remanesc!C115)),"",IF(posicao_contratual!$Y115=1,IF(IFERROR(IF(ISNUMBER(INDEX(aditivos!$O$2:$O$200,MATCH($A115,aditivos!$A$2:$A$200,0))),MIN(INDEX(aditivos!$O$2:$O$200,MATCH($A115,aditivos!$A$2:$A$200,0)),posicao_contratual!$Y115),posicao_contratual!$Y115),posicao_contratual!$Y115)=1,itens_Remanesc!C115,IFERROR(ROUND(itens_Remanesc!C115*INDEX($L$2:$L$6,MIN(1+1,COUNT($L$2:$L$6)))/INDEX($L$2:$L$6,MIN(IFERROR(IF(ISNUMBER(INDEX(aditivos!$O$2:$O$200,MATCH($A115,aditivos!$A$2:$A$200,0))),MIN(INDEX(aditivos!$O$2:$O$200,MATCH($A115,aditivos!$A$2:$A$200,0)),posicao_contratual!$Y115),posicao_contratual!$Y115),posicao_contratual!$Y115)+1,COUNT($L$2:$L$6))),2),"")),IF(OR(NOT(ISNUMBER($L$3)),NOT(ISNUMBER(INDEX($L$2:$L$6,IFERROR(IF(ISNUMBER(INDEX(aditivos!$O$2:$O$200,MATCH($A115,aditivos!$A$2:$A$200,0))),MIN(INDEX(aditivos!$O$2:$O$200,MATCH($A115,aditivos!$A$2:$A$200,0)),posicao_contratual!$Y115),posicao_contratual!$Y115),posicao_contratual!$Y115)+1)))),"",ROUND(itens_Remanesc!C115*$L$3/INDEX($L$2:$L$6,IFERROR(IF(ISNUMBER(INDEX(aditivos!$O$2:$O$200,MATCH($A115,aditivos!$A$2:$A$200,0))),MIN(INDEX(aditivos!$O$2:$O$200,MATCH($A115,aditivos!$A$2:$A$200,0)),posicao_contratual!$Y115),posicao_contratual!$Y115),posicao_contratual!$Y115)+1),2))))))</f>
        <v/>
      </c>
      <c r="E115" s="79" t="str">
        <f>IF(OR($A115="",posicao_contratual!$Y115=""),"",IF(posicao_contratual!$Y115&gt;2,"",IF(NOT(ISNUMBER(itens_Remanesc!C115)),"",IF(posicao_contratual!$Y115=2,IF(IFERROR(IF(ISNUMBER(INDEX(aditivos!$O$2:$O$200,MATCH($A115,aditivos!$A$2:$A$200,0))),MIN(INDEX(aditivos!$O$2:$O$200,MATCH($A115,aditivos!$A$2:$A$200,0)),posicao_contratual!$Y115),posicao_contratual!$Y115),posicao_contratual!$Y115)=2,itens_Remanesc!C115,IFERROR(ROUND(itens_Remanesc!C115*INDEX($L$2:$L$6,MIN(2+1,COUNT($L$2:$L$6)))/INDEX($L$2:$L$6,MIN(IFERROR(IF(ISNUMBER(INDEX(aditivos!$O$2:$O$200,MATCH($A115,aditivos!$A$2:$A$200,0))),MIN(INDEX(aditivos!$O$2:$O$200,MATCH($A115,aditivos!$A$2:$A$200,0)),posicao_contratual!$Y115),posicao_contratual!$Y115),posicao_contratual!$Y115)+1,COUNT($L$2:$L$6))),2),"")),IF(OR(NOT(ISNUMBER($L$4)),NOT(ISNUMBER(INDEX($L$2:$L$6,IFERROR(IF(ISNUMBER(INDEX(aditivos!$O$2:$O$200,MATCH($A115,aditivos!$A$2:$A$200,0))),MIN(INDEX(aditivos!$O$2:$O$200,MATCH($A115,aditivos!$A$2:$A$200,0)),posicao_contratual!$Y115),posicao_contratual!$Y115),posicao_contratual!$Y115)+1)))),"",ROUND(itens_Remanesc!C115*$L$4/INDEX($L$2:$L$6,IFERROR(IF(ISNUMBER(INDEX(aditivos!$O$2:$O$200,MATCH($A115,aditivos!$A$2:$A$200,0))),MIN(INDEX(aditivos!$O$2:$O$200,MATCH($A115,aditivos!$A$2:$A$200,0)),posicao_contratual!$Y115),posicao_contratual!$Y115),posicao_contratual!$Y115)+1),2))))))</f>
        <v/>
      </c>
      <c r="F115" s="79" t="str">
        <f>IF(OR($A115="",posicao_contratual!$Y115=""),"",IF(posicao_contratual!$Y115&gt;3,"",IF(NOT(ISNUMBER(itens_Remanesc!C115)),"",IF(posicao_contratual!$Y115=3,IF(IFERROR(IF(ISNUMBER(INDEX(aditivos!$O$2:$O$200,MATCH($A115,aditivos!$A$2:$A$200,0))),MIN(INDEX(aditivos!$O$2:$O$200,MATCH($A115,aditivos!$A$2:$A$200,0)),posicao_contratual!$Y115),posicao_contratual!$Y115),posicao_contratual!$Y115)=3,itens_Remanesc!C115,IFERROR(ROUND(itens_Remanesc!C115*INDEX($L$2:$L$6,MIN(3+1,COUNT($L$2:$L$6)))/INDEX($L$2:$L$6,MIN(IFERROR(IF(ISNUMBER(INDEX(aditivos!$O$2:$O$200,MATCH($A115,aditivos!$A$2:$A$200,0))),MIN(INDEX(aditivos!$O$2:$O$200,MATCH($A115,aditivos!$A$2:$A$200,0)),posicao_contratual!$Y115),posicao_contratual!$Y115),posicao_contratual!$Y115)+1,COUNT($L$2:$L$6))),2),"")),IF(OR(NOT(ISNUMBER($L$5)),NOT(ISNUMBER(INDEX($L$2:$L$6,IFERROR(IF(ISNUMBER(INDEX(aditivos!$O$2:$O$200,MATCH($A115,aditivos!$A$2:$A$200,0))),MIN(INDEX(aditivos!$O$2:$O$200,MATCH($A115,aditivos!$A$2:$A$200,0)),posicao_contratual!$Y115),posicao_contratual!$Y115),posicao_contratual!$Y115)+1)))),"",ROUND(itens_Remanesc!C115*$L$5/INDEX($L$2:$L$6,IFERROR(IF(ISNUMBER(INDEX(aditivos!$O$2:$O$200,MATCH($A115,aditivos!$A$2:$A$200,0))),MIN(INDEX(aditivos!$O$2:$O$200,MATCH($A115,aditivos!$A$2:$A$200,0)),posicao_contratual!$Y115),posicao_contratual!$Y115),posicao_contratual!$Y115)+1),2))))))</f>
        <v/>
      </c>
      <c r="G115" s="79" t="str">
        <f>IF(OR($A115="",posicao_contratual!$Y115=""),"",IF(posicao_contratual!$Y115&gt;4,"",IF(NOT(ISNUMBER(itens_Remanesc!C115)),"",IF(posicao_contratual!$Y115=4,IF(IFERROR(IF(ISNUMBER(INDEX(aditivos!$O$2:$O$200,MATCH($A115,aditivos!$A$2:$A$200,0))),MIN(INDEX(aditivos!$O$2:$O$200,MATCH($A115,aditivos!$A$2:$A$200,0)),posicao_contratual!$Y115),posicao_contratual!$Y115),posicao_contratual!$Y115)=4,itens_Remanesc!C115,IFERROR(ROUND(itens_Remanesc!C115*INDEX($L$2:$L$6,MIN(4+1,COUNT($L$2:$L$6)))/INDEX($L$2:$L$6,MIN(IFERROR(IF(ISNUMBER(INDEX(aditivos!$O$2:$O$200,MATCH($A115,aditivos!$A$2:$A$200,0))),MIN(INDEX(aditivos!$O$2:$O$200,MATCH($A115,aditivos!$A$2:$A$200,0)),posicao_contratual!$Y115),posicao_contratual!$Y115),posicao_contratual!$Y115)+1,COUNT($L$2:$L$6))),2),"")),IF(OR(NOT(ISNUMBER($L$6)),NOT(ISNUMBER(INDEX($L$2:$L$6,IFERROR(IF(ISNUMBER(INDEX(aditivos!$O$2:$O$200,MATCH($A115,aditivos!$A$2:$A$200,0))),MIN(INDEX(aditivos!$O$2:$O$200,MATCH($A115,aditivos!$A$2:$A$200,0)),posicao_contratual!$Y115),posicao_contratual!$Y115),posicao_contratual!$Y115)+1)))),"",ROUND(itens_Remanesc!C115*$L$6/INDEX($L$2:$L$6,IFERROR(IF(ISNUMBER(INDEX(aditivos!$O$2:$O$200,MATCH($A115,aditivos!$A$2:$A$200,0))),MIN(INDEX(aditivos!$O$2:$O$200,MATCH($A115,aditivos!$A$2:$A$200,0)),posicao_contratual!$Y115),posicao_contratual!$Y115),posicao_contratual!$Y115)+1),2))))))</f>
        <v/>
      </c>
      <c r="H115" s="116" t="str">
        <f t="shared" si="3"/>
        <v/>
      </c>
      <c r="I115" s="13"/>
      <c r="J115" s="13"/>
      <c r="K115" s="13"/>
      <c r="L115" s="13"/>
      <c r="M115" s="13"/>
      <c r="N115" s="147" t="str">
        <f>IF(A115="","",IF(posicao_contratual!$Y115="","",IF(posicao_contratual!$Y115&gt;0,"",posicao_contratual!E115)))</f>
        <v/>
      </c>
      <c r="O115" s="147" t="str">
        <f>IF(A115="","",IF(posicao_contratual!$Y115="","",IF(posicao_contratual!$Y115&gt;1,"",posicao_contratual!I115)))</f>
        <v/>
      </c>
      <c r="P115" s="147" t="str">
        <f>IF(A115="","",IF(posicao_contratual!$Y115="","",IF(posicao_contratual!$Y115&gt;2,"",posicao_contratual!M115)))</f>
        <v/>
      </c>
      <c r="Q115" s="147" t="str">
        <f>IF(A115="","",IF(posicao_contratual!$Y115="","",IF(posicao_contratual!$Y115&gt;3,"",posicao_contratual!Q115)))</f>
        <v/>
      </c>
      <c r="R115" s="147" t="str">
        <f>IF(A115="","",IF(posicao_contratual!$Y115="","",IF(posicao_contratual!$Y115&gt;4,"",posicao_contratual!U115)))</f>
        <v/>
      </c>
      <c r="S115" s="167" t="str">
        <f>IF(A115="","",posicao_contratual!G115)</f>
        <v/>
      </c>
      <c r="T115" s="167" t="str">
        <f>IF(A115="","",posicao_contratual!K115)</f>
        <v/>
      </c>
      <c r="U115" s="167" t="str">
        <f>IF(A115="","",posicao_contratual!O115)</f>
        <v/>
      </c>
      <c r="V115" s="167" t="str">
        <f>IF(A115="","",posicao_contratual!S115)</f>
        <v/>
      </c>
      <c r="W115" s="167" t="str">
        <f>IF(A115="","",posicao_contratual!W115)</f>
        <v/>
      </c>
    </row>
    <row r="116" spans="1:23" x14ac:dyDescent="0.35">
      <c r="A116" s="86" t="str">
        <f>IF(itens_Remanesc!A116="","",itens_Remanesc!A116)</f>
        <v/>
      </c>
      <c r="B116" s="85" t="str">
        <f>IF(A116="","",IF(posicao_contratual!$Y116="","",IF(posicao_contratual!$Y116&gt;0,"",posicao_contratual!G116)))</f>
        <v/>
      </c>
      <c r="C116" s="79" t="str">
        <f>IF(itens_Remanesc!A116="","",IF(posicao_contratual!$Y116="","",IF(posicao_contratual!$Y116&gt;0,"",itens_Remanesc!C116)))</f>
        <v/>
      </c>
      <c r="D116" s="79" t="str">
        <f>IF(OR($A116="",posicao_contratual!$Y116=""),"",IF(posicao_contratual!$Y116&gt;1,"",IF(NOT(ISNUMBER(itens_Remanesc!C116)),"",IF(posicao_contratual!$Y116=1,IF(IFERROR(IF(ISNUMBER(INDEX(aditivos!$O$2:$O$200,MATCH($A116,aditivos!$A$2:$A$200,0))),MIN(INDEX(aditivos!$O$2:$O$200,MATCH($A116,aditivos!$A$2:$A$200,0)),posicao_contratual!$Y116),posicao_contratual!$Y116),posicao_contratual!$Y116)=1,itens_Remanesc!C116,IFERROR(ROUND(itens_Remanesc!C116*INDEX($L$2:$L$6,MIN(1+1,COUNT($L$2:$L$6)))/INDEX($L$2:$L$6,MIN(IFERROR(IF(ISNUMBER(INDEX(aditivos!$O$2:$O$200,MATCH($A116,aditivos!$A$2:$A$200,0))),MIN(INDEX(aditivos!$O$2:$O$200,MATCH($A116,aditivos!$A$2:$A$200,0)),posicao_contratual!$Y116),posicao_contratual!$Y116),posicao_contratual!$Y116)+1,COUNT($L$2:$L$6))),2),"")),IF(OR(NOT(ISNUMBER($L$3)),NOT(ISNUMBER(INDEX($L$2:$L$6,IFERROR(IF(ISNUMBER(INDEX(aditivos!$O$2:$O$200,MATCH($A116,aditivos!$A$2:$A$200,0))),MIN(INDEX(aditivos!$O$2:$O$200,MATCH($A116,aditivos!$A$2:$A$200,0)),posicao_contratual!$Y116),posicao_contratual!$Y116),posicao_contratual!$Y116)+1)))),"",ROUND(itens_Remanesc!C116*$L$3/INDEX($L$2:$L$6,IFERROR(IF(ISNUMBER(INDEX(aditivos!$O$2:$O$200,MATCH($A116,aditivos!$A$2:$A$200,0))),MIN(INDEX(aditivos!$O$2:$O$200,MATCH($A116,aditivos!$A$2:$A$200,0)),posicao_contratual!$Y116),posicao_contratual!$Y116),posicao_contratual!$Y116)+1),2))))))</f>
        <v/>
      </c>
      <c r="E116" s="79" t="str">
        <f>IF(OR($A116="",posicao_contratual!$Y116=""),"",IF(posicao_contratual!$Y116&gt;2,"",IF(NOT(ISNUMBER(itens_Remanesc!C116)),"",IF(posicao_contratual!$Y116=2,IF(IFERROR(IF(ISNUMBER(INDEX(aditivos!$O$2:$O$200,MATCH($A116,aditivos!$A$2:$A$200,0))),MIN(INDEX(aditivos!$O$2:$O$200,MATCH($A116,aditivos!$A$2:$A$200,0)),posicao_contratual!$Y116),posicao_contratual!$Y116),posicao_contratual!$Y116)=2,itens_Remanesc!C116,IFERROR(ROUND(itens_Remanesc!C116*INDEX($L$2:$L$6,MIN(2+1,COUNT($L$2:$L$6)))/INDEX($L$2:$L$6,MIN(IFERROR(IF(ISNUMBER(INDEX(aditivos!$O$2:$O$200,MATCH($A116,aditivos!$A$2:$A$200,0))),MIN(INDEX(aditivos!$O$2:$O$200,MATCH($A116,aditivos!$A$2:$A$200,0)),posicao_contratual!$Y116),posicao_contratual!$Y116),posicao_contratual!$Y116)+1,COUNT($L$2:$L$6))),2),"")),IF(OR(NOT(ISNUMBER($L$4)),NOT(ISNUMBER(INDEX($L$2:$L$6,IFERROR(IF(ISNUMBER(INDEX(aditivos!$O$2:$O$200,MATCH($A116,aditivos!$A$2:$A$200,0))),MIN(INDEX(aditivos!$O$2:$O$200,MATCH($A116,aditivos!$A$2:$A$200,0)),posicao_contratual!$Y116),posicao_contratual!$Y116),posicao_contratual!$Y116)+1)))),"",ROUND(itens_Remanesc!C116*$L$4/INDEX($L$2:$L$6,IFERROR(IF(ISNUMBER(INDEX(aditivos!$O$2:$O$200,MATCH($A116,aditivos!$A$2:$A$200,0))),MIN(INDEX(aditivos!$O$2:$O$200,MATCH($A116,aditivos!$A$2:$A$200,0)),posicao_contratual!$Y116),posicao_contratual!$Y116),posicao_contratual!$Y116)+1),2))))))</f>
        <v/>
      </c>
      <c r="F116" s="79" t="str">
        <f>IF(OR($A116="",posicao_contratual!$Y116=""),"",IF(posicao_contratual!$Y116&gt;3,"",IF(NOT(ISNUMBER(itens_Remanesc!C116)),"",IF(posicao_contratual!$Y116=3,IF(IFERROR(IF(ISNUMBER(INDEX(aditivos!$O$2:$O$200,MATCH($A116,aditivos!$A$2:$A$200,0))),MIN(INDEX(aditivos!$O$2:$O$200,MATCH($A116,aditivos!$A$2:$A$200,0)),posicao_contratual!$Y116),posicao_contratual!$Y116),posicao_contratual!$Y116)=3,itens_Remanesc!C116,IFERROR(ROUND(itens_Remanesc!C116*INDEX($L$2:$L$6,MIN(3+1,COUNT($L$2:$L$6)))/INDEX($L$2:$L$6,MIN(IFERROR(IF(ISNUMBER(INDEX(aditivos!$O$2:$O$200,MATCH($A116,aditivos!$A$2:$A$200,0))),MIN(INDEX(aditivos!$O$2:$O$200,MATCH($A116,aditivos!$A$2:$A$200,0)),posicao_contratual!$Y116),posicao_contratual!$Y116),posicao_contratual!$Y116)+1,COUNT($L$2:$L$6))),2),"")),IF(OR(NOT(ISNUMBER($L$5)),NOT(ISNUMBER(INDEX($L$2:$L$6,IFERROR(IF(ISNUMBER(INDEX(aditivos!$O$2:$O$200,MATCH($A116,aditivos!$A$2:$A$200,0))),MIN(INDEX(aditivos!$O$2:$O$200,MATCH($A116,aditivos!$A$2:$A$200,0)),posicao_contratual!$Y116),posicao_contratual!$Y116),posicao_contratual!$Y116)+1)))),"",ROUND(itens_Remanesc!C116*$L$5/INDEX($L$2:$L$6,IFERROR(IF(ISNUMBER(INDEX(aditivos!$O$2:$O$200,MATCH($A116,aditivos!$A$2:$A$200,0))),MIN(INDEX(aditivos!$O$2:$O$200,MATCH($A116,aditivos!$A$2:$A$200,0)),posicao_contratual!$Y116),posicao_contratual!$Y116),posicao_contratual!$Y116)+1),2))))))</f>
        <v/>
      </c>
      <c r="G116" s="79" t="str">
        <f>IF(OR($A116="",posicao_contratual!$Y116=""),"",IF(posicao_contratual!$Y116&gt;4,"",IF(NOT(ISNUMBER(itens_Remanesc!C116)),"",IF(posicao_contratual!$Y116=4,IF(IFERROR(IF(ISNUMBER(INDEX(aditivos!$O$2:$O$200,MATCH($A116,aditivos!$A$2:$A$200,0))),MIN(INDEX(aditivos!$O$2:$O$200,MATCH($A116,aditivos!$A$2:$A$200,0)),posicao_contratual!$Y116),posicao_contratual!$Y116),posicao_contratual!$Y116)=4,itens_Remanesc!C116,IFERROR(ROUND(itens_Remanesc!C116*INDEX($L$2:$L$6,MIN(4+1,COUNT($L$2:$L$6)))/INDEX($L$2:$L$6,MIN(IFERROR(IF(ISNUMBER(INDEX(aditivos!$O$2:$O$200,MATCH($A116,aditivos!$A$2:$A$200,0))),MIN(INDEX(aditivos!$O$2:$O$200,MATCH($A116,aditivos!$A$2:$A$200,0)),posicao_contratual!$Y116),posicao_contratual!$Y116),posicao_contratual!$Y116)+1,COUNT($L$2:$L$6))),2),"")),IF(OR(NOT(ISNUMBER($L$6)),NOT(ISNUMBER(INDEX($L$2:$L$6,IFERROR(IF(ISNUMBER(INDEX(aditivos!$O$2:$O$200,MATCH($A116,aditivos!$A$2:$A$200,0))),MIN(INDEX(aditivos!$O$2:$O$200,MATCH($A116,aditivos!$A$2:$A$200,0)),posicao_contratual!$Y116),posicao_contratual!$Y116),posicao_contratual!$Y116)+1)))),"",ROUND(itens_Remanesc!C116*$L$6/INDEX($L$2:$L$6,IFERROR(IF(ISNUMBER(INDEX(aditivos!$O$2:$O$200,MATCH($A116,aditivos!$A$2:$A$200,0))),MIN(INDEX(aditivos!$O$2:$O$200,MATCH($A116,aditivos!$A$2:$A$200,0)),posicao_contratual!$Y116),posicao_contratual!$Y116),posicao_contratual!$Y116)+1),2))))))</f>
        <v/>
      </c>
      <c r="H116" s="116" t="str">
        <f t="shared" si="3"/>
        <v/>
      </c>
      <c r="I116" s="13"/>
      <c r="J116" s="13"/>
      <c r="K116" s="13"/>
      <c r="L116" s="13"/>
      <c r="M116" s="13"/>
      <c r="N116" s="147" t="str">
        <f>IF(A116="","",IF(posicao_contratual!$Y116="","",IF(posicao_contratual!$Y116&gt;0,"",posicao_contratual!E116)))</f>
        <v/>
      </c>
      <c r="O116" s="147" t="str">
        <f>IF(A116="","",IF(posicao_contratual!$Y116="","",IF(posicao_contratual!$Y116&gt;1,"",posicao_contratual!I116)))</f>
        <v/>
      </c>
      <c r="P116" s="147" t="str">
        <f>IF(A116="","",IF(posicao_contratual!$Y116="","",IF(posicao_contratual!$Y116&gt;2,"",posicao_contratual!M116)))</f>
        <v/>
      </c>
      <c r="Q116" s="147" t="str">
        <f>IF(A116="","",IF(posicao_contratual!$Y116="","",IF(posicao_contratual!$Y116&gt;3,"",posicao_contratual!Q116)))</f>
        <v/>
      </c>
      <c r="R116" s="147" t="str">
        <f>IF(A116="","",IF(posicao_contratual!$Y116="","",IF(posicao_contratual!$Y116&gt;4,"",posicao_contratual!U116)))</f>
        <v/>
      </c>
      <c r="S116" s="167" t="str">
        <f>IF(A116="","",posicao_contratual!G116)</f>
        <v/>
      </c>
      <c r="T116" s="167" t="str">
        <f>IF(A116="","",posicao_contratual!K116)</f>
        <v/>
      </c>
      <c r="U116" s="167" t="str">
        <f>IF(A116="","",posicao_contratual!O116)</f>
        <v/>
      </c>
      <c r="V116" s="167" t="str">
        <f>IF(A116="","",posicao_contratual!S116)</f>
        <v/>
      </c>
      <c r="W116" s="167" t="str">
        <f>IF(A116="","",posicao_contratual!W116)</f>
        <v/>
      </c>
    </row>
    <row r="117" spans="1:23" x14ac:dyDescent="0.35">
      <c r="A117" s="86" t="str">
        <f>IF(itens_Remanesc!A117="","",itens_Remanesc!A117)</f>
        <v/>
      </c>
      <c r="B117" s="85" t="str">
        <f>IF(A117="","",IF(posicao_contratual!$Y117="","",IF(posicao_contratual!$Y117&gt;0,"",posicao_contratual!G117)))</f>
        <v/>
      </c>
      <c r="C117" s="79" t="str">
        <f>IF(itens_Remanesc!A117="","",IF(posicao_contratual!$Y117="","",IF(posicao_contratual!$Y117&gt;0,"",itens_Remanesc!C117)))</f>
        <v/>
      </c>
      <c r="D117" s="79" t="str">
        <f>IF(OR($A117="",posicao_contratual!$Y117=""),"",IF(posicao_contratual!$Y117&gt;1,"",IF(NOT(ISNUMBER(itens_Remanesc!C117)),"",IF(posicao_contratual!$Y117=1,IF(IFERROR(IF(ISNUMBER(INDEX(aditivos!$O$2:$O$200,MATCH($A117,aditivos!$A$2:$A$200,0))),MIN(INDEX(aditivos!$O$2:$O$200,MATCH($A117,aditivos!$A$2:$A$200,0)),posicao_contratual!$Y117),posicao_contratual!$Y117),posicao_contratual!$Y117)=1,itens_Remanesc!C117,IFERROR(ROUND(itens_Remanesc!C117*INDEX($L$2:$L$6,MIN(1+1,COUNT($L$2:$L$6)))/INDEX($L$2:$L$6,MIN(IFERROR(IF(ISNUMBER(INDEX(aditivos!$O$2:$O$200,MATCH($A117,aditivos!$A$2:$A$200,0))),MIN(INDEX(aditivos!$O$2:$O$200,MATCH($A117,aditivos!$A$2:$A$200,0)),posicao_contratual!$Y117),posicao_contratual!$Y117),posicao_contratual!$Y117)+1,COUNT($L$2:$L$6))),2),"")),IF(OR(NOT(ISNUMBER($L$3)),NOT(ISNUMBER(INDEX($L$2:$L$6,IFERROR(IF(ISNUMBER(INDEX(aditivos!$O$2:$O$200,MATCH($A117,aditivos!$A$2:$A$200,0))),MIN(INDEX(aditivos!$O$2:$O$200,MATCH($A117,aditivos!$A$2:$A$200,0)),posicao_contratual!$Y117),posicao_contratual!$Y117),posicao_contratual!$Y117)+1)))),"",ROUND(itens_Remanesc!C117*$L$3/INDEX($L$2:$L$6,IFERROR(IF(ISNUMBER(INDEX(aditivos!$O$2:$O$200,MATCH($A117,aditivos!$A$2:$A$200,0))),MIN(INDEX(aditivos!$O$2:$O$200,MATCH($A117,aditivos!$A$2:$A$200,0)),posicao_contratual!$Y117),posicao_contratual!$Y117),posicao_contratual!$Y117)+1),2))))))</f>
        <v/>
      </c>
      <c r="E117" s="79" t="str">
        <f>IF(OR($A117="",posicao_contratual!$Y117=""),"",IF(posicao_contratual!$Y117&gt;2,"",IF(NOT(ISNUMBER(itens_Remanesc!C117)),"",IF(posicao_contratual!$Y117=2,IF(IFERROR(IF(ISNUMBER(INDEX(aditivos!$O$2:$O$200,MATCH($A117,aditivos!$A$2:$A$200,0))),MIN(INDEX(aditivos!$O$2:$O$200,MATCH($A117,aditivos!$A$2:$A$200,0)),posicao_contratual!$Y117),posicao_contratual!$Y117),posicao_contratual!$Y117)=2,itens_Remanesc!C117,IFERROR(ROUND(itens_Remanesc!C117*INDEX($L$2:$L$6,MIN(2+1,COUNT($L$2:$L$6)))/INDEX($L$2:$L$6,MIN(IFERROR(IF(ISNUMBER(INDEX(aditivos!$O$2:$O$200,MATCH($A117,aditivos!$A$2:$A$200,0))),MIN(INDEX(aditivos!$O$2:$O$200,MATCH($A117,aditivos!$A$2:$A$200,0)),posicao_contratual!$Y117),posicao_contratual!$Y117),posicao_contratual!$Y117)+1,COUNT($L$2:$L$6))),2),"")),IF(OR(NOT(ISNUMBER($L$4)),NOT(ISNUMBER(INDEX($L$2:$L$6,IFERROR(IF(ISNUMBER(INDEX(aditivos!$O$2:$O$200,MATCH($A117,aditivos!$A$2:$A$200,0))),MIN(INDEX(aditivos!$O$2:$O$200,MATCH($A117,aditivos!$A$2:$A$200,0)),posicao_contratual!$Y117),posicao_contratual!$Y117),posicao_contratual!$Y117)+1)))),"",ROUND(itens_Remanesc!C117*$L$4/INDEX($L$2:$L$6,IFERROR(IF(ISNUMBER(INDEX(aditivos!$O$2:$O$200,MATCH($A117,aditivos!$A$2:$A$200,0))),MIN(INDEX(aditivos!$O$2:$O$200,MATCH($A117,aditivos!$A$2:$A$200,0)),posicao_contratual!$Y117),posicao_contratual!$Y117),posicao_contratual!$Y117)+1),2))))))</f>
        <v/>
      </c>
      <c r="F117" s="79" t="str">
        <f>IF(OR($A117="",posicao_contratual!$Y117=""),"",IF(posicao_contratual!$Y117&gt;3,"",IF(NOT(ISNUMBER(itens_Remanesc!C117)),"",IF(posicao_contratual!$Y117=3,IF(IFERROR(IF(ISNUMBER(INDEX(aditivos!$O$2:$O$200,MATCH($A117,aditivos!$A$2:$A$200,0))),MIN(INDEX(aditivos!$O$2:$O$200,MATCH($A117,aditivos!$A$2:$A$200,0)),posicao_contratual!$Y117),posicao_contratual!$Y117),posicao_contratual!$Y117)=3,itens_Remanesc!C117,IFERROR(ROUND(itens_Remanesc!C117*INDEX($L$2:$L$6,MIN(3+1,COUNT($L$2:$L$6)))/INDEX($L$2:$L$6,MIN(IFERROR(IF(ISNUMBER(INDEX(aditivos!$O$2:$O$200,MATCH($A117,aditivos!$A$2:$A$200,0))),MIN(INDEX(aditivos!$O$2:$O$200,MATCH($A117,aditivos!$A$2:$A$200,0)),posicao_contratual!$Y117),posicao_contratual!$Y117),posicao_contratual!$Y117)+1,COUNT($L$2:$L$6))),2),"")),IF(OR(NOT(ISNUMBER($L$5)),NOT(ISNUMBER(INDEX($L$2:$L$6,IFERROR(IF(ISNUMBER(INDEX(aditivos!$O$2:$O$200,MATCH($A117,aditivos!$A$2:$A$200,0))),MIN(INDEX(aditivos!$O$2:$O$200,MATCH($A117,aditivos!$A$2:$A$200,0)),posicao_contratual!$Y117),posicao_contratual!$Y117),posicao_contratual!$Y117)+1)))),"",ROUND(itens_Remanesc!C117*$L$5/INDEX($L$2:$L$6,IFERROR(IF(ISNUMBER(INDEX(aditivos!$O$2:$O$200,MATCH($A117,aditivos!$A$2:$A$200,0))),MIN(INDEX(aditivos!$O$2:$O$200,MATCH($A117,aditivos!$A$2:$A$200,0)),posicao_contratual!$Y117),posicao_contratual!$Y117),posicao_contratual!$Y117)+1),2))))))</f>
        <v/>
      </c>
      <c r="G117" s="79" t="str">
        <f>IF(OR($A117="",posicao_contratual!$Y117=""),"",IF(posicao_contratual!$Y117&gt;4,"",IF(NOT(ISNUMBER(itens_Remanesc!C117)),"",IF(posicao_contratual!$Y117=4,IF(IFERROR(IF(ISNUMBER(INDEX(aditivos!$O$2:$O$200,MATCH($A117,aditivos!$A$2:$A$200,0))),MIN(INDEX(aditivos!$O$2:$O$200,MATCH($A117,aditivos!$A$2:$A$200,0)),posicao_contratual!$Y117),posicao_contratual!$Y117),posicao_contratual!$Y117)=4,itens_Remanesc!C117,IFERROR(ROUND(itens_Remanesc!C117*INDEX($L$2:$L$6,MIN(4+1,COUNT($L$2:$L$6)))/INDEX($L$2:$L$6,MIN(IFERROR(IF(ISNUMBER(INDEX(aditivos!$O$2:$O$200,MATCH($A117,aditivos!$A$2:$A$200,0))),MIN(INDEX(aditivos!$O$2:$O$200,MATCH($A117,aditivos!$A$2:$A$200,0)),posicao_contratual!$Y117),posicao_contratual!$Y117),posicao_contratual!$Y117)+1,COUNT($L$2:$L$6))),2),"")),IF(OR(NOT(ISNUMBER($L$6)),NOT(ISNUMBER(INDEX($L$2:$L$6,IFERROR(IF(ISNUMBER(INDEX(aditivos!$O$2:$O$200,MATCH($A117,aditivos!$A$2:$A$200,0))),MIN(INDEX(aditivos!$O$2:$O$200,MATCH($A117,aditivos!$A$2:$A$200,0)),posicao_contratual!$Y117),posicao_contratual!$Y117),posicao_contratual!$Y117)+1)))),"",ROUND(itens_Remanesc!C117*$L$6/INDEX($L$2:$L$6,IFERROR(IF(ISNUMBER(INDEX(aditivos!$O$2:$O$200,MATCH($A117,aditivos!$A$2:$A$200,0))),MIN(INDEX(aditivos!$O$2:$O$200,MATCH($A117,aditivos!$A$2:$A$200,0)),posicao_contratual!$Y117),posicao_contratual!$Y117),posicao_contratual!$Y117)+1),2))))))</f>
        <v/>
      </c>
      <c r="H117" s="116" t="str">
        <f t="shared" si="3"/>
        <v/>
      </c>
      <c r="I117" s="13"/>
      <c r="J117" s="13"/>
      <c r="K117" s="13"/>
      <c r="L117" s="13"/>
      <c r="M117" s="13"/>
      <c r="N117" s="147" t="str">
        <f>IF(A117="","",IF(posicao_contratual!$Y117="","",IF(posicao_contratual!$Y117&gt;0,"",posicao_contratual!E117)))</f>
        <v/>
      </c>
      <c r="O117" s="147" t="str">
        <f>IF(A117="","",IF(posicao_contratual!$Y117="","",IF(posicao_contratual!$Y117&gt;1,"",posicao_contratual!I117)))</f>
        <v/>
      </c>
      <c r="P117" s="147" t="str">
        <f>IF(A117="","",IF(posicao_contratual!$Y117="","",IF(posicao_contratual!$Y117&gt;2,"",posicao_contratual!M117)))</f>
        <v/>
      </c>
      <c r="Q117" s="147" t="str">
        <f>IF(A117="","",IF(posicao_contratual!$Y117="","",IF(posicao_contratual!$Y117&gt;3,"",posicao_contratual!Q117)))</f>
        <v/>
      </c>
      <c r="R117" s="147" t="str">
        <f>IF(A117="","",IF(posicao_contratual!$Y117="","",IF(posicao_contratual!$Y117&gt;4,"",posicao_contratual!U117)))</f>
        <v/>
      </c>
      <c r="S117" s="167" t="str">
        <f>IF(A117="","",posicao_contratual!G117)</f>
        <v/>
      </c>
      <c r="T117" s="167" t="str">
        <f>IF(A117="","",posicao_contratual!K117)</f>
        <v/>
      </c>
      <c r="U117" s="167" t="str">
        <f>IF(A117="","",posicao_contratual!O117)</f>
        <v/>
      </c>
      <c r="V117" s="167" t="str">
        <f>IF(A117="","",posicao_contratual!S117)</f>
        <v/>
      </c>
      <c r="W117" s="167" t="str">
        <f>IF(A117="","",posicao_contratual!W117)</f>
        <v/>
      </c>
    </row>
    <row r="118" spans="1:23" x14ac:dyDescent="0.35">
      <c r="A118" s="86" t="str">
        <f>IF(itens_Remanesc!A118="","",itens_Remanesc!A118)</f>
        <v/>
      </c>
      <c r="B118" s="85" t="str">
        <f>IF(A118="","",IF(posicao_contratual!$Y118="","",IF(posicao_contratual!$Y118&gt;0,"",posicao_contratual!G118)))</f>
        <v/>
      </c>
      <c r="C118" s="79" t="str">
        <f>IF(itens_Remanesc!A118="","",IF(posicao_contratual!$Y118="","",IF(posicao_contratual!$Y118&gt;0,"",itens_Remanesc!C118)))</f>
        <v/>
      </c>
      <c r="D118" s="79" t="str">
        <f>IF(OR($A118="",posicao_contratual!$Y118=""),"",IF(posicao_contratual!$Y118&gt;1,"",IF(NOT(ISNUMBER(itens_Remanesc!C118)),"",IF(posicao_contratual!$Y118=1,IF(IFERROR(IF(ISNUMBER(INDEX(aditivos!$O$2:$O$200,MATCH($A118,aditivos!$A$2:$A$200,0))),MIN(INDEX(aditivos!$O$2:$O$200,MATCH($A118,aditivos!$A$2:$A$200,0)),posicao_contratual!$Y118),posicao_contratual!$Y118),posicao_contratual!$Y118)=1,itens_Remanesc!C118,IFERROR(ROUND(itens_Remanesc!C118*INDEX($L$2:$L$6,MIN(1+1,COUNT($L$2:$L$6)))/INDEX($L$2:$L$6,MIN(IFERROR(IF(ISNUMBER(INDEX(aditivos!$O$2:$O$200,MATCH($A118,aditivos!$A$2:$A$200,0))),MIN(INDEX(aditivos!$O$2:$O$200,MATCH($A118,aditivos!$A$2:$A$200,0)),posicao_contratual!$Y118),posicao_contratual!$Y118),posicao_contratual!$Y118)+1,COUNT($L$2:$L$6))),2),"")),IF(OR(NOT(ISNUMBER($L$3)),NOT(ISNUMBER(INDEX($L$2:$L$6,IFERROR(IF(ISNUMBER(INDEX(aditivos!$O$2:$O$200,MATCH($A118,aditivos!$A$2:$A$200,0))),MIN(INDEX(aditivos!$O$2:$O$200,MATCH($A118,aditivos!$A$2:$A$200,0)),posicao_contratual!$Y118),posicao_contratual!$Y118),posicao_contratual!$Y118)+1)))),"",ROUND(itens_Remanesc!C118*$L$3/INDEX($L$2:$L$6,IFERROR(IF(ISNUMBER(INDEX(aditivos!$O$2:$O$200,MATCH($A118,aditivos!$A$2:$A$200,0))),MIN(INDEX(aditivos!$O$2:$O$200,MATCH($A118,aditivos!$A$2:$A$200,0)),posicao_contratual!$Y118),posicao_contratual!$Y118),posicao_contratual!$Y118)+1),2))))))</f>
        <v/>
      </c>
      <c r="E118" s="79" t="str">
        <f>IF(OR($A118="",posicao_contratual!$Y118=""),"",IF(posicao_contratual!$Y118&gt;2,"",IF(NOT(ISNUMBER(itens_Remanesc!C118)),"",IF(posicao_contratual!$Y118=2,IF(IFERROR(IF(ISNUMBER(INDEX(aditivos!$O$2:$O$200,MATCH($A118,aditivos!$A$2:$A$200,0))),MIN(INDEX(aditivos!$O$2:$O$200,MATCH($A118,aditivos!$A$2:$A$200,0)),posicao_contratual!$Y118),posicao_contratual!$Y118),posicao_contratual!$Y118)=2,itens_Remanesc!C118,IFERROR(ROUND(itens_Remanesc!C118*INDEX($L$2:$L$6,MIN(2+1,COUNT($L$2:$L$6)))/INDEX($L$2:$L$6,MIN(IFERROR(IF(ISNUMBER(INDEX(aditivos!$O$2:$O$200,MATCH($A118,aditivos!$A$2:$A$200,0))),MIN(INDEX(aditivos!$O$2:$O$200,MATCH($A118,aditivos!$A$2:$A$200,0)),posicao_contratual!$Y118),posicao_contratual!$Y118),posicao_contratual!$Y118)+1,COUNT($L$2:$L$6))),2),"")),IF(OR(NOT(ISNUMBER($L$4)),NOT(ISNUMBER(INDEX($L$2:$L$6,IFERROR(IF(ISNUMBER(INDEX(aditivos!$O$2:$O$200,MATCH($A118,aditivos!$A$2:$A$200,0))),MIN(INDEX(aditivos!$O$2:$O$200,MATCH($A118,aditivos!$A$2:$A$200,0)),posicao_contratual!$Y118),posicao_contratual!$Y118),posicao_contratual!$Y118)+1)))),"",ROUND(itens_Remanesc!C118*$L$4/INDEX($L$2:$L$6,IFERROR(IF(ISNUMBER(INDEX(aditivos!$O$2:$O$200,MATCH($A118,aditivos!$A$2:$A$200,0))),MIN(INDEX(aditivos!$O$2:$O$200,MATCH($A118,aditivos!$A$2:$A$200,0)),posicao_contratual!$Y118),posicao_contratual!$Y118),posicao_contratual!$Y118)+1),2))))))</f>
        <v/>
      </c>
      <c r="F118" s="79" t="str">
        <f>IF(OR($A118="",posicao_contratual!$Y118=""),"",IF(posicao_contratual!$Y118&gt;3,"",IF(NOT(ISNUMBER(itens_Remanesc!C118)),"",IF(posicao_contratual!$Y118=3,IF(IFERROR(IF(ISNUMBER(INDEX(aditivos!$O$2:$O$200,MATCH($A118,aditivos!$A$2:$A$200,0))),MIN(INDEX(aditivos!$O$2:$O$200,MATCH($A118,aditivos!$A$2:$A$200,0)),posicao_contratual!$Y118),posicao_contratual!$Y118),posicao_contratual!$Y118)=3,itens_Remanesc!C118,IFERROR(ROUND(itens_Remanesc!C118*INDEX($L$2:$L$6,MIN(3+1,COUNT($L$2:$L$6)))/INDEX($L$2:$L$6,MIN(IFERROR(IF(ISNUMBER(INDEX(aditivos!$O$2:$O$200,MATCH($A118,aditivos!$A$2:$A$200,0))),MIN(INDEX(aditivos!$O$2:$O$200,MATCH($A118,aditivos!$A$2:$A$200,0)),posicao_contratual!$Y118),posicao_contratual!$Y118),posicao_contratual!$Y118)+1,COUNT($L$2:$L$6))),2),"")),IF(OR(NOT(ISNUMBER($L$5)),NOT(ISNUMBER(INDEX($L$2:$L$6,IFERROR(IF(ISNUMBER(INDEX(aditivos!$O$2:$O$200,MATCH($A118,aditivos!$A$2:$A$200,0))),MIN(INDEX(aditivos!$O$2:$O$200,MATCH($A118,aditivos!$A$2:$A$200,0)),posicao_contratual!$Y118),posicao_contratual!$Y118),posicao_contratual!$Y118)+1)))),"",ROUND(itens_Remanesc!C118*$L$5/INDEX($L$2:$L$6,IFERROR(IF(ISNUMBER(INDEX(aditivos!$O$2:$O$200,MATCH($A118,aditivos!$A$2:$A$200,0))),MIN(INDEX(aditivos!$O$2:$O$200,MATCH($A118,aditivos!$A$2:$A$200,0)),posicao_contratual!$Y118),posicao_contratual!$Y118),posicao_contratual!$Y118)+1),2))))))</f>
        <v/>
      </c>
      <c r="G118" s="79" t="str">
        <f>IF(OR($A118="",posicao_contratual!$Y118=""),"",IF(posicao_contratual!$Y118&gt;4,"",IF(NOT(ISNUMBER(itens_Remanesc!C118)),"",IF(posicao_contratual!$Y118=4,IF(IFERROR(IF(ISNUMBER(INDEX(aditivos!$O$2:$O$200,MATCH($A118,aditivos!$A$2:$A$200,0))),MIN(INDEX(aditivos!$O$2:$O$200,MATCH($A118,aditivos!$A$2:$A$200,0)),posicao_contratual!$Y118),posicao_contratual!$Y118),posicao_contratual!$Y118)=4,itens_Remanesc!C118,IFERROR(ROUND(itens_Remanesc!C118*INDEX($L$2:$L$6,MIN(4+1,COUNT($L$2:$L$6)))/INDEX($L$2:$L$6,MIN(IFERROR(IF(ISNUMBER(INDEX(aditivos!$O$2:$O$200,MATCH($A118,aditivos!$A$2:$A$200,0))),MIN(INDEX(aditivos!$O$2:$O$200,MATCH($A118,aditivos!$A$2:$A$200,0)),posicao_contratual!$Y118),posicao_contratual!$Y118),posicao_contratual!$Y118)+1,COUNT($L$2:$L$6))),2),"")),IF(OR(NOT(ISNUMBER($L$6)),NOT(ISNUMBER(INDEX($L$2:$L$6,IFERROR(IF(ISNUMBER(INDEX(aditivos!$O$2:$O$200,MATCH($A118,aditivos!$A$2:$A$200,0))),MIN(INDEX(aditivos!$O$2:$O$200,MATCH($A118,aditivos!$A$2:$A$200,0)),posicao_contratual!$Y118),posicao_contratual!$Y118),posicao_contratual!$Y118)+1)))),"",ROUND(itens_Remanesc!C118*$L$6/INDEX($L$2:$L$6,IFERROR(IF(ISNUMBER(INDEX(aditivos!$O$2:$O$200,MATCH($A118,aditivos!$A$2:$A$200,0))),MIN(INDEX(aditivos!$O$2:$O$200,MATCH($A118,aditivos!$A$2:$A$200,0)),posicao_contratual!$Y118),posicao_contratual!$Y118),posicao_contratual!$Y118)+1),2))))))</f>
        <v/>
      </c>
      <c r="H118" s="116" t="str">
        <f t="shared" si="3"/>
        <v/>
      </c>
      <c r="I118" s="13"/>
      <c r="J118" s="13"/>
      <c r="K118" s="13"/>
      <c r="L118" s="13"/>
      <c r="M118" s="13"/>
      <c r="N118" s="147" t="str">
        <f>IF(A118="","",IF(posicao_contratual!$Y118="","",IF(posicao_contratual!$Y118&gt;0,"",posicao_contratual!E118)))</f>
        <v/>
      </c>
      <c r="O118" s="147" t="str">
        <f>IF(A118="","",IF(posicao_contratual!$Y118="","",IF(posicao_contratual!$Y118&gt;1,"",posicao_contratual!I118)))</f>
        <v/>
      </c>
      <c r="P118" s="147" t="str">
        <f>IF(A118="","",IF(posicao_contratual!$Y118="","",IF(posicao_contratual!$Y118&gt;2,"",posicao_contratual!M118)))</f>
        <v/>
      </c>
      <c r="Q118" s="147" t="str">
        <f>IF(A118="","",IF(posicao_contratual!$Y118="","",IF(posicao_contratual!$Y118&gt;3,"",posicao_contratual!Q118)))</f>
        <v/>
      </c>
      <c r="R118" s="147" t="str">
        <f>IF(A118="","",IF(posicao_contratual!$Y118="","",IF(posicao_contratual!$Y118&gt;4,"",posicao_contratual!U118)))</f>
        <v/>
      </c>
      <c r="S118" s="167" t="str">
        <f>IF(A118="","",posicao_contratual!G118)</f>
        <v/>
      </c>
      <c r="T118" s="167" t="str">
        <f>IF(A118="","",posicao_contratual!K118)</f>
        <v/>
      </c>
      <c r="U118" s="167" t="str">
        <f>IF(A118="","",posicao_contratual!O118)</f>
        <v/>
      </c>
      <c r="V118" s="167" t="str">
        <f>IF(A118="","",posicao_contratual!S118)</f>
        <v/>
      </c>
      <c r="W118" s="167" t="str">
        <f>IF(A118="","",posicao_contratual!W118)</f>
        <v/>
      </c>
    </row>
    <row r="119" spans="1:23" x14ac:dyDescent="0.35">
      <c r="A119" s="86" t="str">
        <f>IF(itens_Remanesc!A119="","",itens_Remanesc!A119)</f>
        <v/>
      </c>
      <c r="B119" s="85" t="str">
        <f>IF(A119="","",IF(posicao_contratual!$Y119="","",IF(posicao_contratual!$Y119&gt;0,"",posicao_contratual!G119)))</f>
        <v/>
      </c>
      <c r="C119" s="79" t="str">
        <f>IF(itens_Remanesc!A119="","",IF(posicao_contratual!$Y119="","",IF(posicao_contratual!$Y119&gt;0,"",itens_Remanesc!C119)))</f>
        <v/>
      </c>
      <c r="D119" s="79" t="str">
        <f>IF(OR($A119="",posicao_contratual!$Y119=""),"",IF(posicao_contratual!$Y119&gt;1,"",IF(NOT(ISNUMBER(itens_Remanesc!C119)),"",IF(posicao_contratual!$Y119=1,IF(IFERROR(IF(ISNUMBER(INDEX(aditivos!$O$2:$O$200,MATCH($A119,aditivos!$A$2:$A$200,0))),MIN(INDEX(aditivos!$O$2:$O$200,MATCH($A119,aditivos!$A$2:$A$200,0)),posicao_contratual!$Y119),posicao_contratual!$Y119),posicao_contratual!$Y119)=1,itens_Remanesc!C119,IFERROR(ROUND(itens_Remanesc!C119*INDEX($L$2:$L$6,MIN(1+1,COUNT($L$2:$L$6)))/INDEX($L$2:$L$6,MIN(IFERROR(IF(ISNUMBER(INDEX(aditivos!$O$2:$O$200,MATCH($A119,aditivos!$A$2:$A$200,0))),MIN(INDEX(aditivos!$O$2:$O$200,MATCH($A119,aditivos!$A$2:$A$200,0)),posicao_contratual!$Y119),posicao_contratual!$Y119),posicao_contratual!$Y119)+1,COUNT($L$2:$L$6))),2),"")),IF(OR(NOT(ISNUMBER($L$3)),NOT(ISNUMBER(INDEX($L$2:$L$6,IFERROR(IF(ISNUMBER(INDEX(aditivos!$O$2:$O$200,MATCH($A119,aditivos!$A$2:$A$200,0))),MIN(INDEX(aditivos!$O$2:$O$200,MATCH($A119,aditivos!$A$2:$A$200,0)),posicao_contratual!$Y119),posicao_contratual!$Y119),posicao_contratual!$Y119)+1)))),"",ROUND(itens_Remanesc!C119*$L$3/INDEX($L$2:$L$6,IFERROR(IF(ISNUMBER(INDEX(aditivos!$O$2:$O$200,MATCH($A119,aditivos!$A$2:$A$200,0))),MIN(INDEX(aditivos!$O$2:$O$200,MATCH($A119,aditivos!$A$2:$A$200,0)),posicao_contratual!$Y119),posicao_contratual!$Y119),posicao_contratual!$Y119)+1),2))))))</f>
        <v/>
      </c>
      <c r="E119" s="79" t="str">
        <f>IF(OR($A119="",posicao_contratual!$Y119=""),"",IF(posicao_contratual!$Y119&gt;2,"",IF(NOT(ISNUMBER(itens_Remanesc!C119)),"",IF(posicao_contratual!$Y119=2,IF(IFERROR(IF(ISNUMBER(INDEX(aditivos!$O$2:$O$200,MATCH($A119,aditivos!$A$2:$A$200,0))),MIN(INDEX(aditivos!$O$2:$O$200,MATCH($A119,aditivos!$A$2:$A$200,0)),posicao_contratual!$Y119),posicao_contratual!$Y119),posicao_contratual!$Y119)=2,itens_Remanesc!C119,IFERROR(ROUND(itens_Remanesc!C119*INDEX($L$2:$L$6,MIN(2+1,COUNT($L$2:$L$6)))/INDEX($L$2:$L$6,MIN(IFERROR(IF(ISNUMBER(INDEX(aditivos!$O$2:$O$200,MATCH($A119,aditivos!$A$2:$A$200,0))),MIN(INDEX(aditivos!$O$2:$O$200,MATCH($A119,aditivos!$A$2:$A$200,0)),posicao_contratual!$Y119),posicao_contratual!$Y119),posicao_contratual!$Y119)+1,COUNT($L$2:$L$6))),2),"")),IF(OR(NOT(ISNUMBER($L$4)),NOT(ISNUMBER(INDEX($L$2:$L$6,IFERROR(IF(ISNUMBER(INDEX(aditivos!$O$2:$O$200,MATCH($A119,aditivos!$A$2:$A$200,0))),MIN(INDEX(aditivos!$O$2:$O$200,MATCH($A119,aditivos!$A$2:$A$200,0)),posicao_contratual!$Y119),posicao_contratual!$Y119),posicao_contratual!$Y119)+1)))),"",ROUND(itens_Remanesc!C119*$L$4/INDEX($L$2:$L$6,IFERROR(IF(ISNUMBER(INDEX(aditivos!$O$2:$O$200,MATCH($A119,aditivos!$A$2:$A$200,0))),MIN(INDEX(aditivos!$O$2:$O$200,MATCH($A119,aditivos!$A$2:$A$200,0)),posicao_contratual!$Y119),posicao_contratual!$Y119),posicao_contratual!$Y119)+1),2))))))</f>
        <v/>
      </c>
      <c r="F119" s="79" t="str">
        <f>IF(OR($A119="",posicao_contratual!$Y119=""),"",IF(posicao_contratual!$Y119&gt;3,"",IF(NOT(ISNUMBER(itens_Remanesc!C119)),"",IF(posicao_contratual!$Y119=3,IF(IFERROR(IF(ISNUMBER(INDEX(aditivos!$O$2:$O$200,MATCH($A119,aditivos!$A$2:$A$200,0))),MIN(INDEX(aditivos!$O$2:$O$200,MATCH($A119,aditivos!$A$2:$A$200,0)),posicao_contratual!$Y119),posicao_contratual!$Y119),posicao_contratual!$Y119)=3,itens_Remanesc!C119,IFERROR(ROUND(itens_Remanesc!C119*INDEX($L$2:$L$6,MIN(3+1,COUNT($L$2:$L$6)))/INDEX($L$2:$L$6,MIN(IFERROR(IF(ISNUMBER(INDEX(aditivos!$O$2:$O$200,MATCH($A119,aditivos!$A$2:$A$200,0))),MIN(INDEX(aditivos!$O$2:$O$200,MATCH($A119,aditivos!$A$2:$A$200,0)),posicao_contratual!$Y119),posicao_contratual!$Y119),posicao_contratual!$Y119)+1,COUNT($L$2:$L$6))),2),"")),IF(OR(NOT(ISNUMBER($L$5)),NOT(ISNUMBER(INDEX($L$2:$L$6,IFERROR(IF(ISNUMBER(INDEX(aditivos!$O$2:$O$200,MATCH($A119,aditivos!$A$2:$A$200,0))),MIN(INDEX(aditivos!$O$2:$O$200,MATCH($A119,aditivos!$A$2:$A$200,0)),posicao_contratual!$Y119),posicao_contratual!$Y119),posicao_contratual!$Y119)+1)))),"",ROUND(itens_Remanesc!C119*$L$5/INDEX($L$2:$L$6,IFERROR(IF(ISNUMBER(INDEX(aditivos!$O$2:$O$200,MATCH($A119,aditivos!$A$2:$A$200,0))),MIN(INDEX(aditivos!$O$2:$O$200,MATCH($A119,aditivos!$A$2:$A$200,0)),posicao_contratual!$Y119),posicao_contratual!$Y119),posicao_contratual!$Y119)+1),2))))))</f>
        <v/>
      </c>
      <c r="G119" s="79" t="str">
        <f>IF(OR($A119="",posicao_contratual!$Y119=""),"",IF(posicao_contratual!$Y119&gt;4,"",IF(NOT(ISNUMBER(itens_Remanesc!C119)),"",IF(posicao_contratual!$Y119=4,IF(IFERROR(IF(ISNUMBER(INDEX(aditivos!$O$2:$O$200,MATCH($A119,aditivos!$A$2:$A$200,0))),MIN(INDEX(aditivos!$O$2:$O$200,MATCH($A119,aditivos!$A$2:$A$200,0)),posicao_contratual!$Y119),posicao_contratual!$Y119),posicao_contratual!$Y119)=4,itens_Remanesc!C119,IFERROR(ROUND(itens_Remanesc!C119*INDEX($L$2:$L$6,MIN(4+1,COUNT($L$2:$L$6)))/INDEX($L$2:$L$6,MIN(IFERROR(IF(ISNUMBER(INDEX(aditivos!$O$2:$O$200,MATCH($A119,aditivos!$A$2:$A$200,0))),MIN(INDEX(aditivos!$O$2:$O$200,MATCH($A119,aditivos!$A$2:$A$200,0)),posicao_contratual!$Y119),posicao_contratual!$Y119),posicao_contratual!$Y119)+1,COUNT($L$2:$L$6))),2),"")),IF(OR(NOT(ISNUMBER($L$6)),NOT(ISNUMBER(INDEX($L$2:$L$6,IFERROR(IF(ISNUMBER(INDEX(aditivos!$O$2:$O$200,MATCH($A119,aditivos!$A$2:$A$200,0))),MIN(INDEX(aditivos!$O$2:$O$200,MATCH($A119,aditivos!$A$2:$A$200,0)),posicao_contratual!$Y119),posicao_contratual!$Y119),posicao_contratual!$Y119)+1)))),"",ROUND(itens_Remanesc!C119*$L$6/INDEX($L$2:$L$6,IFERROR(IF(ISNUMBER(INDEX(aditivos!$O$2:$O$200,MATCH($A119,aditivos!$A$2:$A$200,0))),MIN(INDEX(aditivos!$O$2:$O$200,MATCH($A119,aditivos!$A$2:$A$200,0)),posicao_contratual!$Y119),posicao_contratual!$Y119),posicao_contratual!$Y119)+1),2))))))</f>
        <v/>
      </c>
      <c r="H119" s="116" t="str">
        <f t="shared" si="3"/>
        <v/>
      </c>
      <c r="I119" s="13"/>
      <c r="J119" s="13"/>
      <c r="K119" s="13"/>
      <c r="L119" s="13"/>
      <c r="M119" s="13"/>
      <c r="N119" s="147" t="str">
        <f>IF(A119="","",IF(posicao_contratual!$Y119="","",IF(posicao_contratual!$Y119&gt;0,"",posicao_contratual!E119)))</f>
        <v/>
      </c>
      <c r="O119" s="147" t="str">
        <f>IF(A119="","",IF(posicao_contratual!$Y119="","",IF(posicao_contratual!$Y119&gt;1,"",posicao_contratual!I119)))</f>
        <v/>
      </c>
      <c r="P119" s="147" t="str">
        <f>IF(A119="","",IF(posicao_contratual!$Y119="","",IF(posicao_contratual!$Y119&gt;2,"",posicao_contratual!M119)))</f>
        <v/>
      </c>
      <c r="Q119" s="147" t="str">
        <f>IF(A119="","",IF(posicao_contratual!$Y119="","",IF(posicao_contratual!$Y119&gt;3,"",posicao_contratual!Q119)))</f>
        <v/>
      </c>
      <c r="R119" s="147" t="str">
        <f>IF(A119="","",IF(posicao_contratual!$Y119="","",IF(posicao_contratual!$Y119&gt;4,"",posicao_contratual!U119)))</f>
        <v/>
      </c>
      <c r="S119" s="167" t="str">
        <f>IF(A119="","",posicao_contratual!G119)</f>
        <v/>
      </c>
      <c r="T119" s="167" t="str">
        <f>IF(A119="","",posicao_contratual!K119)</f>
        <v/>
      </c>
      <c r="U119" s="167" t="str">
        <f>IF(A119="","",posicao_contratual!O119)</f>
        <v/>
      </c>
      <c r="V119" s="167" t="str">
        <f>IF(A119="","",posicao_contratual!S119)</f>
        <v/>
      </c>
      <c r="W119" s="167" t="str">
        <f>IF(A119="","",posicao_contratual!W119)</f>
        <v/>
      </c>
    </row>
    <row r="120" spans="1:23" x14ac:dyDescent="0.35">
      <c r="A120" s="86" t="str">
        <f>IF(itens_Remanesc!A120="","",itens_Remanesc!A120)</f>
        <v/>
      </c>
      <c r="B120" s="85" t="str">
        <f>IF(A120="","",IF(posicao_contratual!$Y120="","",IF(posicao_contratual!$Y120&gt;0,"",posicao_contratual!G120)))</f>
        <v/>
      </c>
      <c r="C120" s="79" t="str">
        <f>IF(itens_Remanesc!A120="","",IF(posicao_contratual!$Y120="","",IF(posicao_contratual!$Y120&gt;0,"",itens_Remanesc!C120)))</f>
        <v/>
      </c>
      <c r="D120" s="79" t="str">
        <f>IF(OR($A120="",posicao_contratual!$Y120=""),"",IF(posicao_contratual!$Y120&gt;1,"",IF(NOT(ISNUMBER(itens_Remanesc!C120)),"",IF(posicao_contratual!$Y120=1,IF(IFERROR(IF(ISNUMBER(INDEX(aditivos!$O$2:$O$200,MATCH($A120,aditivos!$A$2:$A$200,0))),MIN(INDEX(aditivos!$O$2:$O$200,MATCH($A120,aditivos!$A$2:$A$200,0)),posicao_contratual!$Y120),posicao_contratual!$Y120),posicao_contratual!$Y120)=1,itens_Remanesc!C120,IFERROR(ROUND(itens_Remanesc!C120*INDEX($L$2:$L$6,MIN(1+1,COUNT($L$2:$L$6)))/INDEX($L$2:$L$6,MIN(IFERROR(IF(ISNUMBER(INDEX(aditivos!$O$2:$O$200,MATCH($A120,aditivos!$A$2:$A$200,0))),MIN(INDEX(aditivos!$O$2:$O$200,MATCH($A120,aditivos!$A$2:$A$200,0)),posicao_contratual!$Y120),posicao_contratual!$Y120),posicao_contratual!$Y120)+1,COUNT($L$2:$L$6))),2),"")),IF(OR(NOT(ISNUMBER($L$3)),NOT(ISNUMBER(INDEX($L$2:$L$6,IFERROR(IF(ISNUMBER(INDEX(aditivos!$O$2:$O$200,MATCH($A120,aditivos!$A$2:$A$200,0))),MIN(INDEX(aditivos!$O$2:$O$200,MATCH($A120,aditivos!$A$2:$A$200,0)),posicao_contratual!$Y120),posicao_contratual!$Y120),posicao_contratual!$Y120)+1)))),"",ROUND(itens_Remanesc!C120*$L$3/INDEX($L$2:$L$6,IFERROR(IF(ISNUMBER(INDEX(aditivos!$O$2:$O$200,MATCH($A120,aditivos!$A$2:$A$200,0))),MIN(INDEX(aditivos!$O$2:$O$200,MATCH($A120,aditivos!$A$2:$A$200,0)),posicao_contratual!$Y120),posicao_contratual!$Y120),posicao_contratual!$Y120)+1),2))))))</f>
        <v/>
      </c>
      <c r="E120" s="79" t="str">
        <f>IF(OR($A120="",posicao_contratual!$Y120=""),"",IF(posicao_contratual!$Y120&gt;2,"",IF(NOT(ISNUMBER(itens_Remanesc!C120)),"",IF(posicao_contratual!$Y120=2,IF(IFERROR(IF(ISNUMBER(INDEX(aditivos!$O$2:$O$200,MATCH($A120,aditivos!$A$2:$A$200,0))),MIN(INDEX(aditivos!$O$2:$O$200,MATCH($A120,aditivos!$A$2:$A$200,0)),posicao_contratual!$Y120),posicao_contratual!$Y120),posicao_contratual!$Y120)=2,itens_Remanesc!C120,IFERROR(ROUND(itens_Remanesc!C120*INDEX($L$2:$L$6,MIN(2+1,COUNT($L$2:$L$6)))/INDEX($L$2:$L$6,MIN(IFERROR(IF(ISNUMBER(INDEX(aditivos!$O$2:$O$200,MATCH($A120,aditivos!$A$2:$A$200,0))),MIN(INDEX(aditivos!$O$2:$O$200,MATCH($A120,aditivos!$A$2:$A$200,0)),posicao_contratual!$Y120),posicao_contratual!$Y120),posicao_contratual!$Y120)+1,COUNT($L$2:$L$6))),2),"")),IF(OR(NOT(ISNUMBER($L$4)),NOT(ISNUMBER(INDEX($L$2:$L$6,IFERROR(IF(ISNUMBER(INDEX(aditivos!$O$2:$O$200,MATCH($A120,aditivos!$A$2:$A$200,0))),MIN(INDEX(aditivos!$O$2:$O$200,MATCH($A120,aditivos!$A$2:$A$200,0)),posicao_contratual!$Y120),posicao_contratual!$Y120),posicao_contratual!$Y120)+1)))),"",ROUND(itens_Remanesc!C120*$L$4/INDEX($L$2:$L$6,IFERROR(IF(ISNUMBER(INDEX(aditivos!$O$2:$O$200,MATCH($A120,aditivos!$A$2:$A$200,0))),MIN(INDEX(aditivos!$O$2:$O$200,MATCH($A120,aditivos!$A$2:$A$200,0)),posicao_contratual!$Y120),posicao_contratual!$Y120),posicao_contratual!$Y120)+1),2))))))</f>
        <v/>
      </c>
      <c r="F120" s="79" t="str">
        <f>IF(OR($A120="",posicao_contratual!$Y120=""),"",IF(posicao_contratual!$Y120&gt;3,"",IF(NOT(ISNUMBER(itens_Remanesc!C120)),"",IF(posicao_contratual!$Y120=3,IF(IFERROR(IF(ISNUMBER(INDEX(aditivos!$O$2:$O$200,MATCH($A120,aditivos!$A$2:$A$200,0))),MIN(INDEX(aditivos!$O$2:$O$200,MATCH($A120,aditivos!$A$2:$A$200,0)),posicao_contratual!$Y120),posicao_contratual!$Y120),posicao_contratual!$Y120)=3,itens_Remanesc!C120,IFERROR(ROUND(itens_Remanesc!C120*INDEX($L$2:$L$6,MIN(3+1,COUNT($L$2:$L$6)))/INDEX($L$2:$L$6,MIN(IFERROR(IF(ISNUMBER(INDEX(aditivos!$O$2:$O$200,MATCH($A120,aditivos!$A$2:$A$200,0))),MIN(INDEX(aditivos!$O$2:$O$200,MATCH($A120,aditivos!$A$2:$A$200,0)),posicao_contratual!$Y120),posicao_contratual!$Y120),posicao_contratual!$Y120)+1,COUNT($L$2:$L$6))),2),"")),IF(OR(NOT(ISNUMBER($L$5)),NOT(ISNUMBER(INDEX($L$2:$L$6,IFERROR(IF(ISNUMBER(INDEX(aditivos!$O$2:$O$200,MATCH($A120,aditivos!$A$2:$A$200,0))),MIN(INDEX(aditivos!$O$2:$O$200,MATCH($A120,aditivos!$A$2:$A$200,0)),posicao_contratual!$Y120),posicao_contratual!$Y120),posicao_contratual!$Y120)+1)))),"",ROUND(itens_Remanesc!C120*$L$5/INDEX($L$2:$L$6,IFERROR(IF(ISNUMBER(INDEX(aditivos!$O$2:$O$200,MATCH($A120,aditivos!$A$2:$A$200,0))),MIN(INDEX(aditivos!$O$2:$O$200,MATCH($A120,aditivos!$A$2:$A$200,0)),posicao_contratual!$Y120),posicao_contratual!$Y120),posicao_contratual!$Y120)+1),2))))))</f>
        <v/>
      </c>
      <c r="G120" s="79" t="str">
        <f>IF(OR($A120="",posicao_contratual!$Y120=""),"",IF(posicao_contratual!$Y120&gt;4,"",IF(NOT(ISNUMBER(itens_Remanesc!C120)),"",IF(posicao_contratual!$Y120=4,IF(IFERROR(IF(ISNUMBER(INDEX(aditivos!$O$2:$O$200,MATCH($A120,aditivos!$A$2:$A$200,0))),MIN(INDEX(aditivos!$O$2:$O$200,MATCH($A120,aditivos!$A$2:$A$200,0)),posicao_contratual!$Y120),posicao_contratual!$Y120),posicao_contratual!$Y120)=4,itens_Remanesc!C120,IFERROR(ROUND(itens_Remanesc!C120*INDEX($L$2:$L$6,MIN(4+1,COUNT($L$2:$L$6)))/INDEX($L$2:$L$6,MIN(IFERROR(IF(ISNUMBER(INDEX(aditivos!$O$2:$O$200,MATCH($A120,aditivos!$A$2:$A$200,0))),MIN(INDEX(aditivos!$O$2:$O$200,MATCH($A120,aditivos!$A$2:$A$200,0)),posicao_contratual!$Y120),posicao_contratual!$Y120),posicao_contratual!$Y120)+1,COUNT($L$2:$L$6))),2),"")),IF(OR(NOT(ISNUMBER($L$6)),NOT(ISNUMBER(INDEX($L$2:$L$6,IFERROR(IF(ISNUMBER(INDEX(aditivos!$O$2:$O$200,MATCH($A120,aditivos!$A$2:$A$200,0))),MIN(INDEX(aditivos!$O$2:$O$200,MATCH($A120,aditivos!$A$2:$A$200,0)),posicao_contratual!$Y120),posicao_contratual!$Y120),posicao_contratual!$Y120)+1)))),"",ROUND(itens_Remanesc!C120*$L$6/INDEX($L$2:$L$6,IFERROR(IF(ISNUMBER(INDEX(aditivos!$O$2:$O$200,MATCH($A120,aditivos!$A$2:$A$200,0))),MIN(INDEX(aditivos!$O$2:$O$200,MATCH($A120,aditivos!$A$2:$A$200,0)),posicao_contratual!$Y120),posicao_contratual!$Y120),posicao_contratual!$Y120)+1),2))))))</f>
        <v/>
      </c>
      <c r="H120" s="116" t="str">
        <f t="shared" si="3"/>
        <v/>
      </c>
      <c r="I120" s="13"/>
      <c r="J120" s="13"/>
      <c r="K120" s="13"/>
      <c r="L120" s="13"/>
      <c r="M120" s="13"/>
      <c r="N120" s="147" t="str">
        <f>IF(A120="","",IF(posicao_contratual!$Y120="","",IF(posicao_contratual!$Y120&gt;0,"",posicao_contratual!E120)))</f>
        <v/>
      </c>
      <c r="O120" s="147" t="str">
        <f>IF(A120="","",IF(posicao_contratual!$Y120="","",IF(posicao_contratual!$Y120&gt;1,"",posicao_contratual!I120)))</f>
        <v/>
      </c>
      <c r="P120" s="147" t="str">
        <f>IF(A120="","",IF(posicao_contratual!$Y120="","",IF(posicao_contratual!$Y120&gt;2,"",posicao_contratual!M120)))</f>
        <v/>
      </c>
      <c r="Q120" s="147" t="str">
        <f>IF(A120="","",IF(posicao_contratual!$Y120="","",IF(posicao_contratual!$Y120&gt;3,"",posicao_contratual!Q120)))</f>
        <v/>
      </c>
      <c r="R120" s="147" t="str">
        <f>IF(A120="","",IF(posicao_contratual!$Y120="","",IF(posicao_contratual!$Y120&gt;4,"",posicao_contratual!U120)))</f>
        <v/>
      </c>
      <c r="S120" s="167" t="str">
        <f>IF(A120="","",posicao_contratual!G120)</f>
        <v/>
      </c>
      <c r="T120" s="167" t="str">
        <f>IF(A120="","",posicao_contratual!K120)</f>
        <v/>
      </c>
      <c r="U120" s="167" t="str">
        <f>IF(A120="","",posicao_contratual!O120)</f>
        <v/>
      </c>
      <c r="V120" s="167" t="str">
        <f>IF(A120="","",posicao_contratual!S120)</f>
        <v/>
      </c>
      <c r="W120" s="167" t="str">
        <f>IF(A120="","",posicao_contratual!W120)</f>
        <v/>
      </c>
    </row>
    <row r="121" spans="1:23" x14ac:dyDescent="0.35">
      <c r="A121" s="86" t="str">
        <f>IF(itens_Remanesc!A121="","",itens_Remanesc!A121)</f>
        <v/>
      </c>
      <c r="B121" s="85" t="str">
        <f>IF(A121="","",IF(posicao_contratual!$Y121="","",IF(posicao_contratual!$Y121&gt;0,"",posicao_contratual!G121)))</f>
        <v/>
      </c>
      <c r="C121" s="79" t="str">
        <f>IF(itens_Remanesc!A121="","",IF(posicao_contratual!$Y121="","",IF(posicao_contratual!$Y121&gt;0,"",itens_Remanesc!C121)))</f>
        <v/>
      </c>
      <c r="D121" s="79" t="str">
        <f>IF(OR($A121="",posicao_contratual!$Y121=""),"",IF(posicao_contratual!$Y121&gt;1,"",IF(NOT(ISNUMBER(itens_Remanesc!C121)),"",IF(posicao_contratual!$Y121=1,IF(IFERROR(IF(ISNUMBER(INDEX(aditivos!$O$2:$O$200,MATCH($A121,aditivos!$A$2:$A$200,0))),MIN(INDEX(aditivos!$O$2:$O$200,MATCH($A121,aditivos!$A$2:$A$200,0)),posicao_contratual!$Y121),posicao_contratual!$Y121),posicao_contratual!$Y121)=1,itens_Remanesc!C121,IFERROR(ROUND(itens_Remanesc!C121*INDEX($L$2:$L$6,MIN(1+1,COUNT($L$2:$L$6)))/INDEX($L$2:$L$6,MIN(IFERROR(IF(ISNUMBER(INDEX(aditivos!$O$2:$O$200,MATCH($A121,aditivos!$A$2:$A$200,0))),MIN(INDEX(aditivos!$O$2:$O$200,MATCH($A121,aditivos!$A$2:$A$200,0)),posicao_contratual!$Y121),posicao_contratual!$Y121),posicao_contratual!$Y121)+1,COUNT($L$2:$L$6))),2),"")),IF(OR(NOT(ISNUMBER($L$3)),NOT(ISNUMBER(INDEX($L$2:$L$6,IFERROR(IF(ISNUMBER(INDEX(aditivos!$O$2:$O$200,MATCH($A121,aditivos!$A$2:$A$200,0))),MIN(INDEX(aditivos!$O$2:$O$200,MATCH($A121,aditivos!$A$2:$A$200,0)),posicao_contratual!$Y121),posicao_contratual!$Y121),posicao_contratual!$Y121)+1)))),"",ROUND(itens_Remanesc!C121*$L$3/INDEX($L$2:$L$6,IFERROR(IF(ISNUMBER(INDEX(aditivos!$O$2:$O$200,MATCH($A121,aditivos!$A$2:$A$200,0))),MIN(INDEX(aditivos!$O$2:$O$200,MATCH($A121,aditivos!$A$2:$A$200,0)),posicao_contratual!$Y121),posicao_contratual!$Y121),posicao_contratual!$Y121)+1),2))))))</f>
        <v/>
      </c>
      <c r="E121" s="79" t="str">
        <f>IF(OR($A121="",posicao_contratual!$Y121=""),"",IF(posicao_contratual!$Y121&gt;2,"",IF(NOT(ISNUMBER(itens_Remanesc!C121)),"",IF(posicao_contratual!$Y121=2,IF(IFERROR(IF(ISNUMBER(INDEX(aditivos!$O$2:$O$200,MATCH($A121,aditivos!$A$2:$A$200,0))),MIN(INDEX(aditivos!$O$2:$O$200,MATCH($A121,aditivos!$A$2:$A$200,0)),posicao_contratual!$Y121),posicao_contratual!$Y121),posicao_contratual!$Y121)=2,itens_Remanesc!C121,IFERROR(ROUND(itens_Remanesc!C121*INDEX($L$2:$L$6,MIN(2+1,COUNT($L$2:$L$6)))/INDEX($L$2:$L$6,MIN(IFERROR(IF(ISNUMBER(INDEX(aditivos!$O$2:$O$200,MATCH($A121,aditivos!$A$2:$A$200,0))),MIN(INDEX(aditivos!$O$2:$O$200,MATCH($A121,aditivos!$A$2:$A$200,0)),posicao_contratual!$Y121),posicao_contratual!$Y121),posicao_contratual!$Y121)+1,COUNT($L$2:$L$6))),2),"")),IF(OR(NOT(ISNUMBER($L$4)),NOT(ISNUMBER(INDEX($L$2:$L$6,IFERROR(IF(ISNUMBER(INDEX(aditivos!$O$2:$O$200,MATCH($A121,aditivos!$A$2:$A$200,0))),MIN(INDEX(aditivos!$O$2:$O$200,MATCH($A121,aditivos!$A$2:$A$200,0)),posicao_contratual!$Y121),posicao_contratual!$Y121),posicao_contratual!$Y121)+1)))),"",ROUND(itens_Remanesc!C121*$L$4/INDEX($L$2:$L$6,IFERROR(IF(ISNUMBER(INDEX(aditivos!$O$2:$O$200,MATCH($A121,aditivos!$A$2:$A$200,0))),MIN(INDEX(aditivos!$O$2:$O$200,MATCH($A121,aditivos!$A$2:$A$200,0)),posicao_contratual!$Y121),posicao_contratual!$Y121),posicao_contratual!$Y121)+1),2))))))</f>
        <v/>
      </c>
      <c r="F121" s="79" t="str">
        <f>IF(OR($A121="",posicao_contratual!$Y121=""),"",IF(posicao_contratual!$Y121&gt;3,"",IF(NOT(ISNUMBER(itens_Remanesc!C121)),"",IF(posicao_contratual!$Y121=3,IF(IFERROR(IF(ISNUMBER(INDEX(aditivos!$O$2:$O$200,MATCH($A121,aditivos!$A$2:$A$200,0))),MIN(INDEX(aditivos!$O$2:$O$200,MATCH($A121,aditivos!$A$2:$A$200,0)),posicao_contratual!$Y121),posicao_contratual!$Y121),posicao_contratual!$Y121)=3,itens_Remanesc!C121,IFERROR(ROUND(itens_Remanesc!C121*INDEX($L$2:$L$6,MIN(3+1,COUNT($L$2:$L$6)))/INDEX($L$2:$L$6,MIN(IFERROR(IF(ISNUMBER(INDEX(aditivos!$O$2:$O$200,MATCH($A121,aditivos!$A$2:$A$200,0))),MIN(INDEX(aditivos!$O$2:$O$200,MATCH($A121,aditivos!$A$2:$A$200,0)),posicao_contratual!$Y121),posicao_contratual!$Y121),posicao_contratual!$Y121)+1,COUNT($L$2:$L$6))),2),"")),IF(OR(NOT(ISNUMBER($L$5)),NOT(ISNUMBER(INDEX($L$2:$L$6,IFERROR(IF(ISNUMBER(INDEX(aditivos!$O$2:$O$200,MATCH($A121,aditivos!$A$2:$A$200,0))),MIN(INDEX(aditivos!$O$2:$O$200,MATCH($A121,aditivos!$A$2:$A$200,0)),posicao_contratual!$Y121),posicao_contratual!$Y121),posicao_contratual!$Y121)+1)))),"",ROUND(itens_Remanesc!C121*$L$5/INDEX($L$2:$L$6,IFERROR(IF(ISNUMBER(INDEX(aditivos!$O$2:$O$200,MATCH($A121,aditivos!$A$2:$A$200,0))),MIN(INDEX(aditivos!$O$2:$O$200,MATCH($A121,aditivos!$A$2:$A$200,0)),posicao_contratual!$Y121),posicao_contratual!$Y121),posicao_contratual!$Y121)+1),2))))))</f>
        <v/>
      </c>
      <c r="G121" s="79" t="str">
        <f>IF(OR($A121="",posicao_contratual!$Y121=""),"",IF(posicao_contratual!$Y121&gt;4,"",IF(NOT(ISNUMBER(itens_Remanesc!C121)),"",IF(posicao_contratual!$Y121=4,IF(IFERROR(IF(ISNUMBER(INDEX(aditivos!$O$2:$O$200,MATCH($A121,aditivos!$A$2:$A$200,0))),MIN(INDEX(aditivos!$O$2:$O$200,MATCH($A121,aditivos!$A$2:$A$200,0)),posicao_contratual!$Y121),posicao_contratual!$Y121),posicao_contratual!$Y121)=4,itens_Remanesc!C121,IFERROR(ROUND(itens_Remanesc!C121*INDEX($L$2:$L$6,MIN(4+1,COUNT($L$2:$L$6)))/INDEX($L$2:$L$6,MIN(IFERROR(IF(ISNUMBER(INDEX(aditivos!$O$2:$O$200,MATCH($A121,aditivos!$A$2:$A$200,0))),MIN(INDEX(aditivos!$O$2:$O$200,MATCH($A121,aditivos!$A$2:$A$200,0)),posicao_contratual!$Y121),posicao_contratual!$Y121),posicao_contratual!$Y121)+1,COUNT($L$2:$L$6))),2),"")),IF(OR(NOT(ISNUMBER($L$6)),NOT(ISNUMBER(INDEX($L$2:$L$6,IFERROR(IF(ISNUMBER(INDEX(aditivos!$O$2:$O$200,MATCH($A121,aditivos!$A$2:$A$200,0))),MIN(INDEX(aditivos!$O$2:$O$200,MATCH($A121,aditivos!$A$2:$A$200,0)),posicao_contratual!$Y121),posicao_contratual!$Y121),posicao_contratual!$Y121)+1)))),"",ROUND(itens_Remanesc!C121*$L$6/INDEX($L$2:$L$6,IFERROR(IF(ISNUMBER(INDEX(aditivos!$O$2:$O$200,MATCH($A121,aditivos!$A$2:$A$200,0))),MIN(INDEX(aditivos!$O$2:$O$200,MATCH($A121,aditivos!$A$2:$A$200,0)),posicao_contratual!$Y121),posicao_contratual!$Y121),posicao_contratual!$Y121)+1),2))))))</f>
        <v/>
      </c>
      <c r="H121" s="116" t="str">
        <f t="shared" si="3"/>
        <v/>
      </c>
      <c r="I121" s="13"/>
      <c r="J121" s="13"/>
      <c r="K121" s="13"/>
      <c r="L121" s="13"/>
      <c r="M121" s="13"/>
      <c r="N121" s="147" t="str">
        <f>IF(A121="","",IF(posicao_contratual!$Y121="","",IF(posicao_contratual!$Y121&gt;0,"",posicao_contratual!E121)))</f>
        <v/>
      </c>
      <c r="O121" s="147" t="str">
        <f>IF(A121="","",IF(posicao_contratual!$Y121="","",IF(posicao_contratual!$Y121&gt;1,"",posicao_contratual!I121)))</f>
        <v/>
      </c>
      <c r="P121" s="147" t="str">
        <f>IF(A121="","",IF(posicao_contratual!$Y121="","",IF(posicao_contratual!$Y121&gt;2,"",posicao_contratual!M121)))</f>
        <v/>
      </c>
      <c r="Q121" s="147" t="str">
        <f>IF(A121="","",IF(posicao_contratual!$Y121="","",IF(posicao_contratual!$Y121&gt;3,"",posicao_contratual!Q121)))</f>
        <v/>
      </c>
      <c r="R121" s="147" t="str">
        <f>IF(A121="","",IF(posicao_contratual!$Y121="","",IF(posicao_contratual!$Y121&gt;4,"",posicao_contratual!U121)))</f>
        <v/>
      </c>
      <c r="S121" s="167" t="str">
        <f>IF(A121="","",posicao_contratual!G121)</f>
        <v/>
      </c>
      <c r="T121" s="167" t="str">
        <f>IF(A121="","",posicao_contratual!K121)</f>
        <v/>
      </c>
      <c r="U121" s="167" t="str">
        <f>IF(A121="","",posicao_contratual!O121)</f>
        <v/>
      </c>
      <c r="V121" s="167" t="str">
        <f>IF(A121="","",posicao_contratual!S121)</f>
        <v/>
      </c>
      <c r="W121" s="167" t="str">
        <f>IF(A121="","",posicao_contratual!W121)</f>
        <v/>
      </c>
    </row>
    <row r="122" spans="1:23" x14ac:dyDescent="0.35">
      <c r="A122" s="86" t="str">
        <f>IF(itens_Remanesc!A122="","",itens_Remanesc!A122)</f>
        <v/>
      </c>
      <c r="B122" s="85" t="str">
        <f>IF(A122="","",IF(posicao_contratual!$Y122="","",IF(posicao_contratual!$Y122&gt;0,"",posicao_contratual!G122)))</f>
        <v/>
      </c>
      <c r="C122" s="79" t="str">
        <f>IF(itens_Remanesc!A122="","",IF(posicao_contratual!$Y122="","",IF(posicao_contratual!$Y122&gt;0,"",itens_Remanesc!C122)))</f>
        <v/>
      </c>
      <c r="D122" s="79" t="str">
        <f>IF(OR($A122="",posicao_contratual!$Y122=""),"",IF(posicao_contratual!$Y122&gt;1,"",IF(NOT(ISNUMBER(itens_Remanesc!C122)),"",IF(posicao_contratual!$Y122=1,IF(IFERROR(IF(ISNUMBER(INDEX(aditivos!$O$2:$O$200,MATCH($A122,aditivos!$A$2:$A$200,0))),MIN(INDEX(aditivos!$O$2:$O$200,MATCH($A122,aditivos!$A$2:$A$200,0)),posicao_contratual!$Y122),posicao_contratual!$Y122),posicao_contratual!$Y122)=1,itens_Remanesc!C122,IFERROR(ROUND(itens_Remanesc!C122*INDEX($L$2:$L$6,MIN(1+1,COUNT($L$2:$L$6)))/INDEX($L$2:$L$6,MIN(IFERROR(IF(ISNUMBER(INDEX(aditivos!$O$2:$O$200,MATCH($A122,aditivos!$A$2:$A$200,0))),MIN(INDEX(aditivos!$O$2:$O$200,MATCH($A122,aditivos!$A$2:$A$200,0)),posicao_contratual!$Y122),posicao_contratual!$Y122),posicao_contratual!$Y122)+1,COUNT($L$2:$L$6))),2),"")),IF(OR(NOT(ISNUMBER($L$3)),NOT(ISNUMBER(INDEX($L$2:$L$6,IFERROR(IF(ISNUMBER(INDEX(aditivos!$O$2:$O$200,MATCH($A122,aditivos!$A$2:$A$200,0))),MIN(INDEX(aditivos!$O$2:$O$200,MATCH($A122,aditivos!$A$2:$A$200,0)),posicao_contratual!$Y122),posicao_contratual!$Y122),posicao_contratual!$Y122)+1)))),"",ROUND(itens_Remanesc!C122*$L$3/INDEX($L$2:$L$6,IFERROR(IF(ISNUMBER(INDEX(aditivos!$O$2:$O$200,MATCH($A122,aditivos!$A$2:$A$200,0))),MIN(INDEX(aditivos!$O$2:$O$200,MATCH($A122,aditivos!$A$2:$A$200,0)),posicao_contratual!$Y122),posicao_contratual!$Y122),posicao_contratual!$Y122)+1),2))))))</f>
        <v/>
      </c>
      <c r="E122" s="79" t="str">
        <f>IF(OR($A122="",posicao_contratual!$Y122=""),"",IF(posicao_contratual!$Y122&gt;2,"",IF(NOT(ISNUMBER(itens_Remanesc!C122)),"",IF(posicao_contratual!$Y122=2,IF(IFERROR(IF(ISNUMBER(INDEX(aditivos!$O$2:$O$200,MATCH($A122,aditivos!$A$2:$A$200,0))),MIN(INDEX(aditivos!$O$2:$O$200,MATCH($A122,aditivos!$A$2:$A$200,0)),posicao_contratual!$Y122),posicao_contratual!$Y122),posicao_contratual!$Y122)=2,itens_Remanesc!C122,IFERROR(ROUND(itens_Remanesc!C122*INDEX($L$2:$L$6,MIN(2+1,COUNT($L$2:$L$6)))/INDEX($L$2:$L$6,MIN(IFERROR(IF(ISNUMBER(INDEX(aditivos!$O$2:$O$200,MATCH($A122,aditivos!$A$2:$A$200,0))),MIN(INDEX(aditivos!$O$2:$O$200,MATCH($A122,aditivos!$A$2:$A$200,0)),posicao_contratual!$Y122),posicao_contratual!$Y122),posicao_contratual!$Y122)+1,COUNT($L$2:$L$6))),2),"")),IF(OR(NOT(ISNUMBER($L$4)),NOT(ISNUMBER(INDEX($L$2:$L$6,IFERROR(IF(ISNUMBER(INDEX(aditivos!$O$2:$O$200,MATCH($A122,aditivos!$A$2:$A$200,0))),MIN(INDEX(aditivos!$O$2:$O$200,MATCH($A122,aditivos!$A$2:$A$200,0)),posicao_contratual!$Y122),posicao_contratual!$Y122),posicao_contratual!$Y122)+1)))),"",ROUND(itens_Remanesc!C122*$L$4/INDEX($L$2:$L$6,IFERROR(IF(ISNUMBER(INDEX(aditivos!$O$2:$O$200,MATCH($A122,aditivos!$A$2:$A$200,0))),MIN(INDEX(aditivos!$O$2:$O$200,MATCH($A122,aditivos!$A$2:$A$200,0)),posicao_contratual!$Y122),posicao_contratual!$Y122),posicao_contratual!$Y122)+1),2))))))</f>
        <v/>
      </c>
      <c r="F122" s="79" t="str">
        <f>IF(OR($A122="",posicao_contratual!$Y122=""),"",IF(posicao_contratual!$Y122&gt;3,"",IF(NOT(ISNUMBER(itens_Remanesc!C122)),"",IF(posicao_contratual!$Y122=3,IF(IFERROR(IF(ISNUMBER(INDEX(aditivos!$O$2:$O$200,MATCH($A122,aditivos!$A$2:$A$200,0))),MIN(INDEX(aditivos!$O$2:$O$200,MATCH($A122,aditivos!$A$2:$A$200,0)),posicao_contratual!$Y122),posicao_contratual!$Y122),posicao_contratual!$Y122)=3,itens_Remanesc!C122,IFERROR(ROUND(itens_Remanesc!C122*INDEX($L$2:$L$6,MIN(3+1,COUNT($L$2:$L$6)))/INDEX($L$2:$L$6,MIN(IFERROR(IF(ISNUMBER(INDEX(aditivos!$O$2:$O$200,MATCH($A122,aditivos!$A$2:$A$200,0))),MIN(INDEX(aditivos!$O$2:$O$200,MATCH($A122,aditivos!$A$2:$A$200,0)),posicao_contratual!$Y122),posicao_contratual!$Y122),posicao_contratual!$Y122)+1,COUNT($L$2:$L$6))),2),"")),IF(OR(NOT(ISNUMBER($L$5)),NOT(ISNUMBER(INDEX($L$2:$L$6,IFERROR(IF(ISNUMBER(INDEX(aditivos!$O$2:$O$200,MATCH($A122,aditivos!$A$2:$A$200,0))),MIN(INDEX(aditivos!$O$2:$O$200,MATCH($A122,aditivos!$A$2:$A$200,0)),posicao_contratual!$Y122),posicao_contratual!$Y122),posicao_contratual!$Y122)+1)))),"",ROUND(itens_Remanesc!C122*$L$5/INDEX($L$2:$L$6,IFERROR(IF(ISNUMBER(INDEX(aditivos!$O$2:$O$200,MATCH($A122,aditivos!$A$2:$A$200,0))),MIN(INDEX(aditivos!$O$2:$O$200,MATCH($A122,aditivos!$A$2:$A$200,0)),posicao_contratual!$Y122),posicao_contratual!$Y122),posicao_contratual!$Y122)+1),2))))))</f>
        <v/>
      </c>
      <c r="G122" s="79" t="str">
        <f>IF(OR($A122="",posicao_contratual!$Y122=""),"",IF(posicao_contratual!$Y122&gt;4,"",IF(NOT(ISNUMBER(itens_Remanesc!C122)),"",IF(posicao_contratual!$Y122=4,IF(IFERROR(IF(ISNUMBER(INDEX(aditivos!$O$2:$O$200,MATCH($A122,aditivos!$A$2:$A$200,0))),MIN(INDEX(aditivos!$O$2:$O$200,MATCH($A122,aditivos!$A$2:$A$200,0)),posicao_contratual!$Y122),posicao_contratual!$Y122),posicao_contratual!$Y122)=4,itens_Remanesc!C122,IFERROR(ROUND(itens_Remanesc!C122*INDEX($L$2:$L$6,MIN(4+1,COUNT($L$2:$L$6)))/INDEX($L$2:$L$6,MIN(IFERROR(IF(ISNUMBER(INDEX(aditivos!$O$2:$O$200,MATCH($A122,aditivos!$A$2:$A$200,0))),MIN(INDEX(aditivos!$O$2:$O$200,MATCH($A122,aditivos!$A$2:$A$200,0)),posicao_contratual!$Y122),posicao_contratual!$Y122),posicao_contratual!$Y122)+1,COUNT($L$2:$L$6))),2),"")),IF(OR(NOT(ISNUMBER($L$6)),NOT(ISNUMBER(INDEX($L$2:$L$6,IFERROR(IF(ISNUMBER(INDEX(aditivos!$O$2:$O$200,MATCH($A122,aditivos!$A$2:$A$200,0))),MIN(INDEX(aditivos!$O$2:$O$200,MATCH($A122,aditivos!$A$2:$A$200,0)),posicao_contratual!$Y122),posicao_contratual!$Y122),posicao_contratual!$Y122)+1)))),"",ROUND(itens_Remanesc!C122*$L$6/INDEX($L$2:$L$6,IFERROR(IF(ISNUMBER(INDEX(aditivos!$O$2:$O$200,MATCH($A122,aditivos!$A$2:$A$200,0))),MIN(INDEX(aditivos!$O$2:$O$200,MATCH($A122,aditivos!$A$2:$A$200,0)),posicao_contratual!$Y122),posicao_contratual!$Y122),posicao_contratual!$Y122)+1),2))))))</f>
        <v/>
      </c>
      <c r="H122" s="116" t="str">
        <f t="shared" si="3"/>
        <v/>
      </c>
      <c r="I122" s="13"/>
      <c r="J122" s="13"/>
      <c r="K122" s="13"/>
      <c r="L122" s="13"/>
      <c r="M122" s="13"/>
      <c r="N122" s="147" t="str">
        <f>IF(A122="","",IF(posicao_contratual!$Y122="","",IF(posicao_contratual!$Y122&gt;0,"",posicao_contratual!E122)))</f>
        <v/>
      </c>
      <c r="O122" s="147" t="str">
        <f>IF(A122="","",IF(posicao_contratual!$Y122="","",IF(posicao_contratual!$Y122&gt;1,"",posicao_contratual!I122)))</f>
        <v/>
      </c>
      <c r="P122" s="147" t="str">
        <f>IF(A122="","",IF(posicao_contratual!$Y122="","",IF(posicao_contratual!$Y122&gt;2,"",posicao_contratual!M122)))</f>
        <v/>
      </c>
      <c r="Q122" s="147" t="str">
        <f>IF(A122="","",IF(posicao_contratual!$Y122="","",IF(posicao_contratual!$Y122&gt;3,"",posicao_contratual!Q122)))</f>
        <v/>
      </c>
      <c r="R122" s="147" t="str">
        <f>IF(A122="","",IF(posicao_contratual!$Y122="","",IF(posicao_contratual!$Y122&gt;4,"",posicao_contratual!U122)))</f>
        <v/>
      </c>
      <c r="S122" s="167" t="str">
        <f>IF(A122="","",posicao_contratual!G122)</f>
        <v/>
      </c>
      <c r="T122" s="167" t="str">
        <f>IF(A122="","",posicao_contratual!K122)</f>
        <v/>
      </c>
      <c r="U122" s="167" t="str">
        <f>IF(A122="","",posicao_contratual!O122)</f>
        <v/>
      </c>
      <c r="V122" s="167" t="str">
        <f>IF(A122="","",posicao_contratual!S122)</f>
        <v/>
      </c>
      <c r="W122" s="167" t="str">
        <f>IF(A122="","",posicao_contratual!W122)</f>
        <v/>
      </c>
    </row>
    <row r="123" spans="1:23" x14ac:dyDescent="0.35">
      <c r="A123" s="86" t="str">
        <f>IF(itens_Remanesc!A123="","",itens_Remanesc!A123)</f>
        <v/>
      </c>
      <c r="B123" s="85" t="str">
        <f>IF(A123="","",IF(posicao_contratual!$Y123="","",IF(posicao_contratual!$Y123&gt;0,"",posicao_contratual!G123)))</f>
        <v/>
      </c>
      <c r="C123" s="79" t="str">
        <f>IF(itens_Remanesc!A123="","",IF(posicao_contratual!$Y123="","",IF(posicao_contratual!$Y123&gt;0,"",itens_Remanesc!C123)))</f>
        <v/>
      </c>
      <c r="D123" s="79" t="str">
        <f>IF(OR($A123="",posicao_contratual!$Y123=""),"",IF(posicao_contratual!$Y123&gt;1,"",IF(NOT(ISNUMBER(itens_Remanesc!C123)),"",IF(posicao_contratual!$Y123=1,IF(IFERROR(IF(ISNUMBER(INDEX(aditivos!$O$2:$O$200,MATCH($A123,aditivos!$A$2:$A$200,0))),MIN(INDEX(aditivos!$O$2:$O$200,MATCH($A123,aditivos!$A$2:$A$200,0)),posicao_contratual!$Y123),posicao_contratual!$Y123),posicao_contratual!$Y123)=1,itens_Remanesc!C123,IFERROR(ROUND(itens_Remanesc!C123*INDEX($L$2:$L$6,MIN(1+1,COUNT($L$2:$L$6)))/INDEX($L$2:$L$6,MIN(IFERROR(IF(ISNUMBER(INDEX(aditivos!$O$2:$O$200,MATCH($A123,aditivos!$A$2:$A$200,0))),MIN(INDEX(aditivos!$O$2:$O$200,MATCH($A123,aditivos!$A$2:$A$200,0)),posicao_contratual!$Y123),posicao_contratual!$Y123),posicao_contratual!$Y123)+1,COUNT($L$2:$L$6))),2),"")),IF(OR(NOT(ISNUMBER($L$3)),NOT(ISNUMBER(INDEX($L$2:$L$6,IFERROR(IF(ISNUMBER(INDEX(aditivos!$O$2:$O$200,MATCH($A123,aditivos!$A$2:$A$200,0))),MIN(INDEX(aditivos!$O$2:$O$200,MATCH($A123,aditivos!$A$2:$A$200,0)),posicao_contratual!$Y123),posicao_contratual!$Y123),posicao_contratual!$Y123)+1)))),"",ROUND(itens_Remanesc!C123*$L$3/INDEX($L$2:$L$6,IFERROR(IF(ISNUMBER(INDEX(aditivos!$O$2:$O$200,MATCH($A123,aditivos!$A$2:$A$200,0))),MIN(INDEX(aditivos!$O$2:$O$200,MATCH($A123,aditivos!$A$2:$A$200,0)),posicao_contratual!$Y123),posicao_contratual!$Y123),posicao_contratual!$Y123)+1),2))))))</f>
        <v/>
      </c>
      <c r="E123" s="79" t="str">
        <f>IF(OR($A123="",posicao_contratual!$Y123=""),"",IF(posicao_contratual!$Y123&gt;2,"",IF(NOT(ISNUMBER(itens_Remanesc!C123)),"",IF(posicao_contratual!$Y123=2,IF(IFERROR(IF(ISNUMBER(INDEX(aditivos!$O$2:$O$200,MATCH($A123,aditivos!$A$2:$A$200,0))),MIN(INDEX(aditivos!$O$2:$O$200,MATCH($A123,aditivos!$A$2:$A$200,0)),posicao_contratual!$Y123),posicao_contratual!$Y123),posicao_contratual!$Y123)=2,itens_Remanesc!C123,IFERROR(ROUND(itens_Remanesc!C123*INDEX($L$2:$L$6,MIN(2+1,COUNT($L$2:$L$6)))/INDEX($L$2:$L$6,MIN(IFERROR(IF(ISNUMBER(INDEX(aditivos!$O$2:$O$200,MATCH($A123,aditivos!$A$2:$A$200,0))),MIN(INDEX(aditivos!$O$2:$O$200,MATCH($A123,aditivos!$A$2:$A$200,0)),posicao_contratual!$Y123),posicao_contratual!$Y123),posicao_contratual!$Y123)+1,COUNT($L$2:$L$6))),2),"")),IF(OR(NOT(ISNUMBER($L$4)),NOT(ISNUMBER(INDEX($L$2:$L$6,IFERROR(IF(ISNUMBER(INDEX(aditivos!$O$2:$O$200,MATCH($A123,aditivos!$A$2:$A$200,0))),MIN(INDEX(aditivos!$O$2:$O$200,MATCH($A123,aditivos!$A$2:$A$200,0)),posicao_contratual!$Y123),posicao_contratual!$Y123),posicao_contratual!$Y123)+1)))),"",ROUND(itens_Remanesc!C123*$L$4/INDEX($L$2:$L$6,IFERROR(IF(ISNUMBER(INDEX(aditivos!$O$2:$O$200,MATCH($A123,aditivos!$A$2:$A$200,0))),MIN(INDEX(aditivos!$O$2:$O$200,MATCH($A123,aditivos!$A$2:$A$200,0)),posicao_contratual!$Y123),posicao_contratual!$Y123),posicao_contratual!$Y123)+1),2))))))</f>
        <v/>
      </c>
      <c r="F123" s="79" t="str">
        <f>IF(OR($A123="",posicao_contratual!$Y123=""),"",IF(posicao_contratual!$Y123&gt;3,"",IF(NOT(ISNUMBER(itens_Remanesc!C123)),"",IF(posicao_contratual!$Y123=3,IF(IFERROR(IF(ISNUMBER(INDEX(aditivos!$O$2:$O$200,MATCH($A123,aditivos!$A$2:$A$200,0))),MIN(INDEX(aditivos!$O$2:$O$200,MATCH($A123,aditivos!$A$2:$A$200,0)),posicao_contratual!$Y123),posicao_contratual!$Y123),posicao_contratual!$Y123)=3,itens_Remanesc!C123,IFERROR(ROUND(itens_Remanesc!C123*INDEX($L$2:$L$6,MIN(3+1,COUNT($L$2:$L$6)))/INDEX($L$2:$L$6,MIN(IFERROR(IF(ISNUMBER(INDEX(aditivos!$O$2:$O$200,MATCH($A123,aditivos!$A$2:$A$200,0))),MIN(INDEX(aditivos!$O$2:$O$200,MATCH($A123,aditivos!$A$2:$A$200,0)),posicao_contratual!$Y123),posicao_contratual!$Y123),posicao_contratual!$Y123)+1,COUNT($L$2:$L$6))),2),"")),IF(OR(NOT(ISNUMBER($L$5)),NOT(ISNUMBER(INDEX($L$2:$L$6,IFERROR(IF(ISNUMBER(INDEX(aditivos!$O$2:$O$200,MATCH($A123,aditivos!$A$2:$A$200,0))),MIN(INDEX(aditivos!$O$2:$O$200,MATCH($A123,aditivos!$A$2:$A$200,0)),posicao_contratual!$Y123),posicao_contratual!$Y123),posicao_contratual!$Y123)+1)))),"",ROUND(itens_Remanesc!C123*$L$5/INDEX($L$2:$L$6,IFERROR(IF(ISNUMBER(INDEX(aditivos!$O$2:$O$200,MATCH($A123,aditivos!$A$2:$A$200,0))),MIN(INDEX(aditivos!$O$2:$O$200,MATCH($A123,aditivos!$A$2:$A$200,0)),posicao_contratual!$Y123),posicao_contratual!$Y123),posicao_contratual!$Y123)+1),2))))))</f>
        <v/>
      </c>
      <c r="G123" s="79" t="str">
        <f>IF(OR($A123="",posicao_contratual!$Y123=""),"",IF(posicao_contratual!$Y123&gt;4,"",IF(NOT(ISNUMBER(itens_Remanesc!C123)),"",IF(posicao_contratual!$Y123=4,IF(IFERROR(IF(ISNUMBER(INDEX(aditivos!$O$2:$O$200,MATCH($A123,aditivos!$A$2:$A$200,0))),MIN(INDEX(aditivos!$O$2:$O$200,MATCH($A123,aditivos!$A$2:$A$200,0)),posicao_contratual!$Y123),posicao_contratual!$Y123),posicao_contratual!$Y123)=4,itens_Remanesc!C123,IFERROR(ROUND(itens_Remanesc!C123*INDEX($L$2:$L$6,MIN(4+1,COUNT($L$2:$L$6)))/INDEX($L$2:$L$6,MIN(IFERROR(IF(ISNUMBER(INDEX(aditivos!$O$2:$O$200,MATCH($A123,aditivos!$A$2:$A$200,0))),MIN(INDEX(aditivos!$O$2:$O$200,MATCH($A123,aditivos!$A$2:$A$200,0)),posicao_contratual!$Y123),posicao_contratual!$Y123),posicao_contratual!$Y123)+1,COUNT($L$2:$L$6))),2),"")),IF(OR(NOT(ISNUMBER($L$6)),NOT(ISNUMBER(INDEX($L$2:$L$6,IFERROR(IF(ISNUMBER(INDEX(aditivos!$O$2:$O$200,MATCH($A123,aditivos!$A$2:$A$200,0))),MIN(INDEX(aditivos!$O$2:$O$200,MATCH($A123,aditivos!$A$2:$A$200,0)),posicao_contratual!$Y123),posicao_contratual!$Y123),posicao_contratual!$Y123)+1)))),"",ROUND(itens_Remanesc!C123*$L$6/INDEX($L$2:$L$6,IFERROR(IF(ISNUMBER(INDEX(aditivos!$O$2:$O$200,MATCH($A123,aditivos!$A$2:$A$200,0))),MIN(INDEX(aditivos!$O$2:$O$200,MATCH($A123,aditivos!$A$2:$A$200,0)),posicao_contratual!$Y123),posicao_contratual!$Y123),posicao_contratual!$Y123)+1),2))))))</f>
        <v/>
      </c>
      <c r="H123" s="116" t="str">
        <f t="shared" si="3"/>
        <v/>
      </c>
      <c r="I123" s="13"/>
      <c r="J123" s="13"/>
      <c r="K123" s="13"/>
      <c r="L123" s="13"/>
      <c r="M123" s="13"/>
      <c r="N123" s="147" t="str">
        <f>IF(A123="","",IF(posicao_contratual!$Y123="","",IF(posicao_contratual!$Y123&gt;0,"",posicao_contratual!E123)))</f>
        <v/>
      </c>
      <c r="O123" s="147" t="str">
        <f>IF(A123="","",IF(posicao_contratual!$Y123="","",IF(posicao_contratual!$Y123&gt;1,"",posicao_contratual!I123)))</f>
        <v/>
      </c>
      <c r="P123" s="147" t="str">
        <f>IF(A123="","",IF(posicao_contratual!$Y123="","",IF(posicao_contratual!$Y123&gt;2,"",posicao_contratual!M123)))</f>
        <v/>
      </c>
      <c r="Q123" s="147" t="str">
        <f>IF(A123="","",IF(posicao_contratual!$Y123="","",IF(posicao_contratual!$Y123&gt;3,"",posicao_contratual!Q123)))</f>
        <v/>
      </c>
      <c r="R123" s="147" t="str">
        <f>IF(A123="","",IF(posicao_contratual!$Y123="","",IF(posicao_contratual!$Y123&gt;4,"",posicao_contratual!U123)))</f>
        <v/>
      </c>
      <c r="S123" s="167" t="str">
        <f>IF(A123="","",posicao_contratual!G123)</f>
        <v/>
      </c>
      <c r="T123" s="167" t="str">
        <f>IF(A123="","",posicao_contratual!K123)</f>
        <v/>
      </c>
      <c r="U123" s="167" t="str">
        <f>IF(A123="","",posicao_contratual!O123)</f>
        <v/>
      </c>
      <c r="V123" s="167" t="str">
        <f>IF(A123="","",posicao_contratual!S123)</f>
        <v/>
      </c>
      <c r="W123" s="167" t="str">
        <f>IF(A123="","",posicao_contratual!W123)</f>
        <v/>
      </c>
    </row>
    <row r="124" spans="1:23" x14ac:dyDescent="0.35">
      <c r="A124" s="86" t="str">
        <f>IF(itens_Remanesc!A124="","",itens_Remanesc!A124)</f>
        <v/>
      </c>
      <c r="B124" s="85" t="str">
        <f>IF(A124="","",IF(posicao_contratual!$Y124="","",IF(posicao_contratual!$Y124&gt;0,"",posicao_contratual!G124)))</f>
        <v/>
      </c>
      <c r="C124" s="79" t="str">
        <f>IF(itens_Remanesc!A124="","",IF(posicao_contratual!$Y124="","",IF(posicao_contratual!$Y124&gt;0,"",itens_Remanesc!C124)))</f>
        <v/>
      </c>
      <c r="D124" s="79" t="str">
        <f>IF(OR($A124="",posicao_contratual!$Y124=""),"",IF(posicao_contratual!$Y124&gt;1,"",IF(NOT(ISNUMBER(itens_Remanesc!C124)),"",IF(posicao_contratual!$Y124=1,IF(IFERROR(IF(ISNUMBER(INDEX(aditivos!$O$2:$O$200,MATCH($A124,aditivos!$A$2:$A$200,0))),MIN(INDEX(aditivos!$O$2:$O$200,MATCH($A124,aditivos!$A$2:$A$200,0)),posicao_contratual!$Y124),posicao_contratual!$Y124),posicao_contratual!$Y124)=1,itens_Remanesc!C124,IFERROR(ROUND(itens_Remanesc!C124*INDEX($L$2:$L$6,MIN(1+1,COUNT($L$2:$L$6)))/INDEX($L$2:$L$6,MIN(IFERROR(IF(ISNUMBER(INDEX(aditivos!$O$2:$O$200,MATCH($A124,aditivos!$A$2:$A$200,0))),MIN(INDEX(aditivos!$O$2:$O$200,MATCH($A124,aditivos!$A$2:$A$200,0)),posicao_contratual!$Y124),posicao_contratual!$Y124),posicao_contratual!$Y124)+1,COUNT($L$2:$L$6))),2),"")),IF(OR(NOT(ISNUMBER($L$3)),NOT(ISNUMBER(INDEX($L$2:$L$6,IFERROR(IF(ISNUMBER(INDEX(aditivos!$O$2:$O$200,MATCH($A124,aditivos!$A$2:$A$200,0))),MIN(INDEX(aditivos!$O$2:$O$200,MATCH($A124,aditivos!$A$2:$A$200,0)),posicao_contratual!$Y124),posicao_contratual!$Y124),posicao_contratual!$Y124)+1)))),"",ROUND(itens_Remanesc!C124*$L$3/INDEX($L$2:$L$6,IFERROR(IF(ISNUMBER(INDEX(aditivos!$O$2:$O$200,MATCH($A124,aditivos!$A$2:$A$200,0))),MIN(INDEX(aditivos!$O$2:$O$200,MATCH($A124,aditivos!$A$2:$A$200,0)),posicao_contratual!$Y124),posicao_contratual!$Y124),posicao_contratual!$Y124)+1),2))))))</f>
        <v/>
      </c>
      <c r="E124" s="79" t="str">
        <f>IF(OR($A124="",posicao_contratual!$Y124=""),"",IF(posicao_contratual!$Y124&gt;2,"",IF(NOT(ISNUMBER(itens_Remanesc!C124)),"",IF(posicao_contratual!$Y124=2,IF(IFERROR(IF(ISNUMBER(INDEX(aditivos!$O$2:$O$200,MATCH($A124,aditivos!$A$2:$A$200,0))),MIN(INDEX(aditivos!$O$2:$O$200,MATCH($A124,aditivos!$A$2:$A$200,0)),posicao_contratual!$Y124),posicao_contratual!$Y124),posicao_contratual!$Y124)=2,itens_Remanesc!C124,IFERROR(ROUND(itens_Remanesc!C124*INDEX($L$2:$L$6,MIN(2+1,COUNT($L$2:$L$6)))/INDEX($L$2:$L$6,MIN(IFERROR(IF(ISNUMBER(INDEX(aditivos!$O$2:$O$200,MATCH($A124,aditivos!$A$2:$A$200,0))),MIN(INDEX(aditivos!$O$2:$O$200,MATCH($A124,aditivos!$A$2:$A$200,0)),posicao_contratual!$Y124),posicao_contratual!$Y124),posicao_contratual!$Y124)+1,COUNT($L$2:$L$6))),2),"")),IF(OR(NOT(ISNUMBER($L$4)),NOT(ISNUMBER(INDEX($L$2:$L$6,IFERROR(IF(ISNUMBER(INDEX(aditivos!$O$2:$O$200,MATCH($A124,aditivos!$A$2:$A$200,0))),MIN(INDEX(aditivos!$O$2:$O$200,MATCH($A124,aditivos!$A$2:$A$200,0)),posicao_contratual!$Y124),posicao_contratual!$Y124),posicao_contratual!$Y124)+1)))),"",ROUND(itens_Remanesc!C124*$L$4/INDEX($L$2:$L$6,IFERROR(IF(ISNUMBER(INDEX(aditivos!$O$2:$O$200,MATCH($A124,aditivos!$A$2:$A$200,0))),MIN(INDEX(aditivos!$O$2:$O$200,MATCH($A124,aditivos!$A$2:$A$200,0)),posicao_contratual!$Y124),posicao_contratual!$Y124),posicao_contratual!$Y124)+1),2))))))</f>
        <v/>
      </c>
      <c r="F124" s="79" t="str">
        <f>IF(OR($A124="",posicao_contratual!$Y124=""),"",IF(posicao_contratual!$Y124&gt;3,"",IF(NOT(ISNUMBER(itens_Remanesc!C124)),"",IF(posicao_contratual!$Y124=3,IF(IFERROR(IF(ISNUMBER(INDEX(aditivos!$O$2:$O$200,MATCH($A124,aditivos!$A$2:$A$200,0))),MIN(INDEX(aditivos!$O$2:$O$200,MATCH($A124,aditivos!$A$2:$A$200,0)),posicao_contratual!$Y124),posicao_contratual!$Y124),posicao_contratual!$Y124)=3,itens_Remanesc!C124,IFERROR(ROUND(itens_Remanesc!C124*INDEX($L$2:$L$6,MIN(3+1,COUNT($L$2:$L$6)))/INDEX($L$2:$L$6,MIN(IFERROR(IF(ISNUMBER(INDEX(aditivos!$O$2:$O$200,MATCH($A124,aditivos!$A$2:$A$200,0))),MIN(INDEX(aditivos!$O$2:$O$200,MATCH($A124,aditivos!$A$2:$A$200,0)),posicao_contratual!$Y124),posicao_contratual!$Y124),posicao_contratual!$Y124)+1,COUNT($L$2:$L$6))),2),"")),IF(OR(NOT(ISNUMBER($L$5)),NOT(ISNUMBER(INDEX($L$2:$L$6,IFERROR(IF(ISNUMBER(INDEX(aditivos!$O$2:$O$200,MATCH($A124,aditivos!$A$2:$A$200,0))),MIN(INDEX(aditivos!$O$2:$O$200,MATCH($A124,aditivos!$A$2:$A$200,0)),posicao_contratual!$Y124),posicao_contratual!$Y124),posicao_contratual!$Y124)+1)))),"",ROUND(itens_Remanesc!C124*$L$5/INDEX($L$2:$L$6,IFERROR(IF(ISNUMBER(INDEX(aditivos!$O$2:$O$200,MATCH($A124,aditivos!$A$2:$A$200,0))),MIN(INDEX(aditivos!$O$2:$O$200,MATCH($A124,aditivos!$A$2:$A$200,0)),posicao_contratual!$Y124),posicao_contratual!$Y124),posicao_contratual!$Y124)+1),2))))))</f>
        <v/>
      </c>
      <c r="G124" s="79" t="str">
        <f>IF(OR($A124="",posicao_contratual!$Y124=""),"",IF(posicao_contratual!$Y124&gt;4,"",IF(NOT(ISNUMBER(itens_Remanesc!C124)),"",IF(posicao_contratual!$Y124=4,IF(IFERROR(IF(ISNUMBER(INDEX(aditivos!$O$2:$O$200,MATCH($A124,aditivos!$A$2:$A$200,0))),MIN(INDEX(aditivos!$O$2:$O$200,MATCH($A124,aditivos!$A$2:$A$200,0)),posicao_contratual!$Y124),posicao_contratual!$Y124),posicao_contratual!$Y124)=4,itens_Remanesc!C124,IFERROR(ROUND(itens_Remanesc!C124*INDEX($L$2:$L$6,MIN(4+1,COUNT($L$2:$L$6)))/INDEX($L$2:$L$6,MIN(IFERROR(IF(ISNUMBER(INDEX(aditivos!$O$2:$O$200,MATCH($A124,aditivos!$A$2:$A$200,0))),MIN(INDEX(aditivos!$O$2:$O$200,MATCH($A124,aditivos!$A$2:$A$200,0)),posicao_contratual!$Y124),posicao_contratual!$Y124),posicao_contratual!$Y124)+1,COUNT($L$2:$L$6))),2),"")),IF(OR(NOT(ISNUMBER($L$6)),NOT(ISNUMBER(INDEX($L$2:$L$6,IFERROR(IF(ISNUMBER(INDEX(aditivos!$O$2:$O$200,MATCH($A124,aditivos!$A$2:$A$200,0))),MIN(INDEX(aditivos!$O$2:$O$200,MATCH($A124,aditivos!$A$2:$A$200,0)),posicao_contratual!$Y124),posicao_contratual!$Y124),posicao_contratual!$Y124)+1)))),"",ROUND(itens_Remanesc!C124*$L$6/INDEX($L$2:$L$6,IFERROR(IF(ISNUMBER(INDEX(aditivos!$O$2:$O$200,MATCH($A124,aditivos!$A$2:$A$200,0))),MIN(INDEX(aditivos!$O$2:$O$200,MATCH($A124,aditivos!$A$2:$A$200,0)),posicao_contratual!$Y124),posicao_contratual!$Y124),posicao_contratual!$Y124)+1),2))))))</f>
        <v/>
      </c>
      <c r="H124" s="116" t="str">
        <f t="shared" si="3"/>
        <v/>
      </c>
      <c r="I124" s="13"/>
      <c r="J124" s="13"/>
      <c r="K124" s="13"/>
      <c r="L124" s="13"/>
      <c r="M124" s="13"/>
      <c r="N124" s="147" t="str">
        <f>IF(A124="","",IF(posicao_contratual!$Y124="","",IF(posicao_contratual!$Y124&gt;0,"",posicao_contratual!E124)))</f>
        <v/>
      </c>
      <c r="O124" s="147" t="str">
        <f>IF(A124="","",IF(posicao_contratual!$Y124="","",IF(posicao_contratual!$Y124&gt;1,"",posicao_contratual!I124)))</f>
        <v/>
      </c>
      <c r="P124" s="147" t="str">
        <f>IF(A124="","",IF(posicao_contratual!$Y124="","",IF(posicao_contratual!$Y124&gt;2,"",posicao_contratual!M124)))</f>
        <v/>
      </c>
      <c r="Q124" s="147" t="str">
        <f>IF(A124="","",IF(posicao_contratual!$Y124="","",IF(posicao_contratual!$Y124&gt;3,"",posicao_contratual!Q124)))</f>
        <v/>
      </c>
      <c r="R124" s="147" t="str">
        <f>IF(A124="","",IF(posicao_contratual!$Y124="","",IF(posicao_contratual!$Y124&gt;4,"",posicao_contratual!U124)))</f>
        <v/>
      </c>
      <c r="S124" s="167" t="str">
        <f>IF(A124="","",posicao_contratual!G124)</f>
        <v/>
      </c>
      <c r="T124" s="167" t="str">
        <f>IF(A124="","",posicao_contratual!K124)</f>
        <v/>
      </c>
      <c r="U124" s="167" t="str">
        <f>IF(A124="","",posicao_contratual!O124)</f>
        <v/>
      </c>
      <c r="V124" s="167" t="str">
        <f>IF(A124="","",posicao_contratual!S124)</f>
        <v/>
      </c>
      <c r="W124" s="167" t="str">
        <f>IF(A124="","",posicao_contratual!W124)</f>
        <v/>
      </c>
    </row>
    <row r="125" spans="1:23" x14ac:dyDescent="0.35">
      <c r="A125" s="86" t="str">
        <f>IF(itens_Remanesc!A125="","",itens_Remanesc!A125)</f>
        <v/>
      </c>
      <c r="B125" s="85" t="str">
        <f>IF(A125="","",IF(posicao_contratual!$Y125="","",IF(posicao_contratual!$Y125&gt;0,"",posicao_contratual!G125)))</f>
        <v/>
      </c>
      <c r="C125" s="79" t="str">
        <f>IF(itens_Remanesc!A125="","",IF(posicao_contratual!$Y125="","",IF(posicao_contratual!$Y125&gt;0,"",itens_Remanesc!C125)))</f>
        <v/>
      </c>
      <c r="D125" s="79" t="str">
        <f>IF(OR($A125="",posicao_contratual!$Y125=""),"",IF(posicao_contratual!$Y125&gt;1,"",IF(NOT(ISNUMBER(itens_Remanesc!C125)),"",IF(posicao_contratual!$Y125=1,IF(IFERROR(IF(ISNUMBER(INDEX(aditivos!$O$2:$O$200,MATCH($A125,aditivos!$A$2:$A$200,0))),MIN(INDEX(aditivos!$O$2:$O$200,MATCH($A125,aditivos!$A$2:$A$200,0)),posicao_contratual!$Y125),posicao_contratual!$Y125),posicao_contratual!$Y125)=1,itens_Remanesc!C125,IFERROR(ROUND(itens_Remanesc!C125*INDEX($L$2:$L$6,MIN(1+1,COUNT($L$2:$L$6)))/INDEX($L$2:$L$6,MIN(IFERROR(IF(ISNUMBER(INDEX(aditivos!$O$2:$O$200,MATCH($A125,aditivos!$A$2:$A$200,0))),MIN(INDEX(aditivos!$O$2:$O$200,MATCH($A125,aditivos!$A$2:$A$200,0)),posicao_contratual!$Y125),posicao_contratual!$Y125),posicao_contratual!$Y125)+1,COUNT($L$2:$L$6))),2),"")),IF(OR(NOT(ISNUMBER($L$3)),NOT(ISNUMBER(INDEX($L$2:$L$6,IFERROR(IF(ISNUMBER(INDEX(aditivos!$O$2:$O$200,MATCH($A125,aditivos!$A$2:$A$200,0))),MIN(INDEX(aditivos!$O$2:$O$200,MATCH($A125,aditivos!$A$2:$A$200,0)),posicao_contratual!$Y125),posicao_contratual!$Y125),posicao_contratual!$Y125)+1)))),"",ROUND(itens_Remanesc!C125*$L$3/INDEX($L$2:$L$6,IFERROR(IF(ISNUMBER(INDEX(aditivos!$O$2:$O$200,MATCH($A125,aditivos!$A$2:$A$200,0))),MIN(INDEX(aditivos!$O$2:$O$200,MATCH($A125,aditivos!$A$2:$A$200,0)),posicao_contratual!$Y125),posicao_contratual!$Y125),posicao_contratual!$Y125)+1),2))))))</f>
        <v/>
      </c>
      <c r="E125" s="79" t="str">
        <f>IF(OR($A125="",posicao_contratual!$Y125=""),"",IF(posicao_contratual!$Y125&gt;2,"",IF(NOT(ISNUMBER(itens_Remanesc!C125)),"",IF(posicao_contratual!$Y125=2,IF(IFERROR(IF(ISNUMBER(INDEX(aditivos!$O$2:$O$200,MATCH($A125,aditivos!$A$2:$A$200,0))),MIN(INDEX(aditivos!$O$2:$O$200,MATCH($A125,aditivos!$A$2:$A$200,0)),posicao_contratual!$Y125),posicao_contratual!$Y125),posicao_contratual!$Y125)=2,itens_Remanesc!C125,IFERROR(ROUND(itens_Remanesc!C125*INDEX($L$2:$L$6,MIN(2+1,COUNT($L$2:$L$6)))/INDEX($L$2:$L$6,MIN(IFERROR(IF(ISNUMBER(INDEX(aditivos!$O$2:$O$200,MATCH($A125,aditivos!$A$2:$A$200,0))),MIN(INDEX(aditivos!$O$2:$O$200,MATCH($A125,aditivos!$A$2:$A$200,0)),posicao_contratual!$Y125),posicao_contratual!$Y125),posicao_contratual!$Y125)+1,COUNT($L$2:$L$6))),2),"")),IF(OR(NOT(ISNUMBER($L$4)),NOT(ISNUMBER(INDEX($L$2:$L$6,IFERROR(IF(ISNUMBER(INDEX(aditivos!$O$2:$O$200,MATCH($A125,aditivos!$A$2:$A$200,0))),MIN(INDEX(aditivos!$O$2:$O$200,MATCH($A125,aditivos!$A$2:$A$200,0)),posicao_contratual!$Y125),posicao_contratual!$Y125),posicao_contratual!$Y125)+1)))),"",ROUND(itens_Remanesc!C125*$L$4/INDEX($L$2:$L$6,IFERROR(IF(ISNUMBER(INDEX(aditivos!$O$2:$O$200,MATCH($A125,aditivos!$A$2:$A$200,0))),MIN(INDEX(aditivos!$O$2:$O$200,MATCH($A125,aditivos!$A$2:$A$200,0)),posicao_contratual!$Y125),posicao_contratual!$Y125),posicao_contratual!$Y125)+1),2))))))</f>
        <v/>
      </c>
      <c r="F125" s="79" t="str">
        <f>IF(OR($A125="",posicao_contratual!$Y125=""),"",IF(posicao_contratual!$Y125&gt;3,"",IF(NOT(ISNUMBER(itens_Remanesc!C125)),"",IF(posicao_contratual!$Y125=3,IF(IFERROR(IF(ISNUMBER(INDEX(aditivos!$O$2:$O$200,MATCH($A125,aditivos!$A$2:$A$200,0))),MIN(INDEX(aditivos!$O$2:$O$200,MATCH($A125,aditivos!$A$2:$A$200,0)),posicao_contratual!$Y125),posicao_contratual!$Y125),posicao_contratual!$Y125)=3,itens_Remanesc!C125,IFERROR(ROUND(itens_Remanesc!C125*INDEX($L$2:$L$6,MIN(3+1,COUNT($L$2:$L$6)))/INDEX($L$2:$L$6,MIN(IFERROR(IF(ISNUMBER(INDEX(aditivos!$O$2:$O$200,MATCH($A125,aditivos!$A$2:$A$200,0))),MIN(INDEX(aditivos!$O$2:$O$200,MATCH($A125,aditivos!$A$2:$A$200,0)),posicao_contratual!$Y125),posicao_contratual!$Y125),posicao_contratual!$Y125)+1,COUNT($L$2:$L$6))),2),"")),IF(OR(NOT(ISNUMBER($L$5)),NOT(ISNUMBER(INDEX($L$2:$L$6,IFERROR(IF(ISNUMBER(INDEX(aditivos!$O$2:$O$200,MATCH($A125,aditivos!$A$2:$A$200,0))),MIN(INDEX(aditivos!$O$2:$O$200,MATCH($A125,aditivos!$A$2:$A$200,0)),posicao_contratual!$Y125),posicao_contratual!$Y125),posicao_contratual!$Y125)+1)))),"",ROUND(itens_Remanesc!C125*$L$5/INDEX($L$2:$L$6,IFERROR(IF(ISNUMBER(INDEX(aditivos!$O$2:$O$200,MATCH($A125,aditivos!$A$2:$A$200,0))),MIN(INDEX(aditivos!$O$2:$O$200,MATCH($A125,aditivos!$A$2:$A$200,0)),posicao_contratual!$Y125),posicao_contratual!$Y125),posicao_contratual!$Y125)+1),2))))))</f>
        <v/>
      </c>
      <c r="G125" s="79" t="str">
        <f>IF(OR($A125="",posicao_contratual!$Y125=""),"",IF(posicao_contratual!$Y125&gt;4,"",IF(NOT(ISNUMBER(itens_Remanesc!C125)),"",IF(posicao_contratual!$Y125=4,IF(IFERROR(IF(ISNUMBER(INDEX(aditivos!$O$2:$O$200,MATCH($A125,aditivos!$A$2:$A$200,0))),MIN(INDEX(aditivos!$O$2:$O$200,MATCH($A125,aditivos!$A$2:$A$200,0)),posicao_contratual!$Y125),posicao_contratual!$Y125),posicao_contratual!$Y125)=4,itens_Remanesc!C125,IFERROR(ROUND(itens_Remanesc!C125*INDEX($L$2:$L$6,MIN(4+1,COUNT($L$2:$L$6)))/INDEX($L$2:$L$6,MIN(IFERROR(IF(ISNUMBER(INDEX(aditivos!$O$2:$O$200,MATCH($A125,aditivos!$A$2:$A$200,0))),MIN(INDEX(aditivos!$O$2:$O$200,MATCH($A125,aditivos!$A$2:$A$200,0)),posicao_contratual!$Y125),posicao_contratual!$Y125),posicao_contratual!$Y125)+1,COUNT($L$2:$L$6))),2),"")),IF(OR(NOT(ISNUMBER($L$6)),NOT(ISNUMBER(INDEX($L$2:$L$6,IFERROR(IF(ISNUMBER(INDEX(aditivos!$O$2:$O$200,MATCH($A125,aditivos!$A$2:$A$200,0))),MIN(INDEX(aditivos!$O$2:$O$200,MATCH($A125,aditivos!$A$2:$A$200,0)),posicao_contratual!$Y125),posicao_contratual!$Y125),posicao_contratual!$Y125)+1)))),"",ROUND(itens_Remanesc!C125*$L$6/INDEX($L$2:$L$6,IFERROR(IF(ISNUMBER(INDEX(aditivos!$O$2:$O$200,MATCH($A125,aditivos!$A$2:$A$200,0))),MIN(INDEX(aditivos!$O$2:$O$200,MATCH($A125,aditivos!$A$2:$A$200,0)),posicao_contratual!$Y125),posicao_contratual!$Y125),posicao_contratual!$Y125)+1),2))))))</f>
        <v/>
      </c>
      <c r="H125" s="116" t="str">
        <f t="shared" si="3"/>
        <v/>
      </c>
      <c r="I125" s="13"/>
      <c r="J125" s="13"/>
      <c r="K125" s="13"/>
      <c r="L125" s="13"/>
      <c r="M125" s="13"/>
      <c r="N125" s="147" t="str">
        <f>IF(A125="","",IF(posicao_contratual!$Y125="","",IF(posicao_contratual!$Y125&gt;0,"",posicao_contratual!E125)))</f>
        <v/>
      </c>
      <c r="O125" s="147" t="str">
        <f>IF(A125="","",IF(posicao_contratual!$Y125="","",IF(posicao_contratual!$Y125&gt;1,"",posicao_contratual!I125)))</f>
        <v/>
      </c>
      <c r="P125" s="147" t="str">
        <f>IF(A125="","",IF(posicao_contratual!$Y125="","",IF(posicao_contratual!$Y125&gt;2,"",posicao_contratual!M125)))</f>
        <v/>
      </c>
      <c r="Q125" s="147" t="str">
        <f>IF(A125="","",IF(posicao_contratual!$Y125="","",IF(posicao_contratual!$Y125&gt;3,"",posicao_contratual!Q125)))</f>
        <v/>
      </c>
      <c r="R125" s="147" t="str">
        <f>IF(A125="","",IF(posicao_contratual!$Y125="","",IF(posicao_contratual!$Y125&gt;4,"",posicao_contratual!U125)))</f>
        <v/>
      </c>
      <c r="S125" s="167" t="str">
        <f>IF(A125="","",posicao_contratual!G125)</f>
        <v/>
      </c>
      <c r="T125" s="167" t="str">
        <f>IF(A125="","",posicao_contratual!K125)</f>
        <v/>
      </c>
      <c r="U125" s="167" t="str">
        <f>IF(A125="","",posicao_contratual!O125)</f>
        <v/>
      </c>
      <c r="V125" s="167" t="str">
        <f>IF(A125="","",posicao_contratual!S125)</f>
        <v/>
      </c>
      <c r="W125" s="167" t="str">
        <f>IF(A125="","",posicao_contratual!W125)</f>
        <v/>
      </c>
    </row>
    <row r="126" spans="1:23" x14ac:dyDescent="0.35">
      <c r="A126" s="86" t="str">
        <f>IF(itens_Remanesc!A126="","",itens_Remanesc!A126)</f>
        <v/>
      </c>
      <c r="B126" s="85" t="str">
        <f>IF(A126="","",IF(posicao_contratual!$Y126="","",IF(posicao_contratual!$Y126&gt;0,"",posicao_contratual!G126)))</f>
        <v/>
      </c>
      <c r="C126" s="79" t="str">
        <f>IF(itens_Remanesc!A126="","",IF(posicao_contratual!$Y126="","",IF(posicao_contratual!$Y126&gt;0,"",itens_Remanesc!C126)))</f>
        <v/>
      </c>
      <c r="D126" s="79" t="str">
        <f>IF(OR($A126="",posicao_contratual!$Y126=""),"",IF(posicao_contratual!$Y126&gt;1,"",IF(NOT(ISNUMBER(itens_Remanesc!C126)),"",IF(posicao_contratual!$Y126=1,IF(IFERROR(IF(ISNUMBER(INDEX(aditivos!$O$2:$O$200,MATCH($A126,aditivos!$A$2:$A$200,0))),MIN(INDEX(aditivos!$O$2:$O$200,MATCH($A126,aditivos!$A$2:$A$200,0)),posicao_contratual!$Y126),posicao_contratual!$Y126),posicao_contratual!$Y126)=1,itens_Remanesc!C126,IFERROR(ROUND(itens_Remanesc!C126*INDEX($L$2:$L$6,MIN(1+1,COUNT($L$2:$L$6)))/INDEX($L$2:$L$6,MIN(IFERROR(IF(ISNUMBER(INDEX(aditivos!$O$2:$O$200,MATCH($A126,aditivos!$A$2:$A$200,0))),MIN(INDEX(aditivos!$O$2:$O$200,MATCH($A126,aditivos!$A$2:$A$200,0)),posicao_contratual!$Y126),posicao_contratual!$Y126),posicao_contratual!$Y126)+1,COUNT($L$2:$L$6))),2),"")),IF(OR(NOT(ISNUMBER($L$3)),NOT(ISNUMBER(INDEX($L$2:$L$6,IFERROR(IF(ISNUMBER(INDEX(aditivos!$O$2:$O$200,MATCH($A126,aditivos!$A$2:$A$200,0))),MIN(INDEX(aditivos!$O$2:$O$200,MATCH($A126,aditivos!$A$2:$A$200,0)),posicao_contratual!$Y126),posicao_contratual!$Y126),posicao_contratual!$Y126)+1)))),"",ROUND(itens_Remanesc!C126*$L$3/INDEX($L$2:$L$6,IFERROR(IF(ISNUMBER(INDEX(aditivos!$O$2:$O$200,MATCH($A126,aditivos!$A$2:$A$200,0))),MIN(INDEX(aditivos!$O$2:$O$200,MATCH($A126,aditivos!$A$2:$A$200,0)),posicao_contratual!$Y126),posicao_contratual!$Y126),posicao_contratual!$Y126)+1),2))))))</f>
        <v/>
      </c>
      <c r="E126" s="79" t="str">
        <f>IF(OR($A126="",posicao_contratual!$Y126=""),"",IF(posicao_contratual!$Y126&gt;2,"",IF(NOT(ISNUMBER(itens_Remanesc!C126)),"",IF(posicao_contratual!$Y126=2,IF(IFERROR(IF(ISNUMBER(INDEX(aditivos!$O$2:$O$200,MATCH($A126,aditivos!$A$2:$A$200,0))),MIN(INDEX(aditivos!$O$2:$O$200,MATCH($A126,aditivos!$A$2:$A$200,0)),posicao_contratual!$Y126),posicao_contratual!$Y126),posicao_contratual!$Y126)=2,itens_Remanesc!C126,IFERROR(ROUND(itens_Remanesc!C126*INDEX($L$2:$L$6,MIN(2+1,COUNT($L$2:$L$6)))/INDEX($L$2:$L$6,MIN(IFERROR(IF(ISNUMBER(INDEX(aditivos!$O$2:$O$200,MATCH($A126,aditivos!$A$2:$A$200,0))),MIN(INDEX(aditivos!$O$2:$O$200,MATCH($A126,aditivos!$A$2:$A$200,0)),posicao_contratual!$Y126),posicao_contratual!$Y126),posicao_contratual!$Y126)+1,COUNT($L$2:$L$6))),2),"")),IF(OR(NOT(ISNUMBER($L$4)),NOT(ISNUMBER(INDEX($L$2:$L$6,IFERROR(IF(ISNUMBER(INDEX(aditivos!$O$2:$O$200,MATCH($A126,aditivos!$A$2:$A$200,0))),MIN(INDEX(aditivos!$O$2:$O$200,MATCH($A126,aditivos!$A$2:$A$200,0)),posicao_contratual!$Y126),posicao_contratual!$Y126),posicao_contratual!$Y126)+1)))),"",ROUND(itens_Remanesc!C126*$L$4/INDEX($L$2:$L$6,IFERROR(IF(ISNUMBER(INDEX(aditivos!$O$2:$O$200,MATCH($A126,aditivos!$A$2:$A$200,0))),MIN(INDEX(aditivos!$O$2:$O$200,MATCH($A126,aditivos!$A$2:$A$200,0)),posicao_contratual!$Y126),posicao_contratual!$Y126),posicao_contratual!$Y126)+1),2))))))</f>
        <v/>
      </c>
      <c r="F126" s="79" t="str">
        <f>IF(OR($A126="",posicao_contratual!$Y126=""),"",IF(posicao_contratual!$Y126&gt;3,"",IF(NOT(ISNUMBER(itens_Remanesc!C126)),"",IF(posicao_contratual!$Y126=3,IF(IFERROR(IF(ISNUMBER(INDEX(aditivos!$O$2:$O$200,MATCH($A126,aditivos!$A$2:$A$200,0))),MIN(INDEX(aditivos!$O$2:$O$200,MATCH($A126,aditivos!$A$2:$A$200,0)),posicao_contratual!$Y126),posicao_contratual!$Y126),posicao_contratual!$Y126)=3,itens_Remanesc!C126,IFERROR(ROUND(itens_Remanesc!C126*INDEX($L$2:$L$6,MIN(3+1,COUNT($L$2:$L$6)))/INDEX($L$2:$L$6,MIN(IFERROR(IF(ISNUMBER(INDEX(aditivos!$O$2:$O$200,MATCH($A126,aditivos!$A$2:$A$200,0))),MIN(INDEX(aditivos!$O$2:$O$200,MATCH($A126,aditivos!$A$2:$A$200,0)),posicao_contratual!$Y126),posicao_contratual!$Y126),posicao_contratual!$Y126)+1,COUNT($L$2:$L$6))),2),"")),IF(OR(NOT(ISNUMBER($L$5)),NOT(ISNUMBER(INDEX($L$2:$L$6,IFERROR(IF(ISNUMBER(INDEX(aditivos!$O$2:$O$200,MATCH($A126,aditivos!$A$2:$A$200,0))),MIN(INDEX(aditivos!$O$2:$O$200,MATCH($A126,aditivos!$A$2:$A$200,0)),posicao_contratual!$Y126),posicao_contratual!$Y126),posicao_contratual!$Y126)+1)))),"",ROUND(itens_Remanesc!C126*$L$5/INDEX($L$2:$L$6,IFERROR(IF(ISNUMBER(INDEX(aditivos!$O$2:$O$200,MATCH($A126,aditivos!$A$2:$A$200,0))),MIN(INDEX(aditivos!$O$2:$O$200,MATCH($A126,aditivos!$A$2:$A$200,0)),posicao_contratual!$Y126),posicao_contratual!$Y126),posicao_contratual!$Y126)+1),2))))))</f>
        <v/>
      </c>
      <c r="G126" s="79" t="str">
        <f>IF(OR($A126="",posicao_contratual!$Y126=""),"",IF(posicao_contratual!$Y126&gt;4,"",IF(NOT(ISNUMBER(itens_Remanesc!C126)),"",IF(posicao_contratual!$Y126=4,IF(IFERROR(IF(ISNUMBER(INDEX(aditivos!$O$2:$O$200,MATCH($A126,aditivos!$A$2:$A$200,0))),MIN(INDEX(aditivos!$O$2:$O$200,MATCH($A126,aditivos!$A$2:$A$200,0)),posicao_contratual!$Y126),posicao_contratual!$Y126),posicao_contratual!$Y126)=4,itens_Remanesc!C126,IFERROR(ROUND(itens_Remanesc!C126*INDEX($L$2:$L$6,MIN(4+1,COUNT($L$2:$L$6)))/INDEX($L$2:$L$6,MIN(IFERROR(IF(ISNUMBER(INDEX(aditivos!$O$2:$O$200,MATCH($A126,aditivos!$A$2:$A$200,0))),MIN(INDEX(aditivos!$O$2:$O$200,MATCH($A126,aditivos!$A$2:$A$200,0)),posicao_contratual!$Y126),posicao_contratual!$Y126),posicao_contratual!$Y126)+1,COUNT($L$2:$L$6))),2),"")),IF(OR(NOT(ISNUMBER($L$6)),NOT(ISNUMBER(INDEX($L$2:$L$6,IFERROR(IF(ISNUMBER(INDEX(aditivos!$O$2:$O$200,MATCH($A126,aditivos!$A$2:$A$200,0))),MIN(INDEX(aditivos!$O$2:$O$200,MATCH($A126,aditivos!$A$2:$A$200,0)),posicao_contratual!$Y126),posicao_contratual!$Y126),posicao_contratual!$Y126)+1)))),"",ROUND(itens_Remanesc!C126*$L$6/INDEX($L$2:$L$6,IFERROR(IF(ISNUMBER(INDEX(aditivos!$O$2:$O$200,MATCH($A126,aditivos!$A$2:$A$200,0))),MIN(INDEX(aditivos!$O$2:$O$200,MATCH($A126,aditivos!$A$2:$A$200,0)),posicao_contratual!$Y126),posicao_contratual!$Y126),posicao_contratual!$Y126)+1),2))))))</f>
        <v/>
      </c>
      <c r="H126" s="116" t="str">
        <f t="shared" si="3"/>
        <v/>
      </c>
      <c r="I126" s="13"/>
      <c r="J126" s="13"/>
      <c r="K126" s="13"/>
      <c r="L126" s="13"/>
      <c r="M126" s="13"/>
      <c r="N126" s="147" t="str">
        <f>IF(A126="","",IF(posicao_contratual!$Y126="","",IF(posicao_contratual!$Y126&gt;0,"",posicao_contratual!E126)))</f>
        <v/>
      </c>
      <c r="O126" s="147" t="str">
        <f>IF(A126="","",IF(posicao_contratual!$Y126="","",IF(posicao_contratual!$Y126&gt;1,"",posicao_contratual!I126)))</f>
        <v/>
      </c>
      <c r="P126" s="147" t="str">
        <f>IF(A126="","",IF(posicao_contratual!$Y126="","",IF(posicao_contratual!$Y126&gt;2,"",posicao_contratual!M126)))</f>
        <v/>
      </c>
      <c r="Q126" s="147" t="str">
        <f>IF(A126="","",IF(posicao_contratual!$Y126="","",IF(posicao_contratual!$Y126&gt;3,"",posicao_contratual!Q126)))</f>
        <v/>
      </c>
      <c r="R126" s="147" t="str">
        <f>IF(A126="","",IF(posicao_contratual!$Y126="","",IF(posicao_contratual!$Y126&gt;4,"",posicao_contratual!U126)))</f>
        <v/>
      </c>
      <c r="S126" s="167" t="str">
        <f>IF(A126="","",posicao_contratual!G126)</f>
        <v/>
      </c>
      <c r="T126" s="167" t="str">
        <f>IF(A126="","",posicao_contratual!K126)</f>
        <v/>
      </c>
      <c r="U126" s="167" t="str">
        <f>IF(A126="","",posicao_contratual!O126)</f>
        <v/>
      </c>
      <c r="V126" s="167" t="str">
        <f>IF(A126="","",posicao_contratual!S126)</f>
        <v/>
      </c>
      <c r="W126" s="167" t="str">
        <f>IF(A126="","",posicao_contratual!W126)</f>
        <v/>
      </c>
    </row>
    <row r="127" spans="1:23" x14ac:dyDescent="0.35">
      <c r="A127" s="86" t="str">
        <f>IF(itens_Remanesc!A127="","",itens_Remanesc!A127)</f>
        <v/>
      </c>
      <c r="B127" s="85" t="str">
        <f>IF(A127="","",IF(posicao_contratual!$Y127="","",IF(posicao_contratual!$Y127&gt;0,"",posicao_contratual!G127)))</f>
        <v/>
      </c>
      <c r="C127" s="79" t="str">
        <f>IF(itens_Remanesc!A127="","",IF(posicao_contratual!$Y127="","",IF(posicao_contratual!$Y127&gt;0,"",itens_Remanesc!C127)))</f>
        <v/>
      </c>
      <c r="D127" s="79" t="str">
        <f>IF(OR($A127="",posicao_contratual!$Y127=""),"",IF(posicao_contratual!$Y127&gt;1,"",IF(NOT(ISNUMBER(itens_Remanesc!C127)),"",IF(posicao_contratual!$Y127=1,IF(IFERROR(IF(ISNUMBER(INDEX(aditivos!$O$2:$O$200,MATCH($A127,aditivos!$A$2:$A$200,0))),MIN(INDEX(aditivos!$O$2:$O$200,MATCH($A127,aditivos!$A$2:$A$200,0)),posicao_contratual!$Y127),posicao_contratual!$Y127),posicao_contratual!$Y127)=1,itens_Remanesc!C127,IFERROR(ROUND(itens_Remanesc!C127*INDEX($L$2:$L$6,MIN(1+1,COUNT($L$2:$L$6)))/INDEX($L$2:$L$6,MIN(IFERROR(IF(ISNUMBER(INDEX(aditivos!$O$2:$O$200,MATCH($A127,aditivos!$A$2:$A$200,0))),MIN(INDEX(aditivos!$O$2:$O$200,MATCH($A127,aditivos!$A$2:$A$200,0)),posicao_contratual!$Y127),posicao_contratual!$Y127),posicao_contratual!$Y127)+1,COUNT($L$2:$L$6))),2),"")),IF(OR(NOT(ISNUMBER($L$3)),NOT(ISNUMBER(INDEX($L$2:$L$6,IFERROR(IF(ISNUMBER(INDEX(aditivos!$O$2:$O$200,MATCH($A127,aditivos!$A$2:$A$200,0))),MIN(INDEX(aditivos!$O$2:$O$200,MATCH($A127,aditivos!$A$2:$A$200,0)),posicao_contratual!$Y127),posicao_contratual!$Y127),posicao_contratual!$Y127)+1)))),"",ROUND(itens_Remanesc!C127*$L$3/INDEX($L$2:$L$6,IFERROR(IF(ISNUMBER(INDEX(aditivos!$O$2:$O$200,MATCH($A127,aditivos!$A$2:$A$200,0))),MIN(INDEX(aditivos!$O$2:$O$200,MATCH($A127,aditivos!$A$2:$A$200,0)),posicao_contratual!$Y127),posicao_contratual!$Y127),posicao_contratual!$Y127)+1),2))))))</f>
        <v/>
      </c>
      <c r="E127" s="79" t="str">
        <f>IF(OR($A127="",posicao_contratual!$Y127=""),"",IF(posicao_contratual!$Y127&gt;2,"",IF(NOT(ISNUMBER(itens_Remanesc!C127)),"",IF(posicao_contratual!$Y127=2,IF(IFERROR(IF(ISNUMBER(INDEX(aditivos!$O$2:$O$200,MATCH($A127,aditivos!$A$2:$A$200,0))),MIN(INDEX(aditivos!$O$2:$O$200,MATCH($A127,aditivos!$A$2:$A$200,0)),posicao_contratual!$Y127),posicao_contratual!$Y127),posicao_contratual!$Y127)=2,itens_Remanesc!C127,IFERROR(ROUND(itens_Remanesc!C127*INDEX($L$2:$L$6,MIN(2+1,COUNT($L$2:$L$6)))/INDEX($L$2:$L$6,MIN(IFERROR(IF(ISNUMBER(INDEX(aditivos!$O$2:$O$200,MATCH($A127,aditivos!$A$2:$A$200,0))),MIN(INDEX(aditivos!$O$2:$O$200,MATCH($A127,aditivos!$A$2:$A$200,0)),posicao_contratual!$Y127),posicao_contratual!$Y127),posicao_contratual!$Y127)+1,COUNT($L$2:$L$6))),2),"")),IF(OR(NOT(ISNUMBER($L$4)),NOT(ISNUMBER(INDEX($L$2:$L$6,IFERROR(IF(ISNUMBER(INDEX(aditivos!$O$2:$O$200,MATCH($A127,aditivos!$A$2:$A$200,0))),MIN(INDEX(aditivos!$O$2:$O$200,MATCH($A127,aditivos!$A$2:$A$200,0)),posicao_contratual!$Y127),posicao_contratual!$Y127),posicao_contratual!$Y127)+1)))),"",ROUND(itens_Remanesc!C127*$L$4/INDEX($L$2:$L$6,IFERROR(IF(ISNUMBER(INDEX(aditivos!$O$2:$O$200,MATCH($A127,aditivos!$A$2:$A$200,0))),MIN(INDEX(aditivos!$O$2:$O$200,MATCH($A127,aditivos!$A$2:$A$200,0)),posicao_contratual!$Y127),posicao_contratual!$Y127),posicao_contratual!$Y127)+1),2))))))</f>
        <v/>
      </c>
      <c r="F127" s="79" t="str">
        <f>IF(OR($A127="",posicao_contratual!$Y127=""),"",IF(posicao_contratual!$Y127&gt;3,"",IF(NOT(ISNUMBER(itens_Remanesc!C127)),"",IF(posicao_contratual!$Y127=3,IF(IFERROR(IF(ISNUMBER(INDEX(aditivos!$O$2:$O$200,MATCH($A127,aditivos!$A$2:$A$200,0))),MIN(INDEX(aditivos!$O$2:$O$200,MATCH($A127,aditivos!$A$2:$A$200,0)),posicao_contratual!$Y127),posicao_contratual!$Y127),posicao_contratual!$Y127)=3,itens_Remanesc!C127,IFERROR(ROUND(itens_Remanesc!C127*INDEX($L$2:$L$6,MIN(3+1,COUNT($L$2:$L$6)))/INDEX($L$2:$L$6,MIN(IFERROR(IF(ISNUMBER(INDEX(aditivos!$O$2:$O$200,MATCH($A127,aditivos!$A$2:$A$200,0))),MIN(INDEX(aditivos!$O$2:$O$200,MATCH($A127,aditivos!$A$2:$A$200,0)),posicao_contratual!$Y127),posicao_contratual!$Y127),posicao_contratual!$Y127)+1,COUNT($L$2:$L$6))),2),"")),IF(OR(NOT(ISNUMBER($L$5)),NOT(ISNUMBER(INDEX($L$2:$L$6,IFERROR(IF(ISNUMBER(INDEX(aditivos!$O$2:$O$200,MATCH($A127,aditivos!$A$2:$A$200,0))),MIN(INDEX(aditivos!$O$2:$O$200,MATCH($A127,aditivos!$A$2:$A$200,0)),posicao_contratual!$Y127),posicao_contratual!$Y127),posicao_contratual!$Y127)+1)))),"",ROUND(itens_Remanesc!C127*$L$5/INDEX($L$2:$L$6,IFERROR(IF(ISNUMBER(INDEX(aditivos!$O$2:$O$200,MATCH($A127,aditivos!$A$2:$A$200,0))),MIN(INDEX(aditivos!$O$2:$O$200,MATCH($A127,aditivos!$A$2:$A$200,0)),posicao_contratual!$Y127),posicao_contratual!$Y127),posicao_contratual!$Y127)+1),2))))))</f>
        <v/>
      </c>
      <c r="G127" s="79" t="str">
        <f>IF(OR($A127="",posicao_contratual!$Y127=""),"",IF(posicao_contratual!$Y127&gt;4,"",IF(NOT(ISNUMBER(itens_Remanesc!C127)),"",IF(posicao_contratual!$Y127=4,IF(IFERROR(IF(ISNUMBER(INDEX(aditivos!$O$2:$O$200,MATCH($A127,aditivos!$A$2:$A$200,0))),MIN(INDEX(aditivos!$O$2:$O$200,MATCH($A127,aditivos!$A$2:$A$200,0)),posicao_contratual!$Y127),posicao_contratual!$Y127),posicao_contratual!$Y127)=4,itens_Remanesc!C127,IFERROR(ROUND(itens_Remanesc!C127*INDEX($L$2:$L$6,MIN(4+1,COUNT($L$2:$L$6)))/INDEX($L$2:$L$6,MIN(IFERROR(IF(ISNUMBER(INDEX(aditivos!$O$2:$O$200,MATCH($A127,aditivos!$A$2:$A$200,0))),MIN(INDEX(aditivos!$O$2:$O$200,MATCH($A127,aditivos!$A$2:$A$200,0)),posicao_contratual!$Y127),posicao_contratual!$Y127),posicao_contratual!$Y127)+1,COUNT($L$2:$L$6))),2),"")),IF(OR(NOT(ISNUMBER($L$6)),NOT(ISNUMBER(INDEX($L$2:$L$6,IFERROR(IF(ISNUMBER(INDEX(aditivos!$O$2:$O$200,MATCH($A127,aditivos!$A$2:$A$200,0))),MIN(INDEX(aditivos!$O$2:$O$200,MATCH($A127,aditivos!$A$2:$A$200,0)),posicao_contratual!$Y127),posicao_contratual!$Y127),posicao_contratual!$Y127)+1)))),"",ROUND(itens_Remanesc!C127*$L$6/INDEX($L$2:$L$6,IFERROR(IF(ISNUMBER(INDEX(aditivos!$O$2:$O$200,MATCH($A127,aditivos!$A$2:$A$200,0))),MIN(INDEX(aditivos!$O$2:$O$200,MATCH($A127,aditivos!$A$2:$A$200,0)),posicao_contratual!$Y127),posicao_contratual!$Y127),posicao_contratual!$Y127)+1),2))))))</f>
        <v/>
      </c>
      <c r="H127" s="116" t="str">
        <f t="shared" si="3"/>
        <v/>
      </c>
      <c r="I127" s="13"/>
      <c r="J127" s="13"/>
      <c r="K127" s="13"/>
      <c r="L127" s="13"/>
      <c r="M127" s="13"/>
      <c r="N127" s="147" t="str">
        <f>IF(A127="","",IF(posicao_contratual!$Y127="","",IF(posicao_contratual!$Y127&gt;0,"",posicao_contratual!E127)))</f>
        <v/>
      </c>
      <c r="O127" s="147" t="str">
        <f>IF(A127="","",IF(posicao_contratual!$Y127="","",IF(posicao_contratual!$Y127&gt;1,"",posicao_contratual!I127)))</f>
        <v/>
      </c>
      <c r="P127" s="147" t="str">
        <f>IF(A127="","",IF(posicao_contratual!$Y127="","",IF(posicao_contratual!$Y127&gt;2,"",posicao_contratual!M127)))</f>
        <v/>
      </c>
      <c r="Q127" s="147" t="str">
        <f>IF(A127="","",IF(posicao_contratual!$Y127="","",IF(posicao_contratual!$Y127&gt;3,"",posicao_contratual!Q127)))</f>
        <v/>
      </c>
      <c r="R127" s="147" t="str">
        <f>IF(A127="","",IF(posicao_contratual!$Y127="","",IF(posicao_contratual!$Y127&gt;4,"",posicao_contratual!U127)))</f>
        <v/>
      </c>
      <c r="S127" s="167" t="str">
        <f>IF(A127="","",posicao_contratual!G127)</f>
        <v/>
      </c>
      <c r="T127" s="167" t="str">
        <f>IF(A127="","",posicao_contratual!K127)</f>
        <v/>
      </c>
      <c r="U127" s="167" t="str">
        <f>IF(A127="","",posicao_contratual!O127)</f>
        <v/>
      </c>
      <c r="V127" s="167" t="str">
        <f>IF(A127="","",posicao_contratual!S127)</f>
        <v/>
      </c>
      <c r="W127" s="167" t="str">
        <f>IF(A127="","",posicao_contratual!W127)</f>
        <v/>
      </c>
    </row>
    <row r="128" spans="1:23" x14ac:dyDescent="0.35">
      <c r="A128" s="86" t="str">
        <f>IF(itens_Remanesc!A128="","",itens_Remanesc!A128)</f>
        <v/>
      </c>
      <c r="B128" s="85" t="str">
        <f>IF(A128="","",IF(posicao_contratual!$Y128="","",IF(posicao_contratual!$Y128&gt;0,"",posicao_contratual!G128)))</f>
        <v/>
      </c>
      <c r="C128" s="79" t="str">
        <f>IF(itens_Remanesc!A128="","",IF(posicao_contratual!$Y128="","",IF(posicao_contratual!$Y128&gt;0,"",itens_Remanesc!C128)))</f>
        <v/>
      </c>
      <c r="D128" s="79" t="str">
        <f>IF(OR($A128="",posicao_contratual!$Y128=""),"",IF(posicao_contratual!$Y128&gt;1,"",IF(NOT(ISNUMBER(itens_Remanesc!C128)),"",IF(posicao_contratual!$Y128=1,IF(IFERROR(IF(ISNUMBER(INDEX(aditivos!$O$2:$O$200,MATCH($A128,aditivos!$A$2:$A$200,0))),MIN(INDEX(aditivos!$O$2:$O$200,MATCH($A128,aditivos!$A$2:$A$200,0)),posicao_contratual!$Y128),posicao_contratual!$Y128),posicao_contratual!$Y128)=1,itens_Remanesc!C128,IFERROR(ROUND(itens_Remanesc!C128*INDEX($L$2:$L$6,MIN(1+1,COUNT($L$2:$L$6)))/INDEX($L$2:$L$6,MIN(IFERROR(IF(ISNUMBER(INDEX(aditivos!$O$2:$O$200,MATCH($A128,aditivos!$A$2:$A$200,0))),MIN(INDEX(aditivos!$O$2:$O$200,MATCH($A128,aditivos!$A$2:$A$200,0)),posicao_contratual!$Y128),posicao_contratual!$Y128),posicao_contratual!$Y128)+1,COUNT($L$2:$L$6))),2),"")),IF(OR(NOT(ISNUMBER($L$3)),NOT(ISNUMBER(INDEX($L$2:$L$6,IFERROR(IF(ISNUMBER(INDEX(aditivos!$O$2:$O$200,MATCH($A128,aditivos!$A$2:$A$200,0))),MIN(INDEX(aditivos!$O$2:$O$200,MATCH($A128,aditivos!$A$2:$A$200,0)),posicao_contratual!$Y128),posicao_contratual!$Y128),posicao_contratual!$Y128)+1)))),"",ROUND(itens_Remanesc!C128*$L$3/INDEX($L$2:$L$6,IFERROR(IF(ISNUMBER(INDEX(aditivos!$O$2:$O$200,MATCH($A128,aditivos!$A$2:$A$200,0))),MIN(INDEX(aditivos!$O$2:$O$200,MATCH($A128,aditivos!$A$2:$A$200,0)),posicao_contratual!$Y128),posicao_contratual!$Y128),posicao_contratual!$Y128)+1),2))))))</f>
        <v/>
      </c>
      <c r="E128" s="79" t="str">
        <f>IF(OR($A128="",posicao_contratual!$Y128=""),"",IF(posicao_contratual!$Y128&gt;2,"",IF(NOT(ISNUMBER(itens_Remanesc!C128)),"",IF(posicao_contratual!$Y128=2,IF(IFERROR(IF(ISNUMBER(INDEX(aditivos!$O$2:$O$200,MATCH($A128,aditivos!$A$2:$A$200,0))),MIN(INDEX(aditivos!$O$2:$O$200,MATCH($A128,aditivos!$A$2:$A$200,0)),posicao_contratual!$Y128),posicao_contratual!$Y128),posicao_contratual!$Y128)=2,itens_Remanesc!C128,IFERROR(ROUND(itens_Remanesc!C128*INDEX($L$2:$L$6,MIN(2+1,COUNT($L$2:$L$6)))/INDEX($L$2:$L$6,MIN(IFERROR(IF(ISNUMBER(INDEX(aditivos!$O$2:$O$200,MATCH($A128,aditivos!$A$2:$A$200,0))),MIN(INDEX(aditivos!$O$2:$O$200,MATCH($A128,aditivos!$A$2:$A$200,0)),posicao_contratual!$Y128),posicao_contratual!$Y128),posicao_contratual!$Y128)+1,COUNT($L$2:$L$6))),2),"")),IF(OR(NOT(ISNUMBER($L$4)),NOT(ISNUMBER(INDEX($L$2:$L$6,IFERROR(IF(ISNUMBER(INDEX(aditivos!$O$2:$O$200,MATCH($A128,aditivos!$A$2:$A$200,0))),MIN(INDEX(aditivos!$O$2:$O$200,MATCH($A128,aditivos!$A$2:$A$200,0)),posicao_contratual!$Y128),posicao_contratual!$Y128),posicao_contratual!$Y128)+1)))),"",ROUND(itens_Remanesc!C128*$L$4/INDEX($L$2:$L$6,IFERROR(IF(ISNUMBER(INDEX(aditivos!$O$2:$O$200,MATCH($A128,aditivos!$A$2:$A$200,0))),MIN(INDEX(aditivos!$O$2:$O$200,MATCH($A128,aditivos!$A$2:$A$200,0)),posicao_contratual!$Y128),posicao_contratual!$Y128),posicao_contratual!$Y128)+1),2))))))</f>
        <v/>
      </c>
      <c r="F128" s="79" t="str">
        <f>IF(OR($A128="",posicao_contratual!$Y128=""),"",IF(posicao_contratual!$Y128&gt;3,"",IF(NOT(ISNUMBER(itens_Remanesc!C128)),"",IF(posicao_contratual!$Y128=3,IF(IFERROR(IF(ISNUMBER(INDEX(aditivos!$O$2:$O$200,MATCH($A128,aditivos!$A$2:$A$200,0))),MIN(INDEX(aditivos!$O$2:$O$200,MATCH($A128,aditivos!$A$2:$A$200,0)),posicao_contratual!$Y128),posicao_contratual!$Y128),posicao_contratual!$Y128)=3,itens_Remanesc!C128,IFERROR(ROUND(itens_Remanesc!C128*INDEX($L$2:$L$6,MIN(3+1,COUNT($L$2:$L$6)))/INDEX($L$2:$L$6,MIN(IFERROR(IF(ISNUMBER(INDEX(aditivos!$O$2:$O$200,MATCH($A128,aditivos!$A$2:$A$200,0))),MIN(INDEX(aditivos!$O$2:$O$200,MATCH($A128,aditivos!$A$2:$A$200,0)),posicao_contratual!$Y128),posicao_contratual!$Y128),posicao_contratual!$Y128)+1,COUNT($L$2:$L$6))),2),"")),IF(OR(NOT(ISNUMBER($L$5)),NOT(ISNUMBER(INDEX($L$2:$L$6,IFERROR(IF(ISNUMBER(INDEX(aditivos!$O$2:$O$200,MATCH($A128,aditivos!$A$2:$A$200,0))),MIN(INDEX(aditivos!$O$2:$O$200,MATCH($A128,aditivos!$A$2:$A$200,0)),posicao_contratual!$Y128),posicao_contratual!$Y128),posicao_contratual!$Y128)+1)))),"",ROUND(itens_Remanesc!C128*$L$5/INDEX($L$2:$L$6,IFERROR(IF(ISNUMBER(INDEX(aditivos!$O$2:$O$200,MATCH($A128,aditivos!$A$2:$A$200,0))),MIN(INDEX(aditivos!$O$2:$O$200,MATCH($A128,aditivos!$A$2:$A$200,0)),posicao_contratual!$Y128),posicao_contratual!$Y128),posicao_contratual!$Y128)+1),2))))))</f>
        <v/>
      </c>
      <c r="G128" s="79" t="str">
        <f>IF(OR($A128="",posicao_contratual!$Y128=""),"",IF(posicao_contratual!$Y128&gt;4,"",IF(NOT(ISNUMBER(itens_Remanesc!C128)),"",IF(posicao_contratual!$Y128=4,IF(IFERROR(IF(ISNUMBER(INDEX(aditivos!$O$2:$O$200,MATCH($A128,aditivos!$A$2:$A$200,0))),MIN(INDEX(aditivos!$O$2:$O$200,MATCH($A128,aditivos!$A$2:$A$200,0)),posicao_contratual!$Y128),posicao_contratual!$Y128),posicao_contratual!$Y128)=4,itens_Remanesc!C128,IFERROR(ROUND(itens_Remanesc!C128*INDEX($L$2:$L$6,MIN(4+1,COUNT($L$2:$L$6)))/INDEX($L$2:$L$6,MIN(IFERROR(IF(ISNUMBER(INDEX(aditivos!$O$2:$O$200,MATCH($A128,aditivos!$A$2:$A$200,0))),MIN(INDEX(aditivos!$O$2:$O$200,MATCH($A128,aditivos!$A$2:$A$200,0)),posicao_contratual!$Y128),posicao_contratual!$Y128),posicao_contratual!$Y128)+1,COUNT($L$2:$L$6))),2),"")),IF(OR(NOT(ISNUMBER($L$6)),NOT(ISNUMBER(INDEX($L$2:$L$6,IFERROR(IF(ISNUMBER(INDEX(aditivos!$O$2:$O$200,MATCH($A128,aditivos!$A$2:$A$200,0))),MIN(INDEX(aditivos!$O$2:$O$200,MATCH($A128,aditivos!$A$2:$A$200,0)),posicao_contratual!$Y128),posicao_contratual!$Y128),posicao_contratual!$Y128)+1)))),"",ROUND(itens_Remanesc!C128*$L$6/INDEX($L$2:$L$6,IFERROR(IF(ISNUMBER(INDEX(aditivos!$O$2:$O$200,MATCH($A128,aditivos!$A$2:$A$200,0))),MIN(INDEX(aditivos!$O$2:$O$200,MATCH($A128,aditivos!$A$2:$A$200,0)),posicao_contratual!$Y128),posicao_contratual!$Y128),posicao_contratual!$Y128)+1),2))))))</f>
        <v/>
      </c>
      <c r="H128" s="116" t="str">
        <f t="shared" si="3"/>
        <v/>
      </c>
      <c r="I128" s="13"/>
      <c r="J128" s="13"/>
      <c r="K128" s="13"/>
      <c r="L128" s="13"/>
      <c r="M128" s="13"/>
      <c r="N128" s="147" t="str">
        <f>IF(A128="","",IF(posicao_contratual!$Y128="","",IF(posicao_contratual!$Y128&gt;0,"",posicao_contratual!E128)))</f>
        <v/>
      </c>
      <c r="O128" s="147" t="str">
        <f>IF(A128="","",IF(posicao_contratual!$Y128="","",IF(posicao_contratual!$Y128&gt;1,"",posicao_contratual!I128)))</f>
        <v/>
      </c>
      <c r="P128" s="147" t="str">
        <f>IF(A128="","",IF(posicao_contratual!$Y128="","",IF(posicao_contratual!$Y128&gt;2,"",posicao_contratual!M128)))</f>
        <v/>
      </c>
      <c r="Q128" s="147" t="str">
        <f>IF(A128="","",IF(posicao_contratual!$Y128="","",IF(posicao_contratual!$Y128&gt;3,"",posicao_contratual!Q128)))</f>
        <v/>
      </c>
      <c r="R128" s="147" t="str">
        <f>IF(A128="","",IF(posicao_contratual!$Y128="","",IF(posicao_contratual!$Y128&gt;4,"",posicao_contratual!U128)))</f>
        <v/>
      </c>
      <c r="S128" s="167" t="str">
        <f>IF(A128="","",posicao_contratual!G128)</f>
        <v/>
      </c>
      <c r="T128" s="167" t="str">
        <f>IF(A128="","",posicao_contratual!K128)</f>
        <v/>
      </c>
      <c r="U128" s="167" t="str">
        <f>IF(A128="","",posicao_contratual!O128)</f>
        <v/>
      </c>
      <c r="V128" s="167" t="str">
        <f>IF(A128="","",posicao_contratual!S128)</f>
        <v/>
      </c>
      <c r="W128" s="167" t="str">
        <f>IF(A128="","",posicao_contratual!W128)</f>
        <v/>
      </c>
    </row>
    <row r="129" spans="1:23" x14ac:dyDescent="0.35">
      <c r="A129" s="86" t="str">
        <f>IF(itens_Remanesc!A129="","",itens_Remanesc!A129)</f>
        <v/>
      </c>
      <c r="B129" s="85" t="str">
        <f>IF(A129="","",IF(posicao_contratual!$Y129="","",IF(posicao_contratual!$Y129&gt;0,"",posicao_contratual!G129)))</f>
        <v/>
      </c>
      <c r="C129" s="79" t="str">
        <f>IF(itens_Remanesc!A129="","",IF(posicao_contratual!$Y129="","",IF(posicao_contratual!$Y129&gt;0,"",itens_Remanesc!C129)))</f>
        <v/>
      </c>
      <c r="D129" s="79" t="str">
        <f>IF(OR($A129="",posicao_contratual!$Y129=""),"",IF(posicao_contratual!$Y129&gt;1,"",IF(NOT(ISNUMBER(itens_Remanesc!C129)),"",IF(posicao_contratual!$Y129=1,IF(IFERROR(IF(ISNUMBER(INDEX(aditivos!$O$2:$O$200,MATCH($A129,aditivos!$A$2:$A$200,0))),MIN(INDEX(aditivos!$O$2:$O$200,MATCH($A129,aditivos!$A$2:$A$200,0)),posicao_contratual!$Y129),posicao_contratual!$Y129),posicao_contratual!$Y129)=1,itens_Remanesc!C129,IFERROR(ROUND(itens_Remanesc!C129*INDEX($L$2:$L$6,MIN(1+1,COUNT($L$2:$L$6)))/INDEX($L$2:$L$6,MIN(IFERROR(IF(ISNUMBER(INDEX(aditivos!$O$2:$O$200,MATCH($A129,aditivos!$A$2:$A$200,0))),MIN(INDEX(aditivos!$O$2:$O$200,MATCH($A129,aditivos!$A$2:$A$200,0)),posicao_contratual!$Y129),posicao_contratual!$Y129),posicao_contratual!$Y129)+1,COUNT($L$2:$L$6))),2),"")),IF(OR(NOT(ISNUMBER($L$3)),NOT(ISNUMBER(INDEX($L$2:$L$6,IFERROR(IF(ISNUMBER(INDEX(aditivos!$O$2:$O$200,MATCH($A129,aditivos!$A$2:$A$200,0))),MIN(INDEX(aditivos!$O$2:$O$200,MATCH($A129,aditivos!$A$2:$A$200,0)),posicao_contratual!$Y129),posicao_contratual!$Y129),posicao_contratual!$Y129)+1)))),"",ROUND(itens_Remanesc!C129*$L$3/INDEX($L$2:$L$6,IFERROR(IF(ISNUMBER(INDEX(aditivos!$O$2:$O$200,MATCH($A129,aditivos!$A$2:$A$200,0))),MIN(INDEX(aditivos!$O$2:$O$200,MATCH($A129,aditivos!$A$2:$A$200,0)),posicao_contratual!$Y129),posicao_contratual!$Y129),posicao_contratual!$Y129)+1),2))))))</f>
        <v/>
      </c>
      <c r="E129" s="79" t="str">
        <f>IF(OR($A129="",posicao_contratual!$Y129=""),"",IF(posicao_contratual!$Y129&gt;2,"",IF(NOT(ISNUMBER(itens_Remanesc!C129)),"",IF(posicao_contratual!$Y129=2,IF(IFERROR(IF(ISNUMBER(INDEX(aditivos!$O$2:$O$200,MATCH($A129,aditivos!$A$2:$A$200,0))),MIN(INDEX(aditivos!$O$2:$O$200,MATCH($A129,aditivos!$A$2:$A$200,0)),posicao_contratual!$Y129),posicao_contratual!$Y129),posicao_contratual!$Y129)=2,itens_Remanesc!C129,IFERROR(ROUND(itens_Remanesc!C129*INDEX($L$2:$L$6,MIN(2+1,COUNT($L$2:$L$6)))/INDEX($L$2:$L$6,MIN(IFERROR(IF(ISNUMBER(INDEX(aditivos!$O$2:$O$200,MATCH($A129,aditivos!$A$2:$A$200,0))),MIN(INDEX(aditivos!$O$2:$O$200,MATCH($A129,aditivos!$A$2:$A$200,0)),posicao_contratual!$Y129),posicao_contratual!$Y129),posicao_contratual!$Y129)+1,COUNT($L$2:$L$6))),2),"")),IF(OR(NOT(ISNUMBER($L$4)),NOT(ISNUMBER(INDEX($L$2:$L$6,IFERROR(IF(ISNUMBER(INDEX(aditivos!$O$2:$O$200,MATCH($A129,aditivos!$A$2:$A$200,0))),MIN(INDEX(aditivos!$O$2:$O$200,MATCH($A129,aditivos!$A$2:$A$200,0)),posicao_contratual!$Y129),posicao_contratual!$Y129),posicao_contratual!$Y129)+1)))),"",ROUND(itens_Remanesc!C129*$L$4/INDEX($L$2:$L$6,IFERROR(IF(ISNUMBER(INDEX(aditivos!$O$2:$O$200,MATCH($A129,aditivos!$A$2:$A$200,0))),MIN(INDEX(aditivos!$O$2:$O$200,MATCH($A129,aditivos!$A$2:$A$200,0)),posicao_contratual!$Y129),posicao_contratual!$Y129),posicao_contratual!$Y129)+1),2))))))</f>
        <v/>
      </c>
      <c r="F129" s="79" t="str">
        <f>IF(OR($A129="",posicao_contratual!$Y129=""),"",IF(posicao_contratual!$Y129&gt;3,"",IF(NOT(ISNUMBER(itens_Remanesc!C129)),"",IF(posicao_contratual!$Y129=3,IF(IFERROR(IF(ISNUMBER(INDEX(aditivos!$O$2:$O$200,MATCH($A129,aditivos!$A$2:$A$200,0))),MIN(INDEX(aditivos!$O$2:$O$200,MATCH($A129,aditivos!$A$2:$A$200,0)),posicao_contratual!$Y129),posicao_contratual!$Y129),posicao_contratual!$Y129)=3,itens_Remanesc!C129,IFERROR(ROUND(itens_Remanesc!C129*INDEX($L$2:$L$6,MIN(3+1,COUNT($L$2:$L$6)))/INDEX($L$2:$L$6,MIN(IFERROR(IF(ISNUMBER(INDEX(aditivos!$O$2:$O$200,MATCH($A129,aditivos!$A$2:$A$200,0))),MIN(INDEX(aditivos!$O$2:$O$200,MATCH($A129,aditivos!$A$2:$A$200,0)),posicao_contratual!$Y129),posicao_contratual!$Y129),posicao_contratual!$Y129)+1,COUNT($L$2:$L$6))),2),"")),IF(OR(NOT(ISNUMBER($L$5)),NOT(ISNUMBER(INDEX($L$2:$L$6,IFERROR(IF(ISNUMBER(INDEX(aditivos!$O$2:$O$200,MATCH($A129,aditivos!$A$2:$A$200,0))),MIN(INDEX(aditivos!$O$2:$O$200,MATCH($A129,aditivos!$A$2:$A$200,0)),posicao_contratual!$Y129),posicao_contratual!$Y129),posicao_contratual!$Y129)+1)))),"",ROUND(itens_Remanesc!C129*$L$5/INDEX($L$2:$L$6,IFERROR(IF(ISNUMBER(INDEX(aditivos!$O$2:$O$200,MATCH($A129,aditivos!$A$2:$A$200,0))),MIN(INDEX(aditivos!$O$2:$O$200,MATCH($A129,aditivos!$A$2:$A$200,0)),posicao_contratual!$Y129),posicao_contratual!$Y129),posicao_contratual!$Y129)+1),2))))))</f>
        <v/>
      </c>
      <c r="G129" s="79" t="str">
        <f>IF(OR($A129="",posicao_contratual!$Y129=""),"",IF(posicao_contratual!$Y129&gt;4,"",IF(NOT(ISNUMBER(itens_Remanesc!C129)),"",IF(posicao_contratual!$Y129=4,IF(IFERROR(IF(ISNUMBER(INDEX(aditivos!$O$2:$O$200,MATCH($A129,aditivos!$A$2:$A$200,0))),MIN(INDEX(aditivos!$O$2:$O$200,MATCH($A129,aditivos!$A$2:$A$200,0)),posicao_contratual!$Y129),posicao_contratual!$Y129),posicao_contratual!$Y129)=4,itens_Remanesc!C129,IFERROR(ROUND(itens_Remanesc!C129*INDEX($L$2:$L$6,MIN(4+1,COUNT($L$2:$L$6)))/INDEX($L$2:$L$6,MIN(IFERROR(IF(ISNUMBER(INDEX(aditivos!$O$2:$O$200,MATCH($A129,aditivos!$A$2:$A$200,0))),MIN(INDEX(aditivos!$O$2:$O$200,MATCH($A129,aditivos!$A$2:$A$200,0)),posicao_contratual!$Y129),posicao_contratual!$Y129),posicao_contratual!$Y129)+1,COUNT($L$2:$L$6))),2),"")),IF(OR(NOT(ISNUMBER($L$6)),NOT(ISNUMBER(INDEX($L$2:$L$6,IFERROR(IF(ISNUMBER(INDEX(aditivos!$O$2:$O$200,MATCH($A129,aditivos!$A$2:$A$200,0))),MIN(INDEX(aditivos!$O$2:$O$200,MATCH($A129,aditivos!$A$2:$A$200,0)),posicao_contratual!$Y129),posicao_contratual!$Y129),posicao_contratual!$Y129)+1)))),"",ROUND(itens_Remanesc!C129*$L$6/INDEX($L$2:$L$6,IFERROR(IF(ISNUMBER(INDEX(aditivos!$O$2:$O$200,MATCH($A129,aditivos!$A$2:$A$200,0))),MIN(INDEX(aditivos!$O$2:$O$200,MATCH($A129,aditivos!$A$2:$A$200,0)),posicao_contratual!$Y129),posicao_contratual!$Y129),posicao_contratual!$Y129)+1),2))))))</f>
        <v/>
      </c>
      <c r="H129" s="116" t="str">
        <f t="shared" si="3"/>
        <v/>
      </c>
      <c r="I129" s="13"/>
      <c r="J129" s="13"/>
      <c r="K129" s="13"/>
      <c r="L129" s="13"/>
      <c r="M129" s="13"/>
      <c r="N129" s="147" t="str">
        <f>IF(A129="","",IF(posicao_contratual!$Y129="","",IF(posicao_contratual!$Y129&gt;0,"",posicao_contratual!E129)))</f>
        <v/>
      </c>
      <c r="O129" s="147" t="str">
        <f>IF(A129="","",IF(posicao_contratual!$Y129="","",IF(posicao_contratual!$Y129&gt;1,"",posicao_contratual!I129)))</f>
        <v/>
      </c>
      <c r="P129" s="147" t="str">
        <f>IF(A129="","",IF(posicao_contratual!$Y129="","",IF(posicao_contratual!$Y129&gt;2,"",posicao_contratual!M129)))</f>
        <v/>
      </c>
      <c r="Q129" s="147" t="str">
        <f>IF(A129="","",IF(posicao_contratual!$Y129="","",IF(posicao_contratual!$Y129&gt;3,"",posicao_contratual!Q129)))</f>
        <v/>
      </c>
      <c r="R129" s="147" t="str">
        <f>IF(A129="","",IF(posicao_contratual!$Y129="","",IF(posicao_contratual!$Y129&gt;4,"",posicao_contratual!U129)))</f>
        <v/>
      </c>
      <c r="S129" s="167" t="str">
        <f>IF(A129="","",posicao_contratual!G129)</f>
        <v/>
      </c>
      <c r="T129" s="167" t="str">
        <f>IF(A129="","",posicao_contratual!K129)</f>
        <v/>
      </c>
      <c r="U129" s="167" t="str">
        <f>IF(A129="","",posicao_contratual!O129)</f>
        <v/>
      </c>
      <c r="V129" s="167" t="str">
        <f>IF(A129="","",posicao_contratual!S129)</f>
        <v/>
      </c>
      <c r="W129" s="167" t="str">
        <f>IF(A129="","",posicao_contratual!W129)</f>
        <v/>
      </c>
    </row>
    <row r="130" spans="1:23" x14ac:dyDescent="0.35">
      <c r="A130" s="86" t="str">
        <f>IF(itens_Remanesc!A130="","",itens_Remanesc!A130)</f>
        <v/>
      </c>
      <c r="B130" s="85" t="str">
        <f>IF(A130="","",IF(posicao_contratual!$Y130="","",IF(posicao_contratual!$Y130&gt;0,"",posicao_contratual!G130)))</f>
        <v/>
      </c>
      <c r="C130" s="79" t="str">
        <f>IF(itens_Remanesc!A130="","",IF(posicao_contratual!$Y130="","",IF(posicao_contratual!$Y130&gt;0,"",itens_Remanesc!C130)))</f>
        <v/>
      </c>
      <c r="D130" s="79" t="str">
        <f>IF(OR($A130="",posicao_contratual!$Y130=""),"",IF(posicao_contratual!$Y130&gt;1,"",IF(NOT(ISNUMBER(itens_Remanesc!C130)),"",IF(posicao_contratual!$Y130=1,IF(IFERROR(IF(ISNUMBER(INDEX(aditivos!$O$2:$O$200,MATCH($A130,aditivos!$A$2:$A$200,0))),MIN(INDEX(aditivos!$O$2:$O$200,MATCH($A130,aditivos!$A$2:$A$200,0)),posicao_contratual!$Y130),posicao_contratual!$Y130),posicao_contratual!$Y130)=1,itens_Remanesc!C130,IFERROR(ROUND(itens_Remanesc!C130*INDEX($L$2:$L$6,MIN(1+1,COUNT($L$2:$L$6)))/INDEX($L$2:$L$6,MIN(IFERROR(IF(ISNUMBER(INDEX(aditivos!$O$2:$O$200,MATCH($A130,aditivos!$A$2:$A$200,0))),MIN(INDEX(aditivos!$O$2:$O$200,MATCH($A130,aditivos!$A$2:$A$200,0)),posicao_contratual!$Y130),posicao_contratual!$Y130),posicao_contratual!$Y130)+1,COUNT($L$2:$L$6))),2),"")),IF(OR(NOT(ISNUMBER($L$3)),NOT(ISNUMBER(INDEX($L$2:$L$6,IFERROR(IF(ISNUMBER(INDEX(aditivos!$O$2:$O$200,MATCH($A130,aditivos!$A$2:$A$200,0))),MIN(INDEX(aditivos!$O$2:$O$200,MATCH($A130,aditivos!$A$2:$A$200,0)),posicao_contratual!$Y130),posicao_contratual!$Y130),posicao_contratual!$Y130)+1)))),"",ROUND(itens_Remanesc!C130*$L$3/INDEX($L$2:$L$6,IFERROR(IF(ISNUMBER(INDEX(aditivos!$O$2:$O$200,MATCH($A130,aditivos!$A$2:$A$200,0))),MIN(INDEX(aditivos!$O$2:$O$200,MATCH($A130,aditivos!$A$2:$A$200,0)),posicao_contratual!$Y130),posicao_contratual!$Y130),posicao_contratual!$Y130)+1),2))))))</f>
        <v/>
      </c>
      <c r="E130" s="79" t="str">
        <f>IF(OR($A130="",posicao_contratual!$Y130=""),"",IF(posicao_contratual!$Y130&gt;2,"",IF(NOT(ISNUMBER(itens_Remanesc!C130)),"",IF(posicao_contratual!$Y130=2,IF(IFERROR(IF(ISNUMBER(INDEX(aditivos!$O$2:$O$200,MATCH($A130,aditivos!$A$2:$A$200,0))),MIN(INDEX(aditivos!$O$2:$O$200,MATCH($A130,aditivos!$A$2:$A$200,0)),posicao_contratual!$Y130),posicao_contratual!$Y130),posicao_contratual!$Y130)=2,itens_Remanesc!C130,IFERROR(ROUND(itens_Remanesc!C130*INDEX($L$2:$L$6,MIN(2+1,COUNT($L$2:$L$6)))/INDEX($L$2:$L$6,MIN(IFERROR(IF(ISNUMBER(INDEX(aditivos!$O$2:$O$200,MATCH($A130,aditivos!$A$2:$A$200,0))),MIN(INDEX(aditivos!$O$2:$O$200,MATCH($A130,aditivos!$A$2:$A$200,0)),posicao_contratual!$Y130),posicao_contratual!$Y130),posicao_contratual!$Y130)+1,COUNT($L$2:$L$6))),2),"")),IF(OR(NOT(ISNUMBER($L$4)),NOT(ISNUMBER(INDEX($L$2:$L$6,IFERROR(IF(ISNUMBER(INDEX(aditivos!$O$2:$O$200,MATCH($A130,aditivos!$A$2:$A$200,0))),MIN(INDEX(aditivos!$O$2:$O$200,MATCH($A130,aditivos!$A$2:$A$200,0)),posicao_contratual!$Y130),posicao_contratual!$Y130),posicao_contratual!$Y130)+1)))),"",ROUND(itens_Remanesc!C130*$L$4/INDEX($L$2:$L$6,IFERROR(IF(ISNUMBER(INDEX(aditivos!$O$2:$O$200,MATCH($A130,aditivos!$A$2:$A$200,0))),MIN(INDEX(aditivos!$O$2:$O$200,MATCH($A130,aditivos!$A$2:$A$200,0)),posicao_contratual!$Y130),posicao_contratual!$Y130),posicao_contratual!$Y130)+1),2))))))</f>
        <v/>
      </c>
      <c r="F130" s="79" t="str">
        <f>IF(OR($A130="",posicao_contratual!$Y130=""),"",IF(posicao_contratual!$Y130&gt;3,"",IF(NOT(ISNUMBER(itens_Remanesc!C130)),"",IF(posicao_contratual!$Y130=3,IF(IFERROR(IF(ISNUMBER(INDEX(aditivos!$O$2:$O$200,MATCH($A130,aditivos!$A$2:$A$200,0))),MIN(INDEX(aditivos!$O$2:$O$200,MATCH($A130,aditivos!$A$2:$A$200,0)),posicao_contratual!$Y130),posicao_contratual!$Y130),posicao_contratual!$Y130)=3,itens_Remanesc!C130,IFERROR(ROUND(itens_Remanesc!C130*INDEX($L$2:$L$6,MIN(3+1,COUNT($L$2:$L$6)))/INDEX($L$2:$L$6,MIN(IFERROR(IF(ISNUMBER(INDEX(aditivos!$O$2:$O$200,MATCH($A130,aditivos!$A$2:$A$200,0))),MIN(INDEX(aditivos!$O$2:$O$200,MATCH($A130,aditivos!$A$2:$A$200,0)),posicao_contratual!$Y130),posicao_contratual!$Y130),posicao_contratual!$Y130)+1,COUNT($L$2:$L$6))),2),"")),IF(OR(NOT(ISNUMBER($L$5)),NOT(ISNUMBER(INDEX($L$2:$L$6,IFERROR(IF(ISNUMBER(INDEX(aditivos!$O$2:$O$200,MATCH($A130,aditivos!$A$2:$A$200,0))),MIN(INDEX(aditivos!$O$2:$O$200,MATCH($A130,aditivos!$A$2:$A$200,0)),posicao_contratual!$Y130),posicao_contratual!$Y130),posicao_contratual!$Y130)+1)))),"",ROUND(itens_Remanesc!C130*$L$5/INDEX($L$2:$L$6,IFERROR(IF(ISNUMBER(INDEX(aditivos!$O$2:$O$200,MATCH($A130,aditivos!$A$2:$A$200,0))),MIN(INDEX(aditivos!$O$2:$O$200,MATCH($A130,aditivos!$A$2:$A$200,0)),posicao_contratual!$Y130),posicao_contratual!$Y130),posicao_contratual!$Y130)+1),2))))))</f>
        <v/>
      </c>
      <c r="G130" s="79" t="str">
        <f>IF(OR($A130="",posicao_contratual!$Y130=""),"",IF(posicao_contratual!$Y130&gt;4,"",IF(NOT(ISNUMBER(itens_Remanesc!C130)),"",IF(posicao_contratual!$Y130=4,IF(IFERROR(IF(ISNUMBER(INDEX(aditivos!$O$2:$O$200,MATCH($A130,aditivos!$A$2:$A$200,0))),MIN(INDEX(aditivos!$O$2:$O$200,MATCH($A130,aditivos!$A$2:$A$200,0)),posicao_contratual!$Y130),posicao_contratual!$Y130),posicao_contratual!$Y130)=4,itens_Remanesc!C130,IFERROR(ROUND(itens_Remanesc!C130*INDEX($L$2:$L$6,MIN(4+1,COUNT($L$2:$L$6)))/INDEX($L$2:$L$6,MIN(IFERROR(IF(ISNUMBER(INDEX(aditivos!$O$2:$O$200,MATCH($A130,aditivos!$A$2:$A$200,0))),MIN(INDEX(aditivos!$O$2:$O$200,MATCH($A130,aditivos!$A$2:$A$200,0)),posicao_contratual!$Y130),posicao_contratual!$Y130),posicao_contratual!$Y130)+1,COUNT($L$2:$L$6))),2),"")),IF(OR(NOT(ISNUMBER($L$6)),NOT(ISNUMBER(INDEX($L$2:$L$6,IFERROR(IF(ISNUMBER(INDEX(aditivos!$O$2:$O$200,MATCH($A130,aditivos!$A$2:$A$200,0))),MIN(INDEX(aditivos!$O$2:$O$200,MATCH($A130,aditivos!$A$2:$A$200,0)),posicao_contratual!$Y130),posicao_contratual!$Y130),posicao_contratual!$Y130)+1)))),"",ROUND(itens_Remanesc!C130*$L$6/INDEX($L$2:$L$6,IFERROR(IF(ISNUMBER(INDEX(aditivos!$O$2:$O$200,MATCH($A130,aditivos!$A$2:$A$200,0))),MIN(INDEX(aditivos!$O$2:$O$200,MATCH($A130,aditivos!$A$2:$A$200,0)),posicao_contratual!$Y130),posicao_contratual!$Y130),posicao_contratual!$Y130)+1),2))))))</f>
        <v/>
      </c>
      <c r="H130" s="116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47" t="str">
        <f>IF(A130="","",IF(posicao_contratual!$Y130="","",IF(posicao_contratual!$Y130&gt;0,"",posicao_contratual!E130)))</f>
        <v/>
      </c>
      <c r="O130" s="147" t="str">
        <f>IF(A130="","",IF(posicao_contratual!$Y130="","",IF(posicao_contratual!$Y130&gt;1,"",posicao_contratual!I130)))</f>
        <v/>
      </c>
      <c r="P130" s="147" t="str">
        <f>IF(A130="","",IF(posicao_contratual!$Y130="","",IF(posicao_contratual!$Y130&gt;2,"",posicao_contratual!M130)))</f>
        <v/>
      </c>
      <c r="Q130" s="147" t="str">
        <f>IF(A130="","",IF(posicao_contratual!$Y130="","",IF(posicao_contratual!$Y130&gt;3,"",posicao_contratual!Q130)))</f>
        <v/>
      </c>
      <c r="R130" s="147" t="str">
        <f>IF(A130="","",IF(posicao_contratual!$Y130="","",IF(posicao_contratual!$Y130&gt;4,"",posicao_contratual!U130)))</f>
        <v/>
      </c>
      <c r="S130" s="167" t="str">
        <f>IF(A130="","",posicao_contratual!G130)</f>
        <v/>
      </c>
      <c r="T130" s="167" t="str">
        <f>IF(A130="","",posicao_contratual!K130)</f>
        <v/>
      </c>
      <c r="U130" s="167" t="str">
        <f>IF(A130="","",posicao_contratual!O130)</f>
        <v/>
      </c>
      <c r="V130" s="167" t="str">
        <f>IF(A130="","",posicao_contratual!S130)</f>
        <v/>
      </c>
      <c r="W130" s="167" t="str">
        <f>IF(A130="","",posicao_contratual!W130)</f>
        <v/>
      </c>
    </row>
    <row r="131" spans="1:23" x14ac:dyDescent="0.35">
      <c r="A131" s="86" t="str">
        <f>IF(itens_Remanesc!A131="","",itens_Remanesc!A131)</f>
        <v/>
      </c>
      <c r="B131" s="85" t="str">
        <f>IF(A131="","",IF(posicao_contratual!$Y131="","",IF(posicao_contratual!$Y131&gt;0,"",posicao_contratual!G131)))</f>
        <v/>
      </c>
      <c r="C131" s="79" t="str">
        <f>IF(itens_Remanesc!A131="","",IF(posicao_contratual!$Y131="","",IF(posicao_contratual!$Y131&gt;0,"",itens_Remanesc!C131)))</f>
        <v/>
      </c>
      <c r="D131" s="79" t="str">
        <f>IF(OR($A131="",posicao_contratual!$Y131=""),"",IF(posicao_contratual!$Y131&gt;1,"",IF(NOT(ISNUMBER(itens_Remanesc!C131)),"",IF(posicao_contratual!$Y131=1,IF(IFERROR(IF(ISNUMBER(INDEX(aditivos!$O$2:$O$200,MATCH($A131,aditivos!$A$2:$A$200,0))),MIN(INDEX(aditivos!$O$2:$O$200,MATCH($A131,aditivos!$A$2:$A$200,0)),posicao_contratual!$Y131),posicao_contratual!$Y131),posicao_contratual!$Y131)=1,itens_Remanesc!C131,IFERROR(ROUND(itens_Remanesc!C131*INDEX($L$2:$L$6,MIN(1+1,COUNT($L$2:$L$6)))/INDEX($L$2:$L$6,MIN(IFERROR(IF(ISNUMBER(INDEX(aditivos!$O$2:$O$200,MATCH($A131,aditivos!$A$2:$A$200,0))),MIN(INDEX(aditivos!$O$2:$O$200,MATCH($A131,aditivos!$A$2:$A$200,0)),posicao_contratual!$Y131),posicao_contratual!$Y131),posicao_contratual!$Y131)+1,COUNT($L$2:$L$6))),2),"")),IF(OR(NOT(ISNUMBER($L$3)),NOT(ISNUMBER(INDEX($L$2:$L$6,IFERROR(IF(ISNUMBER(INDEX(aditivos!$O$2:$O$200,MATCH($A131,aditivos!$A$2:$A$200,0))),MIN(INDEX(aditivos!$O$2:$O$200,MATCH($A131,aditivos!$A$2:$A$200,0)),posicao_contratual!$Y131),posicao_contratual!$Y131),posicao_contratual!$Y131)+1)))),"",ROUND(itens_Remanesc!C131*$L$3/INDEX($L$2:$L$6,IFERROR(IF(ISNUMBER(INDEX(aditivos!$O$2:$O$200,MATCH($A131,aditivos!$A$2:$A$200,0))),MIN(INDEX(aditivos!$O$2:$O$200,MATCH($A131,aditivos!$A$2:$A$200,0)),posicao_contratual!$Y131),posicao_contratual!$Y131),posicao_contratual!$Y131)+1),2))))))</f>
        <v/>
      </c>
      <c r="E131" s="79" t="str">
        <f>IF(OR($A131="",posicao_contratual!$Y131=""),"",IF(posicao_contratual!$Y131&gt;2,"",IF(NOT(ISNUMBER(itens_Remanesc!C131)),"",IF(posicao_contratual!$Y131=2,IF(IFERROR(IF(ISNUMBER(INDEX(aditivos!$O$2:$O$200,MATCH($A131,aditivos!$A$2:$A$200,0))),MIN(INDEX(aditivos!$O$2:$O$200,MATCH($A131,aditivos!$A$2:$A$200,0)),posicao_contratual!$Y131),posicao_contratual!$Y131),posicao_contratual!$Y131)=2,itens_Remanesc!C131,IFERROR(ROUND(itens_Remanesc!C131*INDEX($L$2:$L$6,MIN(2+1,COUNT($L$2:$L$6)))/INDEX($L$2:$L$6,MIN(IFERROR(IF(ISNUMBER(INDEX(aditivos!$O$2:$O$200,MATCH($A131,aditivos!$A$2:$A$200,0))),MIN(INDEX(aditivos!$O$2:$O$200,MATCH($A131,aditivos!$A$2:$A$200,0)),posicao_contratual!$Y131),posicao_contratual!$Y131),posicao_contratual!$Y131)+1,COUNT($L$2:$L$6))),2),"")),IF(OR(NOT(ISNUMBER($L$4)),NOT(ISNUMBER(INDEX($L$2:$L$6,IFERROR(IF(ISNUMBER(INDEX(aditivos!$O$2:$O$200,MATCH($A131,aditivos!$A$2:$A$200,0))),MIN(INDEX(aditivos!$O$2:$O$200,MATCH($A131,aditivos!$A$2:$A$200,0)),posicao_contratual!$Y131),posicao_contratual!$Y131),posicao_contratual!$Y131)+1)))),"",ROUND(itens_Remanesc!C131*$L$4/INDEX($L$2:$L$6,IFERROR(IF(ISNUMBER(INDEX(aditivos!$O$2:$O$200,MATCH($A131,aditivos!$A$2:$A$200,0))),MIN(INDEX(aditivos!$O$2:$O$200,MATCH($A131,aditivos!$A$2:$A$200,0)),posicao_contratual!$Y131),posicao_contratual!$Y131),posicao_contratual!$Y131)+1),2))))))</f>
        <v/>
      </c>
      <c r="F131" s="79" t="str">
        <f>IF(OR($A131="",posicao_contratual!$Y131=""),"",IF(posicao_contratual!$Y131&gt;3,"",IF(NOT(ISNUMBER(itens_Remanesc!C131)),"",IF(posicao_contratual!$Y131=3,IF(IFERROR(IF(ISNUMBER(INDEX(aditivos!$O$2:$O$200,MATCH($A131,aditivos!$A$2:$A$200,0))),MIN(INDEX(aditivos!$O$2:$O$200,MATCH($A131,aditivos!$A$2:$A$200,0)),posicao_contratual!$Y131),posicao_contratual!$Y131),posicao_contratual!$Y131)=3,itens_Remanesc!C131,IFERROR(ROUND(itens_Remanesc!C131*INDEX($L$2:$L$6,MIN(3+1,COUNT($L$2:$L$6)))/INDEX($L$2:$L$6,MIN(IFERROR(IF(ISNUMBER(INDEX(aditivos!$O$2:$O$200,MATCH($A131,aditivos!$A$2:$A$200,0))),MIN(INDEX(aditivos!$O$2:$O$200,MATCH($A131,aditivos!$A$2:$A$200,0)),posicao_contratual!$Y131),posicao_contratual!$Y131),posicao_contratual!$Y131)+1,COUNT($L$2:$L$6))),2),"")),IF(OR(NOT(ISNUMBER($L$5)),NOT(ISNUMBER(INDEX($L$2:$L$6,IFERROR(IF(ISNUMBER(INDEX(aditivos!$O$2:$O$200,MATCH($A131,aditivos!$A$2:$A$200,0))),MIN(INDEX(aditivos!$O$2:$O$200,MATCH($A131,aditivos!$A$2:$A$200,0)),posicao_contratual!$Y131),posicao_contratual!$Y131),posicao_contratual!$Y131)+1)))),"",ROUND(itens_Remanesc!C131*$L$5/INDEX($L$2:$L$6,IFERROR(IF(ISNUMBER(INDEX(aditivos!$O$2:$O$200,MATCH($A131,aditivos!$A$2:$A$200,0))),MIN(INDEX(aditivos!$O$2:$O$200,MATCH($A131,aditivos!$A$2:$A$200,0)),posicao_contratual!$Y131),posicao_contratual!$Y131),posicao_contratual!$Y131)+1),2))))))</f>
        <v/>
      </c>
      <c r="G131" s="79" t="str">
        <f>IF(OR($A131="",posicao_contratual!$Y131=""),"",IF(posicao_contratual!$Y131&gt;4,"",IF(NOT(ISNUMBER(itens_Remanesc!C131)),"",IF(posicao_contratual!$Y131=4,IF(IFERROR(IF(ISNUMBER(INDEX(aditivos!$O$2:$O$200,MATCH($A131,aditivos!$A$2:$A$200,0))),MIN(INDEX(aditivos!$O$2:$O$200,MATCH($A131,aditivos!$A$2:$A$200,0)),posicao_contratual!$Y131),posicao_contratual!$Y131),posicao_contratual!$Y131)=4,itens_Remanesc!C131,IFERROR(ROUND(itens_Remanesc!C131*INDEX($L$2:$L$6,MIN(4+1,COUNT($L$2:$L$6)))/INDEX($L$2:$L$6,MIN(IFERROR(IF(ISNUMBER(INDEX(aditivos!$O$2:$O$200,MATCH($A131,aditivos!$A$2:$A$200,0))),MIN(INDEX(aditivos!$O$2:$O$200,MATCH($A131,aditivos!$A$2:$A$200,0)),posicao_contratual!$Y131),posicao_contratual!$Y131),posicao_contratual!$Y131)+1,COUNT($L$2:$L$6))),2),"")),IF(OR(NOT(ISNUMBER($L$6)),NOT(ISNUMBER(INDEX($L$2:$L$6,IFERROR(IF(ISNUMBER(INDEX(aditivos!$O$2:$O$200,MATCH($A131,aditivos!$A$2:$A$200,0))),MIN(INDEX(aditivos!$O$2:$O$200,MATCH($A131,aditivos!$A$2:$A$200,0)),posicao_contratual!$Y131),posicao_contratual!$Y131),posicao_contratual!$Y131)+1)))),"",ROUND(itens_Remanesc!C131*$L$6/INDEX($L$2:$L$6,IFERROR(IF(ISNUMBER(INDEX(aditivos!$O$2:$O$200,MATCH($A131,aditivos!$A$2:$A$200,0))),MIN(INDEX(aditivos!$O$2:$O$200,MATCH($A131,aditivos!$A$2:$A$200,0)),posicao_contratual!$Y131),posicao_contratual!$Y131),posicao_contratual!$Y131)+1),2))))))</f>
        <v/>
      </c>
      <c r="H131" s="116" t="str">
        <f t="shared" si="4"/>
        <v/>
      </c>
      <c r="I131" s="13"/>
      <c r="J131" s="13"/>
      <c r="K131" s="13"/>
      <c r="L131" s="13"/>
      <c r="M131" s="13"/>
      <c r="N131" s="147" t="str">
        <f>IF(A131="","",IF(posicao_contratual!$Y131="","",IF(posicao_contratual!$Y131&gt;0,"",posicao_contratual!E131)))</f>
        <v/>
      </c>
      <c r="O131" s="147" t="str">
        <f>IF(A131="","",IF(posicao_contratual!$Y131="","",IF(posicao_contratual!$Y131&gt;1,"",posicao_contratual!I131)))</f>
        <v/>
      </c>
      <c r="P131" s="147" t="str">
        <f>IF(A131="","",IF(posicao_contratual!$Y131="","",IF(posicao_contratual!$Y131&gt;2,"",posicao_contratual!M131)))</f>
        <v/>
      </c>
      <c r="Q131" s="147" t="str">
        <f>IF(A131="","",IF(posicao_contratual!$Y131="","",IF(posicao_contratual!$Y131&gt;3,"",posicao_contratual!Q131)))</f>
        <v/>
      </c>
      <c r="R131" s="147" t="str">
        <f>IF(A131="","",IF(posicao_contratual!$Y131="","",IF(posicao_contratual!$Y131&gt;4,"",posicao_contratual!U131)))</f>
        <v/>
      </c>
      <c r="S131" s="167" t="str">
        <f>IF(A131="","",posicao_contratual!G131)</f>
        <v/>
      </c>
      <c r="T131" s="167" t="str">
        <f>IF(A131="","",posicao_contratual!K131)</f>
        <v/>
      </c>
      <c r="U131" s="167" t="str">
        <f>IF(A131="","",posicao_contratual!O131)</f>
        <v/>
      </c>
      <c r="V131" s="167" t="str">
        <f>IF(A131="","",posicao_contratual!S131)</f>
        <v/>
      </c>
      <c r="W131" s="167" t="str">
        <f>IF(A131="","",posicao_contratual!W131)</f>
        <v/>
      </c>
    </row>
    <row r="132" spans="1:23" x14ac:dyDescent="0.35">
      <c r="A132" s="86" t="str">
        <f>IF(itens_Remanesc!A132="","",itens_Remanesc!A132)</f>
        <v/>
      </c>
      <c r="B132" s="85" t="str">
        <f>IF(A132="","",IF(posicao_contratual!$Y132="","",IF(posicao_contratual!$Y132&gt;0,"",posicao_contratual!G132)))</f>
        <v/>
      </c>
      <c r="C132" s="79" t="str">
        <f>IF(itens_Remanesc!A132="","",IF(posicao_contratual!$Y132="","",IF(posicao_contratual!$Y132&gt;0,"",itens_Remanesc!C132)))</f>
        <v/>
      </c>
      <c r="D132" s="79" t="str">
        <f>IF(OR($A132="",posicao_contratual!$Y132=""),"",IF(posicao_contratual!$Y132&gt;1,"",IF(NOT(ISNUMBER(itens_Remanesc!C132)),"",IF(posicao_contratual!$Y132=1,IF(IFERROR(IF(ISNUMBER(INDEX(aditivos!$O$2:$O$200,MATCH($A132,aditivos!$A$2:$A$200,0))),MIN(INDEX(aditivos!$O$2:$O$200,MATCH($A132,aditivos!$A$2:$A$200,0)),posicao_contratual!$Y132),posicao_contratual!$Y132),posicao_contratual!$Y132)=1,itens_Remanesc!C132,IFERROR(ROUND(itens_Remanesc!C132*INDEX($L$2:$L$6,MIN(1+1,COUNT($L$2:$L$6)))/INDEX($L$2:$L$6,MIN(IFERROR(IF(ISNUMBER(INDEX(aditivos!$O$2:$O$200,MATCH($A132,aditivos!$A$2:$A$200,0))),MIN(INDEX(aditivos!$O$2:$O$200,MATCH($A132,aditivos!$A$2:$A$200,0)),posicao_contratual!$Y132),posicao_contratual!$Y132),posicao_contratual!$Y132)+1,COUNT($L$2:$L$6))),2),"")),IF(OR(NOT(ISNUMBER($L$3)),NOT(ISNUMBER(INDEX($L$2:$L$6,IFERROR(IF(ISNUMBER(INDEX(aditivos!$O$2:$O$200,MATCH($A132,aditivos!$A$2:$A$200,0))),MIN(INDEX(aditivos!$O$2:$O$200,MATCH($A132,aditivos!$A$2:$A$200,0)),posicao_contratual!$Y132),posicao_contratual!$Y132),posicao_contratual!$Y132)+1)))),"",ROUND(itens_Remanesc!C132*$L$3/INDEX($L$2:$L$6,IFERROR(IF(ISNUMBER(INDEX(aditivos!$O$2:$O$200,MATCH($A132,aditivos!$A$2:$A$200,0))),MIN(INDEX(aditivos!$O$2:$O$200,MATCH($A132,aditivos!$A$2:$A$200,0)),posicao_contratual!$Y132),posicao_contratual!$Y132),posicao_contratual!$Y132)+1),2))))))</f>
        <v/>
      </c>
      <c r="E132" s="79" t="str">
        <f>IF(OR($A132="",posicao_contratual!$Y132=""),"",IF(posicao_contratual!$Y132&gt;2,"",IF(NOT(ISNUMBER(itens_Remanesc!C132)),"",IF(posicao_contratual!$Y132=2,IF(IFERROR(IF(ISNUMBER(INDEX(aditivos!$O$2:$O$200,MATCH($A132,aditivos!$A$2:$A$200,0))),MIN(INDEX(aditivos!$O$2:$O$200,MATCH($A132,aditivos!$A$2:$A$200,0)),posicao_contratual!$Y132),posicao_contratual!$Y132),posicao_contratual!$Y132)=2,itens_Remanesc!C132,IFERROR(ROUND(itens_Remanesc!C132*INDEX($L$2:$L$6,MIN(2+1,COUNT($L$2:$L$6)))/INDEX($L$2:$L$6,MIN(IFERROR(IF(ISNUMBER(INDEX(aditivos!$O$2:$O$200,MATCH($A132,aditivos!$A$2:$A$200,0))),MIN(INDEX(aditivos!$O$2:$O$200,MATCH($A132,aditivos!$A$2:$A$200,0)),posicao_contratual!$Y132),posicao_contratual!$Y132),posicao_contratual!$Y132)+1,COUNT($L$2:$L$6))),2),"")),IF(OR(NOT(ISNUMBER($L$4)),NOT(ISNUMBER(INDEX($L$2:$L$6,IFERROR(IF(ISNUMBER(INDEX(aditivos!$O$2:$O$200,MATCH($A132,aditivos!$A$2:$A$200,0))),MIN(INDEX(aditivos!$O$2:$O$200,MATCH($A132,aditivos!$A$2:$A$200,0)),posicao_contratual!$Y132),posicao_contratual!$Y132),posicao_contratual!$Y132)+1)))),"",ROUND(itens_Remanesc!C132*$L$4/INDEX($L$2:$L$6,IFERROR(IF(ISNUMBER(INDEX(aditivos!$O$2:$O$200,MATCH($A132,aditivos!$A$2:$A$200,0))),MIN(INDEX(aditivos!$O$2:$O$200,MATCH($A132,aditivos!$A$2:$A$200,0)),posicao_contratual!$Y132),posicao_contratual!$Y132),posicao_contratual!$Y132)+1),2))))))</f>
        <v/>
      </c>
      <c r="F132" s="79" t="str">
        <f>IF(OR($A132="",posicao_contratual!$Y132=""),"",IF(posicao_contratual!$Y132&gt;3,"",IF(NOT(ISNUMBER(itens_Remanesc!C132)),"",IF(posicao_contratual!$Y132=3,IF(IFERROR(IF(ISNUMBER(INDEX(aditivos!$O$2:$O$200,MATCH($A132,aditivos!$A$2:$A$200,0))),MIN(INDEX(aditivos!$O$2:$O$200,MATCH($A132,aditivos!$A$2:$A$200,0)),posicao_contratual!$Y132),posicao_contratual!$Y132),posicao_contratual!$Y132)=3,itens_Remanesc!C132,IFERROR(ROUND(itens_Remanesc!C132*INDEX($L$2:$L$6,MIN(3+1,COUNT($L$2:$L$6)))/INDEX($L$2:$L$6,MIN(IFERROR(IF(ISNUMBER(INDEX(aditivos!$O$2:$O$200,MATCH($A132,aditivos!$A$2:$A$200,0))),MIN(INDEX(aditivos!$O$2:$O$200,MATCH($A132,aditivos!$A$2:$A$200,0)),posicao_contratual!$Y132),posicao_contratual!$Y132),posicao_contratual!$Y132)+1,COUNT($L$2:$L$6))),2),"")),IF(OR(NOT(ISNUMBER($L$5)),NOT(ISNUMBER(INDEX($L$2:$L$6,IFERROR(IF(ISNUMBER(INDEX(aditivos!$O$2:$O$200,MATCH($A132,aditivos!$A$2:$A$200,0))),MIN(INDEX(aditivos!$O$2:$O$200,MATCH($A132,aditivos!$A$2:$A$200,0)),posicao_contratual!$Y132),posicao_contratual!$Y132),posicao_contratual!$Y132)+1)))),"",ROUND(itens_Remanesc!C132*$L$5/INDEX($L$2:$L$6,IFERROR(IF(ISNUMBER(INDEX(aditivos!$O$2:$O$200,MATCH($A132,aditivos!$A$2:$A$200,0))),MIN(INDEX(aditivos!$O$2:$O$200,MATCH($A132,aditivos!$A$2:$A$200,0)),posicao_contratual!$Y132),posicao_contratual!$Y132),posicao_contratual!$Y132)+1),2))))))</f>
        <v/>
      </c>
      <c r="G132" s="79" t="str">
        <f>IF(OR($A132="",posicao_contratual!$Y132=""),"",IF(posicao_contratual!$Y132&gt;4,"",IF(NOT(ISNUMBER(itens_Remanesc!C132)),"",IF(posicao_contratual!$Y132=4,IF(IFERROR(IF(ISNUMBER(INDEX(aditivos!$O$2:$O$200,MATCH($A132,aditivos!$A$2:$A$200,0))),MIN(INDEX(aditivos!$O$2:$O$200,MATCH($A132,aditivos!$A$2:$A$200,0)),posicao_contratual!$Y132),posicao_contratual!$Y132),posicao_contratual!$Y132)=4,itens_Remanesc!C132,IFERROR(ROUND(itens_Remanesc!C132*INDEX($L$2:$L$6,MIN(4+1,COUNT($L$2:$L$6)))/INDEX($L$2:$L$6,MIN(IFERROR(IF(ISNUMBER(INDEX(aditivos!$O$2:$O$200,MATCH($A132,aditivos!$A$2:$A$200,0))),MIN(INDEX(aditivos!$O$2:$O$200,MATCH($A132,aditivos!$A$2:$A$200,0)),posicao_contratual!$Y132),posicao_contratual!$Y132),posicao_contratual!$Y132)+1,COUNT($L$2:$L$6))),2),"")),IF(OR(NOT(ISNUMBER($L$6)),NOT(ISNUMBER(INDEX($L$2:$L$6,IFERROR(IF(ISNUMBER(INDEX(aditivos!$O$2:$O$200,MATCH($A132,aditivos!$A$2:$A$200,0))),MIN(INDEX(aditivos!$O$2:$O$200,MATCH($A132,aditivos!$A$2:$A$200,0)),posicao_contratual!$Y132),posicao_contratual!$Y132),posicao_contratual!$Y132)+1)))),"",ROUND(itens_Remanesc!C132*$L$6/INDEX($L$2:$L$6,IFERROR(IF(ISNUMBER(INDEX(aditivos!$O$2:$O$200,MATCH($A132,aditivos!$A$2:$A$200,0))),MIN(INDEX(aditivos!$O$2:$O$200,MATCH($A132,aditivos!$A$2:$A$200,0)),posicao_contratual!$Y132),posicao_contratual!$Y132),posicao_contratual!$Y132)+1),2))))))</f>
        <v/>
      </c>
      <c r="H132" s="116" t="str">
        <f t="shared" si="4"/>
        <v/>
      </c>
      <c r="I132" s="13"/>
      <c r="J132" s="13"/>
      <c r="K132" s="13"/>
      <c r="L132" s="13"/>
      <c r="M132" s="13"/>
      <c r="N132" s="147" t="str">
        <f>IF(A132="","",IF(posicao_contratual!$Y132="","",IF(posicao_contratual!$Y132&gt;0,"",posicao_contratual!E132)))</f>
        <v/>
      </c>
      <c r="O132" s="147" t="str">
        <f>IF(A132="","",IF(posicao_contratual!$Y132="","",IF(posicao_contratual!$Y132&gt;1,"",posicao_contratual!I132)))</f>
        <v/>
      </c>
      <c r="P132" s="147" t="str">
        <f>IF(A132="","",IF(posicao_contratual!$Y132="","",IF(posicao_contratual!$Y132&gt;2,"",posicao_contratual!M132)))</f>
        <v/>
      </c>
      <c r="Q132" s="147" t="str">
        <f>IF(A132="","",IF(posicao_contratual!$Y132="","",IF(posicao_contratual!$Y132&gt;3,"",posicao_contratual!Q132)))</f>
        <v/>
      </c>
      <c r="R132" s="147" t="str">
        <f>IF(A132="","",IF(posicao_contratual!$Y132="","",IF(posicao_contratual!$Y132&gt;4,"",posicao_contratual!U132)))</f>
        <v/>
      </c>
      <c r="S132" s="167" t="str">
        <f>IF(A132="","",posicao_contratual!G132)</f>
        <v/>
      </c>
      <c r="T132" s="167" t="str">
        <f>IF(A132="","",posicao_contratual!K132)</f>
        <v/>
      </c>
      <c r="U132" s="167" t="str">
        <f>IF(A132="","",posicao_contratual!O132)</f>
        <v/>
      </c>
      <c r="V132" s="167" t="str">
        <f>IF(A132="","",posicao_contratual!S132)</f>
        <v/>
      </c>
      <c r="W132" s="167" t="str">
        <f>IF(A132="","",posicao_contratual!W132)</f>
        <v/>
      </c>
    </row>
    <row r="133" spans="1:23" x14ac:dyDescent="0.35">
      <c r="A133" s="86" t="str">
        <f>IF(itens_Remanesc!A133="","",itens_Remanesc!A133)</f>
        <v/>
      </c>
      <c r="B133" s="85" t="str">
        <f>IF(A133="","",IF(posicao_contratual!$Y133="","",IF(posicao_contratual!$Y133&gt;0,"",posicao_contratual!G133)))</f>
        <v/>
      </c>
      <c r="C133" s="79" t="str">
        <f>IF(itens_Remanesc!A133="","",IF(posicao_contratual!$Y133="","",IF(posicao_contratual!$Y133&gt;0,"",itens_Remanesc!C133)))</f>
        <v/>
      </c>
      <c r="D133" s="79" t="str">
        <f>IF(OR($A133="",posicao_contratual!$Y133=""),"",IF(posicao_contratual!$Y133&gt;1,"",IF(NOT(ISNUMBER(itens_Remanesc!C133)),"",IF(posicao_contratual!$Y133=1,IF(IFERROR(IF(ISNUMBER(INDEX(aditivos!$O$2:$O$200,MATCH($A133,aditivos!$A$2:$A$200,0))),MIN(INDEX(aditivos!$O$2:$O$200,MATCH($A133,aditivos!$A$2:$A$200,0)),posicao_contratual!$Y133),posicao_contratual!$Y133),posicao_contratual!$Y133)=1,itens_Remanesc!C133,IFERROR(ROUND(itens_Remanesc!C133*INDEX($L$2:$L$6,MIN(1+1,COUNT($L$2:$L$6)))/INDEX($L$2:$L$6,MIN(IFERROR(IF(ISNUMBER(INDEX(aditivos!$O$2:$O$200,MATCH($A133,aditivos!$A$2:$A$200,0))),MIN(INDEX(aditivos!$O$2:$O$200,MATCH($A133,aditivos!$A$2:$A$200,0)),posicao_contratual!$Y133),posicao_contratual!$Y133),posicao_contratual!$Y133)+1,COUNT($L$2:$L$6))),2),"")),IF(OR(NOT(ISNUMBER($L$3)),NOT(ISNUMBER(INDEX($L$2:$L$6,IFERROR(IF(ISNUMBER(INDEX(aditivos!$O$2:$O$200,MATCH($A133,aditivos!$A$2:$A$200,0))),MIN(INDEX(aditivos!$O$2:$O$200,MATCH($A133,aditivos!$A$2:$A$200,0)),posicao_contratual!$Y133),posicao_contratual!$Y133),posicao_contratual!$Y133)+1)))),"",ROUND(itens_Remanesc!C133*$L$3/INDEX($L$2:$L$6,IFERROR(IF(ISNUMBER(INDEX(aditivos!$O$2:$O$200,MATCH($A133,aditivos!$A$2:$A$200,0))),MIN(INDEX(aditivos!$O$2:$O$200,MATCH($A133,aditivos!$A$2:$A$200,0)),posicao_contratual!$Y133),posicao_contratual!$Y133),posicao_contratual!$Y133)+1),2))))))</f>
        <v/>
      </c>
      <c r="E133" s="79" t="str">
        <f>IF(OR($A133="",posicao_contratual!$Y133=""),"",IF(posicao_contratual!$Y133&gt;2,"",IF(NOT(ISNUMBER(itens_Remanesc!C133)),"",IF(posicao_contratual!$Y133=2,IF(IFERROR(IF(ISNUMBER(INDEX(aditivos!$O$2:$O$200,MATCH($A133,aditivos!$A$2:$A$200,0))),MIN(INDEX(aditivos!$O$2:$O$200,MATCH($A133,aditivos!$A$2:$A$200,0)),posicao_contratual!$Y133),posicao_contratual!$Y133),posicao_contratual!$Y133)=2,itens_Remanesc!C133,IFERROR(ROUND(itens_Remanesc!C133*INDEX($L$2:$L$6,MIN(2+1,COUNT($L$2:$L$6)))/INDEX($L$2:$L$6,MIN(IFERROR(IF(ISNUMBER(INDEX(aditivos!$O$2:$O$200,MATCH($A133,aditivos!$A$2:$A$200,0))),MIN(INDEX(aditivos!$O$2:$O$200,MATCH($A133,aditivos!$A$2:$A$200,0)),posicao_contratual!$Y133),posicao_contratual!$Y133),posicao_contratual!$Y133)+1,COUNT($L$2:$L$6))),2),"")),IF(OR(NOT(ISNUMBER($L$4)),NOT(ISNUMBER(INDEX($L$2:$L$6,IFERROR(IF(ISNUMBER(INDEX(aditivos!$O$2:$O$200,MATCH($A133,aditivos!$A$2:$A$200,0))),MIN(INDEX(aditivos!$O$2:$O$200,MATCH($A133,aditivos!$A$2:$A$200,0)),posicao_contratual!$Y133),posicao_contratual!$Y133),posicao_contratual!$Y133)+1)))),"",ROUND(itens_Remanesc!C133*$L$4/INDEX($L$2:$L$6,IFERROR(IF(ISNUMBER(INDEX(aditivos!$O$2:$O$200,MATCH($A133,aditivos!$A$2:$A$200,0))),MIN(INDEX(aditivos!$O$2:$O$200,MATCH($A133,aditivos!$A$2:$A$200,0)),posicao_contratual!$Y133),posicao_contratual!$Y133),posicao_contratual!$Y133)+1),2))))))</f>
        <v/>
      </c>
      <c r="F133" s="79" t="str">
        <f>IF(OR($A133="",posicao_contratual!$Y133=""),"",IF(posicao_contratual!$Y133&gt;3,"",IF(NOT(ISNUMBER(itens_Remanesc!C133)),"",IF(posicao_contratual!$Y133=3,IF(IFERROR(IF(ISNUMBER(INDEX(aditivos!$O$2:$O$200,MATCH($A133,aditivos!$A$2:$A$200,0))),MIN(INDEX(aditivos!$O$2:$O$200,MATCH($A133,aditivos!$A$2:$A$200,0)),posicao_contratual!$Y133),posicao_contratual!$Y133),posicao_contratual!$Y133)=3,itens_Remanesc!C133,IFERROR(ROUND(itens_Remanesc!C133*INDEX($L$2:$L$6,MIN(3+1,COUNT($L$2:$L$6)))/INDEX($L$2:$L$6,MIN(IFERROR(IF(ISNUMBER(INDEX(aditivos!$O$2:$O$200,MATCH($A133,aditivos!$A$2:$A$200,0))),MIN(INDEX(aditivos!$O$2:$O$200,MATCH($A133,aditivos!$A$2:$A$200,0)),posicao_contratual!$Y133),posicao_contratual!$Y133),posicao_contratual!$Y133)+1,COUNT($L$2:$L$6))),2),"")),IF(OR(NOT(ISNUMBER($L$5)),NOT(ISNUMBER(INDEX($L$2:$L$6,IFERROR(IF(ISNUMBER(INDEX(aditivos!$O$2:$O$200,MATCH($A133,aditivos!$A$2:$A$200,0))),MIN(INDEX(aditivos!$O$2:$O$200,MATCH($A133,aditivos!$A$2:$A$200,0)),posicao_contratual!$Y133),posicao_contratual!$Y133),posicao_contratual!$Y133)+1)))),"",ROUND(itens_Remanesc!C133*$L$5/INDEX($L$2:$L$6,IFERROR(IF(ISNUMBER(INDEX(aditivos!$O$2:$O$200,MATCH($A133,aditivos!$A$2:$A$200,0))),MIN(INDEX(aditivos!$O$2:$O$200,MATCH($A133,aditivos!$A$2:$A$200,0)),posicao_contratual!$Y133),posicao_contratual!$Y133),posicao_contratual!$Y133)+1),2))))))</f>
        <v/>
      </c>
      <c r="G133" s="79" t="str">
        <f>IF(OR($A133="",posicao_contratual!$Y133=""),"",IF(posicao_contratual!$Y133&gt;4,"",IF(NOT(ISNUMBER(itens_Remanesc!C133)),"",IF(posicao_contratual!$Y133=4,IF(IFERROR(IF(ISNUMBER(INDEX(aditivos!$O$2:$O$200,MATCH($A133,aditivos!$A$2:$A$200,0))),MIN(INDEX(aditivos!$O$2:$O$200,MATCH($A133,aditivos!$A$2:$A$200,0)),posicao_contratual!$Y133),posicao_contratual!$Y133),posicao_contratual!$Y133)=4,itens_Remanesc!C133,IFERROR(ROUND(itens_Remanesc!C133*INDEX($L$2:$L$6,MIN(4+1,COUNT($L$2:$L$6)))/INDEX($L$2:$L$6,MIN(IFERROR(IF(ISNUMBER(INDEX(aditivos!$O$2:$O$200,MATCH($A133,aditivos!$A$2:$A$200,0))),MIN(INDEX(aditivos!$O$2:$O$200,MATCH($A133,aditivos!$A$2:$A$200,0)),posicao_contratual!$Y133),posicao_contratual!$Y133),posicao_contratual!$Y133)+1,COUNT($L$2:$L$6))),2),"")),IF(OR(NOT(ISNUMBER($L$6)),NOT(ISNUMBER(INDEX($L$2:$L$6,IFERROR(IF(ISNUMBER(INDEX(aditivos!$O$2:$O$200,MATCH($A133,aditivos!$A$2:$A$200,0))),MIN(INDEX(aditivos!$O$2:$O$200,MATCH($A133,aditivos!$A$2:$A$200,0)),posicao_contratual!$Y133),posicao_contratual!$Y133),posicao_contratual!$Y133)+1)))),"",ROUND(itens_Remanesc!C133*$L$6/INDEX($L$2:$L$6,IFERROR(IF(ISNUMBER(INDEX(aditivos!$O$2:$O$200,MATCH($A133,aditivos!$A$2:$A$200,0))),MIN(INDEX(aditivos!$O$2:$O$200,MATCH($A133,aditivos!$A$2:$A$200,0)),posicao_contratual!$Y133),posicao_contratual!$Y133),posicao_contratual!$Y133)+1),2))))))</f>
        <v/>
      </c>
      <c r="H133" s="116" t="str">
        <f t="shared" si="4"/>
        <v/>
      </c>
      <c r="I133" s="13"/>
      <c r="J133" s="13"/>
      <c r="K133" s="13"/>
      <c r="L133" s="13"/>
      <c r="M133" s="13"/>
      <c r="N133" s="147" t="str">
        <f>IF(A133="","",IF(posicao_contratual!$Y133="","",IF(posicao_contratual!$Y133&gt;0,"",posicao_contratual!E133)))</f>
        <v/>
      </c>
      <c r="O133" s="147" t="str">
        <f>IF(A133="","",IF(posicao_contratual!$Y133="","",IF(posicao_contratual!$Y133&gt;1,"",posicao_contratual!I133)))</f>
        <v/>
      </c>
      <c r="P133" s="147" t="str">
        <f>IF(A133="","",IF(posicao_contratual!$Y133="","",IF(posicao_contratual!$Y133&gt;2,"",posicao_contratual!M133)))</f>
        <v/>
      </c>
      <c r="Q133" s="147" t="str">
        <f>IF(A133="","",IF(posicao_contratual!$Y133="","",IF(posicao_contratual!$Y133&gt;3,"",posicao_contratual!Q133)))</f>
        <v/>
      </c>
      <c r="R133" s="147" t="str">
        <f>IF(A133="","",IF(posicao_contratual!$Y133="","",IF(posicao_contratual!$Y133&gt;4,"",posicao_contratual!U133)))</f>
        <v/>
      </c>
      <c r="S133" s="167" t="str">
        <f>IF(A133="","",posicao_contratual!G133)</f>
        <v/>
      </c>
      <c r="T133" s="167" t="str">
        <f>IF(A133="","",posicao_contratual!K133)</f>
        <v/>
      </c>
      <c r="U133" s="167" t="str">
        <f>IF(A133="","",posicao_contratual!O133)</f>
        <v/>
      </c>
      <c r="V133" s="167" t="str">
        <f>IF(A133="","",posicao_contratual!S133)</f>
        <v/>
      </c>
      <c r="W133" s="167" t="str">
        <f>IF(A133="","",posicao_contratual!W133)</f>
        <v/>
      </c>
    </row>
    <row r="134" spans="1:23" x14ac:dyDescent="0.35">
      <c r="A134" s="86" t="str">
        <f>IF(itens_Remanesc!A134="","",itens_Remanesc!A134)</f>
        <v/>
      </c>
      <c r="B134" s="85" t="str">
        <f>IF(A134="","",IF(posicao_contratual!$Y134="","",IF(posicao_contratual!$Y134&gt;0,"",posicao_contratual!G134)))</f>
        <v/>
      </c>
      <c r="C134" s="79" t="str">
        <f>IF(itens_Remanesc!A134="","",IF(posicao_contratual!$Y134="","",IF(posicao_contratual!$Y134&gt;0,"",itens_Remanesc!C134)))</f>
        <v/>
      </c>
      <c r="D134" s="79" t="str">
        <f>IF(OR($A134="",posicao_contratual!$Y134=""),"",IF(posicao_contratual!$Y134&gt;1,"",IF(NOT(ISNUMBER(itens_Remanesc!C134)),"",IF(posicao_contratual!$Y134=1,IF(IFERROR(IF(ISNUMBER(INDEX(aditivos!$O$2:$O$200,MATCH($A134,aditivos!$A$2:$A$200,0))),MIN(INDEX(aditivos!$O$2:$O$200,MATCH($A134,aditivos!$A$2:$A$200,0)),posicao_contratual!$Y134),posicao_contratual!$Y134),posicao_contratual!$Y134)=1,itens_Remanesc!C134,IFERROR(ROUND(itens_Remanesc!C134*INDEX($L$2:$L$6,MIN(1+1,COUNT($L$2:$L$6)))/INDEX($L$2:$L$6,MIN(IFERROR(IF(ISNUMBER(INDEX(aditivos!$O$2:$O$200,MATCH($A134,aditivos!$A$2:$A$200,0))),MIN(INDEX(aditivos!$O$2:$O$200,MATCH($A134,aditivos!$A$2:$A$200,0)),posicao_contratual!$Y134),posicao_contratual!$Y134),posicao_contratual!$Y134)+1,COUNT($L$2:$L$6))),2),"")),IF(OR(NOT(ISNUMBER($L$3)),NOT(ISNUMBER(INDEX($L$2:$L$6,IFERROR(IF(ISNUMBER(INDEX(aditivos!$O$2:$O$200,MATCH($A134,aditivos!$A$2:$A$200,0))),MIN(INDEX(aditivos!$O$2:$O$200,MATCH($A134,aditivos!$A$2:$A$200,0)),posicao_contratual!$Y134),posicao_contratual!$Y134),posicao_contratual!$Y134)+1)))),"",ROUND(itens_Remanesc!C134*$L$3/INDEX($L$2:$L$6,IFERROR(IF(ISNUMBER(INDEX(aditivos!$O$2:$O$200,MATCH($A134,aditivos!$A$2:$A$200,0))),MIN(INDEX(aditivos!$O$2:$O$200,MATCH($A134,aditivos!$A$2:$A$200,0)),posicao_contratual!$Y134),posicao_contratual!$Y134),posicao_contratual!$Y134)+1),2))))))</f>
        <v/>
      </c>
      <c r="E134" s="79" t="str">
        <f>IF(OR($A134="",posicao_contratual!$Y134=""),"",IF(posicao_contratual!$Y134&gt;2,"",IF(NOT(ISNUMBER(itens_Remanesc!C134)),"",IF(posicao_contratual!$Y134=2,IF(IFERROR(IF(ISNUMBER(INDEX(aditivos!$O$2:$O$200,MATCH($A134,aditivos!$A$2:$A$200,0))),MIN(INDEX(aditivos!$O$2:$O$200,MATCH($A134,aditivos!$A$2:$A$200,0)),posicao_contratual!$Y134),posicao_contratual!$Y134),posicao_contratual!$Y134)=2,itens_Remanesc!C134,IFERROR(ROUND(itens_Remanesc!C134*INDEX($L$2:$L$6,MIN(2+1,COUNT($L$2:$L$6)))/INDEX($L$2:$L$6,MIN(IFERROR(IF(ISNUMBER(INDEX(aditivos!$O$2:$O$200,MATCH($A134,aditivos!$A$2:$A$200,0))),MIN(INDEX(aditivos!$O$2:$O$200,MATCH($A134,aditivos!$A$2:$A$200,0)),posicao_contratual!$Y134),posicao_contratual!$Y134),posicao_contratual!$Y134)+1,COUNT($L$2:$L$6))),2),"")),IF(OR(NOT(ISNUMBER($L$4)),NOT(ISNUMBER(INDEX($L$2:$L$6,IFERROR(IF(ISNUMBER(INDEX(aditivos!$O$2:$O$200,MATCH($A134,aditivos!$A$2:$A$200,0))),MIN(INDEX(aditivos!$O$2:$O$200,MATCH($A134,aditivos!$A$2:$A$200,0)),posicao_contratual!$Y134),posicao_contratual!$Y134),posicao_contratual!$Y134)+1)))),"",ROUND(itens_Remanesc!C134*$L$4/INDEX($L$2:$L$6,IFERROR(IF(ISNUMBER(INDEX(aditivos!$O$2:$O$200,MATCH($A134,aditivos!$A$2:$A$200,0))),MIN(INDEX(aditivos!$O$2:$O$200,MATCH($A134,aditivos!$A$2:$A$200,0)),posicao_contratual!$Y134),posicao_contratual!$Y134),posicao_contratual!$Y134)+1),2))))))</f>
        <v/>
      </c>
      <c r="F134" s="79" t="str">
        <f>IF(OR($A134="",posicao_contratual!$Y134=""),"",IF(posicao_contratual!$Y134&gt;3,"",IF(NOT(ISNUMBER(itens_Remanesc!C134)),"",IF(posicao_contratual!$Y134=3,IF(IFERROR(IF(ISNUMBER(INDEX(aditivos!$O$2:$O$200,MATCH($A134,aditivos!$A$2:$A$200,0))),MIN(INDEX(aditivos!$O$2:$O$200,MATCH($A134,aditivos!$A$2:$A$200,0)),posicao_contratual!$Y134),posicao_contratual!$Y134),posicao_contratual!$Y134)=3,itens_Remanesc!C134,IFERROR(ROUND(itens_Remanesc!C134*INDEX($L$2:$L$6,MIN(3+1,COUNT($L$2:$L$6)))/INDEX($L$2:$L$6,MIN(IFERROR(IF(ISNUMBER(INDEX(aditivos!$O$2:$O$200,MATCH($A134,aditivos!$A$2:$A$200,0))),MIN(INDEX(aditivos!$O$2:$O$200,MATCH($A134,aditivos!$A$2:$A$200,0)),posicao_contratual!$Y134),posicao_contratual!$Y134),posicao_contratual!$Y134)+1,COUNT($L$2:$L$6))),2),"")),IF(OR(NOT(ISNUMBER($L$5)),NOT(ISNUMBER(INDEX($L$2:$L$6,IFERROR(IF(ISNUMBER(INDEX(aditivos!$O$2:$O$200,MATCH($A134,aditivos!$A$2:$A$200,0))),MIN(INDEX(aditivos!$O$2:$O$200,MATCH($A134,aditivos!$A$2:$A$200,0)),posicao_contratual!$Y134),posicao_contratual!$Y134),posicao_contratual!$Y134)+1)))),"",ROUND(itens_Remanesc!C134*$L$5/INDEX($L$2:$L$6,IFERROR(IF(ISNUMBER(INDEX(aditivos!$O$2:$O$200,MATCH($A134,aditivos!$A$2:$A$200,0))),MIN(INDEX(aditivos!$O$2:$O$200,MATCH($A134,aditivos!$A$2:$A$200,0)),posicao_contratual!$Y134),posicao_contratual!$Y134),posicao_contratual!$Y134)+1),2))))))</f>
        <v/>
      </c>
      <c r="G134" s="79" t="str">
        <f>IF(OR($A134="",posicao_contratual!$Y134=""),"",IF(posicao_contratual!$Y134&gt;4,"",IF(NOT(ISNUMBER(itens_Remanesc!C134)),"",IF(posicao_contratual!$Y134=4,IF(IFERROR(IF(ISNUMBER(INDEX(aditivos!$O$2:$O$200,MATCH($A134,aditivos!$A$2:$A$200,0))),MIN(INDEX(aditivos!$O$2:$O$200,MATCH($A134,aditivos!$A$2:$A$200,0)),posicao_contratual!$Y134),posicao_contratual!$Y134),posicao_contratual!$Y134)=4,itens_Remanesc!C134,IFERROR(ROUND(itens_Remanesc!C134*INDEX($L$2:$L$6,MIN(4+1,COUNT($L$2:$L$6)))/INDEX($L$2:$L$6,MIN(IFERROR(IF(ISNUMBER(INDEX(aditivos!$O$2:$O$200,MATCH($A134,aditivos!$A$2:$A$200,0))),MIN(INDEX(aditivos!$O$2:$O$200,MATCH($A134,aditivos!$A$2:$A$200,0)),posicao_contratual!$Y134),posicao_contratual!$Y134),posicao_contratual!$Y134)+1,COUNT($L$2:$L$6))),2),"")),IF(OR(NOT(ISNUMBER($L$6)),NOT(ISNUMBER(INDEX($L$2:$L$6,IFERROR(IF(ISNUMBER(INDEX(aditivos!$O$2:$O$200,MATCH($A134,aditivos!$A$2:$A$200,0))),MIN(INDEX(aditivos!$O$2:$O$200,MATCH($A134,aditivos!$A$2:$A$200,0)),posicao_contratual!$Y134),posicao_contratual!$Y134),posicao_contratual!$Y134)+1)))),"",ROUND(itens_Remanesc!C134*$L$6/INDEX($L$2:$L$6,IFERROR(IF(ISNUMBER(INDEX(aditivos!$O$2:$O$200,MATCH($A134,aditivos!$A$2:$A$200,0))),MIN(INDEX(aditivos!$O$2:$O$200,MATCH($A134,aditivos!$A$2:$A$200,0)),posicao_contratual!$Y134),posicao_contratual!$Y134),posicao_contratual!$Y134)+1),2))))))</f>
        <v/>
      </c>
      <c r="H134" s="116" t="str">
        <f t="shared" si="4"/>
        <v/>
      </c>
      <c r="I134" s="13"/>
      <c r="J134" s="13"/>
      <c r="K134" s="13"/>
      <c r="L134" s="13"/>
      <c r="M134" s="13"/>
      <c r="N134" s="147" t="str">
        <f>IF(A134="","",IF(posicao_contratual!$Y134="","",IF(posicao_contratual!$Y134&gt;0,"",posicao_contratual!E134)))</f>
        <v/>
      </c>
      <c r="O134" s="147" t="str">
        <f>IF(A134="","",IF(posicao_contratual!$Y134="","",IF(posicao_contratual!$Y134&gt;1,"",posicao_contratual!I134)))</f>
        <v/>
      </c>
      <c r="P134" s="147" t="str">
        <f>IF(A134="","",IF(posicao_contratual!$Y134="","",IF(posicao_contratual!$Y134&gt;2,"",posicao_contratual!M134)))</f>
        <v/>
      </c>
      <c r="Q134" s="147" t="str">
        <f>IF(A134="","",IF(posicao_contratual!$Y134="","",IF(posicao_contratual!$Y134&gt;3,"",posicao_contratual!Q134)))</f>
        <v/>
      </c>
      <c r="R134" s="147" t="str">
        <f>IF(A134="","",IF(posicao_contratual!$Y134="","",IF(posicao_contratual!$Y134&gt;4,"",posicao_contratual!U134)))</f>
        <v/>
      </c>
      <c r="S134" s="167" t="str">
        <f>IF(A134="","",posicao_contratual!G134)</f>
        <v/>
      </c>
      <c r="T134" s="167" t="str">
        <f>IF(A134="","",posicao_contratual!K134)</f>
        <v/>
      </c>
      <c r="U134" s="167" t="str">
        <f>IF(A134="","",posicao_contratual!O134)</f>
        <v/>
      </c>
      <c r="V134" s="167" t="str">
        <f>IF(A134="","",posicao_contratual!S134)</f>
        <v/>
      </c>
      <c r="W134" s="167" t="str">
        <f>IF(A134="","",posicao_contratual!W134)</f>
        <v/>
      </c>
    </row>
    <row r="135" spans="1:23" x14ac:dyDescent="0.35">
      <c r="A135" s="86" t="str">
        <f>IF(itens_Remanesc!A135="","",itens_Remanesc!A135)</f>
        <v/>
      </c>
      <c r="B135" s="85" t="str">
        <f>IF(A135="","",IF(posicao_contratual!$Y135="","",IF(posicao_contratual!$Y135&gt;0,"",posicao_contratual!G135)))</f>
        <v/>
      </c>
      <c r="C135" s="79" t="str">
        <f>IF(itens_Remanesc!A135="","",IF(posicao_contratual!$Y135="","",IF(posicao_contratual!$Y135&gt;0,"",itens_Remanesc!C135)))</f>
        <v/>
      </c>
      <c r="D135" s="79" t="str">
        <f>IF(OR($A135="",posicao_contratual!$Y135=""),"",IF(posicao_contratual!$Y135&gt;1,"",IF(NOT(ISNUMBER(itens_Remanesc!C135)),"",IF(posicao_contratual!$Y135=1,IF(IFERROR(IF(ISNUMBER(INDEX(aditivos!$O$2:$O$200,MATCH($A135,aditivos!$A$2:$A$200,0))),MIN(INDEX(aditivos!$O$2:$O$200,MATCH($A135,aditivos!$A$2:$A$200,0)),posicao_contratual!$Y135),posicao_contratual!$Y135),posicao_contratual!$Y135)=1,itens_Remanesc!C135,IFERROR(ROUND(itens_Remanesc!C135*INDEX($L$2:$L$6,MIN(1+1,COUNT($L$2:$L$6)))/INDEX($L$2:$L$6,MIN(IFERROR(IF(ISNUMBER(INDEX(aditivos!$O$2:$O$200,MATCH($A135,aditivos!$A$2:$A$200,0))),MIN(INDEX(aditivos!$O$2:$O$200,MATCH($A135,aditivos!$A$2:$A$200,0)),posicao_contratual!$Y135),posicao_contratual!$Y135),posicao_contratual!$Y135)+1,COUNT($L$2:$L$6))),2),"")),IF(OR(NOT(ISNUMBER($L$3)),NOT(ISNUMBER(INDEX($L$2:$L$6,IFERROR(IF(ISNUMBER(INDEX(aditivos!$O$2:$O$200,MATCH($A135,aditivos!$A$2:$A$200,0))),MIN(INDEX(aditivos!$O$2:$O$200,MATCH($A135,aditivos!$A$2:$A$200,0)),posicao_contratual!$Y135),posicao_contratual!$Y135),posicao_contratual!$Y135)+1)))),"",ROUND(itens_Remanesc!C135*$L$3/INDEX($L$2:$L$6,IFERROR(IF(ISNUMBER(INDEX(aditivos!$O$2:$O$200,MATCH($A135,aditivos!$A$2:$A$200,0))),MIN(INDEX(aditivos!$O$2:$O$200,MATCH($A135,aditivos!$A$2:$A$200,0)),posicao_contratual!$Y135),posicao_contratual!$Y135),posicao_contratual!$Y135)+1),2))))))</f>
        <v/>
      </c>
      <c r="E135" s="79" t="str">
        <f>IF(OR($A135="",posicao_contratual!$Y135=""),"",IF(posicao_contratual!$Y135&gt;2,"",IF(NOT(ISNUMBER(itens_Remanesc!C135)),"",IF(posicao_contratual!$Y135=2,IF(IFERROR(IF(ISNUMBER(INDEX(aditivos!$O$2:$O$200,MATCH($A135,aditivos!$A$2:$A$200,0))),MIN(INDEX(aditivos!$O$2:$O$200,MATCH($A135,aditivos!$A$2:$A$200,0)),posicao_contratual!$Y135),posicao_contratual!$Y135),posicao_contratual!$Y135)=2,itens_Remanesc!C135,IFERROR(ROUND(itens_Remanesc!C135*INDEX($L$2:$L$6,MIN(2+1,COUNT($L$2:$L$6)))/INDEX($L$2:$L$6,MIN(IFERROR(IF(ISNUMBER(INDEX(aditivos!$O$2:$O$200,MATCH($A135,aditivos!$A$2:$A$200,0))),MIN(INDEX(aditivos!$O$2:$O$200,MATCH($A135,aditivos!$A$2:$A$200,0)),posicao_contratual!$Y135),posicao_contratual!$Y135),posicao_contratual!$Y135)+1,COUNT($L$2:$L$6))),2),"")),IF(OR(NOT(ISNUMBER($L$4)),NOT(ISNUMBER(INDEX($L$2:$L$6,IFERROR(IF(ISNUMBER(INDEX(aditivos!$O$2:$O$200,MATCH($A135,aditivos!$A$2:$A$200,0))),MIN(INDEX(aditivos!$O$2:$O$200,MATCH($A135,aditivos!$A$2:$A$200,0)),posicao_contratual!$Y135),posicao_contratual!$Y135),posicao_contratual!$Y135)+1)))),"",ROUND(itens_Remanesc!C135*$L$4/INDEX($L$2:$L$6,IFERROR(IF(ISNUMBER(INDEX(aditivos!$O$2:$O$200,MATCH($A135,aditivos!$A$2:$A$200,0))),MIN(INDEX(aditivos!$O$2:$O$200,MATCH($A135,aditivos!$A$2:$A$200,0)),posicao_contratual!$Y135),posicao_contratual!$Y135),posicao_contratual!$Y135)+1),2))))))</f>
        <v/>
      </c>
      <c r="F135" s="79" t="str">
        <f>IF(OR($A135="",posicao_contratual!$Y135=""),"",IF(posicao_contratual!$Y135&gt;3,"",IF(NOT(ISNUMBER(itens_Remanesc!C135)),"",IF(posicao_contratual!$Y135=3,IF(IFERROR(IF(ISNUMBER(INDEX(aditivos!$O$2:$O$200,MATCH($A135,aditivos!$A$2:$A$200,0))),MIN(INDEX(aditivos!$O$2:$O$200,MATCH($A135,aditivos!$A$2:$A$200,0)),posicao_contratual!$Y135),posicao_contratual!$Y135),posicao_contratual!$Y135)=3,itens_Remanesc!C135,IFERROR(ROUND(itens_Remanesc!C135*INDEX($L$2:$L$6,MIN(3+1,COUNT($L$2:$L$6)))/INDEX($L$2:$L$6,MIN(IFERROR(IF(ISNUMBER(INDEX(aditivos!$O$2:$O$200,MATCH($A135,aditivos!$A$2:$A$200,0))),MIN(INDEX(aditivos!$O$2:$O$200,MATCH($A135,aditivos!$A$2:$A$200,0)),posicao_contratual!$Y135),posicao_contratual!$Y135),posicao_contratual!$Y135)+1,COUNT($L$2:$L$6))),2),"")),IF(OR(NOT(ISNUMBER($L$5)),NOT(ISNUMBER(INDEX($L$2:$L$6,IFERROR(IF(ISNUMBER(INDEX(aditivos!$O$2:$O$200,MATCH($A135,aditivos!$A$2:$A$200,0))),MIN(INDEX(aditivos!$O$2:$O$200,MATCH($A135,aditivos!$A$2:$A$200,0)),posicao_contratual!$Y135),posicao_contratual!$Y135),posicao_contratual!$Y135)+1)))),"",ROUND(itens_Remanesc!C135*$L$5/INDEX($L$2:$L$6,IFERROR(IF(ISNUMBER(INDEX(aditivos!$O$2:$O$200,MATCH($A135,aditivos!$A$2:$A$200,0))),MIN(INDEX(aditivos!$O$2:$O$200,MATCH($A135,aditivos!$A$2:$A$200,0)),posicao_contratual!$Y135),posicao_contratual!$Y135),posicao_contratual!$Y135)+1),2))))))</f>
        <v/>
      </c>
      <c r="G135" s="79" t="str">
        <f>IF(OR($A135="",posicao_contratual!$Y135=""),"",IF(posicao_contratual!$Y135&gt;4,"",IF(NOT(ISNUMBER(itens_Remanesc!C135)),"",IF(posicao_contratual!$Y135=4,IF(IFERROR(IF(ISNUMBER(INDEX(aditivos!$O$2:$O$200,MATCH($A135,aditivos!$A$2:$A$200,0))),MIN(INDEX(aditivos!$O$2:$O$200,MATCH($A135,aditivos!$A$2:$A$200,0)),posicao_contratual!$Y135),posicao_contratual!$Y135),posicao_contratual!$Y135)=4,itens_Remanesc!C135,IFERROR(ROUND(itens_Remanesc!C135*INDEX($L$2:$L$6,MIN(4+1,COUNT($L$2:$L$6)))/INDEX($L$2:$L$6,MIN(IFERROR(IF(ISNUMBER(INDEX(aditivos!$O$2:$O$200,MATCH($A135,aditivos!$A$2:$A$200,0))),MIN(INDEX(aditivos!$O$2:$O$200,MATCH($A135,aditivos!$A$2:$A$200,0)),posicao_contratual!$Y135),posicao_contratual!$Y135),posicao_contratual!$Y135)+1,COUNT($L$2:$L$6))),2),"")),IF(OR(NOT(ISNUMBER($L$6)),NOT(ISNUMBER(INDEX($L$2:$L$6,IFERROR(IF(ISNUMBER(INDEX(aditivos!$O$2:$O$200,MATCH($A135,aditivos!$A$2:$A$200,0))),MIN(INDEX(aditivos!$O$2:$O$200,MATCH($A135,aditivos!$A$2:$A$200,0)),posicao_contratual!$Y135),posicao_contratual!$Y135),posicao_contratual!$Y135)+1)))),"",ROUND(itens_Remanesc!C135*$L$6/INDEX($L$2:$L$6,IFERROR(IF(ISNUMBER(INDEX(aditivos!$O$2:$O$200,MATCH($A135,aditivos!$A$2:$A$200,0))),MIN(INDEX(aditivos!$O$2:$O$200,MATCH($A135,aditivos!$A$2:$A$200,0)),posicao_contratual!$Y135),posicao_contratual!$Y135),posicao_contratual!$Y135)+1),2))))))</f>
        <v/>
      </c>
      <c r="H135" s="116" t="str">
        <f t="shared" si="4"/>
        <v/>
      </c>
      <c r="I135" s="13"/>
      <c r="J135" s="13"/>
      <c r="K135" s="13"/>
      <c r="L135" s="13"/>
      <c r="M135" s="13"/>
      <c r="N135" s="147" t="str">
        <f>IF(A135="","",IF(posicao_contratual!$Y135="","",IF(posicao_contratual!$Y135&gt;0,"",posicao_contratual!E135)))</f>
        <v/>
      </c>
      <c r="O135" s="147" t="str">
        <f>IF(A135="","",IF(posicao_contratual!$Y135="","",IF(posicao_contratual!$Y135&gt;1,"",posicao_contratual!I135)))</f>
        <v/>
      </c>
      <c r="P135" s="147" t="str">
        <f>IF(A135="","",IF(posicao_contratual!$Y135="","",IF(posicao_contratual!$Y135&gt;2,"",posicao_contratual!M135)))</f>
        <v/>
      </c>
      <c r="Q135" s="147" t="str">
        <f>IF(A135="","",IF(posicao_contratual!$Y135="","",IF(posicao_contratual!$Y135&gt;3,"",posicao_contratual!Q135)))</f>
        <v/>
      </c>
      <c r="R135" s="147" t="str">
        <f>IF(A135="","",IF(posicao_contratual!$Y135="","",IF(posicao_contratual!$Y135&gt;4,"",posicao_contratual!U135)))</f>
        <v/>
      </c>
      <c r="S135" s="167" t="str">
        <f>IF(A135="","",posicao_contratual!G135)</f>
        <v/>
      </c>
      <c r="T135" s="167" t="str">
        <f>IF(A135="","",posicao_contratual!K135)</f>
        <v/>
      </c>
      <c r="U135" s="167" t="str">
        <f>IF(A135="","",posicao_contratual!O135)</f>
        <v/>
      </c>
      <c r="V135" s="167" t="str">
        <f>IF(A135="","",posicao_contratual!S135)</f>
        <v/>
      </c>
      <c r="W135" s="167" t="str">
        <f>IF(A135="","",posicao_contratual!W135)</f>
        <v/>
      </c>
    </row>
    <row r="136" spans="1:23" x14ac:dyDescent="0.35">
      <c r="A136" s="86" t="str">
        <f>IF(itens_Remanesc!A136="","",itens_Remanesc!A136)</f>
        <v/>
      </c>
      <c r="B136" s="85" t="str">
        <f>IF(A136="","",IF(posicao_contratual!$Y136="","",IF(posicao_contratual!$Y136&gt;0,"",posicao_contratual!G136)))</f>
        <v/>
      </c>
      <c r="C136" s="79" t="str">
        <f>IF(itens_Remanesc!A136="","",IF(posicao_contratual!$Y136="","",IF(posicao_contratual!$Y136&gt;0,"",itens_Remanesc!C136)))</f>
        <v/>
      </c>
      <c r="D136" s="79" t="str">
        <f>IF(OR($A136="",posicao_contratual!$Y136=""),"",IF(posicao_contratual!$Y136&gt;1,"",IF(NOT(ISNUMBER(itens_Remanesc!C136)),"",IF(posicao_contratual!$Y136=1,IF(IFERROR(IF(ISNUMBER(INDEX(aditivos!$O$2:$O$200,MATCH($A136,aditivos!$A$2:$A$200,0))),MIN(INDEX(aditivos!$O$2:$O$200,MATCH($A136,aditivos!$A$2:$A$200,0)),posicao_contratual!$Y136),posicao_contratual!$Y136),posicao_contratual!$Y136)=1,itens_Remanesc!C136,IFERROR(ROUND(itens_Remanesc!C136*INDEX($L$2:$L$6,MIN(1+1,COUNT($L$2:$L$6)))/INDEX($L$2:$L$6,MIN(IFERROR(IF(ISNUMBER(INDEX(aditivos!$O$2:$O$200,MATCH($A136,aditivos!$A$2:$A$200,0))),MIN(INDEX(aditivos!$O$2:$O$200,MATCH($A136,aditivos!$A$2:$A$200,0)),posicao_contratual!$Y136),posicao_contratual!$Y136),posicao_contratual!$Y136)+1,COUNT($L$2:$L$6))),2),"")),IF(OR(NOT(ISNUMBER($L$3)),NOT(ISNUMBER(INDEX($L$2:$L$6,IFERROR(IF(ISNUMBER(INDEX(aditivos!$O$2:$O$200,MATCH($A136,aditivos!$A$2:$A$200,0))),MIN(INDEX(aditivos!$O$2:$O$200,MATCH($A136,aditivos!$A$2:$A$200,0)),posicao_contratual!$Y136),posicao_contratual!$Y136),posicao_contratual!$Y136)+1)))),"",ROUND(itens_Remanesc!C136*$L$3/INDEX($L$2:$L$6,IFERROR(IF(ISNUMBER(INDEX(aditivos!$O$2:$O$200,MATCH($A136,aditivos!$A$2:$A$200,0))),MIN(INDEX(aditivos!$O$2:$O$200,MATCH($A136,aditivos!$A$2:$A$200,0)),posicao_contratual!$Y136),posicao_contratual!$Y136),posicao_contratual!$Y136)+1),2))))))</f>
        <v/>
      </c>
      <c r="E136" s="79" t="str">
        <f>IF(OR($A136="",posicao_contratual!$Y136=""),"",IF(posicao_contratual!$Y136&gt;2,"",IF(NOT(ISNUMBER(itens_Remanesc!C136)),"",IF(posicao_contratual!$Y136=2,IF(IFERROR(IF(ISNUMBER(INDEX(aditivos!$O$2:$O$200,MATCH($A136,aditivos!$A$2:$A$200,0))),MIN(INDEX(aditivos!$O$2:$O$200,MATCH($A136,aditivos!$A$2:$A$200,0)),posicao_contratual!$Y136),posicao_contratual!$Y136),posicao_contratual!$Y136)=2,itens_Remanesc!C136,IFERROR(ROUND(itens_Remanesc!C136*INDEX($L$2:$L$6,MIN(2+1,COUNT($L$2:$L$6)))/INDEX($L$2:$L$6,MIN(IFERROR(IF(ISNUMBER(INDEX(aditivos!$O$2:$O$200,MATCH($A136,aditivos!$A$2:$A$200,0))),MIN(INDEX(aditivos!$O$2:$O$200,MATCH($A136,aditivos!$A$2:$A$200,0)),posicao_contratual!$Y136),posicao_contratual!$Y136),posicao_contratual!$Y136)+1,COUNT($L$2:$L$6))),2),"")),IF(OR(NOT(ISNUMBER($L$4)),NOT(ISNUMBER(INDEX($L$2:$L$6,IFERROR(IF(ISNUMBER(INDEX(aditivos!$O$2:$O$200,MATCH($A136,aditivos!$A$2:$A$200,0))),MIN(INDEX(aditivos!$O$2:$O$200,MATCH($A136,aditivos!$A$2:$A$200,0)),posicao_contratual!$Y136),posicao_contratual!$Y136),posicao_contratual!$Y136)+1)))),"",ROUND(itens_Remanesc!C136*$L$4/INDEX($L$2:$L$6,IFERROR(IF(ISNUMBER(INDEX(aditivos!$O$2:$O$200,MATCH($A136,aditivos!$A$2:$A$200,0))),MIN(INDEX(aditivos!$O$2:$O$200,MATCH($A136,aditivos!$A$2:$A$200,0)),posicao_contratual!$Y136),posicao_contratual!$Y136),posicao_contratual!$Y136)+1),2))))))</f>
        <v/>
      </c>
      <c r="F136" s="79" t="str">
        <f>IF(OR($A136="",posicao_contratual!$Y136=""),"",IF(posicao_contratual!$Y136&gt;3,"",IF(NOT(ISNUMBER(itens_Remanesc!C136)),"",IF(posicao_contratual!$Y136=3,IF(IFERROR(IF(ISNUMBER(INDEX(aditivos!$O$2:$O$200,MATCH($A136,aditivos!$A$2:$A$200,0))),MIN(INDEX(aditivos!$O$2:$O$200,MATCH($A136,aditivos!$A$2:$A$200,0)),posicao_contratual!$Y136),posicao_contratual!$Y136),posicao_contratual!$Y136)=3,itens_Remanesc!C136,IFERROR(ROUND(itens_Remanesc!C136*INDEX($L$2:$L$6,MIN(3+1,COUNT($L$2:$L$6)))/INDEX($L$2:$L$6,MIN(IFERROR(IF(ISNUMBER(INDEX(aditivos!$O$2:$O$200,MATCH($A136,aditivos!$A$2:$A$200,0))),MIN(INDEX(aditivos!$O$2:$O$200,MATCH($A136,aditivos!$A$2:$A$200,0)),posicao_contratual!$Y136),posicao_contratual!$Y136),posicao_contratual!$Y136)+1,COUNT($L$2:$L$6))),2),"")),IF(OR(NOT(ISNUMBER($L$5)),NOT(ISNUMBER(INDEX($L$2:$L$6,IFERROR(IF(ISNUMBER(INDEX(aditivos!$O$2:$O$200,MATCH($A136,aditivos!$A$2:$A$200,0))),MIN(INDEX(aditivos!$O$2:$O$200,MATCH($A136,aditivos!$A$2:$A$200,0)),posicao_contratual!$Y136),posicao_contratual!$Y136),posicao_contratual!$Y136)+1)))),"",ROUND(itens_Remanesc!C136*$L$5/INDEX($L$2:$L$6,IFERROR(IF(ISNUMBER(INDEX(aditivos!$O$2:$O$200,MATCH($A136,aditivos!$A$2:$A$200,0))),MIN(INDEX(aditivos!$O$2:$O$200,MATCH($A136,aditivos!$A$2:$A$200,0)),posicao_contratual!$Y136),posicao_contratual!$Y136),posicao_contratual!$Y136)+1),2))))))</f>
        <v/>
      </c>
      <c r="G136" s="79" t="str">
        <f>IF(OR($A136="",posicao_contratual!$Y136=""),"",IF(posicao_contratual!$Y136&gt;4,"",IF(NOT(ISNUMBER(itens_Remanesc!C136)),"",IF(posicao_contratual!$Y136=4,IF(IFERROR(IF(ISNUMBER(INDEX(aditivos!$O$2:$O$200,MATCH($A136,aditivos!$A$2:$A$200,0))),MIN(INDEX(aditivos!$O$2:$O$200,MATCH($A136,aditivos!$A$2:$A$200,0)),posicao_contratual!$Y136),posicao_contratual!$Y136),posicao_contratual!$Y136)=4,itens_Remanesc!C136,IFERROR(ROUND(itens_Remanesc!C136*INDEX($L$2:$L$6,MIN(4+1,COUNT($L$2:$L$6)))/INDEX($L$2:$L$6,MIN(IFERROR(IF(ISNUMBER(INDEX(aditivos!$O$2:$O$200,MATCH($A136,aditivos!$A$2:$A$200,0))),MIN(INDEX(aditivos!$O$2:$O$200,MATCH($A136,aditivos!$A$2:$A$200,0)),posicao_contratual!$Y136),posicao_contratual!$Y136),posicao_contratual!$Y136)+1,COUNT($L$2:$L$6))),2),"")),IF(OR(NOT(ISNUMBER($L$6)),NOT(ISNUMBER(INDEX($L$2:$L$6,IFERROR(IF(ISNUMBER(INDEX(aditivos!$O$2:$O$200,MATCH($A136,aditivos!$A$2:$A$200,0))),MIN(INDEX(aditivos!$O$2:$O$200,MATCH($A136,aditivos!$A$2:$A$200,0)),posicao_contratual!$Y136),posicao_contratual!$Y136),posicao_contratual!$Y136)+1)))),"",ROUND(itens_Remanesc!C136*$L$6/INDEX($L$2:$L$6,IFERROR(IF(ISNUMBER(INDEX(aditivos!$O$2:$O$200,MATCH($A136,aditivos!$A$2:$A$200,0))),MIN(INDEX(aditivos!$O$2:$O$200,MATCH($A136,aditivos!$A$2:$A$200,0)),posicao_contratual!$Y136),posicao_contratual!$Y136),posicao_contratual!$Y136)+1),2))))))</f>
        <v/>
      </c>
      <c r="H136" s="116" t="str">
        <f t="shared" si="4"/>
        <v/>
      </c>
      <c r="I136" s="13"/>
      <c r="J136" s="13"/>
      <c r="K136" s="13"/>
      <c r="L136" s="13"/>
      <c r="M136" s="13"/>
      <c r="N136" s="147" t="str">
        <f>IF(A136="","",IF(posicao_contratual!$Y136="","",IF(posicao_contratual!$Y136&gt;0,"",posicao_contratual!E136)))</f>
        <v/>
      </c>
      <c r="O136" s="147" t="str">
        <f>IF(A136="","",IF(posicao_contratual!$Y136="","",IF(posicao_contratual!$Y136&gt;1,"",posicao_contratual!I136)))</f>
        <v/>
      </c>
      <c r="P136" s="147" t="str">
        <f>IF(A136="","",IF(posicao_contratual!$Y136="","",IF(posicao_contratual!$Y136&gt;2,"",posicao_contratual!M136)))</f>
        <v/>
      </c>
      <c r="Q136" s="147" t="str">
        <f>IF(A136="","",IF(posicao_contratual!$Y136="","",IF(posicao_contratual!$Y136&gt;3,"",posicao_contratual!Q136)))</f>
        <v/>
      </c>
      <c r="R136" s="147" t="str">
        <f>IF(A136="","",IF(posicao_contratual!$Y136="","",IF(posicao_contratual!$Y136&gt;4,"",posicao_contratual!U136)))</f>
        <v/>
      </c>
      <c r="S136" s="167" t="str">
        <f>IF(A136="","",posicao_contratual!G136)</f>
        <v/>
      </c>
      <c r="T136" s="167" t="str">
        <f>IF(A136="","",posicao_contratual!K136)</f>
        <v/>
      </c>
      <c r="U136" s="167" t="str">
        <f>IF(A136="","",posicao_contratual!O136)</f>
        <v/>
      </c>
      <c r="V136" s="167" t="str">
        <f>IF(A136="","",posicao_contratual!S136)</f>
        <v/>
      </c>
      <c r="W136" s="167" t="str">
        <f>IF(A136="","",posicao_contratual!W136)</f>
        <v/>
      </c>
    </row>
    <row r="137" spans="1:23" x14ac:dyDescent="0.35">
      <c r="A137" s="86" t="str">
        <f>IF(itens_Remanesc!A137="","",itens_Remanesc!A137)</f>
        <v/>
      </c>
      <c r="B137" s="85" t="str">
        <f>IF(A137="","",IF(posicao_contratual!$Y137="","",IF(posicao_contratual!$Y137&gt;0,"",posicao_contratual!G137)))</f>
        <v/>
      </c>
      <c r="C137" s="79" t="str">
        <f>IF(itens_Remanesc!A137="","",IF(posicao_contratual!$Y137="","",IF(posicao_contratual!$Y137&gt;0,"",itens_Remanesc!C137)))</f>
        <v/>
      </c>
      <c r="D137" s="79" t="str">
        <f>IF(OR($A137="",posicao_contratual!$Y137=""),"",IF(posicao_contratual!$Y137&gt;1,"",IF(NOT(ISNUMBER(itens_Remanesc!C137)),"",IF(posicao_contratual!$Y137=1,IF(IFERROR(IF(ISNUMBER(INDEX(aditivos!$O$2:$O$200,MATCH($A137,aditivos!$A$2:$A$200,0))),MIN(INDEX(aditivos!$O$2:$O$200,MATCH($A137,aditivos!$A$2:$A$200,0)),posicao_contratual!$Y137),posicao_contratual!$Y137),posicao_contratual!$Y137)=1,itens_Remanesc!C137,IFERROR(ROUND(itens_Remanesc!C137*INDEX($L$2:$L$6,MIN(1+1,COUNT($L$2:$L$6)))/INDEX($L$2:$L$6,MIN(IFERROR(IF(ISNUMBER(INDEX(aditivos!$O$2:$O$200,MATCH($A137,aditivos!$A$2:$A$200,0))),MIN(INDEX(aditivos!$O$2:$O$200,MATCH($A137,aditivos!$A$2:$A$200,0)),posicao_contratual!$Y137),posicao_contratual!$Y137),posicao_contratual!$Y137)+1,COUNT($L$2:$L$6))),2),"")),IF(OR(NOT(ISNUMBER($L$3)),NOT(ISNUMBER(INDEX($L$2:$L$6,IFERROR(IF(ISNUMBER(INDEX(aditivos!$O$2:$O$200,MATCH($A137,aditivos!$A$2:$A$200,0))),MIN(INDEX(aditivos!$O$2:$O$200,MATCH($A137,aditivos!$A$2:$A$200,0)),posicao_contratual!$Y137),posicao_contratual!$Y137),posicao_contratual!$Y137)+1)))),"",ROUND(itens_Remanesc!C137*$L$3/INDEX($L$2:$L$6,IFERROR(IF(ISNUMBER(INDEX(aditivos!$O$2:$O$200,MATCH($A137,aditivos!$A$2:$A$200,0))),MIN(INDEX(aditivos!$O$2:$O$200,MATCH($A137,aditivos!$A$2:$A$200,0)),posicao_contratual!$Y137),posicao_contratual!$Y137),posicao_contratual!$Y137)+1),2))))))</f>
        <v/>
      </c>
      <c r="E137" s="79" t="str">
        <f>IF(OR($A137="",posicao_contratual!$Y137=""),"",IF(posicao_contratual!$Y137&gt;2,"",IF(NOT(ISNUMBER(itens_Remanesc!C137)),"",IF(posicao_contratual!$Y137=2,IF(IFERROR(IF(ISNUMBER(INDEX(aditivos!$O$2:$O$200,MATCH($A137,aditivos!$A$2:$A$200,0))),MIN(INDEX(aditivos!$O$2:$O$200,MATCH($A137,aditivos!$A$2:$A$200,0)),posicao_contratual!$Y137),posicao_contratual!$Y137),posicao_contratual!$Y137)=2,itens_Remanesc!C137,IFERROR(ROUND(itens_Remanesc!C137*INDEX($L$2:$L$6,MIN(2+1,COUNT($L$2:$L$6)))/INDEX($L$2:$L$6,MIN(IFERROR(IF(ISNUMBER(INDEX(aditivos!$O$2:$O$200,MATCH($A137,aditivos!$A$2:$A$200,0))),MIN(INDEX(aditivos!$O$2:$O$200,MATCH($A137,aditivos!$A$2:$A$200,0)),posicao_contratual!$Y137),posicao_contratual!$Y137),posicao_contratual!$Y137)+1,COUNT($L$2:$L$6))),2),"")),IF(OR(NOT(ISNUMBER($L$4)),NOT(ISNUMBER(INDEX($L$2:$L$6,IFERROR(IF(ISNUMBER(INDEX(aditivos!$O$2:$O$200,MATCH($A137,aditivos!$A$2:$A$200,0))),MIN(INDEX(aditivos!$O$2:$O$200,MATCH($A137,aditivos!$A$2:$A$200,0)),posicao_contratual!$Y137),posicao_contratual!$Y137),posicao_contratual!$Y137)+1)))),"",ROUND(itens_Remanesc!C137*$L$4/INDEX($L$2:$L$6,IFERROR(IF(ISNUMBER(INDEX(aditivos!$O$2:$O$200,MATCH($A137,aditivos!$A$2:$A$200,0))),MIN(INDEX(aditivos!$O$2:$O$200,MATCH($A137,aditivos!$A$2:$A$200,0)),posicao_contratual!$Y137),posicao_contratual!$Y137),posicao_contratual!$Y137)+1),2))))))</f>
        <v/>
      </c>
      <c r="F137" s="79" t="str">
        <f>IF(OR($A137="",posicao_contratual!$Y137=""),"",IF(posicao_contratual!$Y137&gt;3,"",IF(NOT(ISNUMBER(itens_Remanesc!C137)),"",IF(posicao_contratual!$Y137=3,IF(IFERROR(IF(ISNUMBER(INDEX(aditivos!$O$2:$O$200,MATCH($A137,aditivos!$A$2:$A$200,0))),MIN(INDEX(aditivos!$O$2:$O$200,MATCH($A137,aditivos!$A$2:$A$200,0)),posicao_contratual!$Y137),posicao_contratual!$Y137),posicao_contratual!$Y137)=3,itens_Remanesc!C137,IFERROR(ROUND(itens_Remanesc!C137*INDEX($L$2:$L$6,MIN(3+1,COUNT($L$2:$L$6)))/INDEX($L$2:$L$6,MIN(IFERROR(IF(ISNUMBER(INDEX(aditivos!$O$2:$O$200,MATCH($A137,aditivos!$A$2:$A$200,0))),MIN(INDEX(aditivos!$O$2:$O$200,MATCH($A137,aditivos!$A$2:$A$200,0)),posicao_contratual!$Y137),posicao_contratual!$Y137),posicao_contratual!$Y137)+1,COUNT($L$2:$L$6))),2),"")),IF(OR(NOT(ISNUMBER($L$5)),NOT(ISNUMBER(INDEX($L$2:$L$6,IFERROR(IF(ISNUMBER(INDEX(aditivos!$O$2:$O$200,MATCH($A137,aditivos!$A$2:$A$200,0))),MIN(INDEX(aditivos!$O$2:$O$200,MATCH($A137,aditivos!$A$2:$A$200,0)),posicao_contratual!$Y137),posicao_contratual!$Y137),posicao_contratual!$Y137)+1)))),"",ROUND(itens_Remanesc!C137*$L$5/INDEX($L$2:$L$6,IFERROR(IF(ISNUMBER(INDEX(aditivos!$O$2:$O$200,MATCH($A137,aditivos!$A$2:$A$200,0))),MIN(INDEX(aditivos!$O$2:$O$200,MATCH($A137,aditivos!$A$2:$A$200,0)),posicao_contratual!$Y137),posicao_contratual!$Y137),posicao_contratual!$Y137)+1),2))))))</f>
        <v/>
      </c>
      <c r="G137" s="79" t="str">
        <f>IF(OR($A137="",posicao_contratual!$Y137=""),"",IF(posicao_contratual!$Y137&gt;4,"",IF(NOT(ISNUMBER(itens_Remanesc!C137)),"",IF(posicao_contratual!$Y137=4,IF(IFERROR(IF(ISNUMBER(INDEX(aditivos!$O$2:$O$200,MATCH($A137,aditivos!$A$2:$A$200,0))),MIN(INDEX(aditivos!$O$2:$O$200,MATCH($A137,aditivos!$A$2:$A$200,0)),posicao_contratual!$Y137),posicao_contratual!$Y137),posicao_contratual!$Y137)=4,itens_Remanesc!C137,IFERROR(ROUND(itens_Remanesc!C137*INDEX($L$2:$L$6,MIN(4+1,COUNT($L$2:$L$6)))/INDEX($L$2:$L$6,MIN(IFERROR(IF(ISNUMBER(INDEX(aditivos!$O$2:$O$200,MATCH($A137,aditivos!$A$2:$A$200,0))),MIN(INDEX(aditivos!$O$2:$O$200,MATCH($A137,aditivos!$A$2:$A$200,0)),posicao_contratual!$Y137),posicao_contratual!$Y137),posicao_contratual!$Y137)+1,COUNT($L$2:$L$6))),2),"")),IF(OR(NOT(ISNUMBER($L$6)),NOT(ISNUMBER(INDEX($L$2:$L$6,IFERROR(IF(ISNUMBER(INDEX(aditivos!$O$2:$O$200,MATCH($A137,aditivos!$A$2:$A$200,0))),MIN(INDEX(aditivos!$O$2:$O$200,MATCH($A137,aditivos!$A$2:$A$200,0)),posicao_contratual!$Y137),posicao_contratual!$Y137),posicao_contratual!$Y137)+1)))),"",ROUND(itens_Remanesc!C137*$L$6/INDEX($L$2:$L$6,IFERROR(IF(ISNUMBER(INDEX(aditivos!$O$2:$O$200,MATCH($A137,aditivos!$A$2:$A$200,0))),MIN(INDEX(aditivos!$O$2:$O$200,MATCH($A137,aditivos!$A$2:$A$200,0)),posicao_contratual!$Y137),posicao_contratual!$Y137),posicao_contratual!$Y137)+1),2))))))</f>
        <v/>
      </c>
      <c r="H137" s="116" t="str">
        <f t="shared" si="4"/>
        <v/>
      </c>
      <c r="I137" s="13"/>
      <c r="J137" s="13"/>
      <c r="K137" s="13"/>
      <c r="L137" s="13"/>
      <c r="M137" s="13"/>
      <c r="N137" s="147" t="str">
        <f>IF(A137="","",IF(posicao_contratual!$Y137="","",IF(posicao_contratual!$Y137&gt;0,"",posicao_contratual!E137)))</f>
        <v/>
      </c>
      <c r="O137" s="147" t="str">
        <f>IF(A137="","",IF(posicao_contratual!$Y137="","",IF(posicao_contratual!$Y137&gt;1,"",posicao_contratual!I137)))</f>
        <v/>
      </c>
      <c r="P137" s="147" t="str">
        <f>IF(A137="","",IF(posicao_contratual!$Y137="","",IF(posicao_contratual!$Y137&gt;2,"",posicao_contratual!M137)))</f>
        <v/>
      </c>
      <c r="Q137" s="147" t="str">
        <f>IF(A137="","",IF(posicao_contratual!$Y137="","",IF(posicao_contratual!$Y137&gt;3,"",posicao_contratual!Q137)))</f>
        <v/>
      </c>
      <c r="R137" s="147" t="str">
        <f>IF(A137="","",IF(posicao_contratual!$Y137="","",IF(posicao_contratual!$Y137&gt;4,"",posicao_contratual!U137)))</f>
        <v/>
      </c>
      <c r="S137" s="167" t="str">
        <f>IF(A137="","",posicao_contratual!G137)</f>
        <v/>
      </c>
      <c r="T137" s="167" t="str">
        <f>IF(A137="","",posicao_contratual!K137)</f>
        <v/>
      </c>
      <c r="U137" s="167" t="str">
        <f>IF(A137="","",posicao_contratual!O137)</f>
        <v/>
      </c>
      <c r="V137" s="167" t="str">
        <f>IF(A137="","",posicao_contratual!S137)</f>
        <v/>
      </c>
      <c r="W137" s="167" t="str">
        <f>IF(A137="","",posicao_contratual!W137)</f>
        <v/>
      </c>
    </row>
    <row r="138" spans="1:23" x14ac:dyDescent="0.35">
      <c r="A138" s="86" t="str">
        <f>IF(itens_Remanesc!A138="","",itens_Remanesc!A138)</f>
        <v/>
      </c>
      <c r="B138" s="85" t="str">
        <f>IF(A138="","",IF(posicao_contratual!$Y138="","",IF(posicao_contratual!$Y138&gt;0,"",posicao_contratual!G138)))</f>
        <v/>
      </c>
      <c r="C138" s="79" t="str">
        <f>IF(itens_Remanesc!A138="","",IF(posicao_contratual!$Y138="","",IF(posicao_contratual!$Y138&gt;0,"",itens_Remanesc!C138)))</f>
        <v/>
      </c>
      <c r="D138" s="79" t="str">
        <f>IF(OR($A138="",posicao_contratual!$Y138=""),"",IF(posicao_contratual!$Y138&gt;1,"",IF(NOT(ISNUMBER(itens_Remanesc!C138)),"",IF(posicao_contratual!$Y138=1,IF(IFERROR(IF(ISNUMBER(INDEX(aditivos!$O$2:$O$200,MATCH($A138,aditivos!$A$2:$A$200,0))),MIN(INDEX(aditivos!$O$2:$O$200,MATCH($A138,aditivos!$A$2:$A$200,0)),posicao_contratual!$Y138),posicao_contratual!$Y138),posicao_contratual!$Y138)=1,itens_Remanesc!C138,IFERROR(ROUND(itens_Remanesc!C138*INDEX($L$2:$L$6,MIN(1+1,COUNT($L$2:$L$6)))/INDEX($L$2:$L$6,MIN(IFERROR(IF(ISNUMBER(INDEX(aditivos!$O$2:$O$200,MATCH($A138,aditivos!$A$2:$A$200,0))),MIN(INDEX(aditivos!$O$2:$O$200,MATCH($A138,aditivos!$A$2:$A$200,0)),posicao_contratual!$Y138),posicao_contratual!$Y138),posicao_contratual!$Y138)+1,COUNT($L$2:$L$6))),2),"")),IF(OR(NOT(ISNUMBER($L$3)),NOT(ISNUMBER(INDEX($L$2:$L$6,IFERROR(IF(ISNUMBER(INDEX(aditivos!$O$2:$O$200,MATCH($A138,aditivos!$A$2:$A$200,0))),MIN(INDEX(aditivos!$O$2:$O$200,MATCH($A138,aditivos!$A$2:$A$200,0)),posicao_contratual!$Y138),posicao_contratual!$Y138),posicao_contratual!$Y138)+1)))),"",ROUND(itens_Remanesc!C138*$L$3/INDEX($L$2:$L$6,IFERROR(IF(ISNUMBER(INDEX(aditivos!$O$2:$O$200,MATCH($A138,aditivos!$A$2:$A$200,0))),MIN(INDEX(aditivos!$O$2:$O$200,MATCH($A138,aditivos!$A$2:$A$200,0)),posicao_contratual!$Y138),posicao_contratual!$Y138),posicao_contratual!$Y138)+1),2))))))</f>
        <v/>
      </c>
      <c r="E138" s="79" t="str">
        <f>IF(OR($A138="",posicao_contratual!$Y138=""),"",IF(posicao_contratual!$Y138&gt;2,"",IF(NOT(ISNUMBER(itens_Remanesc!C138)),"",IF(posicao_contratual!$Y138=2,IF(IFERROR(IF(ISNUMBER(INDEX(aditivos!$O$2:$O$200,MATCH($A138,aditivos!$A$2:$A$200,0))),MIN(INDEX(aditivos!$O$2:$O$200,MATCH($A138,aditivos!$A$2:$A$200,0)),posicao_contratual!$Y138),posicao_contratual!$Y138),posicao_contratual!$Y138)=2,itens_Remanesc!C138,IFERROR(ROUND(itens_Remanesc!C138*INDEX($L$2:$L$6,MIN(2+1,COUNT($L$2:$L$6)))/INDEX($L$2:$L$6,MIN(IFERROR(IF(ISNUMBER(INDEX(aditivos!$O$2:$O$200,MATCH($A138,aditivos!$A$2:$A$200,0))),MIN(INDEX(aditivos!$O$2:$O$200,MATCH($A138,aditivos!$A$2:$A$200,0)),posicao_contratual!$Y138),posicao_contratual!$Y138),posicao_contratual!$Y138)+1,COUNT($L$2:$L$6))),2),"")),IF(OR(NOT(ISNUMBER($L$4)),NOT(ISNUMBER(INDEX($L$2:$L$6,IFERROR(IF(ISNUMBER(INDEX(aditivos!$O$2:$O$200,MATCH($A138,aditivos!$A$2:$A$200,0))),MIN(INDEX(aditivos!$O$2:$O$200,MATCH($A138,aditivos!$A$2:$A$200,0)),posicao_contratual!$Y138),posicao_contratual!$Y138),posicao_contratual!$Y138)+1)))),"",ROUND(itens_Remanesc!C138*$L$4/INDEX($L$2:$L$6,IFERROR(IF(ISNUMBER(INDEX(aditivos!$O$2:$O$200,MATCH($A138,aditivos!$A$2:$A$200,0))),MIN(INDEX(aditivos!$O$2:$O$200,MATCH($A138,aditivos!$A$2:$A$200,0)),posicao_contratual!$Y138),posicao_contratual!$Y138),posicao_contratual!$Y138)+1),2))))))</f>
        <v/>
      </c>
      <c r="F138" s="79" t="str">
        <f>IF(OR($A138="",posicao_contratual!$Y138=""),"",IF(posicao_contratual!$Y138&gt;3,"",IF(NOT(ISNUMBER(itens_Remanesc!C138)),"",IF(posicao_contratual!$Y138=3,IF(IFERROR(IF(ISNUMBER(INDEX(aditivos!$O$2:$O$200,MATCH($A138,aditivos!$A$2:$A$200,0))),MIN(INDEX(aditivos!$O$2:$O$200,MATCH($A138,aditivos!$A$2:$A$200,0)),posicao_contratual!$Y138),posicao_contratual!$Y138),posicao_contratual!$Y138)=3,itens_Remanesc!C138,IFERROR(ROUND(itens_Remanesc!C138*INDEX($L$2:$L$6,MIN(3+1,COUNT($L$2:$L$6)))/INDEX($L$2:$L$6,MIN(IFERROR(IF(ISNUMBER(INDEX(aditivos!$O$2:$O$200,MATCH($A138,aditivos!$A$2:$A$200,0))),MIN(INDEX(aditivos!$O$2:$O$200,MATCH($A138,aditivos!$A$2:$A$200,0)),posicao_contratual!$Y138),posicao_contratual!$Y138),posicao_contratual!$Y138)+1,COUNT($L$2:$L$6))),2),"")),IF(OR(NOT(ISNUMBER($L$5)),NOT(ISNUMBER(INDEX($L$2:$L$6,IFERROR(IF(ISNUMBER(INDEX(aditivos!$O$2:$O$200,MATCH($A138,aditivos!$A$2:$A$200,0))),MIN(INDEX(aditivos!$O$2:$O$200,MATCH($A138,aditivos!$A$2:$A$200,0)),posicao_contratual!$Y138),posicao_contratual!$Y138),posicao_contratual!$Y138)+1)))),"",ROUND(itens_Remanesc!C138*$L$5/INDEX($L$2:$L$6,IFERROR(IF(ISNUMBER(INDEX(aditivos!$O$2:$O$200,MATCH($A138,aditivos!$A$2:$A$200,0))),MIN(INDEX(aditivos!$O$2:$O$200,MATCH($A138,aditivos!$A$2:$A$200,0)),posicao_contratual!$Y138),posicao_contratual!$Y138),posicao_contratual!$Y138)+1),2))))))</f>
        <v/>
      </c>
      <c r="G138" s="79" t="str">
        <f>IF(OR($A138="",posicao_contratual!$Y138=""),"",IF(posicao_contratual!$Y138&gt;4,"",IF(NOT(ISNUMBER(itens_Remanesc!C138)),"",IF(posicao_contratual!$Y138=4,IF(IFERROR(IF(ISNUMBER(INDEX(aditivos!$O$2:$O$200,MATCH($A138,aditivos!$A$2:$A$200,0))),MIN(INDEX(aditivos!$O$2:$O$200,MATCH($A138,aditivos!$A$2:$A$200,0)),posicao_contratual!$Y138),posicao_contratual!$Y138),posicao_contratual!$Y138)=4,itens_Remanesc!C138,IFERROR(ROUND(itens_Remanesc!C138*INDEX($L$2:$L$6,MIN(4+1,COUNT($L$2:$L$6)))/INDEX($L$2:$L$6,MIN(IFERROR(IF(ISNUMBER(INDEX(aditivos!$O$2:$O$200,MATCH($A138,aditivos!$A$2:$A$200,0))),MIN(INDEX(aditivos!$O$2:$O$200,MATCH($A138,aditivos!$A$2:$A$200,0)),posicao_contratual!$Y138),posicao_contratual!$Y138),posicao_contratual!$Y138)+1,COUNT($L$2:$L$6))),2),"")),IF(OR(NOT(ISNUMBER($L$6)),NOT(ISNUMBER(INDEX($L$2:$L$6,IFERROR(IF(ISNUMBER(INDEX(aditivos!$O$2:$O$200,MATCH($A138,aditivos!$A$2:$A$200,0))),MIN(INDEX(aditivos!$O$2:$O$200,MATCH($A138,aditivos!$A$2:$A$200,0)),posicao_contratual!$Y138),posicao_contratual!$Y138),posicao_contratual!$Y138)+1)))),"",ROUND(itens_Remanesc!C138*$L$6/INDEX($L$2:$L$6,IFERROR(IF(ISNUMBER(INDEX(aditivos!$O$2:$O$200,MATCH($A138,aditivos!$A$2:$A$200,0))),MIN(INDEX(aditivos!$O$2:$O$200,MATCH($A138,aditivos!$A$2:$A$200,0)),posicao_contratual!$Y138),posicao_contratual!$Y138),posicao_contratual!$Y138)+1),2))))))</f>
        <v/>
      </c>
      <c r="H138" s="116" t="str">
        <f t="shared" si="4"/>
        <v/>
      </c>
      <c r="I138" s="13"/>
      <c r="J138" s="13"/>
      <c r="K138" s="13"/>
      <c r="L138" s="13"/>
      <c r="M138" s="13"/>
      <c r="N138" s="147" t="str">
        <f>IF(A138="","",IF(posicao_contratual!$Y138="","",IF(posicao_contratual!$Y138&gt;0,"",posicao_contratual!E138)))</f>
        <v/>
      </c>
      <c r="O138" s="147" t="str">
        <f>IF(A138="","",IF(posicao_contratual!$Y138="","",IF(posicao_contratual!$Y138&gt;1,"",posicao_contratual!I138)))</f>
        <v/>
      </c>
      <c r="P138" s="147" t="str">
        <f>IF(A138="","",IF(posicao_contratual!$Y138="","",IF(posicao_contratual!$Y138&gt;2,"",posicao_contratual!M138)))</f>
        <v/>
      </c>
      <c r="Q138" s="147" t="str">
        <f>IF(A138="","",IF(posicao_contratual!$Y138="","",IF(posicao_contratual!$Y138&gt;3,"",posicao_contratual!Q138)))</f>
        <v/>
      </c>
      <c r="R138" s="147" t="str">
        <f>IF(A138="","",IF(posicao_contratual!$Y138="","",IF(posicao_contratual!$Y138&gt;4,"",posicao_contratual!U138)))</f>
        <v/>
      </c>
      <c r="S138" s="167" t="str">
        <f>IF(A138="","",posicao_contratual!G138)</f>
        <v/>
      </c>
      <c r="T138" s="167" t="str">
        <f>IF(A138="","",posicao_contratual!K138)</f>
        <v/>
      </c>
      <c r="U138" s="167" t="str">
        <f>IF(A138="","",posicao_contratual!O138)</f>
        <v/>
      </c>
      <c r="V138" s="167" t="str">
        <f>IF(A138="","",posicao_contratual!S138)</f>
        <v/>
      </c>
      <c r="W138" s="167" t="str">
        <f>IF(A138="","",posicao_contratual!W138)</f>
        <v/>
      </c>
    </row>
    <row r="139" spans="1:23" x14ac:dyDescent="0.35">
      <c r="A139" s="86" t="str">
        <f>IF(itens_Remanesc!A139="","",itens_Remanesc!A139)</f>
        <v/>
      </c>
      <c r="B139" s="85" t="str">
        <f>IF(A139="","",IF(posicao_contratual!$Y139="","",IF(posicao_contratual!$Y139&gt;0,"",posicao_contratual!G139)))</f>
        <v/>
      </c>
      <c r="C139" s="79" t="str">
        <f>IF(itens_Remanesc!A139="","",IF(posicao_contratual!$Y139="","",IF(posicao_contratual!$Y139&gt;0,"",itens_Remanesc!C139)))</f>
        <v/>
      </c>
      <c r="D139" s="79" t="str">
        <f>IF(OR($A139="",posicao_contratual!$Y139=""),"",IF(posicao_contratual!$Y139&gt;1,"",IF(NOT(ISNUMBER(itens_Remanesc!C139)),"",IF(posicao_contratual!$Y139=1,IF(IFERROR(IF(ISNUMBER(INDEX(aditivos!$O$2:$O$200,MATCH($A139,aditivos!$A$2:$A$200,0))),MIN(INDEX(aditivos!$O$2:$O$200,MATCH($A139,aditivos!$A$2:$A$200,0)),posicao_contratual!$Y139),posicao_contratual!$Y139),posicao_contratual!$Y139)=1,itens_Remanesc!C139,IFERROR(ROUND(itens_Remanesc!C139*INDEX($L$2:$L$6,MIN(1+1,COUNT($L$2:$L$6)))/INDEX($L$2:$L$6,MIN(IFERROR(IF(ISNUMBER(INDEX(aditivos!$O$2:$O$200,MATCH($A139,aditivos!$A$2:$A$200,0))),MIN(INDEX(aditivos!$O$2:$O$200,MATCH($A139,aditivos!$A$2:$A$200,0)),posicao_contratual!$Y139),posicao_contratual!$Y139),posicao_contratual!$Y139)+1,COUNT($L$2:$L$6))),2),"")),IF(OR(NOT(ISNUMBER($L$3)),NOT(ISNUMBER(INDEX($L$2:$L$6,IFERROR(IF(ISNUMBER(INDEX(aditivos!$O$2:$O$200,MATCH($A139,aditivos!$A$2:$A$200,0))),MIN(INDEX(aditivos!$O$2:$O$200,MATCH($A139,aditivos!$A$2:$A$200,0)),posicao_contratual!$Y139),posicao_contratual!$Y139),posicao_contratual!$Y139)+1)))),"",ROUND(itens_Remanesc!C139*$L$3/INDEX($L$2:$L$6,IFERROR(IF(ISNUMBER(INDEX(aditivos!$O$2:$O$200,MATCH($A139,aditivos!$A$2:$A$200,0))),MIN(INDEX(aditivos!$O$2:$O$200,MATCH($A139,aditivos!$A$2:$A$200,0)),posicao_contratual!$Y139),posicao_contratual!$Y139),posicao_contratual!$Y139)+1),2))))))</f>
        <v/>
      </c>
      <c r="E139" s="79" t="str">
        <f>IF(OR($A139="",posicao_contratual!$Y139=""),"",IF(posicao_contratual!$Y139&gt;2,"",IF(NOT(ISNUMBER(itens_Remanesc!C139)),"",IF(posicao_contratual!$Y139=2,IF(IFERROR(IF(ISNUMBER(INDEX(aditivos!$O$2:$O$200,MATCH($A139,aditivos!$A$2:$A$200,0))),MIN(INDEX(aditivos!$O$2:$O$200,MATCH($A139,aditivos!$A$2:$A$200,0)),posicao_contratual!$Y139),posicao_contratual!$Y139),posicao_contratual!$Y139)=2,itens_Remanesc!C139,IFERROR(ROUND(itens_Remanesc!C139*INDEX($L$2:$L$6,MIN(2+1,COUNT($L$2:$L$6)))/INDEX($L$2:$L$6,MIN(IFERROR(IF(ISNUMBER(INDEX(aditivos!$O$2:$O$200,MATCH($A139,aditivos!$A$2:$A$200,0))),MIN(INDEX(aditivos!$O$2:$O$200,MATCH($A139,aditivos!$A$2:$A$200,0)),posicao_contratual!$Y139),posicao_contratual!$Y139),posicao_contratual!$Y139)+1,COUNT($L$2:$L$6))),2),"")),IF(OR(NOT(ISNUMBER($L$4)),NOT(ISNUMBER(INDEX($L$2:$L$6,IFERROR(IF(ISNUMBER(INDEX(aditivos!$O$2:$O$200,MATCH($A139,aditivos!$A$2:$A$200,0))),MIN(INDEX(aditivos!$O$2:$O$200,MATCH($A139,aditivos!$A$2:$A$200,0)),posicao_contratual!$Y139),posicao_contratual!$Y139),posicao_contratual!$Y139)+1)))),"",ROUND(itens_Remanesc!C139*$L$4/INDEX($L$2:$L$6,IFERROR(IF(ISNUMBER(INDEX(aditivos!$O$2:$O$200,MATCH($A139,aditivos!$A$2:$A$200,0))),MIN(INDEX(aditivos!$O$2:$O$200,MATCH($A139,aditivos!$A$2:$A$200,0)),posicao_contratual!$Y139),posicao_contratual!$Y139),posicao_contratual!$Y139)+1),2))))))</f>
        <v/>
      </c>
      <c r="F139" s="79" t="str">
        <f>IF(OR($A139="",posicao_contratual!$Y139=""),"",IF(posicao_contratual!$Y139&gt;3,"",IF(NOT(ISNUMBER(itens_Remanesc!C139)),"",IF(posicao_contratual!$Y139=3,IF(IFERROR(IF(ISNUMBER(INDEX(aditivos!$O$2:$O$200,MATCH($A139,aditivos!$A$2:$A$200,0))),MIN(INDEX(aditivos!$O$2:$O$200,MATCH($A139,aditivos!$A$2:$A$200,0)),posicao_contratual!$Y139),posicao_contratual!$Y139),posicao_contratual!$Y139)=3,itens_Remanesc!C139,IFERROR(ROUND(itens_Remanesc!C139*INDEX($L$2:$L$6,MIN(3+1,COUNT($L$2:$L$6)))/INDEX($L$2:$L$6,MIN(IFERROR(IF(ISNUMBER(INDEX(aditivos!$O$2:$O$200,MATCH($A139,aditivos!$A$2:$A$200,0))),MIN(INDEX(aditivos!$O$2:$O$200,MATCH($A139,aditivos!$A$2:$A$200,0)),posicao_contratual!$Y139),posicao_contratual!$Y139),posicao_contratual!$Y139)+1,COUNT($L$2:$L$6))),2),"")),IF(OR(NOT(ISNUMBER($L$5)),NOT(ISNUMBER(INDEX($L$2:$L$6,IFERROR(IF(ISNUMBER(INDEX(aditivos!$O$2:$O$200,MATCH($A139,aditivos!$A$2:$A$200,0))),MIN(INDEX(aditivos!$O$2:$O$200,MATCH($A139,aditivos!$A$2:$A$200,0)),posicao_contratual!$Y139),posicao_contratual!$Y139),posicao_contratual!$Y139)+1)))),"",ROUND(itens_Remanesc!C139*$L$5/INDEX($L$2:$L$6,IFERROR(IF(ISNUMBER(INDEX(aditivos!$O$2:$O$200,MATCH($A139,aditivos!$A$2:$A$200,0))),MIN(INDEX(aditivos!$O$2:$O$200,MATCH($A139,aditivos!$A$2:$A$200,0)),posicao_contratual!$Y139),posicao_contratual!$Y139),posicao_contratual!$Y139)+1),2))))))</f>
        <v/>
      </c>
      <c r="G139" s="79" t="str">
        <f>IF(OR($A139="",posicao_contratual!$Y139=""),"",IF(posicao_contratual!$Y139&gt;4,"",IF(NOT(ISNUMBER(itens_Remanesc!C139)),"",IF(posicao_contratual!$Y139=4,IF(IFERROR(IF(ISNUMBER(INDEX(aditivos!$O$2:$O$200,MATCH($A139,aditivos!$A$2:$A$200,0))),MIN(INDEX(aditivos!$O$2:$O$200,MATCH($A139,aditivos!$A$2:$A$200,0)),posicao_contratual!$Y139),posicao_contratual!$Y139),posicao_contratual!$Y139)=4,itens_Remanesc!C139,IFERROR(ROUND(itens_Remanesc!C139*INDEX($L$2:$L$6,MIN(4+1,COUNT($L$2:$L$6)))/INDEX($L$2:$L$6,MIN(IFERROR(IF(ISNUMBER(INDEX(aditivos!$O$2:$O$200,MATCH($A139,aditivos!$A$2:$A$200,0))),MIN(INDEX(aditivos!$O$2:$O$200,MATCH($A139,aditivos!$A$2:$A$200,0)),posicao_contratual!$Y139),posicao_contratual!$Y139),posicao_contratual!$Y139)+1,COUNT($L$2:$L$6))),2),"")),IF(OR(NOT(ISNUMBER($L$6)),NOT(ISNUMBER(INDEX($L$2:$L$6,IFERROR(IF(ISNUMBER(INDEX(aditivos!$O$2:$O$200,MATCH($A139,aditivos!$A$2:$A$200,0))),MIN(INDEX(aditivos!$O$2:$O$200,MATCH($A139,aditivos!$A$2:$A$200,0)),posicao_contratual!$Y139),posicao_contratual!$Y139),posicao_contratual!$Y139)+1)))),"",ROUND(itens_Remanesc!C139*$L$6/INDEX($L$2:$L$6,IFERROR(IF(ISNUMBER(INDEX(aditivos!$O$2:$O$200,MATCH($A139,aditivos!$A$2:$A$200,0))),MIN(INDEX(aditivos!$O$2:$O$200,MATCH($A139,aditivos!$A$2:$A$200,0)),posicao_contratual!$Y139),posicao_contratual!$Y139),posicao_contratual!$Y139)+1),2))))))</f>
        <v/>
      </c>
      <c r="H139" s="116" t="str">
        <f t="shared" si="4"/>
        <v/>
      </c>
      <c r="I139" s="13"/>
      <c r="J139" s="13"/>
      <c r="K139" s="13"/>
      <c r="L139" s="13"/>
      <c r="M139" s="13"/>
      <c r="N139" s="147" t="str">
        <f>IF(A139="","",IF(posicao_contratual!$Y139="","",IF(posicao_contratual!$Y139&gt;0,"",posicao_contratual!E139)))</f>
        <v/>
      </c>
      <c r="O139" s="147" t="str">
        <f>IF(A139="","",IF(posicao_contratual!$Y139="","",IF(posicao_contratual!$Y139&gt;1,"",posicao_contratual!I139)))</f>
        <v/>
      </c>
      <c r="P139" s="147" t="str">
        <f>IF(A139="","",IF(posicao_contratual!$Y139="","",IF(posicao_contratual!$Y139&gt;2,"",posicao_contratual!M139)))</f>
        <v/>
      </c>
      <c r="Q139" s="147" t="str">
        <f>IF(A139="","",IF(posicao_contratual!$Y139="","",IF(posicao_contratual!$Y139&gt;3,"",posicao_contratual!Q139)))</f>
        <v/>
      </c>
      <c r="R139" s="147" t="str">
        <f>IF(A139="","",IF(posicao_contratual!$Y139="","",IF(posicao_contratual!$Y139&gt;4,"",posicao_contratual!U139)))</f>
        <v/>
      </c>
      <c r="S139" s="167" t="str">
        <f>IF(A139="","",posicao_contratual!G139)</f>
        <v/>
      </c>
      <c r="T139" s="167" t="str">
        <f>IF(A139="","",posicao_contratual!K139)</f>
        <v/>
      </c>
      <c r="U139" s="167" t="str">
        <f>IF(A139="","",posicao_contratual!O139)</f>
        <v/>
      </c>
      <c r="V139" s="167" t="str">
        <f>IF(A139="","",posicao_contratual!S139)</f>
        <v/>
      </c>
      <c r="W139" s="167" t="str">
        <f>IF(A139="","",posicao_contratual!W139)</f>
        <v/>
      </c>
    </row>
    <row r="140" spans="1:23" x14ac:dyDescent="0.35">
      <c r="A140" s="86" t="str">
        <f>IF(itens_Remanesc!A140="","",itens_Remanesc!A140)</f>
        <v/>
      </c>
      <c r="B140" s="85" t="str">
        <f>IF(A140="","",IF(posicao_contratual!$Y140="","",IF(posicao_contratual!$Y140&gt;0,"",posicao_contratual!G140)))</f>
        <v/>
      </c>
      <c r="C140" s="79" t="str">
        <f>IF(itens_Remanesc!A140="","",IF(posicao_contratual!$Y140="","",IF(posicao_contratual!$Y140&gt;0,"",itens_Remanesc!C140)))</f>
        <v/>
      </c>
      <c r="D140" s="79" t="str">
        <f>IF(OR($A140="",posicao_contratual!$Y140=""),"",IF(posicao_contratual!$Y140&gt;1,"",IF(NOT(ISNUMBER(itens_Remanesc!C140)),"",IF(posicao_contratual!$Y140=1,IF(IFERROR(IF(ISNUMBER(INDEX(aditivos!$O$2:$O$200,MATCH($A140,aditivos!$A$2:$A$200,0))),MIN(INDEX(aditivos!$O$2:$O$200,MATCH($A140,aditivos!$A$2:$A$200,0)),posicao_contratual!$Y140),posicao_contratual!$Y140),posicao_contratual!$Y140)=1,itens_Remanesc!C140,IFERROR(ROUND(itens_Remanesc!C140*INDEX($L$2:$L$6,MIN(1+1,COUNT($L$2:$L$6)))/INDEX($L$2:$L$6,MIN(IFERROR(IF(ISNUMBER(INDEX(aditivos!$O$2:$O$200,MATCH($A140,aditivos!$A$2:$A$200,0))),MIN(INDEX(aditivos!$O$2:$O$200,MATCH($A140,aditivos!$A$2:$A$200,0)),posicao_contratual!$Y140),posicao_contratual!$Y140),posicao_contratual!$Y140)+1,COUNT($L$2:$L$6))),2),"")),IF(OR(NOT(ISNUMBER($L$3)),NOT(ISNUMBER(INDEX($L$2:$L$6,IFERROR(IF(ISNUMBER(INDEX(aditivos!$O$2:$O$200,MATCH($A140,aditivos!$A$2:$A$200,0))),MIN(INDEX(aditivos!$O$2:$O$200,MATCH($A140,aditivos!$A$2:$A$200,0)),posicao_contratual!$Y140),posicao_contratual!$Y140),posicao_contratual!$Y140)+1)))),"",ROUND(itens_Remanesc!C140*$L$3/INDEX($L$2:$L$6,IFERROR(IF(ISNUMBER(INDEX(aditivos!$O$2:$O$200,MATCH($A140,aditivos!$A$2:$A$200,0))),MIN(INDEX(aditivos!$O$2:$O$200,MATCH($A140,aditivos!$A$2:$A$200,0)),posicao_contratual!$Y140),posicao_contratual!$Y140),posicao_contratual!$Y140)+1),2))))))</f>
        <v/>
      </c>
      <c r="E140" s="79" t="str">
        <f>IF(OR($A140="",posicao_contratual!$Y140=""),"",IF(posicao_contratual!$Y140&gt;2,"",IF(NOT(ISNUMBER(itens_Remanesc!C140)),"",IF(posicao_contratual!$Y140=2,IF(IFERROR(IF(ISNUMBER(INDEX(aditivos!$O$2:$O$200,MATCH($A140,aditivos!$A$2:$A$200,0))),MIN(INDEX(aditivos!$O$2:$O$200,MATCH($A140,aditivos!$A$2:$A$200,0)),posicao_contratual!$Y140),posicao_contratual!$Y140),posicao_contratual!$Y140)=2,itens_Remanesc!C140,IFERROR(ROUND(itens_Remanesc!C140*INDEX($L$2:$L$6,MIN(2+1,COUNT($L$2:$L$6)))/INDEX($L$2:$L$6,MIN(IFERROR(IF(ISNUMBER(INDEX(aditivos!$O$2:$O$200,MATCH($A140,aditivos!$A$2:$A$200,0))),MIN(INDEX(aditivos!$O$2:$O$200,MATCH($A140,aditivos!$A$2:$A$200,0)),posicao_contratual!$Y140),posicao_contratual!$Y140),posicao_contratual!$Y140)+1,COUNT($L$2:$L$6))),2),"")),IF(OR(NOT(ISNUMBER($L$4)),NOT(ISNUMBER(INDEX($L$2:$L$6,IFERROR(IF(ISNUMBER(INDEX(aditivos!$O$2:$O$200,MATCH($A140,aditivos!$A$2:$A$200,0))),MIN(INDEX(aditivos!$O$2:$O$200,MATCH($A140,aditivos!$A$2:$A$200,0)),posicao_contratual!$Y140),posicao_contratual!$Y140),posicao_contratual!$Y140)+1)))),"",ROUND(itens_Remanesc!C140*$L$4/INDEX($L$2:$L$6,IFERROR(IF(ISNUMBER(INDEX(aditivos!$O$2:$O$200,MATCH($A140,aditivos!$A$2:$A$200,0))),MIN(INDEX(aditivos!$O$2:$O$200,MATCH($A140,aditivos!$A$2:$A$200,0)),posicao_contratual!$Y140),posicao_contratual!$Y140),posicao_contratual!$Y140)+1),2))))))</f>
        <v/>
      </c>
      <c r="F140" s="79" t="str">
        <f>IF(OR($A140="",posicao_contratual!$Y140=""),"",IF(posicao_contratual!$Y140&gt;3,"",IF(NOT(ISNUMBER(itens_Remanesc!C140)),"",IF(posicao_contratual!$Y140=3,IF(IFERROR(IF(ISNUMBER(INDEX(aditivos!$O$2:$O$200,MATCH($A140,aditivos!$A$2:$A$200,0))),MIN(INDEX(aditivos!$O$2:$O$200,MATCH($A140,aditivos!$A$2:$A$200,0)),posicao_contratual!$Y140),posicao_contratual!$Y140),posicao_contratual!$Y140)=3,itens_Remanesc!C140,IFERROR(ROUND(itens_Remanesc!C140*INDEX($L$2:$L$6,MIN(3+1,COUNT($L$2:$L$6)))/INDEX($L$2:$L$6,MIN(IFERROR(IF(ISNUMBER(INDEX(aditivos!$O$2:$O$200,MATCH($A140,aditivos!$A$2:$A$200,0))),MIN(INDEX(aditivos!$O$2:$O$200,MATCH($A140,aditivos!$A$2:$A$200,0)),posicao_contratual!$Y140),posicao_contratual!$Y140),posicao_contratual!$Y140)+1,COUNT($L$2:$L$6))),2),"")),IF(OR(NOT(ISNUMBER($L$5)),NOT(ISNUMBER(INDEX($L$2:$L$6,IFERROR(IF(ISNUMBER(INDEX(aditivos!$O$2:$O$200,MATCH($A140,aditivos!$A$2:$A$200,0))),MIN(INDEX(aditivos!$O$2:$O$200,MATCH($A140,aditivos!$A$2:$A$200,0)),posicao_contratual!$Y140),posicao_contratual!$Y140),posicao_contratual!$Y140)+1)))),"",ROUND(itens_Remanesc!C140*$L$5/INDEX($L$2:$L$6,IFERROR(IF(ISNUMBER(INDEX(aditivos!$O$2:$O$200,MATCH($A140,aditivos!$A$2:$A$200,0))),MIN(INDEX(aditivos!$O$2:$O$200,MATCH($A140,aditivos!$A$2:$A$200,0)),posicao_contratual!$Y140),posicao_contratual!$Y140),posicao_contratual!$Y140)+1),2))))))</f>
        <v/>
      </c>
      <c r="G140" s="79" t="str">
        <f>IF(OR($A140="",posicao_contratual!$Y140=""),"",IF(posicao_contratual!$Y140&gt;4,"",IF(NOT(ISNUMBER(itens_Remanesc!C140)),"",IF(posicao_contratual!$Y140=4,IF(IFERROR(IF(ISNUMBER(INDEX(aditivos!$O$2:$O$200,MATCH($A140,aditivos!$A$2:$A$200,0))),MIN(INDEX(aditivos!$O$2:$O$200,MATCH($A140,aditivos!$A$2:$A$200,0)),posicao_contratual!$Y140),posicao_contratual!$Y140),posicao_contratual!$Y140)=4,itens_Remanesc!C140,IFERROR(ROUND(itens_Remanesc!C140*INDEX($L$2:$L$6,MIN(4+1,COUNT($L$2:$L$6)))/INDEX($L$2:$L$6,MIN(IFERROR(IF(ISNUMBER(INDEX(aditivos!$O$2:$O$200,MATCH($A140,aditivos!$A$2:$A$200,0))),MIN(INDEX(aditivos!$O$2:$O$200,MATCH($A140,aditivos!$A$2:$A$200,0)),posicao_contratual!$Y140),posicao_contratual!$Y140),posicao_contratual!$Y140)+1,COUNT($L$2:$L$6))),2),"")),IF(OR(NOT(ISNUMBER($L$6)),NOT(ISNUMBER(INDEX($L$2:$L$6,IFERROR(IF(ISNUMBER(INDEX(aditivos!$O$2:$O$200,MATCH($A140,aditivos!$A$2:$A$200,0))),MIN(INDEX(aditivos!$O$2:$O$200,MATCH($A140,aditivos!$A$2:$A$200,0)),posicao_contratual!$Y140),posicao_contratual!$Y140),posicao_contratual!$Y140)+1)))),"",ROUND(itens_Remanesc!C140*$L$6/INDEX($L$2:$L$6,IFERROR(IF(ISNUMBER(INDEX(aditivos!$O$2:$O$200,MATCH($A140,aditivos!$A$2:$A$200,0))),MIN(INDEX(aditivos!$O$2:$O$200,MATCH($A140,aditivos!$A$2:$A$200,0)),posicao_contratual!$Y140),posicao_contratual!$Y140),posicao_contratual!$Y140)+1),2))))))</f>
        <v/>
      </c>
      <c r="H140" s="116" t="str">
        <f t="shared" si="4"/>
        <v/>
      </c>
      <c r="I140" s="13"/>
      <c r="J140" s="13"/>
      <c r="K140" s="13"/>
      <c r="L140" s="13"/>
      <c r="M140" s="13"/>
      <c r="N140" s="147" t="str">
        <f>IF(A140="","",IF(posicao_contratual!$Y140="","",IF(posicao_contratual!$Y140&gt;0,"",posicao_contratual!E140)))</f>
        <v/>
      </c>
      <c r="O140" s="147" t="str">
        <f>IF(A140="","",IF(posicao_contratual!$Y140="","",IF(posicao_contratual!$Y140&gt;1,"",posicao_contratual!I140)))</f>
        <v/>
      </c>
      <c r="P140" s="147" t="str">
        <f>IF(A140="","",IF(posicao_contratual!$Y140="","",IF(posicao_contratual!$Y140&gt;2,"",posicao_contratual!M140)))</f>
        <v/>
      </c>
      <c r="Q140" s="147" t="str">
        <f>IF(A140="","",IF(posicao_contratual!$Y140="","",IF(posicao_contratual!$Y140&gt;3,"",posicao_contratual!Q140)))</f>
        <v/>
      </c>
      <c r="R140" s="147" t="str">
        <f>IF(A140="","",IF(posicao_contratual!$Y140="","",IF(posicao_contratual!$Y140&gt;4,"",posicao_contratual!U140)))</f>
        <v/>
      </c>
      <c r="S140" s="167" t="str">
        <f>IF(A140="","",posicao_contratual!G140)</f>
        <v/>
      </c>
      <c r="T140" s="167" t="str">
        <f>IF(A140="","",posicao_contratual!K140)</f>
        <v/>
      </c>
      <c r="U140" s="167" t="str">
        <f>IF(A140="","",posicao_contratual!O140)</f>
        <v/>
      </c>
      <c r="V140" s="167" t="str">
        <f>IF(A140="","",posicao_contratual!S140)</f>
        <v/>
      </c>
      <c r="W140" s="167" t="str">
        <f>IF(A140="","",posicao_contratual!W140)</f>
        <v/>
      </c>
    </row>
    <row r="141" spans="1:23" x14ac:dyDescent="0.35">
      <c r="A141" s="86" t="str">
        <f>IF(itens_Remanesc!A141="","",itens_Remanesc!A141)</f>
        <v/>
      </c>
      <c r="B141" s="85" t="str">
        <f>IF(A141="","",IF(posicao_contratual!$Y141="","",IF(posicao_contratual!$Y141&gt;0,"",posicao_contratual!G141)))</f>
        <v/>
      </c>
      <c r="C141" s="79" t="str">
        <f>IF(itens_Remanesc!A141="","",IF(posicao_contratual!$Y141="","",IF(posicao_contratual!$Y141&gt;0,"",itens_Remanesc!C141)))</f>
        <v/>
      </c>
      <c r="D141" s="79" t="str">
        <f>IF(OR($A141="",posicao_contratual!$Y141=""),"",IF(posicao_contratual!$Y141&gt;1,"",IF(NOT(ISNUMBER(itens_Remanesc!C141)),"",IF(posicao_contratual!$Y141=1,IF(IFERROR(IF(ISNUMBER(INDEX(aditivos!$O$2:$O$200,MATCH($A141,aditivos!$A$2:$A$200,0))),MIN(INDEX(aditivos!$O$2:$O$200,MATCH($A141,aditivos!$A$2:$A$200,0)),posicao_contratual!$Y141),posicao_contratual!$Y141),posicao_contratual!$Y141)=1,itens_Remanesc!C141,IFERROR(ROUND(itens_Remanesc!C141*INDEX($L$2:$L$6,MIN(1+1,COUNT($L$2:$L$6)))/INDEX($L$2:$L$6,MIN(IFERROR(IF(ISNUMBER(INDEX(aditivos!$O$2:$O$200,MATCH($A141,aditivos!$A$2:$A$200,0))),MIN(INDEX(aditivos!$O$2:$O$200,MATCH($A141,aditivos!$A$2:$A$200,0)),posicao_contratual!$Y141),posicao_contratual!$Y141),posicao_contratual!$Y141)+1,COUNT($L$2:$L$6))),2),"")),IF(OR(NOT(ISNUMBER($L$3)),NOT(ISNUMBER(INDEX($L$2:$L$6,IFERROR(IF(ISNUMBER(INDEX(aditivos!$O$2:$O$200,MATCH($A141,aditivos!$A$2:$A$200,0))),MIN(INDEX(aditivos!$O$2:$O$200,MATCH($A141,aditivos!$A$2:$A$200,0)),posicao_contratual!$Y141),posicao_contratual!$Y141),posicao_contratual!$Y141)+1)))),"",ROUND(itens_Remanesc!C141*$L$3/INDEX($L$2:$L$6,IFERROR(IF(ISNUMBER(INDEX(aditivos!$O$2:$O$200,MATCH($A141,aditivos!$A$2:$A$200,0))),MIN(INDEX(aditivos!$O$2:$O$200,MATCH($A141,aditivos!$A$2:$A$200,0)),posicao_contratual!$Y141),posicao_contratual!$Y141),posicao_contratual!$Y141)+1),2))))))</f>
        <v/>
      </c>
      <c r="E141" s="79" t="str">
        <f>IF(OR($A141="",posicao_contratual!$Y141=""),"",IF(posicao_contratual!$Y141&gt;2,"",IF(NOT(ISNUMBER(itens_Remanesc!C141)),"",IF(posicao_contratual!$Y141=2,IF(IFERROR(IF(ISNUMBER(INDEX(aditivos!$O$2:$O$200,MATCH($A141,aditivos!$A$2:$A$200,0))),MIN(INDEX(aditivos!$O$2:$O$200,MATCH($A141,aditivos!$A$2:$A$200,0)),posicao_contratual!$Y141),posicao_contratual!$Y141),posicao_contratual!$Y141)=2,itens_Remanesc!C141,IFERROR(ROUND(itens_Remanesc!C141*INDEX($L$2:$L$6,MIN(2+1,COUNT($L$2:$L$6)))/INDEX($L$2:$L$6,MIN(IFERROR(IF(ISNUMBER(INDEX(aditivos!$O$2:$O$200,MATCH($A141,aditivos!$A$2:$A$200,0))),MIN(INDEX(aditivos!$O$2:$O$200,MATCH($A141,aditivos!$A$2:$A$200,0)),posicao_contratual!$Y141),posicao_contratual!$Y141),posicao_contratual!$Y141)+1,COUNT($L$2:$L$6))),2),"")),IF(OR(NOT(ISNUMBER($L$4)),NOT(ISNUMBER(INDEX($L$2:$L$6,IFERROR(IF(ISNUMBER(INDEX(aditivos!$O$2:$O$200,MATCH($A141,aditivos!$A$2:$A$200,0))),MIN(INDEX(aditivos!$O$2:$O$200,MATCH($A141,aditivos!$A$2:$A$200,0)),posicao_contratual!$Y141),posicao_contratual!$Y141),posicao_contratual!$Y141)+1)))),"",ROUND(itens_Remanesc!C141*$L$4/INDEX($L$2:$L$6,IFERROR(IF(ISNUMBER(INDEX(aditivos!$O$2:$O$200,MATCH($A141,aditivos!$A$2:$A$200,0))),MIN(INDEX(aditivos!$O$2:$O$200,MATCH($A141,aditivos!$A$2:$A$200,0)),posicao_contratual!$Y141),posicao_contratual!$Y141),posicao_contratual!$Y141)+1),2))))))</f>
        <v/>
      </c>
      <c r="F141" s="79" t="str">
        <f>IF(OR($A141="",posicao_contratual!$Y141=""),"",IF(posicao_contratual!$Y141&gt;3,"",IF(NOT(ISNUMBER(itens_Remanesc!C141)),"",IF(posicao_contratual!$Y141=3,IF(IFERROR(IF(ISNUMBER(INDEX(aditivos!$O$2:$O$200,MATCH($A141,aditivos!$A$2:$A$200,0))),MIN(INDEX(aditivos!$O$2:$O$200,MATCH($A141,aditivos!$A$2:$A$200,0)),posicao_contratual!$Y141),posicao_contratual!$Y141),posicao_contratual!$Y141)=3,itens_Remanesc!C141,IFERROR(ROUND(itens_Remanesc!C141*INDEX($L$2:$L$6,MIN(3+1,COUNT($L$2:$L$6)))/INDEX($L$2:$L$6,MIN(IFERROR(IF(ISNUMBER(INDEX(aditivos!$O$2:$O$200,MATCH($A141,aditivos!$A$2:$A$200,0))),MIN(INDEX(aditivos!$O$2:$O$200,MATCH($A141,aditivos!$A$2:$A$200,0)),posicao_contratual!$Y141),posicao_contratual!$Y141),posicao_contratual!$Y141)+1,COUNT($L$2:$L$6))),2),"")),IF(OR(NOT(ISNUMBER($L$5)),NOT(ISNUMBER(INDEX($L$2:$L$6,IFERROR(IF(ISNUMBER(INDEX(aditivos!$O$2:$O$200,MATCH($A141,aditivos!$A$2:$A$200,0))),MIN(INDEX(aditivos!$O$2:$O$200,MATCH($A141,aditivos!$A$2:$A$200,0)),posicao_contratual!$Y141),posicao_contratual!$Y141),posicao_contratual!$Y141)+1)))),"",ROUND(itens_Remanesc!C141*$L$5/INDEX($L$2:$L$6,IFERROR(IF(ISNUMBER(INDEX(aditivos!$O$2:$O$200,MATCH($A141,aditivos!$A$2:$A$200,0))),MIN(INDEX(aditivos!$O$2:$O$200,MATCH($A141,aditivos!$A$2:$A$200,0)),posicao_contratual!$Y141),posicao_contratual!$Y141),posicao_contratual!$Y141)+1),2))))))</f>
        <v/>
      </c>
      <c r="G141" s="79" t="str">
        <f>IF(OR($A141="",posicao_contratual!$Y141=""),"",IF(posicao_contratual!$Y141&gt;4,"",IF(NOT(ISNUMBER(itens_Remanesc!C141)),"",IF(posicao_contratual!$Y141=4,IF(IFERROR(IF(ISNUMBER(INDEX(aditivos!$O$2:$O$200,MATCH($A141,aditivos!$A$2:$A$200,0))),MIN(INDEX(aditivos!$O$2:$O$200,MATCH($A141,aditivos!$A$2:$A$200,0)),posicao_contratual!$Y141),posicao_contratual!$Y141),posicao_contratual!$Y141)=4,itens_Remanesc!C141,IFERROR(ROUND(itens_Remanesc!C141*INDEX($L$2:$L$6,MIN(4+1,COUNT($L$2:$L$6)))/INDEX($L$2:$L$6,MIN(IFERROR(IF(ISNUMBER(INDEX(aditivos!$O$2:$O$200,MATCH($A141,aditivos!$A$2:$A$200,0))),MIN(INDEX(aditivos!$O$2:$O$200,MATCH($A141,aditivos!$A$2:$A$200,0)),posicao_contratual!$Y141),posicao_contratual!$Y141),posicao_contratual!$Y141)+1,COUNT($L$2:$L$6))),2),"")),IF(OR(NOT(ISNUMBER($L$6)),NOT(ISNUMBER(INDEX($L$2:$L$6,IFERROR(IF(ISNUMBER(INDEX(aditivos!$O$2:$O$200,MATCH($A141,aditivos!$A$2:$A$200,0))),MIN(INDEX(aditivos!$O$2:$O$200,MATCH($A141,aditivos!$A$2:$A$200,0)),posicao_contratual!$Y141),posicao_contratual!$Y141),posicao_contratual!$Y141)+1)))),"",ROUND(itens_Remanesc!C141*$L$6/INDEX($L$2:$L$6,IFERROR(IF(ISNUMBER(INDEX(aditivos!$O$2:$O$200,MATCH($A141,aditivos!$A$2:$A$200,0))),MIN(INDEX(aditivos!$O$2:$O$200,MATCH($A141,aditivos!$A$2:$A$200,0)),posicao_contratual!$Y141),posicao_contratual!$Y141),posicao_contratual!$Y141)+1),2))))))</f>
        <v/>
      </c>
      <c r="H141" s="116" t="str">
        <f t="shared" si="4"/>
        <v/>
      </c>
      <c r="I141" s="13"/>
      <c r="J141" s="13"/>
      <c r="K141" s="13"/>
      <c r="L141" s="13"/>
      <c r="M141" s="13"/>
      <c r="N141" s="147" t="str">
        <f>IF(A141="","",IF(posicao_contratual!$Y141="","",IF(posicao_contratual!$Y141&gt;0,"",posicao_contratual!E141)))</f>
        <v/>
      </c>
      <c r="O141" s="147" t="str">
        <f>IF(A141="","",IF(posicao_contratual!$Y141="","",IF(posicao_contratual!$Y141&gt;1,"",posicao_contratual!I141)))</f>
        <v/>
      </c>
      <c r="P141" s="147" t="str">
        <f>IF(A141="","",IF(posicao_contratual!$Y141="","",IF(posicao_contratual!$Y141&gt;2,"",posicao_contratual!M141)))</f>
        <v/>
      </c>
      <c r="Q141" s="147" t="str">
        <f>IF(A141="","",IF(posicao_contratual!$Y141="","",IF(posicao_contratual!$Y141&gt;3,"",posicao_contratual!Q141)))</f>
        <v/>
      </c>
      <c r="R141" s="147" t="str">
        <f>IF(A141="","",IF(posicao_contratual!$Y141="","",IF(posicao_contratual!$Y141&gt;4,"",posicao_contratual!U141)))</f>
        <v/>
      </c>
      <c r="S141" s="167" t="str">
        <f>IF(A141="","",posicao_contratual!G141)</f>
        <v/>
      </c>
      <c r="T141" s="167" t="str">
        <f>IF(A141="","",posicao_contratual!K141)</f>
        <v/>
      </c>
      <c r="U141" s="167" t="str">
        <f>IF(A141="","",posicao_contratual!O141)</f>
        <v/>
      </c>
      <c r="V141" s="167" t="str">
        <f>IF(A141="","",posicao_contratual!S141)</f>
        <v/>
      </c>
      <c r="W141" s="167" t="str">
        <f>IF(A141="","",posicao_contratual!W141)</f>
        <v/>
      </c>
    </row>
    <row r="142" spans="1:23" x14ac:dyDescent="0.35">
      <c r="A142" s="86" t="str">
        <f>IF(itens_Remanesc!A142="","",itens_Remanesc!A142)</f>
        <v/>
      </c>
      <c r="B142" s="85" t="str">
        <f>IF(A142="","",IF(posicao_contratual!$Y142="","",IF(posicao_contratual!$Y142&gt;0,"",posicao_contratual!G142)))</f>
        <v/>
      </c>
      <c r="C142" s="79" t="str">
        <f>IF(itens_Remanesc!A142="","",IF(posicao_contratual!$Y142="","",IF(posicao_contratual!$Y142&gt;0,"",itens_Remanesc!C142)))</f>
        <v/>
      </c>
      <c r="D142" s="79" t="str">
        <f>IF(OR($A142="",posicao_contratual!$Y142=""),"",IF(posicao_contratual!$Y142&gt;1,"",IF(NOT(ISNUMBER(itens_Remanesc!C142)),"",IF(posicao_contratual!$Y142=1,IF(IFERROR(IF(ISNUMBER(INDEX(aditivos!$O$2:$O$200,MATCH($A142,aditivos!$A$2:$A$200,0))),MIN(INDEX(aditivos!$O$2:$O$200,MATCH($A142,aditivos!$A$2:$A$200,0)),posicao_contratual!$Y142),posicao_contratual!$Y142),posicao_contratual!$Y142)=1,itens_Remanesc!C142,IFERROR(ROUND(itens_Remanesc!C142*INDEX($L$2:$L$6,MIN(1+1,COUNT($L$2:$L$6)))/INDEX($L$2:$L$6,MIN(IFERROR(IF(ISNUMBER(INDEX(aditivos!$O$2:$O$200,MATCH($A142,aditivos!$A$2:$A$200,0))),MIN(INDEX(aditivos!$O$2:$O$200,MATCH($A142,aditivos!$A$2:$A$200,0)),posicao_contratual!$Y142),posicao_contratual!$Y142),posicao_contratual!$Y142)+1,COUNT($L$2:$L$6))),2),"")),IF(OR(NOT(ISNUMBER($L$3)),NOT(ISNUMBER(INDEX($L$2:$L$6,IFERROR(IF(ISNUMBER(INDEX(aditivos!$O$2:$O$200,MATCH($A142,aditivos!$A$2:$A$200,0))),MIN(INDEX(aditivos!$O$2:$O$200,MATCH($A142,aditivos!$A$2:$A$200,0)),posicao_contratual!$Y142),posicao_contratual!$Y142),posicao_contratual!$Y142)+1)))),"",ROUND(itens_Remanesc!C142*$L$3/INDEX($L$2:$L$6,IFERROR(IF(ISNUMBER(INDEX(aditivos!$O$2:$O$200,MATCH($A142,aditivos!$A$2:$A$200,0))),MIN(INDEX(aditivos!$O$2:$O$200,MATCH($A142,aditivos!$A$2:$A$200,0)),posicao_contratual!$Y142),posicao_contratual!$Y142),posicao_contratual!$Y142)+1),2))))))</f>
        <v/>
      </c>
      <c r="E142" s="79" t="str">
        <f>IF(OR($A142="",posicao_contratual!$Y142=""),"",IF(posicao_contratual!$Y142&gt;2,"",IF(NOT(ISNUMBER(itens_Remanesc!C142)),"",IF(posicao_contratual!$Y142=2,IF(IFERROR(IF(ISNUMBER(INDEX(aditivos!$O$2:$O$200,MATCH($A142,aditivos!$A$2:$A$200,0))),MIN(INDEX(aditivos!$O$2:$O$200,MATCH($A142,aditivos!$A$2:$A$200,0)),posicao_contratual!$Y142),posicao_contratual!$Y142),posicao_contratual!$Y142)=2,itens_Remanesc!C142,IFERROR(ROUND(itens_Remanesc!C142*INDEX($L$2:$L$6,MIN(2+1,COUNT($L$2:$L$6)))/INDEX($L$2:$L$6,MIN(IFERROR(IF(ISNUMBER(INDEX(aditivos!$O$2:$O$200,MATCH($A142,aditivos!$A$2:$A$200,0))),MIN(INDEX(aditivos!$O$2:$O$200,MATCH($A142,aditivos!$A$2:$A$200,0)),posicao_contratual!$Y142),posicao_contratual!$Y142),posicao_contratual!$Y142)+1,COUNT($L$2:$L$6))),2),"")),IF(OR(NOT(ISNUMBER($L$4)),NOT(ISNUMBER(INDEX($L$2:$L$6,IFERROR(IF(ISNUMBER(INDEX(aditivos!$O$2:$O$200,MATCH($A142,aditivos!$A$2:$A$200,0))),MIN(INDEX(aditivos!$O$2:$O$200,MATCH($A142,aditivos!$A$2:$A$200,0)),posicao_contratual!$Y142),posicao_contratual!$Y142),posicao_contratual!$Y142)+1)))),"",ROUND(itens_Remanesc!C142*$L$4/INDEX($L$2:$L$6,IFERROR(IF(ISNUMBER(INDEX(aditivos!$O$2:$O$200,MATCH($A142,aditivos!$A$2:$A$200,0))),MIN(INDEX(aditivos!$O$2:$O$200,MATCH($A142,aditivos!$A$2:$A$200,0)),posicao_contratual!$Y142),posicao_contratual!$Y142),posicao_contratual!$Y142)+1),2))))))</f>
        <v/>
      </c>
      <c r="F142" s="79" t="str">
        <f>IF(OR($A142="",posicao_contratual!$Y142=""),"",IF(posicao_contratual!$Y142&gt;3,"",IF(NOT(ISNUMBER(itens_Remanesc!C142)),"",IF(posicao_contratual!$Y142=3,IF(IFERROR(IF(ISNUMBER(INDEX(aditivos!$O$2:$O$200,MATCH($A142,aditivos!$A$2:$A$200,0))),MIN(INDEX(aditivos!$O$2:$O$200,MATCH($A142,aditivos!$A$2:$A$200,0)),posicao_contratual!$Y142),posicao_contratual!$Y142),posicao_contratual!$Y142)=3,itens_Remanesc!C142,IFERROR(ROUND(itens_Remanesc!C142*INDEX($L$2:$L$6,MIN(3+1,COUNT($L$2:$L$6)))/INDEX($L$2:$L$6,MIN(IFERROR(IF(ISNUMBER(INDEX(aditivos!$O$2:$O$200,MATCH($A142,aditivos!$A$2:$A$200,0))),MIN(INDEX(aditivos!$O$2:$O$200,MATCH($A142,aditivos!$A$2:$A$200,0)),posicao_contratual!$Y142),posicao_contratual!$Y142),posicao_contratual!$Y142)+1,COUNT($L$2:$L$6))),2),"")),IF(OR(NOT(ISNUMBER($L$5)),NOT(ISNUMBER(INDEX($L$2:$L$6,IFERROR(IF(ISNUMBER(INDEX(aditivos!$O$2:$O$200,MATCH($A142,aditivos!$A$2:$A$200,0))),MIN(INDEX(aditivos!$O$2:$O$200,MATCH($A142,aditivos!$A$2:$A$200,0)),posicao_contratual!$Y142),posicao_contratual!$Y142),posicao_contratual!$Y142)+1)))),"",ROUND(itens_Remanesc!C142*$L$5/INDEX($L$2:$L$6,IFERROR(IF(ISNUMBER(INDEX(aditivos!$O$2:$O$200,MATCH($A142,aditivos!$A$2:$A$200,0))),MIN(INDEX(aditivos!$O$2:$O$200,MATCH($A142,aditivos!$A$2:$A$200,0)),posicao_contratual!$Y142),posicao_contratual!$Y142),posicao_contratual!$Y142)+1),2))))))</f>
        <v/>
      </c>
      <c r="G142" s="79" t="str">
        <f>IF(OR($A142="",posicao_contratual!$Y142=""),"",IF(posicao_contratual!$Y142&gt;4,"",IF(NOT(ISNUMBER(itens_Remanesc!C142)),"",IF(posicao_contratual!$Y142=4,IF(IFERROR(IF(ISNUMBER(INDEX(aditivos!$O$2:$O$200,MATCH($A142,aditivos!$A$2:$A$200,0))),MIN(INDEX(aditivos!$O$2:$O$200,MATCH($A142,aditivos!$A$2:$A$200,0)),posicao_contratual!$Y142),posicao_contratual!$Y142),posicao_contratual!$Y142)=4,itens_Remanesc!C142,IFERROR(ROUND(itens_Remanesc!C142*INDEX($L$2:$L$6,MIN(4+1,COUNT($L$2:$L$6)))/INDEX($L$2:$L$6,MIN(IFERROR(IF(ISNUMBER(INDEX(aditivos!$O$2:$O$200,MATCH($A142,aditivos!$A$2:$A$200,0))),MIN(INDEX(aditivos!$O$2:$O$200,MATCH($A142,aditivos!$A$2:$A$200,0)),posicao_contratual!$Y142),posicao_contratual!$Y142),posicao_contratual!$Y142)+1,COUNT($L$2:$L$6))),2),"")),IF(OR(NOT(ISNUMBER($L$6)),NOT(ISNUMBER(INDEX($L$2:$L$6,IFERROR(IF(ISNUMBER(INDEX(aditivos!$O$2:$O$200,MATCH($A142,aditivos!$A$2:$A$200,0))),MIN(INDEX(aditivos!$O$2:$O$200,MATCH($A142,aditivos!$A$2:$A$200,0)),posicao_contratual!$Y142),posicao_contratual!$Y142),posicao_contratual!$Y142)+1)))),"",ROUND(itens_Remanesc!C142*$L$6/INDEX($L$2:$L$6,IFERROR(IF(ISNUMBER(INDEX(aditivos!$O$2:$O$200,MATCH($A142,aditivos!$A$2:$A$200,0))),MIN(INDEX(aditivos!$O$2:$O$200,MATCH($A142,aditivos!$A$2:$A$200,0)),posicao_contratual!$Y142),posicao_contratual!$Y142),posicao_contratual!$Y142)+1),2))))))</f>
        <v/>
      </c>
      <c r="H142" s="116" t="str">
        <f t="shared" si="4"/>
        <v/>
      </c>
      <c r="I142" s="13"/>
      <c r="J142" s="13"/>
      <c r="K142" s="13"/>
      <c r="L142" s="13"/>
      <c r="M142" s="13"/>
      <c r="N142" s="147" t="str">
        <f>IF(A142="","",IF(posicao_contratual!$Y142="","",IF(posicao_contratual!$Y142&gt;0,"",posicao_contratual!E142)))</f>
        <v/>
      </c>
      <c r="O142" s="147" t="str">
        <f>IF(A142="","",IF(posicao_contratual!$Y142="","",IF(posicao_contratual!$Y142&gt;1,"",posicao_contratual!I142)))</f>
        <v/>
      </c>
      <c r="P142" s="147" t="str">
        <f>IF(A142="","",IF(posicao_contratual!$Y142="","",IF(posicao_contratual!$Y142&gt;2,"",posicao_contratual!M142)))</f>
        <v/>
      </c>
      <c r="Q142" s="147" t="str">
        <f>IF(A142="","",IF(posicao_contratual!$Y142="","",IF(posicao_contratual!$Y142&gt;3,"",posicao_contratual!Q142)))</f>
        <v/>
      </c>
      <c r="R142" s="147" t="str">
        <f>IF(A142="","",IF(posicao_contratual!$Y142="","",IF(posicao_contratual!$Y142&gt;4,"",posicao_contratual!U142)))</f>
        <v/>
      </c>
      <c r="S142" s="167" t="str">
        <f>IF(A142="","",posicao_contratual!G142)</f>
        <v/>
      </c>
      <c r="T142" s="167" t="str">
        <f>IF(A142="","",posicao_contratual!K142)</f>
        <v/>
      </c>
      <c r="U142" s="167" t="str">
        <f>IF(A142="","",posicao_contratual!O142)</f>
        <v/>
      </c>
      <c r="V142" s="167" t="str">
        <f>IF(A142="","",posicao_contratual!S142)</f>
        <v/>
      </c>
      <c r="W142" s="167" t="str">
        <f>IF(A142="","",posicao_contratual!W142)</f>
        <v/>
      </c>
    </row>
    <row r="143" spans="1:23" x14ac:dyDescent="0.35">
      <c r="A143" s="86" t="str">
        <f>IF(itens_Remanesc!A143="","",itens_Remanesc!A143)</f>
        <v/>
      </c>
      <c r="B143" s="85" t="str">
        <f>IF(A143="","",IF(posicao_contratual!$Y143="","",IF(posicao_contratual!$Y143&gt;0,"",posicao_contratual!G143)))</f>
        <v/>
      </c>
      <c r="C143" s="79" t="str">
        <f>IF(itens_Remanesc!A143="","",IF(posicao_contratual!$Y143="","",IF(posicao_contratual!$Y143&gt;0,"",itens_Remanesc!C143)))</f>
        <v/>
      </c>
      <c r="D143" s="79" t="str">
        <f>IF(OR($A143="",posicao_contratual!$Y143=""),"",IF(posicao_contratual!$Y143&gt;1,"",IF(NOT(ISNUMBER(itens_Remanesc!C143)),"",IF(posicao_contratual!$Y143=1,IF(IFERROR(IF(ISNUMBER(INDEX(aditivos!$O$2:$O$200,MATCH($A143,aditivos!$A$2:$A$200,0))),MIN(INDEX(aditivos!$O$2:$O$200,MATCH($A143,aditivos!$A$2:$A$200,0)),posicao_contratual!$Y143),posicao_contratual!$Y143),posicao_contratual!$Y143)=1,itens_Remanesc!C143,IFERROR(ROUND(itens_Remanesc!C143*INDEX($L$2:$L$6,MIN(1+1,COUNT($L$2:$L$6)))/INDEX($L$2:$L$6,MIN(IFERROR(IF(ISNUMBER(INDEX(aditivos!$O$2:$O$200,MATCH($A143,aditivos!$A$2:$A$200,0))),MIN(INDEX(aditivos!$O$2:$O$200,MATCH($A143,aditivos!$A$2:$A$200,0)),posicao_contratual!$Y143),posicao_contratual!$Y143),posicao_contratual!$Y143)+1,COUNT($L$2:$L$6))),2),"")),IF(OR(NOT(ISNUMBER($L$3)),NOT(ISNUMBER(INDEX($L$2:$L$6,IFERROR(IF(ISNUMBER(INDEX(aditivos!$O$2:$O$200,MATCH($A143,aditivos!$A$2:$A$200,0))),MIN(INDEX(aditivos!$O$2:$O$200,MATCH($A143,aditivos!$A$2:$A$200,0)),posicao_contratual!$Y143),posicao_contratual!$Y143),posicao_contratual!$Y143)+1)))),"",ROUND(itens_Remanesc!C143*$L$3/INDEX($L$2:$L$6,IFERROR(IF(ISNUMBER(INDEX(aditivos!$O$2:$O$200,MATCH($A143,aditivos!$A$2:$A$200,0))),MIN(INDEX(aditivos!$O$2:$O$200,MATCH($A143,aditivos!$A$2:$A$200,0)),posicao_contratual!$Y143),posicao_contratual!$Y143),posicao_contratual!$Y143)+1),2))))))</f>
        <v/>
      </c>
      <c r="E143" s="79" t="str">
        <f>IF(OR($A143="",posicao_contratual!$Y143=""),"",IF(posicao_contratual!$Y143&gt;2,"",IF(NOT(ISNUMBER(itens_Remanesc!C143)),"",IF(posicao_contratual!$Y143=2,IF(IFERROR(IF(ISNUMBER(INDEX(aditivos!$O$2:$O$200,MATCH($A143,aditivos!$A$2:$A$200,0))),MIN(INDEX(aditivos!$O$2:$O$200,MATCH($A143,aditivos!$A$2:$A$200,0)),posicao_contratual!$Y143),posicao_contratual!$Y143),posicao_contratual!$Y143)=2,itens_Remanesc!C143,IFERROR(ROUND(itens_Remanesc!C143*INDEX($L$2:$L$6,MIN(2+1,COUNT($L$2:$L$6)))/INDEX($L$2:$L$6,MIN(IFERROR(IF(ISNUMBER(INDEX(aditivos!$O$2:$O$200,MATCH($A143,aditivos!$A$2:$A$200,0))),MIN(INDEX(aditivos!$O$2:$O$200,MATCH($A143,aditivos!$A$2:$A$200,0)),posicao_contratual!$Y143),posicao_contratual!$Y143),posicao_contratual!$Y143)+1,COUNT($L$2:$L$6))),2),"")),IF(OR(NOT(ISNUMBER($L$4)),NOT(ISNUMBER(INDEX($L$2:$L$6,IFERROR(IF(ISNUMBER(INDEX(aditivos!$O$2:$O$200,MATCH($A143,aditivos!$A$2:$A$200,0))),MIN(INDEX(aditivos!$O$2:$O$200,MATCH($A143,aditivos!$A$2:$A$200,0)),posicao_contratual!$Y143),posicao_contratual!$Y143),posicao_contratual!$Y143)+1)))),"",ROUND(itens_Remanesc!C143*$L$4/INDEX($L$2:$L$6,IFERROR(IF(ISNUMBER(INDEX(aditivos!$O$2:$O$200,MATCH($A143,aditivos!$A$2:$A$200,0))),MIN(INDEX(aditivos!$O$2:$O$200,MATCH($A143,aditivos!$A$2:$A$200,0)),posicao_contratual!$Y143),posicao_contratual!$Y143),posicao_contratual!$Y143)+1),2))))))</f>
        <v/>
      </c>
      <c r="F143" s="79" t="str">
        <f>IF(OR($A143="",posicao_contratual!$Y143=""),"",IF(posicao_contratual!$Y143&gt;3,"",IF(NOT(ISNUMBER(itens_Remanesc!C143)),"",IF(posicao_contratual!$Y143=3,IF(IFERROR(IF(ISNUMBER(INDEX(aditivos!$O$2:$O$200,MATCH($A143,aditivos!$A$2:$A$200,0))),MIN(INDEX(aditivos!$O$2:$O$200,MATCH($A143,aditivos!$A$2:$A$200,0)),posicao_contratual!$Y143),posicao_contratual!$Y143),posicao_contratual!$Y143)=3,itens_Remanesc!C143,IFERROR(ROUND(itens_Remanesc!C143*INDEX($L$2:$L$6,MIN(3+1,COUNT($L$2:$L$6)))/INDEX($L$2:$L$6,MIN(IFERROR(IF(ISNUMBER(INDEX(aditivos!$O$2:$O$200,MATCH($A143,aditivos!$A$2:$A$200,0))),MIN(INDEX(aditivos!$O$2:$O$200,MATCH($A143,aditivos!$A$2:$A$200,0)),posicao_contratual!$Y143),posicao_contratual!$Y143),posicao_contratual!$Y143)+1,COUNT($L$2:$L$6))),2),"")),IF(OR(NOT(ISNUMBER($L$5)),NOT(ISNUMBER(INDEX($L$2:$L$6,IFERROR(IF(ISNUMBER(INDEX(aditivos!$O$2:$O$200,MATCH($A143,aditivos!$A$2:$A$200,0))),MIN(INDEX(aditivos!$O$2:$O$200,MATCH($A143,aditivos!$A$2:$A$200,0)),posicao_contratual!$Y143),posicao_contratual!$Y143),posicao_contratual!$Y143)+1)))),"",ROUND(itens_Remanesc!C143*$L$5/INDEX($L$2:$L$6,IFERROR(IF(ISNUMBER(INDEX(aditivos!$O$2:$O$200,MATCH($A143,aditivos!$A$2:$A$200,0))),MIN(INDEX(aditivos!$O$2:$O$200,MATCH($A143,aditivos!$A$2:$A$200,0)),posicao_contratual!$Y143),posicao_contratual!$Y143),posicao_contratual!$Y143)+1),2))))))</f>
        <v/>
      </c>
      <c r="G143" s="79" t="str">
        <f>IF(OR($A143="",posicao_contratual!$Y143=""),"",IF(posicao_contratual!$Y143&gt;4,"",IF(NOT(ISNUMBER(itens_Remanesc!C143)),"",IF(posicao_contratual!$Y143=4,IF(IFERROR(IF(ISNUMBER(INDEX(aditivos!$O$2:$O$200,MATCH($A143,aditivos!$A$2:$A$200,0))),MIN(INDEX(aditivos!$O$2:$O$200,MATCH($A143,aditivos!$A$2:$A$200,0)),posicao_contratual!$Y143),posicao_contratual!$Y143),posicao_contratual!$Y143)=4,itens_Remanesc!C143,IFERROR(ROUND(itens_Remanesc!C143*INDEX($L$2:$L$6,MIN(4+1,COUNT($L$2:$L$6)))/INDEX($L$2:$L$6,MIN(IFERROR(IF(ISNUMBER(INDEX(aditivos!$O$2:$O$200,MATCH($A143,aditivos!$A$2:$A$200,0))),MIN(INDEX(aditivos!$O$2:$O$200,MATCH($A143,aditivos!$A$2:$A$200,0)),posicao_contratual!$Y143),posicao_contratual!$Y143),posicao_contratual!$Y143)+1,COUNT($L$2:$L$6))),2),"")),IF(OR(NOT(ISNUMBER($L$6)),NOT(ISNUMBER(INDEX($L$2:$L$6,IFERROR(IF(ISNUMBER(INDEX(aditivos!$O$2:$O$200,MATCH($A143,aditivos!$A$2:$A$200,0))),MIN(INDEX(aditivos!$O$2:$O$200,MATCH($A143,aditivos!$A$2:$A$200,0)),posicao_contratual!$Y143),posicao_contratual!$Y143),posicao_contratual!$Y143)+1)))),"",ROUND(itens_Remanesc!C143*$L$6/INDEX($L$2:$L$6,IFERROR(IF(ISNUMBER(INDEX(aditivos!$O$2:$O$200,MATCH($A143,aditivos!$A$2:$A$200,0))),MIN(INDEX(aditivos!$O$2:$O$200,MATCH($A143,aditivos!$A$2:$A$200,0)),posicao_contratual!$Y143),posicao_contratual!$Y143),posicao_contratual!$Y143)+1),2))))))</f>
        <v/>
      </c>
      <c r="H143" s="116" t="str">
        <f t="shared" si="4"/>
        <v/>
      </c>
      <c r="I143" s="13"/>
      <c r="J143" s="13"/>
      <c r="K143" s="13"/>
      <c r="L143" s="13"/>
      <c r="M143" s="13"/>
      <c r="N143" s="147" t="str">
        <f>IF(A143="","",IF(posicao_contratual!$Y143="","",IF(posicao_contratual!$Y143&gt;0,"",posicao_contratual!E143)))</f>
        <v/>
      </c>
      <c r="O143" s="147" t="str">
        <f>IF(A143="","",IF(posicao_contratual!$Y143="","",IF(posicao_contratual!$Y143&gt;1,"",posicao_contratual!I143)))</f>
        <v/>
      </c>
      <c r="P143" s="147" t="str">
        <f>IF(A143="","",IF(posicao_contratual!$Y143="","",IF(posicao_contratual!$Y143&gt;2,"",posicao_contratual!M143)))</f>
        <v/>
      </c>
      <c r="Q143" s="147" t="str">
        <f>IF(A143="","",IF(posicao_contratual!$Y143="","",IF(posicao_contratual!$Y143&gt;3,"",posicao_contratual!Q143)))</f>
        <v/>
      </c>
      <c r="R143" s="147" t="str">
        <f>IF(A143="","",IF(posicao_contratual!$Y143="","",IF(posicao_contratual!$Y143&gt;4,"",posicao_contratual!U143)))</f>
        <v/>
      </c>
      <c r="S143" s="167" t="str">
        <f>IF(A143="","",posicao_contratual!G143)</f>
        <v/>
      </c>
      <c r="T143" s="167" t="str">
        <f>IF(A143="","",posicao_contratual!K143)</f>
        <v/>
      </c>
      <c r="U143" s="167" t="str">
        <f>IF(A143="","",posicao_contratual!O143)</f>
        <v/>
      </c>
      <c r="V143" s="167" t="str">
        <f>IF(A143="","",posicao_contratual!S143)</f>
        <v/>
      </c>
      <c r="W143" s="167" t="str">
        <f>IF(A143="","",posicao_contratual!W143)</f>
        <v/>
      </c>
    </row>
    <row r="144" spans="1:23" x14ac:dyDescent="0.35">
      <c r="A144" s="86" t="str">
        <f>IF(itens_Remanesc!A144="","",itens_Remanesc!A144)</f>
        <v/>
      </c>
      <c r="B144" s="85" t="str">
        <f>IF(A144="","",IF(posicao_contratual!$Y144="","",IF(posicao_contratual!$Y144&gt;0,"",posicao_contratual!G144)))</f>
        <v/>
      </c>
      <c r="C144" s="79" t="str">
        <f>IF(itens_Remanesc!A144="","",IF(posicao_contratual!$Y144="","",IF(posicao_contratual!$Y144&gt;0,"",itens_Remanesc!C144)))</f>
        <v/>
      </c>
      <c r="D144" s="79" t="str">
        <f>IF(OR($A144="",posicao_contratual!$Y144=""),"",IF(posicao_contratual!$Y144&gt;1,"",IF(NOT(ISNUMBER(itens_Remanesc!C144)),"",IF(posicao_contratual!$Y144=1,IF(IFERROR(IF(ISNUMBER(INDEX(aditivos!$O$2:$O$200,MATCH($A144,aditivos!$A$2:$A$200,0))),MIN(INDEX(aditivos!$O$2:$O$200,MATCH($A144,aditivos!$A$2:$A$200,0)),posicao_contratual!$Y144),posicao_contratual!$Y144),posicao_contratual!$Y144)=1,itens_Remanesc!C144,IFERROR(ROUND(itens_Remanesc!C144*INDEX($L$2:$L$6,MIN(1+1,COUNT($L$2:$L$6)))/INDEX($L$2:$L$6,MIN(IFERROR(IF(ISNUMBER(INDEX(aditivos!$O$2:$O$200,MATCH($A144,aditivos!$A$2:$A$200,0))),MIN(INDEX(aditivos!$O$2:$O$200,MATCH($A144,aditivos!$A$2:$A$200,0)),posicao_contratual!$Y144),posicao_contratual!$Y144),posicao_contratual!$Y144)+1,COUNT($L$2:$L$6))),2),"")),IF(OR(NOT(ISNUMBER($L$3)),NOT(ISNUMBER(INDEX($L$2:$L$6,IFERROR(IF(ISNUMBER(INDEX(aditivos!$O$2:$O$200,MATCH($A144,aditivos!$A$2:$A$200,0))),MIN(INDEX(aditivos!$O$2:$O$200,MATCH($A144,aditivos!$A$2:$A$200,0)),posicao_contratual!$Y144),posicao_contratual!$Y144),posicao_contratual!$Y144)+1)))),"",ROUND(itens_Remanesc!C144*$L$3/INDEX($L$2:$L$6,IFERROR(IF(ISNUMBER(INDEX(aditivos!$O$2:$O$200,MATCH($A144,aditivos!$A$2:$A$200,0))),MIN(INDEX(aditivos!$O$2:$O$200,MATCH($A144,aditivos!$A$2:$A$200,0)),posicao_contratual!$Y144),posicao_contratual!$Y144),posicao_contratual!$Y144)+1),2))))))</f>
        <v/>
      </c>
      <c r="E144" s="79" t="str">
        <f>IF(OR($A144="",posicao_contratual!$Y144=""),"",IF(posicao_contratual!$Y144&gt;2,"",IF(NOT(ISNUMBER(itens_Remanesc!C144)),"",IF(posicao_contratual!$Y144=2,IF(IFERROR(IF(ISNUMBER(INDEX(aditivos!$O$2:$O$200,MATCH($A144,aditivos!$A$2:$A$200,0))),MIN(INDEX(aditivos!$O$2:$O$200,MATCH($A144,aditivos!$A$2:$A$200,0)),posicao_contratual!$Y144),posicao_contratual!$Y144),posicao_contratual!$Y144)=2,itens_Remanesc!C144,IFERROR(ROUND(itens_Remanesc!C144*INDEX($L$2:$L$6,MIN(2+1,COUNT($L$2:$L$6)))/INDEX($L$2:$L$6,MIN(IFERROR(IF(ISNUMBER(INDEX(aditivos!$O$2:$O$200,MATCH($A144,aditivos!$A$2:$A$200,0))),MIN(INDEX(aditivos!$O$2:$O$200,MATCH($A144,aditivos!$A$2:$A$200,0)),posicao_contratual!$Y144),posicao_contratual!$Y144),posicao_contratual!$Y144)+1,COUNT($L$2:$L$6))),2),"")),IF(OR(NOT(ISNUMBER($L$4)),NOT(ISNUMBER(INDEX($L$2:$L$6,IFERROR(IF(ISNUMBER(INDEX(aditivos!$O$2:$O$200,MATCH($A144,aditivos!$A$2:$A$200,0))),MIN(INDEX(aditivos!$O$2:$O$200,MATCH($A144,aditivos!$A$2:$A$200,0)),posicao_contratual!$Y144),posicao_contratual!$Y144),posicao_contratual!$Y144)+1)))),"",ROUND(itens_Remanesc!C144*$L$4/INDEX($L$2:$L$6,IFERROR(IF(ISNUMBER(INDEX(aditivos!$O$2:$O$200,MATCH($A144,aditivos!$A$2:$A$200,0))),MIN(INDEX(aditivos!$O$2:$O$200,MATCH($A144,aditivos!$A$2:$A$200,0)),posicao_contratual!$Y144),posicao_contratual!$Y144),posicao_contratual!$Y144)+1),2))))))</f>
        <v/>
      </c>
      <c r="F144" s="79" t="str">
        <f>IF(OR($A144="",posicao_contratual!$Y144=""),"",IF(posicao_contratual!$Y144&gt;3,"",IF(NOT(ISNUMBER(itens_Remanesc!C144)),"",IF(posicao_contratual!$Y144=3,IF(IFERROR(IF(ISNUMBER(INDEX(aditivos!$O$2:$O$200,MATCH($A144,aditivos!$A$2:$A$200,0))),MIN(INDEX(aditivos!$O$2:$O$200,MATCH($A144,aditivos!$A$2:$A$200,0)),posicao_contratual!$Y144),posicao_contratual!$Y144),posicao_contratual!$Y144)=3,itens_Remanesc!C144,IFERROR(ROUND(itens_Remanesc!C144*INDEX($L$2:$L$6,MIN(3+1,COUNT($L$2:$L$6)))/INDEX($L$2:$L$6,MIN(IFERROR(IF(ISNUMBER(INDEX(aditivos!$O$2:$O$200,MATCH($A144,aditivos!$A$2:$A$200,0))),MIN(INDEX(aditivos!$O$2:$O$200,MATCH($A144,aditivos!$A$2:$A$200,0)),posicao_contratual!$Y144),posicao_contratual!$Y144),posicao_contratual!$Y144)+1,COUNT($L$2:$L$6))),2),"")),IF(OR(NOT(ISNUMBER($L$5)),NOT(ISNUMBER(INDEX($L$2:$L$6,IFERROR(IF(ISNUMBER(INDEX(aditivos!$O$2:$O$200,MATCH($A144,aditivos!$A$2:$A$200,0))),MIN(INDEX(aditivos!$O$2:$O$200,MATCH($A144,aditivos!$A$2:$A$200,0)),posicao_contratual!$Y144),posicao_contratual!$Y144),posicao_contratual!$Y144)+1)))),"",ROUND(itens_Remanesc!C144*$L$5/INDEX($L$2:$L$6,IFERROR(IF(ISNUMBER(INDEX(aditivos!$O$2:$O$200,MATCH($A144,aditivos!$A$2:$A$200,0))),MIN(INDEX(aditivos!$O$2:$O$200,MATCH($A144,aditivos!$A$2:$A$200,0)),posicao_contratual!$Y144),posicao_contratual!$Y144),posicao_contratual!$Y144)+1),2))))))</f>
        <v/>
      </c>
      <c r="G144" s="79" t="str">
        <f>IF(OR($A144="",posicao_contratual!$Y144=""),"",IF(posicao_contratual!$Y144&gt;4,"",IF(NOT(ISNUMBER(itens_Remanesc!C144)),"",IF(posicao_contratual!$Y144=4,IF(IFERROR(IF(ISNUMBER(INDEX(aditivos!$O$2:$O$200,MATCH($A144,aditivos!$A$2:$A$200,0))),MIN(INDEX(aditivos!$O$2:$O$200,MATCH($A144,aditivos!$A$2:$A$200,0)),posicao_contratual!$Y144),posicao_contratual!$Y144),posicao_contratual!$Y144)=4,itens_Remanesc!C144,IFERROR(ROUND(itens_Remanesc!C144*INDEX($L$2:$L$6,MIN(4+1,COUNT($L$2:$L$6)))/INDEX($L$2:$L$6,MIN(IFERROR(IF(ISNUMBER(INDEX(aditivos!$O$2:$O$200,MATCH($A144,aditivos!$A$2:$A$200,0))),MIN(INDEX(aditivos!$O$2:$O$200,MATCH($A144,aditivos!$A$2:$A$200,0)),posicao_contratual!$Y144),posicao_contratual!$Y144),posicao_contratual!$Y144)+1,COUNT($L$2:$L$6))),2),"")),IF(OR(NOT(ISNUMBER($L$6)),NOT(ISNUMBER(INDEX($L$2:$L$6,IFERROR(IF(ISNUMBER(INDEX(aditivos!$O$2:$O$200,MATCH($A144,aditivos!$A$2:$A$200,0))),MIN(INDEX(aditivos!$O$2:$O$200,MATCH($A144,aditivos!$A$2:$A$200,0)),posicao_contratual!$Y144),posicao_contratual!$Y144),posicao_contratual!$Y144)+1)))),"",ROUND(itens_Remanesc!C144*$L$6/INDEX($L$2:$L$6,IFERROR(IF(ISNUMBER(INDEX(aditivos!$O$2:$O$200,MATCH($A144,aditivos!$A$2:$A$200,0))),MIN(INDEX(aditivos!$O$2:$O$200,MATCH($A144,aditivos!$A$2:$A$200,0)),posicao_contratual!$Y144),posicao_contratual!$Y144),posicao_contratual!$Y144)+1),2))))))</f>
        <v/>
      </c>
      <c r="H144" s="116" t="str">
        <f t="shared" si="4"/>
        <v/>
      </c>
      <c r="I144" s="13"/>
      <c r="J144" s="13"/>
      <c r="K144" s="13"/>
      <c r="L144" s="13"/>
      <c r="M144" s="13"/>
      <c r="N144" s="147" t="str">
        <f>IF(A144="","",IF(posicao_contratual!$Y144="","",IF(posicao_contratual!$Y144&gt;0,"",posicao_contratual!E144)))</f>
        <v/>
      </c>
      <c r="O144" s="147" t="str">
        <f>IF(A144="","",IF(posicao_contratual!$Y144="","",IF(posicao_contratual!$Y144&gt;1,"",posicao_contratual!I144)))</f>
        <v/>
      </c>
      <c r="P144" s="147" t="str">
        <f>IF(A144="","",IF(posicao_contratual!$Y144="","",IF(posicao_contratual!$Y144&gt;2,"",posicao_contratual!M144)))</f>
        <v/>
      </c>
      <c r="Q144" s="147" t="str">
        <f>IF(A144="","",IF(posicao_contratual!$Y144="","",IF(posicao_contratual!$Y144&gt;3,"",posicao_contratual!Q144)))</f>
        <v/>
      </c>
      <c r="R144" s="147" t="str">
        <f>IF(A144="","",IF(posicao_contratual!$Y144="","",IF(posicao_contratual!$Y144&gt;4,"",posicao_contratual!U144)))</f>
        <v/>
      </c>
      <c r="S144" s="167" t="str">
        <f>IF(A144="","",posicao_contratual!G144)</f>
        <v/>
      </c>
      <c r="T144" s="167" t="str">
        <f>IF(A144="","",posicao_contratual!K144)</f>
        <v/>
      </c>
      <c r="U144" s="167" t="str">
        <f>IF(A144="","",posicao_contratual!O144)</f>
        <v/>
      </c>
      <c r="V144" s="167" t="str">
        <f>IF(A144="","",posicao_contratual!S144)</f>
        <v/>
      </c>
      <c r="W144" s="167" t="str">
        <f>IF(A144="","",posicao_contratual!W144)</f>
        <v/>
      </c>
    </row>
    <row r="145" spans="1:23" x14ac:dyDescent="0.35">
      <c r="A145" s="86" t="str">
        <f>IF(itens_Remanesc!A145="","",itens_Remanesc!A145)</f>
        <v/>
      </c>
      <c r="B145" s="85" t="str">
        <f>IF(A145="","",IF(posicao_contratual!$Y145="","",IF(posicao_contratual!$Y145&gt;0,"",posicao_contratual!G145)))</f>
        <v/>
      </c>
      <c r="C145" s="79" t="str">
        <f>IF(itens_Remanesc!A145="","",IF(posicao_contratual!$Y145="","",IF(posicao_contratual!$Y145&gt;0,"",itens_Remanesc!C145)))</f>
        <v/>
      </c>
      <c r="D145" s="79" t="str">
        <f>IF(OR($A145="",posicao_contratual!$Y145=""),"",IF(posicao_contratual!$Y145&gt;1,"",IF(NOT(ISNUMBER(itens_Remanesc!C145)),"",IF(posicao_contratual!$Y145=1,IF(IFERROR(IF(ISNUMBER(INDEX(aditivos!$O$2:$O$200,MATCH($A145,aditivos!$A$2:$A$200,0))),MIN(INDEX(aditivos!$O$2:$O$200,MATCH($A145,aditivos!$A$2:$A$200,0)),posicao_contratual!$Y145),posicao_contratual!$Y145),posicao_contratual!$Y145)=1,itens_Remanesc!C145,IFERROR(ROUND(itens_Remanesc!C145*INDEX($L$2:$L$6,MIN(1+1,COUNT($L$2:$L$6)))/INDEX($L$2:$L$6,MIN(IFERROR(IF(ISNUMBER(INDEX(aditivos!$O$2:$O$200,MATCH($A145,aditivos!$A$2:$A$200,0))),MIN(INDEX(aditivos!$O$2:$O$200,MATCH($A145,aditivos!$A$2:$A$200,0)),posicao_contratual!$Y145),posicao_contratual!$Y145),posicao_contratual!$Y145)+1,COUNT($L$2:$L$6))),2),"")),IF(OR(NOT(ISNUMBER($L$3)),NOT(ISNUMBER(INDEX($L$2:$L$6,IFERROR(IF(ISNUMBER(INDEX(aditivos!$O$2:$O$200,MATCH($A145,aditivos!$A$2:$A$200,0))),MIN(INDEX(aditivos!$O$2:$O$200,MATCH($A145,aditivos!$A$2:$A$200,0)),posicao_contratual!$Y145),posicao_contratual!$Y145),posicao_contratual!$Y145)+1)))),"",ROUND(itens_Remanesc!C145*$L$3/INDEX($L$2:$L$6,IFERROR(IF(ISNUMBER(INDEX(aditivos!$O$2:$O$200,MATCH($A145,aditivos!$A$2:$A$200,0))),MIN(INDEX(aditivos!$O$2:$O$200,MATCH($A145,aditivos!$A$2:$A$200,0)),posicao_contratual!$Y145),posicao_contratual!$Y145),posicao_contratual!$Y145)+1),2))))))</f>
        <v/>
      </c>
      <c r="E145" s="79" t="str">
        <f>IF(OR($A145="",posicao_contratual!$Y145=""),"",IF(posicao_contratual!$Y145&gt;2,"",IF(NOT(ISNUMBER(itens_Remanesc!C145)),"",IF(posicao_contratual!$Y145=2,IF(IFERROR(IF(ISNUMBER(INDEX(aditivos!$O$2:$O$200,MATCH($A145,aditivos!$A$2:$A$200,0))),MIN(INDEX(aditivos!$O$2:$O$200,MATCH($A145,aditivos!$A$2:$A$200,0)),posicao_contratual!$Y145),posicao_contratual!$Y145),posicao_contratual!$Y145)=2,itens_Remanesc!C145,IFERROR(ROUND(itens_Remanesc!C145*INDEX($L$2:$L$6,MIN(2+1,COUNT($L$2:$L$6)))/INDEX($L$2:$L$6,MIN(IFERROR(IF(ISNUMBER(INDEX(aditivos!$O$2:$O$200,MATCH($A145,aditivos!$A$2:$A$200,0))),MIN(INDEX(aditivos!$O$2:$O$200,MATCH($A145,aditivos!$A$2:$A$200,0)),posicao_contratual!$Y145),posicao_contratual!$Y145),posicao_contratual!$Y145)+1,COUNT($L$2:$L$6))),2),"")),IF(OR(NOT(ISNUMBER($L$4)),NOT(ISNUMBER(INDEX($L$2:$L$6,IFERROR(IF(ISNUMBER(INDEX(aditivos!$O$2:$O$200,MATCH($A145,aditivos!$A$2:$A$200,0))),MIN(INDEX(aditivos!$O$2:$O$200,MATCH($A145,aditivos!$A$2:$A$200,0)),posicao_contratual!$Y145),posicao_contratual!$Y145),posicao_contratual!$Y145)+1)))),"",ROUND(itens_Remanesc!C145*$L$4/INDEX($L$2:$L$6,IFERROR(IF(ISNUMBER(INDEX(aditivos!$O$2:$O$200,MATCH($A145,aditivos!$A$2:$A$200,0))),MIN(INDEX(aditivos!$O$2:$O$200,MATCH($A145,aditivos!$A$2:$A$200,0)),posicao_contratual!$Y145),posicao_contratual!$Y145),posicao_contratual!$Y145)+1),2))))))</f>
        <v/>
      </c>
      <c r="F145" s="79" t="str">
        <f>IF(OR($A145="",posicao_contratual!$Y145=""),"",IF(posicao_contratual!$Y145&gt;3,"",IF(NOT(ISNUMBER(itens_Remanesc!C145)),"",IF(posicao_contratual!$Y145=3,IF(IFERROR(IF(ISNUMBER(INDEX(aditivos!$O$2:$O$200,MATCH($A145,aditivos!$A$2:$A$200,0))),MIN(INDEX(aditivos!$O$2:$O$200,MATCH($A145,aditivos!$A$2:$A$200,0)),posicao_contratual!$Y145),posicao_contratual!$Y145),posicao_contratual!$Y145)=3,itens_Remanesc!C145,IFERROR(ROUND(itens_Remanesc!C145*INDEX($L$2:$L$6,MIN(3+1,COUNT($L$2:$L$6)))/INDEX($L$2:$L$6,MIN(IFERROR(IF(ISNUMBER(INDEX(aditivos!$O$2:$O$200,MATCH($A145,aditivos!$A$2:$A$200,0))),MIN(INDEX(aditivos!$O$2:$O$200,MATCH($A145,aditivos!$A$2:$A$200,0)),posicao_contratual!$Y145),posicao_contratual!$Y145),posicao_contratual!$Y145)+1,COUNT($L$2:$L$6))),2),"")),IF(OR(NOT(ISNUMBER($L$5)),NOT(ISNUMBER(INDEX($L$2:$L$6,IFERROR(IF(ISNUMBER(INDEX(aditivos!$O$2:$O$200,MATCH($A145,aditivos!$A$2:$A$200,0))),MIN(INDEX(aditivos!$O$2:$O$200,MATCH($A145,aditivos!$A$2:$A$200,0)),posicao_contratual!$Y145),posicao_contratual!$Y145),posicao_contratual!$Y145)+1)))),"",ROUND(itens_Remanesc!C145*$L$5/INDEX($L$2:$L$6,IFERROR(IF(ISNUMBER(INDEX(aditivos!$O$2:$O$200,MATCH($A145,aditivos!$A$2:$A$200,0))),MIN(INDEX(aditivos!$O$2:$O$200,MATCH($A145,aditivos!$A$2:$A$200,0)),posicao_contratual!$Y145),posicao_contratual!$Y145),posicao_contratual!$Y145)+1),2))))))</f>
        <v/>
      </c>
      <c r="G145" s="79" t="str">
        <f>IF(OR($A145="",posicao_contratual!$Y145=""),"",IF(posicao_contratual!$Y145&gt;4,"",IF(NOT(ISNUMBER(itens_Remanesc!C145)),"",IF(posicao_contratual!$Y145=4,IF(IFERROR(IF(ISNUMBER(INDEX(aditivos!$O$2:$O$200,MATCH($A145,aditivos!$A$2:$A$200,0))),MIN(INDEX(aditivos!$O$2:$O$200,MATCH($A145,aditivos!$A$2:$A$200,0)),posicao_contratual!$Y145),posicao_contratual!$Y145),posicao_contratual!$Y145)=4,itens_Remanesc!C145,IFERROR(ROUND(itens_Remanesc!C145*INDEX($L$2:$L$6,MIN(4+1,COUNT($L$2:$L$6)))/INDEX($L$2:$L$6,MIN(IFERROR(IF(ISNUMBER(INDEX(aditivos!$O$2:$O$200,MATCH($A145,aditivos!$A$2:$A$200,0))),MIN(INDEX(aditivos!$O$2:$O$200,MATCH($A145,aditivos!$A$2:$A$200,0)),posicao_contratual!$Y145),posicao_contratual!$Y145),posicao_contratual!$Y145)+1,COUNT($L$2:$L$6))),2),"")),IF(OR(NOT(ISNUMBER($L$6)),NOT(ISNUMBER(INDEX($L$2:$L$6,IFERROR(IF(ISNUMBER(INDEX(aditivos!$O$2:$O$200,MATCH($A145,aditivos!$A$2:$A$200,0))),MIN(INDEX(aditivos!$O$2:$O$200,MATCH($A145,aditivos!$A$2:$A$200,0)),posicao_contratual!$Y145),posicao_contratual!$Y145),posicao_contratual!$Y145)+1)))),"",ROUND(itens_Remanesc!C145*$L$6/INDEX($L$2:$L$6,IFERROR(IF(ISNUMBER(INDEX(aditivos!$O$2:$O$200,MATCH($A145,aditivos!$A$2:$A$200,0))),MIN(INDEX(aditivos!$O$2:$O$200,MATCH($A145,aditivos!$A$2:$A$200,0)),posicao_contratual!$Y145),posicao_contratual!$Y145),posicao_contratual!$Y145)+1),2))))))</f>
        <v/>
      </c>
      <c r="H145" s="116" t="str">
        <f t="shared" si="4"/>
        <v/>
      </c>
      <c r="I145" s="13"/>
      <c r="J145" s="13"/>
      <c r="K145" s="13"/>
      <c r="L145" s="13"/>
      <c r="M145" s="13"/>
      <c r="N145" s="147" t="str">
        <f>IF(A145="","",IF(posicao_contratual!$Y145="","",IF(posicao_contratual!$Y145&gt;0,"",posicao_contratual!E145)))</f>
        <v/>
      </c>
      <c r="O145" s="147" t="str">
        <f>IF(A145="","",IF(posicao_contratual!$Y145="","",IF(posicao_contratual!$Y145&gt;1,"",posicao_contratual!I145)))</f>
        <v/>
      </c>
      <c r="P145" s="147" t="str">
        <f>IF(A145="","",IF(posicao_contratual!$Y145="","",IF(posicao_contratual!$Y145&gt;2,"",posicao_contratual!M145)))</f>
        <v/>
      </c>
      <c r="Q145" s="147" t="str">
        <f>IF(A145="","",IF(posicao_contratual!$Y145="","",IF(posicao_contratual!$Y145&gt;3,"",posicao_contratual!Q145)))</f>
        <v/>
      </c>
      <c r="R145" s="147" t="str">
        <f>IF(A145="","",IF(posicao_contratual!$Y145="","",IF(posicao_contratual!$Y145&gt;4,"",posicao_contratual!U145)))</f>
        <v/>
      </c>
      <c r="S145" s="167" t="str">
        <f>IF(A145="","",posicao_contratual!G145)</f>
        <v/>
      </c>
      <c r="T145" s="167" t="str">
        <f>IF(A145="","",posicao_contratual!K145)</f>
        <v/>
      </c>
      <c r="U145" s="167" t="str">
        <f>IF(A145="","",posicao_contratual!O145)</f>
        <v/>
      </c>
      <c r="V145" s="167" t="str">
        <f>IF(A145="","",posicao_contratual!S145)</f>
        <v/>
      </c>
      <c r="W145" s="167" t="str">
        <f>IF(A145="","",posicao_contratual!W145)</f>
        <v/>
      </c>
    </row>
    <row r="146" spans="1:23" x14ac:dyDescent="0.35">
      <c r="A146" s="86" t="str">
        <f>IF(itens_Remanesc!A146="","",itens_Remanesc!A146)</f>
        <v/>
      </c>
      <c r="B146" s="85" t="str">
        <f>IF(A146="","",IF(posicao_contratual!$Y146="","",IF(posicao_contratual!$Y146&gt;0,"",posicao_contratual!G146)))</f>
        <v/>
      </c>
      <c r="C146" s="79" t="str">
        <f>IF(itens_Remanesc!A146="","",IF(posicao_contratual!$Y146="","",IF(posicao_contratual!$Y146&gt;0,"",itens_Remanesc!C146)))</f>
        <v/>
      </c>
      <c r="D146" s="79" t="str">
        <f>IF(OR($A146="",posicao_contratual!$Y146=""),"",IF(posicao_contratual!$Y146&gt;1,"",IF(NOT(ISNUMBER(itens_Remanesc!C146)),"",IF(posicao_contratual!$Y146=1,IF(IFERROR(IF(ISNUMBER(INDEX(aditivos!$O$2:$O$200,MATCH($A146,aditivos!$A$2:$A$200,0))),MIN(INDEX(aditivos!$O$2:$O$200,MATCH($A146,aditivos!$A$2:$A$200,0)),posicao_contratual!$Y146),posicao_contratual!$Y146),posicao_contratual!$Y146)=1,itens_Remanesc!C146,IFERROR(ROUND(itens_Remanesc!C146*INDEX($L$2:$L$6,MIN(1+1,COUNT($L$2:$L$6)))/INDEX($L$2:$L$6,MIN(IFERROR(IF(ISNUMBER(INDEX(aditivos!$O$2:$O$200,MATCH($A146,aditivos!$A$2:$A$200,0))),MIN(INDEX(aditivos!$O$2:$O$200,MATCH($A146,aditivos!$A$2:$A$200,0)),posicao_contratual!$Y146),posicao_contratual!$Y146),posicao_contratual!$Y146)+1,COUNT($L$2:$L$6))),2),"")),IF(OR(NOT(ISNUMBER($L$3)),NOT(ISNUMBER(INDEX($L$2:$L$6,IFERROR(IF(ISNUMBER(INDEX(aditivos!$O$2:$O$200,MATCH($A146,aditivos!$A$2:$A$200,0))),MIN(INDEX(aditivos!$O$2:$O$200,MATCH($A146,aditivos!$A$2:$A$200,0)),posicao_contratual!$Y146),posicao_contratual!$Y146),posicao_contratual!$Y146)+1)))),"",ROUND(itens_Remanesc!C146*$L$3/INDEX($L$2:$L$6,IFERROR(IF(ISNUMBER(INDEX(aditivos!$O$2:$O$200,MATCH($A146,aditivos!$A$2:$A$200,0))),MIN(INDEX(aditivos!$O$2:$O$200,MATCH($A146,aditivos!$A$2:$A$200,0)),posicao_contratual!$Y146),posicao_contratual!$Y146),posicao_contratual!$Y146)+1),2))))))</f>
        <v/>
      </c>
      <c r="E146" s="79" t="str">
        <f>IF(OR($A146="",posicao_contratual!$Y146=""),"",IF(posicao_contratual!$Y146&gt;2,"",IF(NOT(ISNUMBER(itens_Remanesc!C146)),"",IF(posicao_contratual!$Y146=2,IF(IFERROR(IF(ISNUMBER(INDEX(aditivos!$O$2:$O$200,MATCH($A146,aditivos!$A$2:$A$200,0))),MIN(INDEX(aditivos!$O$2:$O$200,MATCH($A146,aditivos!$A$2:$A$200,0)),posicao_contratual!$Y146),posicao_contratual!$Y146),posicao_contratual!$Y146)=2,itens_Remanesc!C146,IFERROR(ROUND(itens_Remanesc!C146*INDEX($L$2:$L$6,MIN(2+1,COUNT($L$2:$L$6)))/INDEX($L$2:$L$6,MIN(IFERROR(IF(ISNUMBER(INDEX(aditivos!$O$2:$O$200,MATCH($A146,aditivos!$A$2:$A$200,0))),MIN(INDEX(aditivos!$O$2:$O$200,MATCH($A146,aditivos!$A$2:$A$200,0)),posicao_contratual!$Y146),posicao_contratual!$Y146),posicao_contratual!$Y146)+1,COUNT($L$2:$L$6))),2),"")),IF(OR(NOT(ISNUMBER($L$4)),NOT(ISNUMBER(INDEX($L$2:$L$6,IFERROR(IF(ISNUMBER(INDEX(aditivos!$O$2:$O$200,MATCH($A146,aditivos!$A$2:$A$200,0))),MIN(INDEX(aditivos!$O$2:$O$200,MATCH($A146,aditivos!$A$2:$A$200,0)),posicao_contratual!$Y146),posicao_contratual!$Y146),posicao_contratual!$Y146)+1)))),"",ROUND(itens_Remanesc!C146*$L$4/INDEX($L$2:$L$6,IFERROR(IF(ISNUMBER(INDEX(aditivos!$O$2:$O$200,MATCH($A146,aditivos!$A$2:$A$200,0))),MIN(INDEX(aditivos!$O$2:$O$200,MATCH($A146,aditivos!$A$2:$A$200,0)),posicao_contratual!$Y146),posicao_contratual!$Y146),posicao_contratual!$Y146)+1),2))))))</f>
        <v/>
      </c>
      <c r="F146" s="79" t="str">
        <f>IF(OR($A146="",posicao_contratual!$Y146=""),"",IF(posicao_contratual!$Y146&gt;3,"",IF(NOT(ISNUMBER(itens_Remanesc!C146)),"",IF(posicao_contratual!$Y146=3,IF(IFERROR(IF(ISNUMBER(INDEX(aditivos!$O$2:$O$200,MATCH($A146,aditivos!$A$2:$A$200,0))),MIN(INDEX(aditivos!$O$2:$O$200,MATCH($A146,aditivos!$A$2:$A$200,0)),posicao_contratual!$Y146),posicao_contratual!$Y146),posicao_contratual!$Y146)=3,itens_Remanesc!C146,IFERROR(ROUND(itens_Remanesc!C146*INDEX($L$2:$L$6,MIN(3+1,COUNT($L$2:$L$6)))/INDEX($L$2:$L$6,MIN(IFERROR(IF(ISNUMBER(INDEX(aditivos!$O$2:$O$200,MATCH($A146,aditivos!$A$2:$A$200,0))),MIN(INDEX(aditivos!$O$2:$O$200,MATCH($A146,aditivos!$A$2:$A$200,0)),posicao_contratual!$Y146),posicao_contratual!$Y146),posicao_contratual!$Y146)+1,COUNT($L$2:$L$6))),2),"")),IF(OR(NOT(ISNUMBER($L$5)),NOT(ISNUMBER(INDEX($L$2:$L$6,IFERROR(IF(ISNUMBER(INDEX(aditivos!$O$2:$O$200,MATCH($A146,aditivos!$A$2:$A$200,0))),MIN(INDEX(aditivos!$O$2:$O$200,MATCH($A146,aditivos!$A$2:$A$200,0)),posicao_contratual!$Y146),posicao_contratual!$Y146),posicao_contratual!$Y146)+1)))),"",ROUND(itens_Remanesc!C146*$L$5/INDEX($L$2:$L$6,IFERROR(IF(ISNUMBER(INDEX(aditivos!$O$2:$O$200,MATCH($A146,aditivos!$A$2:$A$200,0))),MIN(INDEX(aditivos!$O$2:$O$200,MATCH($A146,aditivos!$A$2:$A$200,0)),posicao_contratual!$Y146),posicao_contratual!$Y146),posicao_contratual!$Y146)+1),2))))))</f>
        <v/>
      </c>
      <c r="G146" s="79" t="str">
        <f>IF(OR($A146="",posicao_contratual!$Y146=""),"",IF(posicao_contratual!$Y146&gt;4,"",IF(NOT(ISNUMBER(itens_Remanesc!C146)),"",IF(posicao_contratual!$Y146=4,IF(IFERROR(IF(ISNUMBER(INDEX(aditivos!$O$2:$O$200,MATCH($A146,aditivos!$A$2:$A$200,0))),MIN(INDEX(aditivos!$O$2:$O$200,MATCH($A146,aditivos!$A$2:$A$200,0)),posicao_contratual!$Y146),posicao_contratual!$Y146),posicao_contratual!$Y146)=4,itens_Remanesc!C146,IFERROR(ROUND(itens_Remanesc!C146*INDEX($L$2:$L$6,MIN(4+1,COUNT($L$2:$L$6)))/INDEX($L$2:$L$6,MIN(IFERROR(IF(ISNUMBER(INDEX(aditivos!$O$2:$O$200,MATCH($A146,aditivos!$A$2:$A$200,0))),MIN(INDEX(aditivos!$O$2:$O$200,MATCH($A146,aditivos!$A$2:$A$200,0)),posicao_contratual!$Y146),posicao_contratual!$Y146),posicao_contratual!$Y146)+1,COUNT($L$2:$L$6))),2),"")),IF(OR(NOT(ISNUMBER($L$6)),NOT(ISNUMBER(INDEX($L$2:$L$6,IFERROR(IF(ISNUMBER(INDEX(aditivos!$O$2:$O$200,MATCH($A146,aditivos!$A$2:$A$200,0))),MIN(INDEX(aditivos!$O$2:$O$200,MATCH($A146,aditivos!$A$2:$A$200,0)),posicao_contratual!$Y146),posicao_contratual!$Y146),posicao_contratual!$Y146)+1)))),"",ROUND(itens_Remanesc!C146*$L$6/INDEX($L$2:$L$6,IFERROR(IF(ISNUMBER(INDEX(aditivos!$O$2:$O$200,MATCH($A146,aditivos!$A$2:$A$200,0))),MIN(INDEX(aditivos!$O$2:$O$200,MATCH($A146,aditivos!$A$2:$A$200,0)),posicao_contratual!$Y146),posicao_contratual!$Y146),posicao_contratual!$Y146)+1),2))))))</f>
        <v/>
      </c>
      <c r="H146" s="116" t="str">
        <f t="shared" si="4"/>
        <v/>
      </c>
      <c r="I146" s="13"/>
      <c r="J146" s="13"/>
      <c r="K146" s="13"/>
      <c r="L146" s="13"/>
      <c r="M146" s="13"/>
      <c r="N146" s="147" t="str">
        <f>IF(A146="","",IF(posicao_contratual!$Y146="","",IF(posicao_contratual!$Y146&gt;0,"",posicao_contratual!E146)))</f>
        <v/>
      </c>
      <c r="O146" s="147" t="str">
        <f>IF(A146="","",IF(posicao_contratual!$Y146="","",IF(posicao_contratual!$Y146&gt;1,"",posicao_contratual!I146)))</f>
        <v/>
      </c>
      <c r="P146" s="147" t="str">
        <f>IF(A146="","",IF(posicao_contratual!$Y146="","",IF(posicao_contratual!$Y146&gt;2,"",posicao_contratual!M146)))</f>
        <v/>
      </c>
      <c r="Q146" s="147" t="str">
        <f>IF(A146="","",IF(posicao_contratual!$Y146="","",IF(posicao_contratual!$Y146&gt;3,"",posicao_contratual!Q146)))</f>
        <v/>
      </c>
      <c r="R146" s="147" t="str">
        <f>IF(A146="","",IF(posicao_contratual!$Y146="","",IF(posicao_contratual!$Y146&gt;4,"",posicao_contratual!U146)))</f>
        <v/>
      </c>
      <c r="S146" s="167" t="str">
        <f>IF(A146="","",posicao_contratual!G146)</f>
        <v/>
      </c>
      <c r="T146" s="167" t="str">
        <f>IF(A146="","",posicao_contratual!K146)</f>
        <v/>
      </c>
      <c r="U146" s="167" t="str">
        <f>IF(A146="","",posicao_contratual!O146)</f>
        <v/>
      </c>
      <c r="V146" s="167" t="str">
        <f>IF(A146="","",posicao_contratual!S146)</f>
        <v/>
      </c>
      <c r="W146" s="167" t="str">
        <f>IF(A146="","",posicao_contratual!W146)</f>
        <v/>
      </c>
    </row>
    <row r="147" spans="1:23" x14ac:dyDescent="0.35">
      <c r="A147" s="86" t="str">
        <f>IF(itens_Remanesc!A147="","",itens_Remanesc!A147)</f>
        <v/>
      </c>
      <c r="B147" s="85" t="str">
        <f>IF(A147="","",IF(posicao_contratual!$Y147="","",IF(posicao_contratual!$Y147&gt;0,"",posicao_contratual!G147)))</f>
        <v/>
      </c>
      <c r="C147" s="79" t="str">
        <f>IF(itens_Remanesc!A147="","",IF(posicao_contratual!$Y147="","",IF(posicao_contratual!$Y147&gt;0,"",itens_Remanesc!C147)))</f>
        <v/>
      </c>
      <c r="D147" s="79" t="str">
        <f>IF(OR($A147="",posicao_contratual!$Y147=""),"",IF(posicao_contratual!$Y147&gt;1,"",IF(NOT(ISNUMBER(itens_Remanesc!C147)),"",IF(posicao_contratual!$Y147=1,IF(IFERROR(IF(ISNUMBER(INDEX(aditivos!$O$2:$O$200,MATCH($A147,aditivos!$A$2:$A$200,0))),MIN(INDEX(aditivos!$O$2:$O$200,MATCH($A147,aditivos!$A$2:$A$200,0)),posicao_contratual!$Y147),posicao_contratual!$Y147),posicao_contratual!$Y147)=1,itens_Remanesc!C147,IFERROR(ROUND(itens_Remanesc!C147*INDEX($L$2:$L$6,MIN(1+1,COUNT($L$2:$L$6)))/INDEX($L$2:$L$6,MIN(IFERROR(IF(ISNUMBER(INDEX(aditivos!$O$2:$O$200,MATCH($A147,aditivos!$A$2:$A$200,0))),MIN(INDEX(aditivos!$O$2:$O$200,MATCH($A147,aditivos!$A$2:$A$200,0)),posicao_contratual!$Y147),posicao_contratual!$Y147),posicao_contratual!$Y147)+1,COUNT($L$2:$L$6))),2),"")),IF(OR(NOT(ISNUMBER($L$3)),NOT(ISNUMBER(INDEX($L$2:$L$6,IFERROR(IF(ISNUMBER(INDEX(aditivos!$O$2:$O$200,MATCH($A147,aditivos!$A$2:$A$200,0))),MIN(INDEX(aditivos!$O$2:$O$200,MATCH($A147,aditivos!$A$2:$A$200,0)),posicao_contratual!$Y147),posicao_contratual!$Y147),posicao_contratual!$Y147)+1)))),"",ROUND(itens_Remanesc!C147*$L$3/INDEX($L$2:$L$6,IFERROR(IF(ISNUMBER(INDEX(aditivos!$O$2:$O$200,MATCH($A147,aditivos!$A$2:$A$200,0))),MIN(INDEX(aditivos!$O$2:$O$200,MATCH($A147,aditivos!$A$2:$A$200,0)),posicao_contratual!$Y147),posicao_contratual!$Y147),posicao_contratual!$Y147)+1),2))))))</f>
        <v/>
      </c>
      <c r="E147" s="79" t="str">
        <f>IF(OR($A147="",posicao_contratual!$Y147=""),"",IF(posicao_contratual!$Y147&gt;2,"",IF(NOT(ISNUMBER(itens_Remanesc!C147)),"",IF(posicao_contratual!$Y147=2,IF(IFERROR(IF(ISNUMBER(INDEX(aditivos!$O$2:$O$200,MATCH($A147,aditivos!$A$2:$A$200,0))),MIN(INDEX(aditivos!$O$2:$O$200,MATCH($A147,aditivos!$A$2:$A$200,0)),posicao_contratual!$Y147),posicao_contratual!$Y147),posicao_contratual!$Y147)=2,itens_Remanesc!C147,IFERROR(ROUND(itens_Remanesc!C147*INDEX($L$2:$L$6,MIN(2+1,COUNT($L$2:$L$6)))/INDEX($L$2:$L$6,MIN(IFERROR(IF(ISNUMBER(INDEX(aditivos!$O$2:$O$200,MATCH($A147,aditivos!$A$2:$A$200,0))),MIN(INDEX(aditivos!$O$2:$O$200,MATCH($A147,aditivos!$A$2:$A$200,0)),posicao_contratual!$Y147),posicao_contratual!$Y147),posicao_contratual!$Y147)+1,COUNT($L$2:$L$6))),2),"")),IF(OR(NOT(ISNUMBER($L$4)),NOT(ISNUMBER(INDEX($L$2:$L$6,IFERROR(IF(ISNUMBER(INDEX(aditivos!$O$2:$O$200,MATCH($A147,aditivos!$A$2:$A$200,0))),MIN(INDEX(aditivos!$O$2:$O$200,MATCH($A147,aditivos!$A$2:$A$200,0)),posicao_contratual!$Y147),posicao_contratual!$Y147),posicao_contratual!$Y147)+1)))),"",ROUND(itens_Remanesc!C147*$L$4/INDEX($L$2:$L$6,IFERROR(IF(ISNUMBER(INDEX(aditivos!$O$2:$O$200,MATCH($A147,aditivos!$A$2:$A$200,0))),MIN(INDEX(aditivos!$O$2:$O$200,MATCH($A147,aditivos!$A$2:$A$200,0)),posicao_contratual!$Y147),posicao_contratual!$Y147),posicao_contratual!$Y147)+1),2))))))</f>
        <v/>
      </c>
      <c r="F147" s="79" t="str">
        <f>IF(OR($A147="",posicao_contratual!$Y147=""),"",IF(posicao_contratual!$Y147&gt;3,"",IF(NOT(ISNUMBER(itens_Remanesc!C147)),"",IF(posicao_contratual!$Y147=3,IF(IFERROR(IF(ISNUMBER(INDEX(aditivos!$O$2:$O$200,MATCH($A147,aditivos!$A$2:$A$200,0))),MIN(INDEX(aditivos!$O$2:$O$200,MATCH($A147,aditivos!$A$2:$A$200,0)),posicao_contratual!$Y147),posicao_contratual!$Y147),posicao_contratual!$Y147)=3,itens_Remanesc!C147,IFERROR(ROUND(itens_Remanesc!C147*INDEX($L$2:$L$6,MIN(3+1,COUNT($L$2:$L$6)))/INDEX($L$2:$L$6,MIN(IFERROR(IF(ISNUMBER(INDEX(aditivos!$O$2:$O$200,MATCH($A147,aditivos!$A$2:$A$200,0))),MIN(INDEX(aditivos!$O$2:$O$200,MATCH($A147,aditivos!$A$2:$A$200,0)),posicao_contratual!$Y147),posicao_contratual!$Y147),posicao_contratual!$Y147)+1,COUNT($L$2:$L$6))),2),"")),IF(OR(NOT(ISNUMBER($L$5)),NOT(ISNUMBER(INDEX($L$2:$L$6,IFERROR(IF(ISNUMBER(INDEX(aditivos!$O$2:$O$200,MATCH($A147,aditivos!$A$2:$A$200,0))),MIN(INDEX(aditivos!$O$2:$O$200,MATCH($A147,aditivos!$A$2:$A$200,0)),posicao_contratual!$Y147),posicao_contratual!$Y147),posicao_contratual!$Y147)+1)))),"",ROUND(itens_Remanesc!C147*$L$5/INDEX($L$2:$L$6,IFERROR(IF(ISNUMBER(INDEX(aditivos!$O$2:$O$200,MATCH($A147,aditivos!$A$2:$A$200,0))),MIN(INDEX(aditivos!$O$2:$O$200,MATCH($A147,aditivos!$A$2:$A$200,0)),posicao_contratual!$Y147),posicao_contratual!$Y147),posicao_contratual!$Y147)+1),2))))))</f>
        <v/>
      </c>
      <c r="G147" s="79" t="str">
        <f>IF(OR($A147="",posicao_contratual!$Y147=""),"",IF(posicao_contratual!$Y147&gt;4,"",IF(NOT(ISNUMBER(itens_Remanesc!C147)),"",IF(posicao_contratual!$Y147=4,IF(IFERROR(IF(ISNUMBER(INDEX(aditivos!$O$2:$O$200,MATCH($A147,aditivos!$A$2:$A$200,0))),MIN(INDEX(aditivos!$O$2:$O$200,MATCH($A147,aditivos!$A$2:$A$200,0)),posicao_contratual!$Y147),posicao_contratual!$Y147),posicao_contratual!$Y147)=4,itens_Remanesc!C147,IFERROR(ROUND(itens_Remanesc!C147*INDEX($L$2:$L$6,MIN(4+1,COUNT($L$2:$L$6)))/INDEX($L$2:$L$6,MIN(IFERROR(IF(ISNUMBER(INDEX(aditivos!$O$2:$O$200,MATCH($A147,aditivos!$A$2:$A$200,0))),MIN(INDEX(aditivos!$O$2:$O$200,MATCH($A147,aditivos!$A$2:$A$200,0)),posicao_contratual!$Y147),posicao_contratual!$Y147),posicao_contratual!$Y147)+1,COUNT($L$2:$L$6))),2),"")),IF(OR(NOT(ISNUMBER($L$6)),NOT(ISNUMBER(INDEX($L$2:$L$6,IFERROR(IF(ISNUMBER(INDEX(aditivos!$O$2:$O$200,MATCH($A147,aditivos!$A$2:$A$200,0))),MIN(INDEX(aditivos!$O$2:$O$200,MATCH($A147,aditivos!$A$2:$A$200,0)),posicao_contratual!$Y147),posicao_contratual!$Y147),posicao_contratual!$Y147)+1)))),"",ROUND(itens_Remanesc!C147*$L$6/INDEX($L$2:$L$6,IFERROR(IF(ISNUMBER(INDEX(aditivos!$O$2:$O$200,MATCH($A147,aditivos!$A$2:$A$200,0))),MIN(INDEX(aditivos!$O$2:$O$200,MATCH($A147,aditivos!$A$2:$A$200,0)),posicao_contratual!$Y147),posicao_contratual!$Y147),posicao_contratual!$Y147)+1),2))))))</f>
        <v/>
      </c>
      <c r="H147" s="116" t="str">
        <f t="shared" si="4"/>
        <v/>
      </c>
      <c r="I147" s="13"/>
      <c r="J147" s="13"/>
      <c r="K147" s="13"/>
      <c r="L147" s="13"/>
      <c r="M147" s="13"/>
      <c r="N147" s="147" t="str">
        <f>IF(A147="","",IF(posicao_contratual!$Y147="","",IF(posicao_contratual!$Y147&gt;0,"",posicao_contratual!E147)))</f>
        <v/>
      </c>
      <c r="O147" s="147" t="str">
        <f>IF(A147="","",IF(posicao_contratual!$Y147="","",IF(posicao_contratual!$Y147&gt;1,"",posicao_contratual!I147)))</f>
        <v/>
      </c>
      <c r="P147" s="147" t="str">
        <f>IF(A147="","",IF(posicao_contratual!$Y147="","",IF(posicao_contratual!$Y147&gt;2,"",posicao_contratual!M147)))</f>
        <v/>
      </c>
      <c r="Q147" s="147" t="str">
        <f>IF(A147="","",IF(posicao_contratual!$Y147="","",IF(posicao_contratual!$Y147&gt;3,"",posicao_contratual!Q147)))</f>
        <v/>
      </c>
      <c r="R147" s="147" t="str">
        <f>IF(A147="","",IF(posicao_contratual!$Y147="","",IF(posicao_contratual!$Y147&gt;4,"",posicao_contratual!U147)))</f>
        <v/>
      </c>
      <c r="S147" s="167" t="str">
        <f>IF(A147="","",posicao_contratual!G147)</f>
        <v/>
      </c>
      <c r="T147" s="167" t="str">
        <f>IF(A147="","",posicao_contratual!K147)</f>
        <v/>
      </c>
      <c r="U147" s="167" t="str">
        <f>IF(A147="","",posicao_contratual!O147)</f>
        <v/>
      </c>
      <c r="V147" s="167" t="str">
        <f>IF(A147="","",posicao_contratual!S147)</f>
        <v/>
      </c>
      <c r="W147" s="167" t="str">
        <f>IF(A147="","",posicao_contratual!W147)</f>
        <v/>
      </c>
    </row>
    <row r="148" spans="1:23" x14ac:dyDescent="0.35">
      <c r="A148" s="86" t="str">
        <f>IF(itens_Remanesc!A148="","",itens_Remanesc!A148)</f>
        <v/>
      </c>
      <c r="B148" s="85" t="str">
        <f>IF(A148="","",IF(posicao_contratual!$Y148="","",IF(posicao_contratual!$Y148&gt;0,"",posicao_contratual!G148)))</f>
        <v/>
      </c>
      <c r="C148" s="79" t="str">
        <f>IF(itens_Remanesc!A148="","",IF(posicao_contratual!$Y148="","",IF(posicao_contratual!$Y148&gt;0,"",itens_Remanesc!C148)))</f>
        <v/>
      </c>
      <c r="D148" s="79" t="str">
        <f>IF(OR($A148="",posicao_contratual!$Y148=""),"",IF(posicao_contratual!$Y148&gt;1,"",IF(NOT(ISNUMBER(itens_Remanesc!C148)),"",IF(posicao_contratual!$Y148=1,IF(IFERROR(IF(ISNUMBER(INDEX(aditivos!$O$2:$O$200,MATCH($A148,aditivos!$A$2:$A$200,0))),MIN(INDEX(aditivos!$O$2:$O$200,MATCH($A148,aditivos!$A$2:$A$200,0)),posicao_contratual!$Y148),posicao_contratual!$Y148),posicao_contratual!$Y148)=1,itens_Remanesc!C148,IFERROR(ROUND(itens_Remanesc!C148*INDEX($L$2:$L$6,MIN(1+1,COUNT($L$2:$L$6)))/INDEX($L$2:$L$6,MIN(IFERROR(IF(ISNUMBER(INDEX(aditivos!$O$2:$O$200,MATCH($A148,aditivos!$A$2:$A$200,0))),MIN(INDEX(aditivos!$O$2:$O$200,MATCH($A148,aditivos!$A$2:$A$200,0)),posicao_contratual!$Y148),posicao_contratual!$Y148),posicao_contratual!$Y148)+1,COUNT($L$2:$L$6))),2),"")),IF(OR(NOT(ISNUMBER($L$3)),NOT(ISNUMBER(INDEX($L$2:$L$6,IFERROR(IF(ISNUMBER(INDEX(aditivos!$O$2:$O$200,MATCH($A148,aditivos!$A$2:$A$200,0))),MIN(INDEX(aditivos!$O$2:$O$200,MATCH($A148,aditivos!$A$2:$A$200,0)),posicao_contratual!$Y148),posicao_contratual!$Y148),posicao_contratual!$Y148)+1)))),"",ROUND(itens_Remanesc!C148*$L$3/INDEX($L$2:$L$6,IFERROR(IF(ISNUMBER(INDEX(aditivos!$O$2:$O$200,MATCH($A148,aditivos!$A$2:$A$200,0))),MIN(INDEX(aditivos!$O$2:$O$200,MATCH($A148,aditivos!$A$2:$A$200,0)),posicao_contratual!$Y148),posicao_contratual!$Y148),posicao_contratual!$Y148)+1),2))))))</f>
        <v/>
      </c>
      <c r="E148" s="79" t="str">
        <f>IF(OR($A148="",posicao_contratual!$Y148=""),"",IF(posicao_contratual!$Y148&gt;2,"",IF(NOT(ISNUMBER(itens_Remanesc!C148)),"",IF(posicao_contratual!$Y148=2,IF(IFERROR(IF(ISNUMBER(INDEX(aditivos!$O$2:$O$200,MATCH($A148,aditivos!$A$2:$A$200,0))),MIN(INDEX(aditivos!$O$2:$O$200,MATCH($A148,aditivos!$A$2:$A$200,0)),posicao_contratual!$Y148),posicao_contratual!$Y148),posicao_contratual!$Y148)=2,itens_Remanesc!C148,IFERROR(ROUND(itens_Remanesc!C148*INDEX($L$2:$L$6,MIN(2+1,COUNT($L$2:$L$6)))/INDEX($L$2:$L$6,MIN(IFERROR(IF(ISNUMBER(INDEX(aditivos!$O$2:$O$200,MATCH($A148,aditivos!$A$2:$A$200,0))),MIN(INDEX(aditivos!$O$2:$O$200,MATCH($A148,aditivos!$A$2:$A$200,0)),posicao_contratual!$Y148),posicao_contratual!$Y148),posicao_contratual!$Y148)+1,COUNT($L$2:$L$6))),2),"")),IF(OR(NOT(ISNUMBER($L$4)),NOT(ISNUMBER(INDEX($L$2:$L$6,IFERROR(IF(ISNUMBER(INDEX(aditivos!$O$2:$O$200,MATCH($A148,aditivos!$A$2:$A$200,0))),MIN(INDEX(aditivos!$O$2:$O$200,MATCH($A148,aditivos!$A$2:$A$200,0)),posicao_contratual!$Y148),posicao_contratual!$Y148),posicao_contratual!$Y148)+1)))),"",ROUND(itens_Remanesc!C148*$L$4/INDEX($L$2:$L$6,IFERROR(IF(ISNUMBER(INDEX(aditivos!$O$2:$O$200,MATCH($A148,aditivos!$A$2:$A$200,0))),MIN(INDEX(aditivos!$O$2:$O$200,MATCH($A148,aditivos!$A$2:$A$200,0)),posicao_contratual!$Y148),posicao_contratual!$Y148),posicao_contratual!$Y148)+1),2))))))</f>
        <v/>
      </c>
      <c r="F148" s="79" t="str">
        <f>IF(OR($A148="",posicao_contratual!$Y148=""),"",IF(posicao_contratual!$Y148&gt;3,"",IF(NOT(ISNUMBER(itens_Remanesc!C148)),"",IF(posicao_contratual!$Y148=3,IF(IFERROR(IF(ISNUMBER(INDEX(aditivos!$O$2:$O$200,MATCH($A148,aditivos!$A$2:$A$200,0))),MIN(INDEX(aditivos!$O$2:$O$200,MATCH($A148,aditivos!$A$2:$A$200,0)),posicao_contratual!$Y148),posicao_contratual!$Y148),posicao_contratual!$Y148)=3,itens_Remanesc!C148,IFERROR(ROUND(itens_Remanesc!C148*INDEX($L$2:$L$6,MIN(3+1,COUNT($L$2:$L$6)))/INDEX($L$2:$L$6,MIN(IFERROR(IF(ISNUMBER(INDEX(aditivos!$O$2:$O$200,MATCH($A148,aditivos!$A$2:$A$200,0))),MIN(INDEX(aditivos!$O$2:$O$200,MATCH($A148,aditivos!$A$2:$A$200,0)),posicao_contratual!$Y148),posicao_contratual!$Y148),posicao_contratual!$Y148)+1,COUNT($L$2:$L$6))),2),"")),IF(OR(NOT(ISNUMBER($L$5)),NOT(ISNUMBER(INDEX($L$2:$L$6,IFERROR(IF(ISNUMBER(INDEX(aditivos!$O$2:$O$200,MATCH($A148,aditivos!$A$2:$A$200,0))),MIN(INDEX(aditivos!$O$2:$O$200,MATCH($A148,aditivos!$A$2:$A$200,0)),posicao_contratual!$Y148),posicao_contratual!$Y148),posicao_contratual!$Y148)+1)))),"",ROUND(itens_Remanesc!C148*$L$5/INDEX($L$2:$L$6,IFERROR(IF(ISNUMBER(INDEX(aditivos!$O$2:$O$200,MATCH($A148,aditivos!$A$2:$A$200,0))),MIN(INDEX(aditivos!$O$2:$O$200,MATCH($A148,aditivos!$A$2:$A$200,0)),posicao_contratual!$Y148),posicao_contratual!$Y148),posicao_contratual!$Y148)+1),2))))))</f>
        <v/>
      </c>
      <c r="G148" s="79" t="str">
        <f>IF(OR($A148="",posicao_contratual!$Y148=""),"",IF(posicao_contratual!$Y148&gt;4,"",IF(NOT(ISNUMBER(itens_Remanesc!C148)),"",IF(posicao_contratual!$Y148=4,IF(IFERROR(IF(ISNUMBER(INDEX(aditivos!$O$2:$O$200,MATCH($A148,aditivos!$A$2:$A$200,0))),MIN(INDEX(aditivos!$O$2:$O$200,MATCH($A148,aditivos!$A$2:$A$200,0)),posicao_contratual!$Y148),posicao_contratual!$Y148),posicao_contratual!$Y148)=4,itens_Remanesc!C148,IFERROR(ROUND(itens_Remanesc!C148*INDEX($L$2:$L$6,MIN(4+1,COUNT($L$2:$L$6)))/INDEX($L$2:$L$6,MIN(IFERROR(IF(ISNUMBER(INDEX(aditivos!$O$2:$O$200,MATCH($A148,aditivos!$A$2:$A$200,0))),MIN(INDEX(aditivos!$O$2:$O$200,MATCH($A148,aditivos!$A$2:$A$200,0)),posicao_contratual!$Y148),posicao_contratual!$Y148),posicao_contratual!$Y148)+1,COUNT($L$2:$L$6))),2),"")),IF(OR(NOT(ISNUMBER($L$6)),NOT(ISNUMBER(INDEX($L$2:$L$6,IFERROR(IF(ISNUMBER(INDEX(aditivos!$O$2:$O$200,MATCH($A148,aditivos!$A$2:$A$200,0))),MIN(INDEX(aditivos!$O$2:$O$200,MATCH($A148,aditivos!$A$2:$A$200,0)),posicao_contratual!$Y148),posicao_contratual!$Y148),posicao_contratual!$Y148)+1)))),"",ROUND(itens_Remanesc!C148*$L$6/INDEX($L$2:$L$6,IFERROR(IF(ISNUMBER(INDEX(aditivos!$O$2:$O$200,MATCH($A148,aditivos!$A$2:$A$200,0))),MIN(INDEX(aditivos!$O$2:$O$200,MATCH($A148,aditivos!$A$2:$A$200,0)),posicao_contratual!$Y148),posicao_contratual!$Y148),posicao_contratual!$Y148)+1),2))))))</f>
        <v/>
      </c>
      <c r="H148" s="116" t="str">
        <f t="shared" si="4"/>
        <v/>
      </c>
      <c r="I148" s="13"/>
      <c r="J148" s="13"/>
      <c r="K148" s="13"/>
      <c r="L148" s="13"/>
      <c r="M148" s="13"/>
      <c r="N148" s="147" t="str">
        <f>IF(A148="","",IF(posicao_contratual!$Y148="","",IF(posicao_contratual!$Y148&gt;0,"",posicao_contratual!E148)))</f>
        <v/>
      </c>
      <c r="O148" s="147" t="str">
        <f>IF(A148="","",IF(posicao_contratual!$Y148="","",IF(posicao_contratual!$Y148&gt;1,"",posicao_contratual!I148)))</f>
        <v/>
      </c>
      <c r="P148" s="147" t="str">
        <f>IF(A148="","",IF(posicao_contratual!$Y148="","",IF(posicao_contratual!$Y148&gt;2,"",posicao_contratual!M148)))</f>
        <v/>
      </c>
      <c r="Q148" s="147" t="str">
        <f>IF(A148="","",IF(posicao_contratual!$Y148="","",IF(posicao_contratual!$Y148&gt;3,"",posicao_contratual!Q148)))</f>
        <v/>
      </c>
      <c r="R148" s="147" t="str">
        <f>IF(A148="","",IF(posicao_contratual!$Y148="","",IF(posicao_contratual!$Y148&gt;4,"",posicao_contratual!U148)))</f>
        <v/>
      </c>
      <c r="S148" s="167" t="str">
        <f>IF(A148="","",posicao_contratual!G148)</f>
        <v/>
      </c>
      <c r="T148" s="167" t="str">
        <f>IF(A148="","",posicao_contratual!K148)</f>
        <v/>
      </c>
      <c r="U148" s="167" t="str">
        <f>IF(A148="","",posicao_contratual!O148)</f>
        <v/>
      </c>
      <c r="V148" s="167" t="str">
        <f>IF(A148="","",posicao_contratual!S148)</f>
        <v/>
      </c>
      <c r="W148" s="167" t="str">
        <f>IF(A148="","",posicao_contratual!W148)</f>
        <v/>
      </c>
    </row>
    <row r="149" spans="1:23" x14ac:dyDescent="0.35">
      <c r="A149" s="86" t="str">
        <f>IF(itens_Remanesc!A149="","",itens_Remanesc!A149)</f>
        <v/>
      </c>
      <c r="B149" s="85" t="str">
        <f>IF(A149="","",IF(posicao_contratual!$Y149="","",IF(posicao_contratual!$Y149&gt;0,"",posicao_contratual!G149)))</f>
        <v/>
      </c>
      <c r="C149" s="79" t="str">
        <f>IF(itens_Remanesc!A149="","",IF(posicao_contratual!$Y149="","",IF(posicao_contratual!$Y149&gt;0,"",itens_Remanesc!C149)))</f>
        <v/>
      </c>
      <c r="D149" s="79" t="str">
        <f>IF(OR($A149="",posicao_contratual!$Y149=""),"",IF(posicao_contratual!$Y149&gt;1,"",IF(NOT(ISNUMBER(itens_Remanesc!C149)),"",IF(posicao_contratual!$Y149=1,IF(IFERROR(IF(ISNUMBER(INDEX(aditivos!$O$2:$O$200,MATCH($A149,aditivos!$A$2:$A$200,0))),MIN(INDEX(aditivos!$O$2:$O$200,MATCH($A149,aditivos!$A$2:$A$200,0)),posicao_contratual!$Y149),posicao_contratual!$Y149),posicao_contratual!$Y149)=1,itens_Remanesc!C149,IFERROR(ROUND(itens_Remanesc!C149*INDEX($L$2:$L$6,MIN(1+1,COUNT($L$2:$L$6)))/INDEX($L$2:$L$6,MIN(IFERROR(IF(ISNUMBER(INDEX(aditivos!$O$2:$O$200,MATCH($A149,aditivos!$A$2:$A$200,0))),MIN(INDEX(aditivos!$O$2:$O$200,MATCH($A149,aditivos!$A$2:$A$200,0)),posicao_contratual!$Y149),posicao_contratual!$Y149),posicao_contratual!$Y149)+1,COUNT($L$2:$L$6))),2),"")),IF(OR(NOT(ISNUMBER($L$3)),NOT(ISNUMBER(INDEX($L$2:$L$6,IFERROR(IF(ISNUMBER(INDEX(aditivos!$O$2:$O$200,MATCH($A149,aditivos!$A$2:$A$200,0))),MIN(INDEX(aditivos!$O$2:$O$200,MATCH($A149,aditivos!$A$2:$A$200,0)),posicao_contratual!$Y149),posicao_contratual!$Y149),posicao_contratual!$Y149)+1)))),"",ROUND(itens_Remanesc!C149*$L$3/INDEX($L$2:$L$6,IFERROR(IF(ISNUMBER(INDEX(aditivos!$O$2:$O$200,MATCH($A149,aditivos!$A$2:$A$200,0))),MIN(INDEX(aditivos!$O$2:$O$200,MATCH($A149,aditivos!$A$2:$A$200,0)),posicao_contratual!$Y149),posicao_contratual!$Y149),posicao_contratual!$Y149)+1),2))))))</f>
        <v/>
      </c>
      <c r="E149" s="79" t="str">
        <f>IF(OR($A149="",posicao_contratual!$Y149=""),"",IF(posicao_contratual!$Y149&gt;2,"",IF(NOT(ISNUMBER(itens_Remanesc!C149)),"",IF(posicao_contratual!$Y149=2,IF(IFERROR(IF(ISNUMBER(INDEX(aditivos!$O$2:$O$200,MATCH($A149,aditivos!$A$2:$A$200,0))),MIN(INDEX(aditivos!$O$2:$O$200,MATCH($A149,aditivos!$A$2:$A$200,0)),posicao_contratual!$Y149),posicao_contratual!$Y149),posicao_contratual!$Y149)=2,itens_Remanesc!C149,IFERROR(ROUND(itens_Remanesc!C149*INDEX($L$2:$L$6,MIN(2+1,COUNT($L$2:$L$6)))/INDEX($L$2:$L$6,MIN(IFERROR(IF(ISNUMBER(INDEX(aditivos!$O$2:$O$200,MATCH($A149,aditivos!$A$2:$A$200,0))),MIN(INDEX(aditivos!$O$2:$O$200,MATCH($A149,aditivos!$A$2:$A$200,0)),posicao_contratual!$Y149),posicao_contratual!$Y149),posicao_contratual!$Y149)+1,COUNT($L$2:$L$6))),2),"")),IF(OR(NOT(ISNUMBER($L$4)),NOT(ISNUMBER(INDEX($L$2:$L$6,IFERROR(IF(ISNUMBER(INDEX(aditivos!$O$2:$O$200,MATCH($A149,aditivos!$A$2:$A$200,0))),MIN(INDEX(aditivos!$O$2:$O$200,MATCH($A149,aditivos!$A$2:$A$200,0)),posicao_contratual!$Y149),posicao_contratual!$Y149),posicao_contratual!$Y149)+1)))),"",ROUND(itens_Remanesc!C149*$L$4/INDEX($L$2:$L$6,IFERROR(IF(ISNUMBER(INDEX(aditivos!$O$2:$O$200,MATCH($A149,aditivos!$A$2:$A$200,0))),MIN(INDEX(aditivos!$O$2:$O$200,MATCH($A149,aditivos!$A$2:$A$200,0)),posicao_contratual!$Y149),posicao_contratual!$Y149),posicao_contratual!$Y149)+1),2))))))</f>
        <v/>
      </c>
      <c r="F149" s="79" t="str">
        <f>IF(OR($A149="",posicao_contratual!$Y149=""),"",IF(posicao_contratual!$Y149&gt;3,"",IF(NOT(ISNUMBER(itens_Remanesc!C149)),"",IF(posicao_contratual!$Y149=3,IF(IFERROR(IF(ISNUMBER(INDEX(aditivos!$O$2:$O$200,MATCH($A149,aditivos!$A$2:$A$200,0))),MIN(INDEX(aditivos!$O$2:$O$200,MATCH($A149,aditivos!$A$2:$A$200,0)),posicao_contratual!$Y149),posicao_contratual!$Y149),posicao_contratual!$Y149)=3,itens_Remanesc!C149,IFERROR(ROUND(itens_Remanesc!C149*INDEX($L$2:$L$6,MIN(3+1,COUNT($L$2:$L$6)))/INDEX($L$2:$L$6,MIN(IFERROR(IF(ISNUMBER(INDEX(aditivos!$O$2:$O$200,MATCH($A149,aditivos!$A$2:$A$200,0))),MIN(INDEX(aditivos!$O$2:$O$200,MATCH($A149,aditivos!$A$2:$A$200,0)),posicao_contratual!$Y149),posicao_contratual!$Y149),posicao_contratual!$Y149)+1,COUNT($L$2:$L$6))),2),"")),IF(OR(NOT(ISNUMBER($L$5)),NOT(ISNUMBER(INDEX($L$2:$L$6,IFERROR(IF(ISNUMBER(INDEX(aditivos!$O$2:$O$200,MATCH($A149,aditivos!$A$2:$A$200,0))),MIN(INDEX(aditivos!$O$2:$O$200,MATCH($A149,aditivos!$A$2:$A$200,0)),posicao_contratual!$Y149),posicao_contratual!$Y149),posicao_contratual!$Y149)+1)))),"",ROUND(itens_Remanesc!C149*$L$5/INDEX($L$2:$L$6,IFERROR(IF(ISNUMBER(INDEX(aditivos!$O$2:$O$200,MATCH($A149,aditivos!$A$2:$A$200,0))),MIN(INDEX(aditivos!$O$2:$O$200,MATCH($A149,aditivos!$A$2:$A$200,0)),posicao_contratual!$Y149),posicao_contratual!$Y149),posicao_contratual!$Y149)+1),2))))))</f>
        <v/>
      </c>
      <c r="G149" s="79" t="str">
        <f>IF(OR($A149="",posicao_contratual!$Y149=""),"",IF(posicao_contratual!$Y149&gt;4,"",IF(NOT(ISNUMBER(itens_Remanesc!C149)),"",IF(posicao_contratual!$Y149=4,IF(IFERROR(IF(ISNUMBER(INDEX(aditivos!$O$2:$O$200,MATCH($A149,aditivos!$A$2:$A$200,0))),MIN(INDEX(aditivos!$O$2:$O$200,MATCH($A149,aditivos!$A$2:$A$200,0)),posicao_contratual!$Y149),posicao_contratual!$Y149),posicao_contratual!$Y149)=4,itens_Remanesc!C149,IFERROR(ROUND(itens_Remanesc!C149*INDEX($L$2:$L$6,MIN(4+1,COUNT($L$2:$L$6)))/INDEX($L$2:$L$6,MIN(IFERROR(IF(ISNUMBER(INDEX(aditivos!$O$2:$O$200,MATCH($A149,aditivos!$A$2:$A$200,0))),MIN(INDEX(aditivos!$O$2:$O$200,MATCH($A149,aditivos!$A$2:$A$200,0)),posicao_contratual!$Y149),posicao_contratual!$Y149),posicao_contratual!$Y149)+1,COUNT($L$2:$L$6))),2),"")),IF(OR(NOT(ISNUMBER($L$6)),NOT(ISNUMBER(INDEX($L$2:$L$6,IFERROR(IF(ISNUMBER(INDEX(aditivos!$O$2:$O$200,MATCH($A149,aditivos!$A$2:$A$200,0))),MIN(INDEX(aditivos!$O$2:$O$200,MATCH($A149,aditivos!$A$2:$A$200,0)),posicao_contratual!$Y149),posicao_contratual!$Y149),posicao_contratual!$Y149)+1)))),"",ROUND(itens_Remanesc!C149*$L$6/INDEX($L$2:$L$6,IFERROR(IF(ISNUMBER(INDEX(aditivos!$O$2:$O$200,MATCH($A149,aditivos!$A$2:$A$200,0))),MIN(INDEX(aditivos!$O$2:$O$200,MATCH($A149,aditivos!$A$2:$A$200,0)),posicao_contratual!$Y149),posicao_contratual!$Y149),posicao_contratual!$Y149)+1),2))))))</f>
        <v/>
      </c>
      <c r="H149" s="116" t="str">
        <f t="shared" si="4"/>
        <v/>
      </c>
      <c r="I149" s="13"/>
      <c r="J149" s="13"/>
      <c r="K149" s="13"/>
      <c r="L149" s="13"/>
      <c r="M149" s="13"/>
      <c r="N149" s="147" t="str">
        <f>IF(A149="","",IF(posicao_contratual!$Y149="","",IF(posicao_contratual!$Y149&gt;0,"",posicao_contratual!E149)))</f>
        <v/>
      </c>
      <c r="O149" s="147" t="str">
        <f>IF(A149="","",IF(posicao_contratual!$Y149="","",IF(posicao_contratual!$Y149&gt;1,"",posicao_contratual!I149)))</f>
        <v/>
      </c>
      <c r="P149" s="147" t="str">
        <f>IF(A149="","",IF(posicao_contratual!$Y149="","",IF(posicao_contratual!$Y149&gt;2,"",posicao_contratual!M149)))</f>
        <v/>
      </c>
      <c r="Q149" s="147" t="str">
        <f>IF(A149="","",IF(posicao_contratual!$Y149="","",IF(posicao_contratual!$Y149&gt;3,"",posicao_contratual!Q149)))</f>
        <v/>
      </c>
      <c r="R149" s="147" t="str">
        <f>IF(A149="","",IF(posicao_contratual!$Y149="","",IF(posicao_contratual!$Y149&gt;4,"",posicao_contratual!U149)))</f>
        <v/>
      </c>
      <c r="S149" s="167" t="str">
        <f>IF(A149="","",posicao_contratual!G149)</f>
        <v/>
      </c>
      <c r="T149" s="167" t="str">
        <f>IF(A149="","",posicao_contratual!K149)</f>
        <v/>
      </c>
      <c r="U149" s="167" t="str">
        <f>IF(A149="","",posicao_contratual!O149)</f>
        <v/>
      </c>
      <c r="V149" s="167" t="str">
        <f>IF(A149="","",posicao_contratual!S149)</f>
        <v/>
      </c>
      <c r="W149" s="167" t="str">
        <f>IF(A149="","",posicao_contratual!W149)</f>
        <v/>
      </c>
    </row>
    <row r="150" spans="1:23" x14ac:dyDescent="0.35">
      <c r="A150" s="86" t="str">
        <f>IF(itens_Remanesc!A150="","",itens_Remanesc!A150)</f>
        <v/>
      </c>
      <c r="B150" s="85" t="str">
        <f>IF(A150="","",IF(posicao_contratual!$Y150="","",IF(posicao_contratual!$Y150&gt;0,"",posicao_contratual!G150)))</f>
        <v/>
      </c>
      <c r="C150" s="79" t="str">
        <f>IF(itens_Remanesc!A150="","",IF(posicao_contratual!$Y150="","",IF(posicao_contratual!$Y150&gt;0,"",itens_Remanesc!C150)))</f>
        <v/>
      </c>
      <c r="D150" s="79" t="str">
        <f>IF(OR($A150="",posicao_contratual!$Y150=""),"",IF(posicao_contratual!$Y150&gt;1,"",IF(NOT(ISNUMBER(itens_Remanesc!C150)),"",IF(posicao_contratual!$Y150=1,IF(IFERROR(IF(ISNUMBER(INDEX(aditivos!$O$2:$O$200,MATCH($A150,aditivos!$A$2:$A$200,0))),MIN(INDEX(aditivos!$O$2:$O$200,MATCH($A150,aditivos!$A$2:$A$200,0)),posicao_contratual!$Y150),posicao_contratual!$Y150),posicao_contratual!$Y150)=1,itens_Remanesc!C150,IFERROR(ROUND(itens_Remanesc!C150*INDEX($L$2:$L$6,MIN(1+1,COUNT($L$2:$L$6)))/INDEX($L$2:$L$6,MIN(IFERROR(IF(ISNUMBER(INDEX(aditivos!$O$2:$O$200,MATCH($A150,aditivos!$A$2:$A$200,0))),MIN(INDEX(aditivos!$O$2:$O$200,MATCH($A150,aditivos!$A$2:$A$200,0)),posicao_contratual!$Y150),posicao_contratual!$Y150),posicao_contratual!$Y150)+1,COUNT($L$2:$L$6))),2),"")),IF(OR(NOT(ISNUMBER($L$3)),NOT(ISNUMBER(INDEX($L$2:$L$6,IFERROR(IF(ISNUMBER(INDEX(aditivos!$O$2:$O$200,MATCH($A150,aditivos!$A$2:$A$200,0))),MIN(INDEX(aditivos!$O$2:$O$200,MATCH($A150,aditivos!$A$2:$A$200,0)),posicao_contratual!$Y150),posicao_contratual!$Y150),posicao_contratual!$Y150)+1)))),"",ROUND(itens_Remanesc!C150*$L$3/INDEX($L$2:$L$6,IFERROR(IF(ISNUMBER(INDEX(aditivos!$O$2:$O$200,MATCH($A150,aditivos!$A$2:$A$200,0))),MIN(INDEX(aditivos!$O$2:$O$200,MATCH($A150,aditivos!$A$2:$A$200,0)),posicao_contratual!$Y150),posicao_contratual!$Y150),posicao_contratual!$Y150)+1),2))))))</f>
        <v/>
      </c>
      <c r="E150" s="79" t="str">
        <f>IF(OR($A150="",posicao_contratual!$Y150=""),"",IF(posicao_contratual!$Y150&gt;2,"",IF(NOT(ISNUMBER(itens_Remanesc!C150)),"",IF(posicao_contratual!$Y150=2,IF(IFERROR(IF(ISNUMBER(INDEX(aditivos!$O$2:$O$200,MATCH($A150,aditivos!$A$2:$A$200,0))),MIN(INDEX(aditivos!$O$2:$O$200,MATCH($A150,aditivos!$A$2:$A$200,0)),posicao_contratual!$Y150),posicao_contratual!$Y150),posicao_contratual!$Y150)=2,itens_Remanesc!C150,IFERROR(ROUND(itens_Remanesc!C150*INDEX($L$2:$L$6,MIN(2+1,COUNT($L$2:$L$6)))/INDEX($L$2:$L$6,MIN(IFERROR(IF(ISNUMBER(INDEX(aditivos!$O$2:$O$200,MATCH($A150,aditivos!$A$2:$A$200,0))),MIN(INDEX(aditivos!$O$2:$O$200,MATCH($A150,aditivos!$A$2:$A$200,0)),posicao_contratual!$Y150),posicao_contratual!$Y150),posicao_contratual!$Y150)+1,COUNT($L$2:$L$6))),2),"")),IF(OR(NOT(ISNUMBER($L$4)),NOT(ISNUMBER(INDEX($L$2:$L$6,IFERROR(IF(ISNUMBER(INDEX(aditivos!$O$2:$O$200,MATCH($A150,aditivos!$A$2:$A$200,0))),MIN(INDEX(aditivos!$O$2:$O$200,MATCH($A150,aditivos!$A$2:$A$200,0)),posicao_contratual!$Y150),posicao_contratual!$Y150),posicao_contratual!$Y150)+1)))),"",ROUND(itens_Remanesc!C150*$L$4/INDEX($L$2:$L$6,IFERROR(IF(ISNUMBER(INDEX(aditivos!$O$2:$O$200,MATCH($A150,aditivos!$A$2:$A$200,0))),MIN(INDEX(aditivos!$O$2:$O$200,MATCH($A150,aditivos!$A$2:$A$200,0)),posicao_contratual!$Y150),posicao_contratual!$Y150),posicao_contratual!$Y150)+1),2))))))</f>
        <v/>
      </c>
      <c r="F150" s="79" t="str">
        <f>IF(OR($A150="",posicao_contratual!$Y150=""),"",IF(posicao_contratual!$Y150&gt;3,"",IF(NOT(ISNUMBER(itens_Remanesc!C150)),"",IF(posicao_contratual!$Y150=3,IF(IFERROR(IF(ISNUMBER(INDEX(aditivos!$O$2:$O$200,MATCH($A150,aditivos!$A$2:$A$200,0))),MIN(INDEX(aditivos!$O$2:$O$200,MATCH($A150,aditivos!$A$2:$A$200,0)),posicao_contratual!$Y150),posicao_contratual!$Y150),posicao_contratual!$Y150)=3,itens_Remanesc!C150,IFERROR(ROUND(itens_Remanesc!C150*INDEX($L$2:$L$6,MIN(3+1,COUNT($L$2:$L$6)))/INDEX($L$2:$L$6,MIN(IFERROR(IF(ISNUMBER(INDEX(aditivos!$O$2:$O$200,MATCH($A150,aditivos!$A$2:$A$200,0))),MIN(INDEX(aditivos!$O$2:$O$200,MATCH($A150,aditivos!$A$2:$A$200,0)),posicao_contratual!$Y150),posicao_contratual!$Y150),posicao_contratual!$Y150)+1,COUNT($L$2:$L$6))),2),"")),IF(OR(NOT(ISNUMBER($L$5)),NOT(ISNUMBER(INDEX($L$2:$L$6,IFERROR(IF(ISNUMBER(INDEX(aditivos!$O$2:$O$200,MATCH($A150,aditivos!$A$2:$A$200,0))),MIN(INDEX(aditivos!$O$2:$O$200,MATCH($A150,aditivos!$A$2:$A$200,0)),posicao_contratual!$Y150),posicao_contratual!$Y150),posicao_contratual!$Y150)+1)))),"",ROUND(itens_Remanesc!C150*$L$5/INDEX($L$2:$L$6,IFERROR(IF(ISNUMBER(INDEX(aditivos!$O$2:$O$200,MATCH($A150,aditivos!$A$2:$A$200,0))),MIN(INDEX(aditivos!$O$2:$O$200,MATCH($A150,aditivos!$A$2:$A$200,0)),posicao_contratual!$Y150),posicao_contratual!$Y150),posicao_contratual!$Y150)+1),2))))))</f>
        <v/>
      </c>
      <c r="G150" s="79" t="str">
        <f>IF(OR($A150="",posicao_contratual!$Y150=""),"",IF(posicao_contratual!$Y150&gt;4,"",IF(NOT(ISNUMBER(itens_Remanesc!C150)),"",IF(posicao_contratual!$Y150=4,IF(IFERROR(IF(ISNUMBER(INDEX(aditivos!$O$2:$O$200,MATCH($A150,aditivos!$A$2:$A$200,0))),MIN(INDEX(aditivos!$O$2:$O$200,MATCH($A150,aditivos!$A$2:$A$200,0)),posicao_contratual!$Y150),posicao_contratual!$Y150),posicao_contratual!$Y150)=4,itens_Remanesc!C150,IFERROR(ROUND(itens_Remanesc!C150*INDEX($L$2:$L$6,MIN(4+1,COUNT($L$2:$L$6)))/INDEX($L$2:$L$6,MIN(IFERROR(IF(ISNUMBER(INDEX(aditivos!$O$2:$O$200,MATCH($A150,aditivos!$A$2:$A$200,0))),MIN(INDEX(aditivos!$O$2:$O$200,MATCH($A150,aditivos!$A$2:$A$200,0)),posicao_contratual!$Y150),posicao_contratual!$Y150),posicao_contratual!$Y150)+1,COUNT($L$2:$L$6))),2),"")),IF(OR(NOT(ISNUMBER($L$6)),NOT(ISNUMBER(INDEX($L$2:$L$6,IFERROR(IF(ISNUMBER(INDEX(aditivos!$O$2:$O$200,MATCH($A150,aditivos!$A$2:$A$200,0))),MIN(INDEX(aditivos!$O$2:$O$200,MATCH($A150,aditivos!$A$2:$A$200,0)),posicao_contratual!$Y150),posicao_contratual!$Y150),posicao_contratual!$Y150)+1)))),"",ROUND(itens_Remanesc!C150*$L$6/INDEX($L$2:$L$6,IFERROR(IF(ISNUMBER(INDEX(aditivos!$O$2:$O$200,MATCH($A150,aditivos!$A$2:$A$200,0))),MIN(INDEX(aditivos!$O$2:$O$200,MATCH($A150,aditivos!$A$2:$A$200,0)),posicao_contratual!$Y150),posicao_contratual!$Y150),posicao_contratual!$Y150)+1),2))))))</f>
        <v/>
      </c>
      <c r="H150" s="116" t="str">
        <f t="shared" si="4"/>
        <v/>
      </c>
      <c r="I150" s="13"/>
      <c r="J150" s="13"/>
      <c r="K150" s="13"/>
      <c r="L150" s="13"/>
      <c r="M150" s="13"/>
      <c r="N150" s="147" t="str">
        <f>IF(A150="","",IF(posicao_contratual!$Y150="","",IF(posicao_contratual!$Y150&gt;0,"",posicao_contratual!E150)))</f>
        <v/>
      </c>
      <c r="O150" s="147" t="str">
        <f>IF(A150="","",IF(posicao_contratual!$Y150="","",IF(posicao_contratual!$Y150&gt;1,"",posicao_contratual!I150)))</f>
        <v/>
      </c>
      <c r="P150" s="147" t="str">
        <f>IF(A150="","",IF(posicao_contratual!$Y150="","",IF(posicao_contratual!$Y150&gt;2,"",posicao_contratual!M150)))</f>
        <v/>
      </c>
      <c r="Q150" s="147" t="str">
        <f>IF(A150="","",IF(posicao_contratual!$Y150="","",IF(posicao_contratual!$Y150&gt;3,"",posicao_contratual!Q150)))</f>
        <v/>
      </c>
      <c r="R150" s="147" t="str">
        <f>IF(A150="","",IF(posicao_contratual!$Y150="","",IF(posicao_contratual!$Y150&gt;4,"",posicao_contratual!U150)))</f>
        <v/>
      </c>
      <c r="S150" s="167" t="str">
        <f>IF(A150="","",posicao_contratual!G150)</f>
        <v/>
      </c>
      <c r="T150" s="167" t="str">
        <f>IF(A150="","",posicao_contratual!K150)</f>
        <v/>
      </c>
      <c r="U150" s="167" t="str">
        <f>IF(A150="","",posicao_contratual!O150)</f>
        <v/>
      </c>
      <c r="V150" s="167" t="str">
        <f>IF(A150="","",posicao_contratual!S150)</f>
        <v/>
      </c>
      <c r="W150" s="167" t="str">
        <f>IF(A150="","",posicao_contratual!W150)</f>
        <v/>
      </c>
    </row>
    <row r="151" spans="1:23" x14ac:dyDescent="0.35">
      <c r="A151" s="86" t="str">
        <f>IF(itens_Remanesc!A151="","",itens_Remanesc!A151)</f>
        <v/>
      </c>
      <c r="B151" s="85" t="str">
        <f>IF(A151="","",IF(posicao_contratual!$Y151="","",IF(posicao_contratual!$Y151&gt;0,"",posicao_contratual!G151)))</f>
        <v/>
      </c>
      <c r="C151" s="79" t="str">
        <f>IF(itens_Remanesc!A151="","",IF(posicao_contratual!$Y151="","",IF(posicao_contratual!$Y151&gt;0,"",itens_Remanesc!C151)))</f>
        <v/>
      </c>
      <c r="D151" s="79" t="str">
        <f>IF(OR($A151="",posicao_contratual!$Y151=""),"",IF(posicao_contratual!$Y151&gt;1,"",IF(NOT(ISNUMBER(itens_Remanesc!C151)),"",IF(posicao_contratual!$Y151=1,IF(IFERROR(IF(ISNUMBER(INDEX(aditivos!$O$2:$O$200,MATCH($A151,aditivos!$A$2:$A$200,0))),MIN(INDEX(aditivos!$O$2:$O$200,MATCH($A151,aditivos!$A$2:$A$200,0)),posicao_contratual!$Y151),posicao_contratual!$Y151),posicao_contratual!$Y151)=1,itens_Remanesc!C151,IFERROR(ROUND(itens_Remanesc!C151*INDEX($L$2:$L$6,MIN(1+1,COUNT($L$2:$L$6)))/INDEX($L$2:$L$6,MIN(IFERROR(IF(ISNUMBER(INDEX(aditivos!$O$2:$O$200,MATCH($A151,aditivos!$A$2:$A$200,0))),MIN(INDEX(aditivos!$O$2:$O$200,MATCH($A151,aditivos!$A$2:$A$200,0)),posicao_contratual!$Y151),posicao_contratual!$Y151),posicao_contratual!$Y151)+1,COUNT($L$2:$L$6))),2),"")),IF(OR(NOT(ISNUMBER($L$3)),NOT(ISNUMBER(INDEX($L$2:$L$6,IFERROR(IF(ISNUMBER(INDEX(aditivos!$O$2:$O$200,MATCH($A151,aditivos!$A$2:$A$200,0))),MIN(INDEX(aditivos!$O$2:$O$200,MATCH($A151,aditivos!$A$2:$A$200,0)),posicao_contratual!$Y151),posicao_contratual!$Y151),posicao_contratual!$Y151)+1)))),"",ROUND(itens_Remanesc!C151*$L$3/INDEX($L$2:$L$6,IFERROR(IF(ISNUMBER(INDEX(aditivos!$O$2:$O$200,MATCH($A151,aditivos!$A$2:$A$200,0))),MIN(INDEX(aditivos!$O$2:$O$200,MATCH($A151,aditivos!$A$2:$A$200,0)),posicao_contratual!$Y151),posicao_contratual!$Y151),posicao_contratual!$Y151)+1),2))))))</f>
        <v/>
      </c>
      <c r="E151" s="79" t="str">
        <f>IF(OR($A151="",posicao_contratual!$Y151=""),"",IF(posicao_contratual!$Y151&gt;2,"",IF(NOT(ISNUMBER(itens_Remanesc!C151)),"",IF(posicao_contratual!$Y151=2,IF(IFERROR(IF(ISNUMBER(INDEX(aditivos!$O$2:$O$200,MATCH($A151,aditivos!$A$2:$A$200,0))),MIN(INDEX(aditivos!$O$2:$O$200,MATCH($A151,aditivos!$A$2:$A$200,0)),posicao_contratual!$Y151),posicao_contratual!$Y151),posicao_contratual!$Y151)=2,itens_Remanesc!C151,IFERROR(ROUND(itens_Remanesc!C151*INDEX($L$2:$L$6,MIN(2+1,COUNT($L$2:$L$6)))/INDEX($L$2:$L$6,MIN(IFERROR(IF(ISNUMBER(INDEX(aditivos!$O$2:$O$200,MATCH($A151,aditivos!$A$2:$A$200,0))),MIN(INDEX(aditivos!$O$2:$O$200,MATCH($A151,aditivos!$A$2:$A$200,0)),posicao_contratual!$Y151),posicao_contratual!$Y151),posicao_contratual!$Y151)+1,COUNT($L$2:$L$6))),2),"")),IF(OR(NOT(ISNUMBER($L$4)),NOT(ISNUMBER(INDEX($L$2:$L$6,IFERROR(IF(ISNUMBER(INDEX(aditivos!$O$2:$O$200,MATCH($A151,aditivos!$A$2:$A$200,0))),MIN(INDEX(aditivos!$O$2:$O$200,MATCH($A151,aditivos!$A$2:$A$200,0)),posicao_contratual!$Y151),posicao_contratual!$Y151),posicao_contratual!$Y151)+1)))),"",ROUND(itens_Remanesc!C151*$L$4/INDEX($L$2:$L$6,IFERROR(IF(ISNUMBER(INDEX(aditivos!$O$2:$O$200,MATCH($A151,aditivos!$A$2:$A$200,0))),MIN(INDEX(aditivos!$O$2:$O$200,MATCH($A151,aditivos!$A$2:$A$200,0)),posicao_contratual!$Y151),posicao_contratual!$Y151),posicao_contratual!$Y151)+1),2))))))</f>
        <v/>
      </c>
      <c r="F151" s="79" t="str">
        <f>IF(OR($A151="",posicao_contratual!$Y151=""),"",IF(posicao_contratual!$Y151&gt;3,"",IF(NOT(ISNUMBER(itens_Remanesc!C151)),"",IF(posicao_contratual!$Y151=3,IF(IFERROR(IF(ISNUMBER(INDEX(aditivos!$O$2:$O$200,MATCH($A151,aditivos!$A$2:$A$200,0))),MIN(INDEX(aditivos!$O$2:$O$200,MATCH($A151,aditivos!$A$2:$A$200,0)),posicao_contratual!$Y151),posicao_contratual!$Y151),posicao_contratual!$Y151)=3,itens_Remanesc!C151,IFERROR(ROUND(itens_Remanesc!C151*INDEX($L$2:$L$6,MIN(3+1,COUNT($L$2:$L$6)))/INDEX($L$2:$L$6,MIN(IFERROR(IF(ISNUMBER(INDEX(aditivos!$O$2:$O$200,MATCH($A151,aditivos!$A$2:$A$200,0))),MIN(INDEX(aditivos!$O$2:$O$200,MATCH($A151,aditivos!$A$2:$A$200,0)),posicao_contratual!$Y151),posicao_contratual!$Y151),posicao_contratual!$Y151)+1,COUNT($L$2:$L$6))),2),"")),IF(OR(NOT(ISNUMBER($L$5)),NOT(ISNUMBER(INDEX($L$2:$L$6,IFERROR(IF(ISNUMBER(INDEX(aditivos!$O$2:$O$200,MATCH($A151,aditivos!$A$2:$A$200,0))),MIN(INDEX(aditivos!$O$2:$O$200,MATCH($A151,aditivos!$A$2:$A$200,0)),posicao_contratual!$Y151),posicao_contratual!$Y151),posicao_contratual!$Y151)+1)))),"",ROUND(itens_Remanesc!C151*$L$5/INDEX($L$2:$L$6,IFERROR(IF(ISNUMBER(INDEX(aditivos!$O$2:$O$200,MATCH($A151,aditivos!$A$2:$A$200,0))),MIN(INDEX(aditivos!$O$2:$O$200,MATCH($A151,aditivos!$A$2:$A$200,0)),posicao_contratual!$Y151),posicao_contratual!$Y151),posicao_contratual!$Y151)+1),2))))))</f>
        <v/>
      </c>
      <c r="G151" s="79" t="str">
        <f>IF(OR($A151="",posicao_contratual!$Y151=""),"",IF(posicao_contratual!$Y151&gt;4,"",IF(NOT(ISNUMBER(itens_Remanesc!C151)),"",IF(posicao_contratual!$Y151=4,IF(IFERROR(IF(ISNUMBER(INDEX(aditivos!$O$2:$O$200,MATCH($A151,aditivos!$A$2:$A$200,0))),MIN(INDEX(aditivos!$O$2:$O$200,MATCH($A151,aditivos!$A$2:$A$200,0)),posicao_contratual!$Y151),posicao_contratual!$Y151),posicao_contratual!$Y151)=4,itens_Remanesc!C151,IFERROR(ROUND(itens_Remanesc!C151*INDEX($L$2:$L$6,MIN(4+1,COUNT($L$2:$L$6)))/INDEX($L$2:$L$6,MIN(IFERROR(IF(ISNUMBER(INDEX(aditivos!$O$2:$O$200,MATCH($A151,aditivos!$A$2:$A$200,0))),MIN(INDEX(aditivos!$O$2:$O$200,MATCH($A151,aditivos!$A$2:$A$200,0)),posicao_contratual!$Y151),posicao_contratual!$Y151),posicao_contratual!$Y151)+1,COUNT($L$2:$L$6))),2),"")),IF(OR(NOT(ISNUMBER($L$6)),NOT(ISNUMBER(INDEX($L$2:$L$6,IFERROR(IF(ISNUMBER(INDEX(aditivos!$O$2:$O$200,MATCH($A151,aditivos!$A$2:$A$200,0))),MIN(INDEX(aditivos!$O$2:$O$200,MATCH($A151,aditivos!$A$2:$A$200,0)),posicao_contratual!$Y151),posicao_contratual!$Y151),posicao_contratual!$Y151)+1)))),"",ROUND(itens_Remanesc!C151*$L$6/INDEX($L$2:$L$6,IFERROR(IF(ISNUMBER(INDEX(aditivos!$O$2:$O$200,MATCH($A151,aditivos!$A$2:$A$200,0))),MIN(INDEX(aditivos!$O$2:$O$200,MATCH($A151,aditivos!$A$2:$A$200,0)),posicao_contratual!$Y151),posicao_contratual!$Y151),posicao_contratual!$Y151)+1),2))))))</f>
        <v/>
      </c>
      <c r="H151" s="116" t="str">
        <f t="shared" si="4"/>
        <v/>
      </c>
      <c r="I151" s="13"/>
      <c r="J151" s="13"/>
      <c r="K151" s="13"/>
      <c r="L151" s="13"/>
      <c r="M151" s="13"/>
      <c r="N151" s="147" t="str">
        <f>IF(A151="","",IF(posicao_contratual!$Y151="","",IF(posicao_contratual!$Y151&gt;0,"",posicao_contratual!E151)))</f>
        <v/>
      </c>
      <c r="O151" s="147" t="str">
        <f>IF(A151="","",IF(posicao_contratual!$Y151="","",IF(posicao_contratual!$Y151&gt;1,"",posicao_contratual!I151)))</f>
        <v/>
      </c>
      <c r="P151" s="147" t="str">
        <f>IF(A151="","",IF(posicao_contratual!$Y151="","",IF(posicao_contratual!$Y151&gt;2,"",posicao_contratual!M151)))</f>
        <v/>
      </c>
      <c r="Q151" s="147" t="str">
        <f>IF(A151="","",IF(posicao_contratual!$Y151="","",IF(posicao_contratual!$Y151&gt;3,"",posicao_contratual!Q151)))</f>
        <v/>
      </c>
      <c r="R151" s="147" t="str">
        <f>IF(A151="","",IF(posicao_contratual!$Y151="","",IF(posicao_contratual!$Y151&gt;4,"",posicao_contratual!U151)))</f>
        <v/>
      </c>
      <c r="S151" s="167" t="str">
        <f>IF(A151="","",posicao_contratual!G151)</f>
        <v/>
      </c>
      <c r="T151" s="167" t="str">
        <f>IF(A151="","",posicao_contratual!K151)</f>
        <v/>
      </c>
      <c r="U151" s="167" t="str">
        <f>IF(A151="","",posicao_contratual!O151)</f>
        <v/>
      </c>
      <c r="V151" s="167" t="str">
        <f>IF(A151="","",posicao_contratual!S151)</f>
        <v/>
      </c>
      <c r="W151" s="167" t="str">
        <f>IF(A151="","",posicao_contratual!W151)</f>
        <v/>
      </c>
    </row>
    <row r="152" spans="1:23" x14ac:dyDescent="0.35">
      <c r="A152" s="86" t="str">
        <f>IF(itens_Remanesc!A152="","",itens_Remanesc!A152)</f>
        <v/>
      </c>
      <c r="B152" s="85" t="str">
        <f>IF(A152="","",IF(posicao_contratual!$Y152="","",IF(posicao_contratual!$Y152&gt;0,"",posicao_contratual!G152)))</f>
        <v/>
      </c>
      <c r="C152" s="79" t="str">
        <f>IF(itens_Remanesc!A152="","",IF(posicao_contratual!$Y152="","",IF(posicao_contratual!$Y152&gt;0,"",itens_Remanesc!C152)))</f>
        <v/>
      </c>
      <c r="D152" s="79" t="str">
        <f>IF(OR($A152="",posicao_contratual!$Y152=""),"",IF(posicao_contratual!$Y152&gt;1,"",IF(NOT(ISNUMBER(itens_Remanesc!C152)),"",IF(posicao_contratual!$Y152=1,IF(IFERROR(IF(ISNUMBER(INDEX(aditivos!$O$2:$O$200,MATCH($A152,aditivos!$A$2:$A$200,0))),MIN(INDEX(aditivos!$O$2:$O$200,MATCH($A152,aditivos!$A$2:$A$200,0)),posicao_contratual!$Y152),posicao_contratual!$Y152),posicao_contratual!$Y152)=1,itens_Remanesc!C152,IFERROR(ROUND(itens_Remanesc!C152*INDEX($L$2:$L$6,MIN(1+1,COUNT($L$2:$L$6)))/INDEX($L$2:$L$6,MIN(IFERROR(IF(ISNUMBER(INDEX(aditivos!$O$2:$O$200,MATCH($A152,aditivos!$A$2:$A$200,0))),MIN(INDEX(aditivos!$O$2:$O$200,MATCH($A152,aditivos!$A$2:$A$200,0)),posicao_contratual!$Y152),posicao_contratual!$Y152),posicao_contratual!$Y152)+1,COUNT($L$2:$L$6))),2),"")),IF(OR(NOT(ISNUMBER($L$3)),NOT(ISNUMBER(INDEX($L$2:$L$6,IFERROR(IF(ISNUMBER(INDEX(aditivos!$O$2:$O$200,MATCH($A152,aditivos!$A$2:$A$200,0))),MIN(INDEX(aditivos!$O$2:$O$200,MATCH($A152,aditivos!$A$2:$A$200,0)),posicao_contratual!$Y152),posicao_contratual!$Y152),posicao_contratual!$Y152)+1)))),"",ROUND(itens_Remanesc!C152*$L$3/INDEX($L$2:$L$6,IFERROR(IF(ISNUMBER(INDEX(aditivos!$O$2:$O$200,MATCH($A152,aditivos!$A$2:$A$200,0))),MIN(INDEX(aditivos!$O$2:$O$200,MATCH($A152,aditivos!$A$2:$A$200,0)),posicao_contratual!$Y152),posicao_contratual!$Y152),posicao_contratual!$Y152)+1),2))))))</f>
        <v/>
      </c>
      <c r="E152" s="79" t="str">
        <f>IF(OR($A152="",posicao_contratual!$Y152=""),"",IF(posicao_contratual!$Y152&gt;2,"",IF(NOT(ISNUMBER(itens_Remanesc!C152)),"",IF(posicao_contratual!$Y152=2,IF(IFERROR(IF(ISNUMBER(INDEX(aditivos!$O$2:$O$200,MATCH($A152,aditivos!$A$2:$A$200,0))),MIN(INDEX(aditivos!$O$2:$O$200,MATCH($A152,aditivos!$A$2:$A$200,0)),posicao_contratual!$Y152),posicao_contratual!$Y152),posicao_contratual!$Y152)=2,itens_Remanesc!C152,IFERROR(ROUND(itens_Remanesc!C152*INDEX($L$2:$L$6,MIN(2+1,COUNT($L$2:$L$6)))/INDEX($L$2:$L$6,MIN(IFERROR(IF(ISNUMBER(INDEX(aditivos!$O$2:$O$200,MATCH($A152,aditivos!$A$2:$A$200,0))),MIN(INDEX(aditivos!$O$2:$O$200,MATCH($A152,aditivos!$A$2:$A$200,0)),posicao_contratual!$Y152),posicao_contratual!$Y152),posicao_contratual!$Y152)+1,COUNT($L$2:$L$6))),2),"")),IF(OR(NOT(ISNUMBER($L$4)),NOT(ISNUMBER(INDEX($L$2:$L$6,IFERROR(IF(ISNUMBER(INDEX(aditivos!$O$2:$O$200,MATCH($A152,aditivos!$A$2:$A$200,0))),MIN(INDEX(aditivos!$O$2:$O$200,MATCH($A152,aditivos!$A$2:$A$200,0)),posicao_contratual!$Y152),posicao_contratual!$Y152),posicao_contratual!$Y152)+1)))),"",ROUND(itens_Remanesc!C152*$L$4/INDEX($L$2:$L$6,IFERROR(IF(ISNUMBER(INDEX(aditivos!$O$2:$O$200,MATCH($A152,aditivos!$A$2:$A$200,0))),MIN(INDEX(aditivos!$O$2:$O$200,MATCH($A152,aditivos!$A$2:$A$200,0)),posicao_contratual!$Y152),posicao_contratual!$Y152),posicao_contratual!$Y152)+1),2))))))</f>
        <v/>
      </c>
      <c r="F152" s="79" t="str">
        <f>IF(OR($A152="",posicao_contratual!$Y152=""),"",IF(posicao_contratual!$Y152&gt;3,"",IF(NOT(ISNUMBER(itens_Remanesc!C152)),"",IF(posicao_contratual!$Y152=3,IF(IFERROR(IF(ISNUMBER(INDEX(aditivos!$O$2:$O$200,MATCH($A152,aditivos!$A$2:$A$200,0))),MIN(INDEX(aditivos!$O$2:$O$200,MATCH($A152,aditivos!$A$2:$A$200,0)),posicao_contratual!$Y152),posicao_contratual!$Y152),posicao_contratual!$Y152)=3,itens_Remanesc!C152,IFERROR(ROUND(itens_Remanesc!C152*INDEX($L$2:$L$6,MIN(3+1,COUNT($L$2:$L$6)))/INDEX($L$2:$L$6,MIN(IFERROR(IF(ISNUMBER(INDEX(aditivos!$O$2:$O$200,MATCH($A152,aditivos!$A$2:$A$200,0))),MIN(INDEX(aditivos!$O$2:$O$200,MATCH($A152,aditivos!$A$2:$A$200,0)),posicao_contratual!$Y152),posicao_contratual!$Y152),posicao_contratual!$Y152)+1,COUNT($L$2:$L$6))),2),"")),IF(OR(NOT(ISNUMBER($L$5)),NOT(ISNUMBER(INDEX($L$2:$L$6,IFERROR(IF(ISNUMBER(INDEX(aditivos!$O$2:$O$200,MATCH($A152,aditivos!$A$2:$A$200,0))),MIN(INDEX(aditivos!$O$2:$O$200,MATCH($A152,aditivos!$A$2:$A$200,0)),posicao_contratual!$Y152),posicao_contratual!$Y152),posicao_contratual!$Y152)+1)))),"",ROUND(itens_Remanesc!C152*$L$5/INDEX($L$2:$L$6,IFERROR(IF(ISNUMBER(INDEX(aditivos!$O$2:$O$200,MATCH($A152,aditivos!$A$2:$A$200,0))),MIN(INDEX(aditivos!$O$2:$O$200,MATCH($A152,aditivos!$A$2:$A$200,0)),posicao_contratual!$Y152),posicao_contratual!$Y152),posicao_contratual!$Y152)+1),2))))))</f>
        <v/>
      </c>
      <c r="G152" s="79" t="str">
        <f>IF(OR($A152="",posicao_contratual!$Y152=""),"",IF(posicao_contratual!$Y152&gt;4,"",IF(NOT(ISNUMBER(itens_Remanesc!C152)),"",IF(posicao_contratual!$Y152=4,IF(IFERROR(IF(ISNUMBER(INDEX(aditivos!$O$2:$O$200,MATCH($A152,aditivos!$A$2:$A$200,0))),MIN(INDEX(aditivos!$O$2:$O$200,MATCH($A152,aditivos!$A$2:$A$200,0)),posicao_contratual!$Y152),posicao_contratual!$Y152),posicao_contratual!$Y152)=4,itens_Remanesc!C152,IFERROR(ROUND(itens_Remanesc!C152*INDEX($L$2:$L$6,MIN(4+1,COUNT($L$2:$L$6)))/INDEX($L$2:$L$6,MIN(IFERROR(IF(ISNUMBER(INDEX(aditivos!$O$2:$O$200,MATCH($A152,aditivos!$A$2:$A$200,0))),MIN(INDEX(aditivos!$O$2:$O$200,MATCH($A152,aditivos!$A$2:$A$200,0)),posicao_contratual!$Y152),posicao_contratual!$Y152),posicao_contratual!$Y152)+1,COUNT($L$2:$L$6))),2),"")),IF(OR(NOT(ISNUMBER($L$6)),NOT(ISNUMBER(INDEX($L$2:$L$6,IFERROR(IF(ISNUMBER(INDEX(aditivos!$O$2:$O$200,MATCH($A152,aditivos!$A$2:$A$200,0))),MIN(INDEX(aditivos!$O$2:$O$200,MATCH($A152,aditivos!$A$2:$A$200,0)),posicao_contratual!$Y152),posicao_contratual!$Y152),posicao_contratual!$Y152)+1)))),"",ROUND(itens_Remanesc!C152*$L$6/INDEX($L$2:$L$6,IFERROR(IF(ISNUMBER(INDEX(aditivos!$O$2:$O$200,MATCH($A152,aditivos!$A$2:$A$200,0))),MIN(INDEX(aditivos!$O$2:$O$200,MATCH($A152,aditivos!$A$2:$A$200,0)),posicao_contratual!$Y152),posicao_contratual!$Y152),posicao_contratual!$Y152)+1),2))))))</f>
        <v/>
      </c>
      <c r="H152" s="116" t="str">
        <f t="shared" si="4"/>
        <v/>
      </c>
      <c r="I152" s="13"/>
      <c r="J152" s="13"/>
      <c r="K152" s="13"/>
      <c r="L152" s="13"/>
      <c r="M152" s="13"/>
      <c r="N152" s="147" t="str">
        <f>IF(A152="","",IF(posicao_contratual!$Y152="","",IF(posicao_contratual!$Y152&gt;0,"",posicao_contratual!E152)))</f>
        <v/>
      </c>
      <c r="O152" s="147" t="str">
        <f>IF(A152="","",IF(posicao_contratual!$Y152="","",IF(posicao_contratual!$Y152&gt;1,"",posicao_contratual!I152)))</f>
        <v/>
      </c>
      <c r="P152" s="147" t="str">
        <f>IF(A152="","",IF(posicao_contratual!$Y152="","",IF(posicao_contratual!$Y152&gt;2,"",posicao_contratual!M152)))</f>
        <v/>
      </c>
      <c r="Q152" s="147" t="str">
        <f>IF(A152="","",IF(posicao_contratual!$Y152="","",IF(posicao_contratual!$Y152&gt;3,"",posicao_contratual!Q152)))</f>
        <v/>
      </c>
      <c r="R152" s="147" t="str">
        <f>IF(A152="","",IF(posicao_contratual!$Y152="","",IF(posicao_contratual!$Y152&gt;4,"",posicao_contratual!U152)))</f>
        <v/>
      </c>
      <c r="S152" s="167" t="str">
        <f>IF(A152="","",posicao_contratual!G152)</f>
        <v/>
      </c>
      <c r="T152" s="167" t="str">
        <f>IF(A152="","",posicao_contratual!K152)</f>
        <v/>
      </c>
      <c r="U152" s="167" t="str">
        <f>IF(A152="","",posicao_contratual!O152)</f>
        <v/>
      </c>
      <c r="V152" s="167" t="str">
        <f>IF(A152="","",posicao_contratual!S152)</f>
        <v/>
      </c>
      <c r="W152" s="167" t="str">
        <f>IF(A152="","",posicao_contratual!W152)</f>
        <v/>
      </c>
    </row>
    <row r="153" spans="1:23" x14ac:dyDescent="0.35">
      <c r="A153" s="86" t="str">
        <f>IF(itens_Remanesc!A153="","",itens_Remanesc!A153)</f>
        <v/>
      </c>
      <c r="B153" s="85" t="str">
        <f>IF(A153="","",IF(posicao_contratual!$Y153="","",IF(posicao_contratual!$Y153&gt;0,"",posicao_contratual!G153)))</f>
        <v/>
      </c>
      <c r="C153" s="79" t="str">
        <f>IF(itens_Remanesc!A153="","",IF(posicao_contratual!$Y153="","",IF(posicao_contratual!$Y153&gt;0,"",itens_Remanesc!C153)))</f>
        <v/>
      </c>
      <c r="D153" s="79" t="str">
        <f>IF(OR($A153="",posicao_contratual!$Y153=""),"",IF(posicao_contratual!$Y153&gt;1,"",IF(NOT(ISNUMBER(itens_Remanesc!C153)),"",IF(posicao_contratual!$Y153=1,IF(IFERROR(IF(ISNUMBER(INDEX(aditivos!$O$2:$O$200,MATCH($A153,aditivos!$A$2:$A$200,0))),MIN(INDEX(aditivos!$O$2:$O$200,MATCH($A153,aditivos!$A$2:$A$200,0)),posicao_contratual!$Y153),posicao_contratual!$Y153),posicao_contratual!$Y153)=1,itens_Remanesc!C153,IFERROR(ROUND(itens_Remanesc!C153*INDEX($L$2:$L$6,MIN(1+1,COUNT($L$2:$L$6)))/INDEX($L$2:$L$6,MIN(IFERROR(IF(ISNUMBER(INDEX(aditivos!$O$2:$O$200,MATCH($A153,aditivos!$A$2:$A$200,0))),MIN(INDEX(aditivos!$O$2:$O$200,MATCH($A153,aditivos!$A$2:$A$200,0)),posicao_contratual!$Y153),posicao_contratual!$Y153),posicao_contratual!$Y153)+1,COUNT($L$2:$L$6))),2),"")),IF(OR(NOT(ISNUMBER($L$3)),NOT(ISNUMBER(INDEX($L$2:$L$6,IFERROR(IF(ISNUMBER(INDEX(aditivos!$O$2:$O$200,MATCH($A153,aditivos!$A$2:$A$200,0))),MIN(INDEX(aditivos!$O$2:$O$200,MATCH($A153,aditivos!$A$2:$A$200,0)),posicao_contratual!$Y153),posicao_contratual!$Y153),posicao_contratual!$Y153)+1)))),"",ROUND(itens_Remanesc!C153*$L$3/INDEX($L$2:$L$6,IFERROR(IF(ISNUMBER(INDEX(aditivos!$O$2:$O$200,MATCH($A153,aditivos!$A$2:$A$200,0))),MIN(INDEX(aditivos!$O$2:$O$200,MATCH($A153,aditivos!$A$2:$A$200,0)),posicao_contratual!$Y153),posicao_contratual!$Y153),posicao_contratual!$Y153)+1),2))))))</f>
        <v/>
      </c>
      <c r="E153" s="79" t="str">
        <f>IF(OR($A153="",posicao_contratual!$Y153=""),"",IF(posicao_contratual!$Y153&gt;2,"",IF(NOT(ISNUMBER(itens_Remanesc!C153)),"",IF(posicao_contratual!$Y153=2,IF(IFERROR(IF(ISNUMBER(INDEX(aditivos!$O$2:$O$200,MATCH($A153,aditivos!$A$2:$A$200,0))),MIN(INDEX(aditivos!$O$2:$O$200,MATCH($A153,aditivos!$A$2:$A$200,0)),posicao_contratual!$Y153),posicao_contratual!$Y153),posicao_contratual!$Y153)=2,itens_Remanesc!C153,IFERROR(ROUND(itens_Remanesc!C153*INDEX($L$2:$L$6,MIN(2+1,COUNT($L$2:$L$6)))/INDEX($L$2:$L$6,MIN(IFERROR(IF(ISNUMBER(INDEX(aditivos!$O$2:$O$200,MATCH($A153,aditivos!$A$2:$A$200,0))),MIN(INDEX(aditivos!$O$2:$O$200,MATCH($A153,aditivos!$A$2:$A$200,0)),posicao_contratual!$Y153),posicao_contratual!$Y153),posicao_contratual!$Y153)+1,COUNT($L$2:$L$6))),2),"")),IF(OR(NOT(ISNUMBER($L$4)),NOT(ISNUMBER(INDEX($L$2:$L$6,IFERROR(IF(ISNUMBER(INDEX(aditivos!$O$2:$O$200,MATCH($A153,aditivos!$A$2:$A$200,0))),MIN(INDEX(aditivos!$O$2:$O$200,MATCH($A153,aditivos!$A$2:$A$200,0)),posicao_contratual!$Y153),posicao_contratual!$Y153),posicao_contratual!$Y153)+1)))),"",ROUND(itens_Remanesc!C153*$L$4/INDEX($L$2:$L$6,IFERROR(IF(ISNUMBER(INDEX(aditivos!$O$2:$O$200,MATCH($A153,aditivos!$A$2:$A$200,0))),MIN(INDEX(aditivos!$O$2:$O$200,MATCH($A153,aditivos!$A$2:$A$200,0)),posicao_contratual!$Y153),posicao_contratual!$Y153),posicao_contratual!$Y153)+1),2))))))</f>
        <v/>
      </c>
      <c r="F153" s="79" t="str">
        <f>IF(OR($A153="",posicao_contratual!$Y153=""),"",IF(posicao_contratual!$Y153&gt;3,"",IF(NOT(ISNUMBER(itens_Remanesc!C153)),"",IF(posicao_contratual!$Y153=3,IF(IFERROR(IF(ISNUMBER(INDEX(aditivos!$O$2:$O$200,MATCH($A153,aditivos!$A$2:$A$200,0))),MIN(INDEX(aditivos!$O$2:$O$200,MATCH($A153,aditivos!$A$2:$A$200,0)),posicao_contratual!$Y153),posicao_contratual!$Y153),posicao_contratual!$Y153)=3,itens_Remanesc!C153,IFERROR(ROUND(itens_Remanesc!C153*INDEX($L$2:$L$6,MIN(3+1,COUNT($L$2:$L$6)))/INDEX($L$2:$L$6,MIN(IFERROR(IF(ISNUMBER(INDEX(aditivos!$O$2:$O$200,MATCH($A153,aditivos!$A$2:$A$200,0))),MIN(INDEX(aditivos!$O$2:$O$200,MATCH($A153,aditivos!$A$2:$A$200,0)),posicao_contratual!$Y153),posicao_contratual!$Y153),posicao_contratual!$Y153)+1,COUNT($L$2:$L$6))),2),"")),IF(OR(NOT(ISNUMBER($L$5)),NOT(ISNUMBER(INDEX($L$2:$L$6,IFERROR(IF(ISNUMBER(INDEX(aditivos!$O$2:$O$200,MATCH($A153,aditivos!$A$2:$A$200,0))),MIN(INDEX(aditivos!$O$2:$O$200,MATCH($A153,aditivos!$A$2:$A$200,0)),posicao_contratual!$Y153),posicao_contratual!$Y153),posicao_contratual!$Y153)+1)))),"",ROUND(itens_Remanesc!C153*$L$5/INDEX($L$2:$L$6,IFERROR(IF(ISNUMBER(INDEX(aditivos!$O$2:$O$200,MATCH($A153,aditivos!$A$2:$A$200,0))),MIN(INDEX(aditivos!$O$2:$O$200,MATCH($A153,aditivos!$A$2:$A$200,0)),posicao_contratual!$Y153),posicao_contratual!$Y153),posicao_contratual!$Y153)+1),2))))))</f>
        <v/>
      </c>
      <c r="G153" s="79" t="str">
        <f>IF(OR($A153="",posicao_contratual!$Y153=""),"",IF(posicao_contratual!$Y153&gt;4,"",IF(NOT(ISNUMBER(itens_Remanesc!C153)),"",IF(posicao_contratual!$Y153=4,IF(IFERROR(IF(ISNUMBER(INDEX(aditivos!$O$2:$O$200,MATCH($A153,aditivos!$A$2:$A$200,0))),MIN(INDEX(aditivos!$O$2:$O$200,MATCH($A153,aditivos!$A$2:$A$200,0)),posicao_contratual!$Y153),posicao_contratual!$Y153),posicao_contratual!$Y153)=4,itens_Remanesc!C153,IFERROR(ROUND(itens_Remanesc!C153*INDEX($L$2:$L$6,MIN(4+1,COUNT($L$2:$L$6)))/INDEX($L$2:$L$6,MIN(IFERROR(IF(ISNUMBER(INDEX(aditivos!$O$2:$O$200,MATCH($A153,aditivos!$A$2:$A$200,0))),MIN(INDEX(aditivos!$O$2:$O$200,MATCH($A153,aditivos!$A$2:$A$200,0)),posicao_contratual!$Y153),posicao_contratual!$Y153),posicao_contratual!$Y153)+1,COUNT($L$2:$L$6))),2),"")),IF(OR(NOT(ISNUMBER($L$6)),NOT(ISNUMBER(INDEX($L$2:$L$6,IFERROR(IF(ISNUMBER(INDEX(aditivos!$O$2:$O$200,MATCH($A153,aditivos!$A$2:$A$200,0))),MIN(INDEX(aditivos!$O$2:$O$200,MATCH($A153,aditivos!$A$2:$A$200,0)),posicao_contratual!$Y153),posicao_contratual!$Y153),posicao_contratual!$Y153)+1)))),"",ROUND(itens_Remanesc!C153*$L$6/INDEX($L$2:$L$6,IFERROR(IF(ISNUMBER(INDEX(aditivos!$O$2:$O$200,MATCH($A153,aditivos!$A$2:$A$200,0))),MIN(INDEX(aditivos!$O$2:$O$200,MATCH($A153,aditivos!$A$2:$A$200,0)),posicao_contratual!$Y153),posicao_contratual!$Y153),posicao_contratual!$Y153)+1),2))))))</f>
        <v/>
      </c>
      <c r="H153" s="116" t="str">
        <f t="shared" si="4"/>
        <v/>
      </c>
      <c r="I153" s="13"/>
      <c r="J153" s="13"/>
      <c r="K153" s="13"/>
      <c r="L153" s="13"/>
      <c r="M153" s="13"/>
      <c r="N153" s="147" t="str">
        <f>IF(A153="","",IF(posicao_contratual!$Y153="","",IF(posicao_contratual!$Y153&gt;0,"",posicao_contratual!E153)))</f>
        <v/>
      </c>
      <c r="O153" s="147" t="str">
        <f>IF(A153="","",IF(posicao_contratual!$Y153="","",IF(posicao_contratual!$Y153&gt;1,"",posicao_contratual!I153)))</f>
        <v/>
      </c>
      <c r="P153" s="147" t="str">
        <f>IF(A153="","",IF(posicao_contratual!$Y153="","",IF(posicao_contratual!$Y153&gt;2,"",posicao_contratual!M153)))</f>
        <v/>
      </c>
      <c r="Q153" s="147" t="str">
        <f>IF(A153="","",IF(posicao_contratual!$Y153="","",IF(posicao_contratual!$Y153&gt;3,"",posicao_contratual!Q153)))</f>
        <v/>
      </c>
      <c r="R153" s="147" t="str">
        <f>IF(A153="","",IF(posicao_contratual!$Y153="","",IF(posicao_contratual!$Y153&gt;4,"",posicao_contratual!U153)))</f>
        <v/>
      </c>
      <c r="S153" s="167" t="str">
        <f>IF(A153="","",posicao_contratual!G153)</f>
        <v/>
      </c>
      <c r="T153" s="167" t="str">
        <f>IF(A153="","",posicao_contratual!K153)</f>
        <v/>
      </c>
      <c r="U153" s="167" t="str">
        <f>IF(A153="","",posicao_contratual!O153)</f>
        <v/>
      </c>
      <c r="V153" s="167" t="str">
        <f>IF(A153="","",posicao_contratual!S153)</f>
        <v/>
      </c>
      <c r="W153" s="167" t="str">
        <f>IF(A153="","",posicao_contratual!W153)</f>
        <v/>
      </c>
    </row>
    <row r="154" spans="1:23" x14ac:dyDescent="0.35">
      <c r="A154" s="86" t="str">
        <f>IF(itens_Remanesc!A154="","",itens_Remanesc!A154)</f>
        <v/>
      </c>
      <c r="B154" s="85" t="str">
        <f>IF(A154="","",IF(posicao_contratual!$Y154="","",IF(posicao_contratual!$Y154&gt;0,"",posicao_contratual!G154)))</f>
        <v/>
      </c>
      <c r="C154" s="79" t="str">
        <f>IF(itens_Remanesc!A154="","",IF(posicao_contratual!$Y154="","",IF(posicao_contratual!$Y154&gt;0,"",itens_Remanesc!C154)))</f>
        <v/>
      </c>
      <c r="D154" s="79" t="str">
        <f>IF(OR($A154="",posicao_contratual!$Y154=""),"",IF(posicao_contratual!$Y154&gt;1,"",IF(NOT(ISNUMBER(itens_Remanesc!C154)),"",IF(posicao_contratual!$Y154=1,IF(IFERROR(IF(ISNUMBER(INDEX(aditivos!$O$2:$O$200,MATCH($A154,aditivos!$A$2:$A$200,0))),MIN(INDEX(aditivos!$O$2:$O$200,MATCH($A154,aditivos!$A$2:$A$200,0)),posicao_contratual!$Y154),posicao_contratual!$Y154),posicao_contratual!$Y154)=1,itens_Remanesc!C154,IFERROR(ROUND(itens_Remanesc!C154*INDEX($L$2:$L$6,MIN(1+1,COUNT($L$2:$L$6)))/INDEX($L$2:$L$6,MIN(IFERROR(IF(ISNUMBER(INDEX(aditivos!$O$2:$O$200,MATCH($A154,aditivos!$A$2:$A$200,0))),MIN(INDEX(aditivos!$O$2:$O$200,MATCH($A154,aditivos!$A$2:$A$200,0)),posicao_contratual!$Y154),posicao_contratual!$Y154),posicao_contratual!$Y154)+1,COUNT($L$2:$L$6))),2),"")),IF(OR(NOT(ISNUMBER($L$3)),NOT(ISNUMBER(INDEX($L$2:$L$6,IFERROR(IF(ISNUMBER(INDEX(aditivos!$O$2:$O$200,MATCH($A154,aditivos!$A$2:$A$200,0))),MIN(INDEX(aditivos!$O$2:$O$200,MATCH($A154,aditivos!$A$2:$A$200,0)),posicao_contratual!$Y154),posicao_contratual!$Y154),posicao_contratual!$Y154)+1)))),"",ROUND(itens_Remanesc!C154*$L$3/INDEX($L$2:$L$6,IFERROR(IF(ISNUMBER(INDEX(aditivos!$O$2:$O$200,MATCH($A154,aditivos!$A$2:$A$200,0))),MIN(INDEX(aditivos!$O$2:$O$200,MATCH($A154,aditivos!$A$2:$A$200,0)),posicao_contratual!$Y154),posicao_contratual!$Y154),posicao_contratual!$Y154)+1),2))))))</f>
        <v/>
      </c>
      <c r="E154" s="79" t="str">
        <f>IF(OR($A154="",posicao_contratual!$Y154=""),"",IF(posicao_contratual!$Y154&gt;2,"",IF(NOT(ISNUMBER(itens_Remanesc!C154)),"",IF(posicao_contratual!$Y154=2,IF(IFERROR(IF(ISNUMBER(INDEX(aditivos!$O$2:$O$200,MATCH($A154,aditivos!$A$2:$A$200,0))),MIN(INDEX(aditivos!$O$2:$O$200,MATCH($A154,aditivos!$A$2:$A$200,0)),posicao_contratual!$Y154),posicao_contratual!$Y154),posicao_contratual!$Y154)=2,itens_Remanesc!C154,IFERROR(ROUND(itens_Remanesc!C154*INDEX($L$2:$L$6,MIN(2+1,COUNT($L$2:$L$6)))/INDEX($L$2:$L$6,MIN(IFERROR(IF(ISNUMBER(INDEX(aditivos!$O$2:$O$200,MATCH($A154,aditivos!$A$2:$A$200,0))),MIN(INDEX(aditivos!$O$2:$O$200,MATCH($A154,aditivos!$A$2:$A$200,0)),posicao_contratual!$Y154),posicao_contratual!$Y154),posicao_contratual!$Y154)+1,COUNT($L$2:$L$6))),2),"")),IF(OR(NOT(ISNUMBER($L$4)),NOT(ISNUMBER(INDEX($L$2:$L$6,IFERROR(IF(ISNUMBER(INDEX(aditivos!$O$2:$O$200,MATCH($A154,aditivos!$A$2:$A$200,0))),MIN(INDEX(aditivos!$O$2:$O$200,MATCH($A154,aditivos!$A$2:$A$200,0)),posicao_contratual!$Y154),posicao_contratual!$Y154),posicao_contratual!$Y154)+1)))),"",ROUND(itens_Remanesc!C154*$L$4/INDEX($L$2:$L$6,IFERROR(IF(ISNUMBER(INDEX(aditivos!$O$2:$O$200,MATCH($A154,aditivos!$A$2:$A$200,0))),MIN(INDEX(aditivos!$O$2:$O$200,MATCH($A154,aditivos!$A$2:$A$200,0)),posicao_contratual!$Y154),posicao_contratual!$Y154),posicao_contratual!$Y154)+1),2))))))</f>
        <v/>
      </c>
      <c r="F154" s="79" t="str">
        <f>IF(OR($A154="",posicao_contratual!$Y154=""),"",IF(posicao_contratual!$Y154&gt;3,"",IF(NOT(ISNUMBER(itens_Remanesc!C154)),"",IF(posicao_contratual!$Y154=3,IF(IFERROR(IF(ISNUMBER(INDEX(aditivos!$O$2:$O$200,MATCH($A154,aditivos!$A$2:$A$200,0))),MIN(INDEX(aditivos!$O$2:$O$200,MATCH($A154,aditivos!$A$2:$A$200,0)),posicao_contratual!$Y154),posicao_contratual!$Y154),posicao_contratual!$Y154)=3,itens_Remanesc!C154,IFERROR(ROUND(itens_Remanesc!C154*INDEX($L$2:$L$6,MIN(3+1,COUNT($L$2:$L$6)))/INDEX($L$2:$L$6,MIN(IFERROR(IF(ISNUMBER(INDEX(aditivos!$O$2:$O$200,MATCH($A154,aditivos!$A$2:$A$200,0))),MIN(INDEX(aditivos!$O$2:$O$200,MATCH($A154,aditivos!$A$2:$A$200,0)),posicao_contratual!$Y154),posicao_contratual!$Y154),posicao_contratual!$Y154)+1,COUNT($L$2:$L$6))),2),"")),IF(OR(NOT(ISNUMBER($L$5)),NOT(ISNUMBER(INDEX($L$2:$L$6,IFERROR(IF(ISNUMBER(INDEX(aditivos!$O$2:$O$200,MATCH($A154,aditivos!$A$2:$A$200,0))),MIN(INDEX(aditivos!$O$2:$O$200,MATCH($A154,aditivos!$A$2:$A$200,0)),posicao_contratual!$Y154),posicao_contratual!$Y154),posicao_contratual!$Y154)+1)))),"",ROUND(itens_Remanesc!C154*$L$5/INDEX($L$2:$L$6,IFERROR(IF(ISNUMBER(INDEX(aditivos!$O$2:$O$200,MATCH($A154,aditivos!$A$2:$A$200,0))),MIN(INDEX(aditivos!$O$2:$O$200,MATCH($A154,aditivos!$A$2:$A$200,0)),posicao_contratual!$Y154),posicao_contratual!$Y154),posicao_contratual!$Y154)+1),2))))))</f>
        <v/>
      </c>
      <c r="G154" s="79" t="str">
        <f>IF(OR($A154="",posicao_contratual!$Y154=""),"",IF(posicao_contratual!$Y154&gt;4,"",IF(NOT(ISNUMBER(itens_Remanesc!C154)),"",IF(posicao_contratual!$Y154=4,IF(IFERROR(IF(ISNUMBER(INDEX(aditivos!$O$2:$O$200,MATCH($A154,aditivos!$A$2:$A$200,0))),MIN(INDEX(aditivos!$O$2:$O$200,MATCH($A154,aditivos!$A$2:$A$200,0)),posicao_contratual!$Y154),posicao_contratual!$Y154),posicao_contratual!$Y154)=4,itens_Remanesc!C154,IFERROR(ROUND(itens_Remanesc!C154*INDEX($L$2:$L$6,MIN(4+1,COUNT($L$2:$L$6)))/INDEX($L$2:$L$6,MIN(IFERROR(IF(ISNUMBER(INDEX(aditivos!$O$2:$O$200,MATCH($A154,aditivos!$A$2:$A$200,0))),MIN(INDEX(aditivos!$O$2:$O$200,MATCH($A154,aditivos!$A$2:$A$200,0)),posicao_contratual!$Y154),posicao_contratual!$Y154),posicao_contratual!$Y154)+1,COUNT($L$2:$L$6))),2),"")),IF(OR(NOT(ISNUMBER($L$6)),NOT(ISNUMBER(INDEX($L$2:$L$6,IFERROR(IF(ISNUMBER(INDEX(aditivos!$O$2:$O$200,MATCH($A154,aditivos!$A$2:$A$200,0))),MIN(INDEX(aditivos!$O$2:$O$200,MATCH($A154,aditivos!$A$2:$A$200,0)),posicao_contratual!$Y154),posicao_contratual!$Y154),posicao_contratual!$Y154)+1)))),"",ROUND(itens_Remanesc!C154*$L$6/INDEX($L$2:$L$6,IFERROR(IF(ISNUMBER(INDEX(aditivos!$O$2:$O$200,MATCH($A154,aditivos!$A$2:$A$200,0))),MIN(INDEX(aditivos!$O$2:$O$200,MATCH($A154,aditivos!$A$2:$A$200,0)),posicao_contratual!$Y154),posicao_contratual!$Y154),posicao_contratual!$Y154)+1),2))))))</f>
        <v/>
      </c>
      <c r="H154" s="116" t="str">
        <f t="shared" si="4"/>
        <v/>
      </c>
      <c r="I154" s="13"/>
      <c r="J154" s="13"/>
      <c r="K154" s="13"/>
      <c r="L154" s="13"/>
      <c r="M154" s="13"/>
      <c r="N154" s="147" t="str">
        <f>IF(A154="","",IF(posicao_contratual!$Y154="","",IF(posicao_contratual!$Y154&gt;0,"",posicao_contratual!E154)))</f>
        <v/>
      </c>
      <c r="O154" s="147" t="str">
        <f>IF(A154="","",IF(posicao_contratual!$Y154="","",IF(posicao_contratual!$Y154&gt;1,"",posicao_contratual!I154)))</f>
        <v/>
      </c>
      <c r="P154" s="147" t="str">
        <f>IF(A154="","",IF(posicao_contratual!$Y154="","",IF(posicao_contratual!$Y154&gt;2,"",posicao_contratual!M154)))</f>
        <v/>
      </c>
      <c r="Q154" s="147" t="str">
        <f>IF(A154="","",IF(posicao_contratual!$Y154="","",IF(posicao_contratual!$Y154&gt;3,"",posicao_contratual!Q154)))</f>
        <v/>
      </c>
      <c r="R154" s="147" t="str">
        <f>IF(A154="","",IF(posicao_contratual!$Y154="","",IF(posicao_contratual!$Y154&gt;4,"",posicao_contratual!U154)))</f>
        <v/>
      </c>
      <c r="S154" s="167" t="str">
        <f>IF(A154="","",posicao_contratual!G154)</f>
        <v/>
      </c>
      <c r="T154" s="167" t="str">
        <f>IF(A154="","",posicao_contratual!K154)</f>
        <v/>
      </c>
      <c r="U154" s="167" t="str">
        <f>IF(A154="","",posicao_contratual!O154)</f>
        <v/>
      </c>
      <c r="V154" s="167" t="str">
        <f>IF(A154="","",posicao_contratual!S154)</f>
        <v/>
      </c>
      <c r="W154" s="167" t="str">
        <f>IF(A154="","",posicao_contratual!W154)</f>
        <v/>
      </c>
    </row>
    <row r="155" spans="1:23" x14ac:dyDescent="0.35">
      <c r="A155" s="86" t="str">
        <f>IF(itens_Remanesc!A155="","",itens_Remanesc!A155)</f>
        <v/>
      </c>
      <c r="B155" s="85" t="str">
        <f>IF(A155="","",IF(posicao_contratual!$Y155="","",IF(posicao_contratual!$Y155&gt;0,"",posicao_contratual!G155)))</f>
        <v/>
      </c>
      <c r="C155" s="79" t="str">
        <f>IF(itens_Remanesc!A155="","",IF(posicao_contratual!$Y155="","",IF(posicao_contratual!$Y155&gt;0,"",itens_Remanesc!C155)))</f>
        <v/>
      </c>
      <c r="D155" s="79" t="str">
        <f>IF(OR($A155="",posicao_contratual!$Y155=""),"",IF(posicao_contratual!$Y155&gt;1,"",IF(NOT(ISNUMBER(itens_Remanesc!C155)),"",IF(posicao_contratual!$Y155=1,IF(IFERROR(IF(ISNUMBER(INDEX(aditivos!$O$2:$O$200,MATCH($A155,aditivos!$A$2:$A$200,0))),MIN(INDEX(aditivos!$O$2:$O$200,MATCH($A155,aditivos!$A$2:$A$200,0)),posicao_contratual!$Y155),posicao_contratual!$Y155),posicao_contratual!$Y155)=1,itens_Remanesc!C155,IFERROR(ROUND(itens_Remanesc!C155*INDEX($L$2:$L$6,MIN(1+1,COUNT($L$2:$L$6)))/INDEX($L$2:$L$6,MIN(IFERROR(IF(ISNUMBER(INDEX(aditivos!$O$2:$O$200,MATCH($A155,aditivos!$A$2:$A$200,0))),MIN(INDEX(aditivos!$O$2:$O$200,MATCH($A155,aditivos!$A$2:$A$200,0)),posicao_contratual!$Y155),posicao_contratual!$Y155),posicao_contratual!$Y155)+1,COUNT($L$2:$L$6))),2),"")),IF(OR(NOT(ISNUMBER($L$3)),NOT(ISNUMBER(INDEX($L$2:$L$6,IFERROR(IF(ISNUMBER(INDEX(aditivos!$O$2:$O$200,MATCH($A155,aditivos!$A$2:$A$200,0))),MIN(INDEX(aditivos!$O$2:$O$200,MATCH($A155,aditivos!$A$2:$A$200,0)),posicao_contratual!$Y155),posicao_contratual!$Y155),posicao_contratual!$Y155)+1)))),"",ROUND(itens_Remanesc!C155*$L$3/INDEX($L$2:$L$6,IFERROR(IF(ISNUMBER(INDEX(aditivos!$O$2:$O$200,MATCH($A155,aditivos!$A$2:$A$200,0))),MIN(INDEX(aditivos!$O$2:$O$200,MATCH($A155,aditivos!$A$2:$A$200,0)),posicao_contratual!$Y155),posicao_contratual!$Y155),posicao_contratual!$Y155)+1),2))))))</f>
        <v/>
      </c>
      <c r="E155" s="79" t="str">
        <f>IF(OR($A155="",posicao_contratual!$Y155=""),"",IF(posicao_contratual!$Y155&gt;2,"",IF(NOT(ISNUMBER(itens_Remanesc!C155)),"",IF(posicao_contratual!$Y155=2,IF(IFERROR(IF(ISNUMBER(INDEX(aditivos!$O$2:$O$200,MATCH($A155,aditivos!$A$2:$A$200,0))),MIN(INDEX(aditivos!$O$2:$O$200,MATCH($A155,aditivos!$A$2:$A$200,0)),posicao_contratual!$Y155),posicao_contratual!$Y155),posicao_contratual!$Y155)=2,itens_Remanesc!C155,IFERROR(ROUND(itens_Remanesc!C155*INDEX($L$2:$L$6,MIN(2+1,COUNT($L$2:$L$6)))/INDEX($L$2:$L$6,MIN(IFERROR(IF(ISNUMBER(INDEX(aditivos!$O$2:$O$200,MATCH($A155,aditivos!$A$2:$A$200,0))),MIN(INDEX(aditivos!$O$2:$O$200,MATCH($A155,aditivos!$A$2:$A$200,0)),posicao_contratual!$Y155),posicao_contratual!$Y155),posicao_contratual!$Y155)+1,COUNT($L$2:$L$6))),2),"")),IF(OR(NOT(ISNUMBER($L$4)),NOT(ISNUMBER(INDEX($L$2:$L$6,IFERROR(IF(ISNUMBER(INDEX(aditivos!$O$2:$O$200,MATCH($A155,aditivos!$A$2:$A$200,0))),MIN(INDEX(aditivos!$O$2:$O$200,MATCH($A155,aditivos!$A$2:$A$200,0)),posicao_contratual!$Y155),posicao_contratual!$Y155),posicao_contratual!$Y155)+1)))),"",ROUND(itens_Remanesc!C155*$L$4/INDEX($L$2:$L$6,IFERROR(IF(ISNUMBER(INDEX(aditivos!$O$2:$O$200,MATCH($A155,aditivos!$A$2:$A$200,0))),MIN(INDEX(aditivos!$O$2:$O$200,MATCH($A155,aditivos!$A$2:$A$200,0)),posicao_contratual!$Y155),posicao_contratual!$Y155),posicao_contratual!$Y155)+1),2))))))</f>
        <v/>
      </c>
      <c r="F155" s="79" t="str">
        <f>IF(OR($A155="",posicao_contratual!$Y155=""),"",IF(posicao_contratual!$Y155&gt;3,"",IF(NOT(ISNUMBER(itens_Remanesc!C155)),"",IF(posicao_contratual!$Y155=3,IF(IFERROR(IF(ISNUMBER(INDEX(aditivos!$O$2:$O$200,MATCH($A155,aditivos!$A$2:$A$200,0))),MIN(INDEX(aditivos!$O$2:$O$200,MATCH($A155,aditivos!$A$2:$A$200,0)),posicao_contratual!$Y155),posicao_contratual!$Y155),posicao_contratual!$Y155)=3,itens_Remanesc!C155,IFERROR(ROUND(itens_Remanesc!C155*INDEX($L$2:$L$6,MIN(3+1,COUNT($L$2:$L$6)))/INDEX($L$2:$L$6,MIN(IFERROR(IF(ISNUMBER(INDEX(aditivos!$O$2:$O$200,MATCH($A155,aditivos!$A$2:$A$200,0))),MIN(INDEX(aditivos!$O$2:$O$200,MATCH($A155,aditivos!$A$2:$A$200,0)),posicao_contratual!$Y155),posicao_contratual!$Y155),posicao_contratual!$Y155)+1,COUNT($L$2:$L$6))),2),"")),IF(OR(NOT(ISNUMBER($L$5)),NOT(ISNUMBER(INDEX($L$2:$L$6,IFERROR(IF(ISNUMBER(INDEX(aditivos!$O$2:$O$200,MATCH($A155,aditivos!$A$2:$A$200,0))),MIN(INDEX(aditivos!$O$2:$O$200,MATCH($A155,aditivos!$A$2:$A$200,0)),posicao_contratual!$Y155),posicao_contratual!$Y155),posicao_contratual!$Y155)+1)))),"",ROUND(itens_Remanesc!C155*$L$5/INDEX($L$2:$L$6,IFERROR(IF(ISNUMBER(INDEX(aditivos!$O$2:$O$200,MATCH($A155,aditivos!$A$2:$A$200,0))),MIN(INDEX(aditivos!$O$2:$O$200,MATCH($A155,aditivos!$A$2:$A$200,0)),posicao_contratual!$Y155),posicao_contratual!$Y155),posicao_contratual!$Y155)+1),2))))))</f>
        <v/>
      </c>
      <c r="G155" s="79" t="str">
        <f>IF(OR($A155="",posicao_contratual!$Y155=""),"",IF(posicao_contratual!$Y155&gt;4,"",IF(NOT(ISNUMBER(itens_Remanesc!C155)),"",IF(posicao_contratual!$Y155=4,IF(IFERROR(IF(ISNUMBER(INDEX(aditivos!$O$2:$O$200,MATCH($A155,aditivos!$A$2:$A$200,0))),MIN(INDEX(aditivos!$O$2:$O$200,MATCH($A155,aditivos!$A$2:$A$200,0)),posicao_contratual!$Y155),posicao_contratual!$Y155),posicao_contratual!$Y155)=4,itens_Remanesc!C155,IFERROR(ROUND(itens_Remanesc!C155*INDEX($L$2:$L$6,MIN(4+1,COUNT($L$2:$L$6)))/INDEX($L$2:$L$6,MIN(IFERROR(IF(ISNUMBER(INDEX(aditivos!$O$2:$O$200,MATCH($A155,aditivos!$A$2:$A$200,0))),MIN(INDEX(aditivos!$O$2:$O$200,MATCH($A155,aditivos!$A$2:$A$200,0)),posicao_contratual!$Y155),posicao_contratual!$Y155),posicao_contratual!$Y155)+1,COUNT($L$2:$L$6))),2),"")),IF(OR(NOT(ISNUMBER($L$6)),NOT(ISNUMBER(INDEX($L$2:$L$6,IFERROR(IF(ISNUMBER(INDEX(aditivos!$O$2:$O$200,MATCH($A155,aditivos!$A$2:$A$200,0))),MIN(INDEX(aditivos!$O$2:$O$200,MATCH($A155,aditivos!$A$2:$A$200,0)),posicao_contratual!$Y155),posicao_contratual!$Y155),posicao_contratual!$Y155)+1)))),"",ROUND(itens_Remanesc!C155*$L$6/INDEX($L$2:$L$6,IFERROR(IF(ISNUMBER(INDEX(aditivos!$O$2:$O$200,MATCH($A155,aditivos!$A$2:$A$200,0))),MIN(INDEX(aditivos!$O$2:$O$200,MATCH($A155,aditivos!$A$2:$A$200,0)),posicao_contratual!$Y155),posicao_contratual!$Y155),posicao_contratual!$Y155)+1),2))))))</f>
        <v/>
      </c>
      <c r="H155" s="116" t="str">
        <f t="shared" si="4"/>
        <v/>
      </c>
      <c r="I155" s="13"/>
      <c r="J155" s="13"/>
      <c r="K155" s="13"/>
      <c r="L155" s="13"/>
      <c r="M155" s="13"/>
      <c r="N155" s="147" t="str">
        <f>IF(A155="","",IF(posicao_contratual!$Y155="","",IF(posicao_contratual!$Y155&gt;0,"",posicao_contratual!E155)))</f>
        <v/>
      </c>
      <c r="O155" s="147" t="str">
        <f>IF(A155="","",IF(posicao_contratual!$Y155="","",IF(posicao_contratual!$Y155&gt;1,"",posicao_contratual!I155)))</f>
        <v/>
      </c>
      <c r="P155" s="147" t="str">
        <f>IF(A155="","",IF(posicao_contratual!$Y155="","",IF(posicao_contratual!$Y155&gt;2,"",posicao_contratual!M155)))</f>
        <v/>
      </c>
      <c r="Q155" s="147" t="str">
        <f>IF(A155="","",IF(posicao_contratual!$Y155="","",IF(posicao_contratual!$Y155&gt;3,"",posicao_contratual!Q155)))</f>
        <v/>
      </c>
      <c r="R155" s="147" t="str">
        <f>IF(A155="","",IF(posicao_contratual!$Y155="","",IF(posicao_contratual!$Y155&gt;4,"",posicao_contratual!U155)))</f>
        <v/>
      </c>
      <c r="S155" s="167" t="str">
        <f>IF(A155="","",posicao_contratual!G155)</f>
        <v/>
      </c>
      <c r="T155" s="167" t="str">
        <f>IF(A155="","",posicao_contratual!K155)</f>
        <v/>
      </c>
      <c r="U155" s="167" t="str">
        <f>IF(A155="","",posicao_contratual!O155)</f>
        <v/>
      </c>
      <c r="V155" s="167" t="str">
        <f>IF(A155="","",posicao_contratual!S155)</f>
        <v/>
      </c>
      <c r="W155" s="167" t="str">
        <f>IF(A155="","",posicao_contratual!W155)</f>
        <v/>
      </c>
    </row>
    <row r="156" spans="1:23" x14ac:dyDescent="0.35">
      <c r="A156" s="86" t="str">
        <f>IF(itens_Remanesc!A156="","",itens_Remanesc!A156)</f>
        <v/>
      </c>
      <c r="B156" s="85" t="str">
        <f>IF(A156="","",IF(posicao_contratual!$Y156="","",IF(posicao_contratual!$Y156&gt;0,"",posicao_contratual!G156)))</f>
        <v/>
      </c>
      <c r="C156" s="79" t="str">
        <f>IF(itens_Remanesc!A156="","",IF(posicao_contratual!$Y156="","",IF(posicao_contratual!$Y156&gt;0,"",itens_Remanesc!C156)))</f>
        <v/>
      </c>
      <c r="D156" s="79" t="str">
        <f>IF(OR($A156="",posicao_contratual!$Y156=""),"",IF(posicao_contratual!$Y156&gt;1,"",IF(NOT(ISNUMBER(itens_Remanesc!C156)),"",IF(posicao_contratual!$Y156=1,IF(IFERROR(IF(ISNUMBER(INDEX(aditivos!$O$2:$O$200,MATCH($A156,aditivos!$A$2:$A$200,0))),MIN(INDEX(aditivos!$O$2:$O$200,MATCH($A156,aditivos!$A$2:$A$200,0)),posicao_contratual!$Y156),posicao_contratual!$Y156),posicao_contratual!$Y156)=1,itens_Remanesc!C156,IFERROR(ROUND(itens_Remanesc!C156*INDEX($L$2:$L$6,MIN(1+1,COUNT($L$2:$L$6)))/INDEX($L$2:$L$6,MIN(IFERROR(IF(ISNUMBER(INDEX(aditivos!$O$2:$O$200,MATCH($A156,aditivos!$A$2:$A$200,0))),MIN(INDEX(aditivos!$O$2:$O$200,MATCH($A156,aditivos!$A$2:$A$200,0)),posicao_contratual!$Y156),posicao_contratual!$Y156),posicao_contratual!$Y156)+1,COUNT($L$2:$L$6))),2),"")),IF(OR(NOT(ISNUMBER($L$3)),NOT(ISNUMBER(INDEX($L$2:$L$6,IFERROR(IF(ISNUMBER(INDEX(aditivos!$O$2:$O$200,MATCH($A156,aditivos!$A$2:$A$200,0))),MIN(INDEX(aditivos!$O$2:$O$200,MATCH($A156,aditivos!$A$2:$A$200,0)),posicao_contratual!$Y156),posicao_contratual!$Y156),posicao_contratual!$Y156)+1)))),"",ROUND(itens_Remanesc!C156*$L$3/INDEX($L$2:$L$6,IFERROR(IF(ISNUMBER(INDEX(aditivos!$O$2:$O$200,MATCH($A156,aditivos!$A$2:$A$200,0))),MIN(INDEX(aditivos!$O$2:$O$200,MATCH($A156,aditivos!$A$2:$A$200,0)),posicao_contratual!$Y156),posicao_contratual!$Y156),posicao_contratual!$Y156)+1),2))))))</f>
        <v/>
      </c>
      <c r="E156" s="79" t="str">
        <f>IF(OR($A156="",posicao_contratual!$Y156=""),"",IF(posicao_contratual!$Y156&gt;2,"",IF(NOT(ISNUMBER(itens_Remanesc!C156)),"",IF(posicao_contratual!$Y156=2,IF(IFERROR(IF(ISNUMBER(INDEX(aditivos!$O$2:$O$200,MATCH($A156,aditivos!$A$2:$A$200,0))),MIN(INDEX(aditivos!$O$2:$O$200,MATCH($A156,aditivos!$A$2:$A$200,0)),posicao_contratual!$Y156),posicao_contratual!$Y156),posicao_contratual!$Y156)=2,itens_Remanesc!C156,IFERROR(ROUND(itens_Remanesc!C156*INDEX($L$2:$L$6,MIN(2+1,COUNT($L$2:$L$6)))/INDEX($L$2:$L$6,MIN(IFERROR(IF(ISNUMBER(INDEX(aditivos!$O$2:$O$200,MATCH($A156,aditivos!$A$2:$A$200,0))),MIN(INDEX(aditivos!$O$2:$O$200,MATCH($A156,aditivos!$A$2:$A$200,0)),posicao_contratual!$Y156),posicao_contratual!$Y156),posicao_contratual!$Y156)+1,COUNT($L$2:$L$6))),2),"")),IF(OR(NOT(ISNUMBER($L$4)),NOT(ISNUMBER(INDEX($L$2:$L$6,IFERROR(IF(ISNUMBER(INDEX(aditivos!$O$2:$O$200,MATCH($A156,aditivos!$A$2:$A$200,0))),MIN(INDEX(aditivos!$O$2:$O$200,MATCH($A156,aditivos!$A$2:$A$200,0)),posicao_contratual!$Y156),posicao_contratual!$Y156),posicao_contratual!$Y156)+1)))),"",ROUND(itens_Remanesc!C156*$L$4/INDEX($L$2:$L$6,IFERROR(IF(ISNUMBER(INDEX(aditivos!$O$2:$O$200,MATCH($A156,aditivos!$A$2:$A$200,0))),MIN(INDEX(aditivos!$O$2:$O$200,MATCH($A156,aditivos!$A$2:$A$200,0)),posicao_contratual!$Y156),posicao_contratual!$Y156),posicao_contratual!$Y156)+1),2))))))</f>
        <v/>
      </c>
      <c r="F156" s="79" t="str">
        <f>IF(OR($A156="",posicao_contratual!$Y156=""),"",IF(posicao_contratual!$Y156&gt;3,"",IF(NOT(ISNUMBER(itens_Remanesc!C156)),"",IF(posicao_contratual!$Y156=3,IF(IFERROR(IF(ISNUMBER(INDEX(aditivos!$O$2:$O$200,MATCH($A156,aditivos!$A$2:$A$200,0))),MIN(INDEX(aditivos!$O$2:$O$200,MATCH($A156,aditivos!$A$2:$A$200,0)),posicao_contratual!$Y156),posicao_contratual!$Y156),posicao_contratual!$Y156)=3,itens_Remanesc!C156,IFERROR(ROUND(itens_Remanesc!C156*INDEX($L$2:$L$6,MIN(3+1,COUNT($L$2:$L$6)))/INDEX($L$2:$L$6,MIN(IFERROR(IF(ISNUMBER(INDEX(aditivos!$O$2:$O$200,MATCH($A156,aditivos!$A$2:$A$200,0))),MIN(INDEX(aditivos!$O$2:$O$200,MATCH($A156,aditivos!$A$2:$A$200,0)),posicao_contratual!$Y156),posicao_contratual!$Y156),posicao_contratual!$Y156)+1,COUNT($L$2:$L$6))),2),"")),IF(OR(NOT(ISNUMBER($L$5)),NOT(ISNUMBER(INDEX($L$2:$L$6,IFERROR(IF(ISNUMBER(INDEX(aditivos!$O$2:$O$200,MATCH($A156,aditivos!$A$2:$A$200,0))),MIN(INDEX(aditivos!$O$2:$O$200,MATCH($A156,aditivos!$A$2:$A$200,0)),posicao_contratual!$Y156),posicao_contratual!$Y156),posicao_contratual!$Y156)+1)))),"",ROUND(itens_Remanesc!C156*$L$5/INDEX($L$2:$L$6,IFERROR(IF(ISNUMBER(INDEX(aditivos!$O$2:$O$200,MATCH($A156,aditivos!$A$2:$A$200,0))),MIN(INDEX(aditivos!$O$2:$O$200,MATCH($A156,aditivos!$A$2:$A$200,0)),posicao_contratual!$Y156),posicao_contratual!$Y156),posicao_contratual!$Y156)+1),2))))))</f>
        <v/>
      </c>
      <c r="G156" s="79" t="str">
        <f>IF(OR($A156="",posicao_contratual!$Y156=""),"",IF(posicao_contratual!$Y156&gt;4,"",IF(NOT(ISNUMBER(itens_Remanesc!C156)),"",IF(posicao_contratual!$Y156=4,IF(IFERROR(IF(ISNUMBER(INDEX(aditivos!$O$2:$O$200,MATCH($A156,aditivos!$A$2:$A$200,0))),MIN(INDEX(aditivos!$O$2:$O$200,MATCH($A156,aditivos!$A$2:$A$200,0)),posicao_contratual!$Y156),posicao_contratual!$Y156),posicao_contratual!$Y156)=4,itens_Remanesc!C156,IFERROR(ROUND(itens_Remanesc!C156*INDEX($L$2:$L$6,MIN(4+1,COUNT($L$2:$L$6)))/INDEX($L$2:$L$6,MIN(IFERROR(IF(ISNUMBER(INDEX(aditivos!$O$2:$O$200,MATCH($A156,aditivos!$A$2:$A$200,0))),MIN(INDEX(aditivos!$O$2:$O$200,MATCH($A156,aditivos!$A$2:$A$200,0)),posicao_contratual!$Y156),posicao_contratual!$Y156),posicao_contratual!$Y156)+1,COUNT($L$2:$L$6))),2),"")),IF(OR(NOT(ISNUMBER($L$6)),NOT(ISNUMBER(INDEX($L$2:$L$6,IFERROR(IF(ISNUMBER(INDEX(aditivos!$O$2:$O$200,MATCH($A156,aditivos!$A$2:$A$200,0))),MIN(INDEX(aditivos!$O$2:$O$200,MATCH($A156,aditivos!$A$2:$A$200,0)),posicao_contratual!$Y156),posicao_contratual!$Y156),posicao_contratual!$Y156)+1)))),"",ROUND(itens_Remanesc!C156*$L$6/INDEX($L$2:$L$6,IFERROR(IF(ISNUMBER(INDEX(aditivos!$O$2:$O$200,MATCH($A156,aditivos!$A$2:$A$200,0))),MIN(INDEX(aditivos!$O$2:$O$200,MATCH($A156,aditivos!$A$2:$A$200,0)),posicao_contratual!$Y156),posicao_contratual!$Y156),posicao_contratual!$Y156)+1),2))))))</f>
        <v/>
      </c>
      <c r="H156" s="116" t="str">
        <f t="shared" si="4"/>
        <v/>
      </c>
      <c r="I156" s="13"/>
      <c r="J156" s="13"/>
      <c r="K156" s="13"/>
      <c r="L156" s="13"/>
      <c r="M156" s="13"/>
      <c r="N156" s="147" t="str">
        <f>IF(A156="","",IF(posicao_contratual!$Y156="","",IF(posicao_contratual!$Y156&gt;0,"",posicao_contratual!E156)))</f>
        <v/>
      </c>
      <c r="O156" s="147" t="str">
        <f>IF(A156="","",IF(posicao_contratual!$Y156="","",IF(posicao_contratual!$Y156&gt;1,"",posicao_contratual!I156)))</f>
        <v/>
      </c>
      <c r="P156" s="147" t="str">
        <f>IF(A156="","",IF(posicao_contratual!$Y156="","",IF(posicao_contratual!$Y156&gt;2,"",posicao_contratual!M156)))</f>
        <v/>
      </c>
      <c r="Q156" s="147" t="str">
        <f>IF(A156="","",IF(posicao_contratual!$Y156="","",IF(posicao_contratual!$Y156&gt;3,"",posicao_contratual!Q156)))</f>
        <v/>
      </c>
      <c r="R156" s="147" t="str">
        <f>IF(A156="","",IF(posicao_contratual!$Y156="","",IF(posicao_contratual!$Y156&gt;4,"",posicao_contratual!U156)))</f>
        <v/>
      </c>
      <c r="S156" s="167" t="str">
        <f>IF(A156="","",posicao_contratual!G156)</f>
        <v/>
      </c>
      <c r="T156" s="167" t="str">
        <f>IF(A156="","",posicao_contratual!K156)</f>
        <v/>
      </c>
      <c r="U156" s="167" t="str">
        <f>IF(A156="","",posicao_contratual!O156)</f>
        <v/>
      </c>
      <c r="V156" s="167" t="str">
        <f>IF(A156="","",posicao_contratual!S156)</f>
        <v/>
      </c>
      <c r="W156" s="167" t="str">
        <f>IF(A156="","",posicao_contratual!W156)</f>
        <v/>
      </c>
    </row>
    <row r="157" spans="1:23" x14ac:dyDescent="0.35">
      <c r="A157" s="86" t="str">
        <f>IF(itens_Remanesc!A157="","",itens_Remanesc!A157)</f>
        <v/>
      </c>
      <c r="B157" s="85" t="str">
        <f>IF(A157="","",IF(posicao_contratual!$Y157="","",IF(posicao_contratual!$Y157&gt;0,"",posicao_contratual!G157)))</f>
        <v/>
      </c>
      <c r="C157" s="79" t="str">
        <f>IF(itens_Remanesc!A157="","",IF(posicao_contratual!$Y157="","",IF(posicao_contratual!$Y157&gt;0,"",itens_Remanesc!C157)))</f>
        <v/>
      </c>
      <c r="D157" s="79" t="str">
        <f>IF(OR($A157="",posicao_contratual!$Y157=""),"",IF(posicao_contratual!$Y157&gt;1,"",IF(NOT(ISNUMBER(itens_Remanesc!C157)),"",IF(posicao_contratual!$Y157=1,IF(IFERROR(IF(ISNUMBER(INDEX(aditivos!$O$2:$O$200,MATCH($A157,aditivos!$A$2:$A$200,0))),MIN(INDEX(aditivos!$O$2:$O$200,MATCH($A157,aditivos!$A$2:$A$200,0)),posicao_contratual!$Y157),posicao_contratual!$Y157),posicao_contratual!$Y157)=1,itens_Remanesc!C157,IFERROR(ROUND(itens_Remanesc!C157*INDEX($L$2:$L$6,MIN(1+1,COUNT($L$2:$L$6)))/INDEX($L$2:$L$6,MIN(IFERROR(IF(ISNUMBER(INDEX(aditivos!$O$2:$O$200,MATCH($A157,aditivos!$A$2:$A$200,0))),MIN(INDEX(aditivos!$O$2:$O$200,MATCH($A157,aditivos!$A$2:$A$200,0)),posicao_contratual!$Y157),posicao_contratual!$Y157),posicao_contratual!$Y157)+1,COUNT($L$2:$L$6))),2),"")),IF(OR(NOT(ISNUMBER($L$3)),NOT(ISNUMBER(INDEX($L$2:$L$6,IFERROR(IF(ISNUMBER(INDEX(aditivos!$O$2:$O$200,MATCH($A157,aditivos!$A$2:$A$200,0))),MIN(INDEX(aditivos!$O$2:$O$200,MATCH($A157,aditivos!$A$2:$A$200,0)),posicao_contratual!$Y157),posicao_contratual!$Y157),posicao_contratual!$Y157)+1)))),"",ROUND(itens_Remanesc!C157*$L$3/INDEX($L$2:$L$6,IFERROR(IF(ISNUMBER(INDEX(aditivos!$O$2:$O$200,MATCH($A157,aditivos!$A$2:$A$200,0))),MIN(INDEX(aditivos!$O$2:$O$200,MATCH($A157,aditivos!$A$2:$A$200,0)),posicao_contratual!$Y157),posicao_contratual!$Y157),posicao_contratual!$Y157)+1),2))))))</f>
        <v/>
      </c>
      <c r="E157" s="79" t="str">
        <f>IF(OR($A157="",posicao_contratual!$Y157=""),"",IF(posicao_contratual!$Y157&gt;2,"",IF(NOT(ISNUMBER(itens_Remanesc!C157)),"",IF(posicao_contratual!$Y157=2,IF(IFERROR(IF(ISNUMBER(INDEX(aditivos!$O$2:$O$200,MATCH($A157,aditivos!$A$2:$A$200,0))),MIN(INDEX(aditivos!$O$2:$O$200,MATCH($A157,aditivos!$A$2:$A$200,0)),posicao_contratual!$Y157),posicao_contratual!$Y157),posicao_contratual!$Y157)=2,itens_Remanesc!C157,IFERROR(ROUND(itens_Remanesc!C157*INDEX($L$2:$L$6,MIN(2+1,COUNT($L$2:$L$6)))/INDEX($L$2:$L$6,MIN(IFERROR(IF(ISNUMBER(INDEX(aditivos!$O$2:$O$200,MATCH($A157,aditivos!$A$2:$A$200,0))),MIN(INDEX(aditivos!$O$2:$O$200,MATCH($A157,aditivos!$A$2:$A$200,0)),posicao_contratual!$Y157),posicao_contratual!$Y157),posicao_contratual!$Y157)+1,COUNT($L$2:$L$6))),2),"")),IF(OR(NOT(ISNUMBER($L$4)),NOT(ISNUMBER(INDEX($L$2:$L$6,IFERROR(IF(ISNUMBER(INDEX(aditivos!$O$2:$O$200,MATCH($A157,aditivos!$A$2:$A$200,0))),MIN(INDEX(aditivos!$O$2:$O$200,MATCH($A157,aditivos!$A$2:$A$200,0)),posicao_contratual!$Y157),posicao_contratual!$Y157),posicao_contratual!$Y157)+1)))),"",ROUND(itens_Remanesc!C157*$L$4/INDEX($L$2:$L$6,IFERROR(IF(ISNUMBER(INDEX(aditivos!$O$2:$O$200,MATCH($A157,aditivos!$A$2:$A$200,0))),MIN(INDEX(aditivos!$O$2:$O$200,MATCH($A157,aditivos!$A$2:$A$200,0)),posicao_contratual!$Y157),posicao_contratual!$Y157),posicao_contratual!$Y157)+1),2))))))</f>
        <v/>
      </c>
      <c r="F157" s="79" t="str">
        <f>IF(OR($A157="",posicao_contratual!$Y157=""),"",IF(posicao_contratual!$Y157&gt;3,"",IF(NOT(ISNUMBER(itens_Remanesc!C157)),"",IF(posicao_contratual!$Y157=3,IF(IFERROR(IF(ISNUMBER(INDEX(aditivos!$O$2:$O$200,MATCH($A157,aditivos!$A$2:$A$200,0))),MIN(INDEX(aditivos!$O$2:$O$200,MATCH($A157,aditivos!$A$2:$A$200,0)),posicao_contratual!$Y157),posicao_contratual!$Y157),posicao_contratual!$Y157)=3,itens_Remanesc!C157,IFERROR(ROUND(itens_Remanesc!C157*INDEX($L$2:$L$6,MIN(3+1,COUNT($L$2:$L$6)))/INDEX($L$2:$L$6,MIN(IFERROR(IF(ISNUMBER(INDEX(aditivos!$O$2:$O$200,MATCH($A157,aditivos!$A$2:$A$200,0))),MIN(INDEX(aditivos!$O$2:$O$200,MATCH($A157,aditivos!$A$2:$A$200,0)),posicao_contratual!$Y157),posicao_contratual!$Y157),posicao_contratual!$Y157)+1,COUNT($L$2:$L$6))),2),"")),IF(OR(NOT(ISNUMBER($L$5)),NOT(ISNUMBER(INDEX($L$2:$L$6,IFERROR(IF(ISNUMBER(INDEX(aditivos!$O$2:$O$200,MATCH($A157,aditivos!$A$2:$A$200,0))),MIN(INDEX(aditivos!$O$2:$O$200,MATCH($A157,aditivos!$A$2:$A$200,0)),posicao_contratual!$Y157),posicao_contratual!$Y157),posicao_contratual!$Y157)+1)))),"",ROUND(itens_Remanesc!C157*$L$5/INDEX($L$2:$L$6,IFERROR(IF(ISNUMBER(INDEX(aditivos!$O$2:$O$200,MATCH($A157,aditivos!$A$2:$A$200,0))),MIN(INDEX(aditivos!$O$2:$O$200,MATCH($A157,aditivos!$A$2:$A$200,0)),posicao_contratual!$Y157),posicao_contratual!$Y157),posicao_contratual!$Y157)+1),2))))))</f>
        <v/>
      </c>
      <c r="G157" s="79" t="str">
        <f>IF(OR($A157="",posicao_contratual!$Y157=""),"",IF(posicao_contratual!$Y157&gt;4,"",IF(NOT(ISNUMBER(itens_Remanesc!C157)),"",IF(posicao_contratual!$Y157=4,IF(IFERROR(IF(ISNUMBER(INDEX(aditivos!$O$2:$O$200,MATCH($A157,aditivos!$A$2:$A$200,0))),MIN(INDEX(aditivos!$O$2:$O$200,MATCH($A157,aditivos!$A$2:$A$200,0)),posicao_contratual!$Y157),posicao_contratual!$Y157),posicao_contratual!$Y157)=4,itens_Remanesc!C157,IFERROR(ROUND(itens_Remanesc!C157*INDEX($L$2:$L$6,MIN(4+1,COUNT($L$2:$L$6)))/INDEX($L$2:$L$6,MIN(IFERROR(IF(ISNUMBER(INDEX(aditivos!$O$2:$O$200,MATCH($A157,aditivos!$A$2:$A$200,0))),MIN(INDEX(aditivos!$O$2:$O$200,MATCH($A157,aditivos!$A$2:$A$200,0)),posicao_contratual!$Y157),posicao_contratual!$Y157),posicao_contratual!$Y157)+1,COUNT($L$2:$L$6))),2),"")),IF(OR(NOT(ISNUMBER($L$6)),NOT(ISNUMBER(INDEX($L$2:$L$6,IFERROR(IF(ISNUMBER(INDEX(aditivos!$O$2:$O$200,MATCH($A157,aditivos!$A$2:$A$200,0))),MIN(INDEX(aditivos!$O$2:$O$200,MATCH($A157,aditivos!$A$2:$A$200,0)),posicao_contratual!$Y157),posicao_contratual!$Y157),posicao_contratual!$Y157)+1)))),"",ROUND(itens_Remanesc!C157*$L$6/INDEX($L$2:$L$6,IFERROR(IF(ISNUMBER(INDEX(aditivos!$O$2:$O$200,MATCH($A157,aditivos!$A$2:$A$200,0))),MIN(INDEX(aditivos!$O$2:$O$200,MATCH($A157,aditivos!$A$2:$A$200,0)),posicao_contratual!$Y157),posicao_contratual!$Y157),posicao_contratual!$Y157)+1),2))))))</f>
        <v/>
      </c>
      <c r="H157" s="116" t="str">
        <f t="shared" si="4"/>
        <v/>
      </c>
      <c r="I157" s="13"/>
      <c r="J157" s="13"/>
      <c r="K157" s="13"/>
      <c r="L157" s="13"/>
      <c r="M157" s="13"/>
      <c r="N157" s="147" t="str">
        <f>IF(A157="","",IF(posicao_contratual!$Y157="","",IF(posicao_contratual!$Y157&gt;0,"",posicao_contratual!E157)))</f>
        <v/>
      </c>
      <c r="O157" s="147" t="str">
        <f>IF(A157="","",IF(posicao_contratual!$Y157="","",IF(posicao_contratual!$Y157&gt;1,"",posicao_contratual!I157)))</f>
        <v/>
      </c>
      <c r="P157" s="147" t="str">
        <f>IF(A157="","",IF(posicao_contratual!$Y157="","",IF(posicao_contratual!$Y157&gt;2,"",posicao_contratual!M157)))</f>
        <v/>
      </c>
      <c r="Q157" s="147" t="str">
        <f>IF(A157="","",IF(posicao_contratual!$Y157="","",IF(posicao_contratual!$Y157&gt;3,"",posicao_contratual!Q157)))</f>
        <v/>
      </c>
      <c r="R157" s="147" t="str">
        <f>IF(A157="","",IF(posicao_contratual!$Y157="","",IF(posicao_contratual!$Y157&gt;4,"",posicao_contratual!U157)))</f>
        <v/>
      </c>
      <c r="S157" s="167" t="str">
        <f>IF(A157="","",posicao_contratual!G157)</f>
        <v/>
      </c>
      <c r="T157" s="167" t="str">
        <f>IF(A157="","",posicao_contratual!K157)</f>
        <v/>
      </c>
      <c r="U157" s="167" t="str">
        <f>IF(A157="","",posicao_contratual!O157)</f>
        <v/>
      </c>
      <c r="V157" s="167" t="str">
        <f>IF(A157="","",posicao_contratual!S157)</f>
        <v/>
      </c>
      <c r="W157" s="167" t="str">
        <f>IF(A157="","",posicao_contratual!W157)</f>
        <v/>
      </c>
    </row>
    <row r="158" spans="1:23" x14ac:dyDescent="0.35">
      <c r="A158" s="86" t="str">
        <f>IF(itens_Remanesc!A158="","",itens_Remanesc!A158)</f>
        <v/>
      </c>
      <c r="B158" s="85" t="str">
        <f>IF(A158="","",IF(posicao_contratual!$Y158="","",IF(posicao_contratual!$Y158&gt;0,"",posicao_contratual!G158)))</f>
        <v/>
      </c>
      <c r="C158" s="79" t="str">
        <f>IF(itens_Remanesc!A158="","",IF(posicao_contratual!$Y158="","",IF(posicao_contratual!$Y158&gt;0,"",itens_Remanesc!C158)))</f>
        <v/>
      </c>
      <c r="D158" s="79" t="str">
        <f>IF(OR($A158="",posicao_contratual!$Y158=""),"",IF(posicao_contratual!$Y158&gt;1,"",IF(NOT(ISNUMBER(itens_Remanesc!C158)),"",IF(posicao_contratual!$Y158=1,IF(IFERROR(IF(ISNUMBER(INDEX(aditivos!$O$2:$O$200,MATCH($A158,aditivos!$A$2:$A$200,0))),MIN(INDEX(aditivos!$O$2:$O$200,MATCH($A158,aditivos!$A$2:$A$200,0)),posicao_contratual!$Y158),posicao_contratual!$Y158),posicao_contratual!$Y158)=1,itens_Remanesc!C158,IFERROR(ROUND(itens_Remanesc!C158*INDEX($L$2:$L$6,MIN(1+1,COUNT($L$2:$L$6)))/INDEX($L$2:$L$6,MIN(IFERROR(IF(ISNUMBER(INDEX(aditivos!$O$2:$O$200,MATCH($A158,aditivos!$A$2:$A$200,0))),MIN(INDEX(aditivos!$O$2:$O$200,MATCH($A158,aditivos!$A$2:$A$200,0)),posicao_contratual!$Y158),posicao_contratual!$Y158),posicao_contratual!$Y158)+1,COUNT($L$2:$L$6))),2),"")),IF(OR(NOT(ISNUMBER($L$3)),NOT(ISNUMBER(INDEX($L$2:$L$6,IFERROR(IF(ISNUMBER(INDEX(aditivos!$O$2:$O$200,MATCH($A158,aditivos!$A$2:$A$200,0))),MIN(INDEX(aditivos!$O$2:$O$200,MATCH($A158,aditivos!$A$2:$A$200,0)),posicao_contratual!$Y158),posicao_contratual!$Y158),posicao_contratual!$Y158)+1)))),"",ROUND(itens_Remanesc!C158*$L$3/INDEX($L$2:$L$6,IFERROR(IF(ISNUMBER(INDEX(aditivos!$O$2:$O$200,MATCH($A158,aditivos!$A$2:$A$200,0))),MIN(INDEX(aditivos!$O$2:$O$200,MATCH($A158,aditivos!$A$2:$A$200,0)),posicao_contratual!$Y158),posicao_contratual!$Y158),posicao_contratual!$Y158)+1),2))))))</f>
        <v/>
      </c>
      <c r="E158" s="79" t="str">
        <f>IF(OR($A158="",posicao_contratual!$Y158=""),"",IF(posicao_contratual!$Y158&gt;2,"",IF(NOT(ISNUMBER(itens_Remanesc!C158)),"",IF(posicao_contratual!$Y158=2,IF(IFERROR(IF(ISNUMBER(INDEX(aditivos!$O$2:$O$200,MATCH($A158,aditivos!$A$2:$A$200,0))),MIN(INDEX(aditivos!$O$2:$O$200,MATCH($A158,aditivos!$A$2:$A$200,0)),posicao_contratual!$Y158),posicao_contratual!$Y158),posicao_contratual!$Y158)=2,itens_Remanesc!C158,IFERROR(ROUND(itens_Remanesc!C158*INDEX($L$2:$L$6,MIN(2+1,COUNT($L$2:$L$6)))/INDEX($L$2:$L$6,MIN(IFERROR(IF(ISNUMBER(INDEX(aditivos!$O$2:$O$200,MATCH($A158,aditivos!$A$2:$A$200,0))),MIN(INDEX(aditivos!$O$2:$O$200,MATCH($A158,aditivos!$A$2:$A$200,0)),posicao_contratual!$Y158),posicao_contratual!$Y158),posicao_contratual!$Y158)+1,COUNT($L$2:$L$6))),2),"")),IF(OR(NOT(ISNUMBER($L$4)),NOT(ISNUMBER(INDEX($L$2:$L$6,IFERROR(IF(ISNUMBER(INDEX(aditivos!$O$2:$O$200,MATCH($A158,aditivos!$A$2:$A$200,0))),MIN(INDEX(aditivos!$O$2:$O$200,MATCH($A158,aditivos!$A$2:$A$200,0)),posicao_contratual!$Y158),posicao_contratual!$Y158),posicao_contratual!$Y158)+1)))),"",ROUND(itens_Remanesc!C158*$L$4/INDEX($L$2:$L$6,IFERROR(IF(ISNUMBER(INDEX(aditivos!$O$2:$O$200,MATCH($A158,aditivos!$A$2:$A$200,0))),MIN(INDEX(aditivos!$O$2:$O$200,MATCH($A158,aditivos!$A$2:$A$200,0)),posicao_contratual!$Y158),posicao_contratual!$Y158),posicao_contratual!$Y158)+1),2))))))</f>
        <v/>
      </c>
      <c r="F158" s="79" t="str">
        <f>IF(OR($A158="",posicao_contratual!$Y158=""),"",IF(posicao_contratual!$Y158&gt;3,"",IF(NOT(ISNUMBER(itens_Remanesc!C158)),"",IF(posicao_contratual!$Y158=3,IF(IFERROR(IF(ISNUMBER(INDEX(aditivos!$O$2:$O$200,MATCH($A158,aditivos!$A$2:$A$200,0))),MIN(INDEX(aditivos!$O$2:$O$200,MATCH($A158,aditivos!$A$2:$A$200,0)),posicao_contratual!$Y158),posicao_contratual!$Y158),posicao_contratual!$Y158)=3,itens_Remanesc!C158,IFERROR(ROUND(itens_Remanesc!C158*INDEX($L$2:$L$6,MIN(3+1,COUNT($L$2:$L$6)))/INDEX($L$2:$L$6,MIN(IFERROR(IF(ISNUMBER(INDEX(aditivos!$O$2:$O$200,MATCH($A158,aditivos!$A$2:$A$200,0))),MIN(INDEX(aditivos!$O$2:$O$200,MATCH($A158,aditivos!$A$2:$A$200,0)),posicao_contratual!$Y158),posicao_contratual!$Y158),posicao_contratual!$Y158)+1,COUNT($L$2:$L$6))),2),"")),IF(OR(NOT(ISNUMBER($L$5)),NOT(ISNUMBER(INDEX($L$2:$L$6,IFERROR(IF(ISNUMBER(INDEX(aditivos!$O$2:$O$200,MATCH($A158,aditivos!$A$2:$A$200,0))),MIN(INDEX(aditivos!$O$2:$O$200,MATCH($A158,aditivos!$A$2:$A$200,0)),posicao_contratual!$Y158),posicao_contratual!$Y158),posicao_contratual!$Y158)+1)))),"",ROUND(itens_Remanesc!C158*$L$5/INDEX($L$2:$L$6,IFERROR(IF(ISNUMBER(INDEX(aditivos!$O$2:$O$200,MATCH($A158,aditivos!$A$2:$A$200,0))),MIN(INDEX(aditivos!$O$2:$O$200,MATCH($A158,aditivos!$A$2:$A$200,0)),posicao_contratual!$Y158),posicao_contratual!$Y158),posicao_contratual!$Y158)+1),2))))))</f>
        <v/>
      </c>
      <c r="G158" s="79" t="str">
        <f>IF(OR($A158="",posicao_contratual!$Y158=""),"",IF(posicao_contratual!$Y158&gt;4,"",IF(NOT(ISNUMBER(itens_Remanesc!C158)),"",IF(posicao_contratual!$Y158=4,IF(IFERROR(IF(ISNUMBER(INDEX(aditivos!$O$2:$O$200,MATCH($A158,aditivos!$A$2:$A$200,0))),MIN(INDEX(aditivos!$O$2:$O$200,MATCH($A158,aditivos!$A$2:$A$200,0)),posicao_contratual!$Y158),posicao_contratual!$Y158),posicao_contratual!$Y158)=4,itens_Remanesc!C158,IFERROR(ROUND(itens_Remanesc!C158*INDEX($L$2:$L$6,MIN(4+1,COUNT($L$2:$L$6)))/INDEX($L$2:$L$6,MIN(IFERROR(IF(ISNUMBER(INDEX(aditivos!$O$2:$O$200,MATCH($A158,aditivos!$A$2:$A$200,0))),MIN(INDEX(aditivos!$O$2:$O$200,MATCH($A158,aditivos!$A$2:$A$200,0)),posicao_contratual!$Y158),posicao_contratual!$Y158),posicao_contratual!$Y158)+1,COUNT($L$2:$L$6))),2),"")),IF(OR(NOT(ISNUMBER($L$6)),NOT(ISNUMBER(INDEX($L$2:$L$6,IFERROR(IF(ISNUMBER(INDEX(aditivos!$O$2:$O$200,MATCH($A158,aditivos!$A$2:$A$200,0))),MIN(INDEX(aditivos!$O$2:$O$200,MATCH($A158,aditivos!$A$2:$A$200,0)),posicao_contratual!$Y158),posicao_contratual!$Y158),posicao_contratual!$Y158)+1)))),"",ROUND(itens_Remanesc!C158*$L$6/INDEX($L$2:$L$6,IFERROR(IF(ISNUMBER(INDEX(aditivos!$O$2:$O$200,MATCH($A158,aditivos!$A$2:$A$200,0))),MIN(INDEX(aditivos!$O$2:$O$200,MATCH($A158,aditivos!$A$2:$A$200,0)),posicao_contratual!$Y158),posicao_contratual!$Y158),posicao_contratual!$Y158)+1),2))))))</f>
        <v/>
      </c>
      <c r="H158" s="116" t="str">
        <f t="shared" si="4"/>
        <v/>
      </c>
      <c r="I158" s="13"/>
      <c r="J158" s="13"/>
      <c r="K158" s="13"/>
      <c r="L158" s="13"/>
      <c r="M158" s="13"/>
      <c r="N158" s="147" t="str">
        <f>IF(A158="","",IF(posicao_contratual!$Y158="","",IF(posicao_contratual!$Y158&gt;0,"",posicao_contratual!E158)))</f>
        <v/>
      </c>
      <c r="O158" s="147" t="str">
        <f>IF(A158="","",IF(posicao_contratual!$Y158="","",IF(posicao_contratual!$Y158&gt;1,"",posicao_contratual!I158)))</f>
        <v/>
      </c>
      <c r="P158" s="147" t="str">
        <f>IF(A158="","",IF(posicao_contratual!$Y158="","",IF(posicao_contratual!$Y158&gt;2,"",posicao_contratual!M158)))</f>
        <v/>
      </c>
      <c r="Q158" s="147" t="str">
        <f>IF(A158="","",IF(posicao_contratual!$Y158="","",IF(posicao_contratual!$Y158&gt;3,"",posicao_contratual!Q158)))</f>
        <v/>
      </c>
      <c r="R158" s="147" t="str">
        <f>IF(A158="","",IF(posicao_contratual!$Y158="","",IF(posicao_contratual!$Y158&gt;4,"",posicao_contratual!U158)))</f>
        <v/>
      </c>
      <c r="S158" s="167" t="str">
        <f>IF(A158="","",posicao_contratual!G158)</f>
        <v/>
      </c>
      <c r="T158" s="167" t="str">
        <f>IF(A158="","",posicao_contratual!K158)</f>
        <v/>
      </c>
      <c r="U158" s="167" t="str">
        <f>IF(A158="","",posicao_contratual!O158)</f>
        <v/>
      </c>
      <c r="V158" s="167" t="str">
        <f>IF(A158="","",posicao_contratual!S158)</f>
        <v/>
      </c>
      <c r="W158" s="167" t="str">
        <f>IF(A158="","",posicao_contratual!W158)</f>
        <v/>
      </c>
    </row>
    <row r="159" spans="1:23" x14ac:dyDescent="0.35">
      <c r="A159" s="86" t="str">
        <f>IF(itens_Remanesc!A159="","",itens_Remanesc!A159)</f>
        <v/>
      </c>
      <c r="B159" s="85" t="str">
        <f>IF(A159="","",IF(posicao_contratual!$Y159="","",IF(posicao_contratual!$Y159&gt;0,"",posicao_contratual!G159)))</f>
        <v/>
      </c>
      <c r="C159" s="79" t="str">
        <f>IF(itens_Remanesc!A159="","",IF(posicao_contratual!$Y159="","",IF(posicao_contratual!$Y159&gt;0,"",itens_Remanesc!C159)))</f>
        <v/>
      </c>
      <c r="D159" s="79" t="str">
        <f>IF(OR($A159="",posicao_contratual!$Y159=""),"",IF(posicao_contratual!$Y159&gt;1,"",IF(NOT(ISNUMBER(itens_Remanesc!C159)),"",IF(posicao_contratual!$Y159=1,IF(IFERROR(IF(ISNUMBER(INDEX(aditivos!$O$2:$O$200,MATCH($A159,aditivos!$A$2:$A$200,0))),MIN(INDEX(aditivos!$O$2:$O$200,MATCH($A159,aditivos!$A$2:$A$200,0)),posicao_contratual!$Y159),posicao_contratual!$Y159),posicao_contratual!$Y159)=1,itens_Remanesc!C159,IFERROR(ROUND(itens_Remanesc!C159*INDEX($L$2:$L$6,MIN(1+1,COUNT($L$2:$L$6)))/INDEX($L$2:$L$6,MIN(IFERROR(IF(ISNUMBER(INDEX(aditivos!$O$2:$O$200,MATCH($A159,aditivos!$A$2:$A$200,0))),MIN(INDEX(aditivos!$O$2:$O$200,MATCH($A159,aditivos!$A$2:$A$200,0)),posicao_contratual!$Y159),posicao_contratual!$Y159),posicao_contratual!$Y159)+1,COUNT($L$2:$L$6))),2),"")),IF(OR(NOT(ISNUMBER($L$3)),NOT(ISNUMBER(INDEX($L$2:$L$6,IFERROR(IF(ISNUMBER(INDEX(aditivos!$O$2:$O$200,MATCH($A159,aditivos!$A$2:$A$200,0))),MIN(INDEX(aditivos!$O$2:$O$200,MATCH($A159,aditivos!$A$2:$A$200,0)),posicao_contratual!$Y159),posicao_contratual!$Y159),posicao_contratual!$Y159)+1)))),"",ROUND(itens_Remanesc!C159*$L$3/INDEX($L$2:$L$6,IFERROR(IF(ISNUMBER(INDEX(aditivos!$O$2:$O$200,MATCH($A159,aditivos!$A$2:$A$200,0))),MIN(INDEX(aditivos!$O$2:$O$200,MATCH($A159,aditivos!$A$2:$A$200,0)),posicao_contratual!$Y159),posicao_contratual!$Y159),posicao_contratual!$Y159)+1),2))))))</f>
        <v/>
      </c>
      <c r="E159" s="79" t="str">
        <f>IF(OR($A159="",posicao_contratual!$Y159=""),"",IF(posicao_contratual!$Y159&gt;2,"",IF(NOT(ISNUMBER(itens_Remanesc!C159)),"",IF(posicao_contratual!$Y159=2,IF(IFERROR(IF(ISNUMBER(INDEX(aditivos!$O$2:$O$200,MATCH($A159,aditivos!$A$2:$A$200,0))),MIN(INDEX(aditivos!$O$2:$O$200,MATCH($A159,aditivos!$A$2:$A$200,0)),posicao_contratual!$Y159),posicao_contratual!$Y159),posicao_contratual!$Y159)=2,itens_Remanesc!C159,IFERROR(ROUND(itens_Remanesc!C159*INDEX($L$2:$L$6,MIN(2+1,COUNT($L$2:$L$6)))/INDEX($L$2:$L$6,MIN(IFERROR(IF(ISNUMBER(INDEX(aditivos!$O$2:$O$200,MATCH($A159,aditivos!$A$2:$A$200,0))),MIN(INDEX(aditivos!$O$2:$O$200,MATCH($A159,aditivos!$A$2:$A$200,0)),posicao_contratual!$Y159),posicao_contratual!$Y159),posicao_contratual!$Y159)+1,COUNT($L$2:$L$6))),2),"")),IF(OR(NOT(ISNUMBER($L$4)),NOT(ISNUMBER(INDEX($L$2:$L$6,IFERROR(IF(ISNUMBER(INDEX(aditivos!$O$2:$O$200,MATCH($A159,aditivos!$A$2:$A$200,0))),MIN(INDEX(aditivos!$O$2:$O$200,MATCH($A159,aditivos!$A$2:$A$200,0)),posicao_contratual!$Y159),posicao_contratual!$Y159),posicao_contratual!$Y159)+1)))),"",ROUND(itens_Remanesc!C159*$L$4/INDEX($L$2:$L$6,IFERROR(IF(ISNUMBER(INDEX(aditivos!$O$2:$O$200,MATCH($A159,aditivos!$A$2:$A$200,0))),MIN(INDEX(aditivos!$O$2:$O$200,MATCH($A159,aditivos!$A$2:$A$200,0)),posicao_contratual!$Y159),posicao_contratual!$Y159),posicao_contratual!$Y159)+1),2))))))</f>
        <v/>
      </c>
      <c r="F159" s="79" t="str">
        <f>IF(OR($A159="",posicao_contratual!$Y159=""),"",IF(posicao_contratual!$Y159&gt;3,"",IF(NOT(ISNUMBER(itens_Remanesc!C159)),"",IF(posicao_contratual!$Y159=3,IF(IFERROR(IF(ISNUMBER(INDEX(aditivos!$O$2:$O$200,MATCH($A159,aditivos!$A$2:$A$200,0))),MIN(INDEX(aditivos!$O$2:$O$200,MATCH($A159,aditivos!$A$2:$A$200,0)),posicao_contratual!$Y159),posicao_contratual!$Y159),posicao_contratual!$Y159)=3,itens_Remanesc!C159,IFERROR(ROUND(itens_Remanesc!C159*INDEX($L$2:$L$6,MIN(3+1,COUNT($L$2:$L$6)))/INDEX($L$2:$L$6,MIN(IFERROR(IF(ISNUMBER(INDEX(aditivos!$O$2:$O$200,MATCH($A159,aditivos!$A$2:$A$200,0))),MIN(INDEX(aditivos!$O$2:$O$200,MATCH($A159,aditivos!$A$2:$A$200,0)),posicao_contratual!$Y159),posicao_contratual!$Y159),posicao_contratual!$Y159)+1,COUNT($L$2:$L$6))),2),"")),IF(OR(NOT(ISNUMBER($L$5)),NOT(ISNUMBER(INDEX($L$2:$L$6,IFERROR(IF(ISNUMBER(INDEX(aditivos!$O$2:$O$200,MATCH($A159,aditivos!$A$2:$A$200,0))),MIN(INDEX(aditivos!$O$2:$O$200,MATCH($A159,aditivos!$A$2:$A$200,0)),posicao_contratual!$Y159),posicao_contratual!$Y159),posicao_contratual!$Y159)+1)))),"",ROUND(itens_Remanesc!C159*$L$5/INDEX($L$2:$L$6,IFERROR(IF(ISNUMBER(INDEX(aditivos!$O$2:$O$200,MATCH($A159,aditivos!$A$2:$A$200,0))),MIN(INDEX(aditivos!$O$2:$O$200,MATCH($A159,aditivos!$A$2:$A$200,0)),posicao_contratual!$Y159),posicao_contratual!$Y159),posicao_contratual!$Y159)+1),2))))))</f>
        <v/>
      </c>
      <c r="G159" s="79" t="str">
        <f>IF(OR($A159="",posicao_contratual!$Y159=""),"",IF(posicao_contratual!$Y159&gt;4,"",IF(NOT(ISNUMBER(itens_Remanesc!C159)),"",IF(posicao_contratual!$Y159=4,IF(IFERROR(IF(ISNUMBER(INDEX(aditivos!$O$2:$O$200,MATCH($A159,aditivos!$A$2:$A$200,0))),MIN(INDEX(aditivos!$O$2:$O$200,MATCH($A159,aditivos!$A$2:$A$200,0)),posicao_contratual!$Y159),posicao_contratual!$Y159),posicao_contratual!$Y159)=4,itens_Remanesc!C159,IFERROR(ROUND(itens_Remanesc!C159*INDEX($L$2:$L$6,MIN(4+1,COUNT($L$2:$L$6)))/INDEX($L$2:$L$6,MIN(IFERROR(IF(ISNUMBER(INDEX(aditivos!$O$2:$O$200,MATCH($A159,aditivos!$A$2:$A$200,0))),MIN(INDEX(aditivos!$O$2:$O$200,MATCH($A159,aditivos!$A$2:$A$200,0)),posicao_contratual!$Y159),posicao_contratual!$Y159),posicao_contratual!$Y159)+1,COUNT($L$2:$L$6))),2),"")),IF(OR(NOT(ISNUMBER($L$6)),NOT(ISNUMBER(INDEX($L$2:$L$6,IFERROR(IF(ISNUMBER(INDEX(aditivos!$O$2:$O$200,MATCH($A159,aditivos!$A$2:$A$200,0))),MIN(INDEX(aditivos!$O$2:$O$200,MATCH($A159,aditivos!$A$2:$A$200,0)),posicao_contratual!$Y159),posicao_contratual!$Y159),posicao_contratual!$Y159)+1)))),"",ROUND(itens_Remanesc!C159*$L$6/INDEX($L$2:$L$6,IFERROR(IF(ISNUMBER(INDEX(aditivos!$O$2:$O$200,MATCH($A159,aditivos!$A$2:$A$200,0))),MIN(INDEX(aditivos!$O$2:$O$200,MATCH($A159,aditivos!$A$2:$A$200,0)),posicao_contratual!$Y159),posicao_contratual!$Y159),posicao_contratual!$Y159)+1),2))))))</f>
        <v/>
      </c>
      <c r="H159" s="116" t="str">
        <f t="shared" si="4"/>
        <v/>
      </c>
      <c r="I159" s="13"/>
      <c r="J159" s="13"/>
      <c r="K159" s="13"/>
      <c r="L159" s="13"/>
      <c r="M159" s="13"/>
      <c r="N159" s="147" t="str">
        <f>IF(A159="","",IF(posicao_contratual!$Y159="","",IF(posicao_contratual!$Y159&gt;0,"",posicao_contratual!E159)))</f>
        <v/>
      </c>
      <c r="O159" s="147" t="str">
        <f>IF(A159="","",IF(posicao_contratual!$Y159="","",IF(posicao_contratual!$Y159&gt;1,"",posicao_contratual!I159)))</f>
        <v/>
      </c>
      <c r="P159" s="147" t="str">
        <f>IF(A159="","",IF(posicao_contratual!$Y159="","",IF(posicao_contratual!$Y159&gt;2,"",posicao_contratual!M159)))</f>
        <v/>
      </c>
      <c r="Q159" s="147" t="str">
        <f>IF(A159="","",IF(posicao_contratual!$Y159="","",IF(posicao_contratual!$Y159&gt;3,"",posicao_contratual!Q159)))</f>
        <v/>
      </c>
      <c r="R159" s="147" t="str">
        <f>IF(A159="","",IF(posicao_contratual!$Y159="","",IF(posicao_contratual!$Y159&gt;4,"",posicao_contratual!U159)))</f>
        <v/>
      </c>
      <c r="S159" s="167" t="str">
        <f>IF(A159="","",posicao_contratual!G159)</f>
        <v/>
      </c>
      <c r="T159" s="167" t="str">
        <f>IF(A159="","",posicao_contratual!K159)</f>
        <v/>
      </c>
      <c r="U159" s="167" t="str">
        <f>IF(A159="","",posicao_contratual!O159)</f>
        <v/>
      </c>
      <c r="V159" s="167" t="str">
        <f>IF(A159="","",posicao_contratual!S159)</f>
        <v/>
      </c>
      <c r="W159" s="167" t="str">
        <f>IF(A159="","",posicao_contratual!W159)</f>
        <v/>
      </c>
    </row>
    <row r="160" spans="1:23" x14ac:dyDescent="0.35">
      <c r="A160" s="86" t="str">
        <f>IF(itens_Remanesc!A160="","",itens_Remanesc!A160)</f>
        <v/>
      </c>
      <c r="B160" s="85" t="str">
        <f>IF(A160="","",IF(posicao_contratual!$Y160="","",IF(posicao_contratual!$Y160&gt;0,"",posicao_contratual!G160)))</f>
        <v/>
      </c>
      <c r="C160" s="79" t="str">
        <f>IF(itens_Remanesc!A160="","",IF(posicao_contratual!$Y160="","",IF(posicao_contratual!$Y160&gt;0,"",itens_Remanesc!C160)))</f>
        <v/>
      </c>
      <c r="D160" s="79" t="str">
        <f>IF(OR($A160="",posicao_contratual!$Y160=""),"",IF(posicao_contratual!$Y160&gt;1,"",IF(NOT(ISNUMBER(itens_Remanesc!C160)),"",IF(posicao_contratual!$Y160=1,IF(IFERROR(IF(ISNUMBER(INDEX(aditivos!$O$2:$O$200,MATCH($A160,aditivos!$A$2:$A$200,0))),MIN(INDEX(aditivos!$O$2:$O$200,MATCH($A160,aditivos!$A$2:$A$200,0)),posicao_contratual!$Y160),posicao_contratual!$Y160),posicao_contratual!$Y160)=1,itens_Remanesc!C160,IFERROR(ROUND(itens_Remanesc!C160*INDEX($L$2:$L$6,MIN(1+1,COUNT($L$2:$L$6)))/INDEX($L$2:$L$6,MIN(IFERROR(IF(ISNUMBER(INDEX(aditivos!$O$2:$O$200,MATCH($A160,aditivos!$A$2:$A$200,0))),MIN(INDEX(aditivos!$O$2:$O$200,MATCH($A160,aditivos!$A$2:$A$200,0)),posicao_contratual!$Y160),posicao_contratual!$Y160),posicao_contratual!$Y160)+1,COUNT($L$2:$L$6))),2),"")),IF(OR(NOT(ISNUMBER($L$3)),NOT(ISNUMBER(INDEX($L$2:$L$6,IFERROR(IF(ISNUMBER(INDEX(aditivos!$O$2:$O$200,MATCH($A160,aditivos!$A$2:$A$200,0))),MIN(INDEX(aditivos!$O$2:$O$200,MATCH($A160,aditivos!$A$2:$A$200,0)),posicao_contratual!$Y160),posicao_contratual!$Y160),posicao_contratual!$Y160)+1)))),"",ROUND(itens_Remanesc!C160*$L$3/INDEX($L$2:$L$6,IFERROR(IF(ISNUMBER(INDEX(aditivos!$O$2:$O$200,MATCH($A160,aditivos!$A$2:$A$200,0))),MIN(INDEX(aditivos!$O$2:$O$200,MATCH($A160,aditivos!$A$2:$A$200,0)),posicao_contratual!$Y160),posicao_contratual!$Y160),posicao_contratual!$Y160)+1),2))))))</f>
        <v/>
      </c>
      <c r="E160" s="79" t="str">
        <f>IF(OR($A160="",posicao_contratual!$Y160=""),"",IF(posicao_contratual!$Y160&gt;2,"",IF(NOT(ISNUMBER(itens_Remanesc!C160)),"",IF(posicao_contratual!$Y160=2,IF(IFERROR(IF(ISNUMBER(INDEX(aditivos!$O$2:$O$200,MATCH($A160,aditivos!$A$2:$A$200,0))),MIN(INDEX(aditivos!$O$2:$O$200,MATCH($A160,aditivos!$A$2:$A$200,0)),posicao_contratual!$Y160),posicao_contratual!$Y160),posicao_contratual!$Y160)=2,itens_Remanesc!C160,IFERROR(ROUND(itens_Remanesc!C160*INDEX($L$2:$L$6,MIN(2+1,COUNT($L$2:$L$6)))/INDEX($L$2:$L$6,MIN(IFERROR(IF(ISNUMBER(INDEX(aditivos!$O$2:$O$200,MATCH($A160,aditivos!$A$2:$A$200,0))),MIN(INDEX(aditivos!$O$2:$O$200,MATCH($A160,aditivos!$A$2:$A$200,0)),posicao_contratual!$Y160),posicao_contratual!$Y160),posicao_contratual!$Y160)+1,COUNT($L$2:$L$6))),2),"")),IF(OR(NOT(ISNUMBER($L$4)),NOT(ISNUMBER(INDEX($L$2:$L$6,IFERROR(IF(ISNUMBER(INDEX(aditivos!$O$2:$O$200,MATCH($A160,aditivos!$A$2:$A$200,0))),MIN(INDEX(aditivos!$O$2:$O$200,MATCH($A160,aditivos!$A$2:$A$200,0)),posicao_contratual!$Y160),posicao_contratual!$Y160),posicao_contratual!$Y160)+1)))),"",ROUND(itens_Remanesc!C160*$L$4/INDEX($L$2:$L$6,IFERROR(IF(ISNUMBER(INDEX(aditivos!$O$2:$O$200,MATCH($A160,aditivos!$A$2:$A$200,0))),MIN(INDEX(aditivos!$O$2:$O$200,MATCH($A160,aditivos!$A$2:$A$200,0)),posicao_contratual!$Y160),posicao_contratual!$Y160),posicao_contratual!$Y160)+1),2))))))</f>
        <v/>
      </c>
      <c r="F160" s="79" t="str">
        <f>IF(OR($A160="",posicao_contratual!$Y160=""),"",IF(posicao_contratual!$Y160&gt;3,"",IF(NOT(ISNUMBER(itens_Remanesc!C160)),"",IF(posicao_contratual!$Y160=3,IF(IFERROR(IF(ISNUMBER(INDEX(aditivos!$O$2:$O$200,MATCH($A160,aditivos!$A$2:$A$200,0))),MIN(INDEX(aditivos!$O$2:$O$200,MATCH($A160,aditivos!$A$2:$A$200,0)),posicao_contratual!$Y160),posicao_contratual!$Y160),posicao_contratual!$Y160)=3,itens_Remanesc!C160,IFERROR(ROUND(itens_Remanesc!C160*INDEX($L$2:$L$6,MIN(3+1,COUNT($L$2:$L$6)))/INDEX($L$2:$L$6,MIN(IFERROR(IF(ISNUMBER(INDEX(aditivos!$O$2:$O$200,MATCH($A160,aditivos!$A$2:$A$200,0))),MIN(INDEX(aditivos!$O$2:$O$200,MATCH($A160,aditivos!$A$2:$A$200,0)),posicao_contratual!$Y160),posicao_contratual!$Y160),posicao_contratual!$Y160)+1,COUNT($L$2:$L$6))),2),"")),IF(OR(NOT(ISNUMBER($L$5)),NOT(ISNUMBER(INDEX($L$2:$L$6,IFERROR(IF(ISNUMBER(INDEX(aditivos!$O$2:$O$200,MATCH($A160,aditivos!$A$2:$A$200,0))),MIN(INDEX(aditivos!$O$2:$O$200,MATCH($A160,aditivos!$A$2:$A$200,0)),posicao_contratual!$Y160),posicao_contratual!$Y160),posicao_contratual!$Y160)+1)))),"",ROUND(itens_Remanesc!C160*$L$5/INDEX($L$2:$L$6,IFERROR(IF(ISNUMBER(INDEX(aditivos!$O$2:$O$200,MATCH($A160,aditivos!$A$2:$A$200,0))),MIN(INDEX(aditivos!$O$2:$O$200,MATCH($A160,aditivos!$A$2:$A$200,0)),posicao_contratual!$Y160),posicao_contratual!$Y160),posicao_contratual!$Y160)+1),2))))))</f>
        <v/>
      </c>
      <c r="G160" s="79" t="str">
        <f>IF(OR($A160="",posicao_contratual!$Y160=""),"",IF(posicao_contratual!$Y160&gt;4,"",IF(NOT(ISNUMBER(itens_Remanesc!C160)),"",IF(posicao_contratual!$Y160=4,IF(IFERROR(IF(ISNUMBER(INDEX(aditivos!$O$2:$O$200,MATCH($A160,aditivos!$A$2:$A$200,0))),MIN(INDEX(aditivos!$O$2:$O$200,MATCH($A160,aditivos!$A$2:$A$200,0)),posicao_contratual!$Y160),posicao_contratual!$Y160),posicao_contratual!$Y160)=4,itens_Remanesc!C160,IFERROR(ROUND(itens_Remanesc!C160*INDEX($L$2:$L$6,MIN(4+1,COUNT($L$2:$L$6)))/INDEX($L$2:$L$6,MIN(IFERROR(IF(ISNUMBER(INDEX(aditivos!$O$2:$O$200,MATCH($A160,aditivos!$A$2:$A$200,0))),MIN(INDEX(aditivos!$O$2:$O$200,MATCH($A160,aditivos!$A$2:$A$200,0)),posicao_contratual!$Y160),posicao_contratual!$Y160),posicao_contratual!$Y160)+1,COUNT($L$2:$L$6))),2),"")),IF(OR(NOT(ISNUMBER($L$6)),NOT(ISNUMBER(INDEX($L$2:$L$6,IFERROR(IF(ISNUMBER(INDEX(aditivos!$O$2:$O$200,MATCH($A160,aditivos!$A$2:$A$200,0))),MIN(INDEX(aditivos!$O$2:$O$200,MATCH($A160,aditivos!$A$2:$A$200,0)),posicao_contratual!$Y160),posicao_contratual!$Y160),posicao_contratual!$Y160)+1)))),"",ROUND(itens_Remanesc!C160*$L$6/INDEX($L$2:$L$6,IFERROR(IF(ISNUMBER(INDEX(aditivos!$O$2:$O$200,MATCH($A160,aditivos!$A$2:$A$200,0))),MIN(INDEX(aditivos!$O$2:$O$200,MATCH($A160,aditivos!$A$2:$A$200,0)),posicao_contratual!$Y160),posicao_contratual!$Y160),posicao_contratual!$Y160)+1),2))))))</f>
        <v/>
      </c>
      <c r="H160" s="116" t="str">
        <f t="shared" si="4"/>
        <v/>
      </c>
      <c r="I160" s="13"/>
      <c r="J160" s="13"/>
      <c r="K160" s="13"/>
      <c r="L160" s="13"/>
      <c r="M160" s="13"/>
      <c r="N160" s="147" t="str">
        <f>IF(A160="","",IF(posicao_contratual!$Y160="","",IF(posicao_contratual!$Y160&gt;0,"",posicao_contratual!E160)))</f>
        <v/>
      </c>
      <c r="O160" s="147" t="str">
        <f>IF(A160="","",IF(posicao_contratual!$Y160="","",IF(posicao_contratual!$Y160&gt;1,"",posicao_contratual!I160)))</f>
        <v/>
      </c>
      <c r="P160" s="147" t="str">
        <f>IF(A160="","",IF(posicao_contratual!$Y160="","",IF(posicao_contratual!$Y160&gt;2,"",posicao_contratual!M160)))</f>
        <v/>
      </c>
      <c r="Q160" s="147" t="str">
        <f>IF(A160="","",IF(posicao_contratual!$Y160="","",IF(posicao_contratual!$Y160&gt;3,"",posicao_contratual!Q160)))</f>
        <v/>
      </c>
      <c r="R160" s="147" t="str">
        <f>IF(A160="","",IF(posicao_contratual!$Y160="","",IF(posicao_contratual!$Y160&gt;4,"",posicao_contratual!U160)))</f>
        <v/>
      </c>
      <c r="S160" s="167" t="str">
        <f>IF(A160="","",posicao_contratual!G160)</f>
        <v/>
      </c>
      <c r="T160" s="167" t="str">
        <f>IF(A160="","",posicao_contratual!K160)</f>
        <v/>
      </c>
      <c r="U160" s="167" t="str">
        <f>IF(A160="","",posicao_contratual!O160)</f>
        <v/>
      </c>
      <c r="V160" s="167" t="str">
        <f>IF(A160="","",posicao_contratual!S160)</f>
        <v/>
      </c>
      <c r="W160" s="167" t="str">
        <f>IF(A160="","",posicao_contratual!W160)</f>
        <v/>
      </c>
    </row>
    <row r="161" spans="1:23" x14ac:dyDescent="0.35">
      <c r="A161" s="86" t="str">
        <f>IF(itens_Remanesc!A161="","",itens_Remanesc!A161)</f>
        <v/>
      </c>
      <c r="B161" s="85" t="str">
        <f>IF(A161="","",IF(posicao_contratual!$Y161="","",IF(posicao_contratual!$Y161&gt;0,"",posicao_contratual!G161)))</f>
        <v/>
      </c>
      <c r="C161" s="79" t="str">
        <f>IF(itens_Remanesc!A161="","",IF(posicao_contratual!$Y161="","",IF(posicao_contratual!$Y161&gt;0,"",itens_Remanesc!C161)))</f>
        <v/>
      </c>
      <c r="D161" s="79" t="str">
        <f>IF(OR($A161="",posicao_contratual!$Y161=""),"",IF(posicao_contratual!$Y161&gt;1,"",IF(NOT(ISNUMBER(itens_Remanesc!C161)),"",IF(posicao_contratual!$Y161=1,IF(IFERROR(IF(ISNUMBER(INDEX(aditivos!$O$2:$O$200,MATCH($A161,aditivos!$A$2:$A$200,0))),MIN(INDEX(aditivos!$O$2:$O$200,MATCH($A161,aditivos!$A$2:$A$200,0)),posicao_contratual!$Y161),posicao_contratual!$Y161),posicao_contratual!$Y161)=1,itens_Remanesc!C161,IFERROR(ROUND(itens_Remanesc!C161*INDEX($L$2:$L$6,MIN(1+1,COUNT($L$2:$L$6)))/INDEX($L$2:$L$6,MIN(IFERROR(IF(ISNUMBER(INDEX(aditivos!$O$2:$O$200,MATCH($A161,aditivos!$A$2:$A$200,0))),MIN(INDEX(aditivos!$O$2:$O$200,MATCH($A161,aditivos!$A$2:$A$200,0)),posicao_contratual!$Y161),posicao_contratual!$Y161),posicao_contratual!$Y161)+1,COUNT($L$2:$L$6))),2),"")),IF(OR(NOT(ISNUMBER($L$3)),NOT(ISNUMBER(INDEX($L$2:$L$6,IFERROR(IF(ISNUMBER(INDEX(aditivos!$O$2:$O$200,MATCH($A161,aditivos!$A$2:$A$200,0))),MIN(INDEX(aditivos!$O$2:$O$200,MATCH($A161,aditivos!$A$2:$A$200,0)),posicao_contratual!$Y161),posicao_contratual!$Y161),posicao_contratual!$Y161)+1)))),"",ROUND(itens_Remanesc!C161*$L$3/INDEX($L$2:$L$6,IFERROR(IF(ISNUMBER(INDEX(aditivos!$O$2:$O$200,MATCH($A161,aditivos!$A$2:$A$200,0))),MIN(INDEX(aditivos!$O$2:$O$200,MATCH($A161,aditivos!$A$2:$A$200,0)),posicao_contratual!$Y161),posicao_contratual!$Y161),posicao_contratual!$Y161)+1),2))))))</f>
        <v/>
      </c>
      <c r="E161" s="79" t="str">
        <f>IF(OR($A161="",posicao_contratual!$Y161=""),"",IF(posicao_contratual!$Y161&gt;2,"",IF(NOT(ISNUMBER(itens_Remanesc!C161)),"",IF(posicao_contratual!$Y161=2,IF(IFERROR(IF(ISNUMBER(INDEX(aditivos!$O$2:$O$200,MATCH($A161,aditivos!$A$2:$A$200,0))),MIN(INDEX(aditivos!$O$2:$O$200,MATCH($A161,aditivos!$A$2:$A$200,0)),posicao_contratual!$Y161),posicao_contratual!$Y161),posicao_contratual!$Y161)=2,itens_Remanesc!C161,IFERROR(ROUND(itens_Remanesc!C161*INDEX($L$2:$L$6,MIN(2+1,COUNT($L$2:$L$6)))/INDEX($L$2:$L$6,MIN(IFERROR(IF(ISNUMBER(INDEX(aditivos!$O$2:$O$200,MATCH($A161,aditivos!$A$2:$A$200,0))),MIN(INDEX(aditivos!$O$2:$O$200,MATCH($A161,aditivos!$A$2:$A$200,0)),posicao_contratual!$Y161),posicao_contratual!$Y161),posicao_contratual!$Y161)+1,COUNT($L$2:$L$6))),2),"")),IF(OR(NOT(ISNUMBER($L$4)),NOT(ISNUMBER(INDEX($L$2:$L$6,IFERROR(IF(ISNUMBER(INDEX(aditivos!$O$2:$O$200,MATCH($A161,aditivos!$A$2:$A$200,0))),MIN(INDEX(aditivos!$O$2:$O$200,MATCH($A161,aditivos!$A$2:$A$200,0)),posicao_contratual!$Y161),posicao_contratual!$Y161),posicao_contratual!$Y161)+1)))),"",ROUND(itens_Remanesc!C161*$L$4/INDEX($L$2:$L$6,IFERROR(IF(ISNUMBER(INDEX(aditivos!$O$2:$O$200,MATCH($A161,aditivos!$A$2:$A$200,0))),MIN(INDEX(aditivos!$O$2:$O$200,MATCH($A161,aditivos!$A$2:$A$200,0)),posicao_contratual!$Y161),posicao_contratual!$Y161),posicao_contratual!$Y161)+1),2))))))</f>
        <v/>
      </c>
      <c r="F161" s="79" t="str">
        <f>IF(OR($A161="",posicao_contratual!$Y161=""),"",IF(posicao_contratual!$Y161&gt;3,"",IF(NOT(ISNUMBER(itens_Remanesc!C161)),"",IF(posicao_contratual!$Y161=3,IF(IFERROR(IF(ISNUMBER(INDEX(aditivos!$O$2:$O$200,MATCH($A161,aditivos!$A$2:$A$200,0))),MIN(INDEX(aditivos!$O$2:$O$200,MATCH($A161,aditivos!$A$2:$A$200,0)),posicao_contratual!$Y161),posicao_contratual!$Y161),posicao_contratual!$Y161)=3,itens_Remanesc!C161,IFERROR(ROUND(itens_Remanesc!C161*INDEX($L$2:$L$6,MIN(3+1,COUNT($L$2:$L$6)))/INDEX($L$2:$L$6,MIN(IFERROR(IF(ISNUMBER(INDEX(aditivos!$O$2:$O$200,MATCH($A161,aditivos!$A$2:$A$200,0))),MIN(INDEX(aditivos!$O$2:$O$200,MATCH($A161,aditivos!$A$2:$A$200,0)),posicao_contratual!$Y161),posicao_contratual!$Y161),posicao_contratual!$Y161)+1,COUNT($L$2:$L$6))),2),"")),IF(OR(NOT(ISNUMBER($L$5)),NOT(ISNUMBER(INDEX($L$2:$L$6,IFERROR(IF(ISNUMBER(INDEX(aditivos!$O$2:$O$200,MATCH($A161,aditivos!$A$2:$A$200,0))),MIN(INDEX(aditivos!$O$2:$O$200,MATCH($A161,aditivos!$A$2:$A$200,0)),posicao_contratual!$Y161),posicao_contratual!$Y161),posicao_contratual!$Y161)+1)))),"",ROUND(itens_Remanesc!C161*$L$5/INDEX($L$2:$L$6,IFERROR(IF(ISNUMBER(INDEX(aditivos!$O$2:$O$200,MATCH($A161,aditivos!$A$2:$A$200,0))),MIN(INDEX(aditivos!$O$2:$O$200,MATCH($A161,aditivos!$A$2:$A$200,0)),posicao_contratual!$Y161),posicao_contratual!$Y161),posicao_contratual!$Y161)+1),2))))))</f>
        <v/>
      </c>
      <c r="G161" s="79" t="str">
        <f>IF(OR($A161="",posicao_contratual!$Y161=""),"",IF(posicao_contratual!$Y161&gt;4,"",IF(NOT(ISNUMBER(itens_Remanesc!C161)),"",IF(posicao_contratual!$Y161=4,IF(IFERROR(IF(ISNUMBER(INDEX(aditivos!$O$2:$O$200,MATCH($A161,aditivos!$A$2:$A$200,0))),MIN(INDEX(aditivos!$O$2:$O$200,MATCH($A161,aditivos!$A$2:$A$200,0)),posicao_contratual!$Y161),posicao_contratual!$Y161),posicao_contratual!$Y161)=4,itens_Remanesc!C161,IFERROR(ROUND(itens_Remanesc!C161*INDEX($L$2:$L$6,MIN(4+1,COUNT($L$2:$L$6)))/INDEX($L$2:$L$6,MIN(IFERROR(IF(ISNUMBER(INDEX(aditivos!$O$2:$O$200,MATCH($A161,aditivos!$A$2:$A$200,0))),MIN(INDEX(aditivos!$O$2:$O$200,MATCH($A161,aditivos!$A$2:$A$200,0)),posicao_contratual!$Y161),posicao_contratual!$Y161),posicao_contratual!$Y161)+1,COUNT($L$2:$L$6))),2),"")),IF(OR(NOT(ISNUMBER($L$6)),NOT(ISNUMBER(INDEX($L$2:$L$6,IFERROR(IF(ISNUMBER(INDEX(aditivos!$O$2:$O$200,MATCH($A161,aditivos!$A$2:$A$200,0))),MIN(INDEX(aditivos!$O$2:$O$200,MATCH($A161,aditivos!$A$2:$A$200,0)),posicao_contratual!$Y161),posicao_contratual!$Y161),posicao_contratual!$Y161)+1)))),"",ROUND(itens_Remanesc!C161*$L$6/INDEX($L$2:$L$6,IFERROR(IF(ISNUMBER(INDEX(aditivos!$O$2:$O$200,MATCH($A161,aditivos!$A$2:$A$200,0))),MIN(INDEX(aditivos!$O$2:$O$200,MATCH($A161,aditivos!$A$2:$A$200,0)),posicao_contratual!$Y161),posicao_contratual!$Y161),posicao_contratual!$Y161)+1),2))))))</f>
        <v/>
      </c>
      <c r="H161" s="116" t="str">
        <f t="shared" si="4"/>
        <v/>
      </c>
      <c r="I161" s="13"/>
      <c r="J161" s="13"/>
      <c r="K161" s="13"/>
      <c r="L161" s="13"/>
      <c r="M161" s="13"/>
      <c r="N161" s="147" t="str">
        <f>IF(A161="","",IF(posicao_contratual!$Y161="","",IF(posicao_contratual!$Y161&gt;0,"",posicao_contratual!E161)))</f>
        <v/>
      </c>
      <c r="O161" s="147" t="str">
        <f>IF(A161="","",IF(posicao_contratual!$Y161="","",IF(posicao_contratual!$Y161&gt;1,"",posicao_contratual!I161)))</f>
        <v/>
      </c>
      <c r="P161" s="147" t="str">
        <f>IF(A161="","",IF(posicao_contratual!$Y161="","",IF(posicao_contratual!$Y161&gt;2,"",posicao_contratual!M161)))</f>
        <v/>
      </c>
      <c r="Q161" s="147" t="str">
        <f>IF(A161="","",IF(posicao_contratual!$Y161="","",IF(posicao_contratual!$Y161&gt;3,"",posicao_contratual!Q161)))</f>
        <v/>
      </c>
      <c r="R161" s="147" t="str">
        <f>IF(A161="","",IF(posicao_contratual!$Y161="","",IF(posicao_contratual!$Y161&gt;4,"",posicao_contratual!U161)))</f>
        <v/>
      </c>
      <c r="S161" s="167" t="str">
        <f>IF(A161="","",posicao_contratual!G161)</f>
        <v/>
      </c>
      <c r="T161" s="167" t="str">
        <f>IF(A161="","",posicao_contratual!K161)</f>
        <v/>
      </c>
      <c r="U161" s="167" t="str">
        <f>IF(A161="","",posicao_contratual!O161)</f>
        <v/>
      </c>
      <c r="V161" s="167" t="str">
        <f>IF(A161="","",posicao_contratual!S161)</f>
        <v/>
      </c>
      <c r="W161" s="167" t="str">
        <f>IF(A161="","",posicao_contratual!W161)</f>
        <v/>
      </c>
    </row>
    <row r="162" spans="1:23" x14ac:dyDescent="0.35">
      <c r="A162" s="86" t="str">
        <f>IF(itens_Remanesc!A162="","",itens_Remanesc!A162)</f>
        <v/>
      </c>
      <c r="B162" s="85" t="str">
        <f>IF(A162="","",IF(posicao_contratual!$Y162="","",IF(posicao_contratual!$Y162&gt;0,"",posicao_contratual!G162)))</f>
        <v/>
      </c>
      <c r="C162" s="79" t="str">
        <f>IF(itens_Remanesc!A162="","",IF(posicao_contratual!$Y162="","",IF(posicao_contratual!$Y162&gt;0,"",itens_Remanesc!C162)))</f>
        <v/>
      </c>
      <c r="D162" s="79" t="str">
        <f>IF(OR($A162="",posicao_contratual!$Y162=""),"",IF(posicao_contratual!$Y162&gt;1,"",IF(NOT(ISNUMBER(itens_Remanesc!C162)),"",IF(posicao_contratual!$Y162=1,IF(IFERROR(IF(ISNUMBER(INDEX(aditivos!$O$2:$O$200,MATCH($A162,aditivos!$A$2:$A$200,0))),MIN(INDEX(aditivos!$O$2:$O$200,MATCH($A162,aditivos!$A$2:$A$200,0)),posicao_contratual!$Y162),posicao_contratual!$Y162),posicao_contratual!$Y162)=1,itens_Remanesc!C162,IFERROR(ROUND(itens_Remanesc!C162*INDEX($L$2:$L$6,MIN(1+1,COUNT($L$2:$L$6)))/INDEX($L$2:$L$6,MIN(IFERROR(IF(ISNUMBER(INDEX(aditivos!$O$2:$O$200,MATCH($A162,aditivos!$A$2:$A$200,0))),MIN(INDEX(aditivos!$O$2:$O$200,MATCH($A162,aditivos!$A$2:$A$200,0)),posicao_contratual!$Y162),posicao_contratual!$Y162),posicao_contratual!$Y162)+1,COUNT($L$2:$L$6))),2),"")),IF(OR(NOT(ISNUMBER($L$3)),NOT(ISNUMBER(INDEX($L$2:$L$6,IFERROR(IF(ISNUMBER(INDEX(aditivos!$O$2:$O$200,MATCH($A162,aditivos!$A$2:$A$200,0))),MIN(INDEX(aditivos!$O$2:$O$200,MATCH($A162,aditivos!$A$2:$A$200,0)),posicao_contratual!$Y162),posicao_contratual!$Y162),posicao_contratual!$Y162)+1)))),"",ROUND(itens_Remanesc!C162*$L$3/INDEX($L$2:$L$6,IFERROR(IF(ISNUMBER(INDEX(aditivos!$O$2:$O$200,MATCH($A162,aditivos!$A$2:$A$200,0))),MIN(INDEX(aditivos!$O$2:$O$200,MATCH($A162,aditivos!$A$2:$A$200,0)),posicao_contratual!$Y162),posicao_contratual!$Y162),posicao_contratual!$Y162)+1),2))))))</f>
        <v/>
      </c>
      <c r="E162" s="79" t="str">
        <f>IF(OR($A162="",posicao_contratual!$Y162=""),"",IF(posicao_contratual!$Y162&gt;2,"",IF(NOT(ISNUMBER(itens_Remanesc!C162)),"",IF(posicao_contratual!$Y162=2,IF(IFERROR(IF(ISNUMBER(INDEX(aditivos!$O$2:$O$200,MATCH($A162,aditivos!$A$2:$A$200,0))),MIN(INDEX(aditivos!$O$2:$O$200,MATCH($A162,aditivos!$A$2:$A$200,0)),posicao_contratual!$Y162),posicao_contratual!$Y162),posicao_contratual!$Y162)=2,itens_Remanesc!C162,IFERROR(ROUND(itens_Remanesc!C162*INDEX($L$2:$L$6,MIN(2+1,COUNT($L$2:$L$6)))/INDEX($L$2:$L$6,MIN(IFERROR(IF(ISNUMBER(INDEX(aditivos!$O$2:$O$200,MATCH($A162,aditivos!$A$2:$A$200,0))),MIN(INDEX(aditivos!$O$2:$O$200,MATCH($A162,aditivos!$A$2:$A$200,0)),posicao_contratual!$Y162),posicao_contratual!$Y162),posicao_contratual!$Y162)+1,COUNT($L$2:$L$6))),2),"")),IF(OR(NOT(ISNUMBER($L$4)),NOT(ISNUMBER(INDEX($L$2:$L$6,IFERROR(IF(ISNUMBER(INDEX(aditivos!$O$2:$O$200,MATCH($A162,aditivos!$A$2:$A$200,0))),MIN(INDEX(aditivos!$O$2:$O$200,MATCH($A162,aditivos!$A$2:$A$200,0)),posicao_contratual!$Y162),posicao_contratual!$Y162),posicao_contratual!$Y162)+1)))),"",ROUND(itens_Remanesc!C162*$L$4/INDEX($L$2:$L$6,IFERROR(IF(ISNUMBER(INDEX(aditivos!$O$2:$O$200,MATCH($A162,aditivos!$A$2:$A$200,0))),MIN(INDEX(aditivos!$O$2:$O$200,MATCH($A162,aditivos!$A$2:$A$200,0)),posicao_contratual!$Y162),posicao_contratual!$Y162),posicao_contratual!$Y162)+1),2))))))</f>
        <v/>
      </c>
      <c r="F162" s="79" t="str">
        <f>IF(OR($A162="",posicao_contratual!$Y162=""),"",IF(posicao_contratual!$Y162&gt;3,"",IF(NOT(ISNUMBER(itens_Remanesc!C162)),"",IF(posicao_contratual!$Y162=3,IF(IFERROR(IF(ISNUMBER(INDEX(aditivos!$O$2:$O$200,MATCH($A162,aditivos!$A$2:$A$200,0))),MIN(INDEX(aditivos!$O$2:$O$200,MATCH($A162,aditivos!$A$2:$A$200,0)),posicao_contratual!$Y162),posicao_contratual!$Y162),posicao_contratual!$Y162)=3,itens_Remanesc!C162,IFERROR(ROUND(itens_Remanesc!C162*INDEX($L$2:$L$6,MIN(3+1,COUNT($L$2:$L$6)))/INDEX($L$2:$L$6,MIN(IFERROR(IF(ISNUMBER(INDEX(aditivos!$O$2:$O$200,MATCH($A162,aditivos!$A$2:$A$200,0))),MIN(INDEX(aditivos!$O$2:$O$200,MATCH($A162,aditivos!$A$2:$A$200,0)),posicao_contratual!$Y162),posicao_contratual!$Y162),posicao_contratual!$Y162)+1,COUNT($L$2:$L$6))),2),"")),IF(OR(NOT(ISNUMBER($L$5)),NOT(ISNUMBER(INDEX($L$2:$L$6,IFERROR(IF(ISNUMBER(INDEX(aditivos!$O$2:$O$200,MATCH($A162,aditivos!$A$2:$A$200,0))),MIN(INDEX(aditivos!$O$2:$O$200,MATCH($A162,aditivos!$A$2:$A$200,0)),posicao_contratual!$Y162),posicao_contratual!$Y162),posicao_contratual!$Y162)+1)))),"",ROUND(itens_Remanesc!C162*$L$5/INDEX($L$2:$L$6,IFERROR(IF(ISNUMBER(INDEX(aditivos!$O$2:$O$200,MATCH($A162,aditivos!$A$2:$A$200,0))),MIN(INDEX(aditivos!$O$2:$O$200,MATCH($A162,aditivos!$A$2:$A$200,0)),posicao_contratual!$Y162),posicao_contratual!$Y162),posicao_contratual!$Y162)+1),2))))))</f>
        <v/>
      </c>
      <c r="G162" s="79" t="str">
        <f>IF(OR($A162="",posicao_contratual!$Y162=""),"",IF(posicao_contratual!$Y162&gt;4,"",IF(NOT(ISNUMBER(itens_Remanesc!C162)),"",IF(posicao_contratual!$Y162=4,IF(IFERROR(IF(ISNUMBER(INDEX(aditivos!$O$2:$O$200,MATCH($A162,aditivos!$A$2:$A$200,0))),MIN(INDEX(aditivos!$O$2:$O$200,MATCH($A162,aditivos!$A$2:$A$200,0)),posicao_contratual!$Y162),posicao_contratual!$Y162),posicao_contratual!$Y162)=4,itens_Remanesc!C162,IFERROR(ROUND(itens_Remanesc!C162*INDEX($L$2:$L$6,MIN(4+1,COUNT($L$2:$L$6)))/INDEX($L$2:$L$6,MIN(IFERROR(IF(ISNUMBER(INDEX(aditivos!$O$2:$O$200,MATCH($A162,aditivos!$A$2:$A$200,0))),MIN(INDEX(aditivos!$O$2:$O$200,MATCH($A162,aditivos!$A$2:$A$200,0)),posicao_contratual!$Y162),posicao_contratual!$Y162),posicao_contratual!$Y162)+1,COUNT($L$2:$L$6))),2),"")),IF(OR(NOT(ISNUMBER($L$6)),NOT(ISNUMBER(INDEX($L$2:$L$6,IFERROR(IF(ISNUMBER(INDEX(aditivos!$O$2:$O$200,MATCH($A162,aditivos!$A$2:$A$200,0))),MIN(INDEX(aditivos!$O$2:$O$200,MATCH($A162,aditivos!$A$2:$A$200,0)),posicao_contratual!$Y162),posicao_contratual!$Y162),posicao_contratual!$Y162)+1)))),"",ROUND(itens_Remanesc!C162*$L$6/INDEX($L$2:$L$6,IFERROR(IF(ISNUMBER(INDEX(aditivos!$O$2:$O$200,MATCH($A162,aditivos!$A$2:$A$200,0))),MIN(INDEX(aditivos!$O$2:$O$200,MATCH($A162,aditivos!$A$2:$A$200,0)),posicao_contratual!$Y162),posicao_contratual!$Y162),posicao_contratual!$Y162)+1),2))))))</f>
        <v/>
      </c>
      <c r="H162" s="116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47" t="str">
        <f>IF(A162="","",IF(posicao_contratual!$Y162="","",IF(posicao_contratual!$Y162&gt;0,"",posicao_contratual!E162)))</f>
        <v/>
      </c>
      <c r="O162" s="147" t="str">
        <f>IF(A162="","",IF(posicao_contratual!$Y162="","",IF(posicao_contratual!$Y162&gt;1,"",posicao_contratual!I162)))</f>
        <v/>
      </c>
      <c r="P162" s="147" t="str">
        <f>IF(A162="","",IF(posicao_contratual!$Y162="","",IF(posicao_contratual!$Y162&gt;2,"",posicao_contratual!M162)))</f>
        <v/>
      </c>
      <c r="Q162" s="147" t="str">
        <f>IF(A162="","",IF(posicao_contratual!$Y162="","",IF(posicao_contratual!$Y162&gt;3,"",posicao_contratual!Q162)))</f>
        <v/>
      </c>
      <c r="R162" s="147" t="str">
        <f>IF(A162="","",IF(posicao_contratual!$Y162="","",IF(posicao_contratual!$Y162&gt;4,"",posicao_contratual!U162)))</f>
        <v/>
      </c>
      <c r="S162" s="167" t="str">
        <f>IF(A162="","",posicao_contratual!G162)</f>
        <v/>
      </c>
      <c r="T162" s="167" t="str">
        <f>IF(A162="","",posicao_contratual!K162)</f>
        <v/>
      </c>
      <c r="U162" s="167" t="str">
        <f>IF(A162="","",posicao_contratual!O162)</f>
        <v/>
      </c>
      <c r="V162" s="167" t="str">
        <f>IF(A162="","",posicao_contratual!S162)</f>
        <v/>
      </c>
      <c r="W162" s="167" t="str">
        <f>IF(A162="","",posicao_contratual!W162)</f>
        <v/>
      </c>
    </row>
    <row r="163" spans="1:23" x14ac:dyDescent="0.35">
      <c r="A163" s="86" t="str">
        <f>IF(itens_Remanesc!A163="","",itens_Remanesc!A163)</f>
        <v/>
      </c>
      <c r="B163" s="85" t="str">
        <f>IF(A163="","",IF(posicao_contratual!$Y163="","",IF(posicao_contratual!$Y163&gt;0,"",posicao_contratual!G163)))</f>
        <v/>
      </c>
      <c r="C163" s="79" t="str">
        <f>IF(itens_Remanesc!A163="","",IF(posicao_contratual!$Y163="","",IF(posicao_contratual!$Y163&gt;0,"",itens_Remanesc!C163)))</f>
        <v/>
      </c>
      <c r="D163" s="79" t="str">
        <f>IF(OR($A163="",posicao_contratual!$Y163=""),"",IF(posicao_contratual!$Y163&gt;1,"",IF(NOT(ISNUMBER(itens_Remanesc!C163)),"",IF(posicao_contratual!$Y163=1,IF(IFERROR(IF(ISNUMBER(INDEX(aditivos!$O$2:$O$200,MATCH($A163,aditivos!$A$2:$A$200,0))),MIN(INDEX(aditivos!$O$2:$O$200,MATCH($A163,aditivos!$A$2:$A$200,0)),posicao_contratual!$Y163),posicao_contratual!$Y163),posicao_contratual!$Y163)=1,itens_Remanesc!C163,IFERROR(ROUND(itens_Remanesc!C163*INDEX($L$2:$L$6,MIN(1+1,COUNT($L$2:$L$6)))/INDEX($L$2:$L$6,MIN(IFERROR(IF(ISNUMBER(INDEX(aditivos!$O$2:$O$200,MATCH($A163,aditivos!$A$2:$A$200,0))),MIN(INDEX(aditivos!$O$2:$O$200,MATCH($A163,aditivos!$A$2:$A$200,0)),posicao_contratual!$Y163),posicao_contratual!$Y163),posicao_contratual!$Y163)+1,COUNT($L$2:$L$6))),2),"")),IF(OR(NOT(ISNUMBER($L$3)),NOT(ISNUMBER(INDEX($L$2:$L$6,IFERROR(IF(ISNUMBER(INDEX(aditivos!$O$2:$O$200,MATCH($A163,aditivos!$A$2:$A$200,0))),MIN(INDEX(aditivos!$O$2:$O$200,MATCH($A163,aditivos!$A$2:$A$200,0)),posicao_contratual!$Y163),posicao_contratual!$Y163),posicao_contratual!$Y163)+1)))),"",ROUND(itens_Remanesc!C163*$L$3/INDEX($L$2:$L$6,IFERROR(IF(ISNUMBER(INDEX(aditivos!$O$2:$O$200,MATCH($A163,aditivos!$A$2:$A$200,0))),MIN(INDEX(aditivos!$O$2:$O$200,MATCH($A163,aditivos!$A$2:$A$200,0)),posicao_contratual!$Y163),posicao_contratual!$Y163),posicao_contratual!$Y163)+1),2))))))</f>
        <v/>
      </c>
      <c r="E163" s="79" t="str">
        <f>IF(OR($A163="",posicao_contratual!$Y163=""),"",IF(posicao_contratual!$Y163&gt;2,"",IF(NOT(ISNUMBER(itens_Remanesc!C163)),"",IF(posicao_contratual!$Y163=2,IF(IFERROR(IF(ISNUMBER(INDEX(aditivos!$O$2:$O$200,MATCH($A163,aditivos!$A$2:$A$200,0))),MIN(INDEX(aditivos!$O$2:$O$200,MATCH($A163,aditivos!$A$2:$A$200,0)),posicao_contratual!$Y163),posicao_contratual!$Y163),posicao_contratual!$Y163)=2,itens_Remanesc!C163,IFERROR(ROUND(itens_Remanesc!C163*INDEX($L$2:$L$6,MIN(2+1,COUNT($L$2:$L$6)))/INDEX($L$2:$L$6,MIN(IFERROR(IF(ISNUMBER(INDEX(aditivos!$O$2:$O$200,MATCH($A163,aditivos!$A$2:$A$200,0))),MIN(INDEX(aditivos!$O$2:$O$200,MATCH($A163,aditivos!$A$2:$A$200,0)),posicao_contratual!$Y163),posicao_contratual!$Y163),posicao_contratual!$Y163)+1,COUNT($L$2:$L$6))),2),"")),IF(OR(NOT(ISNUMBER($L$4)),NOT(ISNUMBER(INDEX($L$2:$L$6,IFERROR(IF(ISNUMBER(INDEX(aditivos!$O$2:$O$200,MATCH($A163,aditivos!$A$2:$A$200,0))),MIN(INDEX(aditivos!$O$2:$O$200,MATCH($A163,aditivos!$A$2:$A$200,0)),posicao_contratual!$Y163),posicao_contratual!$Y163),posicao_contratual!$Y163)+1)))),"",ROUND(itens_Remanesc!C163*$L$4/INDEX($L$2:$L$6,IFERROR(IF(ISNUMBER(INDEX(aditivos!$O$2:$O$200,MATCH($A163,aditivos!$A$2:$A$200,0))),MIN(INDEX(aditivos!$O$2:$O$200,MATCH($A163,aditivos!$A$2:$A$200,0)),posicao_contratual!$Y163),posicao_contratual!$Y163),posicao_contratual!$Y163)+1),2))))))</f>
        <v/>
      </c>
      <c r="F163" s="79" t="str">
        <f>IF(OR($A163="",posicao_contratual!$Y163=""),"",IF(posicao_contratual!$Y163&gt;3,"",IF(NOT(ISNUMBER(itens_Remanesc!C163)),"",IF(posicao_contratual!$Y163=3,IF(IFERROR(IF(ISNUMBER(INDEX(aditivos!$O$2:$O$200,MATCH($A163,aditivos!$A$2:$A$200,0))),MIN(INDEX(aditivos!$O$2:$O$200,MATCH($A163,aditivos!$A$2:$A$200,0)),posicao_contratual!$Y163),posicao_contratual!$Y163),posicao_contratual!$Y163)=3,itens_Remanesc!C163,IFERROR(ROUND(itens_Remanesc!C163*INDEX($L$2:$L$6,MIN(3+1,COUNT($L$2:$L$6)))/INDEX($L$2:$L$6,MIN(IFERROR(IF(ISNUMBER(INDEX(aditivos!$O$2:$O$200,MATCH($A163,aditivos!$A$2:$A$200,0))),MIN(INDEX(aditivos!$O$2:$O$200,MATCH($A163,aditivos!$A$2:$A$200,0)),posicao_contratual!$Y163),posicao_contratual!$Y163),posicao_contratual!$Y163)+1,COUNT($L$2:$L$6))),2),"")),IF(OR(NOT(ISNUMBER($L$5)),NOT(ISNUMBER(INDEX($L$2:$L$6,IFERROR(IF(ISNUMBER(INDEX(aditivos!$O$2:$O$200,MATCH($A163,aditivos!$A$2:$A$200,0))),MIN(INDEX(aditivos!$O$2:$O$200,MATCH($A163,aditivos!$A$2:$A$200,0)),posicao_contratual!$Y163),posicao_contratual!$Y163),posicao_contratual!$Y163)+1)))),"",ROUND(itens_Remanesc!C163*$L$5/INDEX($L$2:$L$6,IFERROR(IF(ISNUMBER(INDEX(aditivos!$O$2:$O$200,MATCH($A163,aditivos!$A$2:$A$200,0))),MIN(INDEX(aditivos!$O$2:$O$200,MATCH($A163,aditivos!$A$2:$A$200,0)),posicao_contratual!$Y163),posicao_contratual!$Y163),posicao_contratual!$Y163)+1),2))))))</f>
        <v/>
      </c>
      <c r="G163" s="79" t="str">
        <f>IF(OR($A163="",posicao_contratual!$Y163=""),"",IF(posicao_contratual!$Y163&gt;4,"",IF(NOT(ISNUMBER(itens_Remanesc!C163)),"",IF(posicao_contratual!$Y163=4,IF(IFERROR(IF(ISNUMBER(INDEX(aditivos!$O$2:$O$200,MATCH($A163,aditivos!$A$2:$A$200,0))),MIN(INDEX(aditivos!$O$2:$O$200,MATCH($A163,aditivos!$A$2:$A$200,0)),posicao_contratual!$Y163),posicao_contratual!$Y163),posicao_contratual!$Y163)=4,itens_Remanesc!C163,IFERROR(ROUND(itens_Remanesc!C163*INDEX($L$2:$L$6,MIN(4+1,COUNT($L$2:$L$6)))/INDEX($L$2:$L$6,MIN(IFERROR(IF(ISNUMBER(INDEX(aditivos!$O$2:$O$200,MATCH($A163,aditivos!$A$2:$A$200,0))),MIN(INDEX(aditivos!$O$2:$O$200,MATCH($A163,aditivos!$A$2:$A$200,0)),posicao_contratual!$Y163),posicao_contratual!$Y163),posicao_contratual!$Y163)+1,COUNT($L$2:$L$6))),2),"")),IF(OR(NOT(ISNUMBER($L$6)),NOT(ISNUMBER(INDEX($L$2:$L$6,IFERROR(IF(ISNUMBER(INDEX(aditivos!$O$2:$O$200,MATCH($A163,aditivos!$A$2:$A$200,0))),MIN(INDEX(aditivos!$O$2:$O$200,MATCH($A163,aditivos!$A$2:$A$200,0)),posicao_contratual!$Y163),posicao_contratual!$Y163),posicao_contratual!$Y163)+1)))),"",ROUND(itens_Remanesc!C163*$L$6/INDEX($L$2:$L$6,IFERROR(IF(ISNUMBER(INDEX(aditivos!$O$2:$O$200,MATCH($A163,aditivos!$A$2:$A$200,0))),MIN(INDEX(aditivos!$O$2:$O$200,MATCH($A163,aditivos!$A$2:$A$200,0)),posicao_contratual!$Y163),posicao_contratual!$Y163),posicao_contratual!$Y163)+1),2))))))</f>
        <v/>
      </c>
      <c r="H163" s="116" t="str">
        <f t="shared" si="5"/>
        <v/>
      </c>
      <c r="I163" s="13"/>
      <c r="J163" s="13"/>
      <c r="K163" s="13"/>
      <c r="L163" s="13"/>
      <c r="M163" s="13"/>
      <c r="N163" s="147" t="str">
        <f>IF(A163="","",IF(posicao_contratual!$Y163="","",IF(posicao_contratual!$Y163&gt;0,"",posicao_contratual!E163)))</f>
        <v/>
      </c>
      <c r="O163" s="147" t="str">
        <f>IF(A163="","",IF(posicao_contratual!$Y163="","",IF(posicao_contratual!$Y163&gt;1,"",posicao_contratual!I163)))</f>
        <v/>
      </c>
      <c r="P163" s="147" t="str">
        <f>IF(A163="","",IF(posicao_contratual!$Y163="","",IF(posicao_contratual!$Y163&gt;2,"",posicao_contratual!M163)))</f>
        <v/>
      </c>
      <c r="Q163" s="147" t="str">
        <f>IF(A163="","",IF(posicao_contratual!$Y163="","",IF(posicao_contratual!$Y163&gt;3,"",posicao_contratual!Q163)))</f>
        <v/>
      </c>
      <c r="R163" s="147" t="str">
        <f>IF(A163="","",IF(posicao_contratual!$Y163="","",IF(posicao_contratual!$Y163&gt;4,"",posicao_contratual!U163)))</f>
        <v/>
      </c>
      <c r="S163" s="167" t="str">
        <f>IF(A163="","",posicao_contratual!G163)</f>
        <v/>
      </c>
      <c r="T163" s="167" t="str">
        <f>IF(A163="","",posicao_contratual!K163)</f>
        <v/>
      </c>
      <c r="U163" s="167" t="str">
        <f>IF(A163="","",posicao_contratual!O163)</f>
        <v/>
      </c>
      <c r="V163" s="167" t="str">
        <f>IF(A163="","",posicao_contratual!S163)</f>
        <v/>
      </c>
      <c r="W163" s="167" t="str">
        <f>IF(A163="","",posicao_contratual!W163)</f>
        <v/>
      </c>
    </row>
    <row r="164" spans="1:23" x14ac:dyDescent="0.35">
      <c r="A164" s="86" t="str">
        <f>IF(itens_Remanesc!A164="","",itens_Remanesc!A164)</f>
        <v/>
      </c>
      <c r="B164" s="85" t="str">
        <f>IF(A164="","",IF(posicao_contratual!$Y164="","",IF(posicao_contratual!$Y164&gt;0,"",posicao_contratual!G164)))</f>
        <v/>
      </c>
      <c r="C164" s="79" t="str">
        <f>IF(itens_Remanesc!A164="","",IF(posicao_contratual!$Y164="","",IF(posicao_contratual!$Y164&gt;0,"",itens_Remanesc!C164)))</f>
        <v/>
      </c>
      <c r="D164" s="79" t="str">
        <f>IF(OR($A164="",posicao_contratual!$Y164=""),"",IF(posicao_contratual!$Y164&gt;1,"",IF(NOT(ISNUMBER(itens_Remanesc!C164)),"",IF(posicao_contratual!$Y164=1,IF(IFERROR(IF(ISNUMBER(INDEX(aditivos!$O$2:$O$200,MATCH($A164,aditivos!$A$2:$A$200,0))),MIN(INDEX(aditivos!$O$2:$O$200,MATCH($A164,aditivos!$A$2:$A$200,0)),posicao_contratual!$Y164),posicao_contratual!$Y164),posicao_contratual!$Y164)=1,itens_Remanesc!C164,IFERROR(ROUND(itens_Remanesc!C164*INDEX($L$2:$L$6,MIN(1+1,COUNT($L$2:$L$6)))/INDEX($L$2:$L$6,MIN(IFERROR(IF(ISNUMBER(INDEX(aditivos!$O$2:$O$200,MATCH($A164,aditivos!$A$2:$A$200,0))),MIN(INDEX(aditivos!$O$2:$O$200,MATCH($A164,aditivos!$A$2:$A$200,0)),posicao_contratual!$Y164),posicao_contratual!$Y164),posicao_contratual!$Y164)+1,COUNT($L$2:$L$6))),2),"")),IF(OR(NOT(ISNUMBER($L$3)),NOT(ISNUMBER(INDEX($L$2:$L$6,IFERROR(IF(ISNUMBER(INDEX(aditivos!$O$2:$O$200,MATCH($A164,aditivos!$A$2:$A$200,0))),MIN(INDEX(aditivos!$O$2:$O$200,MATCH($A164,aditivos!$A$2:$A$200,0)),posicao_contratual!$Y164),posicao_contratual!$Y164),posicao_contratual!$Y164)+1)))),"",ROUND(itens_Remanesc!C164*$L$3/INDEX($L$2:$L$6,IFERROR(IF(ISNUMBER(INDEX(aditivos!$O$2:$O$200,MATCH($A164,aditivos!$A$2:$A$200,0))),MIN(INDEX(aditivos!$O$2:$O$200,MATCH($A164,aditivos!$A$2:$A$200,0)),posicao_contratual!$Y164),posicao_contratual!$Y164),posicao_contratual!$Y164)+1),2))))))</f>
        <v/>
      </c>
      <c r="E164" s="79" t="str">
        <f>IF(OR($A164="",posicao_contratual!$Y164=""),"",IF(posicao_contratual!$Y164&gt;2,"",IF(NOT(ISNUMBER(itens_Remanesc!C164)),"",IF(posicao_contratual!$Y164=2,IF(IFERROR(IF(ISNUMBER(INDEX(aditivos!$O$2:$O$200,MATCH($A164,aditivos!$A$2:$A$200,0))),MIN(INDEX(aditivos!$O$2:$O$200,MATCH($A164,aditivos!$A$2:$A$200,0)),posicao_contratual!$Y164),posicao_contratual!$Y164),posicao_contratual!$Y164)=2,itens_Remanesc!C164,IFERROR(ROUND(itens_Remanesc!C164*INDEX($L$2:$L$6,MIN(2+1,COUNT($L$2:$L$6)))/INDEX($L$2:$L$6,MIN(IFERROR(IF(ISNUMBER(INDEX(aditivos!$O$2:$O$200,MATCH($A164,aditivos!$A$2:$A$200,0))),MIN(INDEX(aditivos!$O$2:$O$200,MATCH($A164,aditivos!$A$2:$A$200,0)),posicao_contratual!$Y164),posicao_contratual!$Y164),posicao_contratual!$Y164)+1,COUNT($L$2:$L$6))),2),"")),IF(OR(NOT(ISNUMBER($L$4)),NOT(ISNUMBER(INDEX($L$2:$L$6,IFERROR(IF(ISNUMBER(INDEX(aditivos!$O$2:$O$200,MATCH($A164,aditivos!$A$2:$A$200,0))),MIN(INDEX(aditivos!$O$2:$O$200,MATCH($A164,aditivos!$A$2:$A$200,0)),posicao_contratual!$Y164),posicao_contratual!$Y164),posicao_contratual!$Y164)+1)))),"",ROUND(itens_Remanesc!C164*$L$4/INDEX($L$2:$L$6,IFERROR(IF(ISNUMBER(INDEX(aditivos!$O$2:$O$200,MATCH($A164,aditivos!$A$2:$A$200,0))),MIN(INDEX(aditivos!$O$2:$O$200,MATCH($A164,aditivos!$A$2:$A$200,0)),posicao_contratual!$Y164),posicao_contratual!$Y164),posicao_contratual!$Y164)+1),2))))))</f>
        <v/>
      </c>
      <c r="F164" s="79" t="str">
        <f>IF(OR($A164="",posicao_contratual!$Y164=""),"",IF(posicao_contratual!$Y164&gt;3,"",IF(NOT(ISNUMBER(itens_Remanesc!C164)),"",IF(posicao_contratual!$Y164=3,IF(IFERROR(IF(ISNUMBER(INDEX(aditivos!$O$2:$O$200,MATCH($A164,aditivos!$A$2:$A$200,0))),MIN(INDEX(aditivos!$O$2:$O$200,MATCH($A164,aditivos!$A$2:$A$200,0)),posicao_contratual!$Y164),posicao_contratual!$Y164),posicao_contratual!$Y164)=3,itens_Remanesc!C164,IFERROR(ROUND(itens_Remanesc!C164*INDEX($L$2:$L$6,MIN(3+1,COUNT($L$2:$L$6)))/INDEX($L$2:$L$6,MIN(IFERROR(IF(ISNUMBER(INDEX(aditivos!$O$2:$O$200,MATCH($A164,aditivos!$A$2:$A$200,0))),MIN(INDEX(aditivos!$O$2:$O$200,MATCH($A164,aditivos!$A$2:$A$200,0)),posicao_contratual!$Y164),posicao_contratual!$Y164),posicao_contratual!$Y164)+1,COUNT($L$2:$L$6))),2),"")),IF(OR(NOT(ISNUMBER($L$5)),NOT(ISNUMBER(INDEX($L$2:$L$6,IFERROR(IF(ISNUMBER(INDEX(aditivos!$O$2:$O$200,MATCH($A164,aditivos!$A$2:$A$200,0))),MIN(INDEX(aditivos!$O$2:$O$200,MATCH($A164,aditivos!$A$2:$A$200,0)),posicao_contratual!$Y164),posicao_contratual!$Y164),posicao_contratual!$Y164)+1)))),"",ROUND(itens_Remanesc!C164*$L$5/INDEX($L$2:$L$6,IFERROR(IF(ISNUMBER(INDEX(aditivos!$O$2:$O$200,MATCH($A164,aditivos!$A$2:$A$200,0))),MIN(INDEX(aditivos!$O$2:$O$200,MATCH($A164,aditivos!$A$2:$A$200,0)),posicao_contratual!$Y164),posicao_contratual!$Y164),posicao_contratual!$Y164)+1),2))))))</f>
        <v/>
      </c>
      <c r="G164" s="79" t="str">
        <f>IF(OR($A164="",posicao_contratual!$Y164=""),"",IF(posicao_contratual!$Y164&gt;4,"",IF(NOT(ISNUMBER(itens_Remanesc!C164)),"",IF(posicao_contratual!$Y164=4,IF(IFERROR(IF(ISNUMBER(INDEX(aditivos!$O$2:$O$200,MATCH($A164,aditivos!$A$2:$A$200,0))),MIN(INDEX(aditivos!$O$2:$O$200,MATCH($A164,aditivos!$A$2:$A$200,0)),posicao_contratual!$Y164),posicao_contratual!$Y164),posicao_contratual!$Y164)=4,itens_Remanesc!C164,IFERROR(ROUND(itens_Remanesc!C164*INDEX($L$2:$L$6,MIN(4+1,COUNT($L$2:$L$6)))/INDEX($L$2:$L$6,MIN(IFERROR(IF(ISNUMBER(INDEX(aditivos!$O$2:$O$200,MATCH($A164,aditivos!$A$2:$A$200,0))),MIN(INDEX(aditivos!$O$2:$O$200,MATCH($A164,aditivos!$A$2:$A$200,0)),posicao_contratual!$Y164),posicao_contratual!$Y164),posicao_contratual!$Y164)+1,COUNT($L$2:$L$6))),2),"")),IF(OR(NOT(ISNUMBER($L$6)),NOT(ISNUMBER(INDEX($L$2:$L$6,IFERROR(IF(ISNUMBER(INDEX(aditivos!$O$2:$O$200,MATCH($A164,aditivos!$A$2:$A$200,0))),MIN(INDEX(aditivos!$O$2:$O$200,MATCH($A164,aditivos!$A$2:$A$200,0)),posicao_contratual!$Y164),posicao_contratual!$Y164),posicao_contratual!$Y164)+1)))),"",ROUND(itens_Remanesc!C164*$L$6/INDEX($L$2:$L$6,IFERROR(IF(ISNUMBER(INDEX(aditivos!$O$2:$O$200,MATCH($A164,aditivos!$A$2:$A$200,0))),MIN(INDEX(aditivos!$O$2:$O$200,MATCH($A164,aditivos!$A$2:$A$200,0)),posicao_contratual!$Y164),posicao_contratual!$Y164),posicao_contratual!$Y164)+1),2))))))</f>
        <v/>
      </c>
      <c r="H164" s="116" t="str">
        <f t="shared" si="5"/>
        <v/>
      </c>
      <c r="I164" s="13"/>
      <c r="J164" s="13"/>
      <c r="K164" s="13"/>
      <c r="L164" s="13"/>
      <c r="M164" s="13"/>
      <c r="N164" s="147" t="str">
        <f>IF(A164="","",IF(posicao_contratual!$Y164="","",IF(posicao_contratual!$Y164&gt;0,"",posicao_contratual!E164)))</f>
        <v/>
      </c>
      <c r="O164" s="147" t="str">
        <f>IF(A164="","",IF(posicao_contratual!$Y164="","",IF(posicao_contratual!$Y164&gt;1,"",posicao_contratual!I164)))</f>
        <v/>
      </c>
      <c r="P164" s="147" t="str">
        <f>IF(A164="","",IF(posicao_contratual!$Y164="","",IF(posicao_contratual!$Y164&gt;2,"",posicao_contratual!M164)))</f>
        <v/>
      </c>
      <c r="Q164" s="147" t="str">
        <f>IF(A164="","",IF(posicao_contratual!$Y164="","",IF(posicao_contratual!$Y164&gt;3,"",posicao_contratual!Q164)))</f>
        <v/>
      </c>
      <c r="R164" s="147" t="str">
        <f>IF(A164="","",IF(posicao_contratual!$Y164="","",IF(posicao_contratual!$Y164&gt;4,"",posicao_contratual!U164)))</f>
        <v/>
      </c>
      <c r="S164" s="167" t="str">
        <f>IF(A164="","",posicao_contratual!G164)</f>
        <v/>
      </c>
      <c r="T164" s="167" t="str">
        <f>IF(A164="","",posicao_contratual!K164)</f>
        <v/>
      </c>
      <c r="U164" s="167" t="str">
        <f>IF(A164="","",posicao_contratual!O164)</f>
        <v/>
      </c>
      <c r="V164" s="167" t="str">
        <f>IF(A164="","",posicao_contratual!S164)</f>
        <v/>
      </c>
      <c r="W164" s="167" t="str">
        <f>IF(A164="","",posicao_contratual!W164)</f>
        <v/>
      </c>
    </row>
    <row r="165" spans="1:23" x14ac:dyDescent="0.35">
      <c r="A165" s="86" t="str">
        <f>IF(itens_Remanesc!A165="","",itens_Remanesc!A165)</f>
        <v/>
      </c>
      <c r="B165" s="85" t="str">
        <f>IF(A165="","",IF(posicao_contratual!$Y165="","",IF(posicao_contratual!$Y165&gt;0,"",posicao_contratual!G165)))</f>
        <v/>
      </c>
      <c r="C165" s="79" t="str">
        <f>IF(itens_Remanesc!A165="","",IF(posicao_contratual!$Y165="","",IF(posicao_contratual!$Y165&gt;0,"",itens_Remanesc!C165)))</f>
        <v/>
      </c>
      <c r="D165" s="79" t="str">
        <f>IF(OR($A165="",posicao_contratual!$Y165=""),"",IF(posicao_contratual!$Y165&gt;1,"",IF(NOT(ISNUMBER(itens_Remanesc!C165)),"",IF(posicao_contratual!$Y165=1,IF(IFERROR(IF(ISNUMBER(INDEX(aditivos!$O$2:$O$200,MATCH($A165,aditivos!$A$2:$A$200,0))),MIN(INDEX(aditivos!$O$2:$O$200,MATCH($A165,aditivos!$A$2:$A$200,0)),posicao_contratual!$Y165),posicao_contratual!$Y165),posicao_contratual!$Y165)=1,itens_Remanesc!C165,IFERROR(ROUND(itens_Remanesc!C165*INDEX($L$2:$L$6,MIN(1+1,COUNT($L$2:$L$6)))/INDEX($L$2:$L$6,MIN(IFERROR(IF(ISNUMBER(INDEX(aditivos!$O$2:$O$200,MATCH($A165,aditivos!$A$2:$A$200,0))),MIN(INDEX(aditivos!$O$2:$O$200,MATCH($A165,aditivos!$A$2:$A$200,0)),posicao_contratual!$Y165),posicao_contratual!$Y165),posicao_contratual!$Y165)+1,COUNT($L$2:$L$6))),2),"")),IF(OR(NOT(ISNUMBER($L$3)),NOT(ISNUMBER(INDEX($L$2:$L$6,IFERROR(IF(ISNUMBER(INDEX(aditivos!$O$2:$O$200,MATCH($A165,aditivos!$A$2:$A$200,0))),MIN(INDEX(aditivos!$O$2:$O$200,MATCH($A165,aditivos!$A$2:$A$200,0)),posicao_contratual!$Y165),posicao_contratual!$Y165),posicao_contratual!$Y165)+1)))),"",ROUND(itens_Remanesc!C165*$L$3/INDEX($L$2:$L$6,IFERROR(IF(ISNUMBER(INDEX(aditivos!$O$2:$O$200,MATCH($A165,aditivos!$A$2:$A$200,0))),MIN(INDEX(aditivos!$O$2:$O$200,MATCH($A165,aditivos!$A$2:$A$200,0)),posicao_contratual!$Y165),posicao_contratual!$Y165),posicao_contratual!$Y165)+1),2))))))</f>
        <v/>
      </c>
      <c r="E165" s="79" t="str">
        <f>IF(OR($A165="",posicao_contratual!$Y165=""),"",IF(posicao_contratual!$Y165&gt;2,"",IF(NOT(ISNUMBER(itens_Remanesc!C165)),"",IF(posicao_contratual!$Y165=2,IF(IFERROR(IF(ISNUMBER(INDEX(aditivos!$O$2:$O$200,MATCH($A165,aditivos!$A$2:$A$200,0))),MIN(INDEX(aditivos!$O$2:$O$200,MATCH($A165,aditivos!$A$2:$A$200,0)),posicao_contratual!$Y165),posicao_contratual!$Y165),posicao_contratual!$Y165)=2,itens_Remanesc!C165,IFERROR(ROUND(itens_Remanesc!C165*INDEX($L$2:$L$6,MIN(2+1,COUNT($L$2:$L$6)))/INDEX($L$2:$L$6,MIN(IFERROR(IF(ISNUMBER(INDEX(aditivos!$O$2:$O$200,MATCH($A165,aditivos!$A$2:$A$200,0))),MIN(INDEX(aditivos!$O$2:$O$200,MATCH($A165,aditivos!$A$2:$A$200,0)),posicao_contratual!$Y165),posicao_contratual!$Y165),posicao_contratual!$Y165)+1,COUNT($L$2:$L$6))),2),"")),IF(OR(NOT(ISNUMBER($L$4)),NOT(ISNUMBER(INDEX($L$2:$L$6,IFERROR(IF(ISNUMBER(INDEX(aditivos!$O$2:$O$200,MATCH($A165,aditivos!$A$2:$A$200,0))),MIN(INDEX(aditivos!$O$2:$O$200,MATCH($A165,aditivos!$A$2:$A$200,0)),posicao_contratual!$Y165),posicao_contratual!$Y165),posicao_contratual!$Y165)+1)))),"",ROUND(itens_Remanesc!C165*$L$4/INDEX($L$2:$L$6,IFERROR(IF(ISNUMBER(INDEX(aditivos!$O$2:$O$200,MATCH($A165,aditivos!$A$2:$A$200,0))),MIN(INDEX(aditivos!$O$2:$O$200,MATCH($A165,aditivos!$A$2:$A$200,0)),posicao_contratual!$Y165),posicao_contratual!$Y165),posicao_contratual!$Y165)+1),2))))))</f>
        <v/>
      </c>
      <c r="F165" s="79" t="str">
        <f>IF(OR($A165="",posicao_contratual!$Y165=""),"",IF(posicao_contratual!$Y165&gt;3,"",IF(NOT(ISNUMBER(itens_Remanesc!C165)),"",IF(posicao_contratual!$Y165=3,IF(IFERROR(IF(ISNUMBER(INDEX(aditivos!$O$2:$O$200,MATCH($A165,aditivos!$A$2:$A$200,0))),MIN(INDEX(aditivos!$O$2:$O$200,MATCH($A165,aditivos!$A$2:$A$200,0)),posicao_contratual!$Y165),posicao_contratual!$Y165),posicao_contratual!$Y165)=3,itens_Remanesc!C165,IFERROR(ROUND(itens_Remanesc!C165*INDEX($L$2:$L$6,MIN(3+1,COUNT($L$2:$L$6)))/INDEX($L$2:$L$6,MIN(IFERROR(IF(ISNUMBER(INDEX(aditivos!$O$2:$O$200,MATCH($A165,aditivos!$A$2:$A$200,0))),MIN(INDEX(aditivos!$O$2:$O$200,MATCH($A165,aditivos!$A$2:$A$200,0)),posicao_contratual!$Y165),posicao_contratual!$Y165),posicao_contratual!$Y165)+1,COUNT($L$2:$L$6))),2),"")),IF(OR(NOT(ISNUMBER($L$5)),NOT(ISNUMBER(INDEX($L$2:$L$6,IFERROR(IF(ISNUMBER(INDEX(aditivos!$O$2:$O$200,MATCH($A165,aditivos!$A$2:$A$200,0))),MIN(INDEX(aditivos!$O$2:$O$200,MATCH($A165,aditivos!$A$2:$A$200,0)),posicao_contratual!$Y165),posicao_contratual!$Y165),posicao_contratual!$Y165)+1)))),"",ROUND(itens_Remanesc!C165*$L$5/INDEX($L$2:$L$6,IFERROR(IF(ISNUMBER(INDEX(aditivos!$O$2:$O$200,MATCH($A165,aditivos!$A$2:$A$200,0))),MIN(INDEX(aditivos!$O$2:$O$200,MATCH($A165,aditivos!$A$2:$A$200,0)),posicao_contratual!$Y165),posicao_contratual!$Y165),posicao_contratual!$Y165)+1),2))))))</f>
        <v/>
      </c>
      <c r="G165" s="79" t="str">
        <f>IF(OR($A165="",posicao_contratual!$Y165=""),"",IF(posicao_contratual!$Y165&gt;4,"",IF(NOT(ISNUMBER(itens_Remanesc!C165)),"",IF(posicao_contratual!$Y165=4,IF(IFERROR(IF(ISNUMBER(INDEX(aditivos!$O$2:$O$200,MATCH($A165,aditivos!$A$2:$A$200,0))),MIN(INDEX(aditivos!$O$2:$O$200,MATCH($A165,aditivos!$A$2:$A$200,0)),posicao_contratual!$Y165),posicao_contratual!$Y165),posicao_contratual!$Y165)=4,itens_Remanesc!C165,IFERROR(ROUND(itens_Remanesc!C165*INDEX($L$2:$L$6,MIN(4+1,COUNT($L$2:$L$6)))/INDEX($L$2:$L$6,MIN(IFERROR(IF(ISNUMBER(INDEX(aditivos!$O$2:$O$200,MATCH($A165,aditivos!$A$2:$A$200,0))),MIN(INDEX(aditivos!$O$2:$O$200,MATCH($A165,aditivos!$A$2:$A$200,0)),posicao_contratual!$Y165),posicao_contratual!$Y165),posicao_contratual!$Y165)+1,COUNT($L$2:$L$6))),2),"")),IF(OR(NOT(ISNUMBER($L$6)),NOT(ISNUMBER(INDEX($L$2:$L$6,IFERROR(IF(ISNUMBER(INDEX(aditivos!$O$2:$O$200,MATCH($A165,aditivos!$A$2:$A$200,0))),MIN(INDEX(aditivos!$O$2:$O$200,MATCH($A165,aditivos!$A$2:$A$200,0)),posicao_contratual!$Y165),posicao_contratual!$Y165),posicao_contratual!$Y165)+1)))),"",ROUND(itens_Remanesc!C165*$L$6/INDEX($L$2:$L$6,IFERROR(IF(ISNUMBER(INDEX(aditivos!$O$2:$O$200,MATCH($A165,aditivos!$A$2:$A$200,0))),MIN(INDEX(aditivos!$O$2:$O$200,MATCH($A165,aditivos!$A$2:$A$200,0)),posicao_contratual!$Y165),posicao_contratual!$Y165),posicao_contratual!$Y165)+1),2))))))</f>
        <v/>
      </c>
      <c r="H165" s="116" t="str">
        <f t="shared" si="5"/>
        <v/>
      </c>
      <c r="I165" s="13"/>
      <c r="J165" s="13"/>
      <c r="K165" s="13"/>
      <c r="L165" s="13"/>
      <c r="M165" s="13"/>
      <c r="N165" s="147" t="str">
        <f>IF(A165="","",IF(posicao_contratual!$Y165="","",IF(posicao_contratual!$Y165&gt;0,"",posicao_contratual!E165)))</f>
        <v/>
      </c>
      <c r="O165" s="147" t="str">
        <f>IF(A165="","",IF(posicao_contratual!$Y165="","",IF(posicao_contratual!$Y165&gt;1,"",posicao_contratual!I165)))</f>
        <v/>
      </c>
      <c r="P165" s="147" t="str">
        <f>IF(A165="","",IF(posicao_contratual!$Y165="","",IF(posicao_contratual!$Y165&gt;2,"",posicao_contratual!M165)))</f>
        <v/>
      </c>
      <c r="Q165" s="147" t="str">
        <f>IF(A165="","",IF(posicao_contratual!$Y165="","",IF(posicao_contratual!$Y165&gt;3,"",posicao_contratual!Q165)))</f>
        <v/>
      </c>
      <c r="R165" s="147" t="str">
        <f>IF(A165="","",IF(posicao_contratual!$Y165="","",IF(posicao_contratual!$Y165&gt;4,"",posicao_contratual!U165)))</f>
        <v/>
      </c>
      <c r="S165" s="167" t="str">
        <f>IF(A165="","",posicao_contratual!G165)</f>
        <v/>
      </c>
      <c r="T165" s="167" t="str">
        <f>IF(A165="","",posicao_contratual!K165)</f>
        <v/>
      </c>
      <c r="U165" s="167" t="str">
        <f>IF(A165="","",posicao_contratual!O165)</f>
        <v/>
      </c>
      <c r="V165" s="167" t="str">
        <f>IF(A165="","",posicao_contratual!S165)</f>
        <v/>
      </c>
      <c r="W165" s="167" t="str">
        <f>IF(A165="","",posicao_contratual!W165)</f>
        <v/>
      </c>
    </row>
    <row r="166" spans="1:23" x14ac:dyDescent="0.35">
      <c r="A166" s="86" t="str">
        <f>IF(itens_Remanesc!A166="","",itens_Remanesc!A166)</f>
        <v/>
      </c>
      <c r="B166" s="85" t="str">
        <f>IF(A166="","",IF(posicao_contratual!$Y166="","",IF(posicao_contratual!$Y166&gt;0,"",posicao_contratual!G166)))</f>
        <v/>
      </c>
      <c r="C166" s="79" t="str">
        <f>IF(itens_Remanesc!A166="","",IF(posicao_contratual!$Y166="","",IF(posicao_contratual!$Y166&gt;0,"",itens_Remanesc!C166)))</f>
        <v/>
      </c>
      <c r="D166" s="79" t="str">
        <f>IF(OR($A166="",posicao_contratual!$Y166=""),"",IF(posicao_contratual!$Y166&gt;1,"",IF(NOT(ISNUMBER(itens_Remanesc!C166)),"",IF(posicao_contratual!$Y166=1,IF(IFERROR(IF(ISNUMBER(INDEX(aditivos!$O$2:$O$200,MATCH($A166,aditivos!$A$2:$A$200,0))),MIN(INDEX(aditivos!$O$2:$O$200,MATCH($A166,aditivos!$A$2:$A$200,0)),posicao_contratual!$Y166),posicao_contratual!$Y166),posicao_contratual!$Y166)=1,itens_Remanesc!C166,IFERROR(ROUND(itens_Remanesc!C166*INDEX($L$2:$L$6,MIN(1+1,COUNT($L$2:$L$6)))/INDEX($L$2:$L$6,MIN(IFERROR(IF(ISNUMBER(INDEX(aditivos!$O$2:$O$200,MATCH($A166,aditivos!$A$2:$A$200,0))),MIN(INDEX(aditivos!$O$2:$O$200,MATCH($A166,aditivos!$A$2:$A$200,0)),posicao_contratual!$Y166),posicao_contratual!$Y166),posicao_contratual!$Y166)+1,COUNT($L$2:$L$6))),2),"")),IF(OR(NOT(ISNUMBER($L$3)),NOT(ISNUMBER(INDEX($L$2:$L$6,IFERROR(IF(ISNUMBER(INDEX(aditivos!$O$2:$O$200,MATCH($A166,aditivos!$A$2:$A$200,0))),MIN(INDEX(aditivos!$O$2:$O$200,MATCH($A166,aditivos!$A$2:$A$200,0)),posicao_contratual!$Y166),posicao_contratual!$Y166),posicao_contratual!$Y166)+1)))),"",ROUND(itens_Remanesc!C166*$L$3/INDEX($L$2:$L$6,IFERROR(IF(ISNUMBER(INDEX(aditivos!$O$2:$O$200,MATCH($A166,aditivos!$A$2:$A$200,0))),MIN(INDEX(aditivos!$O$2:$O$200,MATCH($A166,aditivos!$A$2:$A$200,0)),posicao_contratual!$Y166),posicao_contratual!$Y166),posicao_contratual!$Y166)+1),2))))))</f>
        <v/>
      </c>
      <c r="E166" s="79" t="str">
        <f>IF(OR($A166="",posicao_contratual!$Y166=""),"",IF(posicao_contratual!$Y166&gt;2,"",IF(NOT(ISNUMBER(itens_Remanesc!C166)),"",IF(posicao_contratual!$Y166=2,IF(IFERROR(IF(ISNUMBER(INDEX(aditivos!$O$2:$O$200,MATCH($A166,aditivos!$A$2:$A$200,0))),MIN(INDEX(aditivos!$O$2:$O$200,MATCH($A166,aditivos!$A$2:$A$200,0)),posicao_contratual!$Y166),posicao_contratual!$Y166),posicao_contratual!$Y166)=2,itens_Remanesc!C166,IFERROR(ROUND(itens_Remanesc!C166*INDEX($L$2:$L$6,MIN(2+1,COUNT($L$2:$L$6)))/INDEX($L$2:$L$6,MIN(IFERROR(IF(ISNUMBER(INDEX(aditivos!$O$2:$O$200,MATCH($A166,aditivos!$A$2:$A$200,0))),MIN(INDEX(aditivos!$O$2:$O$200,MATCH($A166,aditivos!$A$2:$A$200,0)),posicao_contratual!$Y166),posicao_contratual!$Y166),posicao_contratual!$Y166)+1,COUNT($L$2:$L$6))),2),"")),IF(OR(NOT(ISNUMBER($L$4)),NOT(ISNUMBER(INDEX($L$2:$L$6,IFERROR(IF(ISNUMBER(INDEX(aditivos!$O$2:$O$200,MATCH($A166,aditivos!$A$2:$A$200,0))),MIN(INDEX(aditivos!$O$2:$O$200,MATCH($A166,aditivos!$A$2:$A$200,0)),posicao_contratual!$Y166),posicao_contratual!$Y166),posicao_contratual!$Y166)+1)))),"",ROUND(itens_Remanesc!C166*$L$4/INDEX($L$2:$L$6,IFERROR(IF(ISNUMBER(INDEX(aditivos!$O$2:$O$200,MATCH($A166,aditivos!$A$2:$A$200,0))),MIN(INDEX(aditivos!$O$2:$O$200,MATCH($A166,aditivos!$A$2:$A$200,0)),posicao_contratual!$Y166),posicao_contratual!$Y166),posicao_contratual!$Y166)+1),2))))))</f>
        <v/>
      </c>
      <c r="F166" s="79" t="str">
        <f>IF(OR($A166="",posicao_contratual!$Y166=""),"",IF(posicao_contratual!$Y166&gt;3,"",IF(NOT(ISNUMBER(itens_Remanesc!C166)),"",IF(posicao_contratual!$Y166=3,IF(IFERROR(IF(ISNUMBER(INDEX(aditivos!$O$2:$O$200,MATCH($A166,aditivos!$A$2:$A$200,0))),MIN(INDEX(aditivos!$O$2:$O$200,MATCH($A166,aditivos!$A$2:$A$200,0)),posicao_contratual!$Y166),posicao_contratual!$Y166),posicao_contratual!$Y166)=3,itens_Remanesc!C166,IFERROR(ROUND(itens_Remanesc!C166*INDEX($L$2:$L$6,MIN(3+1,COUNT($L$2:$L$6)))/INDEX($L$2:$L$6,MIN(IFERROR(IF(ISNUMBER(INDEX(aditivos!$O$2:$O$200,MATCH($A166,aditivos!$A$2:$A$200,0))),MIN(INDEX(aditivos!$O$2:$O$200,MATCH($A166,aditivos!$A$2:$A$200,0)),posicao_contratual!$Y166),posicao_contratual!$Y166),posicao_contratual!$Y166)+1,COUNT($L$2:$L$6))),2),"")),IF(OR(NOT(ISNUMBER($L$5)),NOT(ISNUMBER(INDEX($L$2:$L$6,IFERROR(IF(ISNUMBER(INDEX(aditivos!$O$2:$O$200,MATCH($A166,aditivos!$A$2:$A$200,0))),MIN(INDEX(aditivos!$O$2:$O$200,MATCH($A166,aditivos!$A$2:$A$200,0)),posicao_contratual!$Y166),posicao_contratual!$Y166),posicao_contratual!$Y166)+1)))),"",ROUND(itens_Remanesc!C166*$L$5/INDEX($L$2:$L$6,IFERROR(IF(ISNUMBER(INDEX(aditivos!$O$2:$O$200,MATCH($A166,aditivos!$A$2:$A$200,0))),MIN(INDEX(aditivos!$O$2:$O$200,MATCH($A166,aditivos!$A$2:$A$200,0)),posicao_contratual!$Y166),posicao_contratual!$Y166),posicao_contratual!$Y166)+1),2))))))</f>
        <v/>
      </c>
      <c r="G166" s="79" t="str">
        <f>IF(OR($A166="",posicao_contratual!$Y166=""),"",IF(posicao_contratual!$Y166&gt;4,"",IF(NOT(ISNUMBER(itens_Remanesc!C166)),"",IF(posicao_contratual!$Y166=4,IF(IFERROR(IF(ISNUMBER(INDEX(aditivos!$O$2:$O$200,MATCH($A166,aditivos!$A$2:$A$200,0))),MIN(INDEX(aditivos!$O$2:$O$200,MATCH($A166,aditivos!$A$2:$A$200,0)),posicao_contratual!$Y166),posicao_contratual!$Y166),posicao_contratual!$Y166)=4,itens_Remanesc!C166,IFERROR(ROUND(itens_Remanesc!C166*INDEX($L$2:$L$6,MIN(4+1,COUNT($L$2:$L$6)))/INDEX($L$2:$L$6,MIN(IFERROR(IF(ISNUMBER(INDEX(aditivos!$O$2:$O$200,MATCH($A166,aditivos!$A$2:$A$200,0))),MIN(INDEX(aditivos!$O$2:$O$200,MATCH($A166,aditivos!$A$2:$A$200,0)),posicao_contratual!$Y166),posicao_contratual!$Y166),posicao_contratual!$Y166)+1,COUNT($L$2:$L$6))),2),"")),IF(OR(NOT(ISNUMBER($L$6)),NOT(ISNUMBER(INDEX($L$2:$L$6,IFERROR(IF(ISNUMBER(INDEX(aditivos!$O$2:$O$200,MATCH($A166,aditivos!$A$2:$A$200,0))),MIN(INDEX(aditivos!$O$2:$O$200,MATCH($A166,aditivos!$A$2:$A$200,0)),posicao_contratual!$Y166),posicao_contratual!$Y166),posicao_contratual!$Y166)+1)))),"",ROUND(itens_Remanesc!C166*$L$6/INDEX($L$2:$L$6,IFERROR(IF(ISNUMBER(INDEX(aditivos!$O$2:$O$200,MATCH($A166,aditivos!$A$2:$A$200,0))),MIN(INDEX(aditivos!$O$2:$O$200,MATCH($A166,aditivos!$A$2:$A$200,0)),posicao_contratual!$Y166),posicao_contratual!$Y166),posicao_contratual!$Y166)+1),2))))))</f>
        <v/>
      </c>
      <c r="H166" s="116" t="str">
        <f t="shared" si="5"/>
        <v/>
      </c>
      <c r="I166" s="13"/>
      <c r="J166" s="13"/>
      <c r="K166" s="13"/>
      <c r="L166" s="13"/>
      <c r="M166" s="13"/>
      <c r="N166" s="147" t="str">
        <f>IF(A166="","",IF(posicao_contratual!$Y166="","",IF(posicao_contratual!$Y166&gt;0,"",posicao_contratual!E166)))</f>
        <v/>
      </c>
      <c r="O166" s="147" t="str">
        <f>IF(A166="","",IF(posicao_contratual!$Y166="","",IF(posicao_contratual!$Y166&gt;1,"",posicao_contratual!I166)))</f>
        <v/>
      </c>
      <c r="P166" s="147" t="str">
        <f>IF(A166="","",IF(posicao_contratual!$Y166="","",IF(posicao_contratual!$Y166&gt;2,"",posicao_contratual!M166)))</f>
        <v/>
      </c>
      <c r="Q166" s="147" t="str">
        <f>IF(A166="","",IF(posicao_contratual!$Y166="","",IF(posicao_contratual!$Y166&gt;3,"",posicao_contratual!Q166)))</f>
        <v/>
      </c>
      <c r="R166" s="147" t="str">
        <f>IF(A166="","",IF(posicao_contratual!$Y166="","",IF(posicao_contratual!$Y166&gt;4,"",posicao_contratual!U166)))</f>
        <v/>
      </c>
      <c r="S166" s="167" t="str">
        <f>IF(A166="","",posicao_contratual!G166)</f>
        <v/>
      </c>
      <c r="T166" s="167" t="str">
        <f>IF(A166="","",posicao_contratual!K166)</f>
        <v/>
      </c>
      <c r="U166" s="167" t="str">
        <f>IF(A166="","",posicao_contratual!O166)</f>
        <v/>
      </c>
      <c r="V166" s="167" t="str">
        <f>IF(A166="","",posicao_contratual!S166)</f>
        <v/>
      </c>
      <c r="W166" s="167" t="str">
        <f>IF(A166="","",posicao_contratual!W166)</f>
        <v/>
      </c>
    </row>
    <row r="167" spans="1:23" x14ac:dyDescent="0.35">
      <c r="A167" s="86" t="str">
        <f>IF(itens_Remanesc!A167="","",itens_Remanesc!A167)</f>
        <v/>
      </c>
      <c r="B167" s="85" t="str">
        <f>IF(A167="","",IF(posicao_contratual!$Y167="","",IF(posicao_contratual!$Y167&gt;0,"",posicao_contratual!G167)))</f>
        <v/>
      </c>
      <c r="C167" s="79" t="str">
        <f>IF(itens_Remanesc!A167="","",IF(posicao_contratual!$Y167="","",IF(posicao_contratual!$Y167&gt;0,"",itens_Remanesc!C167)))</f>
        <v/>
      </c>
      <c r="D167" s="79" t="str">
        <f>IF(OR($A167="",posicao_contratual!$Y167=""),"",IF(posicao_contratual!$Y167&gt;1,"",IF(NOT(ISNUMBER(itens_Remanesc!C167)),"",IF(posicao_contratual!$Y167=1,IF(IFERROR(IF(ISNUMBER(INDEX(aditivos!$O$2:$O$200,MATCH($A167,aditivos!$A$2:$A$200,0))),MIN(INDEX(aditivos!$O$2:$O$200,MATCH($A167,aditivos!$A$2:$A$200,0)),posicao_contratual!$Y167),posicao_contratual!$Y167),posicao_contratual!$Y167)=1,itens_Remanesc!C167,IFERROR(ROUND(itens_Remanesc!C167*INDEX($L$2:$L$6,MIN(1+1,COUNT($L$2:$L$6)))/INDEX($L$2:$L$6,MIN(IFERROR(IF(ISNUMBER(INDEX(aditivos!$O$2:$O$200,MATCH($A167,aditivos!$A$2:$A$200,0))),MIN(INDEX(aditivos!$O$2:$O$200,MATCH($A167,aditivos!$A$2:$A$200,0)),posicao_contratual!$Y167),posicao_contratual!$Y167),posicao_contratual!$Y167)+1,COUNT($L$2:$L$6))),2),"")),IF(OR(NOT(ISNUMBER($L$3)),NOT(ISNUMBER(INDEX($L$2:$L$6,IFERROR(IF(ISNUMBER(INDEX(aditivos!$O$2:$O$200,MATCH($A167,aditivos!$A$2:$A$200,0))),MIN(INDEX(aditivos!$O$2:$O$200,MATCH($A167,aditivos!$A$2:$A$200,0)),posicao_contratual!$Y167),posicao_contratual!$Y167),posicao_contratual!$Y167)+1)))),"",ROUND(itens_Remanesc!C167*$L$3/INDEX($L$2:$L$6,IFERROR(IF(ISNUMBER(INDEX(aditivos!$O$2:$O$200,MATCH($A167,aditivos!$A$2:$A$200,0))),MIN(INDEX(aditivos!$O$2:$O$200,MATCH($A167,aditivos!$A$2:$A$200,0)),posicao_contratual!$Y167),posicao_contratual!$Y167),posicao_contratual!$Y167)+1),2))))))</f>
        <v/>
      </c>
      <c r="E167" s="79" t="str">
        <f>IF(OR($A167="",posicao_contratual!$Y167=""),"",IF(posicao_contratual!$Y167&gt;2,"",IF(NOT(ISNUMBER(itens_Remanesc!C167)),"",IF(posicao_contratual!$Y167=2,IF(IFERROR(IF(ISNUMBER(INDEX(aditivos!$O$2:$O$200,MATCH($A167,aditivos!$A$2:$A$200,0))),MIN(INDEX(aditivos!$O$2:$O$200,MATCH($A167,aditivos!$A$2:$A$200,0)),posicao_contratual!$Y167),posicao_contratual!$Y167),posicao_contratual!$Y167)=2,itens_Remanesc!C167,IFERROR(ROUND(itens_Remanesc!C167*INDEX($L$2:$L$6,MIN(2+1,COUNT($L$2:$L$6)))/INDEX($L$2:$L$6,MIN(IFERROR(IF(ISNUMBER(INDEX(aditivos!$O$2:$O$200,MATCH($A167,aditivos!$A$2:$A$200,0))),MIN(INDEX(aditivos!$O$2:$O$200,MATCH($A167,aditivos!$A$2:$A$200,0)),posicao_contratual!$Y167),posicao_contratual!$Y167),posicao_contratual!$Y167)+1,COUNT($L$2:$L$6))),2),"")),IF(OR(NOT(ISNUMBER($L$4)),NOT(ISNUMBER(INDEX($L$2:$L$6,IFERROR(IF(ISNUMBER(INDEX(aditivos!$O$2:$O$200,MATCH($A167,aditivos!$A$2:$A$200,0))),MIN(INDEX(aditivos!$O$2:$O$200,MATCH($A167,aditivos!$A$2:$A$200,0)),posicao_contratual!$Y167),posicao_contratual!$Y167),posicao_contratual!$Y167)+1)))),"",ROUND(itens_Remanesc!C167*$L$4/INDEX($L$2:$L$6,IFERROR(IF(ISNUMBER(INDEX(aditivos!$O$2:$O$200,MATCH($A167,aditivos!$A$2:$A$200,0))),MIN(INDEX(aditivos!$O$2:$O$200,MATCH($A167,aditivos!$A$2:$A$200,0)),posicao_contratual!$Y167),posicao_contratual!$Y167),posicao_contratual!$Y167)+1),2))))))</f>
        <v/>
      </c>
      <c r="F167" s="79" t="str">
        <f>IF(OR($A167="",posicao_contratual!$Y167=""),"",IF(posicao_contratual!$Y167&gt;3,"",IF(NOT(ISNUMBER(itens_Remanesc!C167)),"",IF(posicao_contratual!$Y167=3,IF(IFERROR(IF(ISNUMBER(INDEX(aditivos!$O$2:$O$200,MATCH($A167,aditivos!$A$2:$A$200,0))),MIN(INDEX(aditivos!$O$2:$O$200,MATCH($A167,aditivos!$A$2:$A$200,0)),posicao_contratual!$Y167),posicao_contratual!$Y167),posicao_contratual!$Y167)=3,itens_Remanesc!C167,IFERROR(ROUND(itens_Remanesc!C167*INDEX($L$2:$L$6,MIN(3+1,COUNT($L$2:$L$6)))/INDEX($L$2:$L$6,MIN(IFERROR(IF(ISNUMBER(INDEX(aditivos!$O$2:$O$200,MATCH($A167,aditivos!$A$2:$A$200,0))),MIN(INDEX(aditivos!$O$2:$O$200,MATCH($A167,aditivos!$A$2:$A$200,0)),posicao_contratual!$Y167),posicao_contratual!$Y167),posicao_contratual!$Y167)+1,COUNT($L$2:$L$6))),2),"")),IF(OR(NOT(ISNUMBER($L$5)),NOT(ISNUMBER(INDEX($L$2:$L$6,IFERROR(IF(ISNUMBER(INDEX(aditivos!$O$2:$O$200,MATCH($A167,aditivos!$A$2:$A$200,0))),MIN(INDEX(aditivos!$O$2:$O$200,MATCH($A167,aditivos!$A$2:$A$200,0)),posicao_contratual!$Y167),posicao_contratual!$Y167),posicao_contratual!$Y167)+1)))),"",ROUND(itens_Remanesc!C167*$L$5/INDEX($L$2:$L$6,IFERROR(IF(ISNUMBER(INDEX(aditivos!$O$2:$O$200,MATCH($A167,aditivos!$A$2:$A$200,0))),MIN(INDEX(aditivos!$O$2:$O$200,MATCH($A167,aditivos!$A$2:$A$200,0)),posicao_contratual!$Y167),posicao_contratual!$Y167),posicao_contratual!$Y167)+1),2))))))</f>
        <v/>
      </c>
      <c r="G167" s="79" t="str">
        <f>IF(OR($A167="",posicao_contratual!$Y167=""),"",IF(posicao_contratual!$Y167&gt;4,"",IF(NOT(ISNUMBER(itens_Remanesc!C167)),"",IF(posicao_contratual!$Y167=4,IF(IFERROR(IF(ISNUMBER(INDEX(aditivos!$O$2:$O$200,MATCH($A167,aditivos!$A$2:$A$200,0))),MIN(INDEX(aditivos!$O$2:$O$200,MATCH($A167,aditivos!$A$2:$A$200,0)),posicao_contratual!$Y167),posicao_contratual!$Y167),posicao_contratual!$Y167)=4,itens_Remanesc!C167,IFERROR(ROUND(itens_Remanesc!C167*INDEX($L$2:$L$6,MIN(4+1,COUNT($L$2:$L$6)))/INDEX($L$2:$L$6,MIN(IFERROR(IF(ISNUMBER(INDEX(aditivos!$O$2:$O$200,MATCH($A167,aditivos!$A$2:$A$200,0))),MIN(INDEX(aditivos!$O$2:$O$200,MATCH($A167,aditivos!$A$2:$A$200,0)),posicao_contratual!$Y167),posicao_contratual!$Y167),posicao_contratual!$Y167)+1,COUNT($L$2:$L$6))),2),"")),IF(OR(NOT(ISNUMBER($L$6)),NOT(ISNUMBER(INDEX($L$2:$L$6,IFERROR(IF(ISNUMBER(INDEX(aditivos!$O$2:$O$200,MATCH($A167,aditivos!$A$2:$A$200,0))),MIN(INDEX(aditivos!$O$2:$O$200,MATCH($A167,aditivos!$A$2:$A$200,0)),posicao_contratual!$Y167),posicao_contratual!$Y167),posicao_contratual!$Y167)+1)))),"",ROUND(itens_Remanesc!C167*$L$6/INDEX($L$2:$L$6,IFERROR(IF(ISNUMBER(INDEX(aditivos!$O$2:$O$200,MATCH($A167,aditivos!$A$2:$A$200,0))),MIN(INDEX(aditivos!$O$2:$O$200,MATCH($A167,aditivos!$A$2:$A$200,0)),posicao_contratual!$Y167),posicao_contratual!$Y167),posicao_contratual!$Y167)+1),2))))))</f>
        <v/>
      </c>
      <c r="H167" s="116" t="str">
        <f t="shared" si="5"/>
        <v/>
      </c>
      <c r="I167" s="13"/>
      <c r="J167" s="13"/>
      <c r="K167" s="13"/>
      <c r="L167" s="13"/>
      <c r="M167" s="13"/>
      <c r="N167" s="147" t="str">
        <f>IF(A167="","",IF(posicao_contratual!$Y167="","",IF(posicao_contratual!$Y167&gt;0,"",posicao_contratual!E167)))</f>
        <v/>
      </c>
      <c r="O167" s="147" t="str">
        <f>IF(A167="","",IF(posicao_contratual!$Y167="","",IF(posicao_contratual!$Y167&gt;1,"",posicao_contratual!I167)))</f>
        <v/>
      </c>
      <c r="P167" s="147" t="str">
        <f>IF(A167="","",IF(posicao_contratual!$Y167="","",IF(posicao_contratual!$Y167&gt;2,"",posicao_contratual!M167)))</f>
        <v/>
      </c>
      <c r="Q167" s="147" t="str">
        <f>IF(A167="","",IF(posicao_contratual!$Y167="","",IF(posicao_contratual!$Y167&gt;3,"",posicao_contratual!Q167)))</f>
        <v/>
      </c>
      <c r="R167" s="147" t="str">
        <f>IF(A167="","",IF(posicao_contratual!$Y167="","",IF(posicao_contratual!$Y167&gt;4,"",posicao_contratual!U167)))</f>
        <v/>
      </c>
      <c r="S167" s="167" t="str">
        <f>IF(A167="","",posicao_contratual!G167)</f>
        <v/>
      </c>
      <c r="T167" s="167" t="str">
        <f>IF(A167="","",posicao_contratual!K167)</f>
        <v/>
      </c>
      <c r="U167" s="167" t="str">
        <f>IF(A167="","",posicao_contratual!O167)</f>
        <v/>
      </c>
      <c r="V167" s="167" t="str">
        <f>IF(A167="","",posicao_contratual!S167)</f>
        <v/>
      </c>
      <c r="W167" s="167" t="str">
        <f>IF(A167="","",posicao_contratual!W167)</f>
        <v/>
      </c>
    </row>
    <row r="168" spans="1:23" x14ac:dyDescent="0.35">
      <c r="A168" s="86" t="str">
        <f>IF(itens_Remanesc!A168="","",itens_Remanesc!A168)</f>
        <v/>
      </c>
      <c r="B168" s="85" t="str">
        <f>IF(A168="","",IF(posicao_contratual!$Y168="","",IF(posicao_contratual!$Y168&gt;0,"",posicao_contratual!G168)))</f>
        <v/>
      </c>
      <c r="C168" s="79" t="str">
        <f>IF(itens_Remanesc!A168="","",IF(posicao_contratual!$Y168="","",IF(posicao_contratual!$Y168&gt;0,"",itens_Remanesc!C168)))</f>
        <v/>
      </c>
      <c r="D168" s="79" t="str">
        <f>IF(OR($A168="",posicao_contratual!$Y168=""),"",IF(posicao_contratual!$Y168&gt;1,"",IF(NOT(ISNUMBER(itens_Remanesc!C168)),"",IF(posicao_contratual!$Y168=1,IF(IFERROR(IF(ISNUMBER(INDEX(aditivos!$O$2:$O$200,MATCH($A168,aditivos!$A$2:$A$200,0))),MIN(INDEX(aditivos!$O$2:$O$200,MATCH($A168,aditivos!$A$2:$A$200,0)),posicao_contratual!$Y168),posicao_contratual!$Y168),posicao_contratual!$Y168)=1,itens_Remanesc!C168,IFERROR(ROUND(itens_Remanesc!C168*INDEX($L$2:$L$6,MIN(1+1,COUNT($L$2:$L$6)))/INDEX($L$2:$L$6,MIN(IFERROR(IF(ISNUMBER(INDEX(aditivos!$O$2:$O$200,MATCH($A168,aditivos!$A$2:$A$200,0))),MIN(INDEX(aditivos!$O$2:$O$200,MATCH($A168,aditivos!$A$2:$A$200,0)),posicao_contratual!$Y168),posicao_contratual!$Y168),posicao_contratual!$Y168)+1,COUNT($L$2:$L$6))),2),"")),IF(OR(NOT(ISNUMBER($L$3)),NOT(ISNUMBER(INDEX($L$2:$L$6,IFERROR(IF(ISNUMBER(INDEX(aditivos!$O$2:$O$200,MATCH($A168,aditivos!$A$2:$A$200,0))),MIN(INDEX(aditivos!$O$2:$O$200,MATCH($A168,aditivos!$A$2:$A$200,0)),posicao_contratual!$Y168),posicao_contratual!$Y168),posicao_contratual!$Y168)+1)))),"",ROUND(itens_Remanesc!C168*$L$3/INDEX($L$2:$L$6,IFERROR(IF(ISNUMBER(INDEX(aditivos!$O$2:$O$200,MATCH($A168,aditivos!$A$2:$A$200,0))),MIN(INDEX(aditivos!$O$2:$O$200,MATCH($A168,aditivos!$A$2:$A$200,0)),posicao_contratual!$Y168),posicao_contratual!$Y168),posicao_contratual!$Y168)+1),2))))))</f>
        <v/>
      </c>
      <c r="E168" s="79" t="str">
        <f>IF(OR($A168="",posicao_contratual!$Y168=""),"",IF(posicao_contratual!$Y168&gt;2,"",IF(NOT(ISNUMBER(itens_Remanesc!C168)),"",IF(posicao_contratual!$Y168=2,IF(IFERROR(IF(ISNUMBER(INDEX(aditivos!$O$2:$O$200,MATCH($A168,aditivos!$A$2:$A$200,0))),MIN(INDEX(aditivos!$O$2:$O$200,MATCH($A168,aditivos!$A$2:$A$200,0)),posicao_contratual!$Y168),posicao_contratual!$Y168),posicao_contratual!$Y168)=2,itens_Remanesc!C168,IFERROR(ROUND(itens_Remanesc!C168*INDEX($L$2:$L$6,MIN(2+1,COUNT($L$2:$L$6)))/INDEX($L$2:$L$6,MIN(IFERROR(IF(ISNUMBER(INDEX(aditivos!$O$2:$O$200,MATCH($A168,aditivos!$A$2:$A$200,0))),MIN(INDEX(aditivos!$O$2:$O$200,MATCH($A168,aditivos!$A$2:$A$200,0)),posicao_contratual!$Y168),posicao_contratual!$Y168),posicao_contratual!$Y168)+1,COUNT($L$2:$L$6))),2),"")),IF(OR(NOT(ISNUMBER($L$4)),NOT(ISNUMBER(INDEX($L$2:$L$6,IFERROR(IF(ISNUMBER(INDEX(aditivos!$O$2:$O$200,MATCH($A168,aditivos!$A$2:$A$200,0))),MIN(INDEX(aditivos!$O$2:$O$200,MATCH($A168,aditivos!$A$2:$A$200,0)),posicao_contratual!$Y168),posicao_contratual!$Y168),posicao_contratual!$Y168)+1)))),"",ROUND(itens_Remanesc!C168*$L$4/INDEX($L$2:$L$6,IFERROR(IF(ISNUMBER(INDEX(aditivos!$O$2:$O$200,MATCH($A168,aditivos!$A$2:$A$200,0))),MIN(INDEX(aditivos!$O$2:$O$200,MATCH($A168,aditivos!$A$2:$A$200,0)),posicao_contratual!$Y168),posicao_contratual!$Y168),posicao_contratual!$Y168)+1),2))))))</f>
        <v/>
      </c>
      <c r="F168" s="79" t="str">
        <f>IF(OR($A168="",posicao_contratual!$Y168=""),"",IF(posicao_contratual!$Y168&gt;3,"",IF(NOT(ISNUMBER(itens_Remanesc!C168)),"",IF(posicao_contratual!$Y168=3,IF(IFERROR(IF(ISNUMBER(INDEX(aditivos!$O$2:$O$200,MATCH($A168,aditivos!$A$2:$A$200,0))),MIN(INDEX(aditivos!$O$2:$O$200,MATCH($A168,aditivos!$A$2:$A$200,0)),posicao_contratual!$Y168),posicao_contratual!$Y168),posicao_contratual!$Y168)=3,itens_Remanesc!C168,IFERROR(ROUND(itens_Remanesc!C168*INDEX($L$2:$L$6,MIN(3+1,COUNT($L$2:$L$6)))/INDEX($L$2:$L$6,MIN(IFERROR(IF(ISNUMBER(INDEX(aditivos!$O$2:$O$200,MATCH($A168,aditivos!$A$2:$A$200,0))),MIN(INDEX(aditivos!$O$2:$O$200,MATCH($A168,aditivos!$A$2:$A$200,0)),posicao_contratual!$Y168),posicao_contratual!$Y168),posicao_contratual!$Y168)+1,COUNT($L$2:$L$6))),2),"")),IF(OR(NOT(ISNUMBER($L$5)),NOT(ISNUMBER(INDEX($L$2:$L$6,IFERROR(IF(ISNUMBER(INDEX(aditivos!$O$2:$O$200,MATCH($A168,aditivos!$A$2:$A$200,0))),MIN(INDEX(aditivos!$O$2:$O$200,MATCH($A168,aditivos!$A$2:$A$200,0)),posicao_contratual!$Y168),posicao_contratual!$Y168),posicao_contratual!$Y168)+1)))),"",ROUND(itens_Remanesc!C168*$L$5/INDEX($L$2:$L$6,IFERROR(IF(ISNUMBER(INDEX(aditivos!$O$2:$O$200,MATCH($A168,aditivos!$A$2:$A$200,0))),MIN(INDEX(aditivos!$O$2:$O$200,MATCH($A168,aditivos!$A$2:$A$200,0)),posicao_contratual!$Y168),posicao_contratual!$Y168),posicao_contratual!$Y168)+1),2))))))</f>
        <v/>
      </c>
      <c r="G168" s="79" t="str">
        <f>IF(OR($A168="",posicao_contratual!$Y168=""),"",IF(posicao_contratual!$Y168&gt;4,"",IF(NOT(ISNUMBER(itens_Remanesc!C168)),"",IF(posicao_contratual!$Y168=4,IF(IFERROR(IF(ISNUMBER(INDEX(aditivos!$O$2:$O$200,MATCH($A168,aditivos!$A$2:$A$200,0))),MIN(INDEX(aditivos!$O$2:$O$200,MATCH($A168,aditivos!$A$2:$A$200,0)),posicao_contratual!$Y168),posicao_contratual!$Y168),posicao_contratual!$Y168)=4,itens_Remanesc!C168,IFERROR(ROUND(itens_Remanesc!C168*INDEX($L$2:$L$6,MIN(4+1,COUNT($L$2:$L$6)))/INDEX($L$2:$L$6,MIN(IFERROR(IF(ISNUMBER(INDEX(aditivos!$O$2:$O$200,MATCH($A168,aditivos!$A$2:$A$200,0))),MIN(INDEX(aditivos!$O$2:$O$200,MATCH($A168,aditivos!$A$2:$A$200,0)),posicao_contratual!$Y168),posicao_contratual!$Y168),posicao_contratual!$Y168)+1,COUNT($L$2:$L$6))),2),"")),IF(OR(NOT(ISNUMBER($L$6)),NOT(ISNUMBER(INDEX($L$2:$L$6,IFERROR(IF(ISNUMBER(INDEX(aditivos!$O$2:$O$200,MATCH($A168,aditivos!$A$2:$A$200,0))),MIN(INDEX(aditivos!$O$2:$O$200,MATCH($A168,aditivos!$A$2:$A$200,0)),posicao_contratual!$Y168),posicao_contratual!$Y168),posicao_contratual!$Y168)+1)))),"",ROUND(itens_Remanesc!C168*$L$6/INDEX($L$2:$L$6,IFERROR(IF(ISNUMBER(INDEX(aditivos!$O$2:$O$200,MATCH($A168,aditivos!$A$2:$A$200,0))),MIN(INDEX(aditivos!$O$2:$O$200,MATCH($A168,aditivos!$A$2:$A$200,0)),posicao_contratual!$Y168),posicao_contratual!$Y168),posicao_contratual!$Y168)+1),2))))))</f>
        <v/>
      </c>
      <c r="H168" s="116" t="str">
        <f t="shared" si="5"/>
        <v/>
      </c>
      <c r="I168" s="13"/>
      <c r="J168" s="13"/>
      <c r="K168" s="13"/>
      <c r="L168" s="13"/>
      <c r="M168" s="13"/>
      <c r="N168" s="147" t="str">
        <f>IF(A168="","",IF(posicao_contratual!$Y168="","",IF(posicao_contratual!$Y168&gt;0,"",posicao_contratual!E168)))</f>
        <v/>
      </c>
      <c r="O168" s="147" t="str">
        <f>IF(A168="","",IF(posicao_contratual!$Y168="","",IF(posicao_contratual!$Y168&gt;1,"",posicao_contratual!I168)))</f>
        <v/>
      </c>
      <c r="P168" s="147" t="str">
        <f>IF(A168="","",IF(posicao_contratual!$Y168="","",IF(posicao_contratual!$Y168&gt;2,"",posicao_contratual!M168)))</f>
        <v/>
      </c>
      <c r="Q168" s="147" t="str">
        <f>IF(A168="","",IF(posicao_contratual!$Y168="","",IF(posicao_contratual!$Y168&gt;3,"",posicao_contratual!Q168)))</f>
        <v/>
      </c>
      <c r="R168" s="147" t="str">
        <f>IF(A168="","",IF(posicao_contratual!$Y168="","",IF(posicao_contratual!$Y168&gt;4,"",posicao_contratual!U168)))</f>
        <v/>
      </c>
      <c r="S168" s="167" t="str">
        <f>IF(A168="","",posicao_contratual!G168)</f>
        <v/>
      </c>
      <c r="T168" s="167" t="str">
        <f>IF(A168="","",posicao_contratual!K168)</f>
        <v/>
      </c>
      <c r="U168" s="167" t="str">
        <f>IF(A168="","",posicao_contratual!O168)</f>
        <v/>
      </c>
      <c r="V168" s="167" t="str">
        <f>IF(A168="","",posicao_contratual!S168)</f>
        <v/>
      </c>
      <c r="W168" s="167" t="str">
        <f>IF(A168="","",posicao_contratual!W168)</f>
        <v/>
      </c>
    </row>
    <row r="169" spans="1:23" x14ac:dyDescent="0.35">
      <c r="A169" s="86" t="str">
        <f>IF(itens_Remanesc!A169="","",itens_Remanesc!A169)</f>
        <v/>
      </c>
      <c r="B169" s="85" t="str">
        <f>IF(A169="","",IF(posicao_contratual!$Y169="","",IF(posicao_contratual!$Y169&gt;0,"",posicao_contratual!G169)))</f>
        <v/>
      </c>
      <c r="C169" s="79" t="str">
        <f>IF(itens_Remanesc!A169="","",IF(posicao_contratual!$Y169="","",IF(posicao_contratual!$Y169&gt;0,"",itens_Remanesc!C169)))</f>
        <v/>
      </c>
      <c r="D169" s="79" t="str">
        <f>IF(OR($A169="",posicao_contratual!$Y169=""),"",IF(posicao_contratual!$Y169&gt;1,"",IF(NOT(ISNUMBER(itens_Remanesc!C169)),"",IF(posicao_contratual!$Y169=1,IF(IFERROR(IF(ISNUMBER(INDEX(aditivos!$O$2:$O$200,MATCH($A169,aditivos!$A$2:$A$200,0))),MIN(INDEX(aditivos!$O$2:$O$200,MATCH($A169,aditivos!$A$2:$A$200,0)),posicao_contratual!$Y169),posicao_contratual!$Y169),posicao_contratual!$Y169)=1,itens_Remanesc!C169,IFERROR(ROUND(itens_Remanesc!C169*INDEX($L$2:$L$6,MIN(1+1,COUNT($L$2:$L$6)))/INDEX($L$2:$L$6,MIN(IFERROR(IF(ISNUMBER(INDEX(aditivos!$O$2:$O$200,MATCH($A169,aditivos!$A$2:$A$200,0))),MIN(INDEX(aditivos!$O$2:$O$200,MATCH($A169,aditivos!$A$2:$A$200,0)),posicao_contratual!$Y169),posicao_contratual!$Y169),posicao_contratual!$Y169)+1,COUNT($L$2:$L$6))),2),"")),IF(OR(NOT(ISNUMBER($L$3)),NOT(ISNUMBER(INDEX($L$2:$L$6,IFERROR(IF(ISNUMBER(INDEX(aditivos!$O$2:$O$200,MATCH($A169,aditivos!$A$2:$A$200,0))),MIN(INDEX(aditivos!$O$2:$O$200,MATCH($A169,aditivos!$A$2:$A$200,0)),posicao_contratual!$Y169),posicao_contratual!$Y169),posicao_contratual!$Y169)+1)))),"",ROUND(itens_Remanesc!C169*$L$3/INDEX($L$2:$L$6,IFERROR(IF(ISNUMBER(INDEX(aditivos!$O$2:$O$200,MATCH($A169,aditivos!$A$2:$A$200,0))),MIN(INDEX(aditivos!$O$2:$O$200,MATCH($A169,aditivos!$A$2:$A$200,0)),posicao_contratual!$Y169),posicao_contratual!$Y169),posicao_contratual!$Y169)+1),2))))))</f>
        <v/>
      </c>
      <c r="E169" s="79" t="str">
        <f>IF(OR($A169="",posicao_contratual!$Y169=""),"",IF(posicao_contratual!$Y169&gt;2,"",IF(NOT(ISNUMBER(itens_Remanesc!C169)),"",IF(posicao_contratual!$Y169=2,IF(IFERROR(IF(ISNUMBER(INDEX(aditivos!$O$2:$O$200,MATCH($A169,aditivos!$A$2:$A$200,0))),MIN(INDEX(aditivos!$O$2:$O$200,MATCH($A169,aditivos!$A$2:$A$200,0)),posicao_contratual!$Y169),posicao_contratual!$Y169),posicao_contratual!$Y169)=2,itens_Remanesc!C169,IFERROR(ROUND(itens_Remanesc!C169*INDEX($L$2:$L$6,MIN(2+1,COUNT($L$2:$L$6)))/INDEX($L$2:$L$6,MIN(IFERROR(IF(ISNUMBER(INDEX(aditivos!$O$2:$O$200,MATCH($A169,aditivos!$A$2:$A$200,0))),MIN(INDEX(aditivos!$O$2:$O$200,MATCH($A169,aditivos!$A$2:$A$200,0)),posicao_contratual!$Y169),posicao_contratual!$Y169),posicao_contratual!$Y169)+1,COUNT($L$2:$L$6))),2),"")),IF(OR(NOT(ISNUMBER($L$4)),NOT(ISNUMBER(INDEX($L$2:$L$6,IFERROR(IF(ISNUMBER(INDEX(aditivos!$O$2:$O$200,MATCH($A169,aditivos!$A$2:$A$200,0))),MIN(INDEX(aditivos!$O$2:$O$200,MATCH($A169,aditivos!$A$2:$A$200,0)),posicao_contratual!$Y169),posicao_contratual!$Y169),posicao_contratual!$Y169)+1)))),"",ROUND(itens_Remanesc!C169*$L$4/INDEX($L$2:$L$6,IFERROR(IF(ISNUMBER(INDEX(aditivos!$O$2:$O$200,MATCH($A169,aditivos!$A$2:$A$200,0))),MIN(INDEX(aditivos!$O$2:$O$200,MATCH($A169,aditivos!$A$2:$A$200,0)),posicao_contratual!$Y169),posicao_contratual!$Y169),posicao_contratual!$Y169)+1),2))))))</f>
        <v/>
      </c>
      <c r="F169" s="79" t="str">
        <f>IF(OR($A169="",posicao_contratual!$Y169=""),"",IF(posicao_contratual!$Y169&gt;3,"",IF(NOT(ISNUMBER(itens_Remanesc!C169)),"",IF(posicao_contratual!$Y169=3,IF(IFERROR(IF(ISNUMBER(INDEX(aditivos!$O$2:$O$200,MATCH($A169,aditivos!$A$2:$A$200,0))),MIN(INDEX(aditivos!$O$2:$O$200,MATCH($A169,aditivos!$A$2:$A$200,0)),posicao_contratual!$Y169),posicao_contratual!$Y169),posicao_contratual!$Y169)=3,itens_Remanesc!C169,IFERROR(ROUND(itens_Remanesc!C169*INDEX($L$2:$L$6,MIN(3+1,COUNT($L$2:$L$6)))/INDEX($L$2:$L$6,MIN(IFERROR(IF(ISNUMBER(INDEX(aditivos!$O$2:$O$200,MATCH($A169,aditivos!$A$2:$A$200,0))),MIN(INDEX(aditivos!$O$2:$O$200,MATCH($A169,aditivos!$A$2:$A$200,0)),posicao_contratual!$Y169),posicao_contratual!$Y169),posicao_contratual!$Y169)+1,COUNT($L$2:$L$6))),2),"")),IF(OR(NOT(ISNUMBER($L$5)),NOT(ISNUMBER(INDEX($L$2:$L$6,IFERROR(IF(ISNUMBER(INDEX(aditivos!$O$2:$O$200,MATCH($A169,aditivos!$A$2:$A$200,0))),MIN(INDEX(aditivos!$O$2:$O$200,MATCH($A169,aditivos!$A$2:$A$200,0)),posicao_contratual!$Y169),posicao_contratual!$Y169),posicao_contratual!$Y169)+1)))),"",ROUND(itens_Remanesc!C169*$L$5/INDEX($L$2:$L$6,IFERROR(IF(ISNUMBER(INDEX(aditivos!$O$2:$O$200,MATCH($A169,aditivos!$A$2:$A$200,0))),MIN(INDEX(aditivos!$O$2:$O$200,MATCH($A169,aditivos!$A$2:$A$200,0)),posicao_contratual!$Y169),posicao_contratual!$Y169),posicao_contratual!$Y169)+1),2))))))</f>
        <v/>
      </c>
      <c r="G169" s="79" t="str">
        <f>IF(OR($A169="",posicao_contratual!$Y169=""),"",IF(posicao_contratual!$Y169&gt;4,"",IF(NOT(ISNUMBER(itens_Remanesc!C169)),"",IF(posicao_contratual!$Y169=4,IF(IFERROR(IF(ISNUMBER(INDEX(aditivos!$O$2:$O$200,MATCH($A169,aditivos!$A$2:$A$200,0))),MIN(INDEX(aditivos!$O$2:$O$200,MATCH($A169,aditivos!$A$2:$A$200,0)),posicao_contratual!$Y169),posicao_contratual!$Y169),posicao_contratual!$Y169)=4,itens_Remanesc!C169,IFERROR(ROUND(itens_Remanesc!C169*INDEX($L$2:$L$6,MIN(4+1,COUNT($L$2:$L$6)))/INDEX($L$2:$L$6,MIN(IFERROR(IF(ISNUMBER(INDEX(aditivos!$O$2:$O$200,MATCH($A169,aditivos!$A$2:$A$200,0))),MIN(INDEX(aditivos!$O$2:$O$200,MATCH($A169,aditivos!$A$2:$A$200,0)),posicao_contratual!$Y169),posicao_contratual!$Y169),posicao_contratual!$Y169)+1,COUNT($L$2:$L$6))),2),"")),IF(OR(NOT(ISNUMBER($L$6)),NOT(ISNUMBER(INDEX($L$2:$L$6,IFERROR(IF(ISNUMBER(INDEX(aditivos!$O$2:$O$200,MATCH($A169,aditivos!$A$2:$A$200,0))),MIN(INDEX(aditivos!$O$2:$O$200,MATCH($A169,aditivos!$A$2:$A$200,0)),posicao_contratual!$Y169),posicao_contratual!$Y169),posicao_contratual!$Y169)+1)))),"",ROUND(itens_Remanesc!C169*$L$6/INDEX($L$2:$L$6,IFERROR(IF(ISNUMBER(INDEX(aditivos!$O$2:$O$200,MATCH($A169,aditivos!$A$2:$A$200,0))),MIN(INDEX(aditivos!$O$2:$O$200,MATCH($A169,aditivos!$A$2:$A$200,0)),posicao_contratual!$Y169),posicao_contratual!$Y169),posicao_contratual!$Y169)+1),2))))))</f>
        <v/>
      </c>
      <c r="H169" s="116" t="str">
        <f t="shared" si="5"/>
        <v/>
      </c>
      <c r="I169" s="13"/>
      <c r="J169" s="13"/>
      <c r="K169" s="13"/>
      <c r="L169" s="13"/>
      <c r="M169" s="13"/>
      <c r="N169" s="147" t="str">
        <f>IF(A169="","",IF(posicao_contratual!$Y169="","",IF(posicao_contratual!$Y169&gt;0,"",posicao_contratual!E169)))</f>
        <v/>
      </c>
      <c r="O169" s="147" t="str">
        <f>IF(A169="","",IF(posicao_contratual!$Y169="","",IF(posicao_contratual!$Y169&gt;1,"",posicao_contratual!I169)))</f>
        <v/>
      </c>
      <c r="P169" s="147" t="str">
        <f>IF(A169="","",IF(posicao_contratual!$Y169="","",IF(posicao_contratual!$Y169&gt;2,"",posicao_contratual!M169)))</f>
        <v/>
      </c>
      <c r="Q169" s="147" t="str">
        <f>IF(A169="","",IF(posicao_contratual!$Y169="","",IF(posicao_contratual!$Y169&gt;3,"",posicao_contratual!Q169)))</f>
        <v/>
      </c>
      <c r="R169" s="147" t="str">
        <f>IF(A169="","",IF(posicao_contratual!$Y169="","",IF(posicao_contratual!$Y169&gt;4,"",posicao_contratual!U169)))</f>
        <v/>
      </c>
      <c r="S169" s="167" t="str">
        <f>IF(A169="","",posicao_contratual!G169)</f>
        <v/>
      </c>
      <c r="T169" s="167" t="str">
        <f>IF(A169="","",posicao_contratual!K169)</f>
        <v/>
      </c>
      <c r="U169" s="167" t="str">
        <f>IF(A169="","",posicao_contratual!O169)</f>
        <v/>
      </c>
      <c r="V169" s="167" t="str">
        <f>IF(A169="","",posicao_contratual!S169)</f>
        <v/>
      </c>
      <c r="W169" s="167" t="str">
        <f>IF(A169="","",posicao_contratual!W169)</f>
        <v/>
      </c>
    </row>
    <row r="170" spans="1:23" x14ac:dyDescent="0.35">
      <c r="A170" s="86" t="str">
        <f>IF(itens_Remanesc!A170="","",itens_Remanesc!A170)</f>
        <v/>
      </c>
      <c r="B170" s="85" t="str">
        <f>IF(A170="","",IF(posicao_contratual!$Y170="","",IF(posicao_contratual!$Y170&gt;0,"",posicao_contratual!G170)))</f>
        <v/>
      </c>
      <c r="C170" s="79" t="str">
        <f>IF(itens_Remanesc!A170="","",IF(posicao_contratual!$Y170="","",IF(posicao_contratual!$Y170&gt;0,"",itens_Remanesc!C170)))</f>
        <v/>
      </c>
      <c r="D170" s="79" t="str">
        <f>IF(OR($A170="",posicao_contratual!$Y170=""),"",IF(posicao_contratual!$Y170&gt;1,"",IF(NOT(ISNUMBER(itens_Remanesc!C170)),"",IF(posicao_contratual!$Y170=1,IF(IFERROR(IF(ISNUMBER(INDEX(aditivos!$O$2:$O$200,MATCH($A170,aditivos!$A$2:$A$200,0))),MIN(INDEX(aditivos!$O$2:$O$200,MATCH($A170,aditivos!$A$2:$A$200,0)),posicao_contratual!$Y170),posicao_contratual!$Y170),posicao_contratual!$Y170)=1,itens_Remanesc!C170,IFERROR(ROUND(itens_Remanesc!C170*INDEX($L$2:$L$6,MIN(1+1,COUNT($L$2:$L$6)))/INDEX($L$2:$L$6,MIN(IFERROR(IF(ISNUMBER(INDEX(aditivos!$O$2:$O$200,MATCH($A170,aditivos!$A$2:$A$200,0))),MIN(INDEX(aditivos!$O$2:$O$200,MATCH($A170,aditivos!$A$2:$A$200,0)),posicao_contratual!$Y170),posicao_contratual!$Y170),posicao_contratual!$Y170)+1,COUNT($L$2:$L$6))),2),"")),IF(OR(NOT(ISNUMBER($L$3)),NOT(ISNUMBER(INDEX($L$2:$L$6,IFERROR(IF(ISNUMBER(INDEX(aditivos!$O$2:$O$200,MATCH($A170,aditivos!$A$2:$A$200,0))),MIN(INDEX(aditivos!$O$2:$O$200,MATCH($A170,aditivos!$A$2:$A$200,0)),posicao_contratual!$Y170),posicao_contratual!$Y170),posicao_contratual!$Y170)+1)))),"",ROUND(itens_Remanesc!C170*$L$3/INDEX($L$2:$L$6,IFERROR(IF(ISNUMBER(INDEX(aditivos!$O$2:$O$200,MATCH($A170,aditivos!$A$2:$A$200,0))),MIN(INDEX(aditivos!$O$2:$O$200,MATCH($A170,aditivos!$A$2:$A$200,0)),posicao_contratual!$Y170),posicao_contratual!$Y170),posicao_contratual!$Y170)+1),2))))))</f>
        <v/>
      </c>
      <c r="E170" s="79" t="str">
        <f>IF(OR($A170="",posicao_contratual!$Y170=""),"",IF(posicao_contratual!$Y170&gt;2,"",IF(NOT(ISNUMBER(itens_Remanesc!C170)),"",IF(posicao_contratual!$Y170=2,IF(IFERROR(IF(ISNUMBER(INDEX(aditivos!$O$2:$O$200,MATCH($A170,aditivos!$A$2:$A$200,0))),MIN(INDEX(aditivos!$O$2:$O$200,MATCH($A170,aditivos!$A$2:$A$200,0)),posicao_contratual!$Y170),posicao_contratual!$Y170),posicao_contratual!$Y170)=2,itens_Remanesc!C170,IFERROR(ROUND(itens_Remanesc!C170*INDEX($L$2:$L$6,MIN(2+1,COUNT($L$2:$L$6)))/INDEX($L$2:$L$6,MIN(IFERROR(IF(ISNUMBER(INDEX(aditivos!$O$2:$O$200,MATCH($A170,aditivos!$A$2:$A$200,0))),MIN(INDEX(aditivos!$O$2:$O$200,MATCH($A170,aditivos!$A$2:$A$200,0)),posicao_contratual!$Y170),posicao_contratual!$Y170),posicao_contratual!$Y170)+1,COUNT($L$2:$L$6))),2),"")),IF(OR(NOT(ISNUMBER($L$4)),NOT(ISNUMBER(INDEX($L$2:$L$6,IFERROR(IF(ISNUMBER(INDEX(aditivos!$O$2:$O$200,MATCH($A170,aditivos!$A$2:$A$200,0))),MIN(INDEX(aditivos!$O$2:$O$200,MATCH($A170,aditivos!$A$2:$A$200,0)),posicao_contratual!$Y170),posicao_contratual!$Y170),posicao_contratual!$Y170)+1)))),"",ROUND(itens_Remanesc!C170*$L$4/INDEX($L$2:$L$6,IFERROR(IF(ISNUMBER(INDEX(aditivos!$O$2:$O$200,MATCH($A170,aditivos!$A$2:$A$200,0))),MIN(INDEX(aditivos!$O$2:$O$200,MATCH($A170,aditivos!$A$2:$A$200,0)),posicao_contratual!$Y170),posicao_contratual!$Y170),posicao_contratual!$Y170)+1),2))))))</f>
        <v/>
      </c>
      <c r="F170" s="79" t="str">
        <f>IF(OR($A170="",posicao_contratual!$Y170=""),"",IF(posicao_contratual!$Y170&gt;3,"",IF(NOT(ISNUMBER(itens_Remanesc!C170)),"",IF(posicao_contratual!$Y170=3,IF(IFERROR(IF(ISNUMBER(INDEX(aditivos!$O$2:$O$200,MATCH($A170,aditivos!$A$2:$A$200,0))),MIN(INDEX(aditivos!$O$2:$O$200,MATCH($A170,aditivos!$A$2:$A$200,0)),posicao_contratual!$Y170),posicao_contratual!$Y170),posicao_contratual!$Y170)=3,itens_Remanesc!C170,IFERROR(ROUND(itens_Remanesc!C170*INDEX($L$2:$L$6,MIN(3+1,COUNT($L$2:$L$6)))/INDEX($L$2:$L$6,MIN(IFERROR(IF(ISNUMBER(INDEX(aditivos!$O$2:$O$200,MATCH($A170,aditivos!$A$2:$A$200,0))),MIN(INDEX(aditivos!$O$2:$O$200,MATCH($A170,aditivos!$A$2:$A$200,0)),posicao_contratual!$Y170),posicao_contratual!$Y170),posicao_contratual!$Y170)+1,COUNT($L$2:$L$6))),2),"")),IF(OR(NOT(ISNUMBER($L$5)),NOT(ISNUMBER(INDEX($L$2:$L$6,IFERROR(IF(ISNUMBER(INDEX(aditivos!$O$2:$O$200,MATCH($A170,aditivos!$A$2:$A$200,0))),MIN(INDEX(aditivos!$O$2:$O$200,MATCH($A170,aditivos!$A$2:$A$200,0)),posicao_contratual!$Y170),posicao_contratual!$Y170),posicao_contratual!$Y170)+1)))),"",ROUND(itens_Remanesc!C170*$L$5/INDEX($L$2:$L$6,IFERROR(IF(ISNUMBER(INDEX(aditivos!$O$2:$O$200,MATCH($A170,aditivos!$A$2:$A$200,0))),MIN(INDEX(aditivos!$O$2:$O$200,MATCH($A170,aditivos!$A$2:$A$200,0)),posicao_contratual!$Y170),posicao_contratual!$Y170),posicao_contratual!$Y170)+1),2))))))</f>
        <v/>
      </c>
      <c r="G170" s="79" t="str">
        <f>IF(OR($A170="",posicao_contratual!$Y170=""),"",IF(posicao_contratual!$Y170&gt;4,"",IF(NOT(ISNUMBER(itens_Remanesc!C170)),"",IF(posicao_contratual!$Y170=4,IF(IFERROR(IF(ISNUMBER(INDEX(aditivos!$O$2:$O$200,MATCH($A170,aditivos!$A$2:$A$200,0))),MIN(INDEX(aditivos!$O$2:$O$200,MATCH($A170,aditivos!$A$2:$A$200,0)),posicao_contratual!$Y170),posicao_contratual!$Y170),posicao_contratual!$Y170)=4,itens_Remanesc!C170,IFERROR(ROUND(itens_Remanesc!C170*INDEX($L$2:$L$6,MIN(4+1,COUNT($L$2:$L$6)))/INDEX($L$2:$L$6,MIN(IFERROR(IF(ISNUMBER(INDEX(aditivos!$O$2:$O$200,MATCH($A170,aditivos!$A$2:$A$200,0))),MIN(INDEX(aditivos!$O$2:$O$200,MATCH($A170,aditivos!$A$2:$A$200,0)),posicao_contratual!$Y170),posicao_contratual!$Y170),posicao_contratual!$Y170)+1,COUNT($L$2:$L$6))),2),"")),IF(OR(NOT(ISNUMBER($L$6)),NOT(ISNUMBER(INDEX($L$2:$L$6,IFERROR(IF(ISNUMBER(INDEX(aditivos!$O$2:$O$200,MATCH($A170,aditivos!$A$2:$A$200,0))),MIN(INDEX(aditivos!$O$2:$O$200,MATCH($A170,aditivos!$A$2:$A$200,0)),posicao_contratual!$Y170),posicao_contratual!$Y170),posicao_contratual!$Y170)+1)))),"",ROUND(itens_Remanesc!C170*$L$6/INDEX($L$2:$L$6,IFERROR(IF(ISNUMBER(INDEX(aditivos!$O$2:$O$200,MATCH($A170,aditivos!$A$2:$A$200,0))),MIN(INDEX(aditivos!$O$2:$O$200,MATCH($A170,aditivos!$A$2:$A$200,0)),posicao_contratual!$Y170),posicao_contratual!$Y170),posicao_contratual!$Y170)+1),2))))))</f>
        <v/>
      </c>
      <c r="H170" s="116" t="str">
        <f t="shared" si="5"/>
        <v/>
      </c>
      <c r="I170" s="13"/>
      <c r="J170" s="13"/>
      <c r="K170" s="13"/>
      <c r="L170" s="13"/>
      <c r="M170" s="13"/>
      <c r="N170" s="147" t="str">
        <f>IF(A170="","",IF(posicao_contratual!$Y170="","",IF(posicao_contratual!$Y170&gt;0,"",posicao_contratual!E170)))</f>
        <v/>
      </c>
      <c r="O170" s="147" t="str">
        <f>IF(A170="","",IF(posicao_contratual!$Y170="","",IF(posicao_contratual!$Y170&gt;1,"",posicao_contratual!I170)))</f>
        <v/>
      </c>
      <c r="P170" s="147" t="str">
        <f>IF(A170="","",IF(posicao_contratual!$Y170="","",IF(posicao_contratual!$Y170&gt;2,"",posicao_contratual!M170)))</f>
        <v/>
      </c>
      <c r="Q170" s="147" t="str">
        <f>IF(A170="","",IF(posicao_contratual!$Y170="","",IF(posicao_contratual!$Y170&gt;3,"",posicao_contratual!Q170)))</f>
        <v/>
      </c>
      <c r="R170" s="147" t="str">
        <f>IF(A170="","",IF(posicao_contratual!$Y170="","",IF(posicao_contratual!$Y170&gt;4,"",posicao_contratual!U170)))</f>
        <v/>
      </c>
      <c r="S170" s="167" t="str">
        <f>IF(A170="","",posicao_contratual!G170)</f>
        <v/>
      </c>
      <c r="T170" s="167" t="str">
        <f>IF(A170="","",posicao_contratual!K170)</f>
        <v/>
      </c>
      <c r="U170" s="167" t="str">
        <f>IF(A170="","",posicao_contratual!O170)</f>
        <v/>
      </c>
      <c r="V170" s="167" t="str">
        <f>IF(A170="","",posicao_contratual!S170)</f>
        <v/>
      </c>
      <c r="W170" s="167" t="str">
        <f>IF(A170="","",posicao_contratual!W170)</f>
        <v/>
      </c>
    </row>
    <row r="171" spans="1:23" x14ac:dyDescent="0.35">
      <c r="A171" s="86" t="str">
        <f>IF(itens_Remanesc!A171="","",itens_Remanesc!A171)</f>
        <v/>
      </c>
      <c r="B171" s="85" t="str">
        <f>IF(A171="","",IF(posicao_contratual!$Y171="","",IF(posicao_contratual!$Y171&gt;0,"",posicao_contratual!G171)))</f>
        <v/>
      </c>
      <c r="C171" s="79" t="str">
        <f>IF(itens_Remanesc!A171="","",IF(posicao_contratual!$Y171="","",IF(posicao_contratual!$Y171&gt;0,"",itens_Remanesc!C171)))</f>
        <v/>
      </c>
      <c r="D171" s="79" t="str">
        <f>IF(OR($A171="",posicao_contratual!$Y171=""),"",IF(posicao_contratual!$Y171&gt;1,"",IF(NOT(ISNUMBER(itens_Remanesc!C171)),"",IF(posicao_contratual!$Y171=1,IF(IFERROR(IF(ISNUMBER(INDEX(aditivos!$O$2:$O$200,MATCH($A171,aditivos!$A$2:$A$200,0))),MIN(INDEX(aditivos!$O$2:$O$200,MATCH($A171,aditivos!$A$2:$A$200,0)),posicao_contratual!$Y171),posicao_contratual!$Y171),posicao_contratual!$Y171)=1,itens_Remanesc!C171,IFERROR(ROUND(itens_Remanesc!C171*INDEX($L$2:$L$6,MIN(1+1,COUNT($L$2:$L$6)))/INDEX($L$2:$L$6,MIN(IFERROR(IF(ISNUMBER(INDEX(aditivos!$O$2:$O$200,MATCH($A171,aditivos!$A$2:$A$200,0))),MIN(INDEX(aditivos!$O$2:$O$200,MATCH($A171,aditivos!$A$2:$A$200,0)),posicao_contratual!$Y171),posicao_contratual!$Y171),posicao_contratual!$Y171)+1,COUNT($L$2:$L$6))),2),"")),IF(OR(NOT(ISNUMBER($L$3)),NOT(ISNUMBER(INDEX($L$2:$L$6,IFERROR(IF(ISNUMBER(INDEX(aditivos!$O$2:$O$200,MATCH($A171,aditivos!$A$2:$A$200,0))),MIN(INDEX(aditivos!$O$2:$O$200,MATCH($A171,aditivos!$A$2:$A$200,0)),posicao_contratual!$Y171),posicao_contratual!$Y171),posicao_contratual!$Y171)+1)))),"",ROUND(itens_Remanesc!C171*$L$3/INDEX($L$2:$L$6,IFERROR(IF(ISNUMBER(INDEX(aditivos!$O$2:$O$200,MATCH($A171,aditivos!$A$2:$A$200,0))),MIN(INDEX(aditivos!$O$2:$O$200,MATCH($A171,aditivos!$A$2:$A$200,0)),posicao_contratual!$Y171),posicao_contratual!$Y171),posicao_contratual!$Y171)+1),2))))))</f>
        <v/>
      </c>
      <c r="E171" s="79" t="str">
        <f>IF(OR($A171="",posicao_contratual!$Y171=""),"",IF(posicao_contratual!$Y171&gt;2,"",IF(NOT(ISNUMBER(itens_Remanesc!C171)),"",IF(posicao_contratual!$Y171=2,IF(IFERROR(IF(ISNUMBER(INDEX(aditivos!$O$2:$O$200,MATCH($A171,aditivos!$A$2:$A$200,0))),MIN(INDEX(aditivos!$O$2:$O$200,MATCH($A171,aditivos!$A$2:$A$200,0)),posicao_contratual!$Y171),posicao_contratual!$Y171),posicao_contratual!$Y171)=2,itens_Remanesc!C171,IFERROR(ROUND(itens_Remanesc!C171*INDEX($L$2:$L$6,MIN(2+1,COUNT($L$2:$L$6)))/INDEX($L$2:$L$6,MIN(IFERROR(IF(ISNUMBER(INDEX(aditivos!$O$2:$O$200,MATCH($A171,aditivos!$A$2:$A$200,0))),MIN(INDEX(aditivos!$O$2:$O$200,MATCH($A171,aditivos!$A$2:$A$200,0)),posicao_contratual!$Y171),posicao_contratual!$Y171),posicao_contratual!$Y171)+1,COUNT($L$2:$L$6))),2),"")),IF(OR(NOT(ISNUMBER($L$4)),NOT(ISNUMBER(INDEX($L$2:$L$6,IFERROR(IF(ISNUMBER(INDEX(aditivos!$O$2:$O$200,MATCH($A171,aditivos!$A$2:$A$200,0))),MIN(INDEX(aditivos!$O$2:$O$200,MATCH($A171,aditivos!$A$2:$A$200,0)),posicao_contratual!$Y171),posicao_contratual!$Y171),posicao_contratual!$Y171)+1)))),"",ROUND(itens_Remanesc!C171*$L$4/INDEX($L$2:$L$6,IFERROR(IF(ISNUMBER(INDEX(aditivos!$O$2:$O$200,MATCH($A171,aditivos!$A$2:$A$200,0))),MIN(INDEX(aditivos!$O$2:$O$200,MATCH($A171,aditivos!$A$2:$A$200,0)),posicao_contratual!$Y171),posicao_contratual!$Y171),posicao_contratual!$Y171)+1),2))))))</f>
        <v/>
      </c>
      <c r="F171" s="79" t="str">
        <f>IF(OR($A171="",posicao_contratual!$Y171=""),"",IF(posicao_contratual!$Y171&gt;3,"",IF(NOT(ISNUMBER(itens_Remanesc!C171)),"",IF(posicao_contratual!$Y171=3,IF(IFERROR(IF(ISNUMBER(INDEX(aditivos!$O$2:$O$200,MATCH($A171,aditivos!$A$2:$A$200,0))),MIN(INDEX(aditivos!$O$2:$O$200,MATCH($A171,aditivos!$A$2:$A$200,0)),posicao_contratual!$Y171),posicao_contratual!$Y171),posicao_contratual!$Y171)=3,itens_Remanesc!C171,IFERROR(ROUND(itens_Remanesc!C171*INDEX($L$2:$L$6,MIN(3+1,COUNT($L$2:$L$6)))/INDEX($L$2:$L$6,MIN(IFERROR(IF(ISNUMBER(INDEX(aditivos!$O$2:$O$200,MATCH($A171,aditivos!$A$2:$A$200,0))),MIN(INDEX(aditivos!$O$2:$O$200,MATCH($A171,aditivos!$A$2:$A$200,0)),posicao_contratual!$Y171),posicao_contratual!$Y171),posicao_contratual!$Y171)+1,COUNT($L$2:$L$6))),2),"")),IF(OR(NOT(ISNUMBER($L$5)),NOT(ISNUMBER(INDEX($L$2:$L$6,IFERROR(IF(ISNUMBER(INDEX(aditivos!$O$2:$O$200,MATCH($A171,aditivos!$A$2:$A$200,0))),MIN(INDEX(aditivos!$O$2:$O$200,MATCH($A171,aditivos!$A$2:$A$200,0)),posicao_contratual!$Y171),posicao_contratual!$Y171),posicao_contratual!$Y171)+1)))),"",ROUND(itens_Remanesc!C171*$L$5/INDEX($L$2:$L$6,IFERROR(IF(ISNUMBER(INDEX(aditivos!$O$2:$O$200,MATCH($A171,aditivos!$A$2:$A$200,0))),MIN(INDEX(aditivos!$O$2:$O$200,MATCH($A171,aditivos!$A$2:$A$200,0)),posicao_contratual!$Y171),posicao_contratual!$Y171),posicao_contratual!$Y171)+1),2))))))</f>
        <v/>
      </c>
      <c r="G171" s="79" t="str">
        <f>IF(OR($A171="",posicao_contratual!$Y171=""),"",IF(posicao_contratual!$Y171&gt;4,"",IF(NOT(ISNUMBER(itens_Remanesc!C171)),"",IF(posicao_contratual!$Y171=4,IF(IFERROR(IF(ISNUMBER(INDEX(aditivos!$O$2:$O$200,MATCH($A171,aditivos!$A$2:$A$200,0))),MIN(INDEX(aditivos!$O$2:$O$200,MATCH($A171,aditivos!$A$2:$A$200,0)),posicao_contratual!$Y171),posicao_contratual!$Y171),posicao_contratual!$Y171)=4,itens_Remanesc!C171,IFERROR(ROUND(itens_Remanesc!C171*INDEX($L$2:$L$6,MIN(4+1,COUNT($L$2:$L$6)))/INDEX($L$2:$L$6,MIN(IFERROR(IF(ISNUMBER(INDEX(aditivos!$O$2:$O$200,MATCH($A171,aditivos!$A$2:$A$200,0))),MIN(INDEX(aditivos!$O$2:$O$200,MATCH($A171,aditivos!$A$2:$A$200,0)),posicao_contratual!$Y171),posicao_contratual!$Y171),posicao_contratual!$Y171)+1,COUNT($L$2:$L$6))),2),"")),IF(OR(NOT(ISNUMBER($L$6)),NOT(ISNUMBER(INDEX($L$2:$L$6,IFERROR(IF(ISNUMBER(INDEX(aditivos!$O$2:$O$200,MATCH($A171,aditivos!$A$2:$A$200,0))),MIN(INDEX(aditivos!$O$2:$O$200,MATCH($A171,aditivos!$A$2:$A$200,0)),posicao_contratual!$Y171),posicao_contratual!$Y171),posicao_contratual!$Y171)+1)))),"",ROUND(itens_Remanesc!C171*$L$6/INDEX($L$2:$L$6,IFERROR(IF(ISNUMBER(INDEX(aditivos!$O$2:$O$200,MATCH($A171,aditivos!$A$2:$A$200,0))),MIN(INDEX(aditivos!$O$2:$O$200,MATCH($A171,aditivos!$A$2:$A$200,0)),posicao_contratual!$Y171),posicao_contratual!$Y171),posicao_contratual!$Y171)+1),2))))))</f>
        <v/>
      </c>
      <c r="H171" s="116" t="str">
        <f t="shared" si="5"/>
        <v/>
      </c>
      <c r="I171" s="13"/>
      <c r="J171" s="13"/>
      <c r="K171" s="13"/>
      <c r="L171" s="13"/>
      <c r="M171" s="13"/>
      <c r="N171" s="147" t="str">
        <f>IF(A171="","",IF(posicao_contratual!$Y171="","",IF(posicao_contratual!$Y171&gt;0,"",posicao_contratual!E171)))</f>
        <v/>
      </c>
      <c r="O171" s="147" t="str">
        <f>IF(A171="","",IF(posicao_contratual!$Y171="","",IF(posicao_contratual!$Y171&gt;1,"",posicao_contratual!I171)))</f>
        <v/>
      </c>
      <c r="P171" s="147" t="str">
        <f>IF(A171="","",IF(posicao_contratual!$Y171="","",IF(posicao_contratual!$Y171&gt;2,"",posicao_contratual!M171)))</f>
        <v/>
      </c>
      <c r="Q171" s="147" t="str">
        <f>IF(A171="","",IF(posicao_contratual!$Y171="","",IF(posicao_contratual!$Y171&gt;3,"",posicao_contratual!Q171)))</f>
        <v/>
      </c>
      <c r="R171" s="147" t="str">
        <f>IF(A171="","",IF(posicao_contratual!$Y171="","",IF(posicao_contratual!$Y171&gt;4,"",posicao_contratual!U171)))</f>
        <v/>
      </c>
      <c r="S171" s="167" t="str">
        <f>IF(A171="","",posicao_contratual!G171)</f>
        <v/>
      </c>
      <c r="T171" s="167" t="str">
        <f>IF(A171="","",posicao_contratual!K171)</f>
        <v/>
      </c>
      <c r="U171" s="167" t="str">
        <f>IF(A171="","",posicao_contratual!O171)</f>
        <v/>
      </c>
      <c r="V171" s="167" t="str">
        <f>IF(A171="","",posicao_contratual!S171)</f>
        <v/>
      </c>
      <c r="W171" s="167" t="str">
        <f>IF(A171="","",posicao_contratual!W171)</f>
        <v/>
      </c>
    </row>
    <row r="172" spans="1:23" x14ac:dyDescent="0.35">
      <c r="A172" s="86" t="str">
        <f>IF(itens_Remanesc!A172="","",itens_Remanesc!A172)</f>
        <v/>
      </c>
      <c r="B172" s="85" t="str">
        <f>IF(A172="","",IF(posicao_contratual!$Y172="","",IF(posicao_contratual!$Y172&gt;0,"",posicao_contratual!G172)))</f>
        <v/>
      </c>
      <c r="C172" s="79" t="str">
        <f>IF(itens_Remanesc!A172="","",IF(posicao_contratual!$Y172="","",IF(posicao_contratual!$Y172&gt;0,"",itens_Remanesc!C172)))</f>
        <v/>
      </c>
      <c r="D172" s="79" t="str">
        <f>IF(OR($A172="",posicao_contratual!$Y172=""),"",IF(posicao_contratual!$Y172&gt;1,"",IF(NOT(ISNUMBER(itens_Remanesc!C172)),"",IF(posicao_contratual!$Y172=1,IF(IFERROR(IF(ISNUMBER(INDEX(aditivos!$O$2:$O$200,MATCH($A172,aditivos!$A$2:$A$200,0))),MIN(INDEX(aditivos!$O$2:$O$200,MATCH($A172,aditivos!$A$2:$A$200,0)),posicao_contratual!$Y172),posicao_contratual!$Y172),posicao_contratual!$Y172)=1,itens_Remanesc!C172,IFERROR(ROUND(itens_Remanesc!C172*INDEX($L$2:$L$6,MIN(1+1,COUNT($L$2:$L$6)))/INDEX($L$2:$L$6,MIN(IFERROR(IF(ISNUMBER(INDEX(aditivos!$O$2:$O$200,MATCH($A172,aditivos!$A$2:$A$200,0))),MIN(INDEX(aditivos!$O$2:$O$200,MATCH($A172,aditivos!$A$2:$A$200,0)),posicao_contratual!$Y172),posicao_contratual!$Y172),posicao_contratual!$Y172)+1,COUNT($L$2:$L$6))),2),"")),IF(OR(NOT(ISNUMBER($L$3)),NOT(ISNUMBER(INDEX($L$2:$L$6,IFERROR(IF(ISNUMBER(INDEX(aditivos!$O$2:$O$200,MATCH($A172,aditivos!$A$2:$A$200,0))),MIN(INDEX(aditivos!$O$2:$O$200,MATCH($A172,aditivos!$A$2:$A$200,0)),posicao_contratual!$Y172),posicao_contratual!$Y172),posicao_contratual!$Y172)+1)))),"",ROUND(itens_Remanesc!C172*$L$3/INDEX($L$2:$L$6,IFERROR(IF(ISNUMBER(INDEX(aditivos!$O$2:$O$200,MATCH($A172,aditivos!$A$2:$A$200,0))),MIN(INDEX(aditivos!$O$2:$O$200,MATCH($A172,aditivos!$A$2:$A$200,0)),posicao_contratual!$Y172),posicao_contratual!$Y172),posicao_contratual!$Y172)+1),2))))))</f>
        <v/>
      </c>
      <c r="E172" s="79" t="str">
        <f>IF(OR($A172="",posicao_contratual!$Y172=""),"",IF(posicao_contratual!$Y172&gt;2,"",IF(NOT(ISNUMBER(itens_Remanesc!C172)),"",IF(posicao_contratual!$Y172=2,IF(IFERROR(IF(ISNUMBER(INDEX(aditivos!$O$2:$O$200,MATCH($A172,aditivos!$A$2:$A$200,0))),MIN(INDEX(aditivos!$O$2:$O$200,MATCH($A172,aditivos!$A$2:$A$200,0)),posicao_contratual!$Y172),posicao_contratual!$Y172),posicao_contratual!$Y172)=2,itens_Remanesc!C172,IFERROR(ROUND(itens_Remanesc!C172*INDEX($L$2:$L$6,MIN(2+1,COUNT($L$2:$L$6)))/INDEX($L$2:$L$6,MIN(IFERROR(IF(ISNUMBER(INDEX(aditivos!$O$2:$O$200,MATCH($A172,aditivos!$A$2:$A$200,0))),MIN(INDEX(aditivos!$O$2:$O$200,MATCH($A172,aditivos!$A$2:$A$200,0)),posicao_contratual!$Y172),posicao_contratual!$Y172),posicao_contratual!$Y172)+1,COUNT($L$2:$L$6))),2),"")),IF(OR(NOT(ISNUMBER($L$4)),NOT(ISNUMBER(INDEX($L$2:$L$6,IFERROR(IF(ISNUMBER(INDEX(aditivos!$O$2:$O$200,MATCH($A172,aditivos!$A$2:$A$200,0))),MIN(INDEX(aditivos!$O$2:$O$200,MATCH($A172,aditivos!$A$2:$A$200,0)),posicao_contratual!$Y172),posicao_contratual!$Y172),posicao_contratual!$Y172)+1)))),"",ROUND(itens_Remanesc!C172*$L$4/INDEX($L$2:$L$6,IFERROR(IF(ISNUMBER(INDEX(aditivos!$O$2:$O$200,MATCH($A172,aditivos!$A$2:$A$200,0))),MIN(INDEX(aditivos!$O$2:$O$200,MATCH($A172,aditivos!$A$2:$A$200,0)),posicao_contratual!$Y172),posicao_contratual!$Y172),posicao_contratual!$Y172)+1),2))))))</f>
        <v/>
      </c>
      <c r="F172" s="79" t="str">
        <f>IF(OR($A172="",posicao_contratual!$Y172=""),"",IF(posicao_contratual!$Y172&gt;3,"",IF(NOT(ISNUMBER(itens_Remanesc!C172)),"",IF(posicao_contratual!$Y172=3,IF(IFERROR(IF(ISNUMBER(INDEX(aditivos!$O$2:$O$200,MATCH($A172,aditivos!$A$2:$A$200,0))),MIN(INDEX(aditivos!$O$2:$O$200,MATCH($A172,aditivos!$A$2:$A$200,0)),posicao_contratual!$Y172),posicao_contratual!$Y172),posicao_contratual!$Y172)=3,itens_Remanesc!C172,IFERROR(ROUND(itens_Remanesc!C172*INDEX($L$2:$L$6,MIN(3+1,COUNT($L$2:$L$6)))/INDEX($L$2:$L$6,MIN(IFERROR(IF(ISNUMBER(INDEX(aditivos!$O$2:$O$200,MATCH($A172,aditivos!$A$2:$A$200,0))),MIN(INDEX(aditivos!$O$2:$O$200,MATCH($A172,aditivos!$A$2:$A$200,0)),posicao_contratual!$Y172),posicao_contratual!$Y172),posicao_contratual!$Y172)+1,COUNT($L$2:$L$6))),2),"")),IF(OR(NOT(ISNUMBER($L$5)),NOT(ISNUMBER(INDEX($L$2:$L$6,IFERROR(IF(ISNUMBER(INDEX(aditivos!$O$2:$O$200,MATCH($A172,aditivos!$A$2:$A$200,0))),MIN(INDEX(aditivos!$O$2:$O$200,MATCH($A172,aditivos!$A$2:$A$200,0)),posicao_contratual!$Y172),posicao_contratual!$Y172),posicao_contratual!$Y172)+1)))),"",ROUND(itens_Remanesc!C172*$L$5/INDEX($L$2:$L$6,IFERROR(IF(ISNUMBER(INDEX(aditivos!$O$2:$O$200,MATCH($A172,aditivos!$A$2:$A$200,0))),MIN(INDEX(aditivos!$O$2:$O$200,MATCH($A172,aditivos!$A$2:$A$200,0)),posicao_contratual!$Y172),posicao_contratual!$Y172),posicao_contratual!$Y172)+1),2))))))</f>
        <v/>
      </c>
      <c r="G172" s="79" t="str">
        <f>IF(OR($A172="",posicao_contratual!$Y172=""),"",IF(posicao_contratual!$Y172&gt;4,"",IF(NOT(ISNUMBER(itens_Remanesc!C172)),"",IF(posicao_contratual!$Y172=4,IF(IFERROR(IF(ISNUMBER(INDEX(aditivos!$O$2:$O$200,MATCH($A172,aditivos!$A$2:$A$200,0))),MIN(INDEX(aditivos!$O$2:$O$200,MATCH($A172,aditivos!$A$2:$A$200,0)),posicao_contratual!$Y172),posicao_contratual!$Y172),posicao_contratual!$Y172)=4,itens_Remanesc!C172,IFERROR(ROUND(itens_Remanesc!C172*INDEX($L$2:$L$6,MIN(4+1,COUNT($L$2:$L$6)))/INDEX($L$2:$L$6,MIN(IFERROR(IF(ISNUMBER(INDEX(aditivos!$O$2:$O$200,MATCH($A172,aditivos!$A$2:$A$200,0))),MIN(INDEX(aditivos!$O$2:$O$200,MATCH($A172,aditivos!$A$2:$A$200,0)),posicao_contratual!$Y172),posicao_contratual!$Y172),posicao_contratual!$Y172)+1,COUNT($L$2:$L$6))),2),"")),IF(OR(NOT(ISNUMBER($L$6)),NOT(ISNUMBER(INDEX($L$2:$L$6,IFERROR(IF(ISNUMBER(INDEX(aditivos!$O$2:$O$200,MATCH($A172,aditivos!$A$2:$A$200,0))),MIN(INDEX(aditivos!$O$2:$O$200,MATCH($A172,aditivos!$A$2:$A$200,0)),posicao_contratual!$Y172),posicao_contratual!$Y172),posicao_contratual!$Y172)+1)))),"",ROUND(itens_Remanesc!C172*$L$6/INDEX($L$2:$L$6,IFERROR(IF(ISNUMBER(INDEX(aditivos!$O$2:$O$200,MATCH($A172,aditivos!$A$2:$A$200,0))),MIN(INDEX(aditivos!$O$2:$O$200,MATCH($A172,aditivos!$A$2:$A$200,0)),posicao_contratual!$Y172),posicao_contratual!$Y172),posicao_contratual!$Y172)+1),2))))))</f>
        <v/>
      </c>
      <c r="H172" s="116" t="str">
        <f t="shared" si="5"/>
        <v/>
      </c>
      <c r="I172" s="13"/>
      <c r="J172" s="13"/>
      <c r="K172" s="13"/>
      <c r="L172" s="13"/>
      <c r="M172" s="13"/>
      <c r="N172" s="147" t="str">
        <f>IF(A172="","",IF(posicao_contratual!$Y172="","",IF(posicao_contratual!$Y172&gt;0,"",posicao_contratual!E172)))</f>
        <v/>
      </c>
      <c r="O172" s="147" t="str">
        <f>IF(A172="","",IF(posicao_contratual!$Y172="","",IF(posicao_contratual!$Y172&gt;1,"",posicao_contratual!I172)))</f>
        <v/>
      </c>
      <c r="P172" s="147" t="str">
        <f>IF(A172="","",IF(posicao_contratual!$Y172="","",IF(posicao_contratual!$Y172&gt;2,"",posicao_contratual!M172)))</f>
        <v/>
      </c>
      <c r="Q172" s="147" t="str">
        <f>IF(A172="","",IF(posicao_contratual!$Y172="","",IF(posicao_contratual!$Y172&gt;3,"",posicao_contratual!Q172)))</f>
        <v/>
      </c>
      <c r="R172" s="147" t="str">
        <f>IF(A172="","",IF(posicao_contratual!$Y172="","",IF(posicao_contratual!$Y172&gt;4,"",posicao_contratual!U172)))</f>
        <v/>
      </c>
      <c r="S172" s="167" t="str">
        <f>IF(A172="","",posicao_contratual!G172)</f>
        <v/>
      </c>
      <c r="T172" s="167" t="str">
        <f>IF(A172="","",posicao_contratual!K172)</f>
        <v/>
      </c>
      <c r="U172" s="167" t="str">
        <f>IF(A172="","",posicao_contratual!O172)</f>
        <v/>
      </c>
      <c r="V172" s="167" t="str">
        <f>IF(A172="","",posicao_contratual!S172)</f>
        <v/>
      </c>
      <c r="W172" s="167" t="str">
        <f>IF(A172="","",posicao_contratual!W172)</f>
        <v/>
      </c>
    </row>
    <row r="173" spans="1:23" x14ac:dyDescent="0.35">
      <c r="A173" s="86" t="str">
        <f>IF(itens_Remanesc!A173="","",itens_Remanesc!A173)</f>
        <v/>
      </c>
      <c r="B173" s="85" t="str">
        <f>IF(A173="","",IF(posicao_contratual!$Y173="","",IF(posicao_contratual!$Y173&gt;0,"",posicao_contratual!G173)))</f>
        <v/>
      </c>
      <c r="C173" s="79" t="str">
        <f>IF(itens_Remanesc!A173="","",IF(posicao_contratual!$Y173="","",IF(posicao_contratual!$Y173&gt;0,"",itens_Remanesc!C173)))</f>
        <v/>
      </c>
      <c r="D173" s="79" t="str">
        <f>IF(OR($A173="",posicao_contratual!$Y173=""),"",IF(posicao_contratual!$Y173&gt;1,"",IF(NOT(ISNUMBER(itens_Remanesc!C173)),"",IF(posicao_contratual!$Y173=1,IF(IFERROR(IF(ISNUMBER(INDEX(aditivos!$O$2:$O$200,MATCH($A173,aditivos!$A$2:$A$200,0))),MIN(INDEX(aditivos!$O$2:$O$200,MATCH($A173,aditivos!$A$2:$A$200,0)),posicao_contratual!$Y173),posicao_contratual!$Y173),posicao_contratual!$Y173)=1,itens_Remanesc!C173,IFERROR(ROUND(itens_Remanesc!C173*INDEX($L$2:$L$6,MIN(1+1,COUNT($L$2:$L$6)))/INDEX($L$2:$L$6,MIN(IFERROR(IF(ISNUMBER(INDEX(aditivos!$O$2:$O$200,MATCH($A173,aditivos!$A$2:$A$200,0))),MIN(INDEX(aditivos!$O$2:$O$200,MATCH($A173,aditivos!$A$2:$A$200,0)),posicao_contratual!$Y173),posicao_contratual!$Y173),posicao_contratual!$Y173)+1,COUNT($L$2:$L$6))),2),"")),IF(OR(NOT(ISNUMBER($L$3)),NOT(ISNUMBER(INDEX($L$2:$L$6,IFERROR(IF(ISNUMBER(INDEX(aditivos!$O$2:$O$200,MATCH($A173,aditivos!$A$2:$A$200,0))),MIN(INDEX(aditivos!$O$2:$O$200,MATCH($A173,aditivos!$A$2:$A$200,0)),posicao_contratual!$Y173),posicao_contratual!$Y173),posicao_contratual!$Y173)+1)))),"",ROUND(itens_Remanesc!C173*$L$3/INDEX($L$2:$L$6,IFERROR(IF(ISNUMBER(INDEX(aditivos!$O$2:$O$200,MATCH($A173,aditivos!$A$2:$A$200,0))),MIN(INDEX(aditivos!$O$2:$O$200,MATCH($A173,aditivos!$A$2:$A$200,0)),posicao_contratual!$Y173),posicao_contratual!$Y173),posicao_contratual!$Y173)+1),2))))))</f>
        <v/>
      </c>
      <c r="E173" s="79" t="str">
        <f>IF(OR($A173="",posicao_contratual!$Y173=""),"",IF(posicao_contratual!$Y173&gt;2,"",IF(NOT(ISNUMBER(itens_Remanesc!C173)),"",IF(posicao_contratual!$Y173=2,IF(IFERROR(IF(ISNUMBER(INDEX(aditivos!$O$2:$O$200,MATCH($A173,aditivos!$A$2:$A$200,0))),MIN(INDEX(aditivos!$O$2:$O$200,MATCH($A173,aditivos!$A$2:$A$200,0)),posicao_contratual!$Y173),posicao_contratual!$Y173),posicao_contratual!$Y173)=2,itens_Remanesc!C173,IFERROR(ROUND(itens_Remanesc!C173*INDEX($L$2:$L$6,MIN(2+1,COUNT($L$2:$L$6)))/INDEX($L$2:$L$6,MIN(IFERROR(IF(ISNUMBER(INDEX(aditivos!$O$2:$O$200,MATCH($A173,aditivos!$A$2:$A$200,0))),MIN(INDEX(aditivos!$O$2:$O$200,MATCH($A173,aditivos!$A$2:$A$200,0)),posicao_contratual!$Y173),posicao_contratual!$Y173),posicao_contratual!$Y173)+1,COUNT($L$2:$L$6))),2),"")),IF(OR(NOT(ISNUMBER($L$4)),NOT(ISNUMBER(INDEX($L$2:$L$6,IFERROR(IF(ISNUMBER(INDEX(aditivos!$O$2:$O$200,MATCH($A173,aditivos!$A$2:$A$200,0))),MIN(INDEX(aditivos!$O$2:$O$200,MATCH($A173,aditivos!$A$2:$A$200,0)),posicao_contratual!$Y173),posicao_contratual!$Y173),posicao_contratual!$Y173)+1)))),"",ROUND(itens_Remanesc!C173*$L$4/INDEX($L$2:$L$6,IFERROR(IF(ISNUMBER(INDEX(aditivos!$O$2:$O$200,MATCH($A173,aditivos!$A$2:$A$200,0))),MIN(INDEX(aditivos!$O$2:$O$200,MATCH($A173,aditivos!$A$2:$A$200,0)),posicao_contratual!$Y173),posicao_contratual!$Y173),posicao_contratual!$Y173)+1),2))))))</f>
        <v/>
      </c>
      <c r="F173" s="79" t="str">
        <f>IF(OR($A173="",posicao_contratual!$Y173=""),"",IF(posicao_contratual!$Y173&gt;3,"",IF(NOT(ISNUMBER(itens_Remanesc!C173)),"",IF(posicao_contratual!$Y173=3,IF(IFERROR(IF(ISNUMBER(INDEX(aditivos!$O$2:$O$200,MATCH($A173,aditivos!$A$2:$A$200,0))),MIN(INDEX(aditivos!$O$2:$O$200,MATCH($A173,aditivos!$A$2:$A$200,0)),posicao_contratual!$Y173),posicao_contratual!$Y173),posicao_contratual!$Y173)=3,itens_Remanesc!C173,IFERROR(ROUND(itens_Remanesc!C173*INDEX($L$2:$L$6,MIN(3+1,COUNT($L$2:$L$6)))/INDEX($L$2:$L$6,MIN(IFERROR(IF(ISNUMBER(INDEX(aditivos!$O$2:$O$200,MATCH($A173,aditivos!$A$2:$A$200,0))),MIN(INDEX(aditivos!$O$2:$O$200,MATCH($A173,aditivos!$A$2:$A$200,0)),posicao_contratual!$Y173),posicao_contratual!$Y173),posicao_contratual!$Y173)+1,COUNT($L$2:$L$6))),2),"")),IF(OR(NOT(ISNUMBER($L$5)),NOT(ISNUMBER(INDEX($L$2:$L$6,IFERROR(IF(ISNUMBER(INDEX(aditivos!$O$2:$O$200,MATCH($A173,aditivos!$A$2:$A$200,0))),MIN(INDEX(aditivos!$O$2:$O$200,MATCH($A173,aditivos!$A$2:$A$200,0)),posicao_contratual!$Y173),posicao_contratual!$Y173),posicao_contratual!$Y173)+1)))),"",ROUND(itens_Remanesc!C173*$L$5/INDEX($L$2:$L$6,IFERROR(IF(ISNUMBER(INDEX(aditivos!$O$2:$O$200,MATCH($A173,aditivos!$A$2:$A$200,0))),MIN(INDEX(aditivos!$O$2:$O$200,MATCH($A173,aditivos!$A$2:$A$200,0)),posicao_contratual!$Y173),posicao_contratual!$Y173),posicao_contratual!$Y173)+1),2))))))</f>
        <v/>
      </c>
      <c r="G173" s="79" t="str">
        <f>IF(OR($A173="",posicao_contratual!$Y173=""),"",IF(posicao_contratual!$Y173&gt;4,"",IF(NOT(ISNUMBER(itens_Remanesc!C173)),"",IF(posicao_contratual!$Y173=4,IF(IFERROR(IF(ISNUMBER(INDEX(aditivos!$O$2:$O$200,MATCH($A173,aditivos!$A$2:$A$200,0))),MIN(INDEX(aditivos!$O$2:$O$200,MATCH($A173,aditivos!$A$2:$A$200,0)),posicao_contratual!$Y173),posicao_contratual!$Y173),posicao_contratual!$Y173)=4,itens_Remanesc!C173,IFERROR(ROUND(itens_Remanesc!C173*INDEX($L$2:$L$6,MIN(4+1,COUNT($L$2:$L$6)))/INDEX($L$2:$L$6,MIN(IFERROR(IF(ISNUMBER(INDEX(aditivos!$O$2:$O$200,MATCH($A173,aditivos!$A$2:$A$200,0))),MIN(INDEX(aditivos!$O$2:$O$200,MATCH($A173,aditivos!$A$2:$A$200,0)),posicao_contratual!$Y173),posicao_contratual!$Y173),posicao_contratual!$Y173)+1,COUNT($L$2:$L$6))),2),"")),IF(OR(NOT(ISNUMBER($L$6)),NOT(ISNUMBER(INDEX($L$2:$L$6,IFERROR(IF(ISNUMBER(INDEX(aditivos!$O$2:$O$200,MATCH($A173,aditivos!$A$2:$A$200,0))),MIN(INDEX(aditivos!$O$2:$O$200,MATCH($A173,aditivos!$A$2:$A$200,0)),posicao_contratual!$Y173),posicao_contratual!$Y173),posicao_contratual!$Y173)+1)))),"",ROUND(itens_Remanesc!C173*$L$6/INDEX($L$2:$L$6,IFERROR(IF(ISNUMBER(INDEX(aditivos!$O$2:$O$200,MATCH($A173,aditivos!$A$2:$A$200,0))),MIN(INDEX(aditivos!$O$2:$O$200,MATCH($A173,aditivos!$A$2:$A$200,0)),posicao_contratual!$Y173),posicao_contratual!$Y173),posicao_contratual!$Y173)+1),2))))))</f>
        <v/>
      </c>
      <c r="H173" s="116" t="str">
        <f t="shared" si="5"/>
        <v/>
      </c>
      <c r="I173" s="13"/>
      <c r="J173" s="13"/>
      <c r="K173" s="13"/>
      <c r="L173" s="13"/>
      <c r="M173" s="13"/>
      <c r="N173" s="147" t="str">
        <f>IF(A173="","",IF(posicao_contratual!$Y173="","",IF(posicao_contratual!$Y173&gt;0,"",posicao_contratual!E173)))</f>
        <v/>
      </c>
      <c r="O173" s="147" t="str">
        <f>IF(A173="","",IF(posicao_contratual!$Y173="","",IF(posicao_contratual!$Y173&gt;1,"",posicao_contratual!I173)))</f>
        <v/>
      </c>
      <c r="P173" s="147" t="str">
        <f>IF(A173="","",IF(posicao_contratual!$Y173="","",IF(posicao_contratual!$Y173&gt;2,"",posicao_contratual!M173)))</f>
        <v/>
      </c>
      <c r="Q173" s="147" t="str">
        <f>IF(A173="","",IF(posicao_contratual!$Y173="","",IF(posicao_contratual!$Y173&gt;3,"",posicao_contratual!Q173)))</f>
        <v/>
      </c>
      <c r="R173" s="147" t="str">
        <f>IF(A173="","",IF(posicao_contratual!$Y173="","",IF(posicao_contratual!$Y173&gt;4,"",posicao_contratual!U173)))</f>
        <v/>
      </c>
      <c r="S173" s="167" t="str">
        <f>IF(A173="","",posicao_contratual!G173)</f>
        <v/>
      </c>
      <c r="T173" s="167" t="str">
        <f>IF(A173="","",posicao_contratual!K173)</f>
        <v/>
      </c>
      <c r="U173" s="167" t="str">
        <f>IF(A173="","",posicao_contratual!O173)</f>
        <v/>
      </c>
      <c r="V173" s="167" t="str">
        <f>IF(A173="","",posicao_contratual!S173)</f>
        <v/>
      </c>
      <c r="W173" s="167" t="str">
        <f>IF(A173="","",posicao_contratual!W173)</f>
        <v/>
      </c>
    </row>
    <row r="174" spans="1:23" x14ac:dyDescent="0.35">
      <c r="A174" s="86" t="str">
        <f>IF(itens_Remanesc!A174="","",itens_Remanesc!A174)</f>
        <v/>
      </c>
      <c r="B174" s="85" t="str">
        <f>IF(A174="","",IF(posicao_contratual!$Y174="","",IF(posicao_contratual!$Y174&gt;0,"",posicao_contratual!G174)))</f>
        <v/>
      </c>
      <c r="C174" s="79" t="str">
        <f>IF(itens_Remanesc!A174="","",IF(posicao_contratual!$Y174="","",IF(posicao_contratual!$Y174&gt;0,"",itens_Remanesc!C174)))</f>
        <v/>
      </c>
      <c r="D174" s="79" t="str">
        <f>IF(OR($A174="",posicao_contratual!$Y174=""),"",IF(posicao_contratual!$Y174&gt;1,"",IF(NOT(ISNUMBER(itens_Remanesc!C174)),"",IF(posicao_contratual!$Y174=1,IF(IFERROR(IF(ISNUMBER(INDEX(aditivos!$O$2:$O$200,MATCH($A174,aditivos!$A$2:$A$200,0))),MIN(INDEX(aditivos!$O$2:$O$200,MATCH($A174,aditivos!$A$2:$A$200,0)),posicao_contratual!$Y174),posicao_contratual!$Y174),posicao_contratual!$Y174)=1,itens_Remanesc!C174,IFERROR(ROUND(itens_Remanesc!C174*INDEX($L$2:$L$6,MIN(1+1,COUNT($L$2:$L$6)))/INDEX($L$2:$L$6,MIN(IFERROR(IF(ISNUMBER(INDEX(aditivos!$O$2:$O$200,MATCH($A174,aditivos!$A$2:$A$200,0))),MIN(INDEX(aditivos!$O$2:$O$200,MATCH($A174,aditivos!$A$2:$A$200,0)),posicao_contratual!$Y174),posicao_contratual!$Y174),posicao_contratual!$Y174)+1,COUNT($L$2:$L$6))),2),"")),IF(OR(NOT(ISNUMBER($L$3)),NOT(ISNUMBER(INDEX($L$2:$L$6,IFERROR(IF(ISNUMBER(INDEX(aditivos!$O$2:$O$200,MATCH($A174,aditivos!$A$2:$A$200,0))),MIN(INDEX(aditivos!$O$2:$O$200,MATCH($A174,aditivos!$A$2:$A$200,0)),posicao_contratual!$Y174),posicao_contratual!$Y174),posicao_contratual!$Y174)+1)))),"",ROUND(itens_Remanesc!C174*$L$3/INDEX($L$2:$L$6,IFERROR(IF(ISNUMBER(INDEX(aditivos!$O$2:$O$200,MATCH($A174,aditivos!$A$2:$A$200,0))),MIN(INDEX(aditivos!$O$2:$O$200,MATCH($A174,aditivos!$A$2:$A$200,0)),posicao_contratual!$Y174),posicao_contratual!$Y174),posicao_contratual!$Y174)+1),2))))))</f>
        <v/>
      </c>
      <c r="E174" s="79" t="str">
        <f>IF(OR($A174="",posicao_contratual!$Y174=""),"",IF(posicao_contratual!$Y174&gt;2,"",IF(NOT(ISNUMBER(itens_Remanesc!C174)),"",IF(posicao_contratual!$Y174=2,IF(IFERROR(IF(ISNUMBER(INDEX(aditivos!$O$2:$O$200,MATCH($A174,aditivos!$A$2:$A$200,0))),MIN(INDEX(aditivos!$O$2:$O$200,MATCH($A174,aditivos!$A$2:$A$200,0)),posicao_contratual!$Y174),posicao_contratual!$Y174),posicao_contratual!$Y174)=2,itens_Remanesc!C174,IFERROR(ROUND(itens_Remanesc!C174*INDEX($L$2:$L$6,MIN(2+1,COUNT($L$2:$L$6)))/INDEX($L$2:$L$6,MIN(IFERROR(IF(ISNUMBER(INDEX(aditivos!$O$2:$O$200,MATCH($A174,aditivos!$A$2:$A$200,0))),MIN(INDEX(aditivos!$O$2:$O$200,MATCH($A174,aditivos!$A$2:$A$200,0)),posicao_contratual!$Y174),posicao_contratual!$Y174),posicao_contratual!$Y174)+1,COUNT($L$2:$L$6))),2),"")),IF(OR(NOT(ISNUMBER($L$4)),NOT(ISNUMBER(INDEX($L$2:$L$6,IFERROR(IF(ISNUMBER(INDEX(aditivos!$O$2:$O$200,MATCH($A174,aditivos!$A$2:$A$200,0))),MIN(INDEX(aditivos!$O$2:$O$200,MATCH($A174,aditivos!$A$2:$A$200,0)),posicao_contratual!$Y174),posicao_contratual!$Y174),posicao_contratual!$Y174)+1)))),"",ROUND(itens_Remanesc!C174*$L$4/INDEX($L$2:$L$6,IFERROR(IF(ISNUMBER(INDEX(aditivos!$O$2:$O$200,MATCH($A174,aditivos!$A$2:$A$200,0))),MIN(INDEX(aditivos!$O$2:$O$200,MATCH($A174,aditivos!$A$2:$A$200,0)),posicao_contratual!$Y174),posicao_contratual!$Y174),posicao_contratual!$Y174)+1),2))))))</f>
        <v/>
      </c>
      <c r="F174" s="79" t="str">
        <f>IF(OR($A174="",posicao_contratual!$Y174=""),"",IF(posicao_contratual!$Y174&gt;3,"",IF(NOT(ISNUMBER(itens_Remanesc!C174)),"",IF(posicao_contratual!$Y174=3,IF(IFERROR(IF(ISNUMBER(INDEX(aditivos!$O$2:$O$200,MATCH($A174,aditivos!$A$2:$A$200,0))),MIN(INDEX(aditivos!$O$2:$O$200,MATCH($A174,aditivos!$A$2:$A$200,0)),posicao_contratual!$Y174),posicao_contratual!$Y174),posicao_contratual!$Y174)=3,itens_Remanesc!C174,IFERROR(ROUND(itens_Remanesc!C174*INDEX($L$2:$L$6,MIN(3+1,COUNT($L$2:$L$6)))/INDEX($L$2:$L$6,MIN(IFERROR(IF(ISNUMBER(INDEX(aditivos!$O$2:$O$200,MATCH($A174,aditivos!$A$2:$A$200,0))),MIN(INDEX(aditivos!$O$2:$O$200,MATCH($A174,aditivos!$A$2:$A$200,0)),posicao_contratual!$Y174),posicao_contratual!$Y174),posicao_contratual!$Y174)+1,COUNT($L$2:$L$6))),2),"")),IF(OR(NOT(ISNUMBER($L$5)),NOT(ISNUMBER(INDEX($L$2:$L$6,IFERROR(IF(ISNUMBER(INDEX(aditivos!$O$2:$O$200,MATCH($A174,aditivos!$A$2:$A$200,0))),MIN(INDEX(aditivos!$O$2:$O$200,MATCH($A174,aditivos!$A$2:$A$200,0)),posicao_contratual!$Y174),posicao_contratual!$Y174),posicao_contratual!$Y174)+1)))),"",ROUND(itens_Remanesc!C174*$L$5/INDEX($L$2:$L$6,IFERROR(IF(ISNUMBER(INDEX(aditivos!$O$2:$O$200,MATCH($A174,aditivos!$A$2:$A$200,0))),MIN(INDEX(aditivos!$O$2:$O$200,MATCH($A174,aditivos!$A$2:$A$200,0)),posicao_contratual!$Y174),posicao_contratual!$Y174),posicao_contratual!$Y174)+1),2))))))</f>
        <v/>
      </c>
      <c r="G174" s="79" t="str">
        <f>IF(OR($A174="",posicao_contratual!$Y174=""),"",IF(posicao_contratual!$Y174&gt;4,"",IF(NOT(ISNUMBER(itens_Remanesc!C174)),"",IF(posicao_contratual!$Y174=4,IF(IFERROR(IF(ISNUMBER(INDEX(aditivos!$O$2:$O$200,MATCH($A174,aditivos!$A$2:$A$200,0))),MIN(INDEX(aditivos!$O$2:$O$200,MATCH($A174,aditivos!$A$2:$A$200,0)),posicao_contratual!$Y174),posicao_contratual!$Y174),posicao_contratual!$Y174)=4,itens_Remanesc!C174,IFERROR(ROUND(itens_Remanesc!C174*INDEX($L$2:$L$6,MIN(4+1,COUNT($L$2:$L$6)))/INDEX($L$2:$L$6,MIN(IFERROR(IF(ISNUMBER(INDEX(aditivos!$O$2:$O$200,MATCH($A174,aditivos!$A$2:$A$200,0))),MIN(INDEX(aditivos!$O$2:$O$200,MATCH($A174,aditivos!$A$2:$A$200,0)),posicao_contratual!$Y174),posicao_contratual!$Y174),posicao_contratual!$Y174)+1,COUNT($L$2:$L$6))),2),"")),IF(OR(NOT(ISNUMBER($L$6)),NOT(ISNUMBER(INDEX($L$2:$L$6,IFERROR(IF(ISNUMBER(INDEX(aditivos!$O$2:$O$200,MATCH($A174,aditivos!$A$2:$A$200,0))),MIN(INDEX(aditivos!$O$2:$O$200,MATCH($A174,aditivos!$A$2:$A$200,0)),posicao_contratual!$Y174),posicao_contratual!$Y174),posicao_contratual!$Y174)+1)))),"",ROUND(itens_Remanesc!C174*$L$6/INDEX($L$2:$L$6,IFERROR(IF(ISNUMBER(INDEX(aditivos!$O$2:$O$200,MATCH($A174,aditivos!$A$2:$A$200,0))),MIN(INDEX(aditivos!$O$2:$O$200,MATCH($A174,aditivos!$A$2:$A$200,0)),posicao_contratual!$Y174),posicao_contratual!$Y174),posicao_contratual!$Y174)+1),2))))))</f>
        <v/>
      </c>
      <c r="H174" s="116" t="str">
        <f t="shared" si="5"/>
        <v/>
      </c>
      <c r="I174" s="13"/>
      <c r="J174" s="13"/>
      <c r="K174" s="13"/>
      <c r="L174" s="13"/>
      <c r="M174" s="13"/>
      <c r="N174" s="147" t="str">
        <f>IF(A174="","",IF(posicao_contratual!$Y174="","",IF(posicao_contratual!$Y174&gt;0,"",posicao_contratual!E174)))</f>
        <v/>
      </c>
      <c r="O174" s="147" t="str">
        <f>IF(A174="","",IF(posicao_contratual!$Y174="","",IF(posicao_contratual!$Y174&gt;1,"",posicao_contratual!I174)))</f>
        <v/>
      </c>
      <c r="P174" s="147" t="str">
        <f>IF(A174="","",IF(posicao_contratual!$Y174="","",IF(posicao_contratual!$Y174&gt;2,"",posicao_contratual!M174)))</f>
        <v/>
      </c>
      <c r="Q174" s="147" t="str">
        <f>IF(A174="","",IF(posicao_contratual!$Y174="","",IF(posicao_contratual!$Y174&gt;3,"",posicao_contratual!Q174)))</f>
        <v/>
      </c>
      <c r="R174" s="147" t="str">
        <f>IF(A174="","",IF(posicao_contratual!$Y174="","",IF(posicao_contratual!$Y174&gt;4,"",posicao_contratual!U174)))</f>
        <v/>
      </c>
      <c r="S174" s="167" t="str">
        <f>IF(A174="","",posicao_contratual!G174)</f>
        <v/>
      </c>
      <c r="T174" s="167" t="str">
        <f>IF(A174="","",posicao_contratual!K174)</f>
        <v/>
      </c>
      <c r="U174" s="167" t="str">
        <f>IF(A174="","",posicao_contratual!O174)</f>
        <v/>
      </c>
      <c r="V174" s="167" t="str">
        <f>IF(A174="","",posicao_contratual!S174)</f>
        <v/>
      </c>
      <c r="W174" s="167" t="str">
        <f>IF(A174="","",posicao_contratual!W174)</f>
        <v/>
      </c>
    </row>
    <row r="175" spans="1:23" x14ac:dyDescent="0.35">
      <c r="A175" s="86" t="str">
        <f>IF(itens_Remanesc!A175="","",itens_Remanesc!A175)</f>
        <v/>
      </c>
      <c r="B175" s="85" t="str">
        <f>IF(A175="","",IF(posicao_contratual!$Y175="","",IF(posicao_contratual!$Y175&gt;0,"",posicao_contratual!G175)))</f>
        <v/>
      </c>
      <c r="C175" s="79" t="str">
        <f>IF(itens_Remanesc!A175="","",IF(posicao_contratual!$Y175="","",IF(posicao_contratual!$Y175&gt;0,"",itens_Remanesc!C175)))</f>
        <v/>
      </c>
      <c r="D175" s="79" t="str">
        <f>IF(OR($A175="",posicao_contratual!$Y175=""),"",IF(posicao_contratual!$Y175&gt;1,"",IF(NOT(ISNUMBER(itens_Remanesc!C175)),"",IF(posicao_contratual!$Y175=1,IF(IFERROR(IF(ISNUMBER(INDEX(aditivos!$O$2:$O$200,MATCH($A175,aditivos!$A$2:$A$200,0))),MIN(INDEX(aditivos!$O$2:$O$200,MATCH($A175,aditivos!$A$2:$A$200,0)),posicao_contratual!$Y175),posicao_contratual!$Y175),posicao_contratual!$Y175)=1,itens_Remanesc!C175,IFERROR(ROUND(itens_Remanesc!C175*INDEX($L$2:$L$6,MIN(1+1,COUNT($L$2:$L$6)))/INDEX($L$2:$L$6,MIN(IFERROR(IF(ISNUMBER(INDEX(aditivos!$O$2:$O$200,MATCH($A175,aditivos!$A$2:$A$200,0))),MIN(INDEX(aditivos!$O$2:$O$200,MATCH($A175,aditivos!$A$2:$A$200,0)),posicao_contratual!$Y175),posicao_contratual!$Y175),posicao_contratual!$Y175)+1,COUNT($L$2:$L$6))),2),"")),IF(OR(NOT(ISNUMBER($L$3)),NOT(ISNUMBER(INDEX($L$2:$L$6,IFERROR(IF(ISNUMBER(INDEX(aditivos!$O$2:$O$200,MATCH($A175,aditivos!$A$2:$A$200,0))),MIN(INDEX(aditivos!$O$2:$O$200,MATCH($A175,aditivos!$A$2:$A$200,0)),posicao_contratual!$Y175),posicao_contratual!$Y175),posicao_contratual!$Y175)+1)))),"",ROUND(itens_Remanesc!C175*$L$3/INDEX($L$2:$L$6,IFERROR(IF(ISNUMBER(INDEX(aditivos!$O$2:$O$200,MATCH($A175,aditivos!$A$2:$A$200,0))),MIN(INDEX(aditivos!$O$2:$O$200,MATCH($A175,aditivos!$A$2:$A$200,0)),posicao_contratual!$Y175),posicao_contratual!$Y175),posicao_contratual!$Y175)+1),2))))))</f>
        <v/>
      </c>
      <c r="E175" s="79" t="str">
        <f>IF(OR($A175="",posicao_contratual!$Y175=""),"",IF(posicao_contratual!$Y175&gt;2,"",IF(NOT(ISNUMBER(itens_Remanesc!C175)),"",IF(posicao_contratual!$Y175=2,IF(IFERROR(IF(ISNUMBER(INDEX(aditivos!$O$2:$O$200,MATCH($A175,aditivos!$A$2:$A$200,0))),MIN(INDEX(aditivos!$O$2:$O$200,MATCH($A175,aditivos!$A$2:$A$200,0)),posicao_contratual!$Y175),posicao_contratual!$Y175),posicao_contratual!$Y175)=2,itens_Remanesc!C175,IFERROR(ROUND(itens_Remanesc!C175*INDEX($L$2:$L$6,MIN(2+1,COUNT($L$2:$L$6)))/INDEX($L$2:$L$6,MIN(IFERROR(IF(ISNUMBER(INDEX(aditivos!$O$2:$O$200,MATCH($A175,aditivos!$A$2:$A$200,0))),MIN(INDEX(aditivos!$O$2:$O$200,MATCH($A175,aditivos!$A$2:$A$200,0)),posicao_contratual!$Y175),posicao_contratual!$Y175),posicao_contratual!$Y175)+1,COUNT($L$2:$L$6))),2),"")),IF(OR(NOT(ISNUMBER($L$4)),NOT(ISNUMBER(INDEX($L$2:$L$6,IFERROR(IF(ISNUMBER(INDEX(aditivos!$O$2:$O$200,MATCH($A175,aditivos!$A$2:$A$200,0))),MIN(INDEX(aditivos!$O$2:$O$200,MATCH($A175,aditivos!$A$2:$A$200,0)),posicao_contratual!$Y175),posicao_contratual!$Y175),posicao_contratual!$Y175)+1)))),"",ROUND(itens_Remanesc!C175*$L$4/INDEX($L$2:$L$6,IFERROR(IF(ISNUMBER(INDEX(aditivos!$O$2:$O$200,MATCH($A175,aditivos!$A$2:$A$200,0))),MIN(INDEX(aditivos!$O$2:$O$200,MATCH($A175,aditivos!$A$2:$A$200,0)),posicao_contratual!$Y175),posicao_contratual!$Y175),posicao_contratual!$Y175)+1),2))))))</f>
        <v/>
      </c>
      <c r="F175" s="79" t="str">
        <f>IF(OR($A175="",posicao_contratual!$Y175=""),"",IF(posicao_contratual!$Y175&gt;3,"",IF(NOT(ISNUMBER(itens_Remanesc!C175)),"",IF(posicao_contratual!$Y175=3,IF(IFERROR(IF(ISNUMBER(INDEX(aditivos!$O$2:$O$200,MATCH($A175,aditivos!$A$2:$A$200,0))),MIN(INDEX(aditivos!$O$2:$O$200,MATCH($A175,aditivos!$A$2:$A$200,0)),posicao_contratual!$Y175),posicao_contratual!$Y175),posicao_contratual!$Y175)=3,itens_Remanesc!C175,IFERROR(ROUND(itens_Remanesc!C175*INDEX($L$2:$L$6,MIN(3+1,COUNT($L$2:$L$6)))/INDEX($L$2:$L$6,MIN(IFERROR(IF(ISNUMBER(INDEX(aditivos!$O$2:$O$200,MATCH($A175,aditivos!$A$2:$A$200,0))),MIN(INDEX(aditivos!$O$2:$O$200,MATCH($A175,aditivos!$A$2:$A$200,0)),posicao_contratual!$Y175),posicao_contratual!$Y175),posicao_contratual!$Y175)+1,COUNT($L$2:$L$6))),2),"")),IF(OR(NOT(ISNUMBER($L$5)),NOT(ISNUMBER(INDEX($L$2:$L$6,IFERROR(IF(ISNUMBER(INDEX(aditivos!$O$2:$O$200,MATCH($A175,aditivos!$A$2:$A$200,0))),MIN(INDEX(aditivos!$O$2:$O$200,MATCH($A175,aditivos!$A$2:$A$200,0)),posicao_contratual!$Y175),posicao_contratual!$Y175),posicao_contratual!$Y175)+1)))),"",ROUND(itens_Remanesc!C175*$L$5/INDEX($L$2:$L$6,IFERROR(IF(ISNUMBER(INDEX(aditivos!$O$2:$O$200,MATCH($A175,aditivos!$A$2:$A$200,0))),MIN(INDEX(aditivos!$O$2:$O$200,MATCH($A175,aditivos!$A$2:$A$200,0)),posicao_contratual!$Y175),posicao_contratual!$Y175),posicao_contratual!$Y175)+1),2))))))</f>
        <v/>
      </c>
      <c r="G175" s="79" t="str">
        <f>IF(OR($A175="",posicao_contratual!$Y175=""),"",IF(posicao_contratual!$Y175&gt;4,"",IF(NOT(ISNUMBER(itens_Remanesc!C175)),"",IF(posicao_contratual!$Y175=4,IF(IFERROR(IF(ISNUMBER(INDEX(aditivos!$O$2:$O$200,MATCH($A175,aditivos!$A$2:$A$200,0))),MIN(INDEX(aditivos!$O$2:$O$200,MATCH($A175,aditivos!$A$2:$A$200,0)),posicao_contratual!$Y175),posicao_contratual!$Y175),posicao_contratual!$Y175)=4,itens_Remanesc!C175,IFERROR(ROUND(itens_Remanesc!C175*INDEX($L$2:$L$6,MIN(4+1,COUNT($L$2:$L$6)))/INDEX($L$2:$L$6,MIN(IFERROR(IF(ISNUMBER(INDEX(aditivos!$O$2:$O$200,MATCH($A175,aditivos!$A$2:$A$200,0))),MIN(INDEX(aditivos!$O$2:$O$200,MATCH($A175,aditivos!$A$2:$A$200,0)),posicao_contratual!$Y175),posicao_contratual!$Y175),posicao_contratual!$Y175)+1,COUNT($L$2:$L$6))),2),"")),IF(OR(NOT(ISNUMBER($L$6)),NOT(ISNUMBER(INDEX($L$2:$L$6,IFERROR(IF(ISNUMBER(INDEX(aditivos!$O$2:$O$200,MATCH($A175,aditivos!$A$2:$A$200,0))),MIN(INDEX(aditivos!$O$2:$O$200,MATCH($A175,aditivos!$A$2:$A$200,0)),posicao_contratual!$Y175),posicao_contratual!$Y175),posicao_contratual!$Y175)+1)))),"",ROUND(itens_Remanesc!C175*$L$6/INDEX($L$2:$L$6,IFERROR(IF(ISNUMBER(INDEX(aditivos!$O$2:$O$200,MATCH($A175,aditivos!$A$2:$A$200,0))),MIN(INDEX(aditivos!$O$2:$O$200,MATCH($A175,aditivos!$A$2:$A$200,0)),posicao_contratual!$Y175),posicao_contratual!$Y175),posicao_contratual!$Y175)+1),2))))))</f>
        <v/>
      </c>
      <c r="H175" s="116" t="str">
        <f t="shared" si="5"/>
        <v/>
      </c>
      <c r="I175" s="13"/>
      <c r="J175" s="13"/>
      <c r="K175" s="13"/>
      <c r="L175" s="13"/>
      <c r="M175" s="13"/>
      <c r="N175" s="147" t="str">
        <f>IF(A175="","",IF(posicao_contratual!$Y175="","",IF(posicao_contratual!$Y175&gt;0,"",posicao_contratual!E175)))</f>
        <v/>
      </c>
      <c r="O175" s="147" t="str">
        <f>IF(A175="","",IF(posicao_contratual!$Y175="","",IF(posicao_contratual!$Y175&gt;1,"",posicao_contratual!I175)))</f>
        <v/>
      </c>
      <c r="P175" s="147" t="str">
        <f>IF(A175="","",IF(posicao_contratual!$Y175="","",IF(posicao_contratual!$Y175&gt;2,"",posicao_contratual!M175)))</f>
        <v/>
      </c>
      <c r="Q175" s="147" t="str">
        <f>IF(A175="","",IF(posicao_contratual!$Y175="","",IF(posicao_contratual!$Y175&gt;3,"",posicao_contratual!Q175)))</f>
        <v/>
      </c>
      <c r="R175" s="147" t="str">
        <f>IF(A175="","",IF(posicao_contratual!$Y175="","",IF(posicao_contratual!$Y175&gt;4,"",posicao_contratual!U175)))</f>
        <v/>
      </c>
      <c r="S175" s="167" t="str">
        <f>IF(A175="","",posicao_contratual!G175)</f>
        <v/>
      </c>
      <c r="T175" s="167" t="str">
        <f>IF(A175="","",posicao_contratual!K175)</f>
        <v/>
      </c>
      <c r="U175" s="167" t="str">
        <f>IF(A175="","",posicao_contratual!O175)</f>
        <v/>
      </c>
      <c r="V175" s="167" t="str">
        <f>IF(A175="","",posicao_contratual!S175)</f>
        <v/>
      </c>
      <c r="W175" s="167" t="str">
        <f>IF(A175="","",posicao_contratual!W175)</f>
        <v/>
      </c>
    </row>
    <row r="176" spans="1:23" x14ac:dyDescent="0.35">
      <c r="A176" s="86" t="str">
        <f>IF(itens_Remanesc!A176="","",itens_Remanesc!A176)</f>
        <v/>
      </c>
      <c r="B176" s="85" t="str">
        <f>IF(A176="","",IF(posicao_contratual!$Y176="","",IF(posicao_contratual!$Y176&gt;0,"",posicao_contratual!G176)))</f>
        <v/>
      </c>
      <c r="C176" s="79" t="str">
        <f>IF(itens_Remanesc!A176="","",IF(posicao_contratual!$Y176="","",IF(posicao_contratual!$Y176&gt;0,"",itens_Remanesc!C176)))</f>
        <v/>
      </c>
      <c r="D176" s="79" t="str">
        <f>IF(OR($A176="",posicao_contratual!$Y176=""),"",IF(posicao_contratual!$Y176&gt;1,"",IF(NOT(ISNUMBER(itens_Remanesc!C176)),"",IF(posicao_contratual!$Y176=1,IF(IFERROR(IF(ISNUMBER(INDEX(aditivos!$O$2:$O$200,MATCH($A176,aditivos!$A$2:$A$200,0))),MIN(INDEX(aditivos!$O$2:$O$200,MATCH($A176,aditivos!$A$2:$A$200,0)),posicao_contratual!$Y176),posicao_contratual!$Y176),posicao_contratual!$Y176)=1,itens_Remanesc!C176,IFERROR(ROUND(itens_Remanesc!C176*INDEX($L$2:$L$6,MIN(1+1,COUNT($L$2:$L$6)))/INDEX($L$2:$L$6,MIN(IFERROR(IF(ISNUMBER(INDEX(aditivos!$O$2:$O$200,MATCH($A176,aditivos!$A$2:$A$200,0))),MIN(INDEX(aditivos!$O$2:$O$200,MATCH($A176,aditivos!$A$2:$A$200,0)),posicao_contratual!$Y176),posicao_contratual!$Y176),posicao_contratual!$Y176)+1,COUNT($L$2:$L$6))),2),"")),IF(OR(NOT(ISNUMBER($L$3)),NOT(ISNUMBER(INDEX($L$2:$L$6,IFERROR(IF(ISNUMBER(INDEX(aditivos!$O$2:$O$200,MATCH($A176,aditivos!$A$2:$A$200,0))),MIN(INDEX(aditivos!$O$2:$O$200,MATCH($A176,aditivos!$A$2:$A$200,0)),posicao_contratual!$Y176),posicao_contratual!$Y176),posicao_contratual!$Y176)+1)))),"",ROUND(itens_Remanesc!C176*$L$3/INDEX($L$2:$L$6,IFERROR(IF(ISNUMBER(INDEX(aditivos!$O$2:$O$200,MATCH($A176,aditivos!$A$2:$A$200,0))),MIN(INDEX(aditivos!$O$2:$O$200,MATCH($A176,aditivos!$A$2:$A$200,0)),posicao_contratual!$Y176),posicao_contratual!$Y176),posicao_contratual!$Y176)+1),2))))))</f>
        <v/>
      </c>
      <c r="E176" s="79" t="str">
        <f>IF(OR($A176="",posicao_contratual!$Y176=""),"",IF(posicao_contratual!$Y176&gt;2,"",IF(NOT(ISNUMBER(itens_Remanesc!C176)),"",IF(posicao_contratual!$Y176=2,IF(IFERROR(IF(ISNUMBER(INDEX(aditivos!$O$2:$O$200,MATCH($A176,aditivos!$A$2:$A$200,0))),MIN(INDEX(aditivos!$O$2:$O$200,MATCH($A176,aditivos!$A$2:$A$200,0)),posicao_contratual!$Y176),posicao_contratual!$Y176),posicao_contratual!$Y176)=2,itens_Remanesc!C176,IFERROR(ROUND(itens_Remanesc!C176*INDEX($L$2:$L$6,MIN(2+1,COUNT($L$2:$L$6)))/INDEX($L$2:$L$6,MIN(IFERROR(IF(ISNUMBER(INDEX(aditivos!$O$2:$O$200,MATCH($A176,aditivos!$A$2:$A$200,0))),MIN(INDEX(aditivos!$O$2:$O$200,MATCH($A176,aditivos!$A$2:$A$200,0)),posicao_contratual!$Y176),posicao_contratual!$Y176),posicao_contratual!$Y176)+1,COUNT($L$2:$L$6))),2),"")),IF(OR(NOT(ISNUMBER($L$4)),NOT(ISNUMBER(INDEX($L$2:$L$6,IFERROR(IF(ISNUMBER(INDEX(aditivos!$O$2:$O$200,MATCH($A176,aditivos!$A$2:$A$200,0))),MIN(INDEX(aditivos!$O$2:$O$200,MATCH($A176,aditivos!$A$2:$A$200,0)),posicao_contratual!$Y176),posicao_contratual!$Y176),posicao_contratual!$Y176)+1)))),"",ROUND(itens_Remanesc!C176*$L$4/INDEX($L$2:$L$6,IFERROR(IF(ISNUMBER(INDEX(aditivos!$O$2:$O$200,MATCH($A176,aditivos!$A$2:$A$200,0))),MIN(INDEX(aditivos!$O$2:$O$200,MATCH($A176,aditivos!$A$2:$A$200,0)),posicao_contratual!$Y176),posicao_contratual!$Y176),posicao_contratual!$Y176)+1),2))))))</f>
        <v/>
      </c>
      <c r="F176" s="79" t="str">
        <f>IF(OR($A176="",posicao_contratual!$Y176=""),"",IF(posicao_contratual!$Y176&gt;3,"",IF(NOT(ISNUMBER(itens_Remanesc!C176)),"",IF(posicao_contratual!$Y176=3,IF(IFERROR(IF(ISNUMBER(INDEX(aditivos!$O$2:$O$200,MATCH($A176,aditivos!$A$2:$A$200,0))),MIN(INDEX(aditivos!$O$2:$O$200,MATCH($A176,aditivos!$A$2:$A$200,0)),posicao_contratual!$Y176),posicao_contratual!$Y176),posicao_contratual!$Y176)=3,itens_Remanesc!C176,IFERROR(ROUND(itens_Remanesc!C176*INDEX($L$2:$L$6,MIN(3+1,COUNT($L$2:$L$6)))/INDEX($L$2:$L$6,MIN(IFERROR(IF(ISNUMBER(INDEX(aditivos!$O$2:$O$200,MATCH($A176,aditivos!$A$2:$A$200,0))),MIN(INDEX(aditivos!$O$2:$O$200,MATCH($A176,aditivos!$A$2:$A$200,0)),posicao_contratual!$Y176),posicao_contratual!$Y176),posicao_contratual!$Y176)+1,COUNT($L$2:$L$6))),2),"")),IF(OR(NOT(ISNUMBER($L$5)),NOT(ISNUMBER(INDEX($L$2:$L$6,IFERROR(IF(ISNUMBER(INDEX(aditivos!$O$2:$O$200,MATCH($A176,aditivos!$A$2:$A$200,0))),MIN(INDEX(aditivos!$O$2:$O$200,MATCH($A176,aditivos!$A$2:$A$200,0)),posicao_contratual!$Y176),posicao_contratual!$Y176),posicao_contratual!$Y176)+1)))),"",ROUND(itens_Remanesc!C176*$L$5/INDEX($L$2:$L$6,IFERROR(IF(ISNUMBER(INDEX(aditivos!$O$2:$O$200,MATCH($A176,aditivos!$A$2:$A$200,0))),MIN(INDEX(aditivos!$O$2:$O$200,MATCH($A176,aditivos!$A$2:$A$200,0)),posicao_contratual!$Y176),posicao_contratual!$Y176),posicao_contratual!$Y176)+1),2))))))</f>
        <v/>
      </c>
      <c r="G176" s="79" t="str">
        <f>IF(OR($A176="",posicao_contratual!$Y176=""),"",IF(posicao_contratual!$Y176&gt;4,"",IF(NOT(ISNUMBER(itens_Remanesc!C176)),"",IF(posicao_contratual!$Y176=4,IF(IFERROR(IF(ISNUMBER(INDEX(aditivos!$O$2:$O$200,MATCH($A176,aditivos!$A$2:$A$200,0))),MIN(INDEX(aditivos!$O$2:$O$200,MATCH($A176,aditivos!$A$2:$A$200,0)),posicao_contratual!$Y176),posicao_contratual!$Y176),posicao_contratual!$Y176)=4,itens_Remanesc!C176,IFERROR(ROUND(itens_Remanesc!C176*INDEX($L$2:$L$6,MIN(4+1,COUNT($L$2:$L$6)))/INDEX($L$2:$L$6,MIN(IFERROR(IF(ISNUMBER(INDEX(aditivos!$O$2:$O$200,MATCH($A176,aditivos!$A$2:$A$200,0))),MIN(INDEX(aditivos!$O$2:$O$200,MATCH($A176,aditivos!$A$2:$A$200,0)),posicao_contratual!$Y176),posicao_contratual!$Y176),posicao_contratual!$Y176)+1,COUNT($L$2:$L$6))),2),"")),IF(OR(NOT(ISNUMBER($L$6)),NOT(ISNUMBER(INDEX($L$2:$L$6,IFERROR(IF(ISNUMBER(INDEX(aditivos!$O$2:$O$200,MATCH($A176,aditivos!$A$2:$A$200,0))),MIN(INDEX(aditivos!$O$2:$O$200,MATCH($A176,aditivos!$A$2:$A$200,0)),posicao_contratual!$Y176),posicao_contratual!$Y176),posicao_contratual!$Y176)+1)))),"",ROUND(itens_Remanesc!C176*$L$6/INDEX($L$2:$L$6,IFERROR(IF(ISNUMBER(INDEX(aditivos!$O$2:$O$200,MATCH($A176,aditivos!$A$2:$A$200,0))),MIN(INDEX(aditivos!$O$2:$O$200,MATCH($A176,aditivos!$A$2:$A$200,0)),posicao_contratual!$Y176),posicao_contratual!$Y176),posicao_contratual!$Y176)+1),2))))))</f>
        <v/>
      </c>
      <c r="H176" s="116" t="str">
        <f t="shared" si="5"/>
        <v/>
      </c>
      <c r="I176" s="13"/>
      <c r="J176" s="13"/>
      <c r="K176" s="13"/>
      <c r="L176" s="13"/>
      <c r="M176" s="13"/>
      <c r="N176" s="147" t="str">
        <f>IF(A176="","",IF(posicao_contratual!$Y176="","",IF(posicao_contratual!$Y176&gt;0,"",posicao_contratual!E176)))</f>
        <v/>
      </c>
      <c r="O176" s="147" t="str">
        <f>IF(A176="","",IF(posicao_contratual!$Y176="","",IF(posicao_contratual!$Y176&gt;1,"",posicao_contratual!I176)))</f>
        <v/>
      </c>
      <c r="P176" s="147" t="str">
        <f>IF(A176="","",IF(posicao_contratual!$Y176="","",IF(posicao_contratual!$Y176&gt;2,"",posicao_contratual!M176)))</f>
        <v/>
      </c>
      <c r="Q176" s="147" t="str">
        <f>IF(A176="","",IF(posicao_contratual!$Y176="","",IF(posicao_contratual!$Y176&gt;3,"",posicao_contratual!Q176)))</f>
        <v/>
      </c>
      <c r="R176" s="147" t="str">
        <f>IF(A176="","",IF(posicao_contratual!$Y176="","",IF(posicao_contratual!$Y176&gt;4,"",posicao_contratual!U176)))</f>
        <v/>
      </c>
      <c r="S176" s="167" t="str">
        <f>IF(A176="","",posicao_contratual!G176)</f>
        <v/>
      </c>
      <c r="T176" s="167" t="str">
        <f>IF(A176="","",posicao_contratual!K176)</f>
        <v/>
      </c>
      <c r="U176" s="167" t="str">
        <f>IF(A176="","",posicao_contratual!O176)</f>
        <v/>
      </c>
      <c r="V176" s="167" t="str">
        <f>IF(A176="","",posicao_contratual!S176)</f>
        <v/>
      </c>
      <c r="W176" s="167" t="str">
        <f>IF(A176="","",posicao_contratual!W176)</f>
        <v/>
      </c>
    </row>
    <row r="177" spans="1:23" x14ac:dyDescent="0.35">
      <c r="A177" s="86" t="str">
        <f>IF(itens_Remanesc!A177="","",itens_Remanesc!A177)</f>
        <v/>
      </c>
      <c r="B177" s="85" t="str">
        <f>IF(A177="","",IF(posicao_contratual!$Y177="","",IF(posicao_contratual!$Y177&gt;0,"",posicao_contratual!G177)))</f>
        <v/>
      </c>
      <c r="C177" s="79" t="str">
        <f>IF(itens_Remanesc!A177="","",IF(posicao_contratual!$Y177="","",IF(posicao_contratual!$Y177&gt;0,"",itens_Remanesc!C177)))</f>
        <v/>
      </c>
      <c r="D177" s="79" t="str">
        <f>IF(OR($A177="",posicao_contratual!$Y177=""),"",IF(posicao_contratual!$Y177&gt;1,"",IF(NOT(ISNUMBER(itens_Remanesc!C177)),"",IF(posicao_contratual!$Y177=1,IF(IFERROR(IF(ISNUMBER(INDEX(aditivos!$O$2:$O$200,MATCH($A177,aditivos!$A$2:$A$200,0))),MIN(INDEX(aditivos!$O$2:$O$200,MATCH($A177,aditivos!$A$2:$A$200,0)),posicao_contratual!$Y177),posicao_contratual!$Y177),posicao_contratual!$Y177)=1,itens_Remanesc!C177,IFERROR(ROUND(itens_Remanesc!C177*INDEX($L$2:$L$6,MIN(1+1,COUNT($L$2:$L$6)))/INDEX($L$2:$L$6,MIN(IFERROR(IF(ISNUMBER(INDEX(aditivos!$O$2:$O$200,MATCH($A177,aditivos!$A$2:$A$200,0))),MIN(INDEX(aditivos!$O$2:$O$200,MATCH($A177,aditivos!$A$2:$A$200,0)),posicao_contratual!$Y177),posicao_contratual!$Y177),posicao_contratual!$Y177)+1,COUNT($L$2:$L$6))),2),"")),IF(OR(NOT(ISNUMBER($L$3)),NOT(ISNUMBER(INDEX($L$2:$L$6,IFERROR(IF(ISNUMBER(INDEX(aditivos!$O$2:$O$200,MATCH($A177,aditivos!$A$2:$A$200,0))),MIN(INDEX(aditivos!$O$2:$O$200,MATCH($A177,aditivos!$A$2:$A$200,0)),posicao_contratual!$Y177),posicao_contratual!$Y177),posicao_contratual!$Y177)+1)))),"",ROUND(itens_Remanesc!C177*$L$3/INDEX($L$2:$L$6,IFERROR(IF(ISNUMBER(INDEX(aditivos!$O$2:$O$200,MATCH($A177,aditivos!$A$2:$A$200,0))),MIN(INDEX(aditivos!$O$2:$O$200,MATCH($A177,aditivos!$A$2:$A$200,0)),posicao_contratual!$Y177),posicao_contratual!$Y177),posicao_contratual!$Y177)+1),2))))))</f>
        <v/>
      </c>
      <c r="E177" s="79" t="str">
        <f>IF(OR($A177="",posicao_contratual!$Y177=""),"",IF(posicao_contratual!$Y177&gt;2,"",IF(NOT(ISNUMBER(itens_Remanesc!C177)),"",IF(posicao_contratual!$Y177=2,IF(IFERROR(IF(ISNUMBER(INDEX(aditivos!$O$2:$O$200,MATCH($A177,aditivos!$A$2:$A$200,0))),MIN(INDEX(aditivos!$O$2:$O$200,MATCH($A177,aditivos!$A$2:$A$200,0)),posicao_contratual!$Y177),posicao_contratual!$Y177),posicao_contratual!$Y177)=2,itens_Remanesc!C177,IFERROR(ROUND(itens_Remanesc!C177*INDEX($L$2:$L$6,MIN(2+1,COUNT($L$2:$L$6)))/INDEX($L$2:$L$6,MIN(IFERROR(IF(ISNUMBER(INDEX(aditivos!$O$2:$O$200,MATCH($A177,aditivos!$A$2:$A$200,0))),MIN(INDEX(aditivos!$O$2:$O$200,MATCH($A177,aditivos!$A$2:$A$200,0)),posicao_contratual!$Y177),posicao_contratual!$Y177),posicao_contratual!$Y177)+1,COUNT($L$2:$L$6))),2),"")),IF(OR(NOT(ISNUMBER($L$4)),NOT(ISNUMBER(INDEX($L$2:$L$6,IFERROR(IF(ISNUMBER(INDEX(aditivos!$O$2:$O$200,MATCH($A177,aditivos!$A$2:$A$200,0))),MIN(INDEX(aditivos!$O$2:$O$200,MATCH($A177,aditivos!$A$2:$A$200,0)),posicao_contratual!$Y177),posicao_contratual!$Y177),posicao_contratual!$Y177)+1)))),"",ROUND(itens_Remanesc!C177*$L$4/INDEX($L$2:$L$6,IFERROR(IF(ISNUMBER(INDEX(aditivos!$O$2:$O$200,MATCH($A177,aditivos!$A$2:$A$200,0))),MIN(INDEX(aditivos!$O$2:$O$200,MATCH($A177,aditivos!$A$2:$A$200,0)),posicao_contratual!$Y177),posicao_contratual!$Y177),posicao_contratual!$Y177)+1),2))))))</f>
        <v/>
      </c>
      <c r="F177" s="79" t="str">
        <f>IF(OR($A177="",posicao_contratual!$Y177=""),"",IF(posicao_contratual!$Y177&gt;3,"",IF(NOT(ISNUMBER(itens_Remanesc!C177)),"",IF(posicao_contratual!$Y177=3,IF(IFERROR(IF(ISNUMBER(INDEX(aditivos!$O$2:$O$200,MATCH($A177,aditivos!$A$2:$A$200,0))),MIN(INDEX(aditivos!$O$2:$O$200,MATCH($A177,aditivos!$A$2:$A$200,0)),posicao_contratual!$Y177),posicao_contratual!$Y177),posicao_contratual!$Y177)=3,itens_Remanesc!C177,IFERROR(ROUND(itens_Remanesc!C177*INDEX($L$2:$L$6,MIN(3+1,COUNT($L$2:$L$6)))/INDEX($L$2:$L$6,MIN(IFERROR(IF(ISNUMBER(INDEX(aditivos!$O$2:$O$200,MATCH($A177,aditivos!$A$2:$A$200,0))),MIN(INDEX(aditivos!$O$2:$O$200,MATCH($A177,aditivos!$A$2:$A$200,0)),posicao_contratual!$Y177),posicao_contratual!$Y177),posicao_contratual!$Y177)+1,COUNT($L$2:$L$6))),2),"")),IF(OR(NOT(ISNUMBER($L$5)),NOT(ISNUMBER(INDEX($L$2:$L$6,IFERROR(IF(ISNUMBER(INDEX(aditivos!$O$2:$O$200,MATCH($A177,aditivos!$A$2:$A$200,0))),MIN(INDEX(aditivos!$O$2:$O$200,MATCH($A177,aditivos!$A$2:$A$200,0)),posicao_contratual!$Y177),posicao_contratual!$Y177),posicao_contratual!$Y177)+1)))),"",ROUND(itens_Remanesc!C177*$L$5/INDEX($L$2:$L$6,IFERROR(IF(ISNUMBER(INDEX(aditivos!$O$2:$O$200,MATCH($A177,aditivos!$A$2:$A$200,0))),MIN(INDEX(aditivos!$O$2:$O$200,MATCH($A177,aditivos!$A$2:$A$200,0)),posicao_contratual!$Y177),posicao_contratual!$Y177),posicao_contratual!$Y177)+1),2))))))</f>
        <v/>
      </c>
      <c r="G177" s="79" t="str">
        <f>IF(OR($A177="",posicao_contratual!$Y177=""),"",IF(posicao_contratual!$Y177&gt;4,"",IF(NOT(ISNUMBER(itens_Remanesc!C177)),"",IF(posicao_contratual!$Y177=4,IF(IFERROR(IF(ISNUMBER(INDEX(aditivos!$O$2:$O$200,MATCH($A177,aditivos!$A$2:$A$200,0))),MIN(INDEX(aditivos!$O$2:$O$200,MATCH($A177,aditivos!$A$2:$A$200,0)),posicao_contratual!$Y177),posicao_contratual!$Y177),posicao_contratual!$Y177)=4,itens_Remanesc!C177,IFERROR(ROUND(itens_Remanesc!C177*INDEX($L$2:$L$6,MIN(4+1,COUNT($L$2:$L$6)))/INDEX($L$2:$L$6,MIN(IFERROR(IF(ISNUMBER(INDEX(aditivos!$O$2:$O$200,MATCH($A177,aditivos!$A$2:$A$200,0))),MIN(INDEX(aditivos!$O$2:$O$200,MATCH($A177,aditivos!$A$2:$A$200,0)),posicao_contratual!$Y177),posicao_contratual!$Y177),posicao_contratual!$Y177)+1,COUNT($L$2:$L$6))),2),"")),IF(OR(NOT(ISNUMBER($L$6)),NOT(ISNUMBER(INDEX($L$2:$L$6,IFERROR(IF(ISNUMBER(INDEX(aditivos!$O$2:$O$200,MATCH($A177,aditivos!$A$2:$A$200,0))),MIN(INDEX(aditivos!$O$2:$O$200,MATCH($A177,aditivos!$A$2:$A$200,0)),posicao_contratual!$Y177),posicao_contratual!$Y177),posicao_contratual!$Y177)+1)))),"",ROUND(itens_Remanesc!C177*$L$6/INDEX($L$2:$L$6,IFERROR(IF(ISNUMBER(INDEX(aditivos!$O$2:$O$200,MATCH($A177,aditivos!$A$2:$A$200,0))),MIN(INDEX(aditivos!$O$2:$O$200,MATCH($A177,aditivos!$A$2:$A$200,0)),posicao_contratual!$Y177),posicao_contratual!$Y177),posicao_contratual!$Y177)+1),2))))))</f>
        <v/>
      </c>
      <c r="H177" s="116" t="str">
        <f t="shared" si="5"/>
        <v/>
      </c>
      <c r="I177" s="13"/>
      <c r="J177" s="13"/>
      <c r="K177" s="13"/>
      <c r="L177" s="13"/>
      <c r="M177" s="13"/>
      <c r="N177" s="147" t="str">
        <f>IF(A177="","",IF(posicao_contratual!$Y177="","",IF(posicao_contratual!$Y177&gt;0,"",posicao_contratual!E177)))</f>
        <v/>
      </c>
      <c r="O177" s="147" t="str">
        <f>IF(A177="","",IF(posicao_contratual!$Y177="","",IF(posicao_contratual!$Y177&gt;1,"",posicao_contratual!I177)))</f>
        <v/>
      </c>
      <c r="P177" s="147" t="str">
        <f>IF(A177="","",IF(posicao_contratual!$Y177="","",IF(posicao_contratual!$Y177&gt;2,"",posicao_contratual!M177)))</f>
        <v/>
      </c>
      <c r="Q177" s="147" t="str">
        <f>IF(A177="","",IF(posicao_contratual!$Y177="","",IF(posicao_contratual!$Y177&gt;3,"",posicao_contratual!Q177)))</f>
        <v/>
      </c>
      <c r="R177" s="147" t="str">
        <f>IF(A177="","",IF(posicao_contratual!$Y177="","",IF(posicao_contratual!$Y177&gt;4,"",posicao_contratual!U177)))</f>
        <v/>
      </c>
      <c r="S177" s="167" t="str">
        <f>IF(A177="","",posicao_contratual!G177)</f>
        <v/>
      </c>
      <c r="T177" s="167" t="str">
        <f>IF(A177="","",posicao_contratual!K177)</f>
        <v/>
      </c>
      <c r="U177" s="167" t="str">
        <f>IF(A177="","",posicao_contratual!O177)</f>
        <v/>
      </c>
      <c r="V177" s="167" t="str">
        <f>IF(A177="","",posicao_contratual!S177)</f>
        <v/>
      </c>
      <c r="W177" s="167" t="str">
        <f>IF(A177="","",posicao_contratual!W177)</f>
        <v/>
      </c>
    </row>
    <row r="178" spans="1:23" x14ac:dyDescent="0.35">
      <c r="A178" s="86" t="str">
        <f>IF(itens_Remanesc!A178="","",itens_Remanesc!A178)</f>
        <v/>
      </c>
      <c r="B178" s="85" t="str">
        <f>IF(A178="","",IF(posicao_contratual!$Y178="","",IF(posicao_contratual!$Y178&gt;0,"",posicao_contratual!G178)))</f>
        <v/>
      </c>
      <c r="C178" s="79" t="str">
        <f>IF(itens_Remanesc!A178="","",IF(posicao_contratual!$Y178="","",IF(posicao_contratual!$Y178&gt;0,"",itens_Remanesc!C178)))</f>
        <v/>
      </c>
      <c r="D178" s="79" t="str">
        <f>IF(OR($A178="",posicao_contratual!$Y178=""),"",IF(posicao_contratual!$Y178&gt;1,"",IF(NOT(ISNUMBER(itens_Remanesc!C178)),"",IF(posicao_contratual!$Y178=1,IF(IFERROR(IF(ISNUMBER(INDEX(aditivos!$O$2:$O$200,MATCH($A178,aditivos!$A$2:$A$200,0))),MIN(INDEX(aditivos!$O$2:$O$200,MATCH($A178,aditivos!$A$2:$A$200,0)),posicao_contratual!$Y178),posicao_contratual!$Y178),posicao_contratual!$Y178)=1,itens_Remanesc!C178,IFERROR(ROUND(itens_Remanesc!C178*INDEX($L$2:$L$6,MIN(1+1,COUNT($L$2:$L$6)))/INDEX($L$2:$L$6,MIN(IFERROR(IF(ISNUMBER(INDEX(aditivos!$O$2:$O$200,MATCH($A178,aditivos!$A$2:$A$200,0))),MIN(INDEX(aditivos!$O$2:$O$200,MATCH($A178,aditivos!$A$2:$A$200,0)),posicao_contratual!$Y178),posicao_contratual!$Y178),posicao_contratual!$Y178)+1,COUNT($L$2:$L$6))),2),"")),IF(OR(NOT(ISNUMBER($L$3)),NOT(ISNUMBER(INDEX($L$2:$L$6,IFERROR(IF(ISNUMBER(INDEX(aditivos!$O$2:$O$200,MATCH($A178,aditivos!$A$2:$A$200,0))),MIN(INDEX(aditivos!$O$2:$O$200,MATCH($A178,aditivos!$A$2:$A$200,0)),posicao_contratual!$Y178),posicao_contratual!$Y178),posicao_contratual!$Y178)+1)))),"",ROUND(itens_Remanesc!C178*$L$3/INDEX($L$2:$L$6,IFERROR(IF(ISNUMBER(INDEX(aditivos!$O$2:$O$200,MATCH($A178,aditivos!$A$2:$A$200,0))),MIN(INDEX(aditivos!$O$2:$O$200,MATCH($A178,aditivos!$A$2:$A$200,0)),posicao_contratual!$Y178),posicao_contratual!$Y178),posicao_contratual!$Y178)+1),2))))))</f>
        <v/>
      </c>
      <c r="E178" s="79" t="str">
        <f>IF(OR($A178="",posicao_contratual!$Y178=""),"",IF(posicao_contratual!$Y178&gt;2,"",IF(NOT(ISNUMBER(itens_Remanesc!C178)),"",IF(posicao_contratual!$Y178=2,IF(IFERROR(IF(ISNUMBER(INDEX(aditivos!$O$2:$O$200,MATCH($A178,aditivos!$A$2:$A$200,0))),MIN(INDEX(aditivos!$O$2:$O$200,MATCH($A178,aditivos!$A$2:$A$200,0)),posicao_contratual!$Y178),posicao_contratual!$Y178),posicao_contratual!$Y178)=2,itens_Remanesc!C178,IFERROR(ROUND(itens_Remanesc!C178*INDEX($L$2:$L$6,MIN(2+1,COUNT($L$2:$L$6)))/INDEX($L$2:$L$6,MIN(IFERROR(IF(ISNUMBER(INDEX(aditivos!$O$2:$O$200,MATCH($A178,aditivos!$A$2:$A$200,0))),MIN(INDEX(aditivos!$O$2:$O$200,MATCH($A178,aditivos!$A$2:$A$200,0)),posicao_contratual!$Y178),posicao_contratual!$Y178),posicao_contratual!$Y178)+1,COUNT($L$2:$L$6))),2),"")),IF(OR(NOT(ISNUMBER($L$4)),NOT(ISNUMBER(INDEX($L$2:$L$6,IFERROR(IF(ISNUMBER(INDEX(aditivos!$O$2:$O$200,MATCH($A178,aditivos!$A$2:$A$200,0))),MIN(INDEX(aditivos!$O$2:$O$200,MATCH($A178,aditivos!$A$2:$A$200,0)),posicao_contratual!$Y178),posicao_contratual!$Y178),posicao_contratual!$Y178)+1)))),"",ROUND(itens_Remanesc!C178*$L$4/INDEX($L$2:$L$6,IFERROR(IF(ISNUMBER(INDEX(aditivos!$O$2:$O$200,MATCH($A178,aditivos!$A$2:$A$200,0))),MIN(INDEX(aditivos!$O$2:$O$200,MATCH($A178,aditivos!$A$2:$A$200,0)),posicao_contratual!$Y178),posicao_contratual!$Y178),posicao_contratual!$Y178)+1),2))))))</f>
        <v/>
      </c>
      <c r="F178" s="79" t="str">
        <f>IF(OR($A178="",posicao_contratual!$Y178=""),"",IF(posicao_contratual!$Y178&gt;3,"",IF(NOT(ISNUMBER(itens_Remanesc!C178)),"",IF(posicao_contratual!$Y178=3,IF(IFERROR(IF(ISNUMBER(INDEX(aditivos!$O$2:$O$200,MATCH($A178,aditivos!$A$2:$A$200,0))),MIN(INDEX(aditivos!$O$2:$O$200,MATCH($A178,aditivos!$A$2:$A$200,0)),posicao_contratual!$Y178),posicao_contratual!$Y178),posicao_contratual!$Y178)=3,itens_Remanesc!C178,IFERROR(ROUND(itens_Remanesc!C178*INDEX($L$2:$L$6,MIN(3+1,COUNT($L$2:$L$6)))/INDEX($L$2:$L$6,MIN(IFERROR(IF(ISNUMBER(INDEX(aditivos!$O$2:$O$200,MATCH($A178,aditivos!$A$2:$A$200,0))),MIN(INDEX(aditivos!$O$2:$O$200,MATCH($A178,aditivos!$A$2:$A$200,0)),posicao_contratual!$Y178),posicao_contratual!$Y178),posicao_contratual!$Y178)+1,COUNT($L$2:$L$6))),2),"")),IF(OR(NOT(ISNUMBER($L$5)),NOT(ISNUMBER(INDEX($L$2:$L$6,IFERROR(IF(ISNUMBER(INDEX(aditivos!$O$2:$O$200,MATCH($A178,aditivos!$A$2:$A$200,0))),MIN(INDEX(aditivos!$O$2:$O$200,MATCH($A178,aditivos!$A$2:$A$200,0)),posicao_contratual!$Y178),posicao_contratual!$Y178),posicao_contratual!$Y178)+1)))),"",ROUND(itens_Remanesc!C178*$L$5/INDEX($L$2:$L$6,IFERROR(IF(ISNUMBER(INDEX(aditivos!$O$2:$O$200,MATCH($A178,aditivos!$A$2:$A$200,0))),MIN(INDEX(aditivos!$O$2:$O$200,MATCH($A178,aditivos!$A$2:$A$200,0)),posicao_contratual!$Y178),posicao_contratual!$Y178),posicao_contratual!$Y178)+1),2))))))</f>
        <v/>
      </c>
      <c r="G178" s="79" t="str">
        <f>IF(OR($A178="",posicao_contratual!$Y178=""),"",IF(posicao_contratual!$Y178&gt;4,"",IF(NOT(ISNUMBER(itens_Remanesc!C178)),"",IF(posicao_contratual!$Y178=4,IF(IFERROR(IF(ISNUMBER(INDEX(aditivos!$O$2:$O$200,MATCH($A178,aditivos!$A$2:$A$200,0))),MIN(INDEX(aditivos!$O$2:$O$200,MATCH($A178,aditivos!$A$2:$A$200,0)),posicao_contratual!$Y178),posicao_contratual!$Y178),posicao_contratual!$Y178)=4,itens_Remanesc!C178,IFERROR(ROUND(itens_Remanesc!C178*INDEX($L$2:$L$6,MIN(4+1,COUNT($L$2:$L$6)))/INDEX($L$2:$L$6,MIN(IFERROR(IF(ISNUMBER(INDEX(aditivos!$O$2:$O$200,MATCH($A178,aditivos!$A$2:$A$200,0))),MIN(INDEX(aditivos!$O$2:$O$200,MATCH($A178,aditivos!$A$2:$A$200,0)),posicao_contratual!$Y178),posicao_contratual!$Y178),posicao_contratual!$Y178)+1,COUNT($L$2:$L$6))),2),"")),IF(OR(NOT(ISNUMBER($L$6)),NOT(ISNUMBER(INDEX($L$2:$L$6,IFERROR(IF(ISNUMBER(INDEX(aditivos!$O$2:$O$200,MATCH($A178,aditivos!$A$2:$A$200,0))),MIN(INDEX(aditivos!$O$2:$O$200,MATCH($A178,aditivos!$A$2:$A$200,0)),posicao_contratual!$Y178),posicao_contratual!$Y178),posicao_contratual!$Y178)+1)))),"",ROUND(itens_Remanesc!C178*$L$6/INDEX($L$2:$L$6,IFERROR(IF(ISNUMBER(INDEX(aditivos!$O$2:$O$200,MATCH($A178,aditivos!$A$2:$A$200,0))),MIN(INDEX(aditivos!$O$2:$O$200,MATCH($A178,aditivos!$A$2:$A$200,0)),posicao_contratual!$Y178),posicao_contratual!$Y178),posicao_contratual!$Y178)+1),2))))))</f>
        <v/>
      </c>
      <c r="H178" s="116" t="str">
        <f t="shared" si="5"/>
        <v/>
      </c>
      <c r="I178" s="13"/>
      <c r="J178" s="13"/>
      <c r="K178" s="13"/>
      <c r="L178" s="13"/>
      <c r="M178" s="13"/>
      <c r="N178" s="147" t="str">
        <f>IF(A178="","",IF(posicao_contratual!$Y178="","",IF(posicao_contratual!$Y178&gt;0,"",posicao_contratual!E178)))</f>
        <v/>
      </c>
      <c r="O178" s="147" t="str">
        <f>IF(A178="","",IF(posicao_contratual!$Y178="","",IF(posicao_contratual!$Y178&gt;1,"",posicao_contratual!I178)))</f>
        <v/>
      </c>
      <c r="P178" s="147" t="str">
        <f>IF(A178="","",IF(posicao_contratual!$Y178="","",IF(posicao_contratual!$Y178&gt;2,"",posicao_contratual!M178)))</f>
        <v/>
      </c>
      <c r="Q178" s="147" t="str">
        <f>IF(A178="","",IF(posicao_contratual!$Y178="","",IF(posicao_contratual!$Y178&gt;3,"",posicao_contratual!Q178)))</f>
        <v/>
      </c>
      <c r="R178" s="147" t="str">
        <f>IF(A178="","",IF(posicao_contratual!$Y178="","",IF(posicao_contratual!$Y178&gt;4,"",posicao_contratual!U178)))</f>
        <v/>
      </c>
      <c r="S178" s="167" t="str">
        <f>IF(A178="","",posicao_contratual!G178)</f>
        <v/>
      </c>
      <c r="T178" s="167" t="str">
        <f>IF(A178="","",posicao_contratual!K178)</f>
        <v/>
      </c>
      <c r="U178" s="167" t="str">
        <f>IF(A178="","",posicao_contratual!O178)</f>
        <v/>
      </c>
      <c r="V178" s="167" t="str">
        <f>IF(A178="","",posicao_contratual!S178)</f>
        <v/>
      </c>
      <c r="W178" s="167" t="str">
        <f>IF(A178="","",posicao_contratual!W178)</f>
        <v/>
      </c>
    </row>
    <row r="179" spans="1:23" x14ac:dyDescent="0.35">
      <c r="A179" s="86" t="str">
        <f>IF(itens_Remanesc!A179="","",itens_Remanesc!A179)</f>
        <v/>
      </c>
      <c r="B179" s="85" t="str">
        <f>IF(A179="","",IF(posicao_contratual!$Y179="","",IF(posicao_contratual!$Y179&gt;0,"",posicao_contratual!G179)))</f>
        <v/>
      </c>
      <c r="C179" s="79" t="str">
        <f>IF(itens_Remanesc!A179="","",IF(posicao_contratual!$Y179="","",IF(posicao_contratual!$Y179&gt;0,"",itens_Remanesc!C179)))</f>
        <v/>
      </c>
      <c r="D179" s="79" t="str">
        <f>IF(OR($A179="",posicao_contratual!$Y179=""),"",IF(posicao_contratual!$Y179&gt;1,"",IF(NOT(ISNUMBER(itens_Remanesc!C179)),"",IF(posicao_contratual!$Y179=1,IF(IFERROR(IF(ISNUMBER(INDEX(aditivos!$O$2:$O$200,MATCH($A179,aditivos!$A$2:$A$200,0))),MIN(INDEX(aditivos!$O$2:$O$200,MATCH($A179,aditivos!$A$2:$A$200,0)),posicao_contratual!$Y179),posicao_contratual!$Y179),posicao_contratual!$Y179)=1,itens_Remanesc!C179,IFERROR(ROUND(itens_Remanesc!C179*INDEX($L$2:$L$6,MIN(1+1,COUNT($L$2:$L$6)))/INDEX($L$2:$L$6,MIN(IFERROR(IF(ISNUMBER(INDEX(aditivos!$O$2:$O$200,MATCH($A179,aditivos!$A$2:$A$200,0))),MIN(INDEX(aditivos!$O$2:$O$200,MATCH($A179,aditivos!$A$2:$A$200,0)),posicao_contratual!$Y179),posicao_contratual!$Y179),posicao_contratual!$Y179)+1,COUNT($L$2:$L$6))),2),"")),IF(OR(NOT(ISNUMBER($L$3)),NOT(ISNUMBER(INDEX($L$2:$L$6,IFERROR(IF(ISNUMBER(INDEX(aditivos!$O$2:$O$200,MATCH($A179,aditivos!$A$2:$A$200,0))),MIN(INDEX(aditivos!$O$2:$O$200,MATCH($A179,aditivos!$A$2:$A$200,0)),posicao_contratual!$Y179),posicao_contratual!$Y179),posicao_contratual!$Y179)+1)))),"",ROUND(itens_Remanesc!C179*$L$3/INDEX($L$2:$L$6,IFERROR(IF(ISNUMBER(INDEX(aditivos!$O$2:$O$200,MATCH($A179,aditivos!$A$2:$A$200,0))),MIN(INDEX(aditivos!$O$2:$O$200,MATCH($A179,aditivos!$A$2:$A$200,0)),posicao_contratual!$Y179),posicao_contratual!$Y179),posicao_contratual!$Y179)+1),2))))))</f>
        <v/>
      </c>
      <c r="E179" s="79" t="str">
        <f>IF(OR($A179="",posicao_contratual!$Y179=""),"",IF(posicao_contratual!$Y179&gt;2,"",IF(NOT(ISNUMBER(itens_Remanesc!C179)),"",IF(posicao_contratual!$Y179=2,IF(IFERROR(IF(ISNUMBER(INDEX(aditivos!$O$2:$O$200,MATCH($A179,aditivos!$A$2:$A$200,0))),MIN(INDEX(aditivos!$O$2:$O$200,MATCH($A179,aditivos!$A$2:$A$200,0)),posicao_contratual!$Y179),posicao_contratual!$Y179),posicao_contratual!$Y179)=2,itens_Remanesc!C179,IFERROR(ROUND(itens_Remanesc!C179*INDEX($L$2:$L$6,MIN(2+1,COUNT($L$2:$L$6)))/INDEX($L$2:$L$6,MIN(IFERROR(IF(ISNUMBER(INDEX(aditivos!$O$2:$O$200,MATCH($A179,aditivos!$A$2:$A$200,0))),MIN(INDEX(aditivos!$O$2:$O$200,MATCH($A179,aditivos!$A$2:$A$200,0)),posicao_contratual!$Y179),posicao_contratual!$Y179),posicao_contratual!$Y179)+1,COUNT($L$2:$L$6))),2),"")),IF(OR(NOT(ISNUMBER($L$4)),NOT(ISNUMBER(INDEX($L$2:$L$6,IFERROR(IF(ISNUMBER(INDEX(aditivos!$O$2:$O$200,MATCH($A179,aditivos!$A$2:$A$200,0))),MIN(INDEX(aditivos!$O$2:$O$200,MATCH($A179,aditivos!$A$2:$A$200,0)),posicao_contratual!$Y179),posicao_contratual!$Y179),posicao_contratual!$Y179)+1)))),"",ROUND(itens_Remanesc!C179*$L$4/INDEX($L$2:$L$6,IFERROR(IF(ISNUMBER(INDEX(aditivos!$O$2:$O$200,MATCH($A179,aditivos!$A$2:$A$200,0))),MIN(INDEX(aditivos!$O$2:$O$200,MATCH($A179,aditivos!$A$2:$A$200,0)),posicao_contratual!$Y179),posicao_contratual!$Y179),posicao_contratual!$Y179)+1),2))))))</f>
        <v/>
      </c>
      <c r="F179" s="79" t="str">
        <f>IF(OR($A179="",posicao_contratual!$Y179=""),"",IF(posicao_contratual!$Y179&gt;3,"",IF(NOT(ISNUMBER(itens_Remanesc!C179)),"",IF(posicao_contratual!$Y179=3,IF(IFERROR(IF(ISNUMBER(INDEX(aditivos!$O$2:$O$200,MATCH($A179,aditivos!$A$2:$A$200,0))),MIN(INDEX(aditivos!$O$2:$O$200,MATCH($A179,aditivos!$A$2:$A$200,0)),posicao_contratual!$Y179),posicao_contratual!$Y179),posicao_contratual!$Y179)=3,itens_Remanesc!C179,IFERROR(ROUND(itens_Remanesc!C179*INDEX($L$2:$L$6,MIN(3+1,COUNT($L$2:$L$6)))/INDEX($L$2:$L$6,MIN(IFERROR(IF(ISNUMBER(INDEX(aditivos!$O$2:$O$200,MATCH($A179,aditivos!$A$2:$A$200,0))),MIN(INDEX(aditivos!$O$2:$O$200,MATCH($A179,aditivos!$A$2:$A$200,0)),posicao_contratual!$Y179),posicao_contratual!$Y179),posicao_contratual!$Y179)+1,COUNT($L$2:$L$6))),2),"")),IF(OR(NOT(ISNUMBER($L$5)),NOT(ISNUMBER(INDEX($L$2:$L$6,IFERROR(IF(ISNUMBER(INDEX(aditivos!$O$2:$O$200,MATCH($A179,aditivos!$A$2:$A$200,0))),MIN(INDEX(aditivos!$O$2:$O$200,MATCH($A179,aditivos!$A$2:$A$200,0)),posicao_contratual!$Y179),posicao_contratual!$Y179),posicao_contratual!$Y179)+1)))),"",ROUND(itens_Remanesc!C179*$L$5/INDEX($L$2:$L$6,IFERROR(IF(ISNUMBER(INDEX(aditivos!$O$2:$O$200,MATCH($A179,aditivos!$A$2:$A$200,0))),MIN(INDEX(aditivos!$O$2:$O$200,MATCH($A179,aditivos!$A$2:$A$200,0)),posicao_contratual!$Y179),posicao_contratual!$Y179),posicao_contratual!$Y179)+1),2))))))</f>
        <v/>
      </c>
      <c r="G179" s="79" t="str">
        <f>IF(OR($A179="",posicao_contratual!$Y179=""),"",IF(posicao_contratual!$Y179&gt;4,"",IF(NOT(ISNUMBER(itens_Remanesc!C179)),"",IF(posicao_contratual!$Y179=4,IF(IFERROR(IF(ISNUMBER(INDEX(aditivos!$O$2:$O$200,MATCH($A179,aditivos!$A$2:$A$200,0))),MIN(INDEX(aditivos!$O$2:$O$200,MATCH($A179,aditivos!$A$2:$A$200,0)),posicao_contratual!$Y179),posicao_contratual!$Y179),posicao_contratual!$Y179)=4,itens_Remanesc!C179,IFERROR(ROUND(itens_Remanesc!C179*INDEX($L$2:$L$6,MIN(4+1,COUNT($L$2:$L$6)))/INDEX($L$2:$L$6,MIN(IFERROR(IF(ISNUMBER(INDEX(aditivos!$O$2:$O$200,MATCH($A179,aditivos!$A$2:$A$200,0))),MIN(INDEX(aditivos!$O$2:$O$200,MATCH($A179,aditivos!$A$2:$A$200,0)),posicao_contratual!$Y179),posicao_contratual!$Y179),posicao_contratual!$Y179)+1,COUNT($L$2:$L$6))),2),"")),IF(OR(NOT(ISNUMBER($L$6)),NOT(ISNUMBER(INDEX($L$2:$L$6,IFERROR(IF(ISNUMBER(INDEX(aditivos!$O$2:$O$200,MATCH($A179,aditivos!$A$2:$A$200,0))),MIN(INDEX(aditivos!$O$2:$O$200,MATCH($A179,aditivos!$A$2:$A$200,0)),posicao_contratual!$Y179),posicao_contratual!$Y179),posicao_contratual!$Y179)+1)))),"",ROUND(itens_Remanesc!C179*$L$6/INDEX($L$2:$L$6,IFERROR(IF(ISNUMBER(INDEX(aditivos!$O$2:$O$200,MATCH($A179,aditivos!$A$2:$A$200,0))),MIN(INDEX(aditivos!$O$2:$O$200,MATCH($A179,aditivos!$A$2:$A$200,0)),posicao_contratual!$Y179),posicao_contratual!$Y179),posicao_contratual!$Y179)+1),2))))))</f>
        <v/>
      </c>
      <c r="H179" s="116" t="str">
        <f t="shared" si="5"/>
        <v/>
      </c>
      <c r="I179" s="13"/>
      <c r="J179" s="13"/>
      <c r="K179" s="13"/>
      <c r="L179" s="13"/>
      <c r="M179" s="13"/>
      <c r="N179" s="147" t="str">
        <f>IF(A179="","",IF(posicao_contratual!$Y179="","",IF(posicao_contratual!$Y179&gt;0,"",posicao_contratual!E179)))</f>
        <v/>
      </c>
      <c r="O179" s="147" t="str">
        <f>IF(A179="","",IF(posicao_contratual!$Y179="","",IF(posicao_contratual!$Y179&gt;1,"",posicao_contratual!I179)))</f>
        <v/>
      </c>
      <c r="P179" s="147" t="str">
        <f>IF(A179="","",IF(posicao_contratual!$Y179="","",IF(posicao_contratual!$Y179&gt;2,"",posicao_contratual!M179)))</f>
        <v/>
      </c>
      <c r="Q179" s="147" t="str">
        <f>IF(A179="","",IF(posicao_contratual!$Y179="","",IF(posicao_contratual!$Y179&gt;3,"",posicao_contratual!Q179)))</f>
        <v/>
      </c>
      <c r="R179" s="147" t="str">
        <f>IF(A179="","",IF(posicao_contratual!$Y179="","",IF(posicao_contratual!$Y179&gt;4,"",posicao_contratual!U179)))</f>
        <v/>
      </c>
      <c r="S179" s="167" t="str">
        <f>IF(A179="","",posicao_contratual!G179)</f>
        <v/>
      </c>
      <c r="T179" s="167" t="str">
        <f>IF(A179="","",posicao_contratual!K179)</f>
        <v/>
      </c>
      <c r="U179" s="167" t="str">
        <f>IF(A179="","",posicao_contratual!O179)</f>
        <v/>
      </c>
      <c r="V179" s="167" t="str">
        <f>IF(A179="","",posicao_contratual!S179)</f>
        <v/>
      </c>
      <c r="W179" s="167" t="str">
        <f>IF(A179="","",posicao_contratual!W179)</f>
        <v/>
      </c>
    </row>
    <row r="180" spans="1:23" x14ac:dyDescent="0.35">
      <c r="A180" s="86" t="str">
        <f>IF(itens_Remanesc!A180="","",itens_Remanesc!A180)</f>
        <v/>
      </c>
      <c r="B180" s="85" t="str">
        <f>IF(A180="","",IF(posicao_contratual!$Y180="","",IF(posicao_contratual!$Y180&gt;0,"",posicao_contratual!G180)))</f>
        <v/>
      </c>
      <c r="C180" s="79" t="str">
        <f>IF(itens_Remanesc!A180="","",IF(posicao_contratual!$Y180="","",IF(posicao_contratual!$Y180&gt;0,"",itens_Remanesc!C180)))</f>
        <v/>
      </c>
      <c r="D180" s="79" t="str">
        <f>IF(OR($A180="",posicao_contratual!$Y180=""),"",IF(posicao_contratual!$Y180&gt;1,"",IF(NOT(ISNUMBER(itens_Remanesc!C180)),"",IF(posicao_contratual!$Y180=1,IF(IFERROR(IF(ISNUMBER(INDEX(aditivos!$O$2:$O$200,MATCH($A180,aditivos!$A$2:$A$200,0))),MIN(INDEX(aditivos!$O$2:$O$200,MATCH($A180,aditivos!$A$2:$A$200,0)),posicao_contratual!$Y180),posicao_contratual!$Y180),posicao_contratual!$Y180)=1,itens_Remanesc!C180,IFERROR(ROUND(itens_Remanesc!C180*INDEX($L$2:$L$6,MIN(1+1,COUNT($L$2:$L$6)))/INDEX($L$2:$L$6,MIN(IFERROR(IF(ISNUMBER(INDEX(aditivos!$O$2:$O$200,MATCH($A180,aditivos!$A$2:$A$200,0))),MIN(INDEX(aditivos!$O$2:$O$200,MATCH($A180,aditivos!$A$2:$A$200,0)),posicao_contratual!$Y180),posicao_contratual!$Y180),posicao_contratual!$Y180)+1,COUNT($L$2:$L$6))),2),"")),IF(OR(NOT(ISNUMBER($L$3)),NOT(ISNUMBER(INDEX($L$2:$L$6,IFERROR(IF(ISNUMBER(INDEX(aditivos!$O$2:$O$200,MATCH($A180,aditivos!$A$2:$A$200,0))),MIN(INDEX(aditivos!$O$2:$O$200,MATCH($A180,aditivos!$A$2:$A$200,0)),posicao_contratual!$Y180),posicao_contratual!$Y180),posicao_contratual!$Y180)+1)))),"",ROUND(itens_Remanesc!C180*$L$3/INDEX($L$2:$L$6,IFERROR(IF(ISNUMBER(INDEX(aditivos!$O$2:$O$200,MATCH($A180,aditivos!$A$2:$A$200,0))),MIN(INDEX(aditivos!$O$2:$O$200,MATCH($A180,aditivos!$A$2:$A$200,0)),posicao_contratual!$Y180),posicao_contratual!$Y180),posicao_contratual!$Y180)+1),2))))))</f>
        <v/>
      </c>
      <c r="E180" s="79" t="str">
        <f>IF(OR($A180="",posicao_contratual!$Y180=""),"",IF(posicao_contratual!$Y180&gt;2,"",IF(NOT(ISNUMBER(itens_Remanesc!C180)),"",IF(posicao_contratual!$Y180=2,IF(IFERROR(IF(ISNUMBER(INDEX(aditivos!$O$2:$O$200,MATCH($A180,aditivos!$A$2:$A$200,0))),MIN(INDEX(aditivos!$O$2:$O$200,MATCH($A180,aditivos!$A$2:$A$200,0)),posicao_contratual!$Y180),posicao_contratual!$Y180),posicao_contratual!$Y180)=2,itens_Remanesc!C180,IFERROR(ROUND(itens_Remanesc!C180*INDEX($L$2:$L$6,MIN(2+1,COUNT($L$2:$L$6)))/INDEX($L$2:$L$6,MIN(IFERROR(IF(ISNUMBER(INDEX(aditivos!$O$2:$O$200,MATCH($A180,aditivos!$A$2:$A$200,0))),MIN(INDEX(aditivos!$O$2:$O$200,MATCH($A180,aditivos!$A$2:$A$200,0)),posicao_contratual!$Y180),posicao_contratual!$Y180),posicao_contratual!$Y180)+1,COUNT($L$2:$L$6))),2),"")),IF(OR(NOT(ISNUMBER($L$4)),NOT(ISNUMBER(INDEX($L$2:$L$6,IFERROR(IF(ISNUMBER(INDEX(aditivos!$O$2:$O$200,MATCH($A180,aditivos!$A$2:$A$200,0))),MIN(INDEX(aditivos!$O$2:$O$200,MATCH($A180,aditivos!$A$2:$A$200,0)),posicao_contratual!$Y180),posicao_contratual!$Y180),posicao_contratual!$Y180)+1)))),"",ROUND(itens_Remanesc!C180*$L$4/INDEX($L$2:$L$6,IFERROR(IF(ISNUMBER(INDEX(aditivos!$O$2:$O$200,MATCH($A180,aditivos!$A$2:$A$200,0))),MIN(INDEX(aditivos!$O$2:$O$200,MATCH($A180,aditivos!$A$2:$A$200,0)),posicao_contratual!$Y180),posicao_contratual!$Y180),posicao_contratual!$Y180)+1),2))))))</f>
        <v/>
      </c>
      <c r="F180" s="79" t="str">
        <f>IF(OR($A180="",posicao_contratual!$Y180=""),"",IF(posicao_contratual!$Y180&gt;3,"",IF(NOT(ISNUMBER(itens_Remanesc!C180)),"",IF(posicao_contratual!$Y180=3,IF(IFERROR(IF(ISNUMBER(INDEX(aditivos!$O$2:$O$200,MATCH($A180,aditivos!$A$2:$A$200,0))),MIN(INDEX(aditivos!$O$2:$O$200,MATCH($A180,aditivos!$A$2:$A$200,0)),posicao_contratual!$Y180),posicao_contratual!$Y180),posicao_contratual!$Y180)=3,itens_Remanesc!C180,IFERROR(ROUND(itens_Remanesc!C180*INDEX($L$2:$L$6,MIN(3+1,COUNT($L$2:$L$6)))/INDEX($L$2:$L$6,MIN(IFERROR(IF(ISNUMBER(INDEX(aditivos!$O$2:$O$200,MATCH($A180,aditivos!$A$2:$A$200,0))),MIN(INDEX(aditivos!$O$2:$O$200,MATCH($A180,aditivos!$A$2:$A$200,0)),posicao_contratual!$Y180),posicao_contratual!$Y180),posicao_contratual!$Y180)+1,COUNT($L$2:$L$6))),2),"")),IF(OR(NOT(ISNUMBER($L$5)),NOT(ISNUMBER(INDEX($L$2:$L$6,IFERROR(IF(ISNUMBER(INDEX(aditivos!$O$2:$O$200,MATCH($A180,aditivos!$A$2:$A$200,0))),MIN(INDEX(aditivos!$O$2:$O$200,MATCH($A180,aditivos!$A$2:$A$200,0)),posicao_contratual!$Y180),posicao_contratual!$Y180),posicao_contratual!$Y180)+1)))),"",ROUND(itens_Remanesc!C180*$L$5/INDEX($L$2:$L$6,IFERROR(IF(ISNUMBER(INDEX(aditivos!$O$2:$O$200,MATCH($A180,aditivos!$A$2:$A$200,0))),MIN(INDEX(aditivos!$O$2:$O$200,MATCH($A180,aditivos!$A$2:$A$200,0)),posicao_contratual!$Y180),posicao_contratual!$Y180),posicao_contratual!$Y180)+1),2))))))</f>
        <v/>
      </c>
      <c r="G180" s="79" t="str">
        <f>IF(OR($A180="",posicao_contratual!$Y180=""),"",IF(posicao_contratual!$Y180&gt;4,"",IF(NOT(ISNUMBER(itens_Remanesc!C180)),"",IF(posicao_contratual!$Y180=4,IF(IFERROR(IF(ISNUMBER(INDEX(aditivos!$O$2:$O$200,MATCH($A180,aditivos!$A$2:$A$200,0))),MIN(INDEX(aditivos!$O$2:$O$200,MATCH($A180,aditivos!$A$2:$A$200,0)),posicao_contratual!$Y180),posicao_contratual!$Y180),posicao_contratual!$Y180)=4,itens_Remanesc!C180,IFERROR(ROUND(itens_Remanesc!C180*INDEX($L$2:$L$6,MIN(4+1,COUNT($L$2:$L$6)))/INDEX($L$2:$L$6,MIN(IFERROR(IF(ISNUMBER(INDEX(aditivos!$O$2:$O$200,MATCH($A180,aditivos!$A$2:$A$200,0))),MIN(INDEX(aditivos!$O$2:$O$200,MATCH($A180,aditivos!$A$2:$A$200,0)),posicao_contratual!$Y180),posicao_contratual!$Y180),posicao_contratual!$Y180)+1,COUNT($L$2:$L$6))),2),"")),IF(OR(NOT(ISNUMBER($L$6)),NOT(ISNUMBER(INDEX($L$2:$L$6,IFERROR(IF(ISNUMBER(INDEX(aditivos!$O$2:$O$200,MATCH($A180,aditivos!$A$2:$A$200,0))),MIN(INDEX(aditivos!$O$2:$O$200,MATCH($A180,aditivos!$A$2:$A$200,0)),posicao_contratual!$Y180),posicao_contratual!$Y180),posicao_contratual!$Y180)+1)))),"",ROUND(itens_Remanesc!C180*$L$6/INDEX($L$2:$L$6,IFERROR(IF(ISNUMBER(INDEX(aditivos!$O$2:$O$200,MATCH($A180,aditivos!$A$2:$A$200,0))),MIN(INDEX(aditivos!$O$2:$O$200,MATCH($A180,aditivos!$A$2:$A$200,0)),posicao_contratual!$Y180),posicao_contratual!$Y180),posicao_contratual!$Y180)+1),2))))))</f>
        <v/>
      </c>
      <c r="H180" s="116" t="str">
        <f t="shared" si="5"/>
        <v/>
      </c>
      <c r="I180" s="13"/>
      <c r="J180" s="13"/>
      <c r="K180" s="13"/>
      <c r="L180" s="13"/>
      <c r="M180" s="13"/>
      <c r="N180" s="147" t="str">
        <f>IF(A180="","",IF(posicao_contratual!$Y180="","",IF(posicao_contratual!$Y180&gt;0,"",posicao_contratual!E180)))</f>
        <v/>
      </c>
      <c r="O180" s="147" t="str">
        <f>IF(A180="","",IF(posicao_contratual!$Y180="","",IF(posicao_contratual!$Y180&gt;1,"",posicao_contratual!I180)))</f>
        <v/>
      </c>
      <c r="P180" s="147" t="str">
        <f>IF(A180="","",IF(posicao_contratual!$Y180="","",IF(posicao_contratual!$Y180&gt;2,"",posicao_contratual!M180)))</f>
        <v/>
      </c>
      <c r="Q180" s="147" t="str">
        <f>IF(A180="","",IF(posicao_contratual!$Y180="","",IF(posicao_contratual!$Y180&gt;3,"",posicao_contratual!Q180)))</f>
        <v/>
      </c>
      <c r="R180" s="147" t="str">
        <f>IF(A180="","",IF(posicao_contratual!$Y180="","",IF(posicao_contratual!$Y180&gt;4,"",posicao_contratual!U180)))</f>
        <v/>
      </c>
      <c r="S180" s="167" t="str">
        <f>IF(A180="","",posicao_contratual!G180)</f>
        <v/>
      </c>
      <c r="T180" s="167" t="str">
        <f>IF(A180="","",posicao_contratual!K180)</f>
        <v/>
      </c>
      <c r="U180" s="167" t="str">
        <f>IF(A180="","",posicao_contratual!O180)</f>
        <v/>
      </c>
      <c r="V180" s="167" t="str">
        <f>IF(A180="","",posicao_contratual!S180)</f>
        <v/>
      </c>
      <c r="W180" s="167" t="str">
        <f>IF(A180="","",posicao_contratual!W180)</f>
        <v/>
      </c>
    </row>
    <row r="181" spans="1:23" x14ac:dyDescent="0.35">
      <c r="A181" s="86" t="str">
        <f>IF(itens_Remanesc!A181="","",itens_Remanesc!A181)</f>
        <v/>
      </c>
      <c r="B181" s="85" t="str">
        <f>IF(A181="","",IF(posicao_contratual!$Y181="","",IF(posicao_contratual!$Y181&gt;0,"",posicao_contratual!G181)))</f>
        <v/>
      </c>
      <c r="C181" s="79" t="str">
        <f>IF(itens_Remanesc!A181="","",IF(posicao_contratual!$Y181="","",IF(posicao_contratual!$Y181&gt;0,"",itens_Remanesc!C181)))</f>
        <v/>
      </c>
      <c r="D181" s="79" t="str">
        <f>IF(OR($A181="",posicao_contratual!$Y181=""),"",IF(posicao_contratual!$Y181&gt;1,"",IF(NOT(ISNUMBER(itens_Remanesc!C181)),"",IF(posicao_contratual!$Y181=1,IF(IFERROR(IF(ISNUMBER(INDEX(aditivos!$O$2:$O$200,MATCH($A181,aditivos!$A$2:$A$200,0))),MIN(INDEX(aditivos!$O$2:$O$200,MATCH($A181,aditivos!$A$2:$A$200,0)),posicao_contratual!$Y181),posicao_contratual!$Y181),posicao_contratual!$Y181)=1,itens_Remanesc!C181,IFERROR(ROUND(itens_Remanesc!C181*INDEX($L$2:$L$6,MIN(1+1,COUNT($L$2:$L$6)))/INDEX($L$2:$L$6,MIN(IFERROR(IF(ISNUMBER(INDEX(aditivos!$O$2:$O$200,MATCH($A181,aditivos!$A$2:$A$200,0))),MIN(INDEX(aditivos!$O$2:$O$200,MATCH($A181,aditivos!$A$2:$A$200,0)),posicao_contratual!$Y181),posicao_contratual!$Y181),posicao_contratual!$Y181)+1,COUNT($L$2:$L$6))),2),"")),IF(OR(NOT(ISNUMBER($L$3)),NOT(ISNUMBER(INDEX($L$2:$L$6,IFERROR(IF(ISNUMBER(INDEX(aditivos!$O$2:$O$200,MATCH($A181,aditivos!$A$2:$A$200,0))),MIN(INDEX(aditivos!$O$2:$O$200,MATCH($A181,aditivos!$A$2:$A$200,0)),posicao_contratual!$Y181),posicao_contratual!$Y181),posicao_contratual!$Y181)+1)))),"",ROUND(itens_Remanesc!C181*$L$3/INDEX($L$2:$L$6,IFERROR(IF(ISNUMBER(INDEX(aditivos!$O$2:$O$200,MATCH($A181,aditivos!$A$2:$A$200,0))),MIN(INDEX(aditivos!$O$2:$O$200,MATCH($A181,aditivos!$A$2:$A$200,0)),posicao_contratual!$Y181),posicao_contratual!$Y181),posicao_contratual!$Y181)+1),2))))))</f>
        <v/>
      </c>
      <c r="E181" s="79" t="str">
        <f>IF(OR($A181="",posicao_contratual!$Y181=""),"",IF(posicao_contratual!$Y181&gt;2,"",IF(NOT(ISNUMBER(itens_Remanesc!C181)),"",IF(posicao_contratual!$Y181=2,IF(IFERROR(IF(ISNUMBER(INDEX(aditivos!$O$2:$O$200,MATCH($A181,aditivos!$A$2:$A$200,0))),MIN(INDEX(aditivos!$O$2:$O$200,MATCH($A181,aditivos!$A$2:$A$200,0)),posicao_contratual!$Y181),posicao_contratual!$Y181),posicao_contratual!$Y181)=2,itens_Remanesc!C181,IFERROR(ROUND(itens_Remanesc!C181*INDEX($L$2:$L$6,MIN(2+1,COUNT($L$2:$L$6)))/INDEX($L$2:$L$6,MIN(IFERROR(IF(ISNUMBER(INDEX(aditivos!$O$2:$O$200,MATCH($A181,aditivos!$A$2:$A$200,0))),MIN(INDEX(aditivos!$O$2:$O$200,MATCH($A181,aditivos!$A$2:$A$200,0)),posicao_contratual!$Y181),posicao_contratual!$Y181),posicao_contratual!$Y181)+1,COUNT($L$2:$L$6))),2),"")),IF(OR(NOT(ISNUMBER($L$4)),NOT(ISNUMBER(INDEX($L$2:$L$6,IFERROR(IF(ISNUMBER(INDEX(aditivos!$O$2:$O$200,MATCH($A181,aditivos!$A$2:$A$200,0))),MIN(INDEX(aditivos!$O$2:$O$200,MATCH($A181,aditivos!$A$2:$A$200,0)),posicao_contratual!$Y181),posicao_contratual!$Y181),posicao_contratual!$Y181)+1)))),"",ROUND(itens_Remanesc!C181*$L$4/INDEX($L$2:$L$6,IFERROR(IF(ISNUMBER(INDEX(aditivos!$O$2:$O$200,MATCH($A181,aditivos!$A$2:$A$200,0))),MIN(INDEX(aditivos!$O$2:$O$200,MATCH($A181,aditivos!$A$2:$A$200,0)),posicao_contratual!$Y181),posicao_contratual!$Y181),posicao_contratual!$Y181)+1),2))))))</f>
        <v/>
      </c>
      <c r="F181" s="79" t="str">
        <f>IF(OR($A181="",posicao_contratual!$Y181=""),"",IF(posicao_contratual!$Y181&gt;3,"",IF(NOT(ISNUMBER(itens_Remanesc!C181)),"",IF(posicao_contratual!$Y181=3,IF(IFERROR(IF(ISNUMBER(INDEX(aditivos!$O$2:$O$200,MATCH($A181,aditivos!$A$2:$A$200,0))),MIN(INDEX(aditivos!$O$2:$O$200,MATCH($A181,aditivos!$A$2:$A$200,0)),posicao_contratual!$Y181),posicao_contratual!$Y181),posicao_contratual!$Y181)=3,itens_Remanesc!C181,IFERROR(ROUND(itens_Remanesc!C181*INDEX($L$2:$L$6,MIN(3+1,COUNT($L$2:$L$6)))/INDEX($L$2:$L$6,MIN(IFERROR(IF(ISNUMBER(INDEX(aditivos!$O$2:$O$200,MATCH($A181,aditivos!$A$2:$A$200,0))),MIN(INDEX(aditivos!$O$2:$O$200,MATCH($A181,aditivos!$A$2:$A$200,0)),posicao_contratual!$Y181),posicao_contratual!$Y181),posicao_contratual!$Y181)+1,COUNT($L$2:$L$6))),2),"")),IF(OR(NOT(ISNUMBER($L$5)),NOT(ISNUMBER(INDEX($L$2:$L$6,IFERROR(IF(ISNUMBER(INDEX(aditivos!$O$2:$O$200,MATCH($A181,aditivos!$A$2:$A$200,0))),MIN(INDEX(aditivos!$O$2:$O$200,MATCH($A181,aditivos!$A$2:$A$200,0)),posicao_contratual!$Y181),posicao_contratual!$Y181),posicao_contratual!$Y181)+1)))),"",ROUND(itens_Remanesc!C181*$L$5/INDEX($L$2:$L$6,IFERROR(IF(ISNUMBER(INDEX(aditivos!$O$2:$O$200,MATCH($A181,aditivos!$A$2:$A$200,0))),MIN(INDEX(aditivos!$O$2:$O$200,MATCH($A181,aditivos!$A$2:$A$200,0)),posicao_contratual!$Y181),posicao_contratual!$Y181),posicao_contratual!$Y181)+1),2))))))</f>
        <v/>
      </c>
      <c r="G181" s="79" t="str">
        <f>IF(OR($A181="",posicao_contratual!$Y181=""),"",IF(posicao_contratual!$Y181&gt;4,"",IF(NOT(ISNUMBER(itens_Remanesc!C181)),"",IF(posicao_contratual!$Y181=4,IF(IFERROR(IF(ISNUMBER(INDEX(aditivos!$O$2:$O$200,MATCH($A181,aditivos!$A$2:$A$200,0))),MIN(INDEX(aditivos!$O$2:$O$200,MATCH($A181,aditivos!$A$2:$A$200,0)),posicao_contratual!$Y181),posicao_contratual!$Y181),posicao_contratual!$Y181)=4,itens_Remanesc!C181,IFERROR(ROUND(itens_Remanesc!C181*INDEX($L$2:$L$6,MIN(4+1,COUNT($L$2:$L$6)))/INDEX($L$2:$L$6,MIN(IFERROR(IF(ISNUMBER(INDEX(aditivos!$O$2:$O$200,MATCH($A181,aditivos!$A$2:$A$200,0))),MIN(INDEX(aditivos!$O$2:$O$200,MATCH($A181,aditivos!$A$2:$A$200,0)),posicao_contratual!$Y181),posicao_contratual!$Y181),posicao_contratual!$Y181)+1,COUNT($L$2:$L$6))),2),"")),IF(OR(NOT(ISNUMBER($L$6)),NOT(ISNUMBER(INDEX($L$2:$L$6,IFERROR(IF(ISNUMBER(INDEX(aditivos!$O$2:$O$200,MATCH($A181,aditivos!$A$2:$A$200,0))),MIN(INDEX(aditivos!$O$2:$O$200,MATCH($A181,aditivos!$A$2:$A$200,0)),posicao_contratual!$Y181),posicao_contratual!$Y181),posicao_contratual!$Y181)+1)))),"",ROUND(itens_Remanesc!C181*$L$6/INDEX($L$2:$L$6,IFERROR(IF(ISNUMBER(INDEX(aditivos!$O$2:$O$200,MATCH($A181,aditivos!$A$2:$A$200,0))),MIN(INDEX(aditivos!$O$2:$O$200,MATCH($A181,aditivos!$A$2:$A$200,0)),posicao_contratual!$Y181),posicao_contratual!$Y181),posicao_contratual!$Y181)+1),2))))))</f>
        <v/>
      </c>
      <c r="H181" s="116" t="str">
        <f t="shared" si="5"/>
        <v/>
      </c>
      <c r="I181" s="13"/>
      <c r="J181" s="13"/>
      <c r="K181" s="13"/>
      <c r="L181" s="13"/>
      <c r="M181" s="13"/>
      <c r="N181" s="147" t="str">
        <f>IF(A181="","",IF(posicao_contratual!$Y181="","",IF(posicao_contratual!$Y181&gt;0,"",posicao_contratual!E181)))</f>
        <v/>
      </c>
      <c r="O181" s="147" t="str">
        <f>IF(A181="","",IF(posicao_contratual!$Y181="","",IF(posicao_contratual!$Y181&gt;1,"",posicao_contratual!I181)))</f>
        <v/>
      </c>
      <c r="P181" s="147" t="str">
        <f>IF(A181="","",IF(posicao_contratual!$Y181="","",IF(posicao_contratual!$Y181&gt;2,"",posicao_contratual!M181)))</f>
        <v/>
      </c>
      <c r="Q181" s="147" t="str">
        <f>IF(A181="","",IF(posicao_contratual!$Y181="","",IF(posicao_contratual!$Y181&gt;3,"",posicao_contratual!Q181)))</f>
        <v/>
      </c>
      <c r="R181" s="147" t="str">
        <f>IF(A181="","",IF(posicao_contratual!$Y181="","",IF(posicao_contratual!$Y181&gt;4,"",posicao_contratual!U181)))</f>
        <v/>
      </c>
      <c r="S181" s="167" t="str">
        <f>IF(A181="","",posicao_contratual!G181)</f>
        <v/>
      </c>
      <c r="T181" s="167" t="str">
        <f>IF(A181="","",posicao_contratual!K181)</f>
        <v/>
      </c>
      <c r="U181" s="167" t="str">
        <f>IF(A181="","",posicao_contratual!O181)</f>
        <v/>
      </c>
      <c r="V181" s="167" t="str">
        <f>IF(A181="","",posicao_contratual!S181)</f>
        <v/>
      </c>
      <c r="W181" s="167" t="str">
        <f>IF(A181="","",posicao_contratual!W181)</f>
        <v/>
      </c>
    </row>
    <row r="182" spans="1:23" x14ac:dyDescent="0.35">
      <c r="A182" s="86" t="str">
        <f>IF(itens_Remanesc!A182="","",itens_Remanesc!A182)</f>
        <v/>
      </c>
      <c r="B182" s="85" t="str">
        <f>IF(A182="","",IF(posicao_contratual!$Y182="","",IF(posicao_contratual!$Y182&gt;0,"",posicao_contratual!G182)))</f>
        <v/>
      </c>
      <c r="C182" s="79" t="str">
        <f>IF(itens_Remanesc!A182="","",IF(posicao_contratual!$Y182="","",IF(posicao_contratual!$Y182&gt;0,"",itens_Remanesc!C182)))</f>
        <v/>
      </c>
      <c r="D182" s="79" t="str">
        <f>IF(OR($A182="",posicao_contratual!$Y182=""),"",IF(posicao_contratual!$Y182&gt;1,"",IF(NOT(ISNUMBER(itens_Remanesc!C182)),"",IF(posicao_contratual!$Y182=1,IF(IFERROR(IF(ISNUMBER(INDEX(aditivos!$O$2:$O$200,MATCH($A182,aditivos!$A$2:$A$200,0))),MIN(INDEX(aditivos!$O$2:$O$200,MATCH($A182,aditivos!$A$2:$A$200,0)),posicao_contratual!$Y182),posicao_contratual!$Y182),posicao_contratual!$Y182)=1,itens_Remanesc!C182,IFERROR(ROUND(itens_Remanesc!C182*INDEX($L$2:$L$6,MIN(1+1,COUNT($L$2:$L$6)))/INDEX($L$2:$L$6,MIN(IFERROR(IF(ISNUMBER(INDEX(aditivos!$O$2:$O$200,MATCH($A182,aditivos!$A$2:$A$200,0))),MIN(INDEX(aditivos!$O$2:$O$200,MATCH($A182,aditivos!$A$2:$A$200,0)),posicao_contratual!$Y182),posicao_contratual!$Y182),posicao_contratual!$Y182)+1,COUNT($L$2:$L$6))),2),"")),IF(OR(NOT(ISNUMBER($L$3)),NOT(ISNUMBER(INDEX($L$2:$L$6,IFERROR(IF(ISNUMBER(INDEX(aditivos!$O$2:$O$200,MATCH($A182,aditivos!$A$2:$A$200,0))),MIN(INDEX(aditivos!$O$2:$O$200,MATCH($A182,aditivos!$A$2:$A$200,0)),posicao_contratual!$Y182),posicao_contratual!$Y182),posicao_contratual!$Y182)+1)))),"",ROUND(itens_Remanesc!C182*$L$3/INDEX($L$2:$L$6,IFERROR(IF(ISNUMBER(INDEX(aditivos!$O$2:$O$200,MATCH($A182,aditivos!$A$2:$A$200,0))),MIN(INDEX(aditivos!$O$2:$O$200,MATCH($A182,aditivos!$A$2:$A$200,0)),posicao_contratual!$Y182),posicao_contratual!$Y182),posicao_contratual!$Y182)+1),2))))))</f>
        <v/>
      </c>
      <c r="E182" s="79" t="str">
        <f>IF(OR($A182="",posicao_contratual!$Y182=""),"",IF(posicao_contratual!$Y182&gt;2,"",IF(NOT(ISNUMBER(itens_Remanesc!C182)),"",IF(posicao_contratual!$Y182=2,IF(IFERROR(IF(ISNUMBER(INDEX(aditivos!$O$2:$O$200,MATCH($A182,aditivos!$A$2:$A$200,0))),MIN(INDEX(aditivos!$O$2:$O$200,MATCH($A182,aditivos!$A$2:$A$200,0)),posicao_contratual!$Y182),posicao_contratual!$Y182),posicao_contratual!$Y182)=2,itens_Remanesc!C182,IFERROR(ROUND(itens_Remanesc!C182*INDEX($L$2:$L$6,MIN(2+1,COUNT($L$2:$L$6)))/INDEX($L$2:$L$6,MIN(IFERROR(IF(ISNUMBER(INDEX(aditivos!$O$2:$O$200,MATCH($A182,aditivos!$A$2:$A$200,0))),MIN(INDEX(aditivos!$O$2:$O$200,MATCH($A182,aditivos!$A$2:$A$200,0)),posicao_contratual!$Y182),posicao_contratual!$Y182),posicao_contratual!$Y182)+1,COUNT($L$2:$L$6))),2),"")),IF(OR(NOT(ISNUMBER($L$4)),NOT(ISNUMBER(INDEX($L$2:$L$6,IFERROR(IF(ISNUMBER(INDEX(aditivos!$O$2:$O$200,MATCH($A182,aditivos!$A$2:$A$200,0))),MIN(INDEX(aditivos!$O$2:$O$200,MATCH($A182,aditivos!$A$2:$A$200,0)),posicao_contratual!$Y182),posicao_contratual!$Y182),posicao_contratual!$Y182)+1)))),"",ROUND(itens_Remanesc!C182*$L$4/INDEX($L$2:$L$6,IFERROR(IF(ISNUMBER(INDEX(aditivos!$O$2:$O$200,MATCH($A182,aditivos!$A$2:$A$200,0))),MIN(INDEX(aditivos!$O$2:$O$200,MATCH($A182,aditivos!$A$2:$A$200,0)),posicao_contratual!$Y182),posicao_contratual!$Y182),posicao_contratual!$Y182)+1),2))))))</f>
        <v/>
      </c>
      <c r="F182" s="79" t="str">
        <f>IF(OR($A182="",posicao_contratual!$Y182=""),"",IF(posicao_contratual!$Y182&gt;3,"",IF(NOT(ISNUMBER(itens_Remanesc!C182)),"",IF(posicao_contratual!$Y182=3,IF(IFERROR(IF(ISNUMBER(INDEX(aditivos!$O$2:$O$200,MATCH($A182,aditivos!$A$2:$A$200,0))),MIN(INDEX(aditivos!$O$2:$O$200,MATCH($A182,aditivos!$A$2:$A$200,0)),posicao_contratual!$Y182),posicao_contratual!$Y182),posicao_contratual!$Y182)=3,itens_Remanesc!C182,IFERROR(ROUND(itens_Remanesc!C182*INDEX($L$2:$L$6,MIN(3+1,COUNT($L$2:$L$6)))/INDEX($L$2:$L$6,MIN(IFERROR(IF(ISNUMBER(INDEX(aditivos!$O$2:$O$200,MATCH($A182,aditivos!$A$2:$A$200,0))),MIN(INDEX(aditivos!$O$2:$O$200,MATCH($A182,aditivos!$A$2:$A$200,0)),posicao_contratual!$Y182),posicao_contratual!$Y182),posicao_contratual!$Y182)+1,COUNT($L$2:$L$6))),2),"")),IF(OR(NOT(ISNUMBER($L$5)),NOT(ISNUMBER(INDEX($L$2:$L$6,IFERROR(IF(ISNUMBER(INDEX(aditivos!$O$2:$O$200,MATCH($A182,aditivos!$A$2:$A$200,0))),MIN(INDEX(aditivos!$O$2:$O$200,MATCH($A182,aditivos!$A$2:$A$200,0)),posicao_contratual!$Y182),posicao_contratual!$Y182),posicao_contratual!$Y182)+1)))),"",ROUND(itens_Remanesc!C182*$L$5/INDEX($L$2:$L$6,IFERROR(IF(ISNUMBER(INDEX(aditivos!$O$2:$O$200,MATCH($A182,aditivos!$A$2:$A$200,0))),MIN(INDEX(aditivos!$O$2:$O$200,MATCH($A182,aditivos!$A$2:$A$200,0)),posicao_contratual!$Y182),posicao_contratual!$Y182),posicao_contratual!$Y182)+1),2))))))</f>
        <v/>
      </c>
      <c r="G182" s="79" t="str">
        <f>IF(OR($A182="",posicao_contratual!$Y182=""),"",IF(posicao_contratual!$Y182&gt;4,"",IF(NOT(ISNUMBER(itens_Remanesc!C182)),"",IF(posicao_contratual!$Y182=4,IF(IFERROR(IF(ISNUMBER(INDEX(aditivos!$O$2:$O$200,MATCH($A182,aditivos!$A$2:$A$200,0))),MIN(INDEX(aditivos!$O$2:$O$200,MATCH($A182,aditivos!$A$2:$A$200,0)),posicao_contratual!$Y182),posicao_contratual!$Y182),posicao_contratual!$Y182)=4,itens_Remanesc!C182,IFERROR(ROUND(itens_Remanesc!C182*INDEX($L$2:$L$6,MIN(4+1,COUNT($L$2:$L$6)))/INDEX($L$2:$L$6,MIN(IFERROR(IF(ISNUMBER(INDEX(aditivos!$O$2:$O$200,MATCH($A182,aditivos!$A$2:$A$200,0))),MIN(INDEX(aditivos!$O$2:$O$200,MATCH($A182,aditivos!$A$2:$A$200,0)),posicao_contratual!$Y182),posicao_contratual!$Y182),posicao_contratual!$Y182)+1,COUNT($L$2:$L$6))),2),"")),IF(OR(NOT(ISNUMBER($L$6)),NOT(ISNUMBER(INDEX($L$2:$L$6,IFERROR(IF(ISNUMBER(INDEX(aditivos!$O$2:$O$200,MATCH($A182,aditivos!$A$2:$A$200,0))),MIN(INDEX(aditivos!$O$2:$O$200,MATCH($A182,aditivos!$A$2:$A$200,0)),posicao_contratual!$Y182),posicao_contratual!$Y182),posicao_contratual!$Y182)+1)))),"",ROUND(itens_Remanesc!C182*$L$6/INDEX($L$2:$L$6,IFERROR(IF(ISNUMBER(INDEX(aditivos!$O$2:$O$200,MATCH($A182,aditivos!$A$2:$A$200,0))),MIN(INDEX(aditivos!$O$2:$O$200,MATCH($A182,aditivos!$A$2:$A$200,0)),posicao_contratual!$Y182),posicao_contratual!$Y182),posicao_contratual!$Y182)+1),2))))))</f>
        <v/>
      </c>
      <c r="H182" s="116" t="str">
        <f t="shared" si="5"/>
        <v/>
      </c>
      <c r="I182" s="13"/>
      <c r="J182" s="13"/>
      <c r="K182" s="13"/>
      <c r="L182" s="13"/>
      <c r="M182" s="13"/>
      <c r="N182" s="147" t="str">
        <f>IF(A182="","",IF(posicao_contratual!$Y182="","",IF(posicao_contratual!$Y182&gt;0,"",posicao_contratual!E182)))</f>
        <v/>
      </c>
      <c r="O182" s="147" t="str">
        <f>IF(A182="","",IF(posicao_contratual!$Y182="","",IF(posicao_contratual!$Y182&gt;1,"",posicao_contratual!I182)))</f>
        <v/>
      </c>
      <c r="P182" s="147" t="str">
        <f>IF(A182="","",IF(posicao_contratual!$Y182="","",IF(posicao_contratual!$Y182&gt;2,"",posicao_contratual!M182)))</f>
        <v/>
      </c>
      <c r="Q182" s="147" t="str">
        <f>IF(A182="","",IF(posicao_contratual!$Y182="","",IF(posicao_contratual!$Y182&gt;3,"",posicao_contratual!Q182)))</f>
        <v/>
      </c>
      <c r="R182" s="147" t="str">
        <f>IF(A182="","",IF(posicao_contratual!$Y182="","",IF(posicao_contratual!$Y182&gt;4,"",posicao_contratual!U182)))</f>
        <v/>
      </c>
      <c r="S182" s="167" t="str">
        <f>IF(A182="","",posicao_contratual!G182)</f>
        <v/>
      </c>
      <c r="T182" s="167" t="str">
        <f>IF(A182="","",posicao_contratual!K182)</f>
        <v/>
      </c>
      <c r="U182" s="167" t="str">
        <f>IF(A182="","",posicao_contratual!O182)</f>
        <v/>
      </c>
      <c r="V182" s="167" t="str">
        <f>IF(A182="","",posicao_contratual!S182)</f>
        <v/>
      </c>
      <c r="W182" s="167" t="str">
        <f>IF(A182="","",posicao_contratual!W182)</f>
        <v/>
      </c>
    </row>
    <row r="183" spans="1:23" x14ac:dyDescent="0.35">
      <c r="A183" s="86" t="str">
        <f>IF(itens_Remanesc!A183="","",itens_Remanesc!A183)</f>
        <v/>
      </c>
      <c r="B183" s="85" t="str">
        <f>IF(A183="","",IF(posicao_contratual!$Y183="","",IF(posicao_contratual!$Y183&gt;0,"",posicao_contratual!G183)))</f>
        <v/>
      </c>
      <c r="C183" s="79" t="str">
        <f>IF(itens_Remanesc!A183="","",IF(posicao_contratual!$Y183="","",IF(posicao_contratual!$Y183&gt;0,"",itens_Remanesc!C183)))</f>
        <v/>
      </c>
      <c r="D183" s="79" t="str">
        <f>IF(OR($A183="",posicao_contratual!$Y183=""),"",IF(posicao_contratual!$Y183&gt;1,"",IF(NOT(ISNUMBER(itens_Remanesc!C183)),"",IF(posicao_contratual!$Y183=1,IF(IFERROR(IF(ISNUMBER(INDEX(aditivos!$O$2:$O$200,MATCH($A183,aditivos!$A$2:$A$200,0))),MIN(INDEX(aditivos!$O$2:$O$200,MATCH($A183,aditivos!$A$2:$A$200,0)),posicao_contratual!$Y183),posicao_contratual!$Y183),posicao_contratual!$Y183)=1,itens_Remanesc!C183,IFERROR(ROUND(itens_Remanesc!C183*INDEX($L$2:$L$6,MIN(1+1,COUNT($L$2:$L$6)))/INDEX($L$2:$L$6,MIN(IFERROR(IF(ISNUMBER(INDEX(aditivos!$O$2:$O$200,MATCH($A183,aditivos!$A$2:$A$200,0))),MIN(INDEX(aditivos!$O$2:$O$200,MATCH($A183,aditivos!$A$2:$A$200,0)),posicao_contratual!$Y183),posicao_contratual!$Y183),posicao_contratual!$Y183)+1,COUNT($L$2:$L$6))),2),"")),IF(OR(NOT(ISNUMBER($L$3)),NOT(ISNUMBER(INDEX($L$2:$L$6,IFERROR(IF(ISNUMBER(INDEX(aditivos!$O$2:$O$200,MATCH($A183,aditivos!$A$2:$A$200,0))),MIN(INDEX(aditivos!$O$2:$O$200,MATCH($A183,aditivos!$A$2:$A$200,0)),posicao_contratual!$Y183),posicao_contratual!$Y183),posicao_contratual!$Y183)+1)))),"",ROUND(itens_Remanesc!C183*$L$3/INDEX($L$2:$L$6,IFERROR(IF(ISNUMBER(INDEX(aditivos!$O$2:$O$200,MATCH($A183,aditivos!$A$2:$A$200,0))),MIN(INDEX(aditivos!$O$2:$O$200,MATCH($A183,aditivos!$A$2:$A$200,0)),posicao_contratual!$Y183),posicao_contratual!$Y183),posicao_contratual!$Y183)+1),2))))))</f>
        <v/>
      </c>
      <c r="E183" s="79" t="str">
        <f>IF(OR($A183="",posicao_contratual!$Y183=""),"",IF(posicao_contratual!$Y183&gt;2,"",IF(NOT(ISNUMBER(itens_Remanesc!C183)),"",IF(posicao_contratual!$Y183=2,IF(IFERROR(IF(ISNUMBER(INDEX(aditivos!$O$2:$O$200,MATCH($A183,aditivos!$A$2:$A$200,0))),MIN(INDEX(aditivos!$O$2:$O$200,MATCH($A183,aditivos!$A$2:$A$200,0)),posicao_contratual!$Y183),posicao_contratual!$Y183),posicao_contratual!$Y183)=2,itens_Remanesc!C183,IFERROR(ROUND(itens_Remanesc!C183*INDEX($L$2:$L$6,MIN(2+1,COUNT($L$2:$L$6)))/INDEX($L$2:$L$6,MIN(IFERROR(IF(ISNUMBER(INDEX(aditivos!$O$2:$O$200,MATCH($A183,aditivos!$A$2:$A$200,0))),MIN(INDEX(aditivos!$O$2:$O$200,MATCH($A183,aditivos!$A$2:$A$200,0)),posicao_contratual!$Y183),posicao_contratual!$Y183),posicao_contratual!$Y183)+1,COUNT($L$2:$L$6))),2),"")),IF(OR(NOT(ISNUMBER($L$4)),NOT(ISNUMBER(INDEX($L$2:$L$6,IFERROR(IF(ISNUMBER(INDEX(aditivos!$O$2:$O$200,MATCH($A183,aditivos!$A$2:$A$200,0))),MIN(INDEX(aditivos!$O$2:$O$200,MATCH($A183,aditivos!$A$2:$A$200,0)),posicao_contratual!$Y183),posicao_contratual!$Y183),posicao_contratual!$Y183)+1)))),"",ROUND(itens_Remanesc!C183*$L$4/INDEX($L$2:$L$6,IFERROR(IF(ISNUMBER(INDEX(aditivos!$O$2:$O$200,MATCH($A183,aditivos!$A$2:$A$200,0))),MIN(INDEX(aditivos!$O$2:$O$200,MATCH($A183,aditivos!$A$2:$A$200,0)),posicao_contratual!$Y183),posicao_contratual!$Y183),posicao_contratual!$Y183)+1),2))))))</f>
        <v/>
      </c>
      <c r="F183" s="79" t="str">
        <f>IF(OR($A183="",posicao_contratual!$Y183=""),"",IF(posicao_contratual!$Y183&gt;3,"",IF(NOT(ISNUMBER(itens_Remanesc!C183)),"",IF(posicao_contratual!$Y183=3,IF(IFERROR(IF(ISNUMBER(INDEX(aditivos!$O$2:$O$200,MATCH($A183,aditivos!$A$2:$A$200,0))),MIN(INDEX(aditivos!$O$2:$O$200,MATCH($A183,aditivos!$A$2:$A$200,0)),posicao_contratual!$Y183),posicao_contratual!$Y183),posicao_contratual!$Y183)=3,itens_Remanesc!C183,IFERROR(ROUND(itens_Remanesc!C183*INDEX($L$2:$L$6,MIN(3+1,COUNT($L$2:$L$6)))/INDEX($L$2:$L$6,MIN(IFERROR(IF(ISNUMBER(INDEX(aditivos!$O$2:$O$200,MATCH($A183,aditivos!$A$2:$A$200,0))),MIN(INDEX(aditivos!$O$2:$O$200,MATCH($A183,aditivos!$A$2:$A$200,0)),posicao_contratual!$Y183),posicao_contratual!$Y183),posicao_contratual!$Y183)+1,COUNT($L$2:$L$6))),2),"")),IF(OR(NOT(ISNUMBER($L$5)),NOT(ISNUMBER(INDEX($L$2:$L$6,IFERROR(IF(ISNUMBER(INDEX(aditivos!$O$2:$O$200,MATCH($A183,aditivos!$A$2:$A$200,0))),MIN(INDEX(aditivos!$O$2:$O$200,MATCH($A183,aditivos!$A$2:$A$200,0)),posicao_contratual!$Y183),posicao_contratual!$Y183),posicao_contratual!$Y183)+1)))),"",ROUND(itens_Remanesc!C183*$L$5/INDEX($L$2:$L$6,IFERROR(IF(ISNUMBER(INDEX(aditivos!$O$2:$O$200,MATCH($A183,aditivos!$A$2:$A$200,0))),MIN(INDEX(aditivos!$O$2:$O$200,MATCH($A183,aditivos!$A$2:$A$200,0)),posicao_contratual!$Y183),posicao_contratual!$Y183),posicao_contratual!$Y183)+1),2))))))</f>
        <v/>
      </c>
      <c r="G183" s="79" t="str">
        <f>IF(OR($A183="",posicao_contratual!$Y183=""),"",IF(posicao_contratual!$Y183&gt;4,"",IF(NOT(ISNUMBER(itens_Remanesc!C183)),"",IF(posicao_contratual!$Y183=4,IF(IFERROR(IF(ISNUMBER(INDEX(aditivos!$O$2:$O$200,MATCH($A183,aditivos!$A$2:$A$200,0))),MIN(INDEX(aditivos!$O$2:$O$200,MATCH($A183,aditivos!$A$2:$A$200,0)),posicao_contratual!$Y183),posicao_contratual!$Y183),posicao_contratual!$Y183)=4,itens_Remanesc!C183,IFERROR(ROUND(itens_Remanesc!C183*INDEX($L$2:$L$6,MIN(4+1,COUNT($L$2:$L$6)))/INDEX($L$2:$L$6,MIN(IFERROR(IF(ISNUMBER(INDEX(aditivos!$O$2:$O$200,MATCH($A183,aditivos!$A$2:$A$200,0))),MIN(INDEX(aditivos!$O$2:$O$200,MATCH($A183,aditivos!$A$2:$A$200,0)),posicao_contratual!$Y183),posicao_contratual!$Y183),posicao_contratual!$Y183)+1,COUNT($L$2:$L$6))),2),"")),IF(OR(NOT(ISNUMBER($L$6)),NOT(ISNUMBER(INDEX($L$2:$L$6,IFERROR(IF(ISNUMBER(INDEX(aditivos!$O$2:$O$200,MATCH($A183,aditivos!$A$2:$A$200,0))),MIN(INDEX(aditivos!$O$2:$O$200,MATCH($A183,aditivos!$A$2:$A$200,0)),posicao_contratual!$Y183),posicao_contratual!$Y183),posicao_contratual!$Y183)+1)))),"",ROUND(itens_Remanesc!C183*$L$6/INDEX($L$2:$L$6,IFERROR(IF(ISNUMBER(INDEX(aditivos!$O$2:$O$200,MATCH($A183,aditivos!$A$2:$A$200,0))),MIN(INDEX(aditivos!$O$2:$O$200,MATCH($A183,aditivos!$A$2:$A$200,0)),posicao_contratual!$Y183),posicao_contratual!$Y183),posicao_contratual!$Y183)+1),2))))))</f>
        <v/>
      </c>
      <c r="H183" s="116" t="str">
        <f t="shared" si="5"/>
        <v/>
      </c>
      <c r="I183" s="13"/>
      <c r="J183" s="13"/>
      <c r="K183" s="13"/>
      <c r="L183" s="13"/>
      <c r="M183" s="13"/>
      <c r="N183" s="147" t="str">
        <f>IF(A183="","",IF(posicao_contratual!$Y183="","",IF(posicao_contratual!$Y183&gt;0,"",posicao_contratual!E183)))</f>
        <v/>
      </c>
      <c r="O183" s="147" t="str">
        <f>IF(A183="","",IF(posicao_contratual!$Y183="","",IF(posicao_contratual!$Y183&gt;1,"",posicao_contratual!I183)))</f>
        <v/>
      </c>
      <c r="P183" s="147" t="str">
        <f>IF(A183="","",IF(posicao_contratual!$Y183="","",IF(posicao_contratual!$Y183&gt;2,"",posicao_contratual!M183)))</f>
        <v/>
      </c>
      <c r="Q183" s="147" t="str">
        <f>IF(A183="","",IF(posicao_contratual!$Y183="","",IF(posicao_contratual!$Y183&gt;3,"",posicao_contratual!Q183)))</f>
        <v/>
      </c>
      <c r="R183" s="147" t="str">
        <f>IF(A183="","",IF(posicao_contratual!$Y183="","",IF(posicao_contratual!$Y183&gt;4,"",posicao_contratual!U183)))</f>
        <v/>
      </c>
      <c r="S183" s="167" t="str">
        <f>IF(A183="","",posicao_contratual!G183)</f>
        <v/>
      </c>
      <c r="T183" s="167" t="str">
        <f>IF(A183="","",posicao_contratual!K183)</f>
        <v/>
      </c>
      <c r="U183" s="167" t="str">
        <f>IF(A183="","",posicao_contratual!O183)</f>
        <v/>
      </c>
      <c r="V183" s="167" t="str">
        <f>IF(A183="","",posicao_contratual!S183)</f>
        <v/>
      </c>
      <c r="W183" s="167" t="str">
        <f>IF(A183="","",posicao_contratual!W183)</f>
        <v/>
      </c>
    </row>
    <row r="184" spans="1:23" x14ac:dyDescent="0.35">
      <c r="A184" s="86" t="str">
        <f>IF(itens_Remanesc!A184="","",itens_Remanesc!A184)</f>
        <v/>
      </c>
      <c r="B184" s="85" t="str">
        <f>IF(A184="","",IF(posicao_contratual!$Y184="","",IF(posicao_contratual!$Y184&gt;0,"",posicao_contratual!G184)))</f>
        <v/>
      </c>
      <c r="C184" s="79" t="str">
        <f>IF(itens_Remanesc!A184="","",IF(posicao_contratual!$Y184="","",IF(posicao_contratual!$Y184&gt;0,"",itens_Remanesc!C184)))</f>
        <v/>
      </c>
      <c r="D184" s="79" t="str">
        <f>IF(OR($A184="",posicao_contratual!$Y184=""),"",IF(posicao_contratual!$Y184&gt;1,"",IF(NOT(ISNUMBER(itens_Remanesc!C184)),"",IF(posicao_contratual!$Y184=1,IF(IFERROR(IF(ISNUMBER(INDEX(aditivos!$O$2:$O$200,MATCH($A184,aditivos!$A$2:$A$200,0))),MIN(INDEX(aditivos!$O$2:$O$200,MATCH($A184,aditivos!$A$2:$A$200,0)),posicao_contratual!$Y184),posicao_contratual!$Y184),posicao_contratual!$Y184)=1,itens_Remanesc!C184,IFERROR(ROUND(itens_Remanesc!C184*INDEX($L$2:$L$6,MIN(1+1,COUNT($L$2:$L$6)))/INDEX($L$2:$L$6,MIN(IFERROR(IF(ISNUMBER(INDEX(aditivos!$O$2:$O$200,MATCH($A184,aditivos!$A$2:$A$200,0))),MIN(INDEX(aditivos!$O$2:$O$200,MATCH($A184,aditivos!$A$2:$A$200,0)),posicao_contratual!$Y184),posicao_contratual!$Y184),posicao_contratual!$Y184)+1,COUNT($L$2:$L$6))),2),"")),IF(OR(NOT(ISNUMBER($L$3)),NOT(ISNUMBER(INDEX($L$2:$L$6,IFERROR(IF(ISNUMBER(INDEX(aditivos!$O$2:$O$200,MATCH($A184,aditivos!$A$2:$A$200,0))),MIN(INDEX(aditivos!$O$2:$O$200,MATCH($A184,aditivos!$A$2:$A$200,0)),posicao_contratual!$Y184),posicao_contratual!$Y184),posicao_contratual!$Y184)+1)))),"",ROUND(itens_Remanesc!C184*$L$3/INDEX($L$2:$L$6,IFERROR(IF(ISNUMBER(INDEX(aditivos!$O$2:$O$200,MATCH($A184,aditivos!$A$2:$A$200,0))),MIN(INDEX(aditivos!$O$2:$O$200,MATCH($A184,aditivos!$A$2:$A$200,0)),posicao_contratual!$Y184),posicao_contratual!$Y184),posicao_contratual!$Y184)+1),2))))))</f>
        <v/>
      </c>
      <c r="E184" s="79" t="str">
        <f>IF(OR($A184="",posicao_contratual!$Y184=""),"",IF(posicao_contratual!$Y184&gt;2,"",IF(NOT(ISNUMBER(itens_Remanesc!C184)),"",IF(posicao_contratual!$Y184=2,IF(IFERROR(IF(ISNUMBER(INDEX(aditivos!$O$2:$O$200,MATCH($A184,aditivos!$A$2:$A$200,0))),MIN(INDEX(aditivos!$O$2:$O$200,MATCH($A184,aditivos!$A$2:$A$200,0)),posicao_contratual!$Y184),posicao_contratual!$Y184),posicao_contratual!$Y184)=2,itens_Remanesc!C184,IFERROR(ROUND(itens_Remanesc!C184*INDEX($L$2:$L$6,MIN(2+1,COUNT($L$2:$L$6)))/INDEX($L$2:$L$6,MIN(IFERROR(IF(ISNUMBER(INDEX(aditivos!$O$2:$O$200,MATCH($A184,aditivos!$A$2:$A$200,0))),MIN(INDEX(aditivos!$O$2:$O$200,MATCH($A184,aditivos!$A$2:$A$200,0)),posicao_contratual!$Y184),posicao_contratual!$Y184),posicao_contratual!$Y184)+1,COUNT($L$2:$L$6))),2),"")),IF(OR(NOT(ISNUMBER($L$4)),NOT(ISNUMBER(INDEX($L$2:$L$6,IFERROR(IF(ISNUMBER(INDEX(aditivos!$O$2:$O$200,MATCH($A184,aditivos!$A$2:$A$200,0))),MIN(INDEX(aditivos!$O$2:$O$200,MATCH($A184,aditivos!$A$2:$A$200,0)),posicao_contratual!$Y184),posicao_contratual!$Y184),posicao_contratual!$Y184)+1)))),"",ROUND(itens_Remanesc!C184*$L$4/INDEX($L$2:$L$6,IFERROR(IF(ISNUMBER(INDEX(aditivos!$O$2:$O$200,MATCH($A184,aditivos!$A$2:$A$200,0))),MIN(INDEX(aditivos!$O$2:$O$200,MATCH($A184,aditivos!$A$2:$A$200,0)),posicao_contratual!$Y184),posicao_contratual!$Y184),posicao_contratual!$Y184)+1),2))))))</f>
        <v/>
      </c>
      <c r="F184" s="79" t="str">
        <f>IF(OR($A184="",posicao_contratual!$Y184=""),"",IF(posicao_contratual!$Y184&gt;3,"",IF(NOT(ISNUMBER(itens_Remanesc!C184)),"",IF(posicao_contratual!$Y184=3,IF(IFERROR(IF(ISNUMBER(INDEX(aditivos!$O$2:$O$200,MATCH($A184,aditivos!$A$2:$A$200,0))),MIN(INDEX(aditivos!$O$2:$O$200,MATCH($A184,aditivos!$A$2:$A$200,0)),posicao_contratual!$Y184),posicao_contratual!$Y184),posicao_contratual!$Y184)=3,itens_Remanesc!C184,IFERROR(ROUND(itens_Remanesc!C184*INDEX($L$2:$L$6,MIN(3+1,COUNT($L$2:$L$6)))/INDEX($L$2:$L$6,MIN(IFERROR(IF(ISNUMBER(INDEX(aditivos!$O$2:$O$200,MATCH($A184,aditivos!$A$2:$A$200,0))),MIN(INDEX(aditivos!$O$2:$O$200,MATCH($A184,aditivos!$A$2:$A$200,0)),posicao_contratual!$Y184),posicao_contratual!$Y184),posicao_contratual!$Y184)+1,COUNT($L$2:$L$6))),2),"")),IF(OR(NOT(ISNUMBER($L$5)),NOT(ISNUMBER(INDEX($L$2:$L$6,IFERROR(IF(ISNUMBER(INDEX(aditivos!$O$2:$O$200,MATCH($A184,aditivos!$A$2:$A$200,0))),MIN(INDEX(aditivos!$O$2:$O$200,MATCH($A184,aditivos!$A$2:$A$200,0)),posicao_contratual!$Y184),posicao_contratual!$Y184),posicao_contratual!$Y184)+1)))),"",ROUND(itens_Remanesc!C184*$L$5/INDEX($L$2:$L$6,IFERROR(IF(ISNUMBER(INDEX(aditivos!$O$2:$O$200,MATCH($A184,aditivos!$A$2:$A$200,0))),MIN(INDEX(aditivos!$O$2:$O$200,MATCH($A184,aditivos!$A$2:$A$200,0)),posicao_contratual!$Y184),posicao_contratual!$Y184),posicao_contratual!$Y184)+1),2))))))</f>
        <v/>
      </c>
      <c r="G184" s="79" t="str">
        <f>IF(OR($A184="",posicao_contratual!$Y184=""),"",IF(posicao_contratual!$Y184&gt;4,"",IF(NOT(ISNUMBER(itens_Remanesc!C184)),"",IF(posicao_contratual!$Y184=4,IF(IFERROR(IF(ISNUMBER(INDEX(aditivos!$O$2:$O$200,MATCH($A184,aditivos!$A$2:$A$200,0))),MIN(INDEX(aditivos!$O$2:$O$200,MATCH($A184,aditivos!$A$2:$A$200,0)),posicao_contratual!$Y184),posicao_contratual!$Y184),posicao_contratual!$Y184)=4,itens_Remanesc!C184,IFERROR(ROUND(itens_Remanesc!C184*INDEX($L$2:$L$6,MIN(4+1,COUNT($L$2:$L$6)))/INDEX($L$2:$L$6,MIN(IFERROR(IF(ISNUMBER(INDEX(aditivos!$O$2:$O$200,MATCH($A184,aditivos!$A$2:$A$200,0))),MIN(INDEX(aditivos!$O$2:$O$200,MATCH($A184,aditivos!$A$2:$A$200,0)),posicao_contratual!$Y184),posicao_contratual!$Y184),posicao_contratual!$Y184)+1,COUNT($L$2:$L$6))),2),"")),IF(OR(NOT(ISNUMBER($L$6)),NOT(ISNUMBER(INDEX($L$2:$L$6,IFERROR(IF(ISNUMBER(INDEX(aditivos!$O$2:$O$200,MATCH($A184,aditivos!$A$2:$A$200,0))),MIN(INDEX(aditivos!$O$2:$O$200,MATCH($A184,aditivos!$A$2:$A$200,0)),posicao_contratual!$Y184),posicao_contratual!$Y184),posicao_contratual!$Y184)+1)))),"",ROUND(itens_Remanesc!C184*$L$6/INDEX($L$2:$L$6,IFERROR(IF(ISNUMBER(INDEX(aditivos!$O$2:$O$200,MATCH($A184,aditivos!$A$2:$A$200,0))),MIN(INDEX(aditivos!$O$2:$O$200,MATCH($A184,aditivos!$A$2:$A$200,0)),posicao_contratual!$Y184),posicao_contratual!$Y184),posicao_contratual!$Y184)+1),2))))))</f>
        <v/>
      </c>
      <c r="H184" s="116" t="str">
        <f t="shared" si="5"/>
        <v/>
      </c>
      <c r="I184" s="13"/>
      <c r="J184" s="13"/>
      <c r="K184" s="13"/>
      <c r="L184" s="13"/>
      <c r="M184" s="13"/>
      <c r="N184" s="147" t="str">
        <f>IF(A184="","",IF(posicao_contratual!$Y184="","",IF(posicao_contratual!$Y184&gt;0,"",posicao_contratual!E184)))</f>
        <v/>
      </c>
      <c r="O184" s="147" t="str">
        <f>IF(A184="","",IF(posicao_contratual!$Y184="","",IF(posicao_contratual!$Y184&gt;1,"",posicao_contratual!I184)))</f>
        <v/>
      </c>
      <c r="P184" s="147" t="str">
        <f>IF(A184="","",IF(posicao_contratual!$Y184="","",IF(posicao_contratual!$Y184&gt;2,"",posicao_contratual!M184)))</f>
        <v/>
      </c>
      <c r="Q184" s="147" t="str">
        <f>IF(A184="","",IF(posicao_contratual!$Y184="","",IF(posicao_contratual!$Y184&gt;3,"",posicao_contratual!Q184)))</f>
        <v/>
      </c>
      <c r="R184" s="147" t="str">
        <f>IF(A184="","",IF(posicao_contratual!$Y184="","",IF(posicao_contratual!$Y184&gt;4,"",posicao_contratual!U184)))</f>
        <v/>
      </c>
      <c r="S184" s="167" t="str">
        <f>IF(A184="","",posicao_contratual!G184)</f>
        <v/>
      </c>
      <c r="T184" s="167" t="str">
        <f>IF(A184="","",posicao_contratual!K184)</f>
        <v/>
      </c>
      <c r="U184" s="167" t="str">
        <f>IF(A184="","",posicao_contratual!O184)</f>
        <v/>
      </c>
      <c r="V184" s="167" t="str">
        <f>IF(A184="","",posicao_contratual!S184)</f>
        <v/>
      </c>
      <c r="W184" s="167" t="str">
        <f>IF(A184="","",posicao_contratual!W184)</f>
        <v/>
      </c>
    </row>
    <row r="185" spans="1:23" x14ac:dyDescent="0.35">
      <c r="A185" s="86" t="str">
        <f>IF(itens_Remanesc!A185="","",itens_Remanesc!A185)</f>
        <v/>
      </c>
      <c r="B185" s="85" t="str">
        <f>IF(A185="","",IF(posicao_contratual!$Y185="","",IF(posicao_contratual!$Y185&gt;0,"",posicao_contratual!G185)))</f>
        <v/>
      </c>
      <c r="C185" s="79" t="str">
        <f>IF(itens_Remanesc!A185="","",IF(posicao_contratual!$Y185="","",IF(posicao_contratual!$Y185&gt;0,"",itens_Remanesc!C185)))</f>
        <v/>
      </c>
      <c r="D185" s="79" t="str">
        <f>IF(OR($A185="",posicao_contratual!$Y185=""),"",IF(posicao_contratual!$Y185&gt;1,"",IF(NOT(ISNUMBER(itens_Remanesc!C185)),"",IF(posicao_contratual!$Y185=1,IF(IFERROR(IF(ISNUMBER(INDEX(aditivos!$O$2:$O$200,MATCH($A185,aditivos!$A$2:$A$200,0))),MIN(INDEX(aditivos!$O$2:$O$200,MATCH($A185,aditivos!$A$2:$A$200,0)),posicao_contratual!$Y185),posicao_contratual!$Y185),posicao_contratual!$Y185)=1,itens_Remanesc!C185,IFERROR(ROUND(itens_Remanesc!C185*INDEX($L$2:$L$6,MIN(1+1,COUNT($L$2:$L$6)))/INDEX($L$2:$L$6,MIN(IFERROR(IF(ISNUMBER(INDEX(aditivos!$O$2:$O$200,MATCH($A185,aditivos!$A$2:$A$200,0))),MIN(INDEX(aditivos!$O$2:$O$200,MATCH($A185,aditivos!$A$2:$A$200,0)),posicao_contratual!$Y185),posicao_contratual!$Y185),posicao_contratual!$Y185)+1,COUNT($L$2:$L$6))),2),"")),IF(OR(NOT(ISNUMBER($L$3)),NOT(ISNUMBER(INDEX($L$2:$L$6,IFERROR(IF(ISNUMBER(INDEX(aditivos!$O$2:$O$200,MATCH($A185,aditivos!$A$2:$A$200,0))),MIN(INDEX(aditivos!$O$2:$O$200,MATCH($A185,aditivos!$A$2:$A$200,0)),posicao_contratual!$Y185),posicao_contratual!$Y185),posicao_contratual!$Y185)+1)))),"",ROUND(itens_Remanesc!C185*$L$3/INDEX($L$2:$L$6,IFERROR(IF(ISNUMBER(INDEX(aditivos!$O$2:$O$200,MATCH($A185,aditivos!$A$2:$A$200,0))),MIN(INDEX(aditivos!$O$2:$O$200,MATCH($A185,aditivos!$A$2:$A$200,0)),posicao_contratual!$Y185),posicao_contratual!$Y185),posicao_contratual!$Y185)+1),2))))))</f>
        <v/>
      </c>
      <c r="E185" s="79" t="str">
        <f>IF(OR($A185="",posicao_contratual!$Y185=""),"",IF(posicao_contratual!$Y185&gt;2,"",IF(NOT(ISNUMBER(itens_Remanesc!C185)),"",IF(posicao_contratual!$Y185=2,IF(IFERROR(IF(ISNUMBER(INDEX(aditivos!$O$2:$O$200,MATCH($A185,aditivos!$A$2:$A$200,0))),MIN(INDEX(aditivos!$O$2:$O$200,MATCH($A185,aditivos!$A$2:$A$200,0)),posicao_contratual!$Y185),posicao_contratual!$Y185),posicao_contratual!$Y185)=2,itens_Remanesc!C185,IFERROR(ROUND(itens_Remanesc!C185*INDEX($L$2:$L$6,MIN(2+1,COUNT($L$2:$L$6)))/INDEX($L$2:$L$6,MIN(IFERROR(IF(ISNUMBER(INDEX(aditivos!$O$2:$O$200,MATCH($A185,aditivos!$A$2:$A$200,0))),MIN(INDEX(aditivos!$O$2:$O$200,MATCH($A185,aditivos!$A$2:$A$200,0)),posicao_contratual!$Y185),posicao_contratual!$Y185),posicao_contratual!$Y185)+1,COUNT($L$2:$L$6))),2),"")),IF(OR(NOT(ISNUMBER($L$4)),NOT(ISNUMBER(INDEX($L$2:$L$6,IFERROR(IF(ISNUMBER(INDEX(aditivos!$O$2:$O$200,MATCH($A185,aditivos!$A$2:$A$200,0))),MIN(INDEX(aditivos!$O$2:$O$200,MATCH($A185,aditivos!$A$2:$A$200,0)),posicao_contratual!$Y185),posicao_contratual!$Y185),posicao_contratual!$Y185)+1)))),"",ROUND(itens_Remanesc!C185*$L$4/INDEX($L$2:$L$6,IFERROR(IF(ISNUMBER(INDEX(aditivos!$O$2:$O$200,MATCH($A185,aditivos!$A$2:$A$200,0))),MIN(INDEX(aditivos!$O$2:$O$200,MATCH($A185,aditivos!$A$2:$A$200,0)),posicao_contratual!$Y185),posicao_contratual!$Y185),posicao_contratual!$Y185)+1),2))))))</f>
        <v/>
      </c>
      <c r="F185" s="79" t="str">
        <f>IF(OR($A185="",posicao_contratual!$Y185=""),"",IF(posicao_contratual!$Y185&gt;3,"",IF(NOT(ISNUMBER(itens_Remanesc!C185)),"",IF(posicao_contratual!$Y185=3,IF(IFERROR(IF(ISNUMBER(INDEX(aditivos!$O$2:$O$200,MATCH($A185,aditivos!$A$2:$A$200,0))),MIN(INDEX(aditivos!$O$2:$O$200,MATCH($A185,aditivos!$A$2:$A$200,0)),posicao_contratual!$Y185),posicao_contratual!$Y185),posicao_contratual!$Y185)=3,itens_Remanesc!C185,IFERROR(ROUND(itens_Remanesc!C185*INDEX($L$2:$L$6,MIN(3+1,COUNT($L$2:$L$6)))/INDEX($L$2:$L$6,MIN(IFERROR(IF(ISNUMBER(INDEX(aditivos!$O$2:$O$200,MATCH($A185,aditivos!$A$2:$A$200,0))),MIN(INDEX(aditivos!$O$2:$O$200,MATCH($A185,aditivos!$A$2:$A$200,0)),posicao_contratual!$Y185),posicao_contratual!$Y185),posicao_contratual!$Y185)+1,COUNT($L$2:$L$6))),2),"")),IF(OR(NOT(ISNUMBER($L$5)),NOT(ISNUMBER(INDEX($L$2:$L$6,IFERROR(IF(ISNUMBER(INDEX(aditivos!$O$2:$O$200,MATCH($A185,aditivos!$A$2:$A$200,0))),MIN(INDEX(aditivos!$O$2:$O$200,MATCH($A185,aditivos!$A$2:$A$200,0)),posicao_contratual!$Y185),posicao_contratual!$Y185),posicao_contratual!$Y185)+1)))),"",ROUND(itens_Remanesc!C185*$L$5/INDEX($L$2:$L$6,IFERROR(IF(ISNUMBER(INDEX(aditivos!$O$2:$O$200,MATCH($A185,aditivos!$A$2:$A$200,0))),MIN(INDEX(aditivos!$O$2:$O$200,MATCH($A185,aditivos!$A$2:$A$200,0)),posicao_contratual!$Y185),posicao_contratual!$Y185),posicao_contratual!$Y185)+1),2))))))</f>
        <v/>
      </c>
      <c r="G185" s="79" t="str">
        <f>IF(OR($A185="",posicao_contratual!$Y185=""),"",IF(posicao_contratual!$Y185&gt;4,"",IF(NOT(ISNUMBER(itens_Remanesc!C185)),"",IF(posicao_contratual!$Y185=4,IF(IFERROR(IF(ISNUMBER(INDEX(aditivos!$O$2:$O$200,MATCH($A185,aditivos!$A$2:$A$200,0))),MIN(INDEX(aditivos!$O$2:$O$200,MATCH($A185,aditivos!$A$2:$A$200,0)),posicao_contratual!$Y185),posicao_contratual!$Y185),posicao_contratual!$Y185)=4,itens_Remanesc!C185,IFERROR(ROUND(itens_Remanesc!C185*INDEX($L$2:$L$6,MIN(4+1,COUNT($L$2:$L$6)))/INDEX($L$2:$L$6,MIN(IFERROR(IF(ISNUMBER(INDEX(aditivos!$O$2:$O$200,MATCH($A185,aditivos!$A$2:$A$200,0))),MIN(INDEX(aditivos!$O$2:$O$200,MATCH($A185,aditivos!$A$2:$A$200,0)),posicao_contratual!$Y185),posicao_contratual!$Y185),posicao_contratual!$Y185)+1,COUNT($L$2:$L$6))),2),"")),IF(OR(NOT(ISNUMBER($L$6)),NOT(ISNUMBER(INDEX($L$2:$L$6,IFERROR(IF(ISNUMBER(INDEX(aditivos!$O$2:$O$200,MATCH($A185,aditivos!$A$2:$A$200,0))),MIN(INDEX(aditivos!$O$2:$O$200,MATCH($A185,aditivos!$A$2:$A$200,0)),posicao_contratual!$Y185),posicao_contratual!$Y185),posicao_contratual!$Y185)+1)))),"",ROUND(itens_Remanesc!C185*$L$6/INDEX($L$2:$L$6,IFERROR(IF(ISNUMBER(INDEX(aditivos!$O$2:$O$200,MATCH($A185,aditivos!$A$2:$A$200,0))),MIN(INDEX(aditivos!$O$2:$O$200,MATCH($A185,aditivos!$A$2:$A$200,0)),posicao_contratual!$Y185),posicao_contratual!$Y185),posicao_contratual!$Y185)+1),2))))))</f>
        <v/>
      </c>
      <c r="H185" s="116" t="str">
        <f t="shared" si="5"/>
        <v/>
      </c>
      <c r="I185" s="13"/>
      <c r="J185" s="13"/>
      <c r="K185" s="13"/>
      <c r="L185" s="13"/>
      <c r="M185" s="13"/>
      <c r="N185" s="147" t="str">
        <f>IF(A185="","",IF(posicao_contratual!$Y185="","",IF(posicao_contratual!$Y185&gt;0,"",posicao_contratual!E185)))</f>
        <v/>
      </c>
      <c r="O185" s="147" t="str">
        <f>IF(A185="","",IF(posicao_contratual!$Y185="","",IF(posicao_contratual!$Y185&gt;1,"",posicao_contratual!I185)))</f>
        <v/>
      </c>
      <c r="P185" s="147" t="str">
        <f>IF(A185="","",IF(posicao_contratual!$Y185="","",IF(posicao_contratual!$Y185&gt;2,"",posicao_contratual!M185)))</f>
        <v/>
      </c>
      <c r="Q185" s="147" t="str">
        <f>IF(A185="","",IF(posicao_contratual!$Y185="","",IF(posicao_contratual!$Y185&gt;3,"",posicao_contratual!Q185)))</f>
        <v/>
      </c>
      <c r="R185" s="147" t="str">
        <f>IF(A185="","",IF(posicao_contratual!$Y185="","",IF(posicao_contratual!$Y185&gt;4,"",posicao_contratual!U185)))</f>
        <v/>
      </c>
      <c r="S185" s="167" t="str">
        <f>IF(A185="","",posicao_contratual!G185)</f>
        <v/>
      </c>
      <c r="T185" s="167" t="str">
        <f>IF(A185="","",posicao_contratual!K185)</f>
        <v/>
      </c>
      <c r="U185" s="167" t="str">
        <f>IF(A185="","",posicao_contratual!O185)</f>
        <v/>
      </c>
      <c r="V185" s="167" t="str">
        <f>IF(A185="","",posicao_contratual!S185)</f>
        <v/>
      </c>
      <c r="W185" s="167" t="str">
        <f>IF(A185="","",posicao_contratual!W185)</f>
        <v/>
      </c>
    </row>
    <row r="186" spans="1:23" x14ac:dyDescent="0.35">
      <c r="A186" s="86" t="str">
        <f>IF(itens_Remanesc!A186="","",itens_Remanesc!A186)</f>
        <v/>
      </c>
      <c r="B186" s="85" t="str">
        <f>IF(A186="","",IF(posicao_contratual!$Y186="","",IF(posicao_contratual!$Y186&gt;0,"",posicao_contratual!G186)))</f>
        <v/>
      </c>
      <c r="C186" s="79" t="str">
        <f>IF(itens_Remanesc!A186="","",IF(posicao_contratual!$Y186="","",IF(posicao_contratual!$Y186&gt;0,"",itens_Remanesc!C186)))</f>
        <v/>
      </c>
      <c r="D186" s="79" t="str">
        <f>IF(OR($A186="",posicao_contratual!$Y186=""),"",IF(posicao_contratual!$Y186&gt;1,"",IF(NOT(ISNUMBER(itens_Remanesc!C186)),"",IF(posicao_contratual!$Y186=1,IF(IFERROR(IF(ISNUMBER(INDEX(aditivos!$O$2:$O$200,MATCH($A186,aditivos!$A$2:$A$200,0))),MIN(INDEX(aditivos!$O$2:$O$200,MATCH($A186,aditivos!$A$2:$A$200,0)),posicao_contratual!$Y186),posicao_contratual!$Y186),posicao_contratual!$Y186)=1,itens_Remanesc!C186,IFERROR(ROUND(itens_Remanesc!C186*INDEX($L$2:$L$6,MIN(1+1,COUNT($L$2:$L$6)))/INDEX($L$2:$L$6,MIN(IFERROR(IF(ISNUMBER(INDEX(aditivos!$O$2:$O$200,MATCH($A186,aditivos!$A$2:$A$200,0))),MIN(INDEX(aditivos!$O$2:$O$200,MATCH($A186,aditivos!$A$2:$A$200,0)),posicao_contratual!$Y186),posicao_contratual!$Y186),posicao_contratual!$Y186)+1,COUNT($L$2:$L$6))),2),"")),IF(OR(NOT(ISNUMBER($L$3)),NOT(ISNUMBER(INDEX($L$2:$L$6,IFERROR(IF(ISNUMBER(INDEX(aditivos!$O$2:$O$200,MATCH($A186,aditivos!$A$2:$A$200,0))),MIN(INDEX(aditivos!$O$2:$O$200,MATCH($A186,aditivos!$A$2:$A$200,0)),posicao_contratual!$Y186),posicao_contratual!$Y186),posicao_contratual!$Y186)+1)))),"",ROUND(itens_Remanesc!C186*$L$3/INDEX($L$2:$L$6,IFERROR(IF(ISNUMBER(INDEX(aditivos!$O$2:$O$200,MATCH($A186,aditivos!$A$2:$A$200,0))),MIN(INDEX(aditivos!$O$2:$O$200,MATCH($A186,aditivos!$A$2:$A$200,0)),posicao_contratual!$Y186),posicao_contratual!$Y186),posicao_contratual!$Y186)+1),2))))))</f>
        <v/>
      </c>
      <c r="E186" s="79" t="str">
        <f>IF(OR($A186="",posicao_contratual!$Y186=""),"",IF(posicao_contratual!$Y186&gt;2,"",IF(NOT(ISNUMBER(itens_Remanesc!C186)),"",IF(posicao_contratual!$Y186=2,IF(IFERROR(IF(ISNUMBER(INDEX(aditivos!$O$2:$O$200,MATCH($A186,aditivos!$A$2:$A$200,0))),MIN(INDEX(aditivos!$O$2:$O$200,MATCH($A186,aditivos!$A$2:$A$200,0)),posicao_contratual!$Y186),posicao_contratual!$Y186),posicao_contratual!$Y186)=2,itens_Remanesc!C186,IFERROR(ROUND(itens_Remanesc!C186*INDEX($L$2:$L$6,MIN(2+1,COUNT($L$2:$L$6)))/INDEX($L$2:$L$6,MIN(IFERROR(IF(ISNUMBER(INDEX(aditivos!$O$2:$O$200,MATCH($A186,aditivos!$A$2:$A$200,0))),MIN(INDEX(aditivos!$O$2:$O$200,MATCH($A186,aditivos!$A$2:$A$200,0)),posicao_contratual!$Y186),posicao_contratual!$Y186),posicao_contratual!$Y186)+1,COUNT($L$2:$L$6))),2),"")),IF(OR(NOT(ISNUMBER($L$4)),NOT(ISNUMBER(INDEX($L$2:$L$6,IFERROR(IF(ISNUMBER(INDEX(aditivos!$O$2:$O$200,MATCH($A186,aditivos!$A$2:$A$200,0))),MIN(INDEX(aditivos!$O$2:$O$200,MATCH($A186,aditivos!$A$2:$A$200,0)),posicao_contratual!$Y186),posicao_contratual!$Y186),posicao_contratual!$Y186)+1)))),"",ROUND(itens_Remanesc!C186*$L$4/INDEX($L$2:$L$6,IFERROR(IF(ISNUMBER(INDEX(aditivos!$O$2:$O$200,MATCH($A186,aditivos!$A$2:$A$200,0))),MIN(INDEX(aditivos!$O$2:$O$200,MATCH($A186,aditivos!$A$2:$A$200,0)),posicao_contratual!$Y186),posicao_contratual!$Y186),posicao_contratual!$Y186)+1),2))))))</f>
        <v/>
      </c>
      <c r="F186" s="79" t="str">
        <f>IF(OR($A186="",posicao_contratual!$Y186=""),"",IF(posicao_contratual!$Y186&gt;3,"",IF(NOT(ISNUMBER(itens_Remanesc!C186)),"",IF(posicao_contratual!$Y186=3,IF(IFERROR(IF(ISNUMBER(INDEX(aditivos!$O$2:$O$200,MATCH($A186,aditivos!$A$2:$A$200,0))),MIN(INDEX(aditivos!$O$2:$O$200,MATCH($A186,aditivos!$A$2:$A$200,0)),posicao_contratual!$Y186),posicao_contratual!$Y186),posicao_contratual!$Y186)=3,itens_Remanesc!C186,IFERROR(ROUND(itens_Remanesc!C186*INDEX($L$2:$L$6,MIN(3+1,COUNT($L$2:$L$6)))/INDEX($L$2:$L$6,MIN(IFERROR(IF(ISNUMBER(INDEX(aditivos!$O$2:$O$200,MATCH($A186,aditivos!$A$2:$A$200,0))),MIN(INDEX(aditivos!$O$2:$O$200,MATCH($A186,aditivos!$A$2:$A$200,0)),posicao_contratual!$Y186),posicao_contratual!$Y186),posicao_contratual!$Y186)+1,COUNT($L$2:$L$6))),2),"")),IF(OR(NOT(ISNUMBER($L$5)),NOT(ISNUMBER(INDEX($L$2:$L$6,IFERROR(IF(ISNUMBER(INDEX(aditivos!$O$2:$O$200,MATCH($A186,aditivos!$A$2:$A$200,0))),MIN(INDEX(aditivos!$O$2:$O$200,MATCH($A186,aditivos!$A$2:$A$200,0)),posicao_contratual!$Y186),posicao_contratual!$Y186),posicao_contratual!$Y186)+1)))),"",ROUND(itens_Remanesc!C186*$L$5/INDEX($L$2:$L$6,IFERROR(IF(ISNUMBER(INDEX(aditivos!$O$2:$O$200,MATCH($A186,aditivos!$A$2:$A$200,0))),MIN(INDEX(aditivos!$O$2:$O$200,MATCH($A186,aditivos!$A$2:$A$200,0)),posicao_contratual!$Y186),posicao_contratual!$Y186),posicao_contratual!$Y186)+1),2))))))</f>
        <v/>
      </c>
      <c r="G186" s="79" t="str">
        <f>IF(OR($A186="",posicao_contratual!$Y186=""),"",IF(posicao_contratual!$Y186&gt;4,"",IF(NOT(ISNUMBER(itens_Remanesc!C186)),"",IF(posicao_contratual!$Y186=4,IF(IFERROR(IF(ISNUMBER(INDEX(aditivos!$O$2:$O$200,MATCH($A186,aditivos!$A$2:$A$200,0))),MIN(INDEX(aditivos!$O$2:$O$200,MATCH($A186,aditivos!$A$2:$A$200,0)),posicao_contratual!$Y186),posicao_contratual!$Y186),posicao_contratual!$Y186)=4,itens_Remanesc!C186,IFERROR(ROUND(itens_Remanesc!C186*INDEX($L$2:$L$6,MIN(4+1,COUNT($L$2:$L$6)))/INDEX($L$2:$L$6,MIN(IFERROR(IF(ISNUMBER(INDEX(aditivos!$O$2:$O$200,MATCH($A186,aditivos!$A$2:$A$200,0))),MIN(INDEX(aditivos!$O$2:$O$200,MATCH($A186,aditivos!$A$2:$A$200,0)),posicao_contratual!$Y186),posicao_contratual!$Y186),posicao_contratual!$Y186)+1,COUNT($L$2:$L$6))),2),"")),IF(OR(NOT(ISNUMBER($L$6)),NOT(ISNUMBER(INDEX($L$2:$L$6,IFERROR(IF(ISNUMBER(INDEX(aditivos!$O$2:$O$200,MATCH($A186,aditivos!$A$2:$A$200,0))),MIN(INDEX(aditivos!$O$2:$O$200,MATCH($A186,aditivos!$A$2:$A$200,0)),posicao_contratual!$Y186),posicao_contratual!$Y186),posicao_contratual!$Y186)+1)))),"",ROUND(itens_Remanesc!C186*$L$6/INDEX($L$2:$L$6,IFERROR(IF(ISNUMBER(INDEX(aditivos!$O$2:$O$200,MATCH($A186,aditivos!$A$2:$A$200,0))),MIN(INDEX(aditivos!$O$2:$O$200,MATCH($A186,aditivos!$A$2:$A$200,0)),posicao_contratual!$Y186),posicao_contratual!$Y186),posicao_contratual!$Y186)+1),2))))))</f>
        <v/>
      </c>
      <c r="H186" s="116" t="str">
        <f t="shared" si="5"/>
        <v/>
      </c>
      <c r="I186" s="13"/>
      <c r="J186" s="13"/>
      <c r="K186" s="13"/>
      <c r="L186" s="13"/>
      <c r="M186" s="13"/>
      <c r="N186" s="147" t="str">
        <f>IF(A186="","",IF(posicao_contratual!$Y186="","",IF(posicao_contratual!$Y186&gt;0,"",posicao_contratual!E186)))</f>
        <v/>
      </c>
      <c r="O186" s="147" t="str">
        <f>IF(A186="","",IF(posicao_contratual!$Y186="","",IF(posicao_contratual!$Y186&gt;1,"",posicao_contratual!I186)))</f>
        <v/>
      </c>
      <c r="P186" s="147" t="str">
        <f>IF(A186="","",IF(posicao_contratual!$Y186="","",IF(posicao_contratual!$Y186&gt;2,"",posicao_contratual!M186)))</f>
        <v/>
      </c>
      <c r="Q186" s="147" t="str">
        <f>IF(A186="","",IF(posicao_contratual!$Y186="","",IF(posicao_contratual!$Y186&gt;3,"",posicao_contratual!Q186)))</f>
        <v/>
      </c>
      <c r="R186" s="147" t="str">
        <f>IF(A186="","",IF(posicao_contratual!$Y186="","",IF(posicao_contratual!$Y186&gt;4,"",posicao_contratual!U186)))</f>
        <v/>
      </c>
      <c r="S186" s="167" t="str">
        <f>IF(A186="","",posicao_contratual!G186)</f>
        <v/>
      </c>
      <c r="T186" s="167" t="str">
        <f>IF(A186="","",posicao_contratual!K186)</f>
        <v/>
      </c>
      <c r="U186" s="167" t="str">
        <f>IF(A186="","",posicao_contratual!O186)</f>
        <v/>
      </c>
      <c r="V186" s="167" t="str">
        <f>IF(A186="","",posicao_contratual!S186)</f>
        <v/>
      </c>
      <c r="W186" s="167" t="str">
        <f>IF(A186="","",posicao_contratual!W186)</f>
        <v/>
      </c>
    </row>
    <row r="187" spans="1:23" x14ac:dyDescent="0.35">
      <c r="A187" s="86" t="str">
        <f>IF(itens_Remanesc!A187="","",itens_Remanesc!A187)</f>
        <v/>
      </c>
      <c r="B187" s="85" t="str">
        <f>IF(A187="","",IF(posicao_contratual!$Y187="","",IF(posicao_contratual!$Y187&gt;0,"",posicao_contratual!G187)))</f>
        <v/>
      </c>
      <c r="C187" s="79" t="str">
        <f>IF(itens_Remanesc!A187="","",IF(posicao_contratual!$Y187="","",IF(posicao_contratual!$Y187&gt;0,"",itens_Remanesc!C187)))</f>
        <v/>
      </c>
      <c r="D187" s="79" t="str">
        <f>IF(OR($A187="",posicao_contratual!$Y187=""),"",IF(posicao_contratual!$Y187&gt;1,"",IF(NOT(ISNUMBER(itens_Remanesc!C187)),"",IF(posicao_contratual!$Y187=1,IF(IFERROR(IF(ISNUMBER(INDEX(aditivos!$O$2:$O$200,MATCH($A187,aditivos!$A$2:$A$200,0))),MIN(INDEX(aditivos!$O$2:$O$200,MATCH($A187,aditivos!$A$2:$A$200,0)),posicao_contratual!$Y187),posicao_contratual!$Y187),posicao_contratual!$Y187)=1,itens_Remanesc!C187,IFERROR(ROUND(itens_Remanesc!C187*INDEX($L$2:$L$6,MIN(1+1,COUNT($L$2:$L$6)))/INDEX($L$2:$L$6,MIN(IFERROR(IF(ISNUMBER(INDEX(aditivos!$O$2:$O$200,MATCH($A187,aditivos!$A$2:$A$200,0))),MIN(INDEX(aditivos!$O$2:$O$200,MATCH($A187,aditivos!$A$2:$A$200,0)),posicao_contratual!$Y187),posicao_contratual!$Y187),posicao_contratual!$Y187)+1,COUNT($L$2:$L$6))),2),"")),IF(OR(NOT(ISNUMBER($L$3)),NOT(ISNUMBER(INDEX($L$2:$L$6,IFERROR(IF(ISNUMBER(INDEX(aditivos!$O$2:$O$200,MATCH($A187,aditivos!$A$2:$A$200,0))),MIN(INDEX(aditivos!$O$2:$O$200,MATCH($A187,aditivos!$A$2:$A$200,0)),posicao_contratual!$Y187),posicao_contratual!$Y187),posicao_contratual!$Y187)+1)))),"",ROUND(itens_Remanesc!C187*$L$3/INDEX($L$2:$L$6,IFERROR(IF(ISNUMBER(INDEX(aditivos!$O$2:$O$200,MATCH($A187,aditivos!$A$2:$A$200,0))),MIN(INDEX(aditivos!$O$2:$O$200,MATCH($A187,aditivos!$A$2:$A$200,0)),posicao_contratual!$Y187),posicao_contratual!$Y187),posicao_contratual!$Y187)+1),2))))))</f>
        <v/>
      </c>
      <c r="E187" s="79" t="str">
        <f>IF(OR($A187="",posicao_contratual!$Y187=""),"",IF(posicao_contratual!$Y187&gt;2,"",IF(NOT(ISNUMBER(itens_Remanesc!C187)),"",IF(posicao_contratual!$Y187=2,IF(IFERROR(IF(ISNUMBER(INDEX(aditivos!$O$2:$O$200,MATCH($A187,aditivos!$A$2:$A$200,0))),MIN(INDEX(aditivos!$O$2:$O$200,MATCH($A187,aditivos!$A$2:$A$200,0)),posicao_contratual!$Y187),posicao_contratual!$Y187),posicao_contratual!$Y187)=2,itens_Remanesc!C187,IFERROR(ROUND(itens_Remanesc!C187*INDEX($L$2:$L$6,MIN(2+1,COUNT($L$2:$L$6)))/INDEX($L$2:$L$6,MIN(IFERROR(IF(ISNUMBER(INDEX(aditivos!$O$2:$O$200,MATCH($A187,aditivos!$A$2:$A$200,0))),MIN(INDEX(aditivos!$O$2:$O$200,MATCH($A187,aditivos!$A$2:$A$200,0)),posicao_contratual!$Y187),posicao_contratual!$Y187),posicao_contratual!$Y187)+1,COUNT($L$2:$L$6))),2),"")),IF(OR(NOT(ISNUMBER($L$4)),NOT(ISNUMBER(INDEX($L$2:$L$6,IFERROR(IF(ISNUMBER(INDEX(aditivos!$O$2:$O$200,MATCH($A187,aditivos!$A$2:$A$200,0))),MIN(INDEX(aditivos!$O$2:$O$200,MATCH($A187,aditivos!$A$2:$A$200,0)),posicao_contratual!$Y187),posicao_contratual!$Y187),posicao_contratual!$Y187)+1)))),"",ROUND(itens_Remanesc!C187*$L$4/INDEX($L$2:$L$6,IFERROR(IF(ISNUMBER(INDEX(aditivos!$O$2:$O$200,MATCH($A187,aditivos!$A$2:$A$200,0))),MIN(INDEX(aditivos!$O$2:$O$200,MATCH($A187,aditivos!$A$2:$A$200,0)),posicao_contratual!$Y187),posicao_contratual!$Y187),posicao_contratual!$Y187)+1),2))))))</f>
        <v/>
      </c>
      <c r="F187" s="79" t="str">
        <f>IF(OR($A187="",posicao_contratual!$Y187=""),"",IF(posicao_contratual!$Y187&gt;3,"",IF(NOT(ISNUMBER(itens_Remanesc!C187)),"",IF(posicao_contratual!$Y187=3,IF(IFERROR(IF(ISNUMBER(INDEX(aditivos!$O$2:$O$200,MATCH($A187,aditivos!$A$2:$A$200,0))),MIN(INDEX(aditivos!$O$2:$O$200,MATCH($A187,aditivos!$A$2:$A$200,0)),posicao_contratual!$Y187),posicao_contratual!$Y187),posicao_contratual!$Y187)=3,itens_Remanesc!C187,IFERROR(ROUND(itens_Remanesc!C187*INDEX($L$2:$L$6,MIN(3+1,COUNT($L$2:$L$6)))/INDEX($L$2:$L$6,MIN(IFERROR(IF(ISNUMBER(INDEX(aditivos!$O$2:$O$200,MATCH($A187,aditivos!$A$2:$A$200,0))),MIN(INDEX(aditivos!$O$2:$O$200,MATCH($A187,aditivos!$A$2:$A$200,0)),posicao_contratual!$Y187),posicao_contratual!$Y187),posicao_contratual!$Y187)+1,COUNT($L$2:$L$6))),2),"")),IF(OR(NOT(ISNUMBER($L$5)),NOT(ISNUMBER(INDEX($L$2:$L$6,IFERROR(IF(ISNUMBER(INDEX(aditivos!$O$2:$O$200,MATCH($A187,aditivos!$A$2:$A$200,0))),MIN(INDEX(aditivos!$O$2:$O$200,MATCH($A187,aditivos!$A$2:$A$200,0)),posicao_contratual!$Y187),posicao_contratual!$Y187),posicao_contratual!$Y187)+1)))),"",ROUND(itens_Remanesc!C187*$L$5/INDEX($L$2:$L$6,IFERROR(IF(ISNUMBER(INDEX(aditivos!$O$2:$O$200,MATCH($A187,aditivos!$A$2:$A$200,0))),MIN(INDEX(aditivos!$O$2:$O$200,MATCH($A187,aditivos!$A$2:$A$200,0)),posicao_contratual!$Y187),posicao_contratual!$Y187),posicao_contratual!$Y187)+1),2))))))</f>
        <v/>
      </c>
      <c r="G187" s="79" t="str">
        <f>IF(OR($A187="",posicao_contratual!$Y187=""),"",IF(posicao_contratual!$Y187&gt;4,"",IF(NOT(ISNUMBER(itens_Remanesc!C187)),"",IF(posicao_contratual!$Y187=4,IF(IFERROR(IF(ISNUMBER(INDEX(aditivos!$O$2:$O$200,MATCH($A187,aditivos!$A$2:$A$200,0))),MIN(INDEX(aditivos!$O$2:$O$200,MATCH($A187,aditivos!$A$2:$A$200,0)),posicao_contratual!$Y187),posicao_contratual!$Y187),posicao_contratual!$Y187)=4,itens_Remanesc!C187,IFERROR(ROUND(itens_Remanesc!C187*INDEX($L$2:$L$6,MIN(4+1,COUNT($L$2:$L$6)))/INDEX($L$2:$L$6,MIN(IFERROR(IF(ISNUMBER(INDEX(aditivos!$O$2:$O$200,MATCH($A187,aditivos!$A$2:$A$200,0))),MIN(INDEX(aditivos!$O$2:$O$200,MATCH($A187,aditivos!$A$2:$A$200,0)),posicao_contratual!$Y187),posicao_contratual!$Y187),posicao_contratual!$Y187)+1,COUNT($L$2:$L$6))),2),"")),IF(OR(NOT(ISNUMBER($L$6)),NOT(ISNUMBER(INDEX($L$2:$L$6,IFERROR(IF(ISNUMBER(INDEX(aditivos!$O$2:$O$200,MATCH($A187,aditivos!$A$2:$A$200,0))),MIN(INDEX(aditivos!$O$2:$O$200,MATCH($A187,aditivos!$A$2:$A$200,0)),posicao_contratual!$Y187),posicao_contratual!$Y187),posicao_contratual!$Y187)+1)))),"",ROUND(itens_Remanesc!C187*$L$6/INDEX($L$2:$L$6,IFERROR(IF(ISNUMBER(INDEX(aditivos!$O$2:$O$200,MATCH($A187,aditivos!$A$2:$A$200,0))),MIN(INDEX(aditivos!$O$2:$O$200,MATCH($A187,aditivos!$A$2:$A$200,0)),posicao_contratual!$Y187),posicao_contratual!$Y187),posicao_contratual!$Y187)+1),2))))))</f>
        <v/>
      </c>
      <c r="H187" s="116" t="str">
        <f t="shared" si="5"/>
        <v/>
      </c>
      <c r="I187" s="13"/>
      <c r="J187" s="13"/>
      <c r="K187" s="13"/>
      <c r="L187" s="13"/>
      <c r="M187" s="13"/>
      <c r="N187" s="147" t="str">
        <f>IF(A187="","",IF(posicao_contratual!$Y187="","",IF(posicao_contratual!$Y187&gt;0,"",posicao_contratual!E187)))</f>
        <v/>
      </c>
      <c r="O187" s="147" t="str">
        <f>IF(A187="","",IF(posicao_contratual!$Y187="","",IF(posicao_contratual!$Y187&gt;1,"",posicao_contratual!I187)))</f>
        <v/>
      </c>
      <c r="P187" s="147" t="str">
        <f>IF(A187="","",IF(posicao_contratual!$Y187="","",IF(posicao_contratual!$Y187&gt;2,"",posicao_contratual!M187)))</f>
        <v/>
      </c>
      <c r="Q187" s="147" t="str">
        <f>IF(A187="","",IF(posicao_contratual!$Y187="","",IF(posicao_contratual!$Y187&gt;3,"",posicao_contratual!Q187)))</f>
        <v/>
      </c>
      <c r="R187" s="147" t="str">
        <f>IF(A187="","",IF(posicao_contratual!$Y187="","",IF(posicao_contratual!$Y187&gt;4,"",posicao_contratual!U187)))</f>
        <v/>
      </c>
      <c r="S187" s="167" t="str">
        <f>IF(A187="","",posicao_contratual!G187)</f>
        <v/>
      </c>
      <c r="T187" s="167" t="str">
        <f>IF(A187="","",posicao_contratual!K187)</f>
        <v/>
      </c>
      <c r="U187" s="167" t="str">
        <f>IF(A187="","",posicao_contratual!O187)</f>
        <v/>
      </c>
      <c r="V187" s="167" t="str">
        <f>IF(A187="","",posicao_contratual!S187)</f>
        <v/>
      </c>
      <c r="W187" s="167" t="str">
        <f>IF(A187="","",posicao_contratual!W187)</f>
        <v/>
      </c>
    </row>
    <row r="188" spans="1:23" x14ac:dyDescent="0.35">
      <c r="A188" s="86" t="str">
        <f>IF(itens_Remanesc!A188="","",itens_Remanesc!A188)</f>
        <v/>
      </c>
      <c r="B188" s="85" t="str">
        <f>IF(A188="","",IF(posicao_contratual!$Y188="","",IF(posicao_contratual!$Y188&gt;0,"",posicao_contratual!G188)))</f>
        <v/>
      </c>
      <c r="C188" s="79" t="str">
        <f>IF(itens_Remanesc!A188="","",IF(posicao_contratual!$Y188="","",IF(posicao_contratual!$Y188&gt;0,"",itens_Remanesc!C188)))</f>
        <v/>
      </c>
      <c r="D188" s="79" t="str">
        <f>IF(OR($A188="",posicao_contratual!$Y188=""),"",IF(posicao_contratual!$Y188&gt;1,"",IF(NOT(ISNUMBER(itens_Remanesc!C188)),"",IF(posicao_contratual!$Y188=1,IF(IFERROR(IF(ISNUMBER(INDEX(aditivos!$O$2:$O$200,MATCH($A188,aditivos!$A$2:$A$200,0))),MIN(INDEX(aditivos!$O$2:$O$200,MATCH($A188,aditivos!$A$2:$A$200,0)),posicao_contratual!$Y188),posicao_contratual!$Y188),posicao_contratual!$Y188)=1,itens_Remanesc!C188,IFERROR(ROUND(itens_Remanesc!C188*INDEX($L$2:$L$6,MIN(1+1,COUNT($L$2:$L$6)))/INDEX($L$2:$L$6,MIN(IFERROR(IF(ISNUMBER(INDEX(aditivos!$O$2:$O$200,MATCH($A188,aditivos!$A$2:$A$200,0))),MIN(INDEX(aditivos!$O$2:$O$200,MATCH($A188,aditivos!$A$2:$A$200,0)),posicao_contratual!$Y188),posicao_contratual!$Y188),posicao_contratual!$Y188)+1,COUNT($L$2:$L$6))),2),"")),IF(OR(NOT(ISNUMBER($L$3)),NOT(ISNUMBER(INDEX($L$2:$L$6,IFERROR(IF(ISNUMBER(INDEX(aditivos!$O$2:$O$200,MATCH($A188,aditivos!$A$2:$A$200,0))),MIN(INDEX(aditivos!$O$2:$O$200,MATCH($A188,aditivos!$A$2:$A$200,0)),posicao_contratual!$Y188),posicao_contratual!$Y188),posicao_contratual!$Y188)+1)))),"",ROUND(itens_Remanesc!C188*$L$3/INDEX($L$2:$L$6,IFERROR(IF(ISNUMBER(INDEX(aditivos!$O$2:$O$200,MATCH($A188,aditivos!$A$2:$A$200,0))),MIN(INDEX(aditivos!$O$2:$O$200,MATCH($A188,aditivos!$A$2:$A$200,0)),posicao_contratual!$Y188),posicao_contratual!$Y188),posicao_contratual!$Y188)+1),2))))))</f>
        <v/>
      </c>
      <c r="E188" s="79" t="str">
        <f>IF(OR($A188="",posicao_contratual!$Y188=""),"",IF(posicao_contratual!$Y188&gt;2,"",IF(NOT(ISNUMBER(itens_Remanesc!C188)),"",IF(posicao_contratual!$Y188=2,IF(IFERROR(IF(ISNUMBER(INDEX(aditivos!$O$2:$O$200,MATCH($A188,aditivos!$A$2:$A$200,0))),MIN(INDEX(aditivos!$O$2:$O$200,MATCH($A188,aditivos!$A$2:$A$200,0)),posicao_contratual!$Y188),posicao_contratual!$Y188),posicao_contratual!$Y188)=2,itens_Remanesc!C188,IFERROR(ROUND(itens_Remanesc!C188*INDEX($L$2:$L$6,MIN(2+1,COUNT($L$2:$L$6)))/INDEX($L$2:$L$6,MIN(IFERROR(IF(ISNUMBER(INDEX(aditivos!$O$2:$O$200,MATCH($A188,aditivos!$A$2:$A$200,0))),MIN(INDEX(aditivos!$O$2:$O$200,MATCH($A188,aditivos!$A$2:$A$200,0)),posicao_contratual!$Y188),posicao_contratual!$Y188),posicao_contratual!$Y188)+1,COUNT($L$2:$L$6))),2),"")),IF(OR(NOT(ISNUMBER($L$4)),NOT(ISNUMBER(INDEX($L$2:$L$6,IFERROR(IF(ISNUMBER(INDEX(aditivos!$O$2:$O$200,MATCH($A188,aditivos!$A$2:$A$200,0))),MIN(INDEX(aditivos!$O$2:$O$200,MATCH($A188,aditivos!$A$2:$A$200,0)),posicao_contratual!$Y188),posicao_contratual!$Y188),posicao_contratual!$Y188)+1)))),"",ROUND(itens_Remanesc!C188*$L$4/INDEX($L$2:$L$6,IFERROR(IF(ISNUMBER(INDEX(aditivos!$O$2:$O$200,MATCH($A188,aditivos!$A$2:$A$200,0))),MIN(INDEX(aditivos!$O$2:$O$200,MATCH($A188,aditivos!$A$2:$A$200,0)),posicao_contratual!$Y188),posicao_contratual!$Y188),posicao_contratual!$Y188)+1),2))))))</f>
        <v/>
      </c>
      <c r="F188" s="79" t="str">
        <f>IF(OR($A188="",posicao_contratual!$Y188=""),"",IF(posicao_contratual!$Y188&gt;3,"",IF(NOT(ISNUMBER(itens_Remanesc!C188)),"",IF(posicao_contratual!$Y188=3,IF(IFERROR(IF(ISNUMBER(INDEX(aditivos!$O$2:$O$200,MATCH($A188,aditivos!$A$2:$A$200,0))),MIN(INDEX(aditivos!$O$2:$O$200,MATCH($A188,aditivos!$A$2:$A$200,0)),posicao_contratual!$Y188),posicao_contratual!$Y188),posicao_contratual!$Y188)=3,itens_Remanesc!C188,IFERROR(ROUND(itens_Remanesc!C188*INDEX($L$2:$L$6,MIN(3+1,COUNT($L$2:$L$6)))/INDEX($L$2:$L$6,MIN(IFERROR(IF(ISNUMBER(INDEX(aditivos!$O$2:$O$200,MATCH($A188,aditivos!$A$2:$A$200,0))),MIN(INDEX(aditivos!$O$2:$O$200,MATCH($A188,aditivos!$A$2:$A$200,0)),posicao_contratual!$Y188),posicao_contratual!$Y188),posicao_contratual!$Y188)+1,COUNT($L$2:$L$6))),2),"")),IF(OR(NOT(ISNUMBER($L$5)),NOT(ISNUMBER(INDEX($L$2:$L$6,IFERROR(IF(ISNUMBER(INDEX(aditivos!$O$2:$O$200,MATCH($A188,aditivos!$A$2:$A$200,0))),MIN(INDEX(aditivos!$O$2:$O$200,MATCH($A188,aditivos!$A$2:$A$200,0)),posicao_contratual!$Y188),posicao_contratual!$Y188),posicao_contratual!$Y188)+1)))),"",ROUND(itens_Remanesc!C188*$L$5/INDEX($L$2:$L$6,IFERROR(IF(ISNUMBER(INDEX(aditivos!$O$2:$O$200,MATCH($A188,aditivos!$A$2:$A$200,0))),MIN(INDEX(aditivos!$O$2:$O$200,MATCH($A188,aditivos!$A$2:$A$200,0)),posicao_contratual!$Y188),posicao_contratual!$Y188),posicao_contratual!$Y188)+1),2))))))</f>
        <v/>
      </c>
      <c r="G188" s="79" t="str">
        <f>IF(OR($A188="",posicao_contratual!$Y188=""),"",IF(posicao_contratual!$Y188&gt;4,"",IF(NOT(ISNUMBER(itens_Remanesc!C188)),"",IF(posicao_contratual!$Y188=4,IF(IFERROR(IF(ISNUMBER(INDEX(aditivos!$O$2:$O$200,MATCH($A188,aditivos!$A$2:$A$200,0))),MIN(INDEX(aditivos!$O$2:$O$200,MATCH($A188,aditivos!$A$2:$A$200,0)),posicao_contratual!$Y188),posicao_contratual!$Y188),posicao_contratual!$Y188)=4,itens_Remanesc!C188,IFERROR(ROUND(itens_Remanesc!C188*INDEX($L$2:$L$6,MIN(4+1,COUNT($L$2:$L$6)))/INDEX($L$2:$L$6,MIN(IFERROR(IF(ISNUMBER(INDEX(aditivos!$O$2:$O$200,MATCH($A188,aditivos!$A$2:$A$200,0))),MIN(INDEX(aditivos!$O$2:$O$200,MATCH($A188,aditivos!$A$2:$A$200,0)),posicao_contratual!$Y188),posicao_contratual!$Y188),posicao_contratual!$Y188)+1,COUNT($L$2:$L$6))),2),"")),IF(OR(NOT(ISNUMBER($L$6)),NOT(ISNUMBER(INDEX($L$2:$L$6,IFERROR(IF(ISNUMBER(INDEX(aditivos!$O$2:$O$200,MATCH($A188,aditivos!$A$2:$A$200,0))),MIN(INDEX(aditivos!$O$2:$O$200,MATCH($A188,aditivos!$A$2:$A$200,0)),posicao_contratual!$Y188),posicao_contratual!$Y188),posicao_contratual!$Y188)+1)))),"",ROUND(itens_Remanesc!C188*$L$6/INDEX($L$2:$L$6,IFERROR(IF(ISNUMBER(INDEX(aditivos!$O$2:$O$200,MATCH($A188,aditivos!$A$2:$A$200,0))),MIN(INDEX(aditivos!$O$2:$O$200,MATCH($A188,aditivos!$A$2:$A$200,0)),posicao_contratual!$Y188),posicao_contratual!$Y188),posicao_contratual!$Y188)+1),2))))))</f>
        <v/>
      </c>
      <c r="H188" s="116" t="str">
        <f t="shared" si="5"/>
        <v/>
      </c>
      <c r="I188" s="13"/>
      <c r="J188" s="13"/>
      <c r="K188" s="13"/>
      <c r="L188" s="13"/>
      <c r="M188" s="13"/>
      <c r="N188" s="147" t="str">
        <f>IF(A188="","",IF(posicao_contratual!$Y188="","",IF(posicao_contratual!$Y188&gt;0,"",posicao_contratual!E188)))</f>
        <v/>
      </c>
      <c r="O188" s="147" t="str">
        <f>IF(A188="","",IF(posicao_contratual!$Y188="","",IF(posicao_contratual!$Y188&gt;1,"",posicao_contratual!I188)))</f>
        <v/>
      </c>
      <c r="P188" s="147" t="str">
        <f>IF(A188="","",IF(posicao_contratual!$Y188="","",IF(posicao_contratual!$Y188&gt;2,"",posicao_contratual!M188)))</f>
        <v/>
      </c>
      <c r="Q188" s="147" t="str">
        <f>IF(A188="","",IF(posicao_contratual!$Y188="","",IF(posicao_contratual!$Y188&gt;3,"",posicao_contratual!Q188)))</f>
        <v/>
      </c>
      <c r="R188" s="147" t="str">
        <f>IF(A188="","",IF(posicao_contratual!$Y188="","",IF(posicao_contratual!$Y188&gt;4,"",posicao_contratual!U188)))</f>
        <v/>
      </c>
      <c r="S188" s="167" t="str">
        <f>IF(A188="","",posicao_contratual!G188)</f>
        <v/>
      </c>
      <c r="T188" s="167" t="str">
        <f>IF(A188="","",posicao_contratual!K188)</f>
        <v/>
      </c>
      <c r="U188" s="167" t="str">
        <f>IF(A188="","",posicao_contratual!O188)</f>
        <v/>
      </c>
      <c r="V188" s="167" t="str">
        <f>IF(A188="","",posicao_contratual!S188)</f>
        <v/>
      </c>
      <c r="W188" s="167" t="str">
        <f>IF(A188="","",posicao_contratual!W188)</f>
        <v/>
      </c>
    </row>
    <row r="189" spans="1:23" x14ac:dyDescent="0.35">
      <c r="A189" s="86" t="str">
        <f>IF(itens_Remanesc!A189="","",itens_Remanesc!A189)</f>
        <v/>
      </c>
      <c r="B189" s="85" t="str">
        <f>IF(A189="","",IF(posicao_contratual!$Y189="","",IF(posicao_contratual!$Y189&gt;0,"",posicao_contratual!G189)))</f>
        <v/>
      </c>
      <c r="C189" s="79" t="str">
        <f>IF(itens_Remanesc!A189="","",IF(posicao_contratual!$Y189="","",IF(posicao_contratual!$Y189&gt;0,"",itens_Remanesc!C189)))</f>
        <v/>
      </c>
      <c r="D189" s="79" t="str">
        <f>IF(OR($A189="",posicao_contratual!$Y189=""),"",IF(posicao_contratual!$Y189&gt;1,"",IF(NOT(ISNUMBER(itens_Remanesc!C189)),"",IF(posicao_contratual!$Y189=1,IF(IFERROR(IF(ISNUMBER(INDEX(aditivos!$O$2:$O$200,MATCH($A189,aditivos!$A$2:$A$200,0))),MIN(INDEX(aditivos!$O$2:$O$200,MATCH($A189,aditivos!$A$2:$A$200,0)),posicao_contratual!$Y189),posicao_contratual!$Y189),posicao_contratual!$Y189)=1,itens_Remanesc!C189,IFERROR(ROUND(itens_Remanesc!C189*INDEX($L$2:$L$6,MIN(1+1,COUNT($L$2:$L$6)))/INDEX($L$2:$L$6,MIN(IFERROR(IF(ISNUMBER(INDEX(aditivos!$O$2:$O$200,MATCH($A189,aditivos!$A$2:$A$200,0))),MIN(INDEX(aditivos!$O$2:$O$200,MATCH($A189,aditivos!$A$2:$A$200,0)),posicao_contratual!$Y189),posicao_contratual!$Y189),posicao_contratual!$Y189)+1,COUNT($L$2:$L$6))),2),"")),IF(OR(NOT(ISNUMBER($L$3)),NOT(ISNUMBER(INDEX($L$2:$L$6,IFERROR(IF(ISNUMBER(INDEX(aditivos!$O$2:$O$200,MATCH($A189,aditivos!$A$2:$A$200,0))),MIN(INDEX(aditivos!$O$2:$O$200,MATCH($A189,aditivos!$A$2:$A$200,0)),posicao_contratual!$Y189),posicao_contratual!$Y189),posicao_contratual!$Y189)+1)))),"",ROUND(itens_Remanesc!C189*$L$3/INDEX($L$2:$L$6,IFERROR(IF(ISNUMBER(INDEX(aditivos!$O$2:$O$200,MATCH($A189,aditivos!$A$2:$A$200,0))),MIN(INDEX(aditivos!$O$2:$O$200,MATCH($A189,aditivos!$A$2:$A$200,0)),posicao_contratual!$Y189),posicao_contratual!$Y189),posicao_contratual!$Y189)+1),2))))))</f>
        <v/>
      </c>
      <c r="E189" s="79" t="str">
        <f>IF(OR($A189="",posicao_contratual!$Y189=""),"",IF(posicao_contratual!$Y189&gt;2,"",IF(NOT(ISNUMBER(itens_Remanesc!C189)),"",IF(posicao_contratual!$Y189=2,IF(IFERROR(IF(ISNUMBER(INDEX(aditivos!$O$2:$O$200,MATCH($A189,aditivos!$A$2:$A$200,0))),MIN(INDEX(aditivos!$O$2:$O$200,MATCH($A189,aditivos!$A$2:$A$200,0)),posicao_contratual!$Y189),posicao_contratual!$Y189),posicao_contratual!$Y189)=2,itens_Remanesc!C189,IFERROR(ROUND(itens_Remanesc!C189*INDEX($L$2:$L$6,MIN(2+1,COUNT($L$2:$L$6)))/INDEX($L$2:$L$6,MIN(IFERROR(IF(ISNUMBER(INDEX(aditivos!$O$2:$O$200,MATCH($A189,aditivos!$A$2:$A$200,0))),MIN(INDEX(aditivos!$O$2:$O$200,MATCH($A189,aditivos!$A$2:$A$200,0)),posicao_contratual!$Y189),posicao_contratual!$Y189),posicao_contratual!$Y189)+1,COUNT($L$2:$L$6))),2),"")),IF(OR(NOT(ISNUMBER($L$4)),NOT(ISNUMBER(INDEX($L$2:$L$6,IFERROR(IF(ISNUMBER(INDEX(aditivos!$O$2:$O$200,MATCH($A189,aditivos!$A$2:$A$200,0))),MIN(INDEX(aditivos!$O$2:$O$200,MATCH($A189,aditivos!$A$2:$A$200,0)),posicao_contratual!$Y189),posicao_contratual!$Y189),posicao_contratual!$Y189)+1)))),"",ROUND(itens_Remanesc!C189*$L$4/INDEX($L$2:$L$6,IFERROR(IF(ISNUMBER(INDEX(aditivos!$O$2:$O$200,MATCH($A189,aditivos!$A$2:$A$200,0))),MIN(INDEX(aditivos!$O$2:$O$200,MATCH($A189,aditivos!$A$2:$A$200,0)),posicao_contratual!$Y189),posicao_contratual!$Y189),posicao_contratual!$Y189)+1),2))))))</f>
        <v/>
      </c>
      <c r="F189" s="79" t="str">
        <f>IF(OR($A189="",posicao_contratual!$Y189=""),"",IF(posicao_contratual!$Y189&gt;3,"",IF(NOT(ISNUMBER(itens_Remanesc!C189)),"",IF(posicao_contratual!$Y189=3,IF(IFERROR(IF(ISNUMBER(INDEX(aditivos!$O$2:$O$200,MATCH($A189,aditivos!$A$2:$A$200,0))),MIN(INDEX(aditivos!$O$2:$O$200,MATCH($A189,aditivos!$A$2:$A$200,0)),posicao_contratual!$Y189),posicao_contratual!$Y189),posicao_contratual!$Y189)=3,itens_Remanesc!C189,IFERROR(ROUND(itens_Remanesc!C189*INDEX($L$2:$L$6,MIN(3+1,COUNT($L$2:$L$6)))/INDEX($L$2:$L$6,MIN(IFERROR(IF(ISNUMBER(INDEX(aditivos!$O$2:$O$200,MATCH($A189,aditivos!$A$2:$A$200,0))),MIN(INDEX(aditivos!$O$2:$O$200,MATCH($A189,aditivos!$A$2:$A$200,0)),posicao_contratual!$Y189),posicao_contratual!$Y189),posicao_contratual!$Y189)+1,COUNT($L$2:$L$6))),2),"")),IF(OR(NOT(ISNUMBER($L$5)),NOT(ISNUMBER(INDEX($L$2:$L$6,IFERROR(IF(ISNUMBER(INDEX(aditivos!$O$2:$O$200,MATCH($A189,aditivos!$A$2:$A$200,0))),MIN(INDEX(aditivos!$O$2:$O$200,MATCH($A189,aditivos!$A$2:$A$200,0)),posicao_contratual!$Y189),posicao_contratual!$Y189),posicao_contratual!$Y189)+1)))),"",ROUND(itens_Remanesc!C189*$L$5/INDEX($L$2:$L$6,IFERROR(IF(ISNUMBER(INDEX(aditivos!$O$2:$O$200,MATCH($A189,aditivos!$A$2:$A$200,0))),MIN(INDEX(aditivos!$O$2:$O$200,MATCH($A189,aditivos!$A$2:$A$200,0)),posicao_contratual!$Y189),posicao_contratual!$Y189),posicao_contratual!$Y189)+1),2))))))</f>
        <v/>
      </c>
      <c r="G189" s="79" t="str">
        <f>IF(OR($A189="",posicao_contratual!$Y189=""),"",IF(posicao_contratual!$Y189&gt;4,"",IF(NOT(ISNUMBER(itens_Remanesc!C189)),"",IF(posicao_contratual!$Y189=4,IF(IFERROR(IF(ISNUMBER(INDEX(aditivos!$O$2:$O$200,MATCH($A189,aditivos!$A$2:$A$200,0))),MIN(INDEX(aditivos!$O$2:$O$200,MATCH($A189,aditivos!$A$2:$A$200,0)),posicao_contratual!$Y189),posicao_contratual!$Y189),posicao_contratual!$Y189)=4,itens_Remanesc!C189,IFERROR(ROUND(itens_Remanesc!C189*INDEX($L$2:$L$6,MIN(4+1,COUNT($L$2:$L$6)))/INDEX($L$2:$L$6,MIN(IFERROR(IF(ISNUMBER(INDEX(aditivos!$O$2:$O$200,MATCH($A189,aditivos!$A$2:$A$200,0))),MIN(INDEX(aditivos!$O$2:$O$200,MATCH($A189,aditivos!$A$2:$A$200,0)),posicao_contratual!$Y189),posicao_contratual!$Y189),posicao_contratual!$Y189)+1,COUNT($L$2:$L$6))),2),"")),IF(OR(NOT(ISNUMBER($L$6)),NOT(ISNUMBER(INDEX($L$2:$L$6,IFERROR(IF(ISNUMBER(INDEX(aditivos!$O$2:$O$200,MATCH($A189,aditivos!$A$2:$A$200,0))),MIN(INDEX(aditivos!$O$2:$O$200,MATCH($A189,aditivos!$A$2:$A$200,0)),posicao_contratual!$Y189),posicao_contratual!$Y189),posicao_contratual!$Y189)+1)))),"",ROUND(itens_Remanesc!C189*$L$6/INDEX($L$2:$L$6,IFERROR(IF(ISNUMBER(INDEX(aditivos!$O$2:$O$200,MATCH($A189,aditivos!$A$2:$A$200,0))),MIN(INDEX(aditivos!$O$2:$O$200,MATCH($A189,aditivos!$A$2:$A$200,0)),posicao_contratual!$Y189),posicao_contratual!$Y189),posicao_contratual!$Y189)+1),2))))))</f>
        <v/>
      </c>
      <c r="H189" s="116" t="str">
        <f t="shared" si="5"/>
        <v/>
      </c>
      <c r="I189" s="13"/>
      <c r="J189" s="13"/>
      <c r="K189" s="13"/>
      <c r="L189" s="13"/>
      <c r="M189" s="13"/>
      <c r="N189" s="147" t="str">
        <f>IF(A189="","",IF(posicao_contratual!$Y189="","",IF(posicao_contratual!$Y189&gt;0,"",posicao_contratual!E189)))</f>
        <v/>
      </c>
      <c r="O189" s="147" t="str">
        <f>IF(A189="","",IF(posicao_contratual!$Y189="","",IF(posicao_contratual!$Y189&gt;1,"",posicao_contratual!I189)))</f>
        <v/>
      </c>
      <c r="P189" s="147" t="str">
        <f>IF(A189="","",IF(posicao_contratual!$Y189="","",IF(posicao_contratual!$Y189&gt;2,"",posicao_contratual!M189)))</f>
        <v/>
      </c>
      <c r="Q189" s="147" t="str">
        <f>IF(A189="","",IF(posicao_contratual!$Y189="","",IF(posicao_contratual!$Y189&gt;3,"",posicao_contratual!Q189)))</f>
        <v/>
      </c>
      <c r="R189" s="147" t="str">
        <f>IF(A189="","",IF(posicao_contratual!$Y189="","",IF(posicao_contratual!$Y189&gt;4,"",posicao_contratual!U189)))</f>
        <v/>
      </c>
      <c r="S189" s="167" t="str">
        <f>IF(A189="","",posicao_contratual!G189)</f>
        <v/>
      </c>
      <c r="T189" s="167" t="str">
        <f>IF(A189="","",posicao_contratual!K189)</f>
        <v/>
      </c>
      <c r="U189" s="167" t="str">
        <f>IF(A189="","",posicao_contratual!O189)</f>
        <v/>
      </c>
      <c r="V189" s="167" t="str">
        <f>IF(A189="","",posicao_contratual!S189)</f>
        <v/>
      </c>
      <c r="W189" s="167" t="str">
        <f>IF(A189="","",posicao_contratual!W189)</f>
        <v/>
      </c>
    </row>
    <row r="190" spans="1:23" x14ac:dyDescent="0.35">
      <c r="A190" s="86" t="str">
        <f>IF(itens_Remanesc!A190="","",itens_Remanesc!A190)</f>
        <v/>
      </c>
      <c r="B190" s="85" t="str">
        <f>IF(A190="","",IF(posicao_contratual!$Y190="","",IF(posicao_contratual!$Y190&gt;0,"",posicao_contratual!G190)))</f>
        <v/>
      </c>
      <c r="C190" s="79" t="str">
        <f>IF(itens_Remanesc!A190="","",IF(posicao_contratual!$Y190="","",IF(posicao_contratual!$Y190&gt;0,"",itens_Remanesc!C190)))</f>
        <v/>
      </c>
      <c r="D190" s="79" t="str">
        <f>IF(OR($A190="",posicao_contratual!$Y190=""),"",IF(posicao_contratual!$Y190&gt;1,"",IF(NOT(ISNUMBER(itens_Remanesc!C190)),"",IF(posicao_contratual!$Y190=1,IF(IFERROR(IF(ISNUMBER(INDEX(aditivos!$O$2:$O$200,MATCH($A190,aditivos!$A$2:$A$200,0))),MIN(INDEX(aditivos!$O$2:$O$200,MATCH($A190,aditivos!$A$2:$A$200,0)),posicao_contratual!$Y190),posicao_contratual!$Y190),posicao_contratual!$Y190)=1,itens_Remanesc!C190,IFERROR(ROUND(itens_Remanesc!C190*INDEX($L$2:$L$6,MIN(1+1,COUNT($L$2:$L$6)))/INDEX($L$2:$L$6,MIN(IFERROR(IF(ISNUMBER(INDEX(aditivos!$O$2:$O$200,MATCH($A190,aditivos!$A$2:$A$200,0))),MIN(INDEX(aditivos!$O$2:$O$200,MATCH($A190,aditivos!$A$2:$A$200,0)),posicao_contratual!$Y190),posicao_contratual!$Y190),posicao_contratual!$Y190)+1,COUNT($L$2:$L$6))),2),"")),IF(OR(NOT(ISNUMBER($L$3)),NOT(ISNUMBER(INDEX($L$2:$L$6,IFERROR(IF(ISNUMBER(INDEX(aditivos!$O$2:$O$200,MATCH($A190,aditivos!$A$2:$A$200,0))),MIN(INDEX(aditivos!$O$2:$O$200,MATCH($A190,aditivos!$A$2:$A$200,0)),posicao_contratual!$Y190),posicao_contratual!$Y190),posicao_contratual!$Y190)+1)))),"",ROUND(itens_Remanesc!C190*$L$3/INDEX($L$2:$L$6,IFERROR(IF(ISNUMBER(INDEX(aditivos!$O$2:$O$200,MATCH($A190,aditivos!$A$2:$A$200,0))),MIN(INDEX(aditivos!$O$2:$O$200,MATCH($A190,aditivos!$A$2:$A$200,0)),posicao_contratual!$Y190),posicao_contratual!$Y190),posicao_contratual!$Y190)+1),2))))))</f>
        <v/>
      </c>
      <c r="E190" s="79" t="str">
        <f>IF(OR($A190="",posicao_contratual!$Y190=""),"",IF(posicao_contratual!$Y190&gt;2,"",IF(NOT(ISNUMBER(itens_Remanesc!C190)),"",IF(posicao_contratual!$Y190=2,IF(IFERROR(IF(ISNUMBER(INDEX(aditivos!$O$2:$O$200,MATCH($A190,aditivos!$A$2:$A$200,0))),MIN(INDEX(aditivos!$O$2:$O$200,MATCH($A190,aditivos!$A$2:$A$200,0)),posicao_contratual!$Y190),posicao_contratual!$Y190),posicao_contratual!$Y190)=2,itens_Remanesc!C190,IFERROR(ROUND(itens_Remanesc!C190*INDEX($L$2:$L$6,MIN(2+1,COUNT($L$2:$L$6)))/INDEX($L$2:$L$6,MIN(IFERROR(IF(ISNUMBER(INDEX(aditivos!$O$2:$O$200,MATCH($A190,aditivos!$A$2:$A$200,0))),MIN(INDEX(aditivos!$O$2:$O$200,MATCH($A190,aditivos!$A$2:$A$200,0)),posicao_contratual!$Y190),posicao_contratual!$Y190),posicao_contratual!$Y190)+1,COUNT($L$2:$L$6))),2),"")),IF(OR(NOT(ISNUMBER($L$4)),NOT(ISNUMBER(INDEX($L$2:$L$6,IFERROR(IF(ISNUMBER(INDEX(aditivos!$O$2:$O$200,MATCH($A190,aditivos!$A$2:$A$200,0))),MIN(INDEX(aditivos!$O$2:$O$200,MATCH($A190,aditivos!$A$2:$A$200,0)),posicao_contratual!$Y190),posicao_contratual!$Y190),posicao_contratual!$Y190)+1)))),"",ROUND(itens_Remanesc!C190*$L$4/INDEX($L$2:$L$6,IFERROR(IF(ISNUMBER(INDEX(aditivos!$O$2:$O$200,MATCH($A190,aditivos!$A$2:$A$200,0))),MIN(INDEX(aditivos!$O$2:$O$200,MATCH($A190,aditivos!$A$2:$A$200,0)),posicao_contratual!$Y190),posicao_contratual!$Y190),posicao_contratual!$Y190)+1),2))))))</f>
        <v/>
      </c>
      <c r="F190" s="79" t="str">
        <f>IF(OR($A190="",posicao_contratual!$Y190=""),"",IF(posicao_contratual!$Y190&gt;3,"",IF(NOT(ISNUMBER(itens_Remanesc!C190)),"",IF(posicao_contratual!$Y190=3,IF(IFERROR(IF(ISNUMBER(INDEX(aditivos!$O$2:$O$200,MATCH($A190,aditivos!$A$2:$A$200,0))),MIN(INDEX(aditivos!$O$2:$O$200,MATCH($A190,aditivos!$A$2:$A$200,0)),posicao_contratual!$Y190),posicao_contratual!$Y190),posicao_contratual!$Y190)=3,itens_Remanesc!C190,IFERROR(ROUND(itens_Remanesc!C190*INDEX($L$2:$L$6,MIN(3+1,COUNT($L$2:$L$6)))/INDEX($L$2:$L$6,MIN(IFERROR(IF(ISNUMBER(INDEX(aditivos!$O$2:$O$200,MATCH($A190,aditivos!$A$2:$A$200,0))),MIN(INDEX(aditivos!$O$2:$O$200,MATCH($A190,aditivos!$A$2:$A$200,0)),posicao_contratual!$Y190),posicao_contratual!$Y190),posicao_contratual!$Y190)+1,COUNT($L$2:$L$6))),2),"")),IF(OR(NOT(ISNUMBER($L$5)),NOT(ISNUMBER(INDEX($L$2:$L$6,IFERROR(IF(ISNUMBER(INDEX(aditivos!$O$2:$O$200,MATCH($A190,aditivos!$A$2:$A$200,0))),MIN(INDEX(aditivos!$O$2:$O$200,MATCH($A190,aditivos!$A$2:$A$200,0)),posicao_contratual!$Y190),posicao_contratual!$Y190),posicao_contratual!$Y190)+1)))),"",ROUND(itens_Remanesc!C190*$L$5/INDEX($L$2:$L$6,IFERROR(IF(ISNUMBER(INDEX(aditivos!$O$2:$O$200,MATCH($A190,aditivos!$A$2:$A$200,0))),MIN(INDEX(aditivos!$O$2:$O$200,MATCH($A190,aditivos!$A$2:$A$200,0)),posicao_contratual!$Y190),posicao_contratual!$Y190),posicao_contratual!$Y190)+1),2))))))</f>
        <v/>
      </c>
      <c r="G190" s="79" t="str">
        <f>IF(OR($A190="",posicao_contratual!$Y190=""),"",IF(posicao_contratual!$Y190&gt;4,"",IF(NOT(ISNUMBER(itens_Remanesc!C190)),"",IF(posicao_contratual!$Y190=4,IF(IFERROR(IF(ISNUMBER(INDEX(aditivos!$O$2:$O$200,MATCH($A190,aditivos!$A$2:$A$200,0))),MIN(INDEX(aditivos!$O$2:$O$200,MATCH($A190,aditivos!$A$2:$A$200,0)),posicao_contratual!$Y190),posicao_contratual!$Y190),posicao_contratual!$Y190)=4,itens_Remanesc!C190,IFERROR(ROUND(itens_Remanesc!C190*INDEX($L$2:$L$6,MIN(4+1,COUNT($L$2:$L$6)))/INDEX($L$2:$L$6,MIN(IFERROR(IF(ISNUMBER(INDEX(aditivos!$O$2:$O$200,MATCH($A190,aditivos!$A$2:$A$200,0))),MIN(INDEX(aditivos!$O$2:$O$200,MATCH($A190,aditivos!$A$2:$A$200,0)),posicao_contratual!$Y190),posicao_contratual!$Y190),posicao_contratual!$Y190)+1,COUNT($L$2:$L$6))),2),"")),IF(OR(NOT(ISNUMBER($L$6)),NOT(ISNUMBER(INDEX($L$2:$L$6,IFERROR(IF(ISNUMBER(INDEX(aditivos!$O$2:$O$200,MATCH($A190,aditivos!$A$2:$A$200,0))),MIN(INDEX(aditivos!$O$2:$O$200,MATCH($A190,aditivos!$A$2:$A$200,0)),posicao_contratual!$Y190),posicao_contratual!$Y190),posicao_contratual!$Y190)+1)))),"",ROUND(itens_Remanesc!C190*$L$6/INDEX($L$2:$L$6,IFERROR(IF(ISNUMBER(INDEX(aditivos!$O$2:$O$200,MATCH($A190,aditivos!$A$2:$A$200,0))),MIN(INDEX(aditivos!$O$2:$O$200,MATCH($A190,aditivos!$A$2:$A$200,0)),posicao_contratual!$Y190),posicao_contratual!$Y190),posicao_contratual!$Y190)+1),2))))))</f>
        <v/>
      </c>
      <c r="H190" s="116" t="str">
        <f t="shared" si="5"/>
        <v/>
      </c>
      <c r="I190" s="13"/>
      <c r="J190" s="13"/>
      <c r="K190" s="13"/>
      <c r="L190" s="13"/>
      <c r="M190" s="13"/>
      <c r="N190" s="147" t="str">
        <f>IF(A190="","",IF(posicao_contratual!$Y190="","",IF(posicao_contratual!$Y190&gt;0,"",posicao_contratual!E190)))</f>
        <v/>
      </c>
      <c r="O190" s="147" t="str">
        <f>IF(A190="","",IF(posicao_contratual!$Y190="","",IF(posicao_contratual!$Y190&gt;1,"",posicao_contratual!I190)))</f>
        <v/>
      </c>
      <c r="P190" s="147" t="str">
        <f>IF(A190="","",IF(posicao_contratual!$Y190="","",IF(posicao_contratual!$Y190&gt;2,"",posicao_contratual!M190)))</f>
        <v/>
      </c>
      <c r="Q190" s="147" t="str">
        <f>IF(A190="","",IF(posicao_contratual!$Y190="","",IF(posicao_contratual!$Y190&gt;3,"",posicao_contratual!Q190)))</f>
        <v/>
      </c>
      <c r="R190" s="147" t="str">
        <f>IF(A190="","",IF(posicao_contratual!$Y190="","",IF(posicao_contratual!$Y190&gt;4,"",posicao_contratual!U190)))</f>
        <v/>
      </c>
      <c r="S190" s="167" t="str">
        <f>IF(A190="","",posicao_contratual!G190)</f>
        <v/>
      </c>
      <c r="T190" s="167" t="str">
        <f>IF(A190="","",posicao_contratual!K190)</f>
        <v/>
      </c>
      <c r="U190" s="167" t="str">
        <f>IF(A190="","",posicao_contratual!O190)</f>
        <v/>
      </c>
      <c r="V190" s="167" t="str">
        <f>IF(A190="","",posicao_contratual!S190)</f>
        <v/>
      </c>
      <c r="W190" s="167" t="str">
        <f>IF(A190="","",posicao_contratual!W190)</f>
        <v/>
      </c>
    </row>
    <row r="191" spans="1:23" x14ac:dyDescent="0.35">
      <c r="A191" s="86" t="str">
        <f>IF(itens_Remanesc!A191="","",itens_Remanesc!A191)</f>
        <v/>
      </c>
      <c r="B191" s="85" t="str">
        <f>IF(A191="","",IF(posicao_contratual!$Y191="","",IF(posicao_contratual!$Y191&gt;0,"",posicao_contratual!G191)))</f>
        <v/>
      </c>
      <c r="C191" s="79" t="str">
        <f>IF(itens_Remanesc!A191="","",IF(posicao_contratual!$Y191="","",IF(posicao_contratual!$Y191&gt;0,"",itens_Remanesc!C191)))</f>
        <v/>
      </c>
      <c r="D191" s="79" t="str">
        <f>IF(OR($A191="",posicao_contratual!$Y191=""),"",IF(posicao_contratual!$Y191&gt;1,"",IF(NOT(ISNUMBER(itens_Remanesc!C191)),"",IF(posicao_contratual!$Y191=1,IF(IFERROR(IF(ISNUMBER(INDEX(aditivos!$O$2:$O$200,MATCH($A191,aditivos!$A$2:$A$200,0))),MIN(INDEX(aditivos!$O$2:$O$200,MATCH($A191,aditivos!$A$2:$A$200,0)),posicao_contratual!$Y191),posicao_contratual!$Y191),posicao_contratual!$Y191)=1,itens_Remanesc!C191,IFERROR(ROUND(itens_Remanesc!C191*INDEX($L$2:$L$6,MIN(1+1,COUNT($L$2:$L$6)))/INDEX($L$2:$L$6,MIN(IFERROR(IF(ISNUMBER(INDEX(aditivos!$O$2:$O$200,MATCH($A191,aditivos!$A$2:$A$200,0))),MIN(INDEX(aditivos!$O$2:$O$200,MATCH($A191,aditivos!$A$2:$A$200,0)),posicao_contratual!$Y191),posicao_contratual!$Y191),posicao_contratual!$Y191)+1,COUNT($L$2:$L$6))),2),"")),IF(OR(NOT(ISNUMBER($L$3)),NOT(ISNUMBER(INDEX($L$2:$L$6,IFERROR(IF(ISNUMBER(INDEX(aditivos!$O$2:$O$200,MATCH($A191,aditivos!$A$2:$A$200,0))),MIN(INDEX(aditivos!$O$2:$O$200,MATCH($A191,aditivos!$A$2:$A$200,0)),posicao_contratual!$Y191),posicao_contratual!$Y191),posicao_contratual!$Y191)+1)))),"",ROUND(itens_Remanesc!C191*$L$3/INDEX($L$2:$L$6,IFERROR(IF(ISNUMBER(INDEX(aditivos!$O$2:$O$200,MATCH($A191,aditivos!$A$2:$A$200,0))),MIN(INDEX(aditivos!$O$2:$O$200,MATCH($A191,aditivos!$A$2:$A$200,0)),posicao_contratual!$Y191),posicao_contratual!$Y191),posicao_contratual!$Y191)+1),2))))))</f>
        <v/>
      </c>
      <c r="E191" s="79" t="str">
        <f>IF(OR($A191="",posicao_contratual!$Y191=""),"",IF(posicao_contratual!$Y191&gt;2,"",IF(NOT(ISNUMBER(itens_Remanesc!C191)),"",IF(posicao_contratual!$Y191=2,IF(IFERROR(IF(ISNUMBER(INDEX(aditivos!$O$2:$O$200,MATCH($A191,aditivos!$A$2:$A$200,0))),MIN(INDEX(aditivos!$O$2:$O$200,MATCH($A191,aditivos!$A$2:$A$200,0)),posicao_contratual!$Y191),posicao_contratual!$Y191),posicao_contratual!$Y191)=2,itens_Remanesc!C191,IFERROR(ROUND(itens_Remanesc!C191*INDEX($L$2:$L$6,MIN(2+1,COUNT($L$2:$L$6)))/INDEX($L$2:$L$6,MIN(IFERROR(IF(ISNUMBER(INDEX(aditivos!$O$2:$O$200,MATCH($A191,aditivos!$A$2:$A$200,0))),MIN(INDEX(aditivos!$O$2:$O$200,MATCH($A191,aditivos!$A$2:$A$200,0)),posicao_contratual!$Y191),posicao_contratual!$Y191),posicao_contratual!$Y191)+1,COUNT($L$2:$L$6))),2),"")),IF(OR(NOT(ISNUMBER($L$4)),NOT(ISNUMBER(INDEX($L$2:$L$6,IFERROR(IF(ISNUMBER(INDEX(aditivos!$O$2:$O$200,MATCH($A191,aditivos!$A$2:$A$200,0))),MIN(INDEX(aditivos!$O$2:$O$200,MATCH($A191,aditivos!$A$2:$A$200,0)),posicao_contratual!$Y191),posicao_contratual!$Y191),posicao_contratual!$Y191)+1)))),"",ROUND(itens_Remanesc!C191*$L$4/INDEX($L$2:$L$6,IFERROR(IF(ISNUMBER(INDEX(aditivos!$O$2:$O$200,MATCH($A191,aditivos!$A$2:$A$200,0))),MIN(INDEX(aditivos!$O$2:$O$200,MATCH($A191,aditivos!$A$2:$A$200,0)),posicao_contratual!$Y191),posicao_contratual!$Y191),posicao_contratual!$Y191)+1),2))))))</f>
        <v/>
      </c>
      <c r="F191" s="79" t="str">
        <f>IF(OR($A191="",posicao_contratual!$Y191=""),"",IF(posicao_contratual!$Y191&gt;3,"",IF(NOT(ISNUMBER(itens_Remanesc!C191)),"",IF(posicao_contratual!$Y191=3,IF(IFERROR(IF(ISNUMBER(INDEX(aditivos!$O$2:$O$200,MATCH($A191,aditivos!$A$2:$A$200,0))),MIN(INDEX(aditivos!$O$2:$O$200,MATCH($A191,aditivos!$A$2:$A$200,0)),posicao_contratual!$Y191),posicao_contratual!$Y191),posicao_contratual!$Y191)=3,itens_Remanesc!C191,IFERROR(ROUND(itens_Remanesc!C191*INDEX($L$2:$L$6,MIN(3+1,COUNT($L$2:$L$6)))/INDEX($L$2:$L$6,MIN(IFERROR(IF(ISNUMBER(INDEX(aditivos!$O$2:$O$200,MATCH($A191,aditivos!$A$2:$A$200,0))),MIN(INDEX(aditivos!$O$2:$O$200,MATCH($A191,aditivos!$A$2:$A$200,0)),posicao_contratual!$Y191),posicao_contratual!$Y191),posicao_contratual!$Y191)+1,COUNT($L$2:$L$6))),2),"")),IF(OR(NOT(ISNUMBER($L$5)),NOT(ISNUMBER(INDEX($L$2:$L$6,IFERROR(IF(ISNUMBER(INDEX(aditivos!$O$2:$O$200,MATCH($A191,aditivos!$A$2:$A$200,0))),MIN(INDEX(aditivos!$O$2:$O$200,MATCH($A191,aditivos!$A$2:$A$200,0)),posicao_contratual!$Y191),posicao_contratual!$Y191),posicao_contratual!$Y191)+1)))),"",ROUND(itens_Remanesc!C191*$L$5/INDEX($L$2:$L$6,IFERROR(IF(ISNUMBER(INDEX(aditivos!$O$2:$O$200,MATCH($A191,aditivos!$A$2:$A$200,0))),MIN(INDEX(aditivos!$O$2:$O$200,MATCH($A191,aditivos!$A$2:$A$200,0)),posicao_contratual!$Y191),posicao_contratual!$Y191),posicao_contratual!$Y191)+1),2))))))</f>
        <v/>
      </c>
      <c r="G191" s="79" t="str">
        <f>IF(OR($A191="",posicao_contratual!$Y191=""),"",IF(posicao_contratual!$Y191&gt;4,"",IF(NOT(ISNUMBER(itens_Remanesc!C191)),"",IF(posicao_contratual!$Y191=4,IF(IFERROR(IF(ISNUMBER(INDEX(aditivos!$O$2:$O$200,MATCH($A191,aditivos!$A$2:$A$200,0))),MIN(INDEX(aditivos!$O$2:$O$200,MATCH($A191,aditivos!$A$2:$A$200,0)),posicao_contratual!$Y191),posicao_contratual!$Y191),posicao_contratual!$Y191)=4,itens_Remanesc!C191,IFERROR(ROUND(itens_Remanesc!C191*INDEX($L$2:$L$6,MIN(4+1,COUNT($L$2:$L$6)))/INDEX($L$2:$L$6,MIN(IFERROR(IF(ISNUMBER(INDEX(aditivos!$O$2:$O$200,MATCH($A191,aditivos!$A$2:$A$200,0))),MIN(INDEX(aditivos!$O$2:$O$200,MATCH($A191,aditivos!$A$2:$A$200,0)),posicao_contratual!$Y191),posicao_contratual!$Y191),posicao_contratual!$Y191)+1,COUNT($L$2:$L$6))),2),"")),IF(OR(NOT(ISNUMBER($L$6)),NOT(ISNUMBER(INDEX($L$2:$L$6,IFERROR(IF(ISNUMBER(INDEX(aditivos!$O$2:$O$200,MATCH($A191,aditivos!$A$2:$A$200,0))),MIN(INDEX(aditivos!$O$2:$O$200,MATCH($A191,aditivos!$A$2:$A$200,0)),posicao_contratual!$Y191),posicao_contratual!$Y191),posicao_contratual!$Y191)+1)))),"",ROUND(itens_Remanesc!C191*$L$6/INDEX($L$2:$L$6,IFERROR(IF(ISNUMBER(INDEX(aditivos!$O$2:$O$200,MATCH($A191,aditivos!$A$2:$A$200,0))),MIN(INDEX(aditivos!$O$2:$O$200,MATCH($A191,aditivos!$A$2:$A$200,0)),posicao_contratual!$Y191),posicao_contratual!$Y191),posicao_contratual!$Y191)+1),2))))))</f>
        <v/>
      </c>
      <c r="H191" s="116" t="str">
        <f t="shared" si="5"/>
        <v/>
      </c>
      <c r="I191" s="13"/>
      <c r="J191" s="13"/>
      <c r="K191" s="13"/>
      <c r="L191" s="13"/>
      <c r="M191" s="13"/>
      <c r="N191" s="147" t="str">
        <f>IF(A191="","",IF(posicao_contratual!$Y191="","",IF(posicao_contratual!$Y191&gt;0,"",posicao_contratual!E191)))</f>
        <v/>
      </c>
      <c r="O191" s="147" t="str">
        <f>IF(A191="","",IF(posicao_contratual!$Y191="","",IF(posicao_contratual!$Y191&gt;1,"",posicao_contratual!I191)))</f>
        <v/>
      </c>
      <c r="P191" s="147" t="str">
        <f>IF(A191="","",IF(posicao_contratual!$Y191="","",IF(posicao_contratual!$Y191&gt;2,"",posicao_contratual!M191)))</f>
        <v/>
      </c>
      <c r="Q191" s="147" t="str">
        <f>IF(A191="","",IF(posicao_contratual!$Y191="","",IF(posicao_contratual!$Y191&gt;3,"",posicao_contratual!Q191)))</f>
        <v/>
      </c>
      <c r="R191" s="147" t="str">
        <f>IF(A191="","",IF(posicao_contratual!$Y191="","",IF(posicao_contratual!$Y191&gt;4,"",posicao_contratual!U191)))</f>
        <v/>
      </c>
      <c r="S191" s="167" t="str">
        <f>IF(A191="","",posicao_contratual!G191)</f>
        <v/>
      </c>
      <c r="T191" s="167" t="str">
        <f>IF(A191="","",posicao_contratual!K191)</f>
        <v/>
      </c>
      <c r="U191" s="167" t="str">
        <f>IF(A191="","",posicao_contratual!O191)</f>
        <v/>
      </c>
      <c r="V191" s="167" t="str">
        <f>IF(A191="","",posicao_contratual!S191)</f>
        <v/>
      </c>
      <c r="W191" s="167" t="str">
        <f>IF(A191="","",posicao_contratual!W191)</f>
        <v/>
      </c>
    </row>
    <row r="192" spans="1:23" x14ac:dyDescent="0.35">
      <c r="A192" s="86" t="str">
        <f>IF(itens_Remanesc!A192="","",itens_Remanesc!A192)</f>
        <v/>
      </c>
      <c r="B192" s="85" t="str">
        <f>IF(A192="","",IF(posicao_contratual!$Y192="","",IF(posicao_contratual!$Y192&gt;0,"",posicao_contratual!G192)))</f>
        <v/>
      </c>
      <c r="C192" s="79" t="str">
        <f>IF(itens_Remanesc!A192="","",IF(posicao_contratual!$Y192="","",IF(posicao_contratual!$Y192&gt;0,"",itens_Remanesc!C192)))</f>
        <v/>
      </c>
      <c r="D192" s="79" t="str">
        <f>IF(OR($A192="",posicao_contratual!$Y192=""),"",IF(posicao_contratual!$Y192&gt;1,"",IF(NOT(ISNUMBER(itens_Remanesc!C192)),"",IF(posicao_contratual!$Y192=1,IF(IFERROR(IF(ISNUMBER(INDEX(aditivos!$O$2:$O$200,MATCH($A192,aditivos!$A$2:$A$200,0))),MIN(INDEX(aditivos!$O$2:$O$200,MATCH($A192,aditivos!$A$2:$A$200,0)),posicao_contratual!$Y192),posicao_contratual!$Y192),posicao_contratual!$Y192)=1,itens_Remanesc!C192,IFERROR(ROUND(itens_Remanesc!C192*INDEX($L$2:$L$6,MIN(1+1,COUNT($L$2:$L$6)))/INDEX($L$2:$L$6,MIN(IFERROR(IF(ISNUMBER(INDEX(aditivos!$O$2:$O$200,MATCH($A192,aditivos!$A$2:$A$200,0))),MIN(INDEX(aditivos!$O$2:$O$200,MATCH($A192,aditivos!$A$2:$A$200,0)),posicao_contratual!$Y192),posicao_contratual!$Y192),posicao_contratual!$Y192)+1,COUNT($L$2:$L$6))),2),"")),IF(OR(NOT(ISNUMBER($L$3)),NOT(ISNUMBER(INDEX($L$2:$L$6,IFERROR(IF(ISNUMBER(INDEX(aditivos!$O$2:$O$200,MATCH($A192,aditivos!$A$2:$A$200,0))),MIN(INDEX(aditivos!$O$2:$O$200,MATCH($A192,aditivos!$A$2:$A$200,0)),posicao_contratual!$Y192),posicao_contratual!$Y192),posicao_contratual!$Y192)+1)))),"",ROUND(itens_Remanesc!C192*$L$3/INDEX($L$2:$L$6,IFERROR(IF(ISNUMBER(INDEX(aditivos!$O$2:$O$200,MATCH($A192,aditivos!$A$2:$A$200,0))),MIN(INDEX(aditivos!$O$2:$O$200,MATCH($A192,aditivos!$A$2:$A$200,0)),posicao_contratual!$Y192),posicao_contratual!$Y192),posicao_contratual!$Y192)+1),2))))))</f>
        <v/>
      </c>
      <c r="E192" s="79" t="str">
        <f>IF(OR($A192="",posicao_contratual!$Y192=""),"",IF(posicao_contratual!$Y192&gt;2,"",IF(NOT(ISNUMBER(itens_Remanesc!C192)),"",IF(posicao_contratual!$Y192=2,IF(IFERROR(IF(ISNUMBER(INDEX(aditivos!$O$2:$O$200,MATCH($A192,aditivos!$A$2:$A$200,0))),MIN(INDEX(aditivos!$O$2:$O$200,MATCH($A192,aditivos!$A$2:$A$200,0)),posicao_contratual!$Y192),posicao_contratual!$Y192),posicao_contratual!$Y192)=2,itens_Remanesc!C192,IFERROR(ROUND(itens_Remanesc!C192*INDEX($L$2:$L$6,MIN(2+1,COUNT($L$2:$L$6)))/INDEX($L$2:$L$6,MIN(IFERROR(IF(ISNUMBER(INDEX(aditivos!$O$2:$O$200,MATCH($A192,aditivos!$A$2:$A$200,0))),MIN(INDEX(aditivos!$O$2:$O$200,MATCH($A192,aditivos!$A$2:$A$200,0)),posicao_contratual!$Y192),posicao_contratual!$Y192),posicao_contratual!$Y192)+1,COUNT($L$2:$L$6))),2),"")),IF(OR(NOT(ISNUMBER($L$4)),NOT(ISNUMBER(INDEX($L$2:$L$6,IFERROR(IF(ISNUMBER(INDEX(aditivos!$O$2:$O$200,MATCH($A192,aditivos!$A$2:$A$200,0))),MIN(INDEX(aditivos!$O$2:$O$200,MATCH($A192,aditivos!$A$2:$A$200,0)),posicao_contratual!$Y192),posicao_contratual!$Y192),posicao_contratual!$Y192)+1)))),"",ROUND(itens_Remanesc!C192*$L$4/INDEX($L$2:$L$6,IFERROR(IF(ISNUMBER(INDEX(aditivos!$O$2:$O$200,MATCH($A192,aditivos!$A$2:$A$200,0))),MIN(INDEX(aditivos!$O$2:$O$200,MATCH($A192,aditivos!$A$2:$A$200,0)),posicao_contratual!$Y192),posicao_contratual!$Y192),posicao_contratual!$Y192)+1),2))))))</f>
        <v/>
      </c>
      <c r="F192" s="79" t="str">
        <f>IF(OR($A192="",posicao_contratual!$Y192=""),"",IF(posicao_contratual!$Y192&gt;3,"",IF(NOT(ISNUMBER(itens_Remanesc!C192)),"",IF(posicao_contratual!$Y192=3,IF(IFERROR(IF(ISNUMBER(INDEX(aditivos!$O$2:$O$200,MATCH($A192,aditivos!$A$2:$A$200,0))),MIN(INDEX(aditivos!$O$2:$O$200,MATCH($A192,aditivos!$A$2:$A$200,0)),posicao_contratual!$Y192),posicao_contratual!$Y192),posicao_contratual!$Y192)=3,itens_Remanesc!C192,IFERROR(ROUND(itens_Remanesc!C192*INDEX($L$2:$L$6,MIN(3+1,COUNT($L$2:$L$6)))/INDEX($L$2:$L$6,MIN(IFERROR(IF(ISNUMBER(INDEX(aditivos!$O$2:$O$200,MATCH($A192,aditivos!$A$2:$A$200,0))),MIN(INDEX(aditivos!$O$2:$O$200,MATCH($A192,aditivos!$A$2:$A$200,0)),posicao_contratual!$Y192),posicao_contratual!$Y192),posicao_contratual!$Y192)+1,COUNT($L$2:$L$6))),2),"")),IF(OR(NOT(ISNUMBER($L$5)),NOT(ISNUMBER(INDEX($L$2:$L$6,IFERROR(IF(ISNUMBER(INDEX(aditivos!$O$2:$O$200,MATCH($A192,aditivos!$A$2:$A$200,0))),MIN(INDEX(aditivos!$O$2:$O$200,MATCH($A192,aditivos!$A$2:$A$200,0)),posicao_contratual!$Y192),posicao_contratual!$Y192),posicao_contratual!$Y192)+1)))),"",ROUND(itens_Remanesc!C192*$L$5/INDEX($L$2:$L$6,IFERROR(IF(ISNUMBER(INDEX(aditivos!$O$2:$O$200,MATCH($A192,aditivos!$A$2:$A$200,0))),MIN(INDEX(aditivos!$O$2:$O$200,MATCH($A192,aditivos!$A$2:$A$200,0)),posicao_contratual!$Y192),posicao_contratual!$Y192),posicao_contratual!$Y192)+1),2))))))</f>
        <v/>
      </c>
      <c r="G192" s="79" t="str">
        <f>IF(OR($A192="",posicao_contratual!$Y192=""),"",IF(posicao_contratual!$Y192&gt;4,"",IF(NOT(ISNUMBER(itens_Remanesc!C192)),"",IF(posicao_contratual!$Y192=4,IF(IFERROR(IF(ISNUMBER(INDEX(aditivos!$O$2:$O$200,MATCH($A192,aditivos!$A$2:$A$200,0))),MIN(INDEX(aditivos!$O$2:$O$200,MATCH($A192,aditivos!$A$2:$A$200,0)),posicao_contratual!$Y192),posicao_contratual!$Y192),posicao_contratual!$Y192)=4,itens_Remanesc!C192,IFERROR(ROUND(itens_Remanesc!C192*INDEX($L$2:$L$6,MIN(4+1,COUNT($L$2:$L$6)))/INDEX($L$2:$L$6,MIN(IFERROR(IF(ISNUMBER(INDEX(aditivos!$O$2:$O$200,MATCH($A192,aditivos!$A$2:$A$200,0))),MIN(INDEX(aditivos!$O$2:$O$200,MATCH($A192,aditivos!$A$2:$A$200,0)),posicao_contratual!$Y192),posicao_contratual!$Y192),posicao_contratual!$Y192)+1,COUNT($L$2:$L$6))),2),"")),IF(OR(NOT(ISNUMBER($L$6)),NOT(ISNUMBER(INDEX($L$2:$L$6,IFERROR(IF(ISNUMBER(INDEX(aditivos!$O$2:$O$200,MATCH($A192,aditivos!$A$2:$A$200,0))),MIN(INDEX(aditivos!$O$2:$O$200,MATCH($A192,aditivos!$A$2:$A$200,0)),posicao_contratual!$Y192),posicao_contratual!$Y192),posicao_contratual!$Y192)+1)))),"",ROUND(itens_Remanesc!C192*$L$6/INDEX($L$2:$L$6,IFERROR(IF(ISNUMBER(INDEX(aditivos!$O$2:$O$200,MATCH($A192,aditivos!$A$2:$A$200,0))),MIN(INDEX(aditivos!$O$2:$O$200,MATCH($A192,aditivos!$A$2:$A$200,0)),posicao_contratual!$Y192),posicao_contratual!$Y192),posicao_contratual!$Y192)+1),2))))))</f>
        <v/>
      </c>
      <c r="H192" s="116" t="str">
        <f t="shared" si="5"/>
        <v/>
      </c>
      <c r="I192" s="13"/>
      <c r="J192" s="13"/>
      <c r="K192" s="13"/>
      <c r="L192" s="13"/>
      <c r="M192" s="13"/>
      <c r="N192" s="147" t="str">
        <f>IF(A192="","",IF(posicao_contratual!$Y192="","",IF(posicao_contratual!$Y192&gt;0,"",posicao_contratual!E192)))</f>
        <v/>
      </c>
      <c r="O192" s="147" t="str">
        <f>IF(A192="","",IF(posicao_contratual!$Y192="","",IF(posicao_contratual!$Y192&gt;1,"",posicao_contratual!I192)))</f>
        <v/>
      </c>
      <c r="P192" s="147" t="str">
        <f>IF(A192="","",IF(posicao_contratual!$Y192="","",IF(posicao_contratual!$Y192&gt;2,"",posicao_contratual!M192)))</f>
        <v/>
      </c>
      <c r="Q192" s="147" t="str">
        <f>IF(A192="","",IF(posicao_contratual!$Y192="","",IF(posicao_contratual!$Y192&gt;3,"",posicao_contratual!Q192)))</f>
        <v/>
      </c>
      <c r="R192" s="147" t="str">
        <f>IF(A192="","",IF(posicao_contratual!$Y192="","",IF(posicao_contratual!$Y192&gt;4,"",posicao_contratual!U192)))</f>
        <v/>
      </c>
      <c r="S192" s="167" t="str">
        <f>IF(A192="","",posicao_contratual!G192)</f>
        <v/>
      </c>
      <c r="T192" s="167" t="str">
        <f>IF(A192="","",posicao_contratual!K192)</f>
        <v/>
      </c>
      <c r="U192" s="167" t="str">
        <f>IF(A192="","",posicao_contratual!O192)</f>
        <v/>
      </c>
      <c r="V192" s="167" t="str">
        <f>IF(A192="","",posicao_contratual!S192)</f>
        <v/>
      </c>
      <c r="W192" s="167" t="str">
        <f>IF(A192="","",posicao_contratual!W192)</f>
        <v/>
      </c>
    </row>
    <row r="193" spans="1:23" x14ac:dyDescent="0.35">
      <c r="A193" s="86" t="str">
        <f>IF(itens_Remanesc!A193="","",itens_Remanesc!A193)</f>
        <v/>
      </c>
      <c r="B193" s="85" t="str">
        <f>IF(A193="","",IF(posicao_contratual!$Y193="","",IF(posicao_contratual!$Y193&gt;0,"",posicao_contratual!G193)))</f>
        <v/>
      </c>
      <c r="C193" s="79" t="str">
        <f>IF(itens_Remanesc!A193="","",IF(posicao_contratual!$Y193="","",IF(posicao_contratual!$Y193&gt;0,"",itens_Remanesc!C193)))</f>
        <v/>
      </c>
      <c r="D193" s="79" t="str">
        <f>IF(OR($A193="",posicao_contratual!$Y193=""),"",IF(posicao_contratual!$Y193&gt;1,"",IF(NOT(ISNUMBER(itens_Remanesc!C193)),"",IF(posicao_contratual!$Y193=1,IF(IFERROR(IF(ISNUMBER(INDEX(aditivos!$O$2:$O$200,MATCH($A193,aditivos!$A$2:$A$200,0))),MIN(INDEX(aditivos!$O$2:$O$200,MATCH($A193,aditivos!$A$2:$A$200,0)),posicao_contratual!$Y193),posicao_contratual!$Y193),posicao_contratual!$Y193)=1,itens_Remanesc!C193,IFERROR(ROUND(itens_Remanesc!C193*INDEX($L$2:$L$6,MIN(1+1,COUNT($L$2:$L$6)))/INDEX($L$2:$L$6,MIN(IFERROR(IF(ISNUMBER(INDEX(aditivos!$O$2:$O$200,MATCH($A193,aditivos!$A$2:$A$200,0))),MIN(INDEX(aditivos!$O$2:$O$200,MATCH($A193,aditivos!$A$2:$A$200,0)),posicao_contratual!$Y193),posicao_contratual!$Y193),posicao_contratual!$Y193)+1,COUNT($L$2:$L$6))),2),"")),IF(OR(NOT(ISNUMBER($L$3)),NOT(ISNUMBER(INDEX($L$2:$L$6,IFERROR(IF(ISNUMBER(INDEX(aditivos!$O$2:$O$200,MATCH($A193,aditivos!$A$2:$A$200,0))),MIN(INDEX(aditivos!$O$2:$O$200,MATCH($A193,aditivos!$A$2:$A$200,0)),posicao_contratual!$Y193),posicao_contratual!$Y193),posicao_contratual!$Y193)+1)))),"",ROUND(itens_Remanesc!C193*$L$3/INDEX($L$2:$L$6,IFERROR(IF(ISNUMBER(INDEX(aditivos!$O$2:$O$200,MATCH($A193,aditivos!$A$2:$A$200,0))),MIN(INDEX(aditivos!$O$2:$O$200,MATCH($A193,aditivos!$A$2:$A$200,0)),posicao_contratual!$Y193),posicao_contratual!$Y193),posicao_contratual!$Y193)+1),2))))))</f>
        <v/>
      </c>
      <c r="E193" s="79" t="str">
        <f>IF(OR($A193="",posicao_contratual!$Y193=""),"",IF(posicao_contratual!$Y193&gt;2,"",IF(NOT(ISNUMBER(itens_Remanesc!C193)),"",IF(posicao_contratual!$Y193=2,IF(IFERROR(IF(ISNUMBER(INDEX(aditivos!$O$2:$O$200,MATCH($A193,aditivos!$A$2:$A$200,0))),MIN(INDEX(aditivos!$O$2:$O$200,MATCH($A193,aditivos!$A$2:$A$200,0)),posicao_contratual!$Y193),posicao_contratual!$Y193),posicao_contratual!$Y193)=2,itens_Remanesc!C193,IFERROR(ROUND(itens_Remanesc!C193*INDEX($L$2:$L$6,MIN(2+1,COUNT($L$2:$L$6)))/INDEX($L$2:$L$6,MIN(IFERROR(IF(ISNUMBER(INDEX(aditivos!$O$2:$O$200,MATCH($A193,aditivos!$A$2:$A$200,0))),MIN(INDEX(aditivos!$O$2:$O$200,MATCH($A193,aditivos!$A$2:$A$200,0)),posicao_contratual!$Y193),posicao_contratual!$Y193),posicao_contratual!$Y193)+1,COUNT($L$2:$L$6))),2),"")),IF(OR(NOT(ISNUMBER($L$4)),NOT(ISNUMBER(INDEX($L$2:$L$6,IFERROR(IF(ISNUMBER(INDEX(aditivos!$O$2:$O$200,MATCH($A193,aditivos!$A$2:$A$200,0))),MIN(INDEX(aditivos!$O$2:$O$200,MATCH($A193,aditivos!$A$2:$A$200,0)),posicao_contratual!$Y193),posicao_contratual!$Y193),posicao_contratual!$Y193)+1)))),"",ROUND(itens_Remanesc!C193*$L$4/INDEX($L$2:$L$6,IFERROR(IF(ISNUMBER(INDEX(aditivos!$O$2:$O$200,MATCH($A193,aditivos!$A$2:$A$200,0))),MIN(INDEX(aditivos!$O$2:$O$200,MATCH($A193,aditivos!$A$2:$A$200,0)),posicao_contratual!$Y193),posicao_contratual!$Y193),posicao_contratual!$Y193)+1),2))))))</f>
        <v/>
      </c>
      <c r="F193" s="79" t="str">
        <f>IF(OR($A193="",posicao_contratual!$Y193=""),"",IF(posicao_contratual!$Y193&gt;3,"",IF(NOT(ISNUMBER(itens_Remanesc!C193)),"",IF(posicao_contratual!$Y193=3,IF(IFERROR(IF(ISNUMBER(INDEX(aditivos!$O$2:$O$200,MATCH($A193,aditivos!$A$2:$A$200,0))),MIN(INDEX(aditivos!$O$2:$O$200,MATCH($A193,aditivos!$A$2:$A$200,0)),posicao_contratual!$Y193),posicao_contratual!$Y193),posicao_contratual!$Y193)=3,itens_Remanesc!C193,IFERROR(ROUND(itens_Remanesc!C193*INDEX($L$2:$L$6,MIN(3+1,COUNT($L$2:$L$6)))/INDEX($L$2:$L$6,MIN(IFERROR(IF(ISNUMBER(INDEX(aditivos!$O$2:$O$200,MATCH($A193,aditivos!$A$2:$A$200,0))),MIN(INDEX(aditivos!$O$2:$O$200,MATCH($A193,aditivos!$A$2:$A$200,0)),posicao_contratual!$Y193),posicao_contratual!$Y193),posicao_contratual!$Y193)+1,COUNT($L$2:$L$6))),2),"")),IF(OR(NOT(ISNUMBER($L$5)),NOT(ISNUMBER(INDEX($L$2:$L$6,IFERROR(IF(ISNUMBER(INDEX(aditivos!$O$2:$O$200,MATCH($A193,aditivos!$A$2:$A$200,0))),MIN(INDEX(aditivos!$O$2:$O$200,MATCH($A193,aditivos!$A$2:$A$200,0)),posicao_contratual!$Y193),posicao_contratual!$Y193),posicao_contratual!$Y193)+1)))),"",ROUND(itens_Remanesc!C193*$L$5/INDEX($L$2:$L$6,IFERROR(IF(ISNUMBER(INDEX(aditivos!$O$2:$O$200,MATCH($A193,aditivos!$A$2:$A$200,0))),MIN(INDEX(aditivos!$O$2:$O$200,MATCH($A193,aditivos!$A$2:$A$200,0)),posicao_contratual!$Y193),posicao_contratual!$Y193),posicao_contratual!$Y193)+1),2))))))</f>
        <v/>
      </c>
      <c r="G193" s="79" t="str">
        <f>IF(OR($A193="",posicao_contratual!$Y193=""),"",IF(posicao_contratual!$Y193&gt;4,"",IF(NOT(ISNUMBER(itens_Remanesc!C193)),"",IF(posicao_contratual!$Y193=4,IF(IFERROR(IF(ISNUMBER(INDEX(aditivos!$O$2:$O$200,MATCH($A193,aditivos!$A$2:$A$200,0))),MIN(INDEX(aditivos!$O$2:$O$200,MATCH($A193,aditivos!$A$2:$A$200,0)),posicao_contratual!$Y193),posicao_contratual!$Y193),posicao_contratual!$Y193)=4,itens_Remanesc!C193,IFERROR(ROUND(itens_Remanesc!C193*INDEX($L$2:$L$6,MIN(4+1,COUNT($L$2:$L$6)))/INDEX($L$2:$L$6,MIN(IFERROR(IF(ISNUMBER(INDEX(aditivos!$O$2:$O$200,MATCH($A193,aditivos!$A$2:$A$200,0))),MIN(INDEX(aditivos!$O$2:$O$200,MATCH($A193,aditivos!$A$2:$A$200,0)),posicao_contratual!$Y193),posicao_contratual!$Y193),posicao_contratual!$Y193)+1,COUNT($L$2:$L$6))),2),"")),IF(OR(NOT(ISNUMBER($L$6)),NOT(ISNUMBER(INDEX($L$2:$L$6,IFERROR(IF(ISNUMBER(INDEX(aditivos!$O$2:$O$200,MATCH($A193,aditivos!$A$2:$A$200,0))),MIN(INDEX(aditivos!$O$2:$O$200,MATCH($A193,aditivos!$A$2:$A$200,0)),posicao_contratual!$Y193),posicao_contratual!$Y193),posicao_contratual!$Y193)+1)))),"",ROUND(itens_Remanesc!C193*$L$6/INDEX($L$2:$L$6,IFERROR(IF(ISNUMBER(INDEX(aditivos!$O$2:$O$200,MATCH($A193,aditivos!$A$2:$A$200,0))),MIN(INDEX(aditivos!$O$2:$O$200,MATCH($A193,aditivos!$A$2:$A$200,0)),posicao_contratual!$Y193),posicao_contratual!$Y193),posicao_contratual!$Y193)+1),2))))))</f>
        <v/>
      </c>
      <c r="H193" s="116" t="str">
        <f t="shared" si="5"/>
        <v/>
      </c>
      <c r="I193" s="13"/>
      <c r="J193" s="13"/>
      <c r="K193" s="13"/>
      <c r="L193" s="13"/>
      <c r="M193" s="13"/>
      <c r="N193" s="147" t="str">
        <f>IF(A193="","",IF(posicao_contratual!$Y193="","",IF(posicao_contratual!$Y193&gt;0,"",posicao_contratual!E193)))</f>
        <v/>
      </c>
      <c r="O193" s="147" t="str">
        <f>IF(A193="","",IF(posicao_contratual!$Y193="","",IF(posicao_contratual!$Y193&gt;1,"",posicao_contratual!I193)))</f>
        <v/>
      </c>
      <c r="P193" s="147" t="str">
        <f>IF(A193="","",IF(posicao_contratual!$Y193="","",IF(posicao_contratual!$Y193&gt;2,"",posicao_contratual!M193)))</f>
        <v/>
      </c>
      <c r="Q193" s="147" t="str">
        <f>IF(A193="","",IF(posicao_contratual!$Y193="","",IF(posicao_contratual!$Y193&gt;3,"",posicao_contratual!Q193)))</f>
        <v/>
      </c>
      <c r="R193" s="147" t="str">
        <f>IF(A193="","",IF(posicao_contratual!$Y193="","",IF(posicao_contratual!$Y193&gt;4,"",posicao_contratual!U193)))</f>
        <v/>
      </c>
      <c r="S193" s="167" t="str">
        <f>IF(A193="","",posicao_contratual!G193)</f>
        <v/>
      </c>
      <c r="T193" s="167" t="str">
        <f>IF(A193="","",posicao_contratual!K193)</f>
        <v/>
      </c>
      <c r="U193" s="167" t="str">
        <f>IF(A193="","",posicao_contratual!O193)</f>
        <v/>
      </c>
      <c r="V193" s="167" t="str">
        <f>IF(A193="","",posicao_contratual!S193)</f>
        <v/>
      </c>
      <c r="W193" s="167" t="str">
        <f>IF(A193="","",posicao_contratual!W193)</f>
        <v/>
      </c>
    </row>
    <row r="194" spans="1:23" x14ac:dyDescent="0.35">
      <c r="A194" s="86" t="str">
        <f>IF(itens_Remanesc!A194="","",itens_Remanesc!A194)</f>
        <v/>
      </c>
      <c r="B194" s="85" t="str">
        <f>IF(A194="","",IF(posicao_contratual!$Y194="","",IF(posicao_contratual!$Y194&gt;0,"",posicao_contratual!G194)))</f>
        <v/>
      </c>
      <c r="C194" s="79" t="str">
        <f>IF(itens_Remanesc!A194="","",IF(posicao_contratual!$Y194="","",IF(posicao_contratual!$Y194&gt;0,"",itens_Remanesc!C194)))</f>
        <v/>
      </c>
      <c r="D194" s="79" t="str">
        <f>IF(OR($A194="",posicao_contratual!$Y194=""),"",IF(posicao_contratual!$Y194&gt;1,"",IF(NOT(ISNUMBER(itens_Remanesc!C194)),"",IF(posicao_contratual!$Y194=1,IF(IFERROR(IF(ISNUMBER(INDEX(aditivos!$O$2:$O$200,MATCH($A194,aditivos!$A$2:$A$200,0))),MIN(INDEX(aditivos!$O$2:$O$200,MATCH($A194,aditivos!$A$2:$A$200,0)),posicao_contratual!$Y194),posicao_contratual!$Y194),posicao_contratual!$Y194)=1,itens_Remanesc!C194,IFERROR(ROUND(itens_Remanesc!C194*INDEX($L$2:$L$6,MIN(1+1,COUNT($L$2:$L$6)))/INDEX($L$2:$L$6,MIN(IFERROR(IF(ISNUMBER(INDEX(aditivos!$O$2:$O$200,MATCH($A194,aditivos!$A$2:$A$200,0))),MIN(INDEX(aditivos!$O$2:$O$200,MATCH($A194,aditivos!$A$2:$A$200,0)),posicao_contratual!$Y194),posicao_contratual!$Y194),posicao_contratual!$Y194)+1,COUNT($L$2:$L$6))),2),"")),IF(OR(NOT(ISNUMBER($L$3)),NOT(ISNUMBER(INDEX($L$2:$L$6,IFERROR(IF(ISNUMBER(INDEX(aditivos!$O$2:$O$200,MATCH($A194,aditivos!$A$2:$A$200,0))),MIN(INDEX(aditivos!$O$2:$O$200,MATCH($A194,aditivos!$A$2:$A$200,0)),posicao_contratual!$Y194),posicao_contratual!$Y194),posicao_contratual!$Y194)+1)))),"",ROUND(itens_Remanesc!C194*$L$3/INDEX($L$2:$L$6,IFERROR(IF(ISNUMBER(INDEX(aditivos!$O$2:$O$200,MATCH($A194,aditivos!$A$2:$A$200,0))),MIN(INDEX(aditivos!$O$2:$O$200,MATCH($A194,aditivos!$A$2:$A$200,0)),posicao_contratual!$Y194),posicao_contratual!$Y194),posicao_contratual!$Y194)+1),2))))))</f>
        <v/>
      </c>
      <c r="E194" s="79" t="str">
        <f>IF(OR($A194="",posicao_contratual!$Y194=""),"",IF(posicao_contratual!$Y194&gt;2,"",IF(NOT(ISNUMBER(itens_Remanesc!C194)),"",IF(posicao_contratual!$Y194=2,IF(IFERROR(IF(ISNUMBER(INDEX(aditivos!$O$2:$O$200,MATCH($A194,aditivos!$A$2:$A$200,0))),MIN(INDEX(aditivos!$O$2:$O$200,MATCH($A194,aditivos!$A$2:$A$200,0)),posicao_contratual!$Y194),posicao_contratual!$Y194),posicao_contratual!$Y194)=2,itens_Remanesc!C194,IFERROR(ROUND(itens_Remanesc!C194*INDEX($L$2:$L$6,MIN(2+1,COUNT($L$2:$L$6)))/INDEX($L$2:$L$6,MIN(IFERROR(IF(ISNUMBER(INDEX(aditivos!$O$2:$O$200,MATCH($A194,aditivos!$A$2:$A$200,0))),MIN(INDEX(aditivos!$O$2:$O$200,MATCH($A194,aditivos!$A$2:$A$200,0)),posicao_contratual!$Y194),posicao_contratual!$Y194),posicao_contratual!$Y194)+1,COUNT($L$2:$L$6))),2),"")),IF(OR(NOT(ISNUMBER($L$4)),NOT(ISNUMBER(INDEX($L$2:$L$6,IFERROR(IF(ISNUMBER(INDEX(aditivos!$O$2:$O$200,MATCH($A194,aditivos!$A$2:$A$200,0))),MIN(INDEX(aditivos!$O$2:$O$200,MATCH($A194,aditivos!$A$2:$A$200,0)),posicao_contratual!$Y194),posicao_contratual!$Y194),posicao_contratual!$Y194)+1)))),"",ROUND(itens_Remanesc!C194*$L$4/INDEX($L$2:$L$6,IFERROR(IF(ISNUMBER(INDEX(aditivos!$O$2:$O$200,MATCH($A194,aditivos!$A$2:$A$200,0))),MIN(INDEX(aditivos!$O$2:$O$200,MATCH($A194,aditivos!$A$2:$A$200,0)),posicao_contratual!$Y194),posicao_contratual!$Y194),posicao_contratual!$Y194)+1),2))))))</f>
        <v/>
      </c>
      <c r="F194" s="79" t="str">
        <f>IF(OR($A194="",posicao_contratual!$Y194=""),"",IF(posicao_contratual!$Y194&gt;3,"",IF(NOT(ISNUMBER(itens_Remanesc!C194)),"",IF(posicao_contratual!$Y194=3,IF(IFERROR(IF(ISNUMBER(INDEX(aditivos!$O$2:$O$200,MATCH($A194,aditivos!$A$2:$A$200,0))),MIN(INDEX(aditivos!$O$2:$O$200,MATCH($A194,aditivos!$A$2:$A$200,0)),posicao_contratual!$Y194),posicao_contratual!$Y194),posicao_contratual!$Y194)=3,itens_Remanesc!C194,IFERROR(ROUND(itens_Remanesc!C194*INDEX($L$2:$L$6,MIN(3+1,COUNT($L$2:$L$6)))/INDEX($L$2:$L$6,MIN(IFERROR(IF(ISNUMBER(INDEX(aditivos!$O$2:$O$200,MATCH($A194,aditivos!$A$2:$A$200,0))),MIN(INDEX(aditivos!$O$2:$O$200,MATCH($A194,aditivos!$A$2:$A$200,0)),posicao_contratual!$Y194),posicao_contratual!$Y194),posicao_contratual!$Y194)+1,COUNT($L$2:$L$6))),2),"")),IF(OR(NOT(ISNUMBER($L$5)),NOT(ISNUMBER(INDEX($L$2:$L$6,IFERROR(IF(ISNUMBER(INDEX(aditivos!$O$2:$O$200,MATCH($A194,aditivos!$A$2:$A$200,0))),MIN(INDEX(aditivos!$O$2:$O$200,MATCH($A194,aditivos!$A$2:$A$200,0)),posicao_contratual!$Y194),posicao_contratual!$Y194),posicao_contratual!$Y194)+1)))),"",ROUND(itens_Remanesc!C194*$L$5/INDEX($L$2:$L$6,IFERROR(IF(ISNUMBER(INDEX(aditivos!$O$2:$O$200,MATCH($A194,aditivos!$A$2:$A$200,0))),MIN(INDEX(aditivos!$O$2:$O$200,MATCH($A194,aditivos!$A$2:$A$200,0)),posicao_contratual!$Y194),posicao_contratual!$Y194),posicao_contratual!$Y194)+1),2))))))</f>
        <v/>
      </c>
      <c r="G194" s="79" t="str">
        <f>IF(OR($A194="",posicao_contratual!$Y194=""),"",IF(posicao_contratual!$Y194&gt;4,"",IF(NOT(ISNUMBER(itens_Remanesc!C194)),"",IF(posicao_contratual!$Y194=4,IF(IFERROR(IF(ISNUMBER(INDEX(aditivos!$O$2:$O$200,MATCH($A194,aditivos!$A$2:$A$200,0))),MIN(INDEX(aditivos!$O$2:$O$200,MATCH($A194,aditivos!$A$2:$A$200,0)),posicao_contratual!$Y194),posicao_contratual!$Y194),posicao_contratual!$Y194)=4,itens_Remanesc!C194,IFERROR(ROUND(itens_Remanesc!C194*INDEX($L$2:$L$6,MIN(4+1,COUNT($L$2:$L$6)))/INDEX($L$2:$L$6,MIN(IFERROR(IF(ISNUMBER(INDEX(aditivos!$O$2:$O$200,MATCH($A194,aditivos!$A$2:$A$200,0))),MIN(INDEX(aditivos!$O$2:$O$200,MATCH($A194,aditivos!$A$2:$A$200,0)),posicao_contratual!$Y194),posicao_contratual!$Y194),posicao_contratual!$Y194)+1,COUNT($L$2:$L$6))),2),"")),IF(OR(NOT(ISNUMBER($L$6)),NOT(ISNUMBER(INDEX($L$2:$L$6,IFERROR(IF(ISNUMBER(INDEX(aditivos!$O$2:$O$200,MATCH($A194,aditivos!$A$2:$A$200,0))),MIN(INDEX(aditivos!$O$2:$O$200,MATCH($A194,aditivos!$A$2:$A$200,0)),posicao_contratual!$Y194),posicao_contratual!$Y194),posicao_contratual!$Y194)+1)))),"",ROUND(itens_Remanesc!C194*$L$6/INDEX($L$2:$L$6,IFERROR(IF(ISNUMBER(INDEX(aditivos!$O$2:$O$200,MATCH($A194,aditivos!$A$2:$A$200,0))),MIN(INDEX(aditivos!$O$2:$O$200,MATCH($A194,aditivos!$A$2:$A$200,0)),posicao_contratual!$Y194),posicao_contratual!$Y194),posicao_contratual!$Y194)+1),2))))))</f>
        <v/>
      </c>
      <c r="H194" s="116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47" t="str">
        <f>IF(A194="","",IF(posicao_contratual!$Y194="","",IF(posicao_contratual!$Y194&gt;0,"",posicao_contratual!E194)))</f>
        <v/>
      </c>
      <c r="O194" s="147" t="str">
        <f>IF(A194="","",IF(posicao_contratual!$Y194="","",IF(posicao_contratual!$Y194&gt;1,"",posicao_contratual!I194)))</f>
        <v/>
      </c>
      <c r="P194" s="147" t="str">
        <f>IF(A194="","",IF(posicao_contratual!$Y194="","",IF(posicao_contratual!$Y194&gt;2,"",posicao_contratual!M194)))</f>
        <v/>
      </c>
      <c r="Q194" s="147" t="str">
        <f>IF(A194="","",IF(posicao_contratual!$Y194="","",IF(posicao_contratual!$Y194&gt;3,"",posicao_contratual!Q194)))</f>
        <v/>
      </c>
      <c r="R194" s="147" t="str">
        <f>IF(A194="","",IF(posicao_contratual!$Y194="","",IF(posicao_contratual!$Y194&gt;4,"",posicao_contratual!U194)))</f>
        <v/>
      </c>
      <c r="S194" s="167" t="str">
        <f>IF(A194="","",posicao_contratual!G194)</f>
        <v/>
      </c>
      <c r="T194" s="167" t="str">
        <f>IF(A194="","",posicao_contratual!K194)</f>
        <v/>
      </c>
      <c r="U194" s="167" t="str">
        <f>IF(A194="","",posicao_contratual!O194)</f>
        <v/>
      </c>
      <c r="V194" s="167" t="str">
        <f>IF(A194="","",posicao_contratual!S194)</f>
        <v/>
      </c>
      <c r="W194" s="167" t="str">
        <f>IF(A194="","",posicao_contratual!W194)</f>
        <v/>
      </c>
    </row>
    <row r="195" spans="1:23" x14ac:dyDescent="0.35">
      <c r="A195" s="86" t="str">
        <f>IF(itens_Remanesc!A195="","",itens_Remanesc!A195)</f>
        <v/>
      </c>
      <c r="B195" s="85" t="str">
        <f>IF(A195="","",IF(posicao_contratual!$Y195="","",IF(posicao_contratual!$Y195&gt;0,"",posicao_contratual!G195)))</f>
        <v/>
      </c>
      <c r="C195" s="79" t="str">
        <f>IF(itens_Remanesc!A195="","",IF(posicao_contratual!$Y195="","",IF(posicao_contratual!$Y195&gt;0,"",itens_Remanesc!C195)))</f>
        <v/>
      </c>
      <c r="D195" s="79" t="str">
        <f>IF(OR($A195="",posicao_contratual!$Y195=""),"",IF(posicao_contratual!$Y195&gt;1,"",IF(NOT(ISNUMBER(itens_Remanesc!C195)),"",IF(posicao_contratual!$Y195=1,IF(IFERROR(IF(ISNUMBER(INDEX(aditivos!$O$2:$O$200,MATCH($A195,aditivos!$A$2:$A$200,0))),MIN(INDEX(aditivos!$O$2:$O$200,MATCH($A195,aditivos!$A$2:$A$200,0)),posicao_contratual!$Y195),posicao_contratual!$Y195),posicao_contratual!$Y195)=1,itens_Remanesc!C195,IFERROR(ROUND(itens_Remanesc!C195*INDEX($L$2:$L$6,MIN(1+1,COUNT($L$2:$L$6)))/INDEX($L$2:$L$6,MIN(IFERROR(IF(ISNUMBER(INDEX(aditivos!$O$2:$O$200,MATCH($A195,aditivos!$A$2:$A$200,0))),MIN(INDEX(aditivos!$O$2:$O$200,MATCH($A195,aditivos!$A$2:$A$200,0)),posicao_contratual!$Y195),posicao_contratual!$Y195),posicao_contratual!$Y195)+1,COUNT($L$2:$L$6))),2),"")),IF(OR(NOT(ISNUMBER($L$3)),NOT(ISNUMBER(INDEX($L$2:$L$6,IFERROR(IF(ISNUMBER(INDEX(aditivos!$O$2:$O$200,MATCH($A195,aditivos!$A$2:$A$200,0))),MIN(INDEX(aditivos!$O$2:$O$200,MATCH($A195,aditivos!$A$2:$A$200,0)),posicao_contratual!$Y195),posicao_contratual!$Y195),posicao_contratual!$Y195)+1)))),"",ROUND(itens_Remanesc!C195*$L$3/INDEX($L$2:$L$6,IFERROR(IF(ISNUMBER(INDEX(aditivos!$O$2:$O$200,MATCH($A195,aditivos!$A$2:$A$200,0))),MIN(INDEX(aditivos!$O$2:$O$200,MATCH($A195,aditivos!$A$2:$A$200,0)),posicao_contratual!$Y195),posicao_contratual!$Y195),posicao_contratual!$Y195)+1),2))))))</f>
        <v/>
      </c>
      <c r="E195" s="79" t="str">
        <f>IF(OR($A195="",posicao_contratual!$Y195=""),"",IF(posicao_contratual!$Y195&gt;2,"",IF(NOT(ISNUMBER(itens_Remanesc!C195)),"",IF(posicao_contratual!$Y195=2,IF(IFERROR(IF(ISNUMBER(INDEX(aditivos!$O$2:$O$200,MATCH($A195,aditivos!$A$2:$A$200,0))),MIN(INDEX(aditivos!$O$2:$O$200,MATCH($A195,aditivos!$A$2:$A$200,0)),posicao_contratual!$Y195),posicao_contratual!$Y195),posicao_contratual!$Y195)=2,itens_Remanesc!C195,IFERROR(ROUND(itens_Remanesc!C195*INDEX($L$2:$L$6,MIN(2+1,COUNT($L$2:$L$6)))/INDEX($L$2:$L$6,MIN(IFERROR(IF(ISNUMBER(INDEX(aditivos!$O$2:$O$200,MATCH($A195,aditivos!$A$2:$A$200,0))),MIN(INDEX(aditivos!$O$2:$O$200,MATCH($A195,aditivos!$A$2:$A$200,0)),posicao_contratual!$Y195),posicao_contratual!$Y195),posicao_contratual!$Y195)+1,COUNT($L$2:$L$6))),2),"")),IF(OR(NOT(ISNUMBER($L$4)),NOT(ISNUMBER(INDEX($L$2:$L$6,IFERROR(IF(ISNUMBER(INDEX(aditivos!$O$2:$O$200,MATCH($A195,aditivos!$A$2:$A$200,0))),MIN(INDEX(aditivos!$O$2:$O$200,MATCH($A195,aditivos!$A$2:$A$200,0)),posicao_contratual!$Y195),posicao_contratual!$Y195),posicao_contratual!$Y195)+1)))),"",ROUND(itens_Remanesc!C195*$L$4/INDEX($L$2:$L$6,IFERROR(IF(ISNUMBER(INDEX(aditivos!$O$2:$O$200,MATCH($A195,aditivos!$A$2:$A$200,0))),MIN(INDEX(aditivos!$O$2:$O$200,MATCH($A195,aditivos!$A$2:$A$200,0)),posicao_contratual!$Y195),posicao_contratual!$Y195),posicao_contratual!$Y195)+1),2))))))</f>
        <v/>
      </c>
      <c r="F195" s="79" t="str">
        <f>IF(OR($A195="",posicao_contratual!$Y195=""),"",IF(posicao_contratual!$Y195&gt;3,"",IF(NOT(ISNUMBER(itens_Remanesc!C195)),"",IF(posicao_contratual!$Y195=3,IF(IFERROR(IF(ISNUMBER(INDEX(aditivos!$O$2:$O$200,MATCH($A195,aditivos!$A$2:$A$200,0))),MIN(INDEX(aditivos!$O$2:$O$200,MATCH($A195,aditivos!$A$2:$A$200,0)),posicao_contratual!$Y195),posicao_contratual!$Y195),posicao_contratual!$Y195)=3,itens_Remanesc!C195,IFERROR(ROUND(itens_Remanesc!C195*INDEX($L$2:$L$6,MIN(3+1,COUNT($L$2:$L$6)))/INDEX($L$2:$L$6,MIN(IFERROR(IF(ISNUMBER(INDEX(aditivos!$O$2:$O$200,MATCH($A195,aditivos!$A$2:$A$200,0))),MIN(INDEX(aditivos!$O$2:$O$200,MATCH($A195,aditivos!$A$2:$A$200,0)),posicao_contratual!$Y195),posicao_contratual!$Y195),posicao_contratual!$Y195)+1,COUNT($L$2:$L$6))),2),"")),IF(OR(NOT(ISNUMBER($L$5)),NOT(ISNUMBER(INDEX($L$2:$L$6,IFERROR(IF(ISNUMBER(INDEX(aditivos!$O$2:$O$200,MATCH($A195,aditivos!$A$2:$A$200,0))),MIN(INDEX(aditivos!$O$2:$O$200,MATCH($A195,aditivos!$A$2:$A$200,0)),posicao_contratual!$Y195),posicao_contratual!$Y195),posicao_contratual!$Y195)+1)))),"",ROUND(itens_Remanesc!C195*$L$5/INDEX($L$2:$L$6,IFERROR(IF(ISNUMBER(INDEX(aditivos!$O$2:$O$200,MATCH($A195,aditivos!$A$2:$A$200,0))),MIN(INDEX(aditivos!$O$2:$O$200,MATCH($A195,aditivos!$A$2:$A$200,0)),posicao_contratual!$Y195),posicao_contratual!$Y195),posicao_contratual!$Y195)+1),2))))))</f>
        <v/>
      </c>
      <c r="G195" s="79" t="str">
        <f>IF(OR($A195="",posicao_contratual!$Y195=""),"",IF(posicao_contratual!$Y195&gt;4,"",IF(NOT(ISNUMBER(itens_Remanesc!C195)),"",IF(posicao_contratual!$Y195=4,IF(IFERROR(IF(ISNUMBER(INDEX(aditivos!$O$2:$O$200,MATCH($A195,aditivos!$A$2:$A$200,0))),MIN(INDEX(aditivos!$O$2:$O$200,MATCH($A195,aditivos!$A$2:$A$200,0)),posicao_contratual!$Y195),posicao_contratual!$Y195),posicao_contratual!$Y195)=4,itens_Remanesc!C195,IFERROR(ROUND(itens_Remanesc!C195*INDEX($L$2:$L$6,MIN(4+1,COUNT($L$2:$L$6)))/INDEX($L$2:$L$6,MIN(IFERROR(IF(ISNUMBER(INDEX(aditivos!$O$2:$O$200,MATCH($A195,aditivos!$A$2:$A$200,0))),MIN(INDEX(aditivos!$O$2:$O$200,MATCH($A195,aditivos!$A$2:$A$200,0)),posicao_contratual!$Y195),posicao_contratual!$Y195),posicao_contratual!$Y195)+1,COUNT($L$2:$L$6))),2),"")),IF(OR(NOT(ISNUMBER($L$6)),NOT(ISNUMBER(INDEX($L$2:$L$6,IFERROR(IF(ISNUMBER(INDEX(aditivos!$O$2:$O$200,MATCH($A195,aditivos!$A$2:$A$200,0))),MIN(INDEX(aditivos!$O$2:$O$200,MATCH($A195,aditivos!$A$2:$A$200,0)),posicao_contratual!$Y195),posicao_contratual!$Y195),posicao_contratual!$Y195)+1)))),"",ROUND(itens_Remanesc!C195*$L$6/INDEX($L$2:$L$6,IFERROR(IF(ISNUMBER(INDEX(aditivos!$O$2:$O$200,MATCH($A195,aditivos!$A$2:$A$200,0))),MIN(INDEX(aditivos!$O$2:$O$200,MATCH($A195,aditivos!$A$2:$A$200,0)),posicao_contratual!$Y195),posicao_contratual!$Y195),posicao_contratual!$Y195)+1),2))))))</f>
        <v/>
      </c>
      <c r="H195" s="116" t="str">
        <f t="shared" si="6"/>
        <v/>
      </c>
      <c r="I195" s="13"/>
      <c r="J195" s="13"/>
      <c r="K195" s="13"/>
      <c r="L195" s="13"/>
      <c r="M195" s="13"/>
      <c r="N195" s="147" t="str">
        <f>IF(A195="","",IF(posicao_contratual!$Y195="","",IF(posicao_contratual!$Y195&gt;0,"",posicao_contratual!E195)))</f>
        <v/>
      </c>
      <c r="O195" s="147" t="str">
        <f>IF(A195="","",IF(posicao_contratual!$Y195="","",IF(posicao_contratual!$Y195&gt;1,"",posicao_contratual!I195)))</f>
        <v/>
      </c>
      <c r="P195" s="147" t="str">
        <f>IF(A195="","",IF(posicao_contratual!$Y195="","",IF(posicao_contratual!$Y195&gt;2,"",posicao_contratual!M195)))</f>
        <v/>
      </c>
      <c r="Q195" s="147" t="str">
        <f>IF(A195="","",IF(posicao_contratual!$Y195="","",IF(posicao_contratual!$Y195&gt;3,"",posicao_contratual!Q195)))</f>
        <v/>
      </c>
      <c r="R195" s="147" t="str">
        <f>IF(A195="","",IF(posicao_contratual!$Y195="","",IF(posicao_contratual!$Y195&gt;4,"",posicao_contratual!U195)))</f>
        <v/>
      </c>
      <c r="S195" s="167" t="str">
        <f>IF(A195="","",posicao_contratual!G195)</f>
        <v/>
      </c>
      <c r="T195" s="167" t="str">
        <f>IF(A195="","",posicao_contratual!K195)</f>
        <v/>
      </c>
      <c r="U195" s="167" t="str">
        <f>IF(A195="","",posicao_contratual!O195)</f>
        <v/>
      </c>
      <c r="V195" s="167" t="str">
        <f>IF(A195="","",posicao_contratual!S195)</f>
        <v/>
      </c>
      <c r="W195" s="167" t="str">
        <f>IF(A195="","",posicao_contratual!W195)</f>
        <v/>
      </c>
    </row>
    <row r="196" spans="1:23" x14ac:dyDescent="0.35">
      <c r="A196" s="86" t="str">
        <f>IF(itens_Remanesc!A196="","",itens_Remanesc!A196)</f>
        <v/>
      </c>
      <c r="B196" s="85" t="str">
        <f>IF(A196="","",IF(posicao_contratual!$Y196="","",IF(posicao_contratual!$Y196&gt;0,"",posicao_contratual!G196)))</f>
        <v/>
      </c>
      <c r="C196" s="79" t="str">
        <f>IF(itens_Remanesc!A196="","",IF(posicao_contratual!$Y196="","",IF(posicao_contratual!$Y196&gt;0,"",itens_Remanesc!C196)))</f>
        <v/>
      </c>
      <c r="D196" s="79" t="str">
        <f>IF(OR($A196="",posicao_contratual!$Y196=""),"",IF(posicao_contratual!$Y196&gt;1,"",IF(NOT(ISNUMBER(itens_Remanesc!C196)),"",IF(posicao_contratual!$Y196=1,IF(IFERROR(IF(ISNUMBER(INDEX(aditivos!$O$2:$O$200,MATCH($A196,aditivos!$A$2:$A$200,0))),MIN(INDEX(aditivos!$O$2:$O$200,MATCH($A196,aditivos!$A$2:$A$200,0)),posicao_contratual!$Y196),posicao_contratual!$Y196),posicao_contratual!$Y196)=1,itens_Remanesc!C196,IFERROR(ROUND(itens_Remanesc!C196*INDEX($L$2:$L$6,MIN(1+1,COUNT($L$2:$L$6)))/INDEX($L$2:$L$6,MIN(IFERROR(IF(ISNUMBER(INDEX(aditivos!$O$2:$O$200,MATCH($A196,aditivos!$A$2:$A$200,0))),MIN(INDEX(aditivos!$O$2:$O$200,MATCH($A196,aditivos!$A$2:$A$200,0)),posicao_contratual!$Y196),posicao_contratual!$Y196),posicao_contratual!$Y196)+1,COUNT($L$2:$L$6))),2),"")),IF(OR(NOT(ISNUMBER($L$3)),NOT(ISNUMBER(INDEX($L$2:$L$6,IFERROR(IF(ISNUMBER(INDEX(aditivos!$O$2:$O$200,MATCH($A196,aditivos!$A$2:$A$200,0))),MIN(INDEX(aditivos!$O$2:$O$200,MATCH($A196,aditivos!$A$2:$A$200,0)),posicao_contratual!$Y196),posicao_contratual!$Y196),posicao_contratual!$Y196)+1)))),"",ROUND(itens_Remanesc!C196*$L$3/INDEX($L$2:$L$6,IFERROR(IF(ISNUMBER(INDEX(aditivos!$O$2:$O$200,MATCH($A196,aditivos!$A$2:$A$200,0))),MIN(INDEX(aditivos!$O$2:$O$200,MATCH($A196,aditivos!$A$2:$A$200,0)),posicao_contratual!$Y196),posicao_contratual!$Y196),posicao_contratual!$Y196)+1),2))))))</f>
        <v/>
      </c>
      <c r="E196" s="79" t="str">
        <f>IF(OR($A196="",posicao_contratual!$Y196=""),"",IF(posicao_contratual!$Y196&gt;2,"",IF(NOT(ISNUMBER(itens_Remanesc!C196)),"",IF(posicao_contratual!$Y196=2,IF(IFERROR(IF(ISNUMBER(INDEX(aditivos!$O$2:$O$200,MATCH($A196,aditivos!$A$2:$A$200,0))),MIN(INDEX(aditivos!$O$2:$O$200,MATCH($A196,aditivos!$A$2:$A$200,0)),posicao_contratual!$Y196),posicao_contratual!$Y196),posicao_contratual!$Y196)=2,itens_Remanesc!C196,IFERROR(ROUND(itens_Remanesc!C196*INDEX($L$2:$L$6,MIN(2+1,COUNT($L$2:$L$6)))/INDEX($L$2:$L$6,MIN(IFERROR(IF(ISNUMBER(INDEX(aditivos!$O$2:$O$200,MATCH($A196,aditivos!$A$2:$A$200,0))),MIN(INDEX(aditivos!$O$2:$O$200,MATCH($A196,aditivos!$A$2:$A$200,0)),posicao_contratual!$Y196),posicao_contratual!$Y196),posicao_contratual!$Y196)+1,COUNT($L$2:$L$6))),2),"")),IF(OR(NOT(ISNUMBER($L$4)),NOT(ISNUMBER(INDEX($L$2:$L$6,IFERROR(IF(ISNUMBER(INDEX(aditivos!$O$2:$O$200,MATCH($A196,aditivos!$A$2:$A$200,0))),MIN(INDEX(aditivos!$O$2:$O$200,MATCH($A196,aditivos!$A$2:$A$200,0)),posicao_contratual!$Y196),posicao_contratual!$Y196),posicao_contratual!$Y196)+1)))),"",ROUND(itens_Remanesc!C196*$L$4/INDEX($L$2:$L$6,IFERROR(IF(ISNUMBER(INDEX(aditivos!$O$2:$O$200,MATCH($A196,aditivos!$A$2:$A$200,0))),MIN(INDEX(aditivos!$O$2:$O$200,MATCH($A196,aditivos!$A$2:$A$200,0)),posicao_contratual!$Y196),posicao_contratual!$Y196),posicao_contratual!$Y196)+1),2))))))</f>
        <v/>
      </c>
      <c r="F196" s="79" t="str">
        <f>IF(OR($A196="",posicao_contratual!$Y196=""),"",IF(posicao_contratual!$Y196&gt;3,"",IF(NOT(ISNUMBER(itens_Remanesc!C196)),"",IF(posicao_contratual!$Y196=3,IF(IFERROR(IF(ISNUMBER(INDEX(aditivos!$O$2:$O$200,MATCH($A196,aditivos!$A$2:$A$200,0))),MIN(INDEX(aditivos!$O$2:$O$200,MATCH($A196,aditivos!$A$2:$A$200,0)),posicao_contratual!$Y196),posicao_contratual!$Y196),posicao_contratual!$Y196)=3,itens_Remanesc!C196,IFERROR(ROUND(itens_Remanesc!C196*INDEX($L$2:$L$6,MIN(3+1,COUNT($L$2:$L$6)))/INDEX($L$2:$L$6,MIN(IFERROR(IF(ISNUMBER(INDEX(aditivos!$O$2:$O$200,MATCH($A196,aditivos!$A$2:$A$200,0))),MIN(INDEX(aditivos!$O$2:$O$200,MATCH($A196,aditivos!$A$2:$A$200,0)),posicao_contratual!$Y196),posicao_contratual!$Y196),posicao_contratual!$Y196)+1,COUNT($L$2:$L$6))),2),"")),IF(OR(NOT(ISNUMBER($L$5)),NOT(ISNUMBER(INDEX($L$2:$L$6,IFERROR(IF(ISNUMBER(INDEX(aditivos!$O$2:$O$200,MATCH($A196,aditivos!$A$2:$A$200,0))),MIN(INDEX(aditivos!$O$2:$O$200,MATCH($A196,aditivos!$A$2:$A$200,0)),posicao_contratual!$Y196),posicao_contratual!$Y196),posicao_contratual!$Y196)+1)))),"",ROUND(itens_Remanesc!C196*$L$5/INDEX($L$2:$L$6,IFERROR(IF(ISNUMBER(INDEX(aditivos!$O$2:$O$200,MATCH($A196,aditivos!$A$2:$A$200,0))),MIN(INDEX(aditivos!$O$2:$O$200,MATCH($A196,aditivos!$A$2:$A$200,0)),posicao_contratual!$Y196),posicao_contratual!$Y196),posicao_contratual!$Y196)+1),2))))))</f>
        <v/>
      </c>
      <c r="G196" s="79" t="str">
        <f>IF(OR($A196="",posicao_contratual!$Y196=""),"",IF(posicao_contratual!$Y196&gt;4,"",IF(NOT(ISNUMBER(itens_Remanesc!C196)),"",IF(posicao_contratual!$Y196=4,IF(IFERROR(IF(ISNUMBER(INDEX(aditivos!$O$2:$O$200,MATCH($A196,aditivos!$A$2:$A$200,0))),MIN(INDEX(aditivos!$O$2:$O$200,MATCH($A196,aditivos!$A$2:$A$200,0)),posicao_contratual!$Y196),posicao_contratual!$Y196),posicao_contratual!$Y196)=4,itens_Remanesc!C196,IFERROR(ROUND(itens_Remanesc!C196*INDEX($L$2:$L$6,MIN(4+1,COUNT($L$2:$L$6)))/INDEX($L$2:$L$6,MIN(IFERROR(IF(ISNUMBER(INDEX(aditivos!$O$2:$O$200,MATCH($A196,aditivos!$A$2:$A$200,0))),MIN(INDEX(aditivos!$O$2:$O$200,MATCH($A196,aditivos!$A$2:$A$200,0)),posicao_contratual!$Y196),posicao_contratual!$Y196),posicao_contratual!$Y196)+1,COUNT($L$2:$L$6))),2),"")),IF(OR(NOT(ISNUMBER($L$6)),NOT(ISNUMBER(INDEX($L$2:$L$6,IFERROR(IF(ISNUMBER(INDEX(aditivos!$O$2:$O$200,MATCH($A196,aditivos!$A$2:$A$200,0))),MIN(INDEX(aditivos!$O$2:$O$200,MATCH($A196,aditivos!$A$2:$A$200,0)),posicao_contratual!$Y196),posicao_contratual!$Y196),posicao_contratual!$Y196)+1)))),"",ROUND(itens_Remanesc!C196*$L$6/INDEX($L$2:$L$6,IFERROR(IF(ISNUMBER(INDEX(aditivos!$O$2:$O$200,MATCH($A196,aditivos!$A$2:$A$200,0))),MIN(INDEX(aditivos!$O$2:$O$200,MATCH($A196,aditivos!$A$2:$A$200,0)),posicao_contratual!$Y196),posicao_contratual!$Y196),posicao_contratual!$Y196)+1),2))))))</f>
        <v/>
      </c>
      <c r="H196" s="116" t="str">
        <f t="shared" si="6"/>
        <v/>
      </c>
      <c r="I196" s="13"/>
      <c r="J196" s="13"/>
      <c r="K196" s="13"/>
      <c r="L196" s="13"/>
      <c r="M196" s="13"/>
      <c r="N196" s="147" t="str">
        <f>IF(A196="","",IF(posicao_contratual!$Y196="","",IF(posicao_contratual!$Y196&gt;0,"",posicao_contratual!E196)))</f>
        <v/>
      </c>
      <c r="O196" s="147" t="str">
        <f>IF(A196="","",IF(posicao_contratual!$Y196="","",IF(posicao_contratual!$Y196&gt;1,"",posicao_contratual!I196)))</f>
        <v/>
      </c>
      <c r="P196" s="147" t="str">
        <f>IF(A196="","",IF(posicao_contratual!$Y196="","",IF(posicao_contratual!$Y196&gt;2,"",posicao_contratual!M196)))</f>
        <v/>
      </c>
      <c r="Q196" s="147" t="str">
        <f>IF(A196="","",IF(posicao_contratual!$Y196="","",IF(posicao_contratual!$Y196&gt;3,"",posicao_contratual!Q196)))</f>
        <v/>
      </c>
      <c r="R196" s="147" t="str">
        <f>IF(A196="","",IF(posicao_contratual!$Y196="","",IF(posicao_contratual!$Y196&gt;4,"",posicao_contratual!U196)))</f>
        <v/>
      </c>
      <c r="S196" s="167" t="str">
        <f>IF(A196="","",posicao_contratual!G196)</f>
        <v/>
      </c>
      <c r="T196" s="167" t="str">
        <f>IF(A196="","",posicao_contratual!K196)</f>
        <v/>
      </c>
      <c r="U196" s="167" t="str">
        <f>IF(A196="","",posicao_contratual!O196)</f>
        <v/>
      </c>
      <c r="V196" s="167" t="str">
        <f>IF(A196="","",posicao_contratual!S196)</f>
        <v/>
      </c>
      <c r="W196" s="167" t="str">
        <f>IF(A196="","",posicao_contratual!W196)</f>
        <v/>
      </c>
    </row>
    <row r="197" spans="1:23" x14ac:dyDescent="0.35">
      <c r="A197" s="86" t="str">
        <f>IF(itens_Remanesc!A197="","",itens_Remanesc!A197)</f>
        <v/>
      </c>
      <c r="B197" s="85" t="str">
        <f>IF(A197="","",IF(posicao_contratual!$Y197="","",IF(posicao_contratual!$Y197&gt;0,"",posicao_contratual!G197)))</f>
        <v/>
      </c>
      <c r="C197" s="79" t="str">
        <f>IF(itens_Remanesc!A197="","",IF(posicao_contratual!$Y197="","",IF(posicao_contratual!$Y197&gt;0,"",itens_Remanesc!C197)))</f>
        <v/>
      </c>
      <c r="D197" s="79" t="str">
        <f>IF(OR($A197="",posicao_contratual!$Y197=""),"",IF(posicao_contratual!$Y197&gt;1,"",IF(NOT(ISNUMBER(itens_Remanesc!C197)),"",IF(posicao_contratual!$Y197=1,IF(IFERROR(IF(ISNUMBER(INDEX(aditivos!$O$2:$O$200,MATCH($A197,aditivos!$A$2:$A$200,0))),MIN(INDEX(aditivos!$O$2:$O$200,MATCH($A197,aditivos!$A$2:$A$200,0)),posicao_contratual!$Y197),posicao_contratual!$Y197),posicao_contratual!$Y197)=1,itens_Remanesc!C197,IFERROR(ROUND(itens_Remanesc!C197*INDEX($L$2:$L$6,MIN(1+1,COUNT($L$2:$L$6)))/INDEX($L$2:$L$6,MIN(IFERROR(IF(ISNUMBER(INDEX(aditivos!$O$2:$O$200,MATCH($A197,aditivos!$A$2:$A$200,0))),MIN(INDEX(aditivos!$O$2:$O$200,MATCH($A197,aditivos!$A$2:$A$200,0)),posicao_contratual!$Y197),posicao_contratual!$Y197),posicao_contratual!$Y197)+1,COUNT($L$2:$L$6))),2),"")),IF(OR(NOT(ISNUMBER($L$3)),NOT(ISNUMBER(INDEX($L$2:$L$6,IFERROR(IF(ISNUMBER(INDEX(aditivos!$O$2:$O$200,MATCH($A197,aditivos!$A$2:$A$200,0))),MIN(INDEX(aditivos!$O$2:$O$200,MATCH($A197,aditivos!$A$2:$A$200,0)),posicao_contratual!$Y197),posicao_contratual!$Y197),posicao_contratual!$Y197)+1)))),"",ROUND(itens_Remanesc!C197*$L$3/INDEX($L$2:$L$6,IFERROR(IF(ISNUMBER(INDEX(aditivos!$O$2:$O$200,MATCH($A197,aditivos!$A$2:$A$200,0))),MIN(INDEX(aditivos!$O$2:$O$200,MATCH($A197,aditivos!$A$2:$A$200,0)),posicao_contratual!$Y197),posicao_contratual!$Y197),posicao_contratual!$Y197)+1),2))))))</f>
        <v/>
      </c>
      <c r="E197" s="79" t="str">
        <f>IF(OR($A197="",posicao_contratual!$Y197=""),"",IF(posicao_contratual!$Y197&gt;2,"",IF(NOT(ISNUMBER(itens_Remanesc!C197)),"",IF(posicao_contratual!$Y197=2,IF(IFERROR(IF(ISNUMBER(INDEX(aditivos!$O$2:$O$200,MATCH($A197,aditivos!$A$2:$A$200,0))),MIN(INDEX(aditivos!$O$2:$O$200,MATCH($A197,aditivos!$A$2:$A$200,0)),posicao_contratual!$Y197),posicao_contratual!$Y197),posicao_contratual!$Y197)=2,itens_Remanesc!C197,IFERROR(ROUND(itens_Remanesc!C197*INDEX($L$2:$L$6,MIN(2+1,COUNT($L$2:$L$6)))/INDEX($L$2:$L$6,MIN(IFERROR(IF(ISNUMBER(INDEX(aditivos!$O$2:$O$200,MATCH($A197,aditivos!$A$2:$A$200,0))),MIN(INDEX(aditivos!$O$2:$O$200,MATCH($A197,aditivos!$A$2:$A$200,0)),posicao_contratual!$Y197),posicao_contratual!$Y197),posicao_contratual!$Y197)+1,COUNT($L$2:$L$6))),2),"")),IF(OR(NOT(ISNUMBER($L$4)),NOT(ISNUMBER(INDEX($L$2:$L$6,IFERROR(IF(ISNUMBER(INDEX(aditivos!$O$2:$O$200,MATCH($A197,aditivos!$A$2:$A$200,0))),MIN(INDEX(aditivos!$O$2:$O$200,MATCH($A197,aditivos!$A$2:$A$200,0)),posicao_contratual!$Y197),posicao_contratual!$Y197),posicao_contratual!$Y197)+1)))),"",ROUND(itens_Remanesc!C197*$L$4/INDEX($L$2:$L$6,IFERROR(IF(ISNUMBER(INDEX(aditivos!$O$2:$O$200,MATCH($A197,aditivos!$A$2:$A$200,0))),MIN(INDEX(aditivos!$O$2:$O$200,MATCH($A197,aditivos!$A$2:$A$200,0)),posicao_contratual!$Y197),posicao_contratual!$Y197),posicao_contratual!$Y197)+1),2))))))</f>
        <v/>
      </c>
      <c r="F197" s="79" t="str">
        <f>IF(OR($A197="",posicao_contratual!$Y197=""),"",IF(posicao_contratual!$Y197&gt;3,"",IF(NOT(ISNUMBER(itens_Remanesc!C197)),"",IF(posicao_contratual!$Y197=3,IF(IFERROR(IF(ISNUMBER(INDEX(aditivos!$O$2:$O$200,MATCH($A197,aditivos!$A$2:$A$200,0))),MIN(INDEX(aditivos!$O$2:$O$200,MATCH($A197,aditivos!$A$2:$A$200,0)),posicao_contratual!$Y197),posicao_contratual!$Y197),posicao_contratual!$Y197)=3,itens_Remanesc!C197,IFERROR(ROUND(itens_Remanesc!C197*INDEX($L$2:$L$6,MIN(3+1,COUNT($L$2:$L$6)))/INDEX($L$2:$L$6,MIN(IFERROR(IF(ISNUMBER(INDEX(aditivos!$O$2:$O$200,MATCH($A197,aditivos!$A$2:$A$200,0))),MIN(INDEX(aditivos!$O$2:$O$200,MATCH($A197,aditivos!$A$2:$A$200,0)),posicao_contratual!$Y197),posicao_contratual!$Y197),posicao_contratual!$Y197)+1,COUNT($L$2:$L$6))),2),"")),IF(OR(NOT(ISNUMBER($L$5)),NOT(ISNUMBER(INDEX($L$2:$L$6,IFERROR(IF(ISNUMBER(INDEX(aditivos!$O$2:$O$200,MATCH($A197,aditivos!$A$2:$A$200,0))),MIN(INDEX(aditivos!$O$2:$O$200,MATCH($A197,aditivos!$A$2:$A$200,0)),posicao_contratual!$Y197),posicao_contratual!$Y197),posicao_contratual!$Y197)+1)))),"",ROUND(itens_Remanesc!C197*$L$5/INDEX($L$2:$L$6,IFERROR(IF(ISNUMBER(INDEX(aditivos!$O$2:$O$200,MATCH($A197,aditivos!$A$2:$A$200,0))),MIN(INDEX(aditivos!$O$2:$O$200,MATCH($A197,aditivos!$A$2:$A$200,0)),posicao_contratual!$Y197),posicao_contratual!$Y197),posicao_contratual!$Y197)+1),2))))))</f>
        <v/>
      </c>
      <c r="G197" s="79" t="str">
        <f>IF(OR($A197="",posicao_contratual!$Y197=""),"",IF(posicao_contratual!$Y197&gt;4,"",IF(NOT(ISNUMBER(itens_Remanesc!C197)),"",IF(posicao_contratual!$Y197=4,IF(IFERROR(IF(ISNUMBER(INDEX(aditivos!$O$2:$O$200,MATCH($A197,aditivos!$A$2:$A$200,0))),MIN(INDEX(aditivos!$O$2:$O$200,MATCH($A197,aditivos!$A$2:$A$200,0)),posicao_contratual!$Y197),posicao_contratual!$Y197),posicao_contratual!$Y197)=4,itens_Remanesc!C197,IFERROR(ROUND(itens_Remanesc!C197*INDEX($L$2:$L$6,MIN(4+1,COUNT($L$2:$L$6)))/INDEX($L$2:$L$6,MIN(IFERROR(IF(ISNUMBER(INDEX(aditivos!$O$2:$O$200,MATCH($A197,aditivos!$A$2:$A$200,0))),MIN(INDEX(aditivos!$O$2:$O$200,MATCH($A197,aditivos!$A$2:$A$200,0)),posicao_contratual!$Y197),posicao_contratual!$Y197),posicao_contratual!$Y197)+1,COUNT($L$2:$L$6))),2),"")),IF(OR(NOT(ISNUMBER($L$6)),NOT(ISNUMBER(INDEX($L$2:$L$6,IFERROR(IF(ISNUMBER(INDEX(aditivos!$O$2:$O$200,MATCH($A197,aditivos!$A$2:$A$200,0))),MIN(INDEX(aditivos!$O$2:$O$200,MATCH($A197,aditivos!$A$2:$A$200,0)),posicao_contratual!$Y197),posicao_contratual!$Y197),posicao_contratual!$Y197)+1)))),"",ROUND(itens_Remanesc!C197*$L$6/INDEX($L$2:$L$6,IFERROR(IF(ISNUMBER(INDEX(aditivos!$O$2:$O$200,MATCH($A197,aditivos!$A$2:$A$200,0))),MIN(INDEX(aditivos!$O$2:$O$200,MATCH($A197,aditivos!$A$2:$A$200,0)),posicao_contratual!$Y197),posicao_contratual!$Y197),posicao_contratual!$Y197)+1),2))))))</f>
        <v/>
      </c>
      <c r="H197" s="116" t="str">
        <f t="shared" si="6"/>
        <v/>
      </c>
      <c r="I197" s="13"/>
      <c r="J197" s="13"/>
      <c r="K197" s="13"/>
      <c r="L197" s="13"/>
      <c r="M197" s="13"/>
      <c r="N197" s="147" t="str">
        <f>IF(A197="","",IF(posicao_contratual!$Y197="","",IF(posicao_contratual!$Y197&gt;0,"",posicao_contratual!E197)))</f>
        <v/>
      </c>
      <c r="O197" s="147" t="str">
        <f>IF(A197="","",IF(posicao_contratual!$Y197="","",IF(posicao_contratual!$Y197&gt;1,"",posicao_contratual!I197)))</f>
        <v/>
      </c>
      <c r="P197" s="147" t="str">
        <f>IF(A197="","",IF(posicao_contratual!$Y197="","",IF(posicao_contratual!$Y197&gt;2,"",posicao_contratual!M197)))</f>
        <v/>
      </c>
      <c r="Q197" s="147" t="str">
        <f>IF(A197="","",IF(posicao_contratual!$Y197="","",IF(posicao_contratual!$Y197&gt;3,"",posicao_contratual!Q197)))</f>
        <v/>
      </c>
      <c r="R197" s="147" t="str">
        <f>IF(A197="","",IF(posicao_contratual!$Y197="","",IF(posicao_contratual!$Y197&gt;4,"",posicao_contratual!U197)))</f>
        <v/>
      </c>
      <c r="S197" s="167" t="str">
        <f>IF(A197="","",posicao_contratual!G197)</f>
        <v/>
      </c>
      <c r="T197" s="167" t="str">
        <f>IF(A197="","",posicao_contratual!K197)</f>
        <v/>
      </c>
      <c r="U197" s="167" t="str">
        <f>IF(A197="","",posicao_contratual!O197)</f>
        <v/>
      </c>
      <c r="V197" s="167" t="str">
        <f>IF(A197="","",posicao_contratual!S197)</f>
        <v/>
      </c>
      <c r="W197" s="167" t="str">
        <f>IF(A197="","",posicao_contratual!W197)</f>
        <v/>
      </c>
    </row>
    <row r="198" spans="1:23" x14ac:dyDescent="0.35">
      <c r="A198" s="86" t="str">
        <f>IF(itens_Remanesc!A198="","",itens_Remanesc!A198)</f>
        <v/>
      </c>
      <c r="B198" s="85" t="str">
        <f>IF(A198="","",IF(posicao_contratual!$Y198="","",IF(posicao_contratual!$Y198&gt;0,"",posicao_contratual!G198)))</f>
        <v/>
      </c>
      <c r="C198" s="79" t="str">
        <f>IF(itens_Remanesc!A198="","",IF(posicao_contratual!$Y198="","",IF(posicao_contratual!$Y198&gt;0,"",itens_Remanesc!C198)))</f>
        <v/>
      </c>
      <c r="D198" s="79" t="str">
        <f>IF(OR($A198="",posicao_contratual!$Y198=""),"",IF(posicao_contratual!$Y198&gt;1,"",IF(NOT(ISNUMBER(itens_Remanesc!C198)),"",IF(posicao_contratual!$Y198=1,IF(IFERROR(IF(ISNUMBER(INDEX(aditivos!$O$2:$O$200,MATCH($A198,aditivos!$A$2:$A$200,0))),MIN(INDEX(aditivos!$O$2:$O$200,MATCH($A198,aditivos!$A$2:$A$200,0)),posicao_contratual!$Y198),posicao_contratual!$Y198),posicao_contratual!$Y198)=1,itens_Remanesc!C198,IFERROR(ROUND(itens_Remanesc!C198*INDEX($L$2:$L$6,MIN(1+1,COUNT($L$2:$L$6)))/INDEX($L$2:$L$6,MIN(IFERROR(IF(ISNUMBER(INDEX(aditivos!$O$2:$O$200,MATCH($A198,aditivos!$A$2:$A$200,0))),MIN(INDEX(aditivos!$O$2:$O$200,MATCH($A198,aditivos!$A$2:$A$200,0)),posicao_contratual!$Y198),posicao_contratual!$Y198),posicao_contratual!$Y198)+1,COUNT($L$2:$L$6))),2),"")),IF(OR(NOT(ISNUMBER($L$3)),NOT(ISNUMBER(INDEX($L$2:$L$6,IFERROR(IF(ISNUMBER(INDEX(aditivos!$O$2:$O$200,MATCH($A198,aditivos!$A$2:$A$200,0))),MIN(INDEX(aditivos!$O$2:$O$200,MATCH($A198,aditivos!$A$2:$A$200,0)),posicao_contratual!$Y198),posicao_contratual!$Y198),posicao_contratual!$Y198)+1)))),"",ROUND(itens_Remanesc!C198*$L$3/INDEX($L$2:$L$6,IFERROR(IF(ISNUMBER(INDEX(aditivos!$O$2:$O$200,MATCH($A198,aditivos!$A$2:$A$200,0))),MIN(INDEX(aditivos!$O$2:$O$200,MATCH($A198,aditivos!$A$2:$A$200,0)),posicao_contratual!$Y198),posicao_contratual!$Y198),posicao_contratual!$Y198)+1),2))))))</f>
        <v/>
      </c>
      <c r="E198" s="79" t="str">
        <f>IF(OR($A198="",posicao_contratual!$Y198=""),"",IF(posicao_contratual!$Y198&gt;2,"",IF(NOT(ISNUMBER(itens_Remanesc!C198)),"",IF(posicao_contratual!$Y198=2,IF(IFERROR(IF(ISNUMBER(INDEX(aditivos!$O$2:$O$200,MATCH($A198,aditivos!$A$2:$A$200,0))),MIN(INDEX(aditivos!$O$2:$O$200,MATCH($A198,aditivos!$A$2:$A$200,0)),posicao_contratual!$Y198),posicao_contratual!$Y198),posicao_contratual!$Y198)=2,itens_Remanesc!C198,IFERROR(ROUND(itens_Remanesc!C198*INDEX($L$2:$L$6,MIN(2+1,COUNT($L$2:$L$6)))/INDEX($L$2:$L$6,MIN(IFERROR(IF(ISNUMBER(INDEX(aditivos!$O$2:$O$200,MATCH($A198,aditivos!$A$2:$A$200,0))),MIN(INDEX(aditivos!$O$2:$O$200,MATCH($A198,aditivos!$A$2:$A$200,0)),posicao_contratual!$Y198),posicao_contratual!$Y198),posicao_contratual!$Y198)+1,COUNT($L$2:$L$6))),2),"")),IF(OR(NOT(ISNUMBER($L$4)),NOT(ISNUMBER(INDEX($L$2:$L$6,IFERROR(IF(ISNUMBER(INDEX(aditivos!$O$2:$O$200,MATCH($A198,aditivos!$A$2:$A$200,0))),MIN(INDEX(aditivos!$O$2:$O$200,MATCH($A198,aditivos!$A$2:$A$200,0)),posicao_contratual!$Y198),posicao_contratual!$Y198),posicao_contratual!$Y198)+1)))),"",ROUND(itens_Remanesc!C198*$L$4/INDEX($L$2:$L$6,IFERROR(IF(ISNUMBER(INDEX(aditivos!$O$2:$O$200,MATCH($A198,aditivos!$A$2:$A$200,0))),MIN(INDEX(aditivos!$O$2:$O$200,MATCH($A198,aditivos!$A$2:$A$200,0)),posicao_contratual!$Y198),posicao_contratual!$Y198),posicao_contratual!$Y198)+1),2))))))</f>
        <v/>
      </c>
      <c r="F198" s="79" t="str">
        <f>IF(OR($A198="",posicao_contratual!$Y198=""),"",IF(posicao_contratual!$Y198&gt;3,"",IF(NOT(ISNUMBER(itens_Remanesc!C198)),"",IF(posicao_contratual!$Y198=3,IF(IFERROR(IF(ISNUMBER(INDEX(aditivos!$O$2:$O$200,MATCH($A198,aditivos!$A$2:$A$200,0))),MIN(INDEX(aditivos!$O$2:$O$200,MATCH($A198,aditivos!$A$2:$A$200,0)),posicao_contratual!$Y198),posicao_contratual!$Y198),posicao_contratual!$Y198)=3,itens_Remanesc!C198,IFERROR(ROUND(itens_Remanesc!C198*INDEX($L$2:$L$6,MIN(3+1,COUNT($L$2:$L$6)))/INDEX($L$2:$L$6,MIN(IFERROR(IF(ISNUMBER(INDEX(aditivos!$O$2:$O$200,MATCH($A198,aditivos!$A$2:$A$200,0))),MIN(INDEX(aditivos!$O$2:$O$200,MATCH($A198,aditivos!$A$2:$A$200,0)),posicao_contratual!$Y198),posicao_contratual!$Y198),posicao_contratual!$Y198)+1,COUNT($L$2:$L$6))),2),"")),IF(OR(NOT(ISNUMBER($L$5)),NOT(ISNUMBER(INDEX($L$2:$L$6,IFERROR(IF(ISNUMBER(INDEX(aditivos!$O$2:$O$200,MATCH($A198,aditivos!$A$2:$A$200,0))),MIN(INDEX(aditivos!$O$2:$O$200,MATCH($A198,aditivos!$A$2:$A$200,0)),posicao_contratual!$Y198),posicao_contratual!$Y198),posicao_contratual!$Y198)+1)))),"",ROUND(itens_Remanesc!C198*$L$5/INDEX($L$2:$L$6,IFERROR(IF(ISNUMBER(INDEX(aditivos!$O$2:$O$200,MATCH($A198,aditivos!$A$2:$A$200,0))),MIN(INDEX(aditivos!$O$2:$O$200,MATCH($A198,aditivos!$A$2:$A$200,0)),posicao_contratual!$Y198),posicao_contratual!$Y198),posicao_contratual!$Y198)+1),2))))))</f>
        <v/>
      </c>
      <c r="G198" s="79" t="str">
        <f>IF(OR($A198="",posicao_contratual!$Y198=""),"",IF(posicao_contratual!$Y198&gt;4,"",IF(NOT(ISNUMBER(itens_Remanesc!C198)),"",IF(posicao_contratual!$Y198=4,IF(IFERROR(IF(ISNUMBER(INDEX(aditivos!$O$2:$O$200,MATCH($A198,aditivos!$A$2:$A$200,0))),MIN(INDEX(aditivos!$O$2:$O$200,MATCH($A198,aditivos!$A$2:$A$200,0)),posicao_contratual!$Y198),posicao_contratual!$Y198),posicao_contratual!$Y198)=4,itens_Remanesc!C198,IFERROR(ROUND(itens_Remanesc!C198*INDEX($L$2:$L$6,MIN(4+1,COUNT($L$2:$L$6)))/INDEX($L$2:$L$6,MIN(IFERROR(IF(ISNUMBER(INDEX(aditivos!$O$2:$O$200,MATCH($A198,aditivos!$A$2:$A$200,0))),MIN(INDEX(aditivos!$O$2:$O$200,MATCH($A198,aditivos!$A$2:$A$200,0)),posicao_contratual!$Y198),posicao_contratual!$Y198),posicao_contratual!$Y198)+1,COUNT($L$2:$L$6))),2),"")),IF(OR(NOT(ISNUMBER($L$6)),NOT(ISNUMBER(INDEX($L$2:$L$6,IFERROR(IF(ISNUMBER(INDEX(aditivos!$O$2:$O$200,MATCH($A198,aditivos!$A$2:$A$200,0))),MIN(INDEX(aditivos!$O$2:$O$200,MATCH($A198,aditivos!$A$2:$A$200,0)),posicao_contratual!$Y198),posicao_contratual!$Y198),posicao_contratual!$Y198)+1)))),"",ROUND(itens_Remanesc!C198*$L$6/INDEX($L$2:$L$6,IFERROR(IF(ISNUMBER(INDEX(aditivos!$O$2:$O$200,MATCH($A198,aditivos!$A$2:$A$200,0))),MIN(INDEX(aditivos!$O$2:$O$200,MATCH($A198,aditivos!$A$2:$A$200,0)),posicao_contratual!$Y198),posicao_contratual!$Y198),posicao_contratual!$Y198)+1),2))))))</f>
        <v/>
      </c>
      <c r="H198" s="116" t="str">
        <f t="shared" si="6"/>
        <v/>
      </c>
      <c r="I198" s="13"/>
      <c r="J198" s="13"/>
      <c r="K198" s="13"/>
      <c r="L198" s="13"/>
      <c r="M198" s="13"/>
      <c r="N198" s="147" t="str">
        <f>IF(A198="","",IF(posicao_contratual!$Y198="","",IF(posicao_contratual!$Y198&gt;0,"",posicao_contratual!E198)))</f>
        <v/>
      </c>
      <c r="O198" s="147" t="str">
        <f>IF(A198="","",IF(posicao_contratual!$Y198="","",IF(posicao_contratual!$Y198&gt;1,"",posicao_contratual!I198)))</f>
        <v/>
      </c>
      <c r="P198" s="147" t="str">
        <f>IF(A198="","",IF(posicao_contratual!$Y198="","",IF(posicao_contratual!$Y198&gt;2,"",posicao_contratual!M198)))</f>
        <v/>
      </c>
      <c r="Q198" s="147" t="str">
        <f>IF(A198="","",IF(posicao_contratual!$Y198="","",IF(posicao_contratual!$Y198&gt;3,"",posicao_contratual!Q198)))</f>
        <v/>
      </c>
      <c r="R198" s="147" t="str">
        <f>IF(A198="","",IF(posicao_contratual!$Y198="","",IF(posicao_contratual!$Y198&gt;4,"",posicao_contratual!U198)))</f>
        <v/>
      </c>
      <c r="S198" s="167" t="str">
        <f>IF(A198="","",posicao_contratual!G198)</f>
        <v/>
      </c>
      <c r="T198" s="167" t="str">
        <f>IF(A198="","",posicao_contratual!K198)</f>
        <v/>
      </c>
      <c r="U198" s="167" t="str">
        <f>IF(A198="","",posicao_contratual!O198)</f>
        <v/>
      </c>
      <c r="V198" s="167" t="str">
        <f>IF(A198="","",posicao_contratual!S198)</f>
        <v/>
      </c>
      <c r="W198" s="167" t="str">
        <f>IF(A198="","",posicao_contratual!W198)</f>
        <v/>
      </c>
    </row>
    <row r="199" spans="1:23" x14ac:dyDescent="0.35">
      <c r="A199" s="86" t="str">
        <f>IF(itens_Remanesc!A199="","",itens_Remanesc!A199)</f>
        <v/>
      </c>
      <c r="B199" s="85" t="str">
        <f>IF(A199="","",IF(posicao_contratual!$Y199="","",IF(posicao_contratual!$Y199&gt;0,"",posicao_contratual!G199)))</f>
        <v/>
      </c>
      <c r="C199" s="79" t="str">
        <f>IF(itens_Remanesc!A199="","",IF(posicao_contratual!$Y199="","",IF(posicao_contratual!$Y199&gt;0,"",itens_Remanesc!C199)))</f>
        <v/>
      </c>
      <c r="D199" s="79" t="str">
        <f>IF(OR($A199="",posicao_contratual!$Y199=""),"",IF(posicao_contratual!$Y199&gt;1,"",IF(NOT(ISNUMBER(itens_Remanesc!C199)),"",IF(posicao_contratual!$Y199=1,IF(IFERROR(IF(ISNUMBER(INDEX(aditivos!$O$2:$O$200,MATCH($A199,aditivos!$A$2:$A$200,0))),MIN(INDEX(aditivos!$O$2:$O$200,MATCH($A199,aditivos!$A$2:$A$200,0)),posicao_contratual!$Y199),posicao_contratual!$Y199),posicao_contratual!$Y199)=1,itens_Remanesc!C199,IFERROR(ROUND(itens_Remanesc!C199*INDEX($L$2:$L$6,MIN(1+1,COUNT($L$2:$L$6)))/INDEX($L$2:$L$6,MIN(IFERROR(IF(ISNUMBER(INDEX(aditivos!$O$2:$O$200,MATCH($A199,aditivos!$A$2:$A$200,0))),MIN(INDEX(aditivos!$O$2:$O$200,MATCH($A199,aditivos!$A$2:$A$200,0)),posicao_contratual!$Y199),posicao_contratual!$Y199),posicao_contratual!$Y199)+1,COUNT($L$2:$L$6))),2),"")),IF(OR(NOT(ISNUMBER($L$3)),NOT(ISNUMBER(INDEX($L$2:$L$6,IFERROR(IF(ISNUMBER(INDEX(aditivos!$O$2:$O$200,MATCH($A199,aditivos!$A$2:$A$200,0))),MIN(INDEX(aditivos!$O$2:$O$200,MATCH($A199,aditivos!$A$2:$A$200,0)),posicao_contratual!$Y199),posicao_contratual!$Y199),posicao_contratual!$Y199)+1)))),"",ROUND(itens_Remanesc!C199*$L$3/INDEX($L$2:$L$6,IFERROR(IF(ISNUMBER(INDEX(aditivos!$O$2:$O$200,MATCH($A199,aditivos!$A$2:$A$200,0))),MIN(INDEX(aditivos!$O$2:$O$200,MATCH($A199,aditivos!$A$2:$A$200,0)),posicao_contratual!$Y199),posicao_contratual!$Y199),posicao_contratual!$Y199)+1),2))))))</f>
        <v/>
      </c>
      <c r="E199" s="79" t="str">
        <f>IF(OR($A199="",posicao_contratual!$Y199=""),"",IF(posicao_contratual!$Y199&gt;2,"",IF(NOT(ISNUMBER(itens_Remanesc!C199)),"",IF(posicao_contratual!$Y199=2,IF(IFERROR(IF(ISNUMBER(INDEX(aditivos!$O$2:$O$200,MATCH($A199,aditivos!$A$2:$A$200,0))),MIN(INDEX(aditivos!$O$2:$O$200,MATCH($A199,aditivos!$A$2:$A$200,0)),posicao_contratual!$Y199),posicao_contratual!$Y199),posicao_contratual!$Y199)=2,itens_Remanesc!C199,IFERROR(ROUND(itens_Remanesc!C199*INDEX($L$2:$L$6,MIN(2+1,COUNT($L$2:$L$6)))/INDEX($L$2:$L$6,MIN(IFERROR(IF(ISNUMBER(INDEX(aditivos!$O$2:$O$200,MATCH($A199,aditivos!$A$2:$A$200,0))),MIN(INDEX(aditivos!$O$2:$O$200,MATCH($A199,aditivos!$A$2:$A$200,0)),posicao_contratual!$Y199),posicao_contratual!$Y199),posicao_contratual!$Y199)+1,COUNT($L$2:$L$6))),2),"")),IF(OR(NOT(ISNUMBER($L$4)),NOT(ISNUMBER(INDEX($L$2:$L$6,IFERROR(IF(ISNUMBER(INDEX(aditivos!$O$2:$O$200,MATCH($A199,aditivos!$A$2:$A$200,0))),MIN(INDEX(aditivos!$O$2:$O$200,MATCH($A199,aditivos!$A$2:$A$200,0)),posicao_contratual!$Y199),posicao_contratual!$Y199),posicao_contratual!$Y199)+1)))),"",ROUND(itens_Remanesc!C199*$L$4/INDEX($L$2:$L$6,IFERROR(IF(ISNUMBER(INDEX(aditivos!$O$2:$O$200,MATCH($A199,aditivos!$A$2:$A$200,0))),MIN(INDEX(aditivos!$O$2:$O$200,MATCH($A199,aditivos!$A$2:$A$200,0)),posicao_contratual!$Y199),posicao_contratual!$Y199),posicao_contratual!$Y199)+1),2))))))</f>
        <v/>
      </c>
      <c r="F199" s="79" t="str">
        <f>IF(OR($A199="",posicao_contratual!$Y199=""),"",IF(posicao_contratual!$Y199&gt;3,"",IF(NOT(ISNUMBER(itens_Remanesc!C199)),"",IF(posicao_contratual!$Y199=3,IF(IFERROR(IF(ISNUMBER(INDEX(aditivos!$O$2:$O$200,MATCH($A199,aditivos!$A$2:$A$200,0))),MIN(INDEX(aditivos!$O$2:$O$200,MATCH($A199,aditivos!$A$2:$A$200,0)),posicao_contratual!$Y199),posicao_contratual!$Y199),posicao_contratual!$Y199)=3,itens_Remanesc!C199,IFERROR(ROUND(itens_Remanesc!C199*INDEX($L$2:$L$6,MIN(3+1,COUNT($L$2:$L$6)))/INDEX($L$2:$L$6,MIN(IFERROR(IF(ISNUMBER(INDEX(aditivos!$O$2:$O$200,MATCH($A199,aditivos!$A$2:$A$200,0))),MIN(INDEX(aditivos!$O$2:$O$200,MATCH($A199,aditivos!$A$2:$A$200,0)),posicao_contratual!$Y199),posicao_contratual!$Y199),posicao_contratual!$Y199)+1,COUNT($L$2:$L$6))),2),"")),IF(OR(NOT(ISNUMBER($L$5)),NOT(ISNUMBER(INDEX($L$2:$L$6,IFERROR(IF(ISNUMBER(INDEX(aditivos!$O$2:$O$200,MATCH($A199,aditivos!$A$2:$A$200,0))),MIN(INDEX(aditivos!$O$2:$O$200,MATCH($A199,aditivos!$A$2:$A$200,0)),posicao_contratual!$Y199),posicao_contratual!$Y199),posicao_contratual!$Y199)+1)))),"",ROUND(itens_Remanesc!C199*$L$5/INDEX($L$2:$L$6,IFERROR(IF(ISNUMBER(INDEX(aditivos!$O$2:$O$200,MATCH($A199,aditivos!$A$2:$A$200,0))),MIN(INDEX(aditivos!$O$2:$O$200,MATCH($A199,aditivos!$A$2:$A$200,0)),posicao_contratual!$Y199),posicao_contratual!$Y199),posicao_contratual!$Y199)+1),2))))))</f>
        <v/>
      </c>
      <c r="G199" s="79" t="str">
        <f>IF(OR($A199="",posicao_contratual!$Y199=""),"",IF(posicao_contratual!$Y199&gt;4,"",IF(NOT(ISNUMBER(itens_Remanesc!C199)),"",IF(posicao_contratual!$Y199=4,IF(IFERROR(IF(ISNUMBER(INDEX(aditivos!$O$2:$O$200,MATCH($A199,aditivos!$A$2:$A$200,0))),MIN(INDEX(aditivos!$O$2:$O$200,MATCH($A199,aditivos!$A$2:$A$200,0)),posicao_contratual!$Y199),posicao_contratual!$Y199),posicao_contratual!$Y199)=4,itens_Remanesc!C199,IFERROR(ROUND(itens_Remanesc!C199*INDEX($L$2:$L$6,MIN(4+1,COUNT($L$2:$L$6)))/INDEX($L$2:$L$6,MIN(IFERROR(IF(ISNUMBER(INDEX(aditivos!$O$2:$O$200,MATCH($A199,aditivos!$A$2:$A$200,0))),MIN(INDEX(aditivos!$O$2:$O$200,MATCH($A199,aditivos!$A$2:$A$200,0)),posicao_contratual!$Y199),posicao_contratual!$Y199),posicao_contratual!$Y199)+1,COUNT($L$2:$L$6))),2),"")),IF(OR(NOT(ISNUMBER($L$6)),NOT(ISNUMBER(INDEX($L$2:$L$6,IFERROR(IF(ISNUMBER(INDEX(aditivos!$O$2:$O$200,MATCH($A199,aditivos!$A$2:$A$200,0))),MIN(INDEX(aditivos!$O$2:$O$200,MATCH($A199,aditivos!$A$2:$A$200,0)),posicao_contratual!$Y199),posicao_contratual!$Y199),posicao_contratual!$Y199)+1)))),"",ROUND(itens_Remanesc!C199*$L$6/INDEX($L$2:$L$6,IFERROR(IF(ISNUMBER(INDEX(aditivos!$O$2:$O$200,MATCH($A199,aditivos!$A$2:$A$200,0))),MIN(INDEX(aditivos!$O$2:$O$200,MATCH($A199,aditivos!$A$2:$A$200,0)),posicao_contratual!$Y199),posicao_contratual!$Y199),posicao_contratual!$Y199)+1),2))))))</f>
        <v/>
      </c>
      <c r="H199" s="116" t="str">
        <f t="shared" si="6"/>
        <v/>
      </c>
      <c r="I199" s="13"/>
      <c r="J199" s="13"/>
      <c r="K199" s="13"/>
      <c r="L199" s="13"/>
      <c r="M199" s="13"/>
      <c r="N199" s="147" t="str">
        <f>IF(A199="","",IF(posicao_contratual!$Y199="","",IF(posicao_contratual!$Y199&gt;0,"",posicao_contratual!E199)))</f>
        <v/>
      </c>
      <c r="O199" s="147" t="str">
        <f>IF(A199="","",IF(posicao_contratual!$Y199="","",IF(posicao_contratual!$Y199&gt;1,"",posicao_contratual!I199)))</f>
        <v/>
      </c>
      <c r="P199" s="147" t="str">
        <f>IF(A199="","",IF(posicao_contratual!$Y199="","",IF(posicao_contratual!$Y199&gt;2,"",posicao_contratual!M199)))</f>
        <v/>
      </c>
      <c r="Q199" s="147" t="str">
        <f>IF(A199="","",IF(posicao_contratual!$Y199="","",IF(posicao_contratual!$Y199&gt;3,"",posicao_contratual!Q199)))</f>
        <v/>
      </c>
      <c r="R199" s="147" t="str">
        <f>IF(A199="","",IF(posicao_contratual!$Y199="","",IF(posicao_contratual!$Y199&gt;4,"",posicao_contratual!U199)))</f>
        <v/>
      </c>
      <c r="S199" s="167" t="str">
        <f>IF(A199="","",posicao_contratual!G199)</f>
        <v/>
      </c>
      <c r="T199" s="167" t="str">
        <f>IF(A199="","",posicao_contratual!K199)</f>
        <v/>
      </c>
      <c r="U199" s="167" t="str">
        <f>IF(A199="","",posicao_contratual!O199)</f>
        <v/>
      </c>
      <c r="V199" s="167" t="str">
        <f>IF(A199="","",posicao_contratual!S199)</f>
        <v/>
      </c>
      <c r="W199" s="167" t="str">
        <f>IF(A199="","",posicao_contratual!W199)</f>
        <v/>
      </c>
    </row>
    <row r="200" spans="1:23" x14ac:dyDescent="0.35">
      <c r="A200" s="86" t="str">
        <f>IF(itens_Remanesc!A200="","",itens_Remanesc!A200)</f>
        <v/>
      </c>
      <c r="B200" s="85" t="str">
        <f>IF(A200="","",IF(posicao_contratual!$Y200="","",IF(posicao_contratual!$Y200&gt;0,"",posicao_contratual!G200)))</f>
        <v/>
      </c>
      <c r="C200" s="79" t="str">
        <f>IF(itens_Remanesc!A200="","",IF(posicao_contratual!$Y200="","",IF(posicao_contratual!$Y200&gt;0,"",itens_Remanesc!C200)))</f>
        <v/>
      </c>
      <c r="D200" s="79" t="str">
        <f>IF(OR($A200="",posicao_contratual!$Y200=""),"",IF(posicao_contratual!$Y200&gt;1,"",IF(NOT(ISNUMBER(itens_Remanesc!C200)),"",IF(posicao_contratual!$Y200=1,IF(IFERROR(IF(ISNUMBER(INDEX(aditivos!$O$2:$O$200,MATCH($A200,aditivos!$A$2:$A$200,0))),MIN(INDEX(aditivos!$O$2:$O$200,MATCH($A200,aditivos!$A$2:$A$200,0)),posicao_contratual!$Y200),posicao_contratual!$Y200),posicao_contratual!$Y200)=1,itens_Remanesc!C200,IFERROR(ROUND(itens_Remanesc!C200*INDEX($L$2:$L$6,MIN(1+1,COUNT($L$2:$L$6)))/INDEX($L$2:$L$6,MIN(IFERROR(IF(ISNUMBER(INDEX(aditivos!$O$2:$O$200,MATCH($A200,aditivos!$A$2:$A$200,0))),MIN(INDEX(aditivos!$O$2:$O$200,MATCH($A200,aditivos!$A$2:$A$200,0)),posicao_contratual!$Y200),posicao_contratual!$Y200),posicao_contratual!$Y200)+1,COUNT($L$2:$L$6))),2),"")),IF(OR(NOT(ISNUMBER($L$3)),NOT(ISNUMBER(INDEX($L$2:$L$6,IFERROR(IF(ISNUMBER(INDEX(aditivos!$O$2:$O$200,MATCH($A200,aditivos!$A$2:$A$200,0))),MIN(INDEX(aditivos!$O$2:$O$200,MATCH($A200,aditivos!$A$2:$A$200,0)),posicao_contratual!$Y200),posicao_contratual!$Y200),posicao_contratual!$Y200)+1)))),"",ROUND(itens_Remanesc!C200*$L$3/INDEX($L$2:$L$6,IFERROR(IF(ISNUMBER(INDEX(aditivos!$O$2:$O$200,MATCH($A200,aditivos!$A$2:$A$200,0))),MIN(INDEX(aditivos!$O$2:$O$200,MATCH($A200,aditivos!$A$2:$A$200,0)),posicao_contratual!$Y200),posicao_contratual!$Y200),posicao_contratual!$Y200)+1),2))))))</f>
        <v/>
      </c>
      <c r="E200" s="79" t="str">
        <f>IF(OR($A200="",posicao_contratual!$Y200=""),"",IF(posicao_contratual!$Y200&gt;2,"",IF(NOT(ISNUMBER(itens_Remanesc!C200)),"",IF(posicao_contratual!$Y200=2,IF(IFERROR(IF(ISNUMBER(INDEX(aditivos!$O$2:$O$200,MATCH($A200,aditivos!$A$2:$A$200,0))),MIN(INDEX(aditivos!$O$2:$O$200,MATCH($A200,aditivos!$A$2:$A$200,0)),posicao_contratual!$Y200),posicao_contratual!$Y200),posicao_contratual!$Y200)=2,itens_Remanesc!C200,IFERROR(ROUND(itens_Remanesc!C200*INDEX($L$2:$L$6,MIN(2+1,COUNT($L$2:$L$6)))/INDEX($L$2:$L$6,MIN(IFERROR(IF(ISNUMBER(INDEX(aditivos!$O$2:$O$200,MATCH($A200,aditivos!$A$2:$A$200,0))),MIN(INDEX(aditivos!$O$2:$O$200,MATCH($A200,aditivos!$A$2:$A$200,0)),posicao_contratual!$Y200),posicao_contratual!$Y200),posicao_contratual!$Y200)+1,COUNT($L$2:$L$6))),2),"")),IF(OR(NOT(ISNUMBER($L$4)),NOT(ISNUMBER(INDEX($L$2:$L$6,IFERROR(IF(ISNUMBER(INDEX(aditivos!$O$2:$O$200,MATCH($A200,aditivos!$A$2:$A$200,0))),MIN(INDEX(aditivos!$O$2:$O$200,MATCH($A200,aditivos!$A$2:$A$200,0)),posicao_contratual!$Y200),posicao_contratual!$Y200),posicao_contratual!$Y200)+1)))),"",ROUND(itens_Remanesc!C200*$L$4/INDEX($L$2:$L$6,IFERROR(IF(ISNUMBER(INDEX(aditivos!$O$2:$O$200,MATCH($A200,aditivos!$A$2:$A$200,0))),MIN(INDEX(aditivos!$O$2:$O$200,MATCH($A200,aditivos!$A$2:$A$200,0)),posicao_contratual!$Y200),posicao_contratual!$Y200),posicao_contratual!$Y200)+1),2))))))</f>
        <v/>
      </c>
      <c r="F200" s="79" t="str">
        <f>IF(OR($A200="",posicao_contratual!$Y200=""),"",IF(posicao_contratual!$Y200&gt;3,"",IF(NOT(ISNUMBER(itens_Remanesc!C200)),"",IF(posicao_contratual!$Y200=3,IF(IFERROR(IF(ISNUMBER(INDEX(aditivos!$O$2:$O$200,MATCH($A200,aditivos!$A$2:$A$200,0))),MIN(INDEX(aditivos!$O$2:$O$200,MATCH($A200,aditivos!$A$2:$A$200,0)),posicao_contratual!$Y200),posicao_contratual!$Y200),posicao_contratual!$Y200)=3,itens_Remanesc!C200,IFERROR(ROUND(itens_Remanesc!C200*INDEX($L$2:$L$6,MIN(3+1,COUNT($L$2:$L$6)))/INDEX($L$2:$L$6,MIN(IFERROR(IF(ISNUMBER(INDEX(aditivos!$O$2:$O$200,MATCH($A200,aditivos!$A$2:$A$200,0))),MIN(INDEX(aditivos!$O$2:$O$200,MATCH($A200,aditivos!$A$2:$A$200,0)),posicao_contratual!$Y200),posicao_contratual!$Y200),posicao_contratual!$Y200)+1,COUNT($L$2:$L$6))),2),"")),IF(OR(NOT(ISNUMBER($L$5)),NOT(ISNUMBER(INDEX($L$2:$L$6,IFERROR(IF(ISNUMBER(INDEX(aditivos!$O$2:$O$200,MATCH($A200,aditivos!$A$2:$A$200,0))),MIN(INDEX(aditivos!$O$2:$O$200,MATCH($A200,aditivos!$A$2:$A$200,0)),posicao_contratual!$Y200),posicao_contratual!$Y200),posicao_contratual!$Y200)+1)))),"",ROUND(itens_Remanesc!C200*$L$5/INDEX($L$2:$L$6,IFERROR(IF(ISNUMBER(INDEX(aditivos!$O$2:$O$200,MATCH($A200,aditivos!$A$2:$A$200,0))),MIN(INDEX(aditivos!$O$2:$O$200,MATCH($A200,aditivos!$A$2:$A$200,0)),posicao_contratual!$Y200),posicao_contratual!$Y200),posicao_contratual!$Y200)+1),2))))))</f>
        <v/>
      </c>
      <c r="G200" s="79" t="str">
        <f>IF(OR($A200="",posicao_contratual!$Y200=""),"",IF(posicao_contratual!$Y200&gt;4,"",IF(NOT(ISNUMBER(itens_Remanesc!C200)),"",IF(posicao_contratual!$Y200=4,IF(IFERROR(IF(ISNUMBER(INDEX(aditivos!$O$2:$O$200,MATCH($A200,aditivos!$A$2:$A$200,0))),MIN(INDEX(aditivos!$O$2:$O$200,MATCH($A200,aditivos!$A$2:$A$200,0)),posicao_contratual!$Y200),posicao_contratual!$Y200),posicao_contratual!$Y200)=4,itens_Remanesc!C200,IFERROR(ROUND(itens_Remanesc!C200*INDEX($L$2:$L$6,MIN(4+1,COUNT($L$2:$L$6)))/INDEX($L$2:$L$6,MIN(IFERROR(IF(ISNUMBER(INDEX(aditivos!$O$2:$O$200,MATCH($A200,aditivos!$A$2:$A$200,0))),MIN(INDEX(aditivos!$O$2:$O$200,MATCH($A200,aditivos!$A$2:$A$200,0)),posicao_contratual!$Y200),posicao_contratual!$Y200),posicao_contratual!$Y200)+1,COUNT($L$2:$L$6))),2),"")),IF(OR(NOT(ISNUMBER($L$6)),NOT(ISNUMBER(INDEX($L$2:$L$6,IFERROR(IF(ISNUMBER(INDEX(aditivos!$O$2:$O$200,MATCH($A200,aditivos!$A$2:$A$200,0))),MIN(INDEX(aditivos!$O$2:$O$200,MATCH($A200,aditivos!$A$2:$A$200,0)),posicao_contratual!$Y200),posicao_contratual!$Y200),posicao_contratual!$Y200)+1)))),"",ROUND(itens_Remanesc!C200*$L$6/INDEX($L$2:$L$6,IFERROR(IF(ISNUMBER(INDEX(aditivos!$O$2:$O$200,MATCH($A200,aditivos!$A$2:$A$200,0))),MIN(INDEX(aditivos!$O$2:$O$200,MATCH($A200,aditivos!$A$2:$A$200,0)),posicao_contratual!$Y200),posicao_contratual!$Y200),posicao_contratual!$Y200)+1),2))))))</f>
        <v/>
      </c>
      <c r="H200" s="116" t="str">
        <f t="shared" si="6"/>
        <v/>
      </c>
      <c r="I200" s="13"/>
      <c r="J200" s="13"/>
      <c r="K200" s="13"/>
      <c r="L200" s="13"/>
      <c r="M200" s="13"/>
      <c r="N200" s="147" t="str">
        <f>IF(A200="","",IF(posicao_contratual!$Y200="","",IF(posicao_contratual!$Y200&gt;0,"",posicao_contratual!E200)))</f>
        <v/>
      </c>
      <c r="O200" s="147" t="str">
        <f>IF(A200="","",IF(posicao_contratual!$Y200="","",IF(posicao_contratual!$Y200&gt;1,"",posicao_contratual!I200)))</f>
        <v/>
      </c>
      <c r="P200" s="147" t="str">
        <f>IF(A200="","",IF(posicao_contratual!$Y200="","",IF(posicao_contratual!$Y200&gt;2,"",posicao_contratual!M200)))</f>
        <v/>
      </c>
      <c r="Q200" s="147" t="str">
        <f>IF(A200="","",IF(posicao_contratual!$Y200="","",IF(posicao_contratual!$Y200&gt;3,"",posicao_contratual!Q200)))</f>
        <v/>
      </c>
      <c r="R200" s="147" t="str">
        <f>IF(A200="","",IF(posicao_contratual!$Y200="","",IF(posicao_contratual!$Y200&gt;4,"",posicao_contratual!U200)))</f>
        <v/>
      </c>
      <c r="S200" s="167" t="str">
        <f>IF(A200="","",posicao_contratual!G200)</f>
        <v/>
      </c>
      <c r="T200" s="167" t="str">
        <f>IF(A200="","",posicao_contratual!K200)</f>
        <v/>
      </c>
      <c r="U200" s="167" t="str">
        <f>IF(A200="","",posicao_contratual!O200)</f>
        <v/>
      </c>
      <c r="V200" s="167" t="str">
        <f>IF(A200="","",posicao_contratual!S200)</f>
        <v/>
      </c>
      <c r="W200" s="167" t="str">
        <f>IF(A200="","",posicao_contratual!W200)</f>
        <v/>
      </c>
    </row>
    <row r="201" spans="1:23" x14ac:dyDescent="0.35">
      <c r="A201" s="13"/>
      <c r="B201" s="30"/>
      <c r="C201" s="31"/>
      <c r="D201" s="31"/>
      <c r="E201" s="31"/>
      <c r="F201" s="31"/>
      <c r="G201" s="31"/>
      <c r="H201" s="13"/>
      <c r="I201" s="13"/>
      <c r="J201" s="13"/>
      <c r="K201" s="13"/>
      <c r="L201" s="13"/>
      <c r="M201" s="13"/>
      <c r="N201" s="13"/>
      <c r="O201" s="13"/>
      <c r="S201" s="201"/>
      <c r="T201" s="201"/>
      <c r="U201" s="201"/>
      <c r="V201" s="201"/>
      <c r="W201" s="201"/>
    </row>
    <row r="202" spans="1:23" x14ac:dyDescent="0.35">
      <c r="A202" s="13"/>
      <c r="B202" s="30"/>
      <c r="C202" s="31"/>
      <c r="D202" s="31"/>
      <c r="E202" s="31"/>
      <c r="F202" s="31"/>
      <c r="G202" s="31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0"/>
      <c r="C203" s="31"/>
      <c r="D203" s="31"/>
      <c r="E203" s="31"/>
      <c r="F203" s="31"/>
      <c r="G203" s="31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0"/>
      <c r="C204" s="31"/>
      <c r="D204" s="31"/>
      <c r="E204" s="31"/>
      <c r="F204" s="31"/>
      <c r="G204" s="31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0"/>
      <c r="C205" s="31"/>
      <c r="D205" s="31"/>
      <c r="E205" s="31"/>
      <c r="F205" s="31"/>
      <c r="G205" s="31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0"/>
      <c r="C206" s="31"/>
      <c r="D206" s="31"/>
      <c r="E206" s="31"/>
      <c r="F206" s="31"/>
      <c r="G206" s="31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0"/>
      <c r="C207" s="31"/>
      <c r="D207" s="31"/>
      <c r="E207" s="31"/>
      <c r="F207" s="31"/>
      <c r="G207" s="31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0"/>
      <c r="C208" s="31"/>
      <c r="D208" s="31"/>
      <c r="E208" s="31"/>
      <c r="F208" s="31"/>
      <c r="G208" s="31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0"/>
      <c r="C209" s="31"/>
      <c r="D209" s="31"/>
      <c r="E209" s="31"/>
      <c r="F209" s="31"/>
      <c r="G209" s="31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0"/>
      <c r="C210" s="31"/>
      <c r="D210" s="31"/>
      <c r="E210" s="31"/>
      <c r="F210" s="31"/>
      <c r="G210" s="31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243</v>
      </c>
      <c r="B1" s="5"/>
      <c r="C1" s="5"/>
    </row>
    <row r="2" spans="1:3" x14ac:dyDescent="0.35">
      <c r="A2" s="6" t="s">
        <v>244</v>
      </c>
      <c r="B2" s="230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245</v>
      </c>
      <c r="B3" s="5"/>
      <c r="C3" s="5"/>
    </row>
    <row r="4" spans="1:3" x14ac:dyDescent="0.35">
      <c r="A4" s="6" t="s">
        <v>246</v>
      </c>
      <c r="B4" s="306">
        <f ca="1">IF(CONTROLE!$B$14="","",CONTROLE!$B$14)</f>
        <v>46304.687753703707</v>
      </c>
    </row>
    <row r="5" spans="1:3" x14ac:dyDescent="0.35">
      <c r="A5" s="6" t="s">
        <v>247</v>
      </c>
      <c r="B5" s="230" t="str">
        <f>IF(CONTROLE!$B$2="","",CONTROLE!$B$2)</f>
        <v/>
      </c>
    </row>
    <row r="6" spans="1:3" x14ac:dyDescent="0.35">
      <c r="A6" s="6" t="s">
        <v>248</v>
      </c>
      <c r="B6" s="191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249</v>
      </c>
      <c r="B7" s="191" t="str">
        <f ca="1">posicao_referencia!$I$6</f>
        <v/>
      </c>
    </row>
    <row r="8" spans="1:3" ht="43.5" customHeight="1" x14ac:dyDescent="0.35">
      <c r="A8" s="6" t="s">
        <v>250</v>
      </c>
      <c r="B8" s="191" t="str">
        <f ca="1">IF(ISERROR(INDIRECT("CICLO_EM_EXECUCAO!A9")),"",IF(INDIRECT("CICLO_EM_EXECUCAO!A9")="","",INDIRECT("CICLO_EM_EXECUCAO!D5")))</f>
        <v/>
      </c>
      <c r="C8" s="313" t="s">
        <v>251</v>
      </c>
    </row>
    <row r="10" spans="1:3" x14ac:dyDescent="0.35">
      <c r="A10" s="5" t="s">
        <v>252</v>
      </c>
      <c r="B10" s="5"/>
      <c r="C10" s="5"/>
    </row>
    <row r="11" spans="1:3" x14ac:dyDescent="0.35">
      <c r="A11" s="6" t="s">
        <v>253</v>
      </c>
      <c r="B11" s="191" t="str">
        <f ca="1">posicao_referencia!$I$5</f>
        <v/>
      </c>
    </row>
    <row r="12" spans="1:3" x14ac:dyDescent="0.35">
      <c r="A12" s="6" t="s">
        <v>254</v>
      </c>
      <c r="B12" s="33" t="str">
        <f>IFERROR(LOOKUP(2,1/(ISNUMBER(financeiro!$A$2:$A$200)*ISNUMBER(financeiro!$C$2:$C$200)),financeiro!$A$2:$A$200),"")</f>
        <v/>
      </c>
    </row>
    <row r="13" spans="1:3" x14ac:dyDescent="0.35">
      <c r="A13" s="6" t="s">
        <v>255</v>
      </c>
      <c r="B13" s="307"/>
    </row>
    <row r="14" spans="1:3" ht="43.5" customHeight="1" x14ac:dyDescent="0.35">
      <c r="A14" s="6" t="s">
        <v>256</v>
      </c>
      <c r="B14" s="191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13" t="s">
        <v>257</v>
      </c>
    </row>
    <row r="15" spans="1:3" x14ac:dyDescent="0.35">
      <c r="A15" s="6" t="s">
        <v>258</v>
      </c>
      <c r="B15" s="307"/>
    </row>
    <row r="16" spans="1:3" x14ac:dyDescent="0.35">
      <c r="A16" s="6" t="s">
        <v>259</v>
      </c>
      <c r="B16" s="192" t="str">
        <f ca="1">IF(MAX($B$11,$B$13,$B$15)=0,"",MAX($B$11,$B$13,$B$15)+1)</f>
        <v/>
      </c>
    </row>
    <row r="17" spans="1:3" ht="29" customHeight="1" x14ac:dyDescent="0.35">
      <c r="A17" s="6" t="s">
        <v>260</v>
      </c>
      <c r="B17" s="230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13" t="s">
        <v>261</v>
      </c>
    </row>
    <row r="18" spans="1:3" x14ac:dyDescent="0.35">
      <c r="A18" s="5" t="s">
        <v>262</v>
      </c>
      <c r="B18" s="5"/>
      <c r="C18" s="5"/>
    </row>
    <row r="19" spans="1:3" x14ac:dyDescent="0.35">
      <c r="A19" s="6" t="s">
        <v>263</v>
      </c>
      <c r="B19" s="230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264</v>
      </c>
      <c r="B20" s="230" t="str">
        <f>IF($B$12&lt;&gt;"","Financeiro",IF($B$14&lt;&gt;"","PC",""))</f>
        <v/>
      </c>
    </row>
    <row r="21" spans="1:3" x14ac:dyDescent="0.35">
      <c r="A21" s="6" t="s">
        <v>265</v>
      </c>
      <c r="B21" s="191" t="str">
        <f ca="1">posicao_referencia!$I$5</f>
        <v/>
      </c>
    </row>
    <row r="22" spans="1:3" x14ac:dyDescent="0.35">
      <c r="A22" s="6" t="s">
        <v>266</v>
      </c>
      <c r="B22" s="230" t="str">
        <f ca="1">posicao_referencia!$I$8</f>
        <v>POSICAO DE REFERENCIA INDISPONIVEL</v>
      </c>
    </row>
    <row r="23" spans="1:3" x14ac:dyDescent="0.35">
      <c r="A23" s="6" t="s">
        <v>267</v>
      </c>
      <c r="B23" s="308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517" t="s">
        <v>268</v>
      </c>
      <c r="B25" s="518"/>
      <c r="C25" s="519"/>
    </row>
    <row r="26" spans="1:3" x14ac:dyDescent="0.35">
      <c r="A26" s="309" t="s">
        <v>269</v>
      </c>
      <c r="B26" s="524" t="s">
        <v>270</v>
      </c>
      <c r="C26" s="525"/>
    </row>
    <row r="27" spans="1:3" x14ac:dyDescent="0.35">
      <c r="A27" s="310" t="s">
        <v>271</v>
      </c>
      <c r="B27" s="526" t="s">
        <v>272</v>
      </c>
      <c r="C27" s="523"/>
    </row>
    <row r="28" spans="1:3" x14ac:dyDescent="0.35">
      <c r="A28" s="311" t="s">
        <v>273</v>
      </c>
      <c r="B28" s="522" t="s">
        <v>274</v>
      </c>
      <c r="C28" s="523"/>
    </row>
    <row r="29" spans="1:3" x14ac:dyDescent="0.35">
      <c r="A29" s="312" t="s">
        <v>275</v>
      </c>
      <c r="B29" s="520" t="s">
        <v>276</v>
      </c>
      <c r="C29" s="521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G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3" ht="28" customHeight="1" x14ac:dyDescent="0.35">
      <c r="A1" s="535" t="s">
        <v>277</v>
      </c>
      <c r="B1" s="510"/>
      <c r="C1" s="510"/>
      <c r="D1" s="510"/>
      <c r="E1" s="510"/>
      <c r="F1" s="510"/>
      <c r="G1" s="510"/>
      <c r="H1" s="510"/>
      <c r="I1" s="510"/>
      <c r="J1" s="510"/>
      <c r="K1" s="57"/>
      <c r="L1" s="57"/>
      <c r="M1" s="57"/>
      <c r="N1" s="57"/>
      <c r="O1" s="57"/>
      <c r="P1" s="57"/>
      <c r="Q1" s="57"/>
      <c r="X1" t="s">
        <v>278</v>
      </c>
      <c r="Y1" t="s">
        <v>279</v>
      </c>
      <c r="AB1" t="s">
        <v>280</v>
      </c>
      <c r="AF1" t="s">
        <v>623</v>
      </c>
    </row>
    <row r="2" spans="1:33" ht="34" customHeight="1" x14ac:dyDescent="0.35">
      <c r="A2" s="540" t="s">
        <v>281</v>
      </c>
      <c r="B2" s="510"/>
      <c r="C2" s="510"/>
      <c r="D2" s="510"/>
      <c r="E2" s="510"/>
      <c r="F2" s="510"/>
      <c r="G2" s="510"/>
      <c r="H2" s="510"/>
      <c r="I2" s="510"/>
      <c r="J2" s="510"/>
      <c r="K2" s="57"/>
      <c r="L2" s="57"/>
      <c r="M2" s="57"/>
      <c r="N2" s="57"/>
      <c r="O2" s="57"/>
      <c r="P2" s="57"/>
      <c r="Q2" s="57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  <c r="AF2" t="s">
        <v>624</v>
      </c>
      <c r="AG2" s="389" t="s">
        <v>625</v>
      </c>
    </row>
    <row r="3" spans="1:33" x14ac:dyDescent="0.35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  <c r="AF3" t="s">
        <v>626</v>
      </c>
      <c r="AG3" s="389" t="s">
        <v>627</v>
      </c>
    </row>
    <row r="4" spans="1:33" ht="24" customHeight="1" x14ac:dyDescent="0.35">
      <c r="A4" s="117" t="s">
        <v>282</v>
      </c>
      <c r="B4" s="185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17" t="s">
        <v>283</v>
      </c>
      <c r="D4" s="118">
        <v>5.0000000000000001E-3</v>
      </c>
      <c r="E4" s="117" t="s">
        <v>284</v>
      </c>
      <c r="F4" s="119" t="str">
        <f>UPPER(CONTROLE!B2)</f>
        <v/>
      </c>
      <c r="G4" s="117" t="s">
        <v>285</v>
      </c>
      <c r="H4" s="119" t="str">
        <f>IF($B$4="Itens","Itens",IF($B$4="PCs","PCs","Informado"))</f>
        <v>Informado</v>
      </c>
      <c r="I4" s="117" t="s">
        <v>286</v>
      </c>
      <c r="J4" s="119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57"/>
      <c r="L4" s="57"/>
      <c r="M4" s="57"/>
      <c r="N4" s="57"/>
      <c r="O4" s="57"/>
      <c r="P4" s="57"/>
      <c r="Q4" s="57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  <c r="AF4" t="s">
        <v>628</v>
      </c>
      <c r="AG4" s="389" t="s">
        <v>629</v>
      </c>
    </row>
    <row r="5" spans="1:33" ht="24" customHeight="1" x14ac:dyDescent="0.35">
      <c r="A5" s="117" t="s">
        <v>287</v>
      </c>
      <c r="B5" s="60" t="str">
        <f>IF(AND(RESULTADOS_DETALHE!$G$43="Sim",RESULTADOS_DETALHE!$C$43&lt;&gt;""),RESULTADOS_DETALHE!$C$43,"")</f>
        <v/>
      </c>
      <c r="C5" s="117" t="s">
        <v>288</v>
      </c>
      <c r="D5" s="529" t="str">
        <f>IF(AND(RESULTADOS_DETALHE!$G$43="Sim",RESULTADOS_DETALHE!$D$43&lt;&gt;""),RESULTADOS_DETALHE!$D$43,"")</f>
        <v/>
      </c>
      <c r="E5" s="530"/>
      <c r="F5" s="530"/>
      <c r="G5" s="530"/>
      <c r="H5" s="530"/>
      <c r="I5" s="530"/>
      <c r="J5" s="531"/>
      <c r="K5" s="57"/>
      <c r="L5" s="57"/>
      <c r="M5" s="57"/>
      <c r="N5" s="57"/>
      <c r="O5" s="57"/>
      <c r="P5" s="57"/>
      <c r="Q5" s="57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  <c r="AF5" t="s">
        <v>630</v>
      </c>
      <c r="AG5" s="389" t="s">
        <v>631</v>
      </c>
    </row>
    <row r="6" spans="1:33" ht="34" customHeight="1" x14ac:dyDescent="0.35">
      <c r="A6" s="533" t="s">
        <v>289</v>
      </c>
      <c r="B6" s="510"/>
      <c r="C6" s="510"/>
      <c r="D6" s="510"/>
      <c r="E6" s="510"/>
      <c r="F6" s="510"/>
      <c r="G6" s="510"/>
      <c r="H6" s="510"/>
      <c r="I6" s="510"/>
      <c r="J6" s="510"/>
      <c r="K6" s="57"/>
      <c r="L6" s="57"/>
      <c r="M6" s="57"/>
      <c r="N6" s="57"/>
      <c r="O6" s="57"/>
      <c r="P6" s="57"/>
      <c r="Q6" s="57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  <c r="AF6" t="s">
        <v>632</v>
      </c>
      <c r="AG6" s="389" t="s">
        <v>633</v>
      </c>
    </row>
    <row r="7" spans="1:33" x14ac:dyDescent="0.35">
      <c r="A7" s="57"/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  <c r="AF7" t="s">
        <v>634</v>
      </c>
      <c r="AG7" s="389" t="s">
        <v>635</v>
      </c>
    </row>
    <row r="8" spans="1:33" ht="24" customHeight="1" x14ac:dyDescent="0.35">
      <c r="A8" s="532" t="s">
        <v>290</v>
      </c>
      <c r="B8" s="510"/>
      <c r="C8" s="510"/>
      <c r="D8" s="510"/>
      <c r="E8" s="510"/>
      <c r="F8" s="510"/>
      <c r="G8" s="510"/>
      <c r="H8" s="510"/>
      <c r="I8" s="510"/>
      <c r="J8" s="510"/>
      <c r="K8" s="57"/>
      <c r="L8" s="57"/>
      <c r="M8" s="57"/>
      <c r="N8" s="57"/>
      <c r="O8" s="57"/>
      <c r="P8" s="57"/>
      <c r="Q8" s="57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  <c r="AF8" t="s">
        <v>636</v>
      </c>
      <c r="AG8" s="389" t="s">
        <v>637</v>
      </c>
    </row>
    <row r="9" spans="1:33" x14ac:dyDescent="0.35">
      <c r="A9" s="120" t="s">
        <v>291</v>
      </c>
      <c r="B9" s="120" t="s">
        <v>292</v>
      </c>
      <c r="C9" s="120" t="s">
        <v>293</v>
      </c>
      <c r="D9" s="120" t="s">
        <v>294</v>
      </c>
      <c r="E9" s="120" t="s">
        <v>295</v>
      </c>
      <c r="F9" s="120" t="s">
        <v>296</v>
      </c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  <c r="AF9" t="s">
        <v>638</v>
      </c>
      <c r="AG9" s="389" t="s">
        <v>639</v>
      </c>
    </row>
    <row r="10" spans="1:33" x14ac:dyDescent="0.35">
      <c r="A10" s="121" t="s">
        <v>21</v>
      </c>
      <c r="B10" s="122" t="str">
        <f>IF(COUNTIFS(financeiro!$B$2:$B$73,"c0",financeiro!$C$2:$C$73,"&gt;0",financeiro!$G$2:$G$73,"Sim")=0,"",ROUND(SUMIFS(financeiro!$F$2:$F$73,financeiro!$B$2:$B$73,"c0",financeiro!$G$2:$G$73,"Sim"),2))</f>
        <v/>
      </c>
      <c r="C10" s="122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2" t="str">
        <f>IF(COUNTIF(itens_Consumidos!$AG$2:$AG$6,"REVISAR*")&gt;0,"",IF(COUNTIFS(itens_Consumidos!$E$2:$E$200,"&gt;0")=0,"",0))</f>
        <v/>
      </c>
      <c r="E10" s="122" t="str">
        <f t="shared" ref="E10:E15" si="0">IF($B$4="Financeiro",B10,IF($B$4="PCs",C10,D10))</f>
        <v/>
      </c>
      <c r="F10" s="123" t="str">
        <f>IF(COUNT(B10:D10)=0,"SEM BASE",IF(E10="","FONTE OFICIAL AUSENTE","CONFERIR"))</f>
        <v>SEM BASE</v>
      </c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  <c r="AF10" t="s">
        <v>640</v>
      </c>
      <c r="AG10" s="389" t="s">
        <v>641</v>
      </c>
    </row>
    <row r="11" spans="1:33" x14ac:dyDescent="0.35">
      <c r="A11" s="121" t="s">
        <v>22</v>
      </c>
      <c r="B11" s="122" t="str">
        <f>IF(COUNTIFS(financeiro!$B$2:$B$73,"c1",financeiro!$C$2:$C$73,"&gt;0",financeiro!$G$2:$G$73,"Sim")=0,"",ROUND(SUMIFS(financeiro!$F$2:$F$73,financeiro!$B$2:$B$73,"c1",financeiro!$G$2:$G$73,"Sim"),2))</f>
        <v/>
      </c>
      <c r="C11" s="122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2" t="str">
        <f>IF(COUNTIF(itens_Consumidos!$AG$2:$AG$6,"REVISAR*")&gt;0,"",IF(itens_Consumidos!$AG$3="AJUSTE APLICADO",IF(OR(NOT(ISNUMBER(parametros!$F3)),NOT(ISNUMBER(parametros!$D12)),parametros!$D12=0),"",ROUND(itens_Consumidos!$AB$3*(parametros!$D12-1),2)),IF(OR(COUNTIFS(itens_Consumidos!$G$2:$G$200,"&gt;0")=0,NOT(ISNUMBER(parametros!$F3)),NOT(ISNUMBER(parametros!$D12)),parametros!$D12=0),"",ROUND(SUMPRODUCT(itens_Consumidos!$G$2:$G$200,itens_Consumidos!$C$2:$C$200)*(parametros!$F3-parametros!$F3/parametros!$D12),2))))</f>
        <v/>
      </c>
      <c r="E11" s="122" t="str">
        <f t="shared" si="0"/>
        <v/>
      </c>
      <c r="F11" s="123" t="str">
        <f>IF(COUNT(B11:D11)=0,"SEM BASE",IF(E11="","FONTE OFICIAL AUSENTE","CONFERIR"))</f>
        <v>SEM BASE</v>
      </c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  <c r="AF11" t="s">
        <v>642</v>
      </c>
      <c r="AG11" s="389" t="s">
        <v>643</v>
      </c>
    </row>
    <row r="12" spans="1:33" x14ac:dyDescent="0.35">
      <c r="A12" s="121" t="s">
        <v>23</v>
      </c>
      <c r="B12" s="122" t="str">
        <f>IF(COUNTIFS(financeiro!$B$2:$B$73,"c2",financeiro!$C$2:$C$73,"&gt;0",financeiro!$G$2:$G$73,"Sim")=0,"",ROUND(SUMIFS(financeiro!$F$2:$F$73,financeiro!$B$2:$B$73,"c2",financeiro!$G$2:$G$73,"Sim"),2))</f>
        <v/>
      </c>
      <c r="C12" s="122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2" t="str">
        <f>IF(COUNTIF(itens_Consumidos!$AG$2:$AG$6,"REVISAR*")&gt;0,"",IF(itens_Consumidos!$AG$4="AJUSTE APLICADO",IF(OR(NOT(ISNUMBER(parametros!$F4)),NOT(ISNUMBER(parametros!$D13)),parametros!$D13=0),"",ROUND(itens_Consumidos!$AB$4*(parametros!$D13-1),2)),IF(OR(COUNTIFS(itens_Consumidos!$I$2:$I$200,"&gt;0")=0,NOT(ISNUMBER(parametros!$F4)),NOT(ISNUMBER(parametros!$D13)),parametros!$D13=0),"",ROUND(SUMPRODUCT(itens_Consumidos!$I$2:$I$200,itens_Consumidos!$C$2:$C$200)*(parametros!$F4-parametros!$F4/parametros!$D13),2))))</f>
        <v/>
      </c>
      <c r="E12" s="122" t="str">
        <f t="shared" si="0"/>
        <v/>
      </c>
      <c r="F12" s="123" t="str">
        <f>IF(COUNT(B12:D12)=0,"SEM BASE",IF(E12="","FONTE OFICIAL AUSENTE","CONFERIR"))</f>
        <v>SEM BASE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  <c r="AF12" t="s">
        <v>644</v>
      </c>
      <c r="AG12" s="389" t="s">
        <v>500</v>
      </c>
    </row>
    <row r="13" spans="1:33" x14ac:dyDescent="0.35">
      <c r="A13" s="121" t="s">
        <v>24</v>
      </c>
      <c r="B13" s="122" t="str">
        <f>IF(COUNTIFS(financeiro!$B$2:$B$73,"c3",financeiro!$C$2:$C$73,"&gt;0",financeiro!$G$2:$G$73,"Sim")=0,"",ROUND(SUMIFS(financeiro!$F$2:$F$73,financeiro!$B$2:$B$73,"c3",financeiro!$G$2:$G$73,"Sim"),2))</f>
        <v/>
      </c>
      <c r="C13" s="122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2" t="str">
        <f>IF(COUNTIF(itens_Consumidos!$AG$2:$AG$6,"REVISAR*")&gt;0,"",IF(itens_Consumidos!$AG$5="AJUSTE APLICADO",IF(OR(NOT(ISNUMBER(parametros!$F5)),NOT(ISNUMBER(parametros!$D14)),parametros!$D14=0),"",ROUND(itens_Consumidos!$AB$5*(parametros!$D14-1),2)),IF(OR(COUNTIFS(itens_Consumidos!$K$2:$K$200,"&gt;0")=0,NOT(ISNUMBER(parametros!$F5)),NOT(ISNUMBER(parametros!$D14)),parametros!$D14=0),"",ROUND(SUMPRODUCT(itens_Consumidos!$K$2:$K$200,itens_Consumidos!$C$2:$C$200)*(parametros!$F5-parametros!$F5/parametros!$D14),2))))</f>
        <v/>
      </c>
      <c r="E13" s="122" t="str">
        <f t="shared" si="0"/>
        <v/>
      </c>
      <c r="F13" s="123" t="str">
        <f>IF(COUNT(B13:D13)=0,"SEM BASE",IF(E13="","FONTE OFICIAL AUSENTE","CONFERIR"))</f>
        <v>SEM BASE</v>
      </c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  <c r="AF13" t="s">
        <v>645</v>
      </c>
      <c r="AG13" s="389" t="s">
        <v>646</v>
      </c>
    </row>
    <row r="14" spans="1:33" x14ac:dyDescent="0.35">
      <c r="A14" s="121" t="s">
        <v>25</v>
      </c>
      <c r="B14" s="122" t="str">
        <f>IF(COUNTIFS(financeiro!$B$2:$B$73,"c4",financeiro!$C$2:$C$73,"&gt;0",financeiro!$G$2:$G$73,"Sim")=0,"",ROUND(SUMIFS(financeiro!$F$2:$F$73,financeiro!$B$2:$B$73,"c4",financeiro!$G$2:$G$73,"Sim"),2))</f>
        <v/>
      </c>
      <c r="C14" s="122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2" t="str">
        <f>IF(COUNTIF(itens_Consumidos!$AG$2:$AG$6,"REVISAR*")&gt;0,"",IF(itens_Consumidos!$AG$6="AJUSTE APLICADO",IF(OR(NOT(ISNUMBER(parametros!$F6)),NOT(ISNUMBER(parametros!$D15)),parametros!$D15=0),"",ROUND(itens_Consumidos!$AB$6*(parametros!$D15-1),2)),IF(OR(COUNTIFS(itens_Consumidos!$M$2:$M$200,"&gt;0")=0,NOT(ISNUMBER(parametros!$F6)),NOT(ISNUMBER(parametros!$D15)),parametros!$D15=0),"",ROUND(SUMPRODUCT(itens_Consumidos!$M$2:$M$200,itens_Consumidos!$C$2:$C$200)*(parametros!$F6-parametros!$F6/parametros!$D15),2))))</f>
        <v/>
      </c>
      <c r="E14" s="122" t="str">
        <f t="shared" si="0"/>
        <v/>
      </c>
      <c r="F14" s="123" t="str">
        <f>IF(COUNT(B14:D14)=0,"SEM BASE",IF(E14="","FONTE OFICIAL AUSENTE","CONFERIR"))</f>
        <v>SEM BASE</v>
      </c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  <c r="AF14" t="s">
        <v>647</v>
      </c>
      <c r="AG14" s="389" t="s">
        <v>648</v>
      </c>
    </row>
    <row r="15" spans="1:33" x14ac:dyDescent="0.35">
      <c r="A15" s="124" t="s">
        <v>26</v>
      </c>
      <c r="B15" s="125" t="str">
        <f>IF(COUNT(B10:B14)=0,"",ROUND(SUM(B10:B14),2))</f>
        <v/>
      </c>
      <c r="C15" s="125" t="str">
        <f>IF(COUNT(C10:C14)=0,"",ROUND(SUM(C10:C14),2))</f>
        <v/>
      </c>
      <c r="D15" s="125" t="str">
        <f>IF(COUNT(D10:D14)=0,"",ROUND(SUM(D10:D14),2))</f>
        <v/>
      </c>
      <c r="E15" s="125" t="str">
        <f t="shared" si="0"/>
        <v/>
      </c>
      <c r="F15" s="126" t="str">
        <f>IF(E15="","SEM TOTAL OFICIAL","CONFERIR")</f>
        <v>SEM TOTAL OFICIAL</v>
      </c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  <c r="AF15" t="s">
        <v>649</v>
      </c>
      <c r="AG15" s="389" t="s">
        <v>650</v>
      </c>
    </row>
    <row r="16" spans="1:33" ht="26" customHeight="1" x14ac:dyDescent="0.35">
      <c r="A16" s="119" t="s">
        <v>297</v>
      </c>
      <c r="B16" s="127" t="str">
        <f>IF(ISNUMBER($B$5),$B$5,E15)</f>
        <v/>
      </c>
      <c r="C16" s="119" t="s">
        <v>298</v>
      </c>
      <c r="D16" s="119" t="str">
        <f>IF(ISNUMBER($B$5),"MANUAL",$B$4)</f>
        <v>SELECIONE O METODO EM CONTROLE!B1</v>
      </c>
      <c r="E16" s="119" t="s">
        <v>299</v>
      </c>
      <c r="F16" s="119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  <c r="AF16" t="s">
        <v>140</v>
      </c>
      <c r="AG16" s="389" t="s">
        <v>651</v>
      </c>
    </row>
    <row r="17" spans="1:33" ht="24" customHeight="1" x14ac:dyDescent="0.35">
      <c r="A17" s="539" t="s">
        <v>300</v>
      </c>
      <c r="B17" s="510"/>
      <c r="C17" s="510"/>
      <c r="D17" s="510"/>
      <c r="E17" s="510"/>
      <c r="F17" s="510"/>
      <c r="G17" s="510"/>
      <c r="H17" s="510"/>
      <c r="I17" s="510"/>
      <c r="J17" s="510"/>
      <c r="K17" s="57"/>
      <c r="L17" s="57"/>
      <c r="M17" s="57"/>
      <c r="N17" s="57"/>
      <c r="O17" s="57"/>
      <c r="P17" s="57"/>
      <c r="Q17" s="57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  <c r="AF17" t="s">
        <v>652</v>
      </c>
      <c r="AG17" s="389" t="s">
        <v>653</v>
      </c>
    </row>
    <row r="18" spans="1:33" x14ac:dyDescent="0.35">
      <c r="A18" s="57"/>
      <c r="B18" s="57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  <c r="AF18" t="s">
        <v>654</v>
      </c>
      <c r="AG18" s="389" t="s">
        <v>655</v>
      </c>
    </row>
    <row r="19" spans="1:33" ht="24" customHeight="1" x14ac:dyDescent="0.35">
      <c r="A19" s="532" t="s">
        <v>301</v>
      </c>
      <c r="B19" s="510"/>
      <c r="C19" s="510"/>
      <c r="D19" s="510"/>
      <c r="E19" s="510"/>
      <c r="F19" s="510"/>
      <c r="G19" s="510"/>
      <c r="H19" s="510"/>
      <c r="I19" s="510"/>
      <c r="J19" s="510"/>
      <c r="K19" s="57"/>
      <c r="L19" s="57"/>
      <c r="M19" s="57"/>
      <c r="N19" s="57"/>
      <c r="O19" s="57"/>
      <c r="P19" s="57"/>
      <c r="Q19" s="57"/>
      <c r="S19" t="s">
        <v>302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  <c r="AF19" t="s">
        <v>656</v>
      </c>
      <c r="AG19" s="389" t="s">
        <v>657</v>
      </c>
    </row>
    <row r="20" spans="1:33" x14ac:dyDescent="0.35">
      <c r="A20" s="117" t="s">
        <v>303</v>
      </c>
      <c r="B20" s="128" t="str">
        <f>IF(COUNTIF(itens_Remanesc!$A$2:$A$200,"&lt;&gt;")=0,"",ROUND(SUMIF(itens_Remanesc!$A$2:$A$200,"&lt;&gt;",itens_Remanesc!$D$2:$D$200),2))</f>
        <v/>
      </c>
      <c r="C20" s="58" t="s">
        <v>461</v>
      </c>
      <c r="D20" s="58" t="str">
        <f>IF(COUNTIF(financeiro!$C$2:$C$73,"&lt;&gt;")=0,"",ROUND(SUM(financeiro!$C$2:$C$73),2))</f>
        <v/>
      </c>
      <c r="E20" s="58" t="s">
        <v>464</v>
      </c>
      <c r="F20" s="58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IF(COUNTIF(itens_Consumidos!$AG$2:$AG$6,"REVISAR*")&gt;0,"",ROUND(IF(itens_Consumidos!$AG$2="AJUSTE APLICADO",itens_Consumidos!$AE$2,SUM(itens_Consumidos!$F$2:$F$200))+IF(itens_Consumidos!$AG$3="AJUSTE APLICADO",itens_Consumidos!$AE$3,SUM(itens_Consumidos!$H$2:$H$200))+IF(itens_Consumidos!$AG$4="AJUSTE APLICADO",itens_Consumidos!$AE$4,SUM(itens_Consumidos!$J$2:$J$200))+IF(itens_Consumidos!$AG$5="AJUSTE APLICADO",itens_Consumidos!$AE$5,SUM(itens_Consumidos!$L$2:$L$200))+IF(itens_Consumidos!$AG$6="AJUSTE APLICADO",itens_Consumidos!$AE$6,SUM(itens_Consumidos!$N$2:$N$200)),2))))</f>
        <v/>
      </c>
      <c r="G20" s="58"/>
      <c r="H20" s="58"/>
      <c r="I20" s="58"/>
      <c r="J20" s="58"/>
      <c r="K20" s="57"/>
      <c r="L20" s="57"/>
      <c r="M20" s="57"/>
      <c r="N20" s="57"/>
      <c r="O20" s="57"/>
      <c r="P20" s="57"/>
      <c r="Q20" s="57"/>
      <c r="S20" t="s">
        <v>304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  <c r="AF20" t="s">
        <v>658</v>
      </c>
      <c r="AG20" s="389" t="s">
        <v>659</v>
      </c>
    </row>
    <row r="21" spans="1:33" x14ac:dyDescent="0.35">
      <c r="A21" s="117" t="s">
        <v>305</v>
      </c>
      <c r="B21" s="128" t="str">
        <f>IF(B16="","",B16)</f>
        <v/>
      </c>
      <c r="C21" s="58"/>
      <c r="D21" s="58"/>
      <c r="E21" s="58"/>
      <c r="F21" s="58"/>
      <c r="G21" s="58"/>
      <c r="H21" s="58"/>
      <c r="I21" s="58"/>
      <c r="J21" s="58"/>
      <c r="K21" s="57"/>
      <c r="L21" s="57"/>
      <c r="M21" s="57"/>
      <c r="N21" s="57"/>
      <c r="O21" s="57"/>
      <c r="P21" s="57"/>
      <c r="Q21" s="57"/>
      <c r="S21" t="s">
        <v>306</v>
      </c>
      <c r="T21" s="195">
        <f>IF(itens_PC!$O$3&gt;0,ROUND(itens_PC!$O$3+itens_PC!$Q$3,2),SUM($X$2:$X$201))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  <c r="AF21" t="s">
        <v>660</v>
      </c>
      <c r="AG21" s="389" t="s">
        <v>445</v>
      </c>
    </row>
    <row r="22" spans="1:33" x14ac:dyDescent="0.35">
      <c r="A22" s="117" t="s">
        <v>307</v>
      </c>
      <c r="B22" s="128" t="str">
        <f>IF(OR(C35="",D35=""),"",ROUND(D35-C35,2))</f>
        <v/>
      </c>
      <c r="C22" s="58"/>
      <c r="D22" s="58"/>
      <c r="E22" s="58"/>
      <c r="F22" s="58"/>
      <c r="G22" s="58"/>
      <c r="H22" s="58"/>
      <c r="I22" s="58"/>
      <c r="J22" s="58"/>
      <c r="K22" s="57"/>
      <c r="L22" s="57"/>
      <c r="M22" s="57"/>
      <c r="N22" s="57"/>
      <c r="O22" s="57"/>
      <c r="P22" s="57"/>
      <c r="Q22" s="57"/>
      <c r="S22" t="s">
        <v>308</v>
      </c>
      <c r="T22" s="195">
        <f>SUMPRODUCT((ROW(itens_PC!$O$3:$O$7)-3&gt;=1)*(ROW(itens_PC!$O$3:$O$7)-3&lt;$T$20)*(itens_PC!$O$3:$O$7+itens_PC!$Q$3:$Q$7))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  <c r="AF22" t="s">
        <v>661</v>
      </c>
      <c r="AG22" s="389" t="s">
        <v>427</v>
      </c>
    </row>
    <row r="23" spans="1:33" x14ac:dyDescent="0.35">
      <c r="A23" s="117" t="s">
        <v>309</v>
      </c>
      <c r="B23" s="128" t="str">
        <f>IF(OR(B20="",B21="",B22=""),"",ROUND(B20+B21+B22,2))</f>
        <v/>
      </c>
      <c r="C23" s="58"/>
      <c r="D23" s="58"/>
      <c r="E23" s="58"/>
      <c r="F23" s="58"/>
      <c r="G23" s="58"/>
      <c r="H23" s="58"/>
      <c r="I23" s="58"/>
      <c r="J23" s="58"/>
      <c r="K23" s="57"/>
      <c r="L23" s="57"/>
      <c r="M23" s="57"/>
      <c r="N23" s="57"/>
      <c r="O23" s="57"/>
      <c r="P23" s="57"/>
      <c r="Q23" s="57"/>
      <c r="S23" t="s">
        <v>310</v>
      </c>
      <c r="T23" s="195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  <c r="AF23" t="s">
        <v>662</v>
      </c>
      <c r="AG23" s="389" t="s">
        <v>663</v>
      </c>
    </row>
    <row r="24" spans="1:33" x14ac:dyDescent="0.35">
      <c r="A24" s="117" t="s">
        <v>311</v>
      </c>
      <c r="B24" s="60" t="str">
        <f>IF(AND(RESULTADOS_DETALHE!$G$44="Sim",RESULTADOS_DETALHE!$C$44&lt;&gt;""),RESULTADOS_DETALHE!$C$44,"")</f>
        <v/>
      </c>
      <c r="C24" s="117" t="s">
        <v>312</v>
      </c>
      <c r="D24" s="529" t="str">
        <f>IF(AND(RESULTADOS_DETALHE!$G$44="Sim",RESULTADOS_DETALHE!$D$44&lt;&gt;""),RESULTADOS_DETALHE!$D$44,"")</f>
        <v/>
      </c>
      <c r="E24" s="530"/>
      <c r="F24" s="530"/>
      <c r="G24" s="530"/>
      <c r="H24" s="530"/>
      <c r="I24" s="530"/>
      <c r="J24" s="531"/>
      <c r="K24" s="57"/>
      <c r="L24" s="57"/>
      <c r="M24" s="57"/>
      <c r="N24" s="57"/>
      <c r="O24" s="57"/>
      <c r="P24" s="57"/>
      <c r="Q24" s="57"/>
      <c r="S24" t="s">
        <v>313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  <c r="AF24" t="s">
        <v>664</v>
      </c>
      <c r="AG24" s="389" t="s">
        <v>665</v>
      </c>
    </row>
    <row r="25" spans="1:33" ht="26" customHeight="1" x14ac:dyDescent="0.35">
      <c r="A25" s="117" t="s">
        <v>314</v>
      </c>
      <c r="B25" s="60" t="str">
        <f>IF(AND(RESULTADOS_DETALHE!$G$45="Sim",RESULTADOS_DETALHE!$C$45&lt;&gt;""),RESULTADOS_DETALHE!$C$45,"")</f>
        <v/>
      </c>
      <c r="C25" s="117" t="s">
        <v>315</v>
      </c>
      <c r="D25" s="529" t="str">
        <f>IF(AND(RESULTADOS_DETALHE!$G$45="Sim",RESULTADOS_DETALHE!$D$45&lt;&gt;""),RESULTADOS_DETALHE!$D$45,"")</f>
        <v/>
      </c>
      <c r="E25" s="530"/>
      <c r="F25" s="530"/>
      <c r="G25" s="530"/>
      <c r="H25" s="530"/>
      <c r="I25" s="530"/>
      <c r="J25" s="531"/>
      <c r="K25" s="57"/>
      <c r="L25" s="57"/>
      <c r="M25" s="57"/>
      <c r="N25" s="57"/>
      <c r="O25" s="57"/>
      <c r="P25" s="57"/>
      <c r="Q25" s="57"/>
      <c r="S25" t="s">
        <v>316</v>
      </c>
      <c r="T25" s="195" t="str">
        <f>IF(OR($T$24=0,$T$20="",$T$26&gt;0,AND(NOT(itens_PC!$P$3&gt;0),$T$27&gt;0)),"CALCULO MANUAL REQUERIDO",ROUND($T$21+$T$22+$T$23+$T$39,2))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  <c r="AF25" t="s">
        <v>666</v>
      </c>
      <c r="AG25" s="389" t="s">
        <v>667</v>
      </c>
    </row>
    <row r="26" spans="1:33" x14ac:dyDescent="0.35">
      <c r="A26" s="117" t="s">
        <v>317</v>
      </c>
      <c r="B26" s="129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17" t="s">
        <v>299</v>
      </c>
      <c r="D26" s="58"/>
      <c r="E26" s="534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530"/>
      <c r="G26" s="530"/>
      <c r="H26" s="530"/>
      <c r="I26" s="530"/>
      <c r="J26" s="531"/>
      <c r="K26" s="57"/>
      <c r="L26" s="57"/>
      <c r="M26" s="57"/>
      <c r="N26" s="57"/>
      <c r="O26" s="57"/>
      <c r="P26" s="57"/>
      <c r="Q26" s="57"/>
      <c r="S26" t="s">
        <v>318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  <c r="AF26" t="s">
        <v>668</v>
      </c>
      <c r="AG26" s="389" t="s">
        <v>669</v>
      </c>
    </row>
    <row r="27" spans="1:33" ht="34" customHeight="1" x14ac:dyDescent="0.35">
      <c r="A27" s="540" t="s">
        <v>319</v>
      </c>
      <c r="B27" s="510"/>
      <c r="C27" s="510"/>
      <c r="D27" s="510"/>
      <c r="E27" s="510"/>
      <c r="F27" s="510"/>
      <c r="G27" s="510"/>
      <c r="H27" s="510"/>
      <c r="I27" s="510"/>
      <c r="J27" s="510"/>
      <c r="K27" s="57"/>
      <c r="L27" s="57"/>
      <c r="M27" s="57"/>
      <c r="N27" s="57"/>
      <c r="O27" s="57"/>
      <c r="P27" s="57"/>
      <c r="Q27" s="57"/>
      <c r="S27" t="s">
        <v>320</v>
      </c>
      <c r="T27">
        <f>SUMPRODUCT((posicao_contratual!$A$2:$A$201&lt;&gt;"")*(1-ISNUMBER(posicao_contratual!$AL$2:$AL$201)*(posicao_contratual!$AL$2:$AL$201&gt;0))*(1-ISNUMBER(posicao_contratual!$G$2:$G$201)*ISNUMBER(posicao_contratual!$K$2:$K$201)*ISNUMBER(historico_VU!$C$2:$C$201)))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  <c r="AF27" t="s">
        <v>670</v>
      </c>
      <c r="AG27" s="389" t="s">
        <v>671</v>
      </c>
    </row>
    <row r="28" spans="1:33" x14ac:dyDescent="0.35">
      <c r="A28" s="203" t="s">
        <v>321</v>
      </c>
      <c r="B28" s="202" t="str">
        <f>IF(OR($B$4="Financeiro",$B$4="Itens"),$B$23,$B$26)</f>
        <v/>
      </c>
      <c r="C28" s="203" t="s">
        <v>322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S28" t="s">
        <v>323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  <c r="AF28" t="s">
        <v>672</v>
      </c>
      <c r="AG28" s="389" t="s">
        <v>673</v>
      </c>
    </row>
    <row r="29" spans="1:33" x14ac:dyDescent="0.35">
      <c r="A29" s="203" t="s">
        <v>324</v>
      </c>
      <c r="B29" s="202" t="str">
        <f>comparativo_VTA!$B$208</f>
        <v/>
      </c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S29" t="s">
        <v>325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  <c r="AF29" t="s">
        <v>674</v>
      </c>
      <c r="AG29" s="389" t="s">
        <v>675</v>
      </c>
    </row>
    <row r="30" spans="1:33" ht="24" customHeight="1" x14ac:dyDescent="0.35">
      <c r="A30" s="532" t="s">
        <v>326</v>
      </c>
      <c r="B30" s="510"/>
      <c r="C30" s="510"/>
      <c r="D30" s="510"/>
      <c r="E30" s="510"/>
      <c r="F30" s="510"/>
      <c r="G30" s="510"/>
      <c r="H30" s="510"/>
      <c r="I30" s="510"/>
      <c r="J30" s="510"/>
      <c r="K30" s="57"/>
      <c r="L30" s="57"/>
      <c r="M30" s="57"/>
      <c r="N30" s="57"/>
      <c r="O30" s="57"/>
      <c r="P30" s="57"/>
      <c r="Q30" s="57"/>
      <c r="S30" t="s">
        <v>327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  <c r="AF30" t="s">
        <v>676</v>
      </c>
      <c r="AG30" s="389" t="s">
        <v>677</v>
      </c>
    </row>
    <row r="31" spans="1:33" x14ac:dyDescent="0.35">
      <c r="A31" s="120" t="s">
        <v>328</v>
      </c>
      <c r="B31" s="120" t="s">
        <v>329</v>
      </c>
      <c r="C31" s="120" t="s">
        <v>330</v>
      </c>
      <c r="D31" s="120" t="s">
        <v>331</v>
      </c>
      <c r="E31" s="120" t="s">
        <v>332</v>
      </c>
      <c r="F31" s="120" t="s">
        <v>333</v>
      </c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S31" t="s">
        <v>334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  <c r="AF31" t="s">
        <v>678</v>
      </c>
      <c r="AG31" s="389" t="s">
        <v>679</v>
      </c>
    </row>
    <row r="32" spans="1:33" x14ac:dyDescent="0.35">
      <c r="A32" s="126" t="s">
        <v>335</v>
      </c>
      <c r="B32" s="130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1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1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1" t="str">
        <f>IF(OR(C32="",D32=""),"",ROUND(D32-C32,2))</f>
        <v/>
      </c>
      <c r="F32" s="132" t="str">
        <f>IF(B32="","SEM BASE",IF($H$44&gt;0,"COM ERROS — NÃO CONFIÁVEL","PREENCHIDO"))</f>
        <v>SEM BASE</v>
      </c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  <c r="AF32" t="s">
        <v>680</v>
      </c>
      <c r="AG32" s="389" t="s">
        <v>681</v>
      </c>
    </row>
    <row r="33" spans="1:33" x14ac:dyDescent="0.35">
      <c r="A33" s="126" t="s">
        <v>336</v>
      </c>
      <c r="B33" s="130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1" t="str">
        <f>IF(COUNTIF(itens_Consumidos!$A$2:$A$200,"&lt;&gt;")=0,"",IF(COUNTIFS(itens_Consumidos!$A$2:$A$200,"&lt;&gt;",itens_Consumidos!$V$2:$V$200,"")&gt;0,"",ROUND(SUM(itens_Consumidos!$V$2:$V$200),2)))</f>
        <v/>
      </c>
      <c r="D33" s="131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1" t="str">
        <f>IF(OR(C33="",D33=""),"",ROUND(D33-C33,2))</f>
        <v/>
      </c>
      <c r="F33" s="132" t="str">
        <f>IF(B33="","SEM BASE",IF($F$44&gt;0,"COM ERROS — NÃO CONFIÁVEL","DERIVADO"))</f>
        <v>SEM BASE</v>
      </c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S33" t="s">
        <v>337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  <c r="AF33" t="s">
        <v>682</v>
      </c>
      <c r="AG33" s="389" t="s">
        <v>683</v>
      </c>
    </row>
    <row r="34" spans="1:33" ht="26" customHeight="1" x14ac:dyDescent="0.35">
      <c r="A34" s="126" t="s">
        <v>338</v>
      </c>
      <c r="B34" s="61"/>
      <c r="C34" s="62"/>
      <c r="D34" s="62"/>
      <c r="E34" s="62"/>
      <c r="F34" s="132" t="s">
        <v>339</v>
      </c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S34" t="s">
        <v>340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  <c r="AF34" t="s">
        <v>684</v>
      </c>
      <c r="AG34" s="389" t="s">
        <v>685</v>
      </c>
    </row>
    <row r="35" spans="1:33" x14ac:dyDescent="0.35">
      <c r="A35" s="126" t="s">
        <v>341</v>
      </c>
      <c r="B35" s="130" t="str">
        <f>IF(OR($B$4="Financeiro",$B$4="PCs"),B32,IF($B$4="Itens",B33,""))</f>
        <v/>
      </c>
      <c r="C35" s="131" t="str">
        <f>IF(OR($B$4="Financeiro",$B$4="PCs"),C32,IF($B$4="Itens",C33,""))</f>
        <v/>
      </c>
      <c r="D35" s="131" t="str">
        <f>IF($B$4="PCs",$T$23,IF($B$4="Financeiro",D32,IF($B$4="Itens",D33,"")))</f>
        <v/>
      </c>
      <c r="E35" s="131" t="str">
        <f>IF(OR(C35="",D35=""),"",ROUND(D35-C35,2))</f>
        <v/>
      </c>
      <c r="F35" s="132" t="str">
        <f>IF($B$4="Itens","ITENS",IF(OR($B$4="Financeiro",$B$4="PCs"),"INFORMADO",""))</f>
        <v/>
      </c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S35" t="s">
        <v>342</v>
      </c>
      <c r="T35">
        <f>ROUND(SUM(itens_PC!$O$3:$O$7)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  <c r="AF35" t="s">
        <v>686</v>
      </c>
      <c r="AG35" s="389" t="s">
        <v>687</v>
      </c>
    </row>
    <row r="36" spans="1:33" x14ac:dyDescent="0.35">
      <c r="A36" s="126" t="s">
        <v>343</v>
      </c>
      <c r="B36" s="536"/>
      <c r="C36" s="537"/>
      <c r="D36" s="537"/>
      <c r="E36" s="538"/>
      <c r="F36" s="133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S36" t="s">
        <v>344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  <c r="AF36" t="s">
        <v>688</v>
      </c>
      <c r="AG36" s="389" t="s">
        <v>689</v>
      </c>
    </row>
    <row r="37" spans="1:33" x14ac:dyDescent="0.35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S37" t="s">
        <v>345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  <c r="AF37" t="s">
        <v>690</v>
      </c>
      <c r="AG37" s="389" t="s">
        <v>691</v>
      </c>
    </row>
    <row r="38" spans="1:33" x14ac:dyDescent="0.35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S38" t="s">
        <v>467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  <c r="AF38" t="s">
        <v>692</v>
      </c>
      <c r="AG38" s="389" t="s">
        <v>693</v>
      </c>
    </row>
    <row r="39" spans="1:33" x14ac:dyDescent="0.35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S39" t="s">
        <v>538</v>
      </c>
      <c r="T39" s="374">
        <f>ROUND(SUM($T$42:$T$46),2)</f>
        <v>0</v>
      </c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  <c r="AF39" t="s">
        <v>694</v>
      </c>
      <c r="AG39" s="389" t="s">
        <v>695</v>
      </c>
    </row>
    <row r="40" spans="1:33" ht="24" customHeight="1" x14ac:dyDescent="0.35">
      <c r="A40" s="532" t="s">
        <v>346</v>
      </c>
      <c r="B40" s="510"/>
      <c r="C40" s="510"/>
      <c r="D40" s="510"/>
      <c r="E40" s="510"/>
      <c r="F40" s="510"/>
      <c r="G40" s="510"/>
      <c r="H40" s="510"/>
      <c r="I40" s="510"/>
      <c r="J40" s="510"/>
      <c r="K40" s="57"/>
      <c r="L40" s="57"/>
      <c r="M40" s="57"/>
      <c r="N40" s="57"/>
      <c r="O40" s="57"/>
      <c r="P40" s="57"/>
      <c r="Q40" s="57"/>
      <c r="S40" t="s">
        <v>524</v>
      </c>
      <c r="T40" s="365" t="str">
        <f>IF(OR($T$24=0,$T$20="",$T$26&gt;0,AND(NOT(itens_PC!$P$3&gt;0),$T$27&gt;0)),"",ROUND($T$21+$T$22+$T$23,2))</f>
        <v/>
      </c>
      <c r="V40" s="207" t="s">
        <v>347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  <c r="AF40" t="s">
        <v>696</v>
      </c>
      <c r="AG40" s="389" t="s">
        <v>643</v>
      </c>
    </row>
    <row r="41" spans="1:33" x14ac:dyDescent="0.35">
      <c r="A41" s="126" t="s">
        <v>348</v>
      </c>
      <c r="B41" s="131" t="str">
        <f>IF(B15="","",B15)</f>
        <v/>
      </c>
      <c r="C41" s="134" t="s">
        <v>349</v>
      </c>
      <c r="D41" s="131" t="str">
        <f>IF(C15="","",C15)</f>
        <v/>
      </c>
      <c r="E41" s="134" t="s">
        <v>350</v>
      </c>
      <c r="F41" s="131" t="str">
        <f>IF(D15="","",D15)</f>
        <v/>
      </c>
      <c r="G41" s="134" t="s">
        <v>351</v>
      </c>
      <c r="H41" s="131" t="str">
        <f>IF(B16="","",B16)</f>
        <v/>
      </c>
      <c r="I41" s="126" t="s">
        <v>299</v>
      </c>
      <c r="J41" s="135" t="str">
        <f>F16</f>
        <v>INCOMPLETO — SEM BASE</v>
      </c>
      <c r="K41" s="57"/>
      <c r="L41" s="57"/>
      <c r="M41" s="57"/>
      <c r="N41" s="57"/>
      <c r="O41" s="57"/>
      <c r="P41" s="57"/>
      <c r="Q41" s="57"/>
      <c r="S41" t="s">
        <v>539</v>
      </c>
      <c r="T41" s="374">
        <f>ROUND(SUM(itens_PC!$S$12:$S$16),2)</f>
        <v>0</v>
      </c>
      <c r="V41" s="208" t="s">
        <v>352</v>
      </c>
      <c r="W41">
        <f>IF(COUNTIF(posicao_contratual!$A$2:$A$201,"&lt;&gt;")=0,0,IF(SUMPRODUCT((posicao_contratual!$A$2:$A$201&lt;&gt;"")*(posicao_contratual!$AL$2:$AL$201&lt;=0)*(1-ISNUMBER(posicao_contratual!$G$2:$G$201)))&gt;0,0,1))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  <c r="AF41" t="s">
        <v>733</v>
      </c>
      <c r="AG41" t="s">
        <v>734</v>
      </c>
    </row>
    <row r="42" spans="1:33" x14ac:dyDescent="0.35">
      <c r="A42" s="126" t="s">
        <v>353</v>
      </c>
      <c r="B42" s="136" t="str">
        <f>IF($F$4="C0",parametros!$F$2,IF($F$4="C1",parametros!$F$3,IF($F$4="C2",parametros!$F$4,IF($F$4="C3",parametros!$F$5,parametros!$F$6))))</f>
        <v/>
      </c>
      <c r="C42" s="137" t="s">
        <v>354</v>
      </c>
      <c r="D42" s="136" t="str">
        <f>IF($F$4="C0",parametros!$D$11,IF($F$4="C1",parametros!$D$12,IF($F$4="C2",parametros!$D$13,IF($F$4="C3",parametros!$D$14,parametros!$D$15))))</f>
        <v/>
      </c>
      <c r="E42" s="137" t="s">
        <v>355</v>
      </c>
      <c r="F42" s="136" t="str">
        <f>IF(OR(NOT(ISNUMBER(B42)),NOT(ISNUMBER(D42)),D42=0),"",B42/D42)</f>
        <v/>
      </c>
      <c r="G42" s="137" t="s">
        <v>356</v>
      </c>
      <c r="H42" s="136" t="str">
        <f>IF(OR(NOT(ISNUMBER(B42)),NOT(ISNUMBER(F42))),"",B42-F42)</f>
        <v/>
      </c>
      <c r="I42" s="59"/>
      <c r="J42" s="59"/>
      <c r="K42" s="57"/>
      <c r="L42" s="57"/>
      <c r="M42" s="57"/>
      <c r="N42" s="57"/>
      <c r="O42" s="57"/>
      <c r="P42" s="57"/>
      <c r="Q42" s="57"/>
      <c r="S42" t="s">
        <v>540</v>
      </c>
      <c r="T42" s="374">
        <f>ROUND(SUMIFS(itens_PC!$J$2:$J$5001,itens_PC!$C$2:$C$5001,"C0",itens_PC!$J$2:$J$5001,"&gt;0",itens_PC!$B$2:$B$5001,"&lt;="&amp;$T$31),2)</f>
        <v>0</v>
      </c>
      <c r="V42" s="208" t="s">
        <v>357</v>
      </c>
      <c r="W42">
        <f>IF(COUNTIF(posicao_contratual!$A$2:$A$201,"&lt;&gt;")=0,0,IF(SUMPRODUCT((posicao_contratual!$A$2:$A$201&lt;&gt;"")*(posicao_contratual!$AL$2:$AL$201&lt;=1)*(1-ISNUMBER(posicao_contratual!$K$2:$K$201)))&gt;0,0,1))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  <c r="AF42" t="s">
        <v>735</v>
      </c>
      <c r="AG42" t="s">
        <v>736</v>
      </c>
    </row>
    <row r="43" spans="1:33" x14ac:dyDescent="0.3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7"/>
      <c r="L43" s="57"/>
      <c r="M43" s="57"/>
      <c r="N43" s="57"/>
      <c r="O43" s="57"/>
      <c r="P43" s="57"/>
      <c r="Q43" s="57"/>
      <c r="S43" t="s">
        <v>541</v>
      </c>
      <c r="T43" s="374">
        <f>ROUND(SUMIFS(itens_PC!$J$2:$J$5001,itens_PC!$C$2:$C$5001,"C1",itens_PC!$J$2:$J$5001,"&gt;0",itens_PC!$B$2:$B$5001,"&lt;="&amp;$T$31),2)</f>
        <v>0</v>
      </c>
      <c r="V43" s="208" t="s">
        <v>358</v>
      </c>
      <c r="W43">
        <f>IF(COUNTIF(posicao_contratual!$A$2:$A$201,"&lt;&gt;")=0,0,IF(SUMPRODUCT((posicao_contratual!$A$2:$A$201&lt;&gt;"")*(posicao_contratual!$AL$2:$AL$201&lt;=2)*(1-ISNUMBER(posicao_contratual!$O$2:$O$201)))&gt;0,0,1))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3" ht="26" customHeight="1" x14ac:dyDescent="0.35">
      <c r="A44" s="126" t="s">
        <v>359</v>
      </c>
      <c r="B44" s="135">
        <f>SUMPRODUCT(--(financeiro!$C$2:$C$73&lt;&gt;""),--(((financeiro!$B$2:$B$73="")+(financeiro!$G$2:$G$73=""))&gt;0))</f>
        <v>0</v>
      </c>
      <c r="C44" s="126" t="s">
        <v>360</v>
      </c>
      <c r="D44" s="135">
        <f>SUMPRODUCT(--(((itens_PC!$B$2:$B$5001&lt;&gt;"")+(itens_PC!$D$2:$D$5001&lt;&gt;"")+(itens_PC!$G$2:$G$5001&lt;&gt;""))&gt;0),--(itens_PC!$K$2:$K$5001&lt;&gt;"OK"))</f>
        <v>0</v>
      </c>
      <c r="E44" s="126" t="s">
        <v>361</v>
      </c>
      <c r="F44" s="135">
        <f>COUNTIFS(itens_Consumidos!$A$2:$A$200,"&lt;&gt;",itens_Consumidos!$Q$2:$Q$200,"&lt;&gt;OK")+COUNTIFS(itens_Consumidos!$A$2:$A$200,"&lt;&gt;",itens_Consumidos!$C$2:$C$200,"")</f>
        <v>0</v>
      </c>
      <c r="G44" s="126" t="s">
        <v>362</v>
      </c>
      <c r="H44" s="135">
        <f>COUNTIFS(itens_Remanesc!$A$2:$A$200,"&lt;&gt;",itens_Remanesc!$U$2:$U$200,"&lt;&gt;OK")+COUNTIFS(itens_Remanesc!$A$2:$A$200,"&lt;&gt;",itens_Remanesc!$V$2:$V$200,"&lt;&gt;OK")</f>
        <v>0</v>
      </c>
      <c r="I44" s="126" t="s">
        <v>363</v>
      </c>
      <c r="J44" s="135">
        <f>COUNTIFS(itens_Remanesc!$A$2:$A$200,"&lt;&gt;",itens_Remanesc!$B$2:$B$200,"")+COUNTIFS(itens_Remanesc!$A$2:$A$200,"&lt;&gt;",itens_Remanesc!$C$2:$C$200,"")</f>
        <v>0</v>
      </c>
      <c r="K44" s="57"/>
      <c r="L44" s="57"/>
      <c r="M44" s="57"/>
      <c r="N44" s="57"/>
      <c r="O44" s="57"/>
      <c r="P44" s="57"/>
      <c r="Q44" s="57"/>
      <c r="S44" t="s">
        <v>542</v>
      </c>
      <c r="T44" s="374">
        <f>ROUND(SUMIFS(itens_PC!$J$2:$J$5001,itens_PC!$C$2:$C$5001,"C2",itens_PC!$J$2:$J$5001,"&gt;0",itens_PC!$B$2:$B$5001,"&lt;="&amp;$T$31),2)</f>
        <v>0</v>
      </c>
      <c r="V44" s="208" t="s">
        <v>364</v>
      </c>
      <c r="W44">
        <f>IF(COUNTIF(posicao_contratual!$A$2:$A$201,"&lt;&gt;")=0,0,IF(SUMPRODUCT((posicao_contratual!$A$2:$A$201&lt;&gt;"")*(posicao_contratual!$AL$2:$AL$201&lt;=3)*(1-ISNUMBER(posicao_contratual!$S$2:$S$201)))&gt;0,0,1))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3" ht="26" customHeight="1" x14ac:dyDescent="0.35">
      <c r="A45" s="126" t="s">
        <v>365</v>
      </c>
      <c r="B45" s="135">
        <f>COUNTIF(aditivos!$K$2:$K$200,"Sim")</f>
        <v>0</v>
      </c>
      <c r="C45" s="126" t="s">
        <v>366</v>
      </c>
      <c r="D45" s="131">
        <f>ROUND(SUM(itens_PC!$J$2:$J$5001),2)</f>
        <v>0</v>
      </c>
      <c r="E45" s="59"/>
      <c r="F45" s="59"/>
      <c r="G45" s="59"/>
      <c r="H45" s="59"/>
      <c r="I45" s="59"/>
      <c r="J45" s="59"/>
      <c r="K45" s="57"/>
      <c r="L45" s="57"/>
      <c r="M45" s="57"/>
      <c r="N45" s="57"/>
      <c r="O45" s="57"/>
      <c r="P45" s="57"/>
      <c r="Q45" s="57"/>
      <c r="S45" t="s">
        <v>543</v>
      </c>
      <c r="T45" s="374">
        <f>ROUND(SUMIFS(itens_PC!$J$2:$J$5001,itens_PC!$C$2:$C$5001,"C3",itens_PC!$J$2:$J$5001,"&gt;0",itens_PC!$B$2:$B$5001,"&lt;="&amp;$T$31),2)</f>
        <v>0</v>
      </c>
      <c r="V45" s="208" t="s">
        <v>367</v>
      </c>
      <c r="W45">
        <f>IF(COUNTIF(posicao_contratual!$A$2:$A$201,"&lt;&gt;")=0,0,IF(SUMPRODUCT((posicao_contratual!$A$2:$A$201&lt;&gt;"")*(posicao_contratual!$AL$2:$AL$201&lt;=4)*(1-ISNUMBER(posicao_contratual!$W$2:$W$201)))&gt;0,0,1))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3" x14ac:dyDescent="0.35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S46" t="s">
        <v>544</v>
      </c>
      <c r="T46" s="374">
        <f>ROUND(SUMIFS(itens_PC!$J$2:$J$5001,itens_PC!$C$2:$C$5001,"C4",itens_PC!$J$2:$J$5001,"&gt;0",itens_PC!$B$2:$B$5001,"&lt;="&amp;$T$31),2)</f>
        <v>0</v>
      </c>
      <c r="V46" s="208" t="s">
        <v>368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3" x14ac:dyDescent="0.35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S47" t="s">
        <v>545</v>
      </c>
      <c r="T47" s="374">
        <f>ROUND($T$41-$T$39,2)</f>
        <v>0</v>
      </c>
      <c r="V47" s="208" t="s">
        <v>369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3" ht="34" customHeight="1" x14ac:dyDescent="0.35">
      <c r="A48" s="533"/>
      <c r="B48" s="510"/>
      <c r="C48" s="510"/>
      <c r="D48" s="510"/>
      <c r="E48" s="510"/>
      <c r="F48" s="510"/>
      <c r="G48" s="510"/>
      <c r="H48" s="510"/>
      <c r="I48" s="510"/>
      <c r="J48" s="510"/>
      <c r="K48" s="57"/>
      <c r="L48" s="57"/>
      <c r="M48" s="57"/>
      <c r="N48" s="57"/>
      <c r="O48" s="57"/>
      <c r="P48" s="57"/>
      <c r="Q48" s="57"/>
      <c r="V48" s="208" t="s">
        <v>370</v>
      </c>
      <c r="W48" s="195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533"/>
      <c r="B49" s="510"/>
      <c r="C49" s="510"/>
      <c r="D49" s="510"/>
      <c r="E49" s="510"/>
      <c r="F49" s="510"/>
      <c r="G49" s="510"/>
      <c r="H49" s="510"/>
      <c r="I49" s="510"/>
      <c r="J49" s="510"/>
      <c r="K49" s="57"/>
      <c r="L49" s="57"/>
      <c r="M49" s="57"/>
      <c r="N49" s="57"/>
      <c r="O49" s="57"/>
      <c r="P49" s="57"/>
      <c r="Q49" s="57"/>
      <c r="V49" s="208" t="s">
        <v>371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V50" s="208" t="s">
        <v>372</v>
      </c>
      <c r="W50" s="195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V51" s="208" t="s">
        <v>373</v>
      </c>
      <c r="W51" s="195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527" t="s">
        <v>374</v>
      </c>
      <c r="B52" s="528"/>
      <c r="C52" s="528"/>
      <c r="D52" s="528"/>
      <c r="E52" s="528"/>
      <c r="F52" s="528"/>
      <c r="G52" s="528"/>
      <c r="H52" s="528"/>
      <c r="I52" s="57"/>
      <c r="J52" s="527" t="s">
        <v>375</v>
      </c>
      <c r="K52" s="528"/>
      <c r="L52" s="528"/>
      <c r="M52" s="528"/>
      <c r="N52" s="528"/>
      <c r="O52" s="528"/>
      <c r="P52" s="528"/>
      <c r="Q52" s="528"/>
      <c r="V52" s="208" t="s">
        <v>376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38" t="s">
        <v>19</v>
      </c>
      <c r="B53" s="138" t="s">
        <v>377</v>
      </c>
      <c r="C53" s="138" t="s">
        <v>378</v>
      </c>
      <c r="D53" s="138" t="s">
        <v>379</v>
      </c>
      <c r="E53" s="138" t="s">
        <v>380</v>
      </c>
      <c r="F53" s="138" t="s">
        <v>381</v>
      </c>
      <c r="G53" s="138" t="s">
        <v>382</v>
      </c>
      <c r="H53" s="138" t="s">
        <v>383</v>
      </c>
      <c r="I53" s="57"/>
      <c r="J53" s="138" t="s">
        <v>19</v>
      </c>
      <c r="K53" s="138" t="s">
        <v>384</v>
      </c>
      <c r="L53" s="138" t="s">
        <v>385</v>
      </c>
      <c r="M53" s="138" t="s">
        <v>386</v>
      </c>
      <c r="N53" s="138" t="s">
        <v>387</v>
      </c>
      <c r="O53" s="138" t="s">
        <v>388</v>
      </c>
      <c r="P53" s="138" t="s">
        <v>389</v>
      </c>
      <c r="Q53" s="138" t="s">
        <v>54</v>
      </c>
      <c r="V53" t="s">
        <v>390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39" t="str">
        <f>IF(historico_VU!A2="","",historico_VU!A2)</f>
        <v/>
      </c>
      <c r="B54" s="140" t="str">
        <f>IF(A54="","",historico_VU!B2)</f>
        <v/>
      </c>
      <c r="C54" s="141" t="str">
        <f>IF(A54="","",historico_VU!C2)</f>
        <v/>
      </c>
      <c r="D54" s="141" t="str">
        <f>IF(A54="","",historico_VU!D2)</f>
        <v/>
      </c>
      <c r="E54" s="141" t="str">
        <f>IF(A54="","",historico_VU!E2)</f>
        <v/>
      </c>
      <c r="F54" s="141" t="str">
        <f>IF(A54="","",historico_VU!F2)</f>
        <v/>
      </c>
      <c r="G54" s="141" t="str">
        <f>IF(A54="","",historico_VU!G2)</f>
        <v/>
      </c>
      <c r="H54" s="142" t="str">
        <f>IF(A54="","",historico_VU!H2)</f>
        <v/>
      </c>
      <c r="I54" s="57"/>
      <c r="J54" s="139" t="str">
        <f>IF(itens_Remanesc!A2="","",itens_Remanesc!A2)</f>
        <v/>
      </c>
      <c r="K54" s="140" t="str">
        <f>IF(J54="","",IF($F$4="C0",itens_Remanesc!B2,IF($F$4="C1",itens_Remanesc!E2,IF($F$4="C2",itens_Remanesc!G2,IF($F$4="C3",itens_Remanesc!I2,itens_Remanesc!K2)))))</f>
        <v/>
      </c>
      <c r="L54" s="140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43" t="str">
        <f>IF(J54="","",itens_Remanesc!C2)</f>
        <v/>
      </c>
      <c r="N54" s="143" t="str">
        <f>IF(J54="","",IF($F$4="C0",historico_VU!C2,IF($F$4="C1",historico_VU!D2,IF($F$4="C2",historico_VU!E2,IF($F$4="C3",historico_VU!F2,historico_VU!G2)))))</f>
        <v/>
      </c>
      <c r="O54" s="143" t="str">
        <f t="shared" ref="O54:O85" si="1">IF(J54="","",IF(OR($B$4="Financeiro",$B$4="PCs"),IF(OR(K54="",M54=""),"",ROUND(K54*M54,2)),IF($B$4="Itens",IF(OR(L54="",M54=""),"",ROUND(L54*M54,2)),"")))</f>
        <v/>
      </c>
      <c r="P54" s="143" t="str">
        <f t="shared" ref="P54:P85" si="2">IF(J54="","",IF(OR($B$4="Financeiro",$B$4="PCs"),IF(OR(K54="",N54=""),"",ROUND(K54*N54,2)),IF($B$4="Itens",IF(OR(L54="",N54=""),"",ROUND(L54*N54,2)),"")))</f>
        <v/>
      </c>
      <c r="Q54" s="144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391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39" t="str">
        <f>IF(historico_VU!A3="","",historico_VU!A3)</f>
        <v/>
      </c>
      <c r="B55" s="140" t="str">
        <f>IF(A55="","",historico_VU!B3)</f>
        <v/>
      </c>
      <c r="C55" s="141" t="str">
        <f>IF(A55="","",historico_VU!C3)</f>
        <v/>
      </c>
      <c r="D55" s="141" t="str">
        <f>IF(A55="","",historico_VU!D3)</f>
        <v/>
      </c>
      <c r="E55" s="141" t="str">
        <f>IF(A55="","",historico_VU!E3)</f>
        <v/>
      </c>
      <c r="F55" s="141" t="str">
        <f>IF(A55="","",historico_VU!F3)</f>
        <v/>
      </c>
      <c r="G55" s="141" t="str">
        <f>IF(A55="","",historico_VU!G3)</f>
        <v/>
      </c>
      <c r="H55" s="142" t="str">
        <f>IF(A55="","",historico_VU!H3)</f>
        <v/>
      </c>
      <c r="I55" s="57"/>
      <c r="J55" s="139" t="str">
        <f>IF(itens_Remanesc!A3="","",itens_Remanesc!A3)</f>
        <v/>
      </c>
      <c r="K55" s="140" t="str">
        <f>IF(J55="","",IF($F$4="C0",itens_Remanesc!B3,IF($F$4="C1",itens_Remanesc!E3,IF($F$4="C2",itens_Remanesc!G3,IF($F$4="C3",itens_Remanesc!I3,itens_Remanesc!K3)))))</f>
        <v/>
      </c>
      <c r="L55" s="140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43" t="str">
        <f>IF(J55="","",itens_Remanesc!C3)</f>
        <v/>
      </c>
      <c r="N55" s="143" t="str">
        <f>IF(J55="","",IF($F$4="C0",historico_VU!C3,IF($F$4="C1",historico_VU!D3,IF($F$4="C2",historico_VU!E3,IF($F$4="C3",historico_VU!F3,historico_VU!G3)))))</f>
        <v/>
      </c>
      <c r="O55" s="143" t="str">
        <f t="shared" si="1"/>
        <v/>
      </c>
      <c r="P55" s="143" t="str">
        <f t="shared" si="2"/>
        <v/>
      </c>
      <c r="Q55" s="144" t="str">
        <f t="shared" si="3"/>
        <v/>
      </c>
      <c r="V55" t="s">
        <v>392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39" t="str">
        <f>IF(historico_VU!A4="","",historico_VU!A4)</f>
        <v/>
      </c>
      <c r="B56" s="140" t="str">
        <f>IF(A56="","",historico_VU!B4)</f>
        <v/>
      </c>
      <c r="C56" s="141" t="str">
        <f>IF(A56="","",historico_VU!C4)</f>
        <v/>
      </c>
      <c r="D56" s="141" t="str">
        <f>IF(A56="","",historico_VU!D4)</f>
        <v/>
      </c>
      <c r="E56" s="141" t="str">
        <f>IF(A56="","",historico_VU!E4)</f>
        <v/>
      </c>
      <c r="F56" s="141" t="str">
        <f>IF(A56="","",historico_VU!F4)</f>
        <v/>
      </c>
      <c r="G56" s="141" t="str">
        <f>IF(A56="","",historico_VU!G4)</f>
        <v/>
      </c>
      <c r="H56" s="142" t="str">
        <f>IF(A56="","",historico_VU!H4)</f>
        <v/>
      </c>
      <c r="I56" s="57"/>
      <c r="J56" s="139" t="str">
        <f>IF(itens_Remanesc!A4="","",itens_Remanesc!A4)</f>
        <v/>
      </c>
      <c r="K56" s="140" t="str">
        <f>IF(J56="","",IF($F$4="C0",itens_Remanesc!B4,IF($F$4="C1",itens_Remanesc!E4,IF($F$4="C2",itens_Remanesc!G4,IF($F$4="C3",itens_Remanesc!I4,itens_Remanesc!K4)))))</f>
        <v/>
      </c>
      <c r="L56" s="140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43" t="str">
        <f>IF(J56="","",itens_Remanesc!C4)</f>
        <v/>
      </c>
      <c r="N56" s="143" t="str">
        <f>IF(J56="","",IF($F$4="C0",historico_VU!C4,IF($F$4="C1",historico_VU!D4,IF($F$4="C2",historico_VU!E4,IF($F$4="C3",historico_VU!F4,historico_VU!G4)))))</f>
        <v/>
      </c>
      <c r="O56" s="143" t="str">
        <f t="shared" si="1"/>
        <v/>
      </c>
      <c r="P56" s="143" t="str">
        <f t="shared" si="2"/>
        <v/>
      </c>
      <c r="Q56" s="144" t="str">
        <f t="shared" si="3"/>
        <v/>
      </c>
      <c r="V56" t="s">
        <v>393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39" t="str">
        <f>IF(historico_VU!A5="","",historico_VU!A5)</f>
        <v/>
      </c>
      <c r="B57" s="140" t="str">
        <f>IF(A57="","",historico_VU!B5)</f>
        <v/>
      </c>
      <c r="C57" s="141" t="str">
        <f>IF(A57="","",historico_VU!C5)</f>
        <v/>
      </c>
      <c r="D57" s="141" t="str">
        <f>IF(A57="","",historico_VU!D5)</f>
        <v/>
      </c>
      <c r="E57" s="141" t="str">
        <f>IF(A57="","",historico_VU!E5)</f>
        <v/>
      </c>
      <c r="F57" s="141" t="str">
        <f>IF(A57="","",historico_VU!F5)</f>
        <v/>
      </c>
      <c r="G57" s="141" t="str">
        <f>IF(A57="","",historico_VU!G5)</f>
        <v/>
      </c>
      <c r="H57" s="142" t="str">
        <f>IF(A57="","",historico_VU!H5)</f>
        <v/>
      </c>
      <c r="I57" s="57"/>
      <c r="J57" s="139" t="str">
        <f>IF(itens_Remanesc!A5="","",itens_Remanesc!A5)</f>
        <v/>
      </c>
      <c r="K57" s="140" t="str">
        <f>IF(J57="","",IF($F$4="C0",itens_Remanesc!B5,IF($F$4="C1",itens_Remanesc!E5,IF($F$4="C2",itens_Remanesc!G5,IF($F$4="C3",itens_Remanesc!I5,itens_Remanesc!K5)))))</f>
        <v/>
      </c>
      <c r="L57" s="140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43" t="str">
        <f>IF(J57="","",itens_Remanesc!C5)</f>
        <v/>
      </c>
      <c r="N57" s="143" t="str">
        <f>IF(J57="","",IF($F$4="C0",historico_VU!C5,IF($F$4="C1",historico_VU!D5,IF($F$4="C2",historico_VU!E5,IF($F$4="C3",historico_VU!F5,historico_VU!G5)))))</f>
        <v/>
      </c>
      <c r="O57" s="143" t="str">
        <f t="shared" si="1"/>
        <v/>
      </c>
      <c r="P57" s="143" t="str">
        <f t="shared" si="2"/>
        <v/>
      </c>
      <c r="Q57" s="144" t="str">
        <f t="shared" si="3"/>
        <v/>
      </c>
      <c r="V57" t="s">
        <v>394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39" t="str">
        <f>IF(historico_VU!A6="","",historico_VU!A6)</f>
        <v/>
      </c>
      <c r="B58" s="140" t="str">
        <f>IF(A58="","",historico_VU!B6)</f>
        <v/>
      </c>
      <c r="C58" s="141" t="str">
        <f>IF(A58="","",historico_VU!C6)</f>
        <v/>
      </c>
      <c r="D58" s="141" t="str">
        <f>IF(A58="","",historico_VU!D6)</f>
        <v/>
      </c>
      <c r="E58" s="141" t="str">
        <f>IF(A58="","",historico_VU!E6)</f>
        <v/>
      </c>
      <c r="F58" s="141" t="str">
        <f>IF(A58="","",historico_VU!F6)</f>
        <v/>
      </c>
      <c r="G58" s="141" t="str">
        <f>IF(A58="","",historico_VU!G6)</f>
        <v/>
      </c>
      <c r="H58" s="142" t="str">
        <f>IF(A58="","",historico_VU!H6)</f>
        <v/>
      </c>
      <c r="I58" s="57"/>
      <c r="J58" s="139" t="str">
        <f>IF(itens_Remanesc!A6="","",itens_Remanesc!A6)</f>
        <v/>
      </c>
      <c r="K58" s="140" t="str">
        <f>IF(J58="","",IF($F$4="C0",itens_Remanesc!B6,IF($F$4="C1",itens_Remanesc!E6,IF($F$4="C2",itens_Remanesc!G6,IF($F$4="C3",itens_Remanesc!I6,itens_Remanesc!K6)))))</f>
        <v/>
      </c>
      <c r="L58" s="140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43" t="str">
        <f>IF(J58="","",itens_Remanesc!C6)</f>
        <v/>
      </c>
      <c r="N58" s="143" t="str">
        <f>IF(J58="","",IF($F$4="C0",historico_VU!C6,IF($F$4="C1",historico_VU!D6,IF($F$4="C2",historico_VU!E6,IF($F$4="C3",historico_VU!F6,historico_VU!G6)))))</f>
        <v/>
      </c>
      <c r="O58" s="143" t="str">
        <f t="shared" si="1"/>
        <v/>
      </c>
      <c r="P58" s="143" t="str">
        <f t="shared" si="2"/>
        <v/>
      </c>
      <c r="Q58" s="144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39" t="str">
        <f>IF(historico_VU!A7="","",historico_VU!A7)</f>
        <v/>
      </c>
      <c r="B59" s="140" t="str">
        <f>IF(A59="","",historico_VU!B7)</f>
        <v/>
      </c>
      <c r="C59" s="141" t="str">
        <f>IF(A59="","",historico_VU!C7)</f>
        <v/>
      </c>
      <c r="D59" s="141" t="str">
        <f>IF(A59="","",historico_VU!D7)</f>
        <v/>
      </c>
      <c r="E59" s="141" t="str">
        <f>IF(A59="","",historico_VU!E7)</f>
        <v/>
      </c>
      <c r="F59" s="141" t="str">
        <f>IF(A59="","",historico_VU!F7)</f>
        <v/>
      </c>
      <c r="G59" s="141" t="str">
        <f>IF(A59="","",historico_VU!G7)</f>
        <v/>
      </c>
      <c r="H59" s="142" t="str">
        <f>IF(A59="","",historico_VU!H7)</f>
        <v/>
      </c>
      <c r="I59" s="57"/>
      <c r="J59" s="139" t="str">
        <f>IF(itens_Remanesc!A7="","",itens_Remanesc!A7)</f>
        <v/>
      </c>
      <c r="K59" s="140" t="str">
        <f>IF(J59="","",IF($F$4="C0",itens_Remanesc!B7,IF($F$4="C1",itens_Remanesc!E7,IF($F$4="C2",itens_Remanesc!G7,IF($F$4="C3",itens_Remanesc!I7,itens_Remanesc!K7)))))</f>
        <v/>
      </c>
      <c r="L59" s="140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43" t="str">
        <f>IF(J59="","",itens_Remanesc!C7)</f>
        <v/>
      </c>
      <c r="N59" s="143" t="str">
        <f>IF(J59="","",IF($F$4="C0",historico_VU!C7,IF($F$4="C1",historico_VU!D7,IF($F$4="C2",historico_VU!E7,IF($F$4="C3",historico_VU!F7,historico_VU!G7)))))</f>
        <v/>
      </c>
      <c r="O59" s="143" t="str">
        <f t="shared" si="1"/>
        <v/>
      </c>
      <c r="P59" s="143" t="str">
        <f t="shared" si="2"/>
        <v/>
      </c>
      <c r="Q59" s="144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39" t="str">
        <f>IF(historico_VU!A8="","",historico_VU!A8)</f>
        <v/>
      </c>
      <c r="B60" s="140" t="str">
        <f>IF(A60="","",historico_VU!B8)</f>
        <v/>
      </c>
      <c r="C60" s="141" t="str">
        <f>IF(A60="","",historico_VU!C8)</f>
        <v/>
      </c>
      <c r="D60" s="141" t="str">
        <f>IF(A60="","",historico_VU!D8)</f>
        <v/>
      </c>
      <c r="E60" s="141" t="str">
        <f>IF(A60="","",historico_VU!E8)</f>
        <v/>
      </c>
      <c r="F60" s="141" t="str">
        <f>IF(A60="","",historico_VU!F8)</f>
        <v/>
      </c>
      <c r="G60" s="141" t="str">
        <f>IF(A60="","",historico_VU!G8)</f>
        <v/>
      </c>
      <c r="H60" s="142" t="str">
        <f>IF(A60="","",historico_VU!H8)</f>
        <v/>
      </c>
      <c r="I60" s="57"/>
      <c r="J60" s="139" t="str">
        <f>IF(itens_Remanesc!A8="","",itens_Remanesc!A8)</f>
        <v/>
      </c>
      <c r="K60" s="140" t="str">
        <f>IF(J60="","",IF($F$4="C0",itens_Remanesc!B8,IF($F$4="C1",itens_Remanesc!E8,IF($F$4="C2",itens_Remanesc!G8,IF($F$4="C3",itens_Remanesc!I8,itens_Remanesc!K8)))))</f>
        <v/>
      </c>
      <c r="L60" s="140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43" t="str">
        <f>IF(J60="","",itens_Remanesc!C8)</f>
        <v/>
      </c>
      <c r="N60" s="143" t="str">
        <f>IF(J60="","",IF($F$4="C0",historico_VU!C8,IF($F$4="C1",historico_VU!D8,IF($F$4="C2",historico_VU!E8,IF($F$4="C3",historico_VU!F8,historico_VU!G8)))))</f>
        <v/>
      </c>
      <c r="O60" s="143" t="str">
        <f t="shared" si="1"/>
        <v/>
      </c>
      <c r="P60" s="143" t="str">
        <f t="shared" si="2"/>
        <v/>
      </c>
      <c r="Q60" s="144" t="str">
        <f t="shared" si="3"/>
        <v/>
      </c>
      <c r="V60" s="207" t="s">
        <v>453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39" t="str">
        <f>IF(historico_VU!A9="","",historico_VU!A9)</f>
        <v/>
      </c>
      <c r="B61" s="140" t="str">
        <f>IF(A61="","",historico_VU!B9)</f>
        <v/>
      </c>
      <c r="C61" s="141" t="str">
        <f>IF(A61="","",historico_VU!C9)</f>
        <v/>
      </c>
      <c r="D61" s="141" t="str">
        <f>IF(A61="","",historico_VU!D9)</f>
        <v/>
      </c>
      <c r="E61" s="141" t="str">
        <f>IF(A61="","",historico_VU!E9)</f>
        <v/>
      </c>
      <c r="F61" s="141" t="str">
        <f>IF(A61="","",historico_VU!F9)</f>
        <v/>
      </c>
      <c r="G61" s="141" t="str">
        <f>IF(A61="","",historico_VU!G9)</f>
        <v/>
      </c>
      <c r="H61" s="142" t="str">
        <f>IF(A61="","",historico_VU!H9)</f>
        <v/>
      </c>
      <c r="I61" s="57"/>
      <c r="J61" s="139" t="str">
        <f>IF(itens_Remanesc!A9="","",itens_Remanesc!A9)</f>
        <v/>
      </c>
      <c r="K61" s="140" t="str">
        <f>IF(J61="","",IF($F$4="C0",itens_Remanesc!B9,IF($F$4="C1",itens_Remanesc!E9,IF($F$4="C2",itens_Remanesc!G9,IF($F$4="C3",itens_Remanesc!I9,itens_Remanesc!K9)))))</f>
        <v/>
      </c>
      <c r="L61" s="140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43" t="str">
        <f>IF(J61="","",itens_Remanesc!C9)</f>
        <v/>
      </c>
      <c r="N61" s="143" t="str">
        <f>IF(J61="","",IF($F$4="C0",historico_VU!C9,IF($F$4="C1",historico_VU!D9,IF($F$4="C2",historico_VU!E9,IF($F$4="C3",historico_VU!F9,historico_VU!G9)))))</f>
        <v/>
      </c>
      <c r="O61" s="143" t="str">
        <f t="shared" si="1"/>
        <v/>
      </c>
      <c r="P61" s="143" t="str">
        <f t="shared" si="2"/>
        <v/>
      </c>
      <c r="Q61" s="144" t="str">
        <f t="shared" si="3"/>
        <v/>
      </c>
      <c r="V61" s="208" t="s">
        <v>454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39" t="str">
        <f>IF(historico_VU!A10="","",historico_VU!A10)</f>
        <v/>
      </c>
      <c r="B62" s="140" t="str">
        <f>IF(A62="","",historico_VU!B10)</f>
        <v/>
      </c>
      <c r="C62" s="141" t="str">
        <f>IF(A62="","",historico_VU!C10)</f>
        <v/>
      </c>
      <c r="D62" s="141" t="str">
        <f>IF(A62="","",historico_VU!D10)</f>
        <v/>
      </c>
      <c r="E62" s="141" t="str">
        <f>IF(A62="","",historico_VU!E10)</f>
        <v/>
      </c>
      <c r="F62" s="141" t="str">
        <f>IF(A62="","",historico_VU!F10)</f>
        <v/>
      </c>
      <c r="G62" s="141" t="str">
        <f>IF(A62="","",historico_VU!G10)</f>
        <v/>
      </c>
      <c r="H62" s="142" t="str">
        <f>IF(A62="","",historico_VU!H10)</f>
        <v/>
      </c>
      <c r="I62" s="57"/>
      <c r="J62" s="139" t="str">
        <f>IF(itens_Remanesc!A10="","",itens_Remanesc!A10)</f>
        <v/>
      </c>
      <c r="K62" s="140" t="str">
        <f>IF(J62="","",IF($F$4="C0",itens_Remanesc!B10,IF($F$4="C1",itens_Remanesc!E10,IF($F$4="C2",itens_Remanesc!G10,IF($F$4="C3",itens_Remanesc!I10,itens_Remanesc!K10)))))</f>
        <v/>
      </c>
      <c r="L62" s="140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43" t="str">
        <f>IF(J62="","",itens_Remanesc!C10)</f>
        <v/>
      </c>
      <c r="N62" s="143" t="str">
        <f>IF(J62="","",IF($F$4="C0",historico_VU!C10,IF($F$4="C1",historico_VU!D10,IF($F$4="C2",historico_VU!E10,IF($F$4="C3",historico_VU!F10,historico_VU!G10)))))</f>
        <v/>
      </c>
      <c r="O62" s="143" t="str">
        <f t="shared" si="1"/>
        <v/>
      </c>
      <c r="P62" s="143" t="str">
        <f t="shared" si="2"/>
        <v/>
      </c>
      <c r="Q62" s="144" t="str">
        <f t="shared" si="3"/>
        <v/>
      </c>
      <c r="V62" s="208" t="s">
        <v>455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39" t="str">
        <f>IF(historico_VU!A11="","",historico_VU!A11)</f>
        <v/>
      </c>
      <c r="B63" s="140" t="str">
        <f>IF(A63="","",historico_VU!B11)</f>
        <v/>
      </c>
      <c r="C63" s="141" t="str">
        <f>IF(A63="","",historico_VU!C11)</f>
        <v/>
      </c>
      <c r="D63" s="141" t="str">
        <f>IF(A63="","",historico_VU!D11)</f>
        <v/>
      </c>
      <c r="E63" s="141" t="str">
        <f>IF(A63="","",historico_VU!E11)</f>
        <v/>
      </c>
      <c r="F63" s="141" t="str">
        <f>IF(A63="","",historico_VU!F11)</f>
        <v/>
      </c>
      <c r="G63" s="141" t="str">
        <f>IF(A63="","",historico_VU!G11)</f>
        <v/>
      </c>
      <c r="H63" s="142" t="str">
        <f>IF(A63="","",historico_VU!H11)</f>
        <v/>
      </c>
      <c r="I63" s="57"/>
      <c r="J63" s="139" t="str">
        <f>IF(itens_Remanesc!A11="","",itens_Remanesc!A11)</f>
        <v/>
      </c>
      <c r="K63" s="140" t="str">
        <f>IF(J63="","",IF($F$4="C0",itens_Remanesc!B11,IF($F$4="C1",itens_Remanesc!E11,IF($F$4="C2",itens_Remanesc!G11,IF($F$4="C3",itens_Remanesc!I11,itens_Remanesc!K11)))))</f>
        <v/>
      </c>
      <c r="L63" s="140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43" t="str">
        <f>IF(J63="","",itens_Remanesc!C11)</f>
        <v/>
      </c>
      <c r="N63" s="143" t="str">
        <f>IF(J63="","",IF($F$4="C0",historico_VU!C11,IF($F$4="C1",historico_VU!D11,IF($F$4="C2",historico_VU!E11,IF($F$4="C3",historico_VU!F11,historico_VU!G11)))))</f>
        <v/>
      </c>
      <c r="O63" s="143" t="str">
        <f t="shared" si="1"/>
        <v/>
      </c>
      <c r="P63" s="143" t="str">
        <f t="shared" si="2"/>
        <v/>
      </c>
      <c r="Q63" s="144" t="str">
        <f t="shared" si="3"/>
        <v/>
      </c>
      <c r="V63" s="208" t="s">
        <v>456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39" t="str">
        <f>IF(historico_VU!A12="","",historico_VU!A12)</f>
        <v/>
      </c>
      <c r="B64" s="140" t="str">
        <f>IF(A64="","",historico_VU!B12)</f>
        <v/>
      </c>
      <c r="C64" s="141" t="str">
        <f>IF(A64="","",historico_VU!C12)</f>
        <v/>
      </c>
      <c r="D64" s="141" t="str">
        <f>IF(A64="","",historico_VU!D12)</f>
        <v/>
      </c>
      <c r="E64" s="141" t="str">
        <f>IF(A64="","",historico_VU!E12)</f>
        <v/>
      </c>
      <c r="F64" s="141" t="str">
        <f>IF(A64="","",historico_VU!F12)</f>
        <v/>
      </c>
      <c r="G64" s="141" t="str">
        <f>IF(A64="","",historico_VU!G12)</f>
        <v/>
      </c>
      <c r="H64" s="142" t="str">
        <f>IF(A64="","",historico_VU!H12)</f>
        <v/>
      </c>
      <c r="I64" s="57"/>
      <c r="J64" s="139" t="str">
        <f>IF(itens_Remanesc!A12="","",itens_Remanesc!A12)</f>
        <v/>
      </c>
      <c r="K64" s="140" t="str">
        <f>IF(J64="","",IF($F$4="C0",itens_Remanesc!B12,IF($F$4="C1",itens_Remanesc!E12,IF($F$4="C2",itens_Remanesc!G12,IF($F$4="C3",itens_Remanesc!I12,itens_Remanesc!K12)))))</f>
        <v/>
      </c>
      <c r="L64" s="140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43" t="str">
        <f>IF(J64="","",itens_Remanesc!C12)</f>
        <v/>
      </c>
      <c r="N64" s="143" t="str">
        <f>IF(J64="","",IF($F$4="C0",historico_VU!C12,IF($F$4="C1",historico_VU!D12,IF($F$4="C2",historico_VU!E12,IF($F$4="C3",historico_VU!F12,historico_VU!G12)))))</f>
        <v/>
      </c>
      <c r="O64" s="143" t="str">
        <f t="shared" si="1"/>
        <v/>
      </c>
      <c r="P64" s="143" t="str">
        <f t="shared" si="2"/>
        <v/>
      </c>
      <c r="Q64" s="144" t="str">
        <f t="shared" si="3"/>
        <v/>
      </c>
      <c r="V64" s="208" t="s">
        <v>457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39" t="str">
        <f>IF(historico_VU!A13="","",historico_VU!A13)</f>
        <v/>
      </c>
      <c r="B65" s="140" t="str">
        <f>IF(A65="","",historico_VU!B13)</f>
        <v/>
      </c>
      <c r="C65" s="141" t="str">
        <f>IF(A65="","",historico_VU!C13)</f>
        <v/>
      </c>
      <c r="D65" s="141" t="str">
        <f>IF(A65="","",historico_VU!D13)</f>
        <v/>
      </c>
      <c r="E65" s="141" t="str">
        <f>IF(A65="","",historico_VU!E13)</f>
        <v/>
      </c>
      <c r="F65" s="141" t="str">
        <f>IF(A65="","",historico_VU!F13)</f>
        <v/>
      </c>
      <c r="G65" s="141" t="str">
        <f>IF(A65="","",historico_VU!G13)</f>
        <v/>
      </c>
      <c r="H65" s="142" t="str">
        <f>IF(A65="","",historico_VU!H13)</f>
        <v/>
      </c>
      <c r="I65" s="57"/>
      <c r="J65" s="139" t="str">
        <f>IF(itens_Remanesc!A13="","",itens_Remanesc!A13)</f>
        <v/>
      </c>
      <c r="K65" s="140" t="str">
        <f>IF(J65="","",IF($F$4="C0",itens_Remanesc!B13,IF($F$4="C1",itens_Remanesc!E13,IF($F$4="C2",itens_Remanesc!G13,IF($F$4="C3",itens_Remanesc!I13,itens_Remanesc!K13)))))</f>
        <v/>
      </c>
      <c r="L65" s="140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43" t="str">
        <f>IF(J65="","",itens_Remanesc!C13)</f>
        <v/>
      </c>
      <c r="N65" s="143" t="str">
        <f>IF(J65="","",IF($F$4="C0",historico_VU!C13,IF($F$4="C1",historico_VU!D13,IF($F$4="C2",historico_VU!E13,IF($F$4="C3",historico_VU!F13,historico_VU!G13)))))</f>
        <v/>
      </c>
      <c r="O65" s="143" t="str">
        <f t="shared" si="1"/>
        <v/>
      </c>
      <c r="P65" s="143" t="str">
        <f t="shared" si="2"/>
        <v/>
      </c>
      <c r="Q65" s="144" t="str">
        <f t="shared" si="3"/>
        <v/>
      </c>
      <c r="V65" s="208" t="s">
        <v>458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39" t="str">
        <f>IF(historico_VU!A14="","",historico_VU!A14)</f>
        <v/>
      </c>
      <c r="B66" s="140" t="str">
        <f>IF(A66="","",historico_VU!B14)</f>
        <v/>
      </c>
      <c r="C66" s="141" t="str">
        <f>IF(A66="","",historico_VU!C14)</f>
        <v/>
      </c>
      <c r="D66" s="141" t="str">
        <f>IF(A66="","",historico_VU!D14)</f>
        <v/>
      </c>
      <c r="E66" s="141" t="str">
        <f>IF(A66="","",historico_VU!E14)</f>
        <v/>
      </c>
      <c r="F66" s="141" t="str">
        <f>IF(A66="","",historico_VU!F14)</f>
        <v/>
      </c>
      <c r="G66" s="141" t="str">
        <f>IF(A66="","",historico_VU!G14)</f>
        <v/>
      </c>
      <c r="H66" s="142" t="str">
        <f>IF(A66="","",historico_VU!H14)</f>
        <v/>
      </c>
      <c r="I66" s="57"/>
      <c r="J66" s="139" t="str">
        <f>IF(itens_Remanesc!A14="","",itens_Remanesc!A14)</f>
        <v/>
      </c>
      <c r="K66" s="140" t="str">
        <f>IF(J66="","",IF($F$4="C0",itens_Remanesc!B14,IF($F$4="C1",itens_Remanesc!E14,IF($F$4="C2",itens_Remanesc!G14,IF($F$4="C3",itens_Remanesc!I14,itens_Remanesc!K14)))))</f>
        <v/>
      </c>
      <c r="L66" s="140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43" t="str">
        <f>IF(J66="","",itens_Remanesc!C14)</f>
        <v/>
      </c>
      <c r="N66" s="143" t="str">
        <f>IF(J66="","",IF($F$4="C0",historico_VU!C14,IF($F$4="C1",historico_VU!D14,IF($F$4="C2",historico_VU!E14,IF($F$4="C3",historico_VU!F14,historico_VU!G14)))))</f>
        <v/>
      </c>
      <c r="O66" s="143" t="str">
        <f t="shared" si="1"/>
        <v/>
      </c>
      <c r="P66" s="143" t="str">
        <f t="shared" si="2"/>
        <v/>
      </c>
      <c r="Q66" s="144" t="str">
        <f t="shared" si="3"/>
        <v/>
      </c>
      <c r="V66" s="208" t="s">
        <v>459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39" t="str">
        <f>IF(historico_VU!A15="","",historico_VU!A15)</f>
        <v/>
      </c>
      <c r="B67" s="140" t="str">
        <f>IF(A67="","",historico_VU!B15)</f>
        <v/>
      </c>
      <c r="C67" s="141" t="str">
        <f>IF(A67="","",historico_VU!C15)</f>
        <v/>
      </c>
      <c r="D67" s="141" t="str">
        <f>IF(A67="","",historico_VU!D15)</f>
        <v/>
      </c>
      <c r="E67" s="141" t="str">
        <f>IF(A67="","",historico_VU!E15)</f>
        <v/>
      </c>
      <c r="F67" s="141" t="str">
        <f>IF(A67="","",historico_VU!F15)</f>
        <v/>
      </c>
      <c r="G67" s="141" t="str">
        <f>IF(A67="","",historico_VU!G15)</f>
        <v/>
      </c>
      <c r="H67" s="142" t="str">
        <f>IF(A67="","",historico_VU!H15)</f>
        <v/>
      </c>
      <c r="I67" s="57"/>
      <c r="J67" s="139" t="str">
        <f>IF(itens_Remanesc!A15="","",itens_Remanesc!A15)</f>
        <v/>
      </c>
      <c r="K67" s="140" t="str">
        <f>IF(J67="","",IF($F$4="C0",itens_Remanesc!B15,IF($F$4="C1",itens_Remanesc!E15,IF($F$4="C2",itens_Remanesc!G15,IF($F$4="C3",itens_Remanesc!I15,itens_Remanesc!K15)))))</f>
        <v/>
      </c>
      <c r="L67" s="140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43" t="str">
        <f>IF(J67="","",itens_Remanesc!C15)</f>
        <v/>
      </c>
      <c r="N67" s="143" t="str">
        <f>IF(J67="","",IF($F$4="C0",historico_VU!C15,IF($F$4="C1",historico_VU!D15,IF($F$4="C2",historico_VU!E15,IF($F$4="C3",historico_VU!F15,historico_VU!G15)))))</f>
        <v/>
      </c>
      <c r="O67" s="143" t="str">
        <f t="shared" si="1"/>
        <v/>
      </c>
      <c r="P67" s="143" t="str">
        <f t="shared" si="2"/>
        <v/>
      </c>
      <c r="Q67" s="144" t="str">
        <f t="shared" si="3"/>
        <v/>
      </c>
      <c r="V67" s="208" t="s">
        <v>460</v>
      </c>
      <c r="W67" t="str">
        <f>IF($W$46="","",IF($B$4="Financeiro",SUMPRODUCT((ROW($W$61:$W$65)-ROW($W$61)&lt;$W$46)*$W$61:$W$65),IF(NOT(ISNUMBER($T$21)),"",$T$21+SUMPRODUCT((ROW(itens_PC!$O$3:$O$7)-3&gt;=1)*(ROW(itens_PC!$O$3:$O$7)-3&lt;$W$46)*(itens_PC!$O$3:$O$7+itens_PC!$Q$3:$Q$7)))))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39" t="str">
        <f>IF(historico_VU!A16="","",historico_VU!A16)</f>
        <v/>
      </c>
      <c r="B68" s="140" t="str">
        <f>IF(A68="","",historico_VU!B16)</f>
        <v/>
      </c>
      <c r="C68" s="141" t="str">
        <f>IF(A68="","",historico_VU!C16)</f>
        <v/>
      </c>
      <c r="D68" s="141" t="str">
        <f>IF(A68="","",historico_VU!D16)</f>
        <v/>
      </c>
      <c r="E68" s="141" t="str">
        <f>IF(A68="","",historico_VU!E16)</f>
        <v/>
      </c>
      <c r="F68" s="141" t="str">
        <f>IF(A68="","",historico_VU!F16)</f>
        <v/>
      </c>
      <c r="G68" s="141" t="str">
        <f>IF(A68="","",historico_VU!G16)</f>
        <v/>
      </c>
      <c r="H68" s="142" t="str">
        <f>IF(A68="","",historico_VU!H16)</f>
        <v/>
      </c>
      <c r="I68" s="57"/>
      <c r="J68" s="139" t="str">
        <f>IF(itens_Remanesc!A16="","",itens_Remanesc!A16)</f>
        <v/>
      </c>
      <c r="K68" s="140" t="str">
        <f>IF(J68="","",IF($F$4="C0",itens_Remanesc!B16,IF($F$4="C1",itens_Remanesc!E16,IF($F$4="C2",itens_Remanesc!G16,IF($F$4="C3",itens_Remanesc!I16,itens_Remanesc!K16)))))</f>
        <v/>
      </c>
      <c r="L68" s="140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43" t="str">
        <f>IF(J68="","",itens_Remanesc!C16)</f>
        <v/>
      </c>
      <c r="N68" s="143" t="str">
        <f>IF(J68="","",IF($F$4="C0",historico_VU!C16,IF($F$4="C1",historico_VU!D16,IF($F$4="C2",historico_VU!E16,IF($F$4="C3",historico_VU!F16,historico_VU!G16)))))</f>
        <v/>
      </c>
      <c r="O68" s="143" t="str">
        <f t="shared" si="1"/>
        <v/>
      </c>
      <c r="P68" s="143" t="str">
        <f t="shared" si="2"/>
        <v/>
      </c>
      <c r="Q68" s="144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39" t="str">
        <f>IF(historico_VU!A17="","",historico_VU!A17)</f>
        <v/>
      </c>
      <c r="B69" s="140" t="str">
        <f>IF(A69="","",historico_VU!B17)</f>
        <v/>
      </c>
      <c r="C69" s="141" t="str">
        <f>IF(A69="","",historico_VU!C17)</f>
        <v/>
      </c>
      <c r="D69" s="141" t="str">
        <f>IF(A69="","",historico_VU!D17)</f>
        <v/>
      </c>
      <c r="E69" s="141" t="str">
        <f>IF(A69="","",historico_VU!E17)</f>
        <v/>
      </c>
      <c r="F69" s="141" t="str">
        <f>IF(A69="","",historico_VU!F17)</f>
        <v/>
      </c>
      <c r="G69" s="141" t="str">
        <f>IF(A69="","",historico_VU!G17)</f>
        <v/>
      </c>
      <c r="H69" s="142" t="str">
        <f>IF(A69="","",historico_VU!H17)</f>
        <v/>
      </c>
      <c r="I69" s="57"/>
      <c r="J69" s="139" t="str">
        <f>IF(itens_Remanesc!A17="","",itens_Remanesc!A17)</f>
        <v/>
      </c>
      <c r="K69" s="140" t="str">
        <f>IF(J69="","",IF($F$4="C0",itens_Remanesc!B17,IF($F$4="C1",itens_Remanesc!E17,IF($F$4="C2",itens_Remanesc!G17,IF($F$4="C3",itens_Remanesc!I17,itens_Remanesc!K17)))))</f>
        <v/>
      </c>
      <c r="L69" s="140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43" t="str">
        <f>IF(J69="","",itens_Remanesc!C17)</f>
        <v/>
      </c>
      <c r="N69" s="143" t="str">
        <f>IF(J69="","",IF($F$4="C0",historico_VU!C17,IF($F$4="C1",historico_VU!D17,IF($F$4="C2",historico_VU!E17,IF($F$4="C3",historico_VU!F17,historico_VU!G17)))))</f>
        <v/>
      </c>
      <c r="O69" s="143" t="str">
        <f t="shared" si="1"/>
        <v/>
      </c>
      <c r="P69" s="143" t="str">
        <f t="shared" si="2"/>
        <v/>
      </c>
      <c r="Q69" s="144" t="str">
        <f t="shared" si="3"/>
        <v/>
      </c>
      <c r="S69" s="387" t="s">
        <v>561</v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39" t="str">
        <f>IF(historico_VU!A18="","",historico_VU!A18)</f>
        <v/>
      </c>
      <c r="B70" s="140" t="str">
        <f>IF(A70="","",historico_VU!B18)</f>
        <v/>
      </c>
      <c r="C70" s="141" t="str">
        <f>IF(A70="","",historico_VU!C18)</f>
        <v/>
      </c>
      <c r="D70" s="141" t="str">
        <f>IF(A70="","",historico_VU!D18)</f>
        <v/>
      </c>
      <c r="E70" s="141" t="str">
        <f>IF(A70="","",historico_VU!E18)</f>
        <v/>
      </c>
      <c r="F70" s="141" t="str">
        <f>IF(A70="","",historico_VU!F18)</f>
        <v/>
      </c>
      <c r="G70" s="141" t="str">
        <f>IF(A70="","",historico_VU!G18)</f>
        <v/>
      </c>
      <c r="H70" s="142" t="str">
        <f>IF(A70="","",historico_VU!H18)</f>
        <v/>
      </c>
      <c r="I70" s="57"/>
      <c r="J70" s="139" t="str">
        <f>IF(itens_Remanesc!A18="","",itens_Remanesc!A18)</f>
        <v/>
      </c>
      <c r="K70" s="140" t="str">
        <f>IF(J70="","",IF($F$4="C0",itens_Remanesc!B18,IF($F$4="C1",itens_Remanesc!E18,IF($F$4="C2",itens_Remanesc!G18,IF($F$4="C3",itens_Remanesc!I18,itens_Remanesc!K18)))))</f>
        <v/>
      </c>
      <c r="L70" s="140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43" t="str">
        <f>IF(J70="","",itens_Remanesc!C18)</f>
        <v/>
      </c>
      <c r="N70" s="143" t="str">
        <f>IF(J70="","",IF($F$4="C0",historico_VU!C18,IF($F$4="C1",historico_VU!D18,IF($F$4="C2",historico_VU!E18,IF($F$4="C3",historico_VU!F18,historico_VU!G18)))))</f>
        <v/>
      </c>
      <c r="O70" s="143" t="str">
        <f t="shared" si="1"/>
        <v/>
      </c>
      <c r="P70" s="143" t="str">
        <f t="shared" si="2"/>
        <v/>
      </c>
      <c r="Q70" s="144" t="str">
        <f t="shared" si="3"/>
        <v/>
      </c>
      <c r="S70" t="s">
        <v>562</v>
      </c>
      <c r="T70" s="388" t="str">
        <f>IF($T$75&lt;&gt;"AJUSTE APLICADO","",ROUND(SUM(itens_Consumidos!$AB$2:$AB$6)+SUM(itens_Consumidos!$AC$2:$AC$6),2))</f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39" t="str">
        <f>IF(historico_VU!A19="","",historico_VU!A19)</f>
        <v/>
      </c>
      <c r="B71" s="140" t="str">
        <f>IF(A71="","",historico_VU!B19)</f>
        <v/>
      </c>
      <c r="C71" s="141" t="str">
        <f>IF(A71="","",historico_VU!C19)</f>
        <v/>
      </c>
      <c r="D71" s="141" t="str">
        <f>IF(A71="","",historico_VU!D19)</f>
        <v/>
      </c>
      <c r="E71" s="141" t="str">
        <f>IF(A71="","",historico_VU!E19)</f>
        <v/>
      </c>
      <c r="F71" s="141" t="str">
        <f>IF(A71="","",historico_VU!F19)</f>
        <v/>
      </c>
      <c r="G71" s="141" t="str">
        <f>IF(A71="","",historico_VU!G19)</f>
        <v/>
      </c>
      <c r="H71" s="142" t="str">
        <f>IF(A71="","",historico_VU!H19)</f>
        <v/>
      </c>
      <c r="I71" s="57"/>
      <c r="J71" s="139" t="str">
        <f>IF(itens_Remanesc!A19="","",itens_Remanesc!A19)</f>
        <v/>
      </c>
      <c r="K71" s="140" t="str">
        <f>IF(J71="","",IF($F$4="C0",itens_Remanesc!B19,IF($F$4="C1",itens_Remanesc!E19,IF($F$4="C2",itens_Remanesc!G19,IF($F$4="C3",itens_Remanesc!I19,itens_Remanesc!K19)))))</f>
        <v/>
      </c>
      <c r="L71" s="140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43" t="str">
        <f>IF(J71="","",itens_Remanesc!C19)</f>
        <v/>
      </c>
      <c r="N71" s="143" t="str">
        <f>IF(J71="","",IF($F$4="C0",historico_VU!C19,IF($F$4="C1",historico_VU!D19,IF($F$4="C2",historico_VU!E19,IF($F$4="C3",historico_VU!F19,historico_VU!G19)))))</f>
        <v/>
      </c>
      <c r="O71" s="143" t="str">
        <f t="shared" si="1"/>
        <v/>
      </c>
      <c r="P71" s="143" t="str">
        <f t="shared" si="2"/>
        <v/>
      </c>
      <c r="Q71" s="144" t="str">
        <f t="shared" si="3"/>
        <v/>
      </c>
      <c r="S71" t="s">
        <v>563</v>
      </c>
      <c r="T71" s="388" t="str">
        <f>IF($T$75&lt;&gt;"AJUSTE APLICADO","",ROUND(SUM(itens_Consumidos!$AC$2:$AC$6),2))</f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39" t="str">
        <f>IF(historico_VU!A20="","",historico_VU!A20)</f>
        <v/>
      </c>
      <c r="B72" s="140" t="str">
        <f>IF(A72="","",historico_VU!B20)</f>
        <v/>
      </c>
      <c r="C72" s="141" t="str">
        <f>IF(A72="","",historico_VU!C20)</f>
        <v/>
      </c>
      <c r="D72" s="141" t="str">
        <f>IF(A72="","",historico_VU!D20)</f>
        <v/>
      </c>
      <c r="E72" s="141" t="str">
        <f>IF(A72="","",historico_VU!E20)</f>
        <v/>
      </c>
      <c r="F72" s="141" t="str">
        <f>IF(A72="","",historico_VU!F20)</f>
        <v/>
      </c>
      <c r="G72" s="141" t="str">
        <f>IF(A72="","",historico_VU!G20)</f>
        <v/>
      </c>
      <c r="H72" s="142" t="str">
        <f>IF(A72="","",historico_VU!H20)</f>
        <v/>
      </c>
      <c r="I72" s="57"/>
      <c r="J72" s="139" t="str">
        <f>IF(itens_Remanesc!A20="","",itens_Remanesc!A20)</f>
        <v/>
      </c>
      <c r="K72" s="140" t="str">
        <f>IF(J72="","",IF($F$4="C0",itens_Remanesc!B20,IF($F$4="C1",itens_Remanesc!E20,IF($F$4="C2",itens_Remanesc!G20,IF($F$4="C3",itens_Remanesc!I20,itens_Remanesc!K20)))))</f>
        <v/>
      </c>
      <c r="L72" s="140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43" t="str">
        <f>IF(J72="","",itens_Remanesc!C20)</f>
        <v/>
      </c>
      <c r="N72" s="143" t="str">
        <f>IF(J72="","",IF($F$4="C0",historico_VU!C20,IF($F$4="C1",historico_VU!D20,IF($F$4="C2",historico_VU!E20,IF($F$4="C3",historico_VU!F20,historico_VU!G20)))))</f>
        <v/>
      </c>
      <c r="O72" s="143" t="str">
        <f t="shared" si="1"/>
        <v/>
      </c>
      <c r="P72" s="143" t="str">
        <f t="shared" si="2"/>
        <v/>
      </c>
      <c r="Q72" s="144" t="str">
        <f t="shared" si="3"/>
        <v/>
      </c>
      <c r="S72" t="s">
        <v>564</v>
      </c>
      <c r="T72" s="388" t="str">
        <f>IF($T$75&lt;&gt;"AJUSTE APLICADO","",ROUND(SUM(itens_Consumidos!$AB$2:$AB$6),2))</f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39" t="str">
        <f>IF(historico_VU!A21="","",historico_VU!A21)</f>
        <v/>
      </c>
      <c r="B73" s="140" t="str">
        <f>IF(A73="","",historico_VU!B21)</f>
        <v/>
      </c>
      <c r="C73" s="141" t="str">
        <f>IF(A73="","",historico_VU!C21)</f>
        <v/>
      </c>
      <c r="D73" s="141" t="str">
        <f>IF(A73="","",historico_VU!D21)</f>
        <v/>
      </c>
      <c r="E73" s="141" t="str">
        <f>IF(A73="","",historico_VU!E21)</f>
        <v/>
      </c>
      <c r="F73" s="141" t="str">
        <f>IF(A73="","",historico_VU!F21)</f>
        <v/>
      </c>
      <c r="G73" s="141" t="str">
        <f>IF(A73="","",historico_VU!G21)</f>
        <v/>
      </c>
      <c r="H73" s="142" t="str">
        <f>IF(A73="","",historico_VU!H21)</f>
        <v/>
      </c>
      <c r="I73" s="57"/>
      <c r="J73" s="139" t="str">
        <f>IF(itens_Remanesc!A21="","",itens_Remanesc!A21)</f>
        <v/>
      </c>
      <c r="K73" s="140" t="str">
        <f>IF(J73="","",IF($F$4="C0",itens_Remanesc!B21,IF($F$4="C1",itens_Remanesc!E21,IF($F$4="C2",itens_Remanesc!G21,IF($F$4="C3",itens_Remanesc!I21,itens_Remanesc!K21)))))</f>
        <v/>
      </c>
      <c r="L73" s="140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43" t="str">
        <f>IF(J73="","",itens_Remanesc!C21)</f>
        <v/>
      </c>
      <c r="N73" s="143" t="str">
        <f>IF(J73="","",IF($F$4="C0",historico_VU!C21,IF($F$4="C1",historico_VU!D21,IF($F$4="C2",historico_VU!E21,IF($F$4="C3",historico_VU!F21,historico_VU!G21)))))</f>
        <v/>
      </c>
      <c r="O73" s="143" t="str">
        <f t="shared" si="1"/>
        <v/>
      </c>
      <c r="P73" s="143" t="str">
        <f t="shared" si="2"/>
        <v/>
      </c>
      <c r="Q73" s="144" t="str">
        <f t="shared" si="3"/>
        <v/>
      </c>
      <c r="S73" t="s">
        <v>565</v>
      </c>
      <c r="T73" s="388" t="str">
        <f>IF($T$75&lt;&gt;"AJUSTE APLICADO","",ROUND(SUM(itens_Consumidos!$AE$2:$AE$6),2))</f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39" t="str">
        <f>IF(historico_VU!A22="","",historico_VU!A22)</f>
        <v/>
      </c>
      <c r="B74" s="140" t="str">
        <f>IF(A74="","",historico_VU!B22)</f>
        <v/>
      </c>
      <c r="C74" s="141" t="str">
        <f>IF(A74="","",historico_VU!C22)</f>
        <v/>
      </c>
      <c r="D74" s="141" t="str">
        <f>IF(A74="","",historico_VU!D22)</f>
        <v/>
      </c>
      <c r="E74" s="141" t="str">
        <f>IF(A74="","",historico_VU!E22)</f>
        <v/>
      </c>
      <c r="F74" s="141" t="str">
        <f>IF(A74="","",historico_VU!F22)</f>
        <v/>
      </c>
      <c r="G74" s="141" t="str">
        <f>IF(A74="","",historico_VU!G22)</f>
        <v/>
      </c>
      <c r="H74" s="142" t="str">
        <f>IF(A74="","",historico_VU!H22)</f>
        <v/>
      </c>
      <c r="I74" s="57"/>
      <c r="J74" s="139" t="str">
        <f>IF(itens_Remanesc!A22="","",itens_Remanesc!A22)</f>
        <v/>
      </c>
      <c r="K74" s="140" t="str">
        <f>IF(J74="","",IF($F$4="C0",itens_Remanesc!B22,IF($F$4="C1",itens_Remanesc!E22,IF($F$4="C2",itens_Remanesc!G22,IF($F$4="C3",itens_Remanesc!I22,itens_Remanesc!K22)))))</f>
        <v/>
      </c>
      <c r="L74" s="140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43" t="str">
        <f>IF(J74="","",itens_Remanesc!C22)</f>
        <v/>
      </c>
      <c r="N74" s="143" t="str">
        <f>IF(J74="","",IF($F$4="C0",historico_VU!C22,IF($F$4="C1",historico_VU!D22,IF($F$4="C2",historico_VU!E22,IF($F$4="C3",historico_VU!F22,historico_VU!G22)))))</f>
        <v/>
      </c>
      <c r="O74" s="143" t="str">
        <f t="shared" si="1"/>
        <v/>
      </c>
      <c r="P74" s="143" t="str">
        <f t="shared" si="2"/>
        <v/>
      </c>
      <c r="Q74" s="144" t="str">
        <f t="shared" si="3"/>
        <v/>
      </c>
      <c r="S74" t="s">
        <v>566</v>
      </c>
      <c r="T74" s="388" t="str">
        <f>IF($T$75&lt;&gt;"AJUSTE APLICADO","",ROUND(SUM(itens_Consumidos!$AF$2:$AF$6),2))</f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39" t="str">
        <f>IF(historico_VU!A23="","",historico_VU!A23)</f>
        <v/>
      </c>
      <c r="B75" s="140" t="str">
        <f>IF(A75="","",historico_VU!B23)</f>
        <v/>
      </c>
      <c r="C75" s="141" t="str">
        <f>IF(A75="","",historico_VU!C23)</f>
        <v/>
      </c>
      <c r="D75" s="141" t="str">
        <f>IF(A75="","",historico_VU!D23)</f>
        <v/>
      </c>
      <c r="E75" s="141" t="str">
        <f>IF(A75="","",historico_VU!E23)</f>
        <v/>
      </c>
      <c r="F75" s="141" t="str">
        <f>IF(A75="","",historico_VU!F23)</f>
        <v/>
      </c>
      <c r="G75" s="141" t="str">
        <f>IF(A75="","",historico_VU!G23)</f>
        <v/>
      </c>
      <c r="H75" s="142" t="str">
        <f>IF(A75="","",historico_VU!H23)</f>
        <v/>
      </c>
      <c r="I75" s="57"/>
      <c r="J75" s="139" t="str">
        <f>IF(itens_Remanesc!A23="","",itens_Remanesc!A23)</f>
        <v/>
      </c>
      <c r="K75" s="140" t="str">
        <f>IF(J75="","",IF($F$4="C0",itens_Remanesc!B23,IF($F$4="C1",itens_Remanesc!E23,IF($F$4="C2",itens_Remanesc!G23,IF($F$4="C3",itens_Remanesc!I23,itens_Remanesc!K23)))))</f>
        <v/>
      </c>
      <c r="L75" s="140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43" t="str">
        <f>IF(J75="","",itens_Remanesc!C23)</f>
        <v/>
      </c>
      <c r="N75" s="143" t="str">
        <f>IF(J75="","",IF($F$4="C0",historico_VU!C23,IF($F$4="C1",historico_VU!D23,IF($F$4="C2",historico_VU!E23,IF($F$4="C3",historico_VU!F23,historico_VU!G23)))))</f>
        <v/>
      </c>
      <c r="O75" s="143" t="str">
        <f t="shared" si="1"/>
        <v/>
      </c>
      <c r="P75" s="143" t="str">
        <f t="shared" si="2"/>
        <v/>
      </c>
      <c r="Q75" s="144" t="str">
        <f t="shared" si="3"/>
        <v/>
      </c>
      <c r="S75" t="s">
        <v>567</v>
      </c>
      <c r="T75" t="str">
        <f>IF(COUNTIF(itens_Consumidos!$AG$2:$AG$6,"REVISAR*")&gt;0,"REVISAR",IF(COUNTIF(itens_Consumidos!$AG$2:$AG$6,"AJUSTE APLICADO")=0,"SEM AJUSTE","AJUSTE APLICADO"))</f>
        <v>SEM AJUSTE</v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39" t="str">
        <f>IF(historico_VU!A24="","",historico_VU!A24)</f>
        <v/>
      </c>
      <c r="B76" s="140" t="str">
        <f>IF(A76="","",historico_VU!B24)</f>
        <v/>
      </c>
      <c r="C76" s="141" t="str">
        <f>IF(A76="","",historico_VU!C24)</f>
        <v/>
      </c>
      <c r="D76" s="141" t="str">
        <f>IF(A76="","",historico_VU!D24)</f>
        <v/>
      </c>
      <c r="E76" s="141" t="str">
        <f>IF(A76="","",historico_VU!E24)</f>
        <v/>
      </c>
      <c r="F76" s="141" t="str">
        <f>IF(A76="","",historico_VU!F24)</f>
        <v/>
      </c>
      <c r="G76" s="141" t="str">
        <f>IF(A76="","",historico_VU!G24)</f>
        <v/>
      </c>
      <c r="H76" s="142" t="str">
        <f>IF(A76="","",historico_VU!H24)</f>
        <v/>
      </c>
      <c r="I76" s="57"/>
      <c r="J76" s="139" t="str">
        <f>IF(itens_Remanesc!A24="","",itens_Remanesc!A24)</f>
        <v/>
      </c>
      <c r="K76" s="140" t="str">
        <f>IF(J76="","",IF($F$4="C0",itens_Remanesc!B24,IF($F$4="C1",itens_Remanesc!E24,IF($F$4="C2",itens_Remanesc!G24,IF($F$4="C3",itens_Remanesc!I24,itens_Remanesc!K24)))))</f>
        <v/>
      </c>
      <c r="L76" s="140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43" t="str">
        <f>IF(J76="","",itens_Remanesc!C24)</f>
        <v/>
      </c>
      <c r="N76" s="143" t="str">
        <f>IF(J76="","",IF($F$4="C0",historico_VU!C24,IF($F$4="C1",historico_VU!D24,IF($F$4="C2",historico_VU!E24,IF($F$4="C3",historico_VU!F24,historico_VU!G24)))))</f>
        <v/>
      </c>
      <c r="O76" s="143" t="str">
        <f t="shared" si="1"/>
        <v/>
      </c>
      <c r="P76" s="143" t="str">
        <f t="shared" si="2"/>
        <v/>
      </c>
      <c r="Q76" s="144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39" t="str">
        <f>IF(historico_VU!A25="","",historico_VU!A25)</f>
        <v/>
      </c>
      <c r="B77" s="140" t="str">
        <f>IF(A77="","",historico_VU!B25)</f>
        <v/>
      </c>
      <c r="C77" s="141" t="str">
        <f>IF(A77="","",historico_VU!C25)</f>
        <v/>
      </c>
      <c r="D77" s="141" t="str">
        <f>IF(A77="","",historico_VU!D25)</f>
        <v/>
      </c>
      <c r="E77" s="141" t="str">
        <f>IF(A77="","",historico_VU!E25)</f>
        <v/>
      </c>
      <c r="F77" s="141" t="str">
        <f>IF(A77="","",historico_VU!F25)</f>
        <v/>
      </c>
      <c r="G77" s="141" t="str">
        <f>IF(A77="","",historico_VU!G25)</f>
        <v/>
      </c>
      <c r="H77" s="142" t="str">
        <f>IF(A77="","",historico_VU!H25)</f>
        <v/>
      </c>
      <c r="I77" s="57"/>
      <c r="J77" s="139" t="str">
        <f>IF(itens_Remanesc!A25="","",itens_Remanesc!A25)</f>
        <v/>
      </c>
      <c r="K77" s="140" t="str">
        <f>IF(J77="","",IF($F$4="C0",itens_Remanesc!B25,IF($F$4="C1",itens_Remanesc!E25,IF($F$4="C2",itens_Remanesc!G25,IF($F$4="C3",itens_Remanesc!I25,itens_Remanesc!K25)))))</f>
        <v/>
      </c>
      <c r="L77" s="140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43" t="str">
        <f>IF(J77="","",itens_Remanesc!C25)</f>
        <v/>
      </c>
      <c r="N77" s="143" t="str">
        <f>IF(J77="","",IF($F$4="C0",historico_VU!C25,IF($F$4="C1",historico_VU!D25,IF($F$4="C2",historico_VU!E25,IF($F$4="C3",historico_VU!F25,historico_VU!G25)))))</f>
        <v/>
      </c>
      <c r="O77" s="143" t="str">
        <f t="shared" si="1"/>
        <v/>
      </c>
      <c r="P77" s="143" t="str">
        <f t="shared" si="2"/>
        <v/>
      </c>
      <c r="Q77" s="144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39" t="str">
        <f>IF(historico_VU!A26="","",historico_VU!A26)</f>
        <v/>
      </c>
      <c r="B78" s="140" t="str">
        <f>IF(A78="","",historico_VU!B26)</f>
        <v/>
      </c>
      <c r="C78" s="141" t="str">
        <f>IF(A78="","",historico_VU!C26)</f>
        <v/>
      </c>
      <c r="D78" s="141" t="str">
        <f>IF(A78="","",historico_VU!D26)</f>
        <v/>
      </c>
      <c r="E78" s="141" t="str">
        <f>IF(A78="","",historico_VU!E26)</f>
        <v/>
      </c>
      <c r="F78" s="141" t="str">
        <f>IF(A78="","",historico_VU!F26)</f>
        <v/>
      </c>
      <c r="G78" s="141" t="str">
        <f>IF(A78="","",historico_VU!G26)</f>
        <v/>
      </c>
      <c r="H78" s="142" t="str">
        <f>IF(A78="","",historico_VU!H26)</f>
        <v/>
      </c>
      <c r="I78" s="57"/>
      <c r="J78" s="139" t="str">
        <f>IF(itens_Remanesc!A26="","",itens_Remanesc!A26)</f>
        <v/>
      </c>
      <c r="K78" s="140" t="str">
        <f>IF(J78="","",IF($F$4="C0",itens_Remanesc!B26,IF($F$4="C1",itens_Remanesc!E26,IF($F$4="C2",itens_Remanesc!G26,IF($F$4="C3",itens_Remanesc!I26,itens_Remanesc!K26)))))</f>
        <v/>
      </c>
      <c r="L78" s="140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43" t="str">
        <f>IF(J78="","",itens_Remanesc!C26)</f>
        <v/>
      </c>
      <c r="N78" s="143" t="str">
        <f>IF(J78="","",IF($F$4="C0",historico_VU!C26,IF($F$4="C1",historico_VU!D26,IF($F$4="C2",historico_VU!E26,IF($F$4="C3",historico_VU!F26,historico_VU!G26)))))</f>
        <v/>
      </c>
      <c r="O78" s="143" t="str">
        <f t="shared" si="1"/>
        <v/>
      </c>
      <c r="P78" s="143" t="str">
        <f t="shared" si="2"/>
        <v/>
      </c>
      <c r="Q78" s="144" t="str">
        <f t="shared" si="3"/>
        <v/>
      </c>
      <c r="S78" t="s">
        <v>568</v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39" t="str">
        <f>IF(historico_VU!A27="","",historico_VU!A27)</f>
        <v/>
      </c>
      <c r="B79" s="140" t="str">
        <f>IF(A79="","",historico_VU!B27)</f>
        <v/>
      </c>
      <c r="C79" s="141" t="str">
        <f>IF(A79="","",historico_VU!C27)</f>
        <v/>
      </c>
      <c r="D79" s="141" t="str">
        <f>IF(A79="","",historico_VU!D27)</f>
        <v/>
      </c>
      <c r="E79" s="141" t="str">
        <f>IF(A79="","",historico_VU!E27)</f>
        <v/>
      </c>
      <c r="F79" s="141" t="str">
        <f>IF(A79="","",historico_VU!F27)</f>
        <v/>
      </c>
      <c r="G79" s="141" t="str">
        <f>IF(A79="","",historico_VU!G27)</f>
        <v/>
      </c>
      <c r="H79" s="142" t="str">
        <f>IF(A79="","",historico_VU!H27)</f>
        <v/>
      </c>
      <c r="I79" s="57"/>
      <c r="J79" s="139" t="str">
        <f>IF(itens_Remanesc!A27="","",itens_Remanesc!A27)</f>
        <v/>
      </c>
      <c r="K79" s="140" t="str">
        <f>IF(J79="","",IF($F$4="C0",itens_Remanesc!B27,IF($F$4="C1",itens_Remanesc!E27,IF($F$4="C2",itens_Remanesc!G27,IF($F$4="C3",itens_Remanesc!I27,itens_Remanesc!K27)))))</f>
        <v/>
      </c>
      <c r="L79" s="140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43" t="str">
        <f>IF(J79="","",itens_Remanesc!C27)</f>
        <v/>
      </c>
      <c r="N79" s="143" t="str">
        <f>IF(J79="","",IF($F$4="C0",historico_VU!C27,IF($F$4="C1",historico_VU!D27,IF($F$4="C2",historico_VU!E27,IF($F$4="C3",historico_VU!F27,historico_VU!G27)))))</f>
        <v/>
      </c>
      <c r="O79" s="143" t="str">
        <f t="shared" si="1"/>
        <v/>
      </c>
      <c r="P79" s="143" t="str">
        <f t="shared" si="2"/>
        <v/>
      </c>
      <c r="Q79" s="144" t="str">
        <f t="shared" si="3"/>
        <v/>
      </c>
      <c r="S79" t="s">
        <v>291</v>
      </c>
      <c r="T79" t="s">
        <v>22</v>
      </c>
      <c r="U79" t="s">
        <v>23</v>
      </c>
      <c r="V79" t="s">
        <v>24</v>
      </c>
      <c r="W79" t="s">
        <v>25</v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39" t="str">
        <f>IF(historico_VU!A28="","",historico_VU!A28)</f>
        <v/>
      </c>
      <c r="B80" s="140" t="str">
        <f>IF(A80="","",historico_VU!B28)</f>
        <v/>
      </c>
      <c r="C80" s="141" t="str">
        <f>IF(A80="","",historico_VU!C28)</f>
        <v/>
      </c>
      <c r="D80" s="141" t="str">
        <f>IF(A80="","",historico_VU!D28)</f>
        <v/>
      </c>
      <c r="E80" s="141" t="str">
        <f>IF(A80="","",historico_VU!E28)</f>
        <v/>
      </c>
      <c r="F80" s="141" t="str">
        <f>IF(A80="","",historico_VU!F28)</f>
        <v/>
      </c>
      <c r="G80" s="141" t="str">
        <f>IF(A80="","",historico_VU!G28)</f>
        <v/>
      </c>
      <c r="H80" s="142" t="str">
        <f>IF(A80="","",historico_VU!H28)</f>
        <v/>
      </c>
      <c r="I80" s="57"/>
      <c r="J80" s="139" t="str">
        <f>IF(itens_Remanesc!A28="","",itens_Remanesc!A28)</f>
        <v/>
      </c>
      <c r="K80" s="140" t="str">
        <f>IF(J80="","",IF($F$4="C0",itens_Remanesc!B28,IF($F$4="C1",itens_Remanesc!E28,IF($F$4="C2",itens_Remanesc!G28,IF($F$4="C3",itens_Remanesc!I28,itens_Remanesc!K28)))))</f>
        <v/>
      </c>
      <c r="L80" s="140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43" t="str">
        <f>IF(J80="","",itens_Remanesc!C28)</f>
        <v/>
      </c>
      <c r="N80" s="143" t="str">
        <f>IF(J80="","",IF($F$4="C0",historico_VU!C28,IF($F$4="C1",historico_VU!D28,IF($F$4="C2",historico_VU!E28,IF($F$4="C3",historico_VU!F28,historico_VU!G28)))))</f>
        <v/>
      </c>
      <c r="O80" s="143" t="str">
        <f t="shared" si="1"/>
        <v/>
      </c>
      <c r="P80" s="143" t="str">
        <f t="shared" si="2"/>
        <v/>
      </c>
      <c r="Q80" s="144" t="str">
        <f t="shared" si="3"/>
        <v/>
      </c>
      <c r="S80" t="s">
        <v>569</v>
      </c>
      <c r="T80">
        <f>IF(parametros!$A$3="Sim",1,0)</f>
        <v>0</v>
      </c>
      <c r="U80">
        <f>IF(parametros!$A$4="Sim",1,0)</f>
        <v>0</v>
      </c>
      <c r="V80">
        <f>IF(parametros!$A$5="Sim",1,0)</f>
        <v>0</v>
      </c>
      <c r="W80">
        <f>IF(parametros!$A$6="Sim",1,0)</f>
        <v>0</v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39" t="str">
        <f>IF(historico_VU!A29="","",historico_VU!A29)</f>
        <v/>
      </c>
      <c r="B81" s="140" t="str">
        <f>IF(A81="","",historico_VU!B29)</f>
        <v/>
      </c>
      <c r="C81" s="141" t="str">
        <f>IF(A81="","",historico_VU!C29)</f>
        <v/>
      </c>
      <c r="D81" s="141" t="str">
        <f>IF(A81="","",historico_VU!D29)</f>
        <v/>
      </c>
      <c r="E81" s="141" t="str">
        <f>IF(A81="","",historico_VU!E29)</f>
        <v/>
      </c>
      <c r="F81" s="141" t="str">
        <f>IF(A81="","",historico_VU!F29)</f>
        <v/>
      </c>
      <c r="G81" s="141" t="str">
        <f>IF(A81="","",historico_VU!G29)</f>
        <v/>
      </c>
      <c r="H81" s="142" t="str">
        <f>IF(A81="","",historico_VU!H29)</f>
        <v/>
      </c>
      <c r="I81" s="57"/>
      <c r="J81" s="139" t="str">
        <f>IF(itens_Remanesc!A29="","",itens_Remanesc!A29)</f>
        <v/>
      </c>
      <c r="K81" s="140" t="str">
        <f>IF(J81="","",IF($F$4="C0",itens_Remanesc!B29,IF($F$4="C1",itens_Remanesc!E29,IF($F$4="C2",itens_Remanesc!G29,IF($F$4="C3",itens_Remanesc!I29,itens_Remanesc!K29)))))</f>
        <v/>
      </c>
      <c r="L81" s="140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43" t="str">
        <f>IF(J81="","",itens_Remanesc!C29)</f>
        <v/>
      </c>
      <c r="N81" s="143" t="str">
        <f>IF(J81="","",IF($F$4="C0",historico_VU!C29,IF($F$4="C1",historico_VU!D29,IF($F$4="C2",historico_VU!E29,IF($F$4="C3",historico_VU!F29,historico_VU!G29)))))</f>
        <v/>
      </c>
      <c r="O81" s="143" t="str">
        <f t="shared" si="1"/>
        <v/>
      </c>
      <c r="P81" s="143" t="str">
        <f t="shared" si="2"/>
        <v/>
      </c>
      <c r="Q81" s="144" t="str">
        <f t="shared" si="3"/>
        <v/>
      </c>
      <c r="S81" t="s">
        <v>570</v>
      </c>
      <c r="T81" s="183" t="str">
        <f>IF(ISNUMBER(parametros!$C$3),parametros!$C$3,"")</f>
        <v/>
      </c>
      <c r="U81" s="183" t="str">
        <f>IF(ISNUMBER(parametros!$C$4),parametros!$C$4,"")</f>
        <v/>
      </c>
      <c r="V81" s="183" t="str">
        <f>IF(ISNUMBER(parametros!$C$5),parametros!$C$5,"")</f>
        <v/>
      </c>
      <c r="W81" s="183" t="str">
        <f>IF(ISNUMBER(parametros!$C$6),parametros!$C$6,"")</f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39" t="str">
        <f>IF(historico_VU!A30="","",historico_VU!A30)</f>
        <v/>
      </c>
      <c r="B82" s="140" t="str">
        <f>IF(A82="","",historico_VU!B30)</f>
        <v/>
      </c>
      <c r="C82" s="141" t="str">
        <f>IF(A82="","",historico_VU!C30)</f>
        <v/>
      </c>
      <c r="D82" s="141" t="str">
        <f>IF(A82="","",historico_VU!D30)</f>
        <v/>
      </c>
      <c r="E82" s="141" t="str">
        <f>IF(A82="","",historico_VU!E30)</f>
        <v/>
      </c>
      <c r="F82" s="141" t="str">
        <f>IF(A82="","",historico_VU!F30)</f>
        <v/>
      </c>
      <c r="G82" s="141" t="str">
        <f>IF(A82="","",historico_VU!G30)</f>
        <v/>
      </c>
      <c r="H82" s="142" t="str">
        <f>IF(A82="","",historico_VU!H30)</f>
        <v/>
      </c>
      <c r="I82" s="57"/>
      <c r="J82" s="139" t="str">
        <f>IF(itens_Remanesc!A30="","",itens_Remanesc!A30)</f>
        <v/>
      </c>
      <c r="K82" s="140" t="str">
        <f>IF(J82="","",IF($F$4="C0",itens_Remanesc!B30,IF($F$4="C1",itens_Remanesc!E30,IF($F$4="C2",itens_Remanesc!G30,IF($F$4="C3",itens_Remanesc!I30,itens_Remanesc!K30)))))</f>
        <v/>
      </c>
      <c r="L82" s="140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43" t="str">
        <f>IF(J82="","",itens_Remanesc!C30)</f>
        <v/>
      </c>
      <c r="N82" s="143" t="str">
        <f>IF(J82="","",IF($F$4="C0",historico_VU!C30,IF($F$4="C1",historico_VU!D30,IF($F$4="C2",historico_VU!E30,IF($F$4="C3",historico_VU!F30,historico_VU!G30)))))</f>
        <v/>
      </c>
      <c r="O82" s="143" t="str">
        <f t="shared" si="1"/>
        <v/>
      </c>
      <c r="P82" s="143" t="str">
        <f t="shared" si="2"/>
        <v/>
      </c>
      <c r="Q82" s="144" t="str">
        <f t="shared" si="3"/>
        <v/>
      </c>
      <c r="S82" t="s">
        <v>571</v>
      </c>
      <c r="T82" s="183" t="str">
        <f>IF(ISNUMBER(parametros!$H$3),parametros!$H$3,"")</f>
        <v/>
      </c>
      <c r="U82" s="183" t="str">
        <f>IF(ISNUMBER(parametros!$H$4),parametros!$H$4,"")</f>
        <v/>
      </c>
      <c r="V82" s="183" t="str">
        <f>IF(ISNUMBER(parametros!$H$5),parametros!$H$5,"")</f>
        <v/>
      </c>
      <c r="W82" s="183" t="str">
        <f>IF(ISNUMBER(parametros!$H$6),parametros!$H$6,"")</f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39" t="str">
        <f>IF(historico_VU!A31="","",historico_VU!A31)</f>
        <v/>
      </c>
      <c r="B83" s="140" t="str">
        <f>IF(A83="","",historico_VU!B31)</f>
        <v/>
      </c>
      <c r="C83" s="141" t="str">
        <f>IF(A83="","",historico_VU!C31)</f>
        <v/>
      </c>
      <c r="D83" s="141" t="str">
        <f>IF(A83="","",historico_VU!D31)</f>
        <v/>
      </c>
      <c r="E83" s="141" t="str">
        <f>IF(A83="","",historico_VU!E31)</f>
        <v/>
      </c>
      <c r="F83" s="141" t="str">
        <f>IF(A83="","",historico_VU!F31)</f>
        <v/>
      </c>
      <c r="G83" s="141" t="str">
        <f>IF(A83="","",historico_VU!G31)</f>
        <v/>
      </c>
      <c r="H83" s="142" t="str">
        <f>IF(A83="","",historico_VU!H31)</f>
        <v/>
      </c>
      <c r="I83" s="57"/>
      <c r="J83" s="139" t="str">
        <f>IF(itens_Remanesc!A31="","",itens_Remanesc!A31)</f>
        <v/>
      </c>
      <c r="K83" s="140" t="str">
        <f>IF(J83="","",IF($F$4="C0",itens_Remanesc!B31,IF($F$4="C1",itens_Remanesc!E31,IF($F$4="C2",itens_Remanesc!G31,IF($F$4="C3",itens_Remanesc!I31,itens_Remanesc!K31)))))</f>
        <v/>
      </c>
      <c r="L83" s="140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43" t="str">
        <f>IF(J83="","",itens_Remanesc!C31)</f>
        <v/>
      </c>
      <c r="N83" s="143" t="str">
        <f>IF(J83="","",IF($F$4="C0",historico_VU!C31,IF($F$4="C1",historico_VU!D31,IF($F$4="C2",historico_VU!E31,IF($F$4="C3",historico_VU!F31,historico_VU!G31)))))</f>
        <v/>
      </c>
      <c r="O83" s="143" t="str">
        <f t="shared" si="1"/>
        <v/>
      </c>
      <c r="P83" s="143" t="str">
        <f t="shared" si="2"/>
        <v/>
      </c>
      <c r="Q83" s="144" t="str">
        <f t="shared" si="3"/>
        <v/>
      </c>
      <c r="S83" t="s">
        <v>572</v>
      </c>
      <c r="T83" s="183" t="str">
        <f>IF(ISNUMBER(T82),EOMONTH(T82,-1)+1,"")</f>
        <v/>
      </c>
      <c r="U83" s="183" t="str">
        <f>IF(ISNUMBER(U82),EOMONTH(U82,-1)+1,"")</f>
        <v/>
      </c>
      <c r="V83" s="183" t="str">
        <f>IF(ISNUMBER(V82),EOMONTH(V82,-1)+1,"")</f>
        <v/>
      </c>
      <c r="W83" s="183" t="str">
        <f>IF(ISNUMBER(W82),EOMONTH(W82,-1)+1,"")</f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39" t="str">
        <f>IF(historico_VU!A32="","",historico_VU!A32)</f>
        <v/>
      </c>
      <c r="B84" s="140" t="str">
        <f>IF(A84="","",historico_VU!B32)</f>
        <v/>
      </c>
      <c r="C84" s="141" t="str">
        <f>IF(A84="","",historico_VU!C32)</f>
        <v/>
      </c>
      <c r="D84" s="141" t="str">
        <f>IF(A84="","",historico_VU!D32)</f>
        <v/>
      </c>
      <c r="E84" s="141" t="str">
        <f>IF(A84="","",historico_VU!E32)</f>
        <v/>
      </c>
      <c r="F84" s="141" t="str">
        <f>IF(A84="","",historico_VU!F32)</f>
        <v/>
      </c>
      <c r="G84" s="141" t="str">
        <f>IF(A84="","",historico_VU!G32)</f>
        <v/>
      </c>
      <c r="H84" s="142" t="str">
        <f>IF(A84="","",historico_VU!H32)</f>
        <v/>
      </c>
      <c r="I84" s="57"/>
      <c r="J84" s="139" t="str">
        <f>IF(itens_Remanesc!A32="","",itens_Remanesc!A32)</f>
        <v/>
      </c>
      <c r="K84" s="140" t="str">
        <f>IF(J84="","",IF($F$4="C0",itens_Remanesc!B32,IF($F$4="C1",itens_Remanesc!E32,IF($F$4="C2",itens_Remanesc!G32,IF($F$4="C3",itens_Remanesc!I32,itens_Remanesc!K32)))))</f>
        <v/>
      </c>
      <c r="L84" s="140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43" t="str">
        <f>IF(J84="","",itens_Remanesc!C32)</f>
        <v/>
      </c>
      <c r="N84" s="143" t="str">
        <f>IF(J84="","",IF($F$4="C0",historico_VU!C32,IF($F$4="C1",historico_VU!D32,IF($F$4="C2",historico_VU!E32,IF($F$4="C3",historico_VU!F32,historico_VU!G32)))))</f>
        <v/>
      </c>
      <c r="O84" s="143" t="str">
        <f t="shared" si="1"/>
        <v/>
      </c>
      <c r="P84" s="143" t="str">
        <f t="shared" si="2"/>
        <v/>
      </c>
      <c r="Q84" s="144" t="str">
        <f t="shared" si="3"/>
        <v/>
      </c>
      <c r="S84" t="s">
        <v>573</v>
      </c>
      <c r="T84" t="str">
        <f>IF(OR(T80=0,NOT(ISNUMBER(T81)),NOT(ISNUMBER(T82)),AND($B$4&lt;&gt;"Financeiro",$B$4&lt;&gt;"PCs",$B$4&lt;&gt;"Itens")),"",IF($B$4="Financeiro",IF(EOMONTH(T82,-1)&gt;EOMONTH(T81,-1),1,0),IF(T82&gt;T81,1,0)))</f>
        <v/>
      </c>
      <c r="U84" t="str">
        <f>IF(OR(U80=0,NOT(ISNUMBER(U81)),NOT(ISNUMBER(U82)),AND($B$4&lt;&gt;"Financeiro",$B$4&lt;&gt;"PCs",$B$4&lt;&gt;"Itens")),"",IF($B$4="Financeiro",IF(EOMONTH(U82,-1)&gt;EOMONTH(U81,-1),1,0),IF(U82&gt;U81,1,0)))</f>
        <v/>
      </c>
      <c r="V84" t="str">
        <f>IF(OR(V80=0,NOT(ISNUMBER(V81)),NOT(ISNUMBER(V82)),AND($B$4&lt;&gt;"Financeiro",$B$4&lt;&gt;"PCs",$B$4&lt;&gt;"Itens")),"",IF($B$4="Financeiro",IF(EOMONTH(V82,-1)&gt;EOMONTH(V81,-1),1,0),IF(V82&gt;V81,1,0)))</f>
        <v/>
      </c>
      <c r="W84" t="str">
        <f>IF(OR(W80=0,NOT(ISNUMBER(W81)),NOT(ISNUMBER(W82)),AND($B$4&lt;&gt;"Financeiro",$B$4&lt;&gt;"PCs",$B$4&lt;&gt;"Itens")),"",IF($B$4="Financeiro",IF(EOMONTH(W82,-1)&gt;EOMONTH(W81,-1),1,0),IF(W82&gt;W81,1,0)))</f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39" t="str">
        <f>IF(historico_VU!A33="","",historico_VU!A33)</f>
        <v/>
      </c>
      <c r="B85" s="140" t="str">
        <f>IF(A85="","",historico_VU!B33)</f>
        <v/>
      </c>
      <c r="C85" s="141" t="str">
        <f>IF(A85="","",historico_VU!C33)</f>
        <v/>
      </c>
      <c r="D85" s="141" t="str">
        <f>IF(A85="","",historico_VU!D33)</f>
        <v/>
      </c>
      <c r="E85" s="141" t="str">
        <f>IF(A85="","",historico_VU!E33)</f>
        <v/>
      </c>
      <c r="F85" s="141" t="str">
        <f>IF(A85="","",historico_VU!F33)</f>
        <v/>
      </c>
      <c r="G85" s="141" t="str">
        <f>IF(A85="","",historico_VU!G33)</f>
        <v/>
      </c>
      <c r="H85" s="142" t="str">
        <f>IF(A85="","",historico_VU!H33)</f>
        <v/>
      </c>
      <c r="I85" s="57"/>
      <c r="J85" s="139" t="str">
        <f>IF(itens_Remanesc!A33="","",itens_Remanesc!A33)</f>
        <v/>
      </c>
      <c r="K85" s="140" t="str">
        <f>IF(J85="","",IF($F$4="C0",itens_Remanesc!B33,IF($F$4="C1",itens_Remanesc!E33,IF($F$4="C2",itens_Remanesc!G33,IF($F$4="C3",itens_Remanesc!I33,itens_Remanesc!K33)))))</f>
        <v/>
      </c>
      <c r="L85" s="140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43" t="str">
        <f>IF(J85="","",itens_Remanesc!C33)</f>
        <v/>
      </c>
      <c r="N85" s="143" t="str">
        <f>IF(J85="","",IF($F$4="C0",historico_VU!C33,IF($F$4="C1",historico_VU!D33,IF($F$4="C2",historico_VU!E33,IF($F$4="C3",historico_VU!F33,historico_VU!G33)))))</f>
        <v/>
      </c>
      <c r="O85" s="143" t="str">
        <f t="shared" si="1"/>
        <v/>
      </c>
      <c r="P85" s="143" t="str">
        <f t="shared" si="2"/>
        <v/>
      </c>
      <c r="Q85" s="144" t="str">
        <f t="shared" si="3"/>
        <v/>
      </c>
      <c r="S85" t="s">
        <v>574</v>
      </c>
      <c r="T85" t="str">
        <f>IF(T84&lt;&gt;1,"",IF($B$4="PCs",COUNTIFS(itens_PC!$C$2:$C$5001,"C1",itens_PC!$D$2:$D$5001,"&gt;0",itens_PC!$B$2:$B$5001,"&lt;"&amp;T82,itens_PC!$L$2:$L$5001,"Nao"),IF($B$4="Financeiro",COUNTIFS(financeiro!$B$2:$B$73,"c1",financeiro!$A$2:$A$73,"&lt;"&amp;T83,financeiro!$G$2:$G$73,"Nao",financeiro!$C$2:$C$73,"&gt;0"),"")))</f>
        <v/>
      </c>
      <c r="U85" t="str">
        <f>IF(U84&lt;&gt;1,"",IF($B$4="PCs",COUNTIFS(itens_PC!$C$2:$C$5001,"C2",itens_PC!$D$2:$D$5001,"&gt;0",itens_PC!$B$2:$B$5001,"&lt;"&amp;U82,itens_PC!$L$2:$L$5001,"Nao"),IF($B$4="Financeiro",COUNTIFS(financeiro!$B$2:$B$73,"c2",financeiro!$A$2:$A$73,"&lt;"&amp;U83,financeiro!$G$2:$G$73,"Nao",financeiro!$C$2:$C$73,"&gt;0"),"")))</f>
        <v/>
      </c>
      <c r="V85" t="str">
        <f>IF(V84&lt;&gt;1,"",IF($B$4="PCs",COUNTIFS(itens_PC!$C$2:$C$5001,"C3",itens_PC!$D$2:$D$5001,"&gt;0",itens_PC!$B$2:$B$5001,"&lt;"&amp;V82,itens_PC!$L$2:$L$5001,"Nao"),IF($B$4="Financeiro",COUNTIFS(financeiro!$B$2:$B$73,"c3",financeiro!$A$2:$A$73,"&lt;"&amp;V83,financeiro!$G$2:$G$73,"Nao",financeiro!$C$2:$C$73,"&gt;0"),"")))</f>
        <v/>
      </c>
      <c r="W85" t="str">
        <f>IF(W84&lt;&gt;1,"",IF($B$4="PCs",COUNTIFS(itens_PC!$C$2:$C$5001,"C4",itens_PC!$D$2:$D$5001,"&gt;0",itens_PC!$B$2:$B$5001,"&lt;"&amp;W82,itens_PC!$L$2:$L$5001,"Nao"),IF($B$4="Financeiro",COUNTIFS(financeiro!$B$2:$B$73,"c4",financeiro!$A$2:$A$73,"&lt;"&amp;W83,financeiro!$G$2:$G$73,"Nao",financeiro!$C$2:$C$73,"&gt;0"),"")))</f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39" t="str">
        <f>IF(historico_VU!A34="","",historico_VU!A34)</f>
        <v/>
      </c>
      <c r="B86" s="140" t="str">
        <f>IF(A86="","",historico_VU!B34)</f>
        <v/>
      </c>
      <c r="C86" s="141" t="str">
        <f>IF(A86="","",historico_VU!C34)</f>
        <v/>
      </c>
      <c r="D86" s="141" t="str">
        <f>IF(A86="","",historico_VU!D34)</f>
        <v/>
      </c>
      <c r="E86" s="141" t="str">
        <f>IF(A86="","",historico_VU!E34)</f>
        <v/>
      </c>
      <c r="F86" s="141" t="str">
        <f>IF(A86="","",historico_VU!F34)</f>
        <v/>
      </c>
      <c r="G86" s="141" t="str">
        <f>IF(A86="","",historico_VU!G34)</f>
        <v/>
      </c>
      <c r="H86" s="142" t="str">
        <f>IF(A86="","",historico_VU!H34)</f>
        <v/>
      </c>
      <c r="I86" s="57"/>
      <c r="J86" s="139" t="str">
        <f>IF(itens_Remanesc!A34="","",itens_Remanesc!A34)</f>
        <v/>
      </c>
      <c r="K86" s="140" t="str">
        <f>IF(J86="","",IF($F$4="C0",itens_Remanesc!B34,IF($F$4="C1",itens_Remanesc!E34,IF($F$4="C2",itens_Remanesc!G34,IF($F$4="C3",itens_Remanesc!I34,itens_Remanesc!K34)))))</f>
        <v/>
      </c>
      <c r="L86" s="140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43" t="str">
        <f>IF(J86="","",itens_Remanesc!C34)</f>
        <v/>
      </c>
      <c r="N86" s="143" t="str">
        <f>IF(J86="","",IF($F$4="C0",historico_VU!C34,IF($F$4="C1",historico_VU!D34,IF($F$4="C2",historico_VU!E34,IF($F$4="C3",historico_VU!F34,historico_VU!G34)))))</f>
        <v/>
      </c>
      <c r="O86" s="143" t="str">
        <f t="shared" ref="O86:O117" si="4">IF(J86="","",IF(OR($B$4="Financeiro",$B$4="PCs"),IF(OR(K86="",M86=""),"",ROUND(K86*M86,2)),IF($B$4="Itens",IF(OR(L86="",M86=""),"",ROUND(L86*M86,2)),"")))</f>
        <v/>
      </c>
      <c r="P86" s="143" t="str">
        <f t="shared" ref="P86:P117" si="5">IF(J86="","",IF(OR($B$4="Financeiro",$B$4="PCs"),IF(OR(K86="",N86=""),"",ROUND(K86*N86,2)),IF($B$4="Itens",IF(OR(L86="",N86=""),"",ROUND(L86*N86,2)),"")))</f>
        <v/>
      </c>
      <c r="Q86" s="144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S86" t="s">
        <v>575</v>
      </c>
      <c r="T86" t="str">
        <f>IF(T84&lt;&gt;1,"",IF($B$4="PCs",COUNTIFS(itens_PC!$C$2:$C$5001,"C1",itens_PC!$D$2:$D$5001,"&gt;0",itens_PC!$B$2:$B$5001,"&lt;"&amp;T82,itens_PC!$L$2:$L$5001,"Nao",itens_PC!$F$2:$F$5001,"&gt;0"),IF($B$4="Financeiro",IFERROR(INDEX(financeiro!$D$2:$D$73,MATCH("c1",financeiro!$B$2:$B$73,0)),""),"")))</f>
        <v/>
      </c>
      <c r="U86" t="str">
        <f>IF(U84&lt;&gt;1,"",IF($B$4="PCs",COUNTIFS(itens_PC!$C$2:$C$5001,"C2",itens_PC!$D$2:$D$5001,"&gt;0",itens_PC!$B$2:$B$5001,"&lt;"&amp;U82,itens_PC!$L$2:$L$5001,"Nao",itens_PC!$F$2:$F$5001,"&gt;0"),IF($B$4="Financeiro",IFERROR(INDEX(financeiro!$D$2:$D$73,MATCH("c2",financeiro!$B$2:$B$73,0)),""),"")))</f>
        <v/>
      </c>
      <c r="V86" t="str">
        <f>IF(V84&lt;&gt;1,"",IF($B$4="PCs",COUNTIFS(itens_PC!$C$2:$C$5001,"C3",itens_PC!$D$2:$D$5001,"&gt;0",itens_PC!$B$2:$B$5001,"&lt;"&amp;V82,itens_PC!$L$2:$L$5001,"Nao",itens_PC!$F$2:$F$5001,"&gt;0"),IF($B$4="Financeiro",IFERROR(INDEX(financeiro!$D$2:$D$73,MATCH("c3",financeiro!$B$2:$B$73,0)),""),"")))</f>
        <v/>
      </c>
      <c r="W86" t="str">
        <f>IF(W84&lt;&gt;1,"",IF($B$4="PCs",COUNTIFS(itens_PC!$C$2:$C$5001,"C4",itens_PC!$D$2:$D$5001,"&gt;0",itens_PC!$B$2:$B$5001,"&lt;"&amp;W82,itens_PC!$L$2:$L$5001,"Nao",itens_PC!$F$2:$F$5001,"&gt;0"),IF($B$4="Financeiro",IFERROR(INDEX(financeiro!$D$2:$D$73,MATCH("c4",financeiro!$B$2:$B$73,0)),""),"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39" t="str">
        <f>IF(historico_VU!A35="","",historico_VU!A35)</f>
        <v/>
      </c>
      <c r="B87" s="140" t="str">
        <f>IF(A87="","",historico_VU!B35)</f>
        <v/>
      </c>
      <c r="C87" s="141" t="str">
        <f>IF(A87="","",historico_VU!C35)</f>
        <v/>
      </c>
      <c r="D87" s="141" t="str">
        <f>IF(A87="","",historico_VU!D35)</f>
        <v/>
      </c>
      <c r="E87" s="141" t="str">
        <f>IF(A87="","",historico_VU!E35)</f>
        <v/>
      </c>
      <c r="F87" s="141" t="str">
        <f>IF(A87="","",historico_VU!F35)</f>
        <v/>
      </c>
      <c r="G87" s="141" t="str">
        <f>IF(A87="","",historico_VU!G35)</f>
        <v/>
      </c>
      <c r="H87" s="142" t="str">
        <f>IF(A87="","",historico_VU!H35)</f>
        <v/>
      </c>
      <c r="I87" s="57"/>
      <c r="J87" s="139" t="str">
        <f>IF(itens_Remanesc!A35="","",itens_Remanesc!A35)</f>
        <v/>
      </c>
      <c r="K87" s="140" t="str">
        <f>IF(J87="","",IF($F$4="C0",itens_Remanesc!B35,IF($F$4="C1",itens_Remanesc!E35,IF($F$4="C2",itens_Remanesc!G35,IF($F$4="C3",itens_Remanesc!I35,itens_Remanesc!K35)))))</f>
        <v/>
      </c>
      <c r="L87" s="140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43" t="str">
        <f>IF(J87="","",itens_Remanesc!C35)</f>
        <v/>
      </c>
      <c r="N87" s="143" t="str">
        <f>IF(J87="","",IF($F$4="C0",historico_VU!C35,IF($F$4="C1",historico_VU!D35,IF($F$4="C2",historico_VU!E35,IF($F$4="C3",historico_VU!F35,historico_VU!G35)))))</f>
        <v/>
      </c>
      <c r="O87" s="143" t="str">
        <f t="shared" si="4"/>
        <v/>
      </c>
      <c r="P87" s="143" t="str">
        <f t="shared" si="5"/>
        <v/>
      </c>
      <c r="Q87" s="144" t="str">
        <f t="shared" si="6"/>
        <v/>
      </c>
      <c r="S87" t="s">
        <v>576</v>
      </c>
      <c r="T87" t="str">
        <f>IF(T84&lt;&gt;1,"",IF($B$4="PCs",ROUND(SUMIFS(itens_PC!$D$2:$D$5001,itens_PC!$C$2:$C$5001,"C1",itens_PC!$D$2:$D$5001,"&gt;0",itens_PC!$B$2:$B$5001,"&lt;"&amp;T82,itens_PC!$L$2:$L$5001,"Nao"),2),IF($B$4="Financeiro",ROUND(SUMIFS(financeiro!$C$2:$C$73,financeiro!$B$2:$B$73,"c1",financeiro!$A$2:$A$73,"&lt;"&amp;T83,financeiro!$G$2:$G$73,"Nao",financeiro!$C$2:$C$73,"&gt;0"),2),IF(AND($B$4="Itens",ISNUMBER(T90)),IF(T90=0,0,""),""))))</f>
        <v/>
      </c>
      <c r="U87" t="str">
        <f>IF(U84&lt;&gt;1,"",IF($B$4="PCs",ROUND(SUMIFS(itens_PC!$D$2:$D$5001,itens_PC!$C$2:$C$5001,"C2",itens_PC!$D$2:$D$5001,"&gt;0",itens_PC!$B$2:$B$5001,"&lt;"&amp;U82,itens_PC!$L$2:$L$5001,"Nao"),2),IF($B$4="Financeiro",ROUND(SUMIFS(financeiro!$C$2:$C$73,financeiro!$B$2:$B$73,"c2",financeiro!$A$2:$A$73,"&lt;"&amp;U83,financeiro!$G$2:$G$73,"Nao",financeiro!$C$2:$C$73,"&gt;0"),2),IF(AND($B$4="Itens",ISNUMBER(U90)),IF(U90=0,0,""),""))))</f>
        <v/>
      </c>
      <c r="V87" t="str">
        <f>IF(V84&lt;&gt;1,"",IF($B$4="PCs",ROUND(SUMIFS(itens_PC!$D$2:$D$5001,itens_PC!$C$2:$C$5001,"C3",itens_PC!$D$2:$D$5001,"&gt;0",itens_PC!$B$2:$B$5001,"&lt;"&amp;V82,itens_PC!$L$2:$L$5001,"Nao"),2),IF($B$4="Financeiro",ROUND(SUMIFS(financeiro!$C$2:$C$73,financeiro!$B$2:$B$73,"c3",financeiro!$A$2:$A$73,"&lt;"&amp;V83,financeiro!$G$2:$G$73,"Nao",financeiro!$C$2:$C$73,"&gt;0"),2),IF(AND($B$4="Itens",ISNUMBER(V90)),IF(V90=0,0,""),""))))</f>
        <v/>
      </c>
      <c r="W87" t="str">
        <f>IF(W84&lt;&gt;1,"",IF($B$4="PCs",ROUND(SUMIFS(itens_PC!$D$2:$D$5001,itens_PC!$C$2:$C$5001,"C4",itens_PC!$D$2:$D$5001,"&gt;0",itens_PC!$B$2:$B$5001,"&lt;"&amp;W82,itens_PC!$L$2:$L$5001,"Nao"),2),IF($B$4="Financeiro",ROUND(SUMIFS(financeiro!$C$2:$C$73,financeiro!$B$2:$B$73,"c4",financeiro!$A$2:$A$73,"&lt;"&amp;W83,financeiro!$G$2:$G$73,"Nao",financeiro!$C$2:$C$73,"&gt;0"),2),IF(AND($B$4="Itens",ISNUMBER(W90)),IF(W90=0,0,""),""))))</f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39" t="str">
        <f>IF(historico_VU!A36="","",historico_VU!A36)</f>
        <v/>
      </c>
      <c r="B88" s="140" t="str">
        <f>IF(A88="","",historico_VU!B36)</f>
        <v/>
      </c>
      <c r="C88" s="141" t="str">
        <f>IF(A88="","",historico_VU!C36)</f>
        <v/>
      </c>
      <c r="D88" s="141" t="str">
        <f>IF(A88="","",historico_VU!D36)</f>
        <v/>
      </c>
      <c r="E88" s="141" t="str">
        <f>IF(A88="","",historico_VU!E36)</f>
        <v/>
      </c>
      <c r="F88" s="141" t="str">
        <f>IF(A88="","",historico_VU!F36)</f>
        <v/>
      </c>
      <c r="G88" s="141" t="str">
        <f>IF(A88="","",historico_VU!G36)</f>
        <v/>
      </c>
      <c r="H88" s="142" t="str">
        <f>IF(A88="","",historico_VU!H36)</f>
        <v/>
      </c>
      <c r="I88" s="57"/>
      <c r="J88" s="139" t="str">
        <f>IF(itens_Remanesc!A36="","",itens_Remanesc!A36)</f>
        <v/>
      </c>
      <c r="K88" s="140" t="str">
        <f>IF(J88="","",IF($F$4="C0",itens_Remanesc!B36,IF($F$4="C1",itens_Remanesc!E36,IF($F$4="C2",itens_Remanesc!G36,IF($F$4="C3",itens_Remanesc!I36,itens_Remanesc!K36)))))</f>
        <v/>
      </c>
      <c r="L88" s="140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43" t="str">
        <f>IF(J88="","",itens_Remanesc!C36)</f>
        <v/>
      </c>
      <c r="N88" s="143" t="str">
        <f>IF(J88="","",IF($F$4="C0",historico_VU!C36,IF($F$4="C1",historico_VU!D36,IF($F$4="C2",historico_VU!E36,IF($F$4="C3",historico_VU!F36,historico_VU!G36)))))</f>
        <v/>
      </c>
      <c r="O88" s="143" t="str">
        <f t="shared" si="4"/>
        <v/>
      </c>
      <c r="P88" s="143" t="str">
        <f t="shared" si="5"/>
        <v/>
      </c>
      <c r="Q88" s="144" t="str">
        <f t="shared" si="6"/>
        <v/>
      </c>
      <c r="S88" t="s">
        <v>577</v>
      </c>
      <c r="T88" t="str">
        <f>IF(T84&lt;&gt;1,"",IF($B$4="PCs",IF(T85=0,0,IF(T86&lt;T85,"",ROUND(SUMIFS(itens_PC!$F$2:$F$5001,itens_PC!$C$2:$C$5001,"C1",itens_PC!$D$2:$D$5001,"&gt;0",itens_PC!$B$2:$B$5001,"&lt;"&amp;T82,itens_PC!$L$2:$L$5001,"Nao"),2))),IF($B$4="Financeiro",IF(T85=0,0,IF(NOT(ISNUMBER(T86)),"",IFERROR(ROUND(SUMPRODUCT((financeiro!$B$2:$B$73="c1")*(financeiro!$A$2:$A$73&lt;T83)*(financeiro!$G$2:$G$73="Nao")*(financeiro!$C$2:$C$73&gt;0)*ROUND(financeiro!$C$2:$C$73*T86,2)),2),""))),IF(AND($B$4="Itens",ISNUMBER(T90)),IF(T90=0,0,""),""))))</f>
        <v/>
      </c>
      <c r="U88" t="str">
        <f>IF(U84&lt;&gt;1,"",IF($B$4="PCs",IF(U85=0,0,IF(U86&lt;U85,"",ROUND(SUMIFS(itens_PC!$F$2:$F$5001,itens_PC!$C$2:$C$5001,"C2",itens_PC!$D$2:$D$5001,"&gt;0",itens_PC!$B$2:$B$5001,"&lt;"&amp;U82,itens_PC!$L$2:$L$5001,"Nao"),2))),IF($B$4="Financeiro",IF(U85=0,0,IF(NOT(ISNUMBER(U86)),"",IFERROR(ROUND(SUMPRODUCT((financeiro!$B$2:$B$73="c2")*(financeiro!$A$2:$A$73&lt;U83)*(financeiro!$G$2:$G$73="Nao")*(financeiro!$C$2:$C$73&gt;0)*ROUND(financeiro!$C$2:$C$73*U86,2)),2),""))),IF(AND($B$4="Itens",ISNUMBER(U90)),IF(U90=0,0,""),""))))</f>
        <v/>
      </c>
      <c r="V88" t="str">
        <f>IF(V84&lt;&gt;1,"",IF($B$4="PCs",IF(V85=0,0,IF(V86&lt;V85,"",ROUND(SUMIFS(itens_PC!$F$2:$F$5001,itens_PC!$C$2:$C$5001,"C3",itens_PC!$D$2:$D$5001,"&gt;0",itens_PC!$B$2:$B$5001,"&lt;"&amp;V82,itens_PC!$L$2:$L$5001,"Nao"),2))),IF($B$4="Financeiro",IF(V85=0,0,IF(NOT(ISNUMBER(V86)),"",IFERROR(ROUND(SUMPRODUCT((financeiro!$B$2:$B$73="c3")*(financeiro!$A$2:$A$73&lt;V83)*(financeiro!$G$2:$G$73="Nao")*(financeiro!$C$2:$C$73&gt;0)*ROUND(financeiro!$C$2:$C$73*V86,2)),2),""))),IF(AND($B$4="Itens",ISNUMBER(V90)),IF(V90=0,0,""),""))))</f>
        <v/>
      </c>
      <c r="W88" t="str">
        <f>IF(W84&lt;&gt;1,"",IF($B$4="PCs",IF(W85=0,0,IF(W86&lt;W85,"",ROUND(SUMIFS(itens_PC!$F$2:$F$5001,itens_PC!$C$2:$C$5001,"C4",itens_PC!$D$2:$D$5001,"&gt;0",itens_PC!$B$2:$B$5001,"&lt;"&amp;W82,itens_PC!$L$2:$L$5001,"Nao"),2))),IF($B$4="Financeiro",IF(W85=0,0,IF(NOT(ISNUMBER(W86)),"",IFERROR(ROUND(SUMPRODUCT((financeiro!$B$2:$B$73="c4")*(financeiro!$A$2:$A$73&lt;W83)*(financeiro!$G$2:$G$73="Nao")*(financeiro!$C$2:$C$73&gt;0)*ROUND(financeiro!$C$2:$C$73*W86,2)),2),""))),IF(AND($B$4="Itens",ISNUMBER(W90)),IF(W90=0,0,""),""))))</f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39" t="str">
        <f>IF(historico_VU!A37="","",historico_VU!A37)</f>
        <v/>
      </c>
      <c r="B89" s="140" t="str">
        <f>IF(A89="","",historico_VU!B37)</f>
        <v/>
      </c>
      <c r="C89" s="141" t="str">
        <f>IF(A89="","",historico_VU!C37)</f>
        <v/>
      </c>
      <c r="D89" s="141" t="str">
        <f>IF(A89="","",historico_VU!D37)</f>
        <v/>
      </c>
      <c r="E89" s="141" t="str">
        <f>IF(A89="","",historico_VU!E37)</f>
        <v/>
      </c>
      <c r="F89" s="141" t="str">
        <f>IF(A89="","",historico_VU!F37)</f>
        <v/>
      </c>
      <c r="G89" s="141" t="str">
        <f>IF(A89="","",historico_VU!G37)</f>
        <v/>
      </c>
      <c r="H89" s="142" t="str">
        <f>IF(A89="","",historico_VU!H37)</f>
        <v/>
      </c>
      <c r="I89" s="57"/>
      <c r="J89" s="139" t="str">
        <f>IF(itens_Remanesc!A37="","",itens_Remanesc!A37)</f>
        <v/>
      </c>
      <c r="K89" s="140" t="str">
        <f>IF(J89="","",IF($F$4="C0",itens_Remanesc!B37,IF($F$4="C1",itens_Remanesc!E37,IF($F$4="C2",itens_Remanesc!G37,IF($F$4="C3",itens_Remanesc!I37,itens_Remanesc!K37)))))</f>
        <v/>
      </c>
      <c r="L89" s="140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43" t="str">
        <f>IF(J89="","",itens_Remanesc!C37)</f>
        <v/>
      </c>
      <c r="N89" s="143" t="str">
        <f>IF(J89="","",IF($F$4="C0",historico_VU!C37,IF($F$4="C1",historico_VU!D37,IF($F$4="C2",historico_VU!E37,IF($F$4="C3",historico_VU!F37,historico_VU!G37)))))</f>
        <v/>
      </c>
      <c r="O89" s="143" t="str">
        <f t="shared" si="4"/>
        <v/>
      </c>
      <c r="P89" s="143" t="str">
        <f t="shared" si="5"/>
        <v/>
      </c>
      <c r="Q89" s="144" t="str">
        <f t="shared" si="6"/>
        <v/>
      </c>
      <c r="S89" t="s">
        <v>578</v>
      </c>
      <c r="T89" t="str">
        <f>IF(OR(T87="",T88=""),"",ROUND(T88-T87,2))</f>
        <v/>
      </c>
      <c r="U89" t="str">
        <f>IF(OR(U87="",U88=""),"",ROUND(U88-U87,2))</f>
        <v/>
      </c>
      <c r="V89" t="str">
        <f>IF(OR(V87="",V88=""),"",ROUND(V88-V87,2))</f>
        <v/>
      </c>
      <c r="W89" t="str">
        <f>IF(OR(W87="",W88=""),"",ROUND(W88-W87,2))</f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39" t="str">
        <f>IF(historico_VU!A38="","",historico_VU!A38)</f>
        <v/>
      </c>
      <c r="B90" s="140" t="str">
        <f>IF(A90="","",historico_VU!B38)</f>
        <v/>
      </c>
      <c r="C90" s="141" t="str">
        <f>IF(A90="","",historico_VU!C38)</f>
        <v/>
      </c>
      <c r="D90" s="141" t="str">
        <f>IF(A90="","",historico_VU!D38)</f>
        <v/>
      </c>
      <c r="E90" s="141" t="str">
        <f>IF(A90="","",historico_VU!E38)</f>
        <v/>
      </c>
      <c r="F90" s="141" t="str">
        <f>IF(A90="","",historico_VU!F38)</f>
        <v/>
      </c>
      <c r="G90" s="141" t="str">
        <f>IF(A90="","",historico_VU!G38)</f>
        <v/>
      </c>
      <c r="H90" s="142" t="str">
        <f>IF(A90="","",historico_VU!H38)</f>
        <v/>
      </c>
      <c r="I90" s="57"/>
      <c r="J90" s="139" t="str">
        <f>IF(itens_Remanesc!A38="","",itens_Remanesc!A38)</f>
        <v/>
      </c>
      <c r="K90" s="140" t="str">
        <f>IF(J90="","",IF($F$4="C0",itens_Remanesc!B38,IF($F$4="C1",itens_Remanesc!E38,IF($F$4="C2",itens_Remanesc!G38,IF($F$4="C3",itens_Remanesc!I38,itens_Remanesc!K38)))))</f>
        <v/>
      </c>
      <c r="L90" s="140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43" t="str">
        <f>IF(J90="","",itens_Remanesc!C38)</f>
        <v/>
      </c>
      <c r="N90" s="143" t="str">
        <f>IF(J90="","",IF($F$4="C0",historico_VU!C38,IF($F$4="C1",historico_VU!D38,IF($F$4="C2",historico_VU!E38,IF($F$4="C3",historico_VU!F38,historico_VU!G38)))))</f>
        <v/>
      </c>
      <c r="O90" s="143" t="str">
        <f t="shared" si="4"/>
        <v/>
      </c>
      <c r="P90" s="143" t="str">
        <f t="shared" si="5"/>
        <v/>
      </c>
      <c r="Q90" s="144" t="str">
        <f t="shared" si="6"/>
        <v/>
      </c>
      <c r="S90" t="s">
        <v>579</v>
      </c>
      <c r="T90" t="str">
        <f>IF($B$4="Itens",IF(COUNT(itens_Consumidos!$G$2:$G$200)=0,"",SUM(itens_Consumidos!$G$2:$G$200)),"")</f>
        <v/>
      </c>
      <c r="U90" t="str">
        <f>IF($B$4="Itens",IF(COUNT(itens_Consumidos!$I$2:$I$200)=0,"",SUM(itens_Consumidos!$I$2:$I$200)),"")</f>
        <v/>
      </c>
      <c r="V90" t="str">
        <f>IF($B$4="Itens",IF(COUNT(itens_Consumidos!$K$2:$K$200)=0,"",SUM(itens_Consumidos!$K$2:$K$200)),"")</f>
        <v/>
      </c>
      <c r="W90" t="str">
        <f>IF($B$4="Itens",IF(COUNT(itens_Consumidos!$M$2:$M$200)=0,"",SUM(itens_Consumidos!$M$2:$M$200)),"")</f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39" t="str">
        <f>IF(historico_VU!A39="","",historico_VU!A39)</f>
        <v/>
      </c>
      <c r="B91" s="140" t="str">
        <f>IF(A91="","",historico_VU!B39)</f>
        <v/>
      </c>
      <c r="C91" s="141" t="str">
        <f>IF(A91="","",historico_VU!C39)</f>
        <v/>
      </c>
      <c r="D91" s="141" t="str">
        <f>IF(A91="","",historico_VU!D39)</f>
        <v/>
      </c>
      <c r="E91" s="141" t="str">
        <f>IF(A91="","",historico_VU!E39)</f>
        <v/>
      </c>
      <c r="F91" s="141" t="str">
        <f>IF(A91="","",historico_VU!F39)</f>
        <v/>
      </c>
      <c r="G91" s="141" t="str">
        <f>IF(A91="","",historico_VU!G39)</f>
        <v/>
      </c>
      <c r="H91" s="142" t="str">
        <f>IF(A91="","",historico_VU!H39)</f>
        <v/>
      </c>
      <c r="I91" s="57"/>
      <c r="J91" s="139" t="str">
        <f>IF(itens_Remanesc!A39="","",itens_Remanesc!A39)</f>
        <v/>
      </c>
      <c r="K91" s="140" t="str">
        <f>IF(J91="","",IF($F$4="C0",itens_Remanesc!B39,IF($F$4="C1",itens_Remanesc!E39,IF($F$4="C2",itens_Remanesc!G39,IF($F$4="C3",itens_Remanesc!I39,itens_Remanesc!K39)))))</f>
        <v/>
      </c>
      <c r="L91" s="140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43" t="str">
        <f>IF(J91="","",itens_Remanesc!C39)</f>
        <v/>
      </c>
      <c r="N91" s="143" t="str">
        <f>IF(J91="","",IF($F$4="C0",historico_VU!C39,IF($F$4="C1",historico_VU!D39,IF($F$4="C2",historico_VU!E39,IF($F$4="C3",historico_VU!F39,historico_VU!G39)))))</f>
        <v/>
      </c>
      <c r="O91" s="143" t="str">
        <f t="shared" si="4"/>
        <v/>
      </c>
      <c r="P91" s="143" t="str">
        <f t="shared" si="5"/>
        <v/>
      </c>
      <c r="Q91" s="144" t="str">
        <f t="shared" si="6"/>
        <v/>
      </c>
      <c r="S91" t="s">
        <v>580</v>
      </c>
      <c r="T91" t="str">
        <f>IF(T84="","",IF(T84=0,"D",IF($B$4="Itens",IF(T90="","",IF(T90=0,"B","C")),IF(T85=0,"B",IF(T89="","C","A")))))</f>
        <v/>
      </c>
      <c r="U91" t="str">
        <f>IF(U84="","",IF(U84=0,"D",IF($B$4="Itens",IF(U90="","",IF(U90=0,"B","C")),IF(U85=0,"B",IF(U89="","C","A")))))</f>
        <v/>
      </c>
      <c r="V91" t="str">
        <f>IF(V84="","",IF(V84=0,"D",IF($B$4="Itens",IF(V90="","",IF(V90=0,"B","C")),IF(V85=0,"B",IF(V89="","C","A")))))</f>
        <v/>
      </c>
      <c r="W91" t="str">
        <f>IF(W84="","",IF(W84=0,"D",IF($B$4="Itens",IF(W90="","",IF(W90=0,"B","C")),IF(W85=0,"B",IF(W89="","C","A")))))</f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39" t="str">
        <f>IF(historico_VU!A40="","",historico_VU!A40)</f>
        <v/>
      </c>
      <c r="B92" s="140" t="str">
        <f>IF(A92="","",historico_VU!B40)</f>
        <v/>
      </c>
      <c r="C92" s="141" t="str">
        <f>IF(A92="","",historico_VU!C40)</f>
        <v/>
      </c>
      <c r="D92" s="141" t="str">
        <f>IF(A92="","",historico_VU!D40)</f>
        <v/>
      </c>
      <c r="E92" s="141" t="str">
        <f>IF(A92="","",historico_VU!E40)</f>
        <v/>
      </c>
      <c r="F92" s="141" t="str">
        <f>IF(A92="","",historico_VU!F40)</f>
        <v/>
      </c>
      <c r="G92" s="141" t="str">
        <f>IF(A92="","",historico_VU!G40)</f>
        <v/>
      </c>
      <c r="H92" s="142" t="str">
        <f>IF(A92="","",historico_VU!H40)</f>
        <v/>
      </c>
      <c r="I92" s="57"/>
      <c r="J92" s="139" t="str">
        <f>IF(itens_Remanesc!A40="","",itens_Remanesc!A40)</f>
        <v/>
      </c>
      <c r="K92" s="140" t="str">
        <f>IF(J92="","",IF($F$4="C0",itens_Remanesc!B40,IF($F$4="C1",itens_Remanesc!E40,IF($F$4="C2",itens_Remanesc!G40,IF($F$4="C3",itens_Remanesc!I40,itens_Remanesc!K40)))))</f>
        <v/>
      </c>
      <c r="L92" s="140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43" t="str">
        <f>IF(J92="","",itens_Remanesc!C40)</f>
        <v/>
      </c>
      <c r="N92" s="143" t="str">
        <f>IF(J92="","",IF($F$4="C0",historico_VU!C40,IF($F$4="C1",historico_VU!D40,IF($F$4="C2",historico_VU!E40,IF($F$4="C3",historico_VU!F40,historico_VU!G40)))))</f>
        <v/>
      </c>
      <c r="O92" s="143" t="str">
        <f t="shared" si="4"/>
        <v/>
      </c>
      <c r="P92" s="143" t="str">
        <f t="shared" si="5"/>
        <v/>
      </c>
      <c r="Q92" s="144" t="str">
        <f t="shared" si="6"/>
        <v/>
      </c>
      <c r="S92" t="s">
        <v>581</v>
      </c>
      <c r="T92" s="183" t="str">
        <f>IF(AND(T84=1,$B$4="Financeiro"),IF(COUNTIFS(financeiro!$B$2:$B$73,"c1",financeiro!$A$2:$A$73,"&lt;"&amp;T83,financeiro!$G$2:$G$73,"Nao")&gt;0,_xlfn.MINIFS(financeiro!$A$2:$A$73,financeiro!$B$2:$B$73,"c1",financeiro!$A$2:$A$73,"&lt;"&amp;T83,financeiro!$G$2:$G$73,"Nao"),EOMONTH(T81,-1)+1),"")</f>
        <v/>
      </c>
      <c r="U92" s="183" t="str">
        <f>IF(AND(U84=1,$B$4="Financeiro"),IF(COUNTIFS(financeiro!$B$2:$B$73,"c2",financeiro!$A$2:$A$73,"&lt;"&amp;U83,financeiro!$G$2:$G$73,"Nao")&gt;0,_xlfn.MINIFS(financeiro!$A$2:$A$73,financeiro!$B$2:$B$73,"c2",financeiro!$A$2:$A$73,"&lt;"&amp;U83,financeiro!$G$2:$G$73,"Nao"),EOMONTH(U81,-1)+1),"")</f>
        <v/>
      </c>
      <c r="V92" s="183" t="str">
        <f>IF(AND(V84=1,$B$4="Financeiro"),IF(COUNTIFS(financeiro!$B$2:$B$73,"c3",financeiro!$A$2:$A$73,"&lt;"&amp;V83,financeiro!$G$2:$G$73,"Nao")&gt;0,_xlfn.MINIFS(financeiro!$A$2:$A$73,financeiro!$B$2:$B$73,"c3",financeiro!$A$2:$A$73,"&lt;"&amp;V83,financeiro!$G$2:$G$73,"Nao"),EOMONTH(V81,-1)+1),"")</f>
        <v/>
      </c>
      <c r="W92" s="183" t="str">
        <f>IF(AND(W84=1,$B$4="Financeiro"),IF(COUNTIFS(financeiro!$B$2:$B$73,"c4",financeiro!$A$2:$A$73,"&lt;"&amp;W83,financeiro!$G$2:$G$73,"Nao")&gt;0,_xlfn.MINIFS(financeiro!$A$2:$A$73,financeiro!$B$2:$B$73,"c4",financeiro!$A$2:$A$73,"&lt;"&amp;W83,financeiro!$G$2:$G$73,"Nao"),EOMONTH(W81,-1)+1),"")</f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39" t="str">
        <f>IF(historico_VU!A41="","",historico_VU!A41)</f>
        <v/>
      </c>
      <c r="B93" s="140" t="str">
        <f>IF(A93="","",historico_VU!B41)</f>
        <v/>
      </c>
      <c r="C93" s="141" t="str">
        <f>IF(A93="","",historico_VU!C41)</f>
        <v/>
      </c>
      <c r="D93" s="141" t="str">
        <f>IF(A93="","",historico_VU!D41)</f>
        <v/>
      </c>
      <c r="E93" s="141" t="str">
        <f>IF(A93="","",historico_VU!E41)</f>
        <v/>
      </c>
      <c r="F93" s="141" t="str">
        <f>IF(A93="","",historico_VU!F41)</f>
        <v/>
      </c>
      <c r="G93" s="141" t="str">
        <f>IF(A93="","",historico_VU!G41)</f>
        <v/>
      </c>
      <c r="H93" s="142" t="str">
        <f>IF(A93="","",historico_VU!H41)</f>
        <v/>
      </c>
      <c r="I93" s="57"/>
      <c r="J93" s="139" t="str">
        <f>IF(itens_Remanesc!A41="","",itens_Remanesc!A41)</f>
        <v/>
      </c>
      <c r="K93" s="140" t="str">
        <f>IF(J93="","",IF($F$4="C0",itens_Remanesc!B41,IF($F$4="C1",itens_Remanesc!E41,IF($F$4="C2",itens_Remanesc!G41,IF($F$4="C3",itens_Remanesc!I41,itens_Remanesc!K41)))))</f>
        <v/>
      </c>
      <c r="L93" s="140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43" t="str">
        <f>IF(J93="","",itens_Remanesc!C41)</f>
        <v/>
      </c>
      <c r="N93" s="143" t="str">
        <f>IF(J93="","",IF($F$4="C0",historico_VU!C41,IF($F$4="C1",historico_VU!D41,IF($F$4="C2",historico_VU!E41,IF($F$4="C3",historico_VU!F41,historico_VU!G41)))))</f>
        <v/>
      </c>
      <c r="O93" s="143" t="str">
        <f t="shared" si="4"/>
        <v/>
      </c>
      <c r="P93" s="143" t="str">
        <f t="shared" si="5"/>
        <v/>
      </c>
      <c r="Q93" s="144" t="str">
        <f t="shared" si="6"/>
        <v/>
      </c>
      <c r="S93" t="s">
        <v>582</v>
      </c>
      <c r="T93" s="183" t="str">
        <f>IF(AND(T84=1,$B$4="Financeiro"),IF(COUNTIFS(financeiro!$B$2:$B$73,"c1",financeiro!$A$2:$A$73,"&lt;"&amp;T83,financeiro!$G$2:$G$73,"Nao")&gt;0,_xlfn.MAXIFS(financeiro!$A$2:$A$73,financeiro!$B$2:$B$73,"c1",financeiro!$A$2:$A$73,"&lt;"&amp;T83,financeiro!$G$2:$G$73,"Nao"),EOMONTH(T82,-2)+1),"")</f>
        <v/>
      </c>
      <c r="U93" s="183" t="str">
        <f>IF(AND(U84=1,$B$4="Financeiro"),IF(COUNTIFS(financeiro!$B$2:$B$73,"c2",financeiro!$A$2:$A$73,"&lt;"&amp;U83,financeiro!$G$2:$G$73,"Nao")&gt;0,_xlfn.MAXIFS(financeiro!$A$2:$A$73,financeiro!$B$2:$B$73,"c2",financeiro!$A$2:$A$73,"&lt;"&amp;U83,financeiro!$G$2:$G$73,"Nao"),EOMONTH(U82,-2)+1),"")</f>
        <v/>
      </c>
      <c r="V93" s="183" t="str">
        <f>IF(AND(V84=1,$B$4="Financeiro"),IF(COUNTIFS(financeiro!$B$2:$B$73,"c3",financeiro!$A$2:$A$73,"&lt;"&amp;V83,financeiro!$G$2:$G$73,"Nao")&gt;0,_xlfn.MAXIFS(financeiro!$A$2:$A$73,financeiro!$B$2:$B$73,"c3",financeiro!$A$2:$A$73,"&lt;"&amp;V83,financeiro!$G$2:$G$73,"Nao"),EOMONTH(V82,-2)+1),"")</f>
        <v/>
      </c>
      <c r="W93" s="183" t="str">
        <f>IF(AND(W84=1,$B$4="Financeiro"),IF(COUNTIFS(financeiro!$B$2:$B$73,"c4",financeiro!$A$2:$A$73,"&lt;"&amp;W83,financeiro!$G$2:$G$73,"Nao")&gt;0,_xlfn.MAXIFS(financeiro!$A$2:$A$73,financeiro!$B$2:$B$73,"c4",financeiro!$A$2:$A$73,"&lt;"&amp;W83,financeiro!$G$2:$G$73,"Nao"),EOMONTH(W82,-2)+1),"")</f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39" t="str">
        <f>IF(historico_VU!A42="","",historico_VU!A42)</f>
        <v/>
      </c>
      <c r="B94" s="140" t="str">
        <f>IF(A94="","",historico_VU!B42)</f>
        <v/>
      </c>
      <c r="C94" s="141" t="str">
        <f>IF(A94="","",historico_VU!C42)</f>
        <v/>
      </c>
      <c r="D94" s="141" t="str">
        <f>IF(A94="","",historico_VU!D42)</f>
        <v/>
      </c>
      <c r="E94" s="141" t="str">
        <f>IF(A94="","",historico_VU!E42)</f>
        <v/>
      </c>
      <c r="F94" s="141" t="str">
        <f>IF(A94="","",historico_VU!F42)</f>
        <v/>
      </c>
      <c r="G94" s="141" t="str">
        <f>IF(A94="","",historico_VU!G42)</f>
        <v/>
      </c>
      <c r="H94" s="142" t="str">
        <f>IF(A94="","",historico_VU!H42)</f>
        <v/>
      </c>
      <c r="I94" s="57"/>
      <c r="J94" s="139" t="str">
        <f>IF(itens_Remanesc!A42="","",itens_Remanesc!A42)</f>
        <v/>
      </c>
      <c r="K94" s="140" t="str">
        <f>IF(J94="","",IF($F$4="C0",itens_Remanesc!B42,IF($F$4="C1",itens_Remanesc!E42,IF($F$4="C2",itens_Remanesc!G42,IF($F$4="C3",itens_Remanesc!I42,itens_Remanesc!K42)))))</f>
        <v/>
      </c>
      <c r="L94" s="140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43" t="str">
        <f>IF(J94="","",itens_Remanesc!C42)</f>
        <v/>
      </c>
      <c r="N94" s="143" t="str">
        <f>IF(J94="","",IF($F$4="C0",historico_VU!C42,IF($F$4="C1",historico_VU!D42,IF($F$4="C2",historico_VU!E42,IF($F$4="C3",historico_VU!F42,historico_VU!G42)))))</f>
        <v/>
      </c>
      <c r="O94" s="143" t="str">
        <f t="shared" si="4"/>
        <v/>
      </c>
      <c r="P94" s="143" t="str">
        <f t="shared" si="5"/>
        <v/>
      </c>
      <c r="Q94" s="144" t="str">
        <f t="shared" si="6"/>
        <v/>
      </c>
      <c r="S94" t="s">
        <v>583</v>
      </c>
      <c r="T94" t="str">
        <f>IF(T84&lt;&gt;1,"",IF($B$4="Financeiro",RIGHT("0"&amp;MONTH(T92),2)&amp;"/"&amp;YEAR(T92)&amp;IF(T92=T93,""," a "&amp;RIGHT("0"&amp;MONTH(T93),2)&amp;"/"&amp;YEAR(T93)),RIGHT("0"&amp;DAY(T81),2)&amp;"/"&amp;RIGHT("0"&amp;MONTH(T81),2)&amp;"/"&amp;YEAR(T81)&amp;" a "&amp;RIGHT("0"&amp;DAY(T82-1),2)&amp;"/"&amp;RIGHT("0"&amp;MONTH(T82-1),2)&amp;"/"&amp;YEAR(T82-1)))</f>
        <v/>
      </c>
      <c r="U94" t="str">
        <f>IF(U84&lt;&gt;1,"",IF($B$4="Financeiro",RIGHT("0"&amp;MONTH(U92),2)&amp;"/"&amp;YEAR(U92)&amp;IF(U92=U93,""," a "&amp;RIGHT("0"&amp;MONTH(U93),2)&amp;"/"&amp;YEAR(U93)),RIGHT("0"&amp;DAY(U81),2)&amp;"/"&amp;RIGHT("0"&amp;MONTH(U81),2)&amp;"/"&amp;YEAR(U81)&amp;" a "&amp;RIGHT("0"&amp;DAY(U82-1),2)&amp;"/"&amp;RIGHT("0"&amp;MONTH(U82-1),2)&amp;"/"&amp;YEAR(U82-1)))</f>
        <v/>
      </c>
      <c r="V94" t="str">
        <f>IF(V84&lt;&gt;1,"",IF($B$4="Financeiro",RIGHT("0"&amp;MONTH(V92),2)&amp;"/"&amp;YEAR(V92)&amp;IF(V92=V93,""," a "&amp;RIGHT("0"&amp;MONTH(V93),2)&amp;"/"&amp;YEAR(V93)),RIGHT("0"&amp;DAY(V81),2)&amp;"/"&amp;RIGHT("0"&amp;MONTH(V81),2)&amp;"/"&amp;YEAR(V81)&amp;" a "&amp;RIGHT("0"&amp;DAY(V82-1),2)&amp;"/"&amp;RIGHT("0"&amp;MONTH(V82-1),2)&amp;"/"&amp;YEAR(V82-1)))</f>
        <v/>
      </c>
      <c r="W94" t="str">
        <f>IF(W84&lt;&gt;1,"",IF($B$4="Financeiro",RIGHT("0"&amp;MONTH(W92),2)&amp;"/"&amp;YEAR(W92)&amp;IF(W92=W93,""," a "&amp;RIGHT("0"&amp;MONTH(W93),2)&amp;"/"&amp;YEAR(W93)),RIGHT("0"&amp;DAY(W81),2)&amp;"/"&amp;RIGHT("0"&amp;MONTH(W81),2)&amp;"/"&amp;YEAR(W81)&amp;" a "&amp;RIGHT("0"&amp;DAY(W82-1),2)&amp;"/"&amp;RIGHT("0"&amp;MONTH(W82-1),2)&amp;"/"&amp;YEAR(W82-1)))</f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39" t="str">
        <f>IF(historico_VU!A43="","",historico_VU!A43)</f>
        <v/>
      </c>
      <c r="B95" s="140" t="str">
        <f>IF(A95="","",historico_VU!B43)</f>
        <v/>
      </c>
      <c r="C95" s="141" t="str">
        <f>IF(A95="","",historico_VU!C43)</f>
        <v/>
      </c>
      <c r="D95" s="141" t="str">
        <f>IF(A95="","",historico_VU!D43)</f>
        <v/>
      </c>
      <c r="E95" s="141" t="str">
        <f>IF(A95="","",historico_VU!E43)</f>
        <v/>
      </c>
      <c r="F95" s="141" t="str">
        <f>IF(A95="","",historico_VU!F43)</f>
        <v/>
      </c>
      <c r="G95" s="141" t="str">
        <f>IF(A95="","",historico_VU!G43)</f>
        <v/>
      </c>
      <c r="H95" s="142" t="str">
        <f>IF(A95="","",historico_VU!H43)</f>
        <v/>
      </c>
      <c r="I95" s="57"/>
      <c r="J95" s="139" t="str">
        <f>IF(itens_Remanesc!A43="","",itens_Remanesc!A43)</f>
        <v/>
      </c>
      <c r="K95" s="140" t="str">
        <f>IF(J95="","",IF($F$4="C0",itens_Remanesc!B43,IF($F$4="C1",itens_Remanesc!E43,IF($F$4="C2",itens_Remanesc!G43,IF($F$4="C3",itens_Remanesc!I43,itens_Remanesc!K43)))))</f>
        <v/>
      </c>
      <c r="L95" s="140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43" t="str">
        <f>IF(J95="","",itens_Remanesc!C43)</f>
        <v/>
      </c>
      <c r="N95" s="143" t="str">
        <f>IF(J95="","",IF($F$4="C0",historico_VU!C43,IF($F$4="C1",historico_VU!D43,IF($F$4="C2",historico_VU!E43,IF($F$4="C3",historico_VU!F43,historico_VU!G43)))))</f>
        <v/>
      </c>
      <c r="O95" s="143" t="str">
        <f t="shared" si="4"/>
        <v/>
      </c>
      <c r="P95" s="143" t="str">
        <f t="shared" si="5"/>
        <v/>
      </c>
      <c r="Q95" s="144" t="str">
        <f t="shared" si="6"/>
        <v/>
      </c>
      <c r="S95" t="s">
        <v>584</v>
      </c>
      <c r="T95" t="str">
        <f>IF(NOT(ISNUMBER(T82)),"",IF($B$4="Financeiro",RIGHT("0"&amp;MONTH(T82),2)&amp;"/"&amp;YEAR(T82),RIGHT("0"&amp;DAY(T82),2)&amp;"/"&amp;RIGHT("0"&amp;MONTH(T82),2)&amp;"/"&amp;YEAR(T82)))</f>
        <v/>
      </c>
      <c r="U95" t="str">
        <f>IF(NOT(ISNUMBER(U82)),"",IF($B$4="Financeiro",RIGHT("0"&amp;MONTH(U82),2)&amp;"/"&amp;YEAR(U82),RIGHT("0"&amp;DAY(U82),2)&amp;"/"&amp;RIGHT("0"&amp;MONTH(U82),2)&amp;"/"&amp;YEAR(U82)))</f>
        <v/>
      </c>
      <c r="V95" t="str">
        <f>IF(NOT(ISNUMBER(V82)),"",IF($B$4="Financeiro",RIGHT("0"&amp;MONTH(V82),2)&amp;"/"&amp;YEAR(V82),RIGHT("0"&amp;DAY(V82),2)&amp;"/"&amp;RIGHT("0"&amp;MONTH(V82),2)&amp;"/"&amp;YEAR(V82)))</f>
        <v/>
      </c>
      <c r="W95" t="str">
        <f>IF(NOT(ISNUMBER(W82)),"",IF($B$4="Financeiro",RIGHT("0"&amp;MONTH(W82),2)&amp;"/"&amp;YEAR(W82),RIGHT("0"&amp;DAY(W82),2)&amp;"/"&amp;RIGHT("0"&amp;MONTH(W82),2)&amp;"/"&amp;YEAR(W82)))</f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39" t="str">
        <f>IF(historico_VU!A44="","",historico_VU!A44)</f>
        <v/>
      </c>
      <c r="B96" s="140" t="str">
        <f>IF(A96="","",historico_VU!B44)</f>
        <v/>
      </c>
      <c r="C96" s="141" t="str">
        <f>IF(A96="","",historico_VU!C44)</f>
        <v/>
      </c>
      <c r="D96" s="141" t="str">
        <f>IF(A96="","",historico_VU!D44)</f>
        <v/>
      </c>
      <c r="E96" s="141" t="str">
        <f>IF(A96="","",historico_VU!E44)</f>
        <v/>
      </c>
      <c r="F96" s="141" t="str">
        <f>IF(A96="","",historico_VU!F44)</f>
        <v/>
      </c>
      <c r="G96" s="141" t="str">
        <f>IF(A96="","",historico_VU!G44)</f>
        <v/>
      </c>
      <c r="H96" s="142" t="str">
        <f>IF(A96="","",historico_VU!H44)</f>
        <v/>
      </c>
      <c r="I96" s="57"/>
      <c r="J96" s="139" t="str">
        <f>IF(itens_Remanesc!A44="","",itens_Remanesc!A44)</f>
        <v/>
      </c>
      <c r="K96" s="140" t="str">
        <f>IF(J96="","",IF($F$4="C0",itens_Remanesc!B44,IF($F$4="C1",itens_Remanesc!E44,IF($F$4="C2",itens_Remanesc!G44,IF($F$4="C3",itens_Remanesc!I44,itens_Remanesc!K44)))))</f>
        <v/>
      </c>
      <c r="L96" s="140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43" t="str">
        <f>IF(J96="","",itens_Remanesc!C44)</f>
        <v/>
      </c>
      <c r="N96" s="143" t="str">
        <f>IF(J96="","",IF($F$4="C0",historico_VU!C44,IF($F$4="C1",historico_VU!D44,IF($F$4="C2",historico_VU!E44,IF($F$4="C3",historico_VU!F44,historico_VU!G44)))))</f>
        <v/>
      </c>
      <c r="O96" s="143" t="str">
        <f t="shared" si="4"/>
        <v/>
      </c>
      <c r="P96" s="143" t="str">
        <f t="shared" si="5"/>
        <v/>
      </c>
      <c r="Q96" s="144" t="str">
        <f t="shared" si="6"/>
        <v/>
      </c>
      <c r="S96" t="s">
        <v>585</v>
      </c>
      <c r="T96" t="str">
        <f>IF(T91="","",T79&amp;IF(T91="D",$T$114,$T$113&amp;T95))</f>
        <v/>
      </c>
      <c r="U96" t="str">
        <f>IF(U91="","",U79&amp;IF(U91="D",$T$114,$T$113&amp;U95))</f>
        <v/>
      </c>
      <c r="V96" t="str">
        <f>IF(V91="","",V79&amp;IF(V91="D",$T$114,$T$113&amp;V95))</f>
        <v/>
      </c>
      <c r="W96" t="str">
        <f>IF(W91="","",W79&amp;IF(W91="D",$T$114,$T$113&amp;W95))</f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39" t="str">
        <f>IF(historico_VU!A45="","",historico_VU!A45)</f>
        <v/>
      </c>
      <c r="B97" s="140" t="str">
        <f>IF(A97="","",historico_VU!B45)</f>
        <v/>
      </c>
      <c r="C97" s="141" t="str">
        <f>IF(A97="","",historico_VU!C45)</f>
        <v/>
      </c>
      <c r="D97" s="141" t="str">
        <f>IF(A97="","",historico_VU!D45)</f>
        <v/>
      </c>
      <c r="E97" s="141" t="str">
        <f>IF(A97="","",historico_VU!E45)</f>
        <v/>
      </c>
      <c r="F97" s="141" t="str">
        <f>IF(A97="","",historico_VU!F45)</f>
        <v/>
      </c>
      <c r="G97" s="141" t="str">
        <f>IF(A97="","",historico_VU!G45)</f>
        <v/>
      </c>
      <c r="H97" s="142" t="str">
        <f>IF(A97="","",historico_VU!H45)</f>
        <v/>
      </c>
      <c r="I97" s="57"/>
      <c r="J97" s="139" t="str">
        <f>IF(itens_Remanesc!A45="","",itens_Remanesc!A45)</f>
        <v/>
      </c>
      <c r="K97" s="140" t="str">
        <f>IF(J97="","",IF($F$4="C0",itens_Remanesc!B45,IF($F$4="C1",itens_Remanesc!E45,IF($F$4="C2",itens_Remanesc!G45,IF($F$4="C3",itens_Remanesc!I45,itens_Remanesc!K45)))))</f>
        <v/>
      </c>
      <c r="L97" s="140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43" t="str">
        <f>IF(J97="","",itens_Remanesc!C45)</f>
        <v/>
      </c>
      <c r="N97" s="143" t="str">
        <f>IF(J97="","",IF($F$4="C0",historico_VU!C45,IF($F$4="C1",historico_VU!D45,IF($F$4="C2",historico_VU!E45,IF($F$4="C3",historico_VU!F45,historico_VU!G45)))))</f>
        <v/>
      </c>
      <c r="O97" s="143" t="str">
        <f t="shared" si="4"/>
        <v/>
      </c>
      <c r="P97" s="143" t="str">
        <f t="shared" si="5"/>
        <v/>
      </c>
      <c r="Q97" s="144" t="str">
        <f t="shared" si="6"/>
        <v/>
      </c>
      <c r="S97" t="s">
        <v>586</v>
      </c>
      <c r="T97" t="str">
        <f>IF(OR(T91="",T91="D"),"",IF(T91="B",$T$117&amp;T94,IF(T91="C",$T$118&amp;T94,T85&amp;IF($B$4="PCs",$T$115,$T$116)&amp;T94)))</f>
        <v/>
      </c>
      <c r="U97" t="str">
        <f>IF(OR(U91="",U91="D"),"",IF(U91="B",$T$117&amp;U94,IF(U91="C",$T$118&amp;U94,U85&amp;IF($B$4="PCs",$T$115,$T$116)&amp;U94)))</f>
        <v/>
      </c>
      <c r="V97" t="str">
        <f>IF(OR(V91="",V91="D"),"",IF(V91="B",$T$117&amp;V94,IF(V91="C",$T$118&amp;V94,V85&amp;IF($B$4="PCs",$T$115,$T$116)&amp;V94)))</f>
        <v/>
      </c>
      <c r="W97" t="str">
        <f>IF(OR(W91="",W91="D"),"",IF(W91="B",$T$117&amp;W94,IF(W91="C",$T$118&amp;W94,W85&amp;IF($B$4="PCs",$T$115,$T$116)&amp;W94)))</f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39" t="str">
        <f>IF(historico_VU!A46="","",historico_VU!A46)</f>
        <v/>
      </c>
      <c r="B98" s="140" t="str">
        <f>IF(A98="","",historico_VU!B46)</f>
        <v/>
      </c>
      <c r="C98" s="141" t="str">
        <f>IF(A98="","",historico_VU!C46)</f>
        <v/>
      </c>
      <c r="D98" s="141" t="str">
        <f>IF(A98="","",historico_VU!D46)</f>
        <v/>
      </c>
      <c r="E98" s="141" t="str">
        <f>IF(A98="","",historico_VU!E46)</f>
        <v/>
      </c>
      <c r="F98" s="141" t="str">
        <f>IF(A98="","",historico_VU!F46)</f>
        <v/>
      </c>
      <c r="G98" s="141" t="str">
        <f>IF(A98="","",historico_VU!G46)</f>
        <v/>
      </c>
      <c r="H98" s="142" t="str">
        <f>IF(A98="","",historico_VU!H46)</f>
        <v/>
      </c>
      <c r="I98" s="57"/>
      <c r="J98" s="139" t="str">
        <f>IF(itens_Remanesc!A46="","",itens_Remanesc!A46)</f>
        <v/>
      </c>
      <c r="K98" s="140" t="str">
        <f>IF(J98="","",IF($F$4="C0",itens_Remanesc!B46,IF($F$4="C1",itens_Remanesc!E46,IF($F$4="C2",itens_Remanesc!G46,IF($F$4="C3",itens_Remanesc!I46,itens_Remanesc!K46)))))</f>
        <v/>
      </c>
      <c r="L98" s="140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43" t="str">
        <f>IF(J98="","",itens_Remanesc!C46)</f>
        <v/>
      </c>
      <c r="N98" s="143" t="str">
        <f>IF(J98="","",IF($F$4="C0",historico_VU!C46,IF($F$4="C1",historico_VU!D46,IF($F$4="C2",historico_VU!E46,IF($F$4="C3",historico_VU!F46,historico_VU!G46)))))</f>
        <v/>
      </c>
      <c r="O98" s="143" t="str">
        <f t="shared" si="4"/>
        <v/>
      </c>
      <c r="P98" s="143" t="str">
        <f t="shared" si="5"/>
        <v/>
      </c>
      <c r="Q98" s="144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39" t="str">
        <f>IF(historico_VU!A47="","",historico_VU!A47)</f>
        <v/>
      </c>
      <c r="B99" s="140" t="str">
        <f>IF(A99="","",historico_VU!B47)</f>
        <v/>
      </c>
      <c r="C99" s="141" t="str">
        <f>IF(A99="","",historico_VU!C47)</f>
        <v/>
      </c>
      <c r="D99" s="141" t="str">
        <f>IF(A99="","",historico_VU!D47)</f>
        <v/>
      </c>
      <c r="E99" s="141" t="str">
        <f>IF(A99="","",historico_VU!E47)</f>
        <v/>
      </c>
      <c r="F99" s="141" t="str">
        <f>IF(A99="","",historico_VU!F47)</f>
        <v/>
      </c>
      <c r="G99" s="141" t="str">
        <f>IF(A99="","",historico_VU!G47)</f>
        <v/>
      </c>
      <c r="H99" s="142" t="str">
        <f>IF(A99="","",historico_VU!H47)</f>
        <v/>
      </c>
      <c r="I99" s="57"/>
      <c r="J99" s="139" t="str">
        <f>IF(itens_Remanesc!A47="","",itens_Remanesc!A47)</f>
        <v/>
      </c>
      <c r="K99" s="140" t="str">
        <f>IF(J99="","",IF($F$4="C0",itens_Remanesc!B47,IF($F$4="C1",itens_Remanesc!E47,IF($F$4="C2",itens_Remanesc!G47,IF($F$4="C3",itens_Remanesc!I47,itens_Remanesc!K47)))))</f>
        <v/>
      </c>
      <c r="L99" s="140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43" t="str">
        <f>IF(J99="","",itens_Remanesc!C47)</f>
        <v/>
      </c>
      <c r="N99" s="143" t="str">
        <f>IF(J99="","",IF($F$4="C0",historico_VU!C47,IF($F$4="C1",historico_VU!D47,IF($F$4="C2",historico_VU!E47,IF($F$4="C3",historico_VU!F47,historico_VU!G47)))))</f>
        <v/>
      </c>
      <c r="O99" s="143" t="str">
        <f t="shared" si="4"/>
        <v/>
      </c>
      <c r="P99" s="143" t="str">
        <f t="shared" si="5"/>
        <v/>
      </c>
      <c r="Q99" s="144" t="str">
        <f t="shared" si="6"/>
        <v/>
      </c>
      <c r="S99" t="s">
        <v>587</v>
      </c>
      <c r="T99">
        <f>IF(COUNTIF(T91:W91,"?*")&gt;0,1,0)</f>
        <v>0</v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39" t="str">
        <f>IF(historico_VU!A48="","",historico_VU!A48)</f>
        <v/>
      </c>
      <c r="B100" s="140" t="str">
        <f>IF(A100="","",historico_VU!B48)</f>
        <v/>
      </c>
      <c r="C100" s="141" t="str">
        <f>IF(A100="","",historico_VU!C48)</f>
        <v/>
      </c>
      <c r="D100" s="141" t="str">
        <f>IF(A100="","",historico_VU!D48)</f>
        <v/>
      </c>
      <c r="E100" s="141" t="str">
        <f>IF(A100="","",historico_VU!E48)</f>
        <v/>
      </c>
      <c r="F100" s="141" t="str">
        <f>IF(A100="","",historico_VU!F48)</f>
        <v/>
      </c>
      <c r="G100" s="141" t="str">
        <f>IF(A100="","",historico_VU!G48)</f>
        <v/>
      </c>
      <c r="H100" s="142" t="str">
        <f>IF(A100="","",historico_VU!H48)</f>
        <v/>
      </c>
      <c r="I100" s="57"/>
      <c r="J100" s="139" t="str">
        <f>IF(itens_Remanesc!A48="","",itens_Remanesc!A48)</f>
        <v/>
      </c>
      <c r="K100" s="140" t="str">
        <f>IF(J100="","",IF($F$4="C0",itens_Remanesc!B48,IF($F$4="C1",itens_Remanesc!E48,IF($F$4="C2",itens_Remanesc!G48,IF($F$4="C3",itens_Remanesc!I48,itens_Remanesc!K48)))))</f>
        <v/>
      </c>
      <c r="L100" s="140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43" t="str">
        <f>IF(J100="","",itens_Remanesc!C48)</f>
        <v/>
      </c>
      <c r="N100" s="143" t="str">
        <f>IF(J100="","",IF($F$4="C0",historico_VU!C48,IF($F$4="C1",historico_VU!D48,IF($F$4="C2",historico_VU!E48,IF($F$4="C3",historico_VU!F48,historico_VU!G48)))))</f>
        <v/>
      </c>
      <c r="O100" s="143" t="str">
        <f t="shared" si="4"/>
        <v/>
      </c>
      <c r="P100" s="143" t="str">
        <f t="shared" si="5"/>
        <v/>
      </c>
      <c r="Q100" s="144" t="str">
        <f t="shared" si="6"/>
        <v/>
      </c>
      <c r="S100" t="s">
        <v>588</v>
      </c>
      <c r="T100">
        <f>IF(COUNTIF(T91:W91,"A")+COUNTIF(T91:W91,"B")&gt;0,1,0)</f>
        <v>0</v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39" t="str">
        <f>IF(historico_VU!A49="","",historico_VU!A49)</f>
        <v/>
      </c>
      <c r="B101" s="140" t="str">
        <f>IF(A101="","",historico_VU!B49)</f>
        <v/>
      </c>
      <c r="C101" s="141" t="str">
        <f>IF(A101="","",historico_VU!C49)</f>
        <v/>
      </c>
      <c r="D101" s="141" t="str">
        <f>IF(A101="","",historico_VU!D49)</f>
        <v/>
      </c>
      <c r="E101" s="141" t="str">
        <f>IF(A101="","",historico_VU!E49)</f>
        <v/>
      </c>
      <c r="F101" s="141" t="str">
        <f>IF(A101="","",historico_VU!F49)</f>
        <v/>
      </c>
      <c r="G101" s="141" t="str">
        <f>IF(A101="","",historico_VU!G49)</f>
        <v/>
      </c>
      <c r="H101" s="142" t="str">
        <f>IF(A101="","",historico_VU!H49)</f>
        <v/>
      </c>
      <c r="I101" s="57"/>
      <c r="J101" s="139" t="str">
        <f>IF(itens_Remanesc!A49="","",itens_Remanesc!A49)</f>
        <v/>
      </c>
      <c r="K101" s="140" t="str">
        <f>IF(J101="","",IF($F$4="C0",itens_Remanesc!B49,IF($F$4="C1",itens_Remanesc!E49,IF($F$4="C2",itens_Remanesc!G49,IF($F$4="C3",itens_Remanesc!I49,itens_Remanesc!K49)))))</f>
        <v/>
      </c>
      <c r="L101" s="140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43" t="str">
        <f>IF(J101="","",itens_Remanesc!C49)</f>
        <v/>
      </c>
      <c r="N101" s="143" t="str">
        <f>IF(J101="","",IF($F$4="C0",historico_VU!C49,IF($F$4="C1",historico_VU!D49,IF($F$4="C2",historico_VU!E49,IF($F$4="C3",historico_VU!F49,historico_VU!G49)))))</f>
        <v/>
      </c>
      <c r="O101" s="143" t="str">
        <f t="shared" si="4"/>
        <v/>
      </c>
      <c r="P101" s="143" t="str">
        <f t="shared" si="5"/>
        <v/>
      </c>
      <c r="Q101" s="144" t="str">
        <f t="shared" si="6"/>
        <v/>
      </c>
      <c r="S101" t="s">
        <v>589</v>
      </c>
      <c r="T101">
        <f>IF(COUNTIF(T91:W91,"C")&gt;0,1,0)</f>
        <v>0</v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39" t="str">
        <f>IF(historico_VU!A50="","",historico_VU!A50)</f>
        <v/>
      </c>
      <c r="B102" s="140" t="str">
        <f>IF(A102="","",historico_VU!B50)</f>
        <v/>
      </c>
      <c r="C102" s="141" t="str">
        <f>IF(A102="","",historico_VU!C50)</f>
        <v/>
      </c>
      <c r="D102" s="141" t="str">
        <f>IF(A102="","",historico_VU!D50)</f>
        <v/>
      </c>
      <c r="E102" s="141" t="str">
        <f>IF(A102="","",historico_VU!E50)</f>
        <v/>
      </c>
      <c r="F102" s="141" t="str">
        <f>IF(A102="","",historico_VU!F50)</f>
        <v/>
      </c>
      <c r="G102" s="141" t="str">
        <f>IF(A102="","",historico_VU!G50)</f>
        <v/>
      </c>
      <c r="H102" s="142" t="str">
        <f>IF(A102="","",historico_VU!H50)</f>
        <v/>
      </c>
      <c r="I102" s="57"/>
      <c r="J102" s="139" t="str">
        <f>IF(itens_Remanesc!A50="","",itens_Remanesc!A50)</f>
        <v/>
      </c>
      <c r="K102" s="140" t="str">
        <f>IF(J102="","",IF($F$4="C0",itens_Remanesc!B50,IF($F$4="C1",itens_Remanesc!E50,IF($F$4="C2",itens_Remanesc!G50,IF($F$4="C3",itens_Remanesc!I50,itens_Remanesc!K50)))))</f>
        <v/>
      </c>
      <c r="L102" s="140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43" t="str">
        <f>IF(J102="","",itens_Remanesc!C50)</f>
        <v/>
      </c>
      <c r="N102" s="143" t="str">
        <f>IF(J102="","",IF($F$4="C0",historico_VU!C50,IF($F$4="C1",historico_VU!D50,IF($F$4="C2",historico_VU!E50,IF($F$4="C3",historico_VU!F50,historico_VU!G50)))))</f>
        <v/>
      </c>
      <c r="O102" s="143" t="str">
        <f t="shared" si="4"/>
        <v/>
      </c>
      <c r="P102" s="143" t="str">
        <f t="shared" si="5"/>
        <v/>
      </c>
      <c r="Q102" s="144" t="str">
        <f t="shared" si="6"/>
        <v/>
      </c>
      <c r="S102" t="s">
        <v>590</v>
      </c>
      <c r="T102">
        <f>IF(AND(T99=1,T100=0,T101=0),1,0)</f>
        <v>0</v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39" t="str">
        <f>IF(historico_VU!A51="","",historico_VU!A51)</f>
        <v/>
      </c>
      <c r="B103" s="140" t="str">
        <f>IF(A103="","",historico_VU!B51)</f>
        <v/>
      </c>
      <c r="C103" s="141" t="str">
        <f>IF(A103="","",historico_VU!C51)</f>
        <v/>
      </c>
      <c r="D103" s="141" t="str">
        <f>IF(A103="","",historico_VU!D51)</f>
        <v/>
      </c>
      <c r="E103" s="141" t="str">
        <f>IF(A103="","",historico_VU!E51)</f>
        <v/>
      </c>
      <c r="F103" s="141" t="str">
        <f>IF(A103="","",historico_VU!F51)</f>
        <v/>
      </c>
      <c r="G103" s="141" t="str">
        <f>IF(A103="","",historico_VU!G51)</f>
        <v/>
      </c>
      <c r="H103" s="142" t="str">
        <f>IF(A103="","",historico_VU!H51)</f>
        <v/>
      </c>
      <c r="I103" s="57"/>
      <c r="J103" s="139" t="str">
        <f>IF(itens_Remanesc!A51="","",itens_Remanesc!A51)</f>
        <v/>
      </c>
      <c r="K103" s="140" t="str">
        <f>IF(J103="","",IF($F$4="C0",itens_Remanesc!B51,IF($F$4="C1",itens_Remanesc!E51,IF($F$4="C2",itens_Remanesc!G51,IF($F$4="C3",itens_Remanesc!I51,itens_Remanesc!K51)))))</f>
        <v/>
      </c>
      <c r="L103" s="140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43" t="str">
        <f>IF(J103="","",itens_Remanesc!C51)</f>
        <v/>
      </c>
      <c r="N103" s="143" t="str">
        <f>IF(J103="","",IF($F$4="C0",historico_VU!C51,IF($F$4="C1",historico_VU!D51,IF($F$4="C2",historico_VU!E51,IF($F$4="C3",historico_VU!F51,historico_VU!G51)))))</f>
        <v/>
      </c>
      <c r="O103" s="143" t="str">
        <f t="shared" si="4"/>
        <v/>
      </c>
      <c r="P103" s="143" t="str">
        <f t="shared" si="5"/>
        <v/>
      </c>
      <c r="Q103" s="144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39" t="str">
        <f>IF(historico_VU!A52="","",historico_VU!A52)</f>
        <v/>
      </c>
      <c r="B104" s="140" t="str">
        <f>IF(A104="","",historico_VU!B52)</f>
        <v/>
      </c>
      <c r="C104" s="141" t="str">
        <f>IF(A104="","",historico_VU!C52)</f>
        <v/>
      </c>
      <c r="D104" s="141" t="str">
        <f>IF(A104="","",historico_VU!D52)</f>
        <v/>
      </c>
      <c r="E104" s="141" t="str">
        <f>IF(A104="","",historico_VU!E52)</f>
        <v/>
      </c>
      <c r="F104" s="141" t="str">
        <f>IF(A104="","",historico_VU!F52)</f>
        <v/>
      </c>
      <c r="G104" s="141" t="str">
        <f>IF(A104="","",historico_VU!G52)</f>
        <v/>
      </c>
      <c r="H104" s="142" t="str">
        <f>IF(A104="","",historico_VU!H52)</f>
        <v/>
      </c>
      <c r="I104" s="57"/>
      <c r="J104" s="139" t="str">
        <f>IF(itens_Remanesc!A52="","",itens_Remanesc!A52)</f>
        <v/>
      </c>
      <c r="K104" s="140" t="str">
        <f>IF(J104="","",IF($F$4="C0",itens_Remanesc!B52,IF($F$4="C1",itens_Remanesc!E52,IF($F$4="C2",itens_Remanesc!G52,IF($F$4="C3",itens_Remanesc!I52,itens_Remanesc!K52)))))</f>
        <v/>
      </c>
      <c r="L104" s="140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43" t="str">
        <f>IF(J104="","",itens_Remanesc!C52)</f>
        <v/>
      </c>
      <c r="N104" s="143" t="str">
        <f>IF(J104="","",IF($F$4="C0",historico_VU!C52,IF($F$4="C1",historico_VU!D52,IF($F$4="C2",historico_VU!E52,IF($F$4="C3",historico_VU!F52,historico_VU!G52)))))</f>
        <v/>
      </c>
      <c r="O104" s="143" t="str">
        <f t="shared" si="4"/>
        <v/>
      </c>
      <c r="P104" s="143" t="str">
        <f t="shared" si="5"/>
        <v/>
      </c>
      <c r="Q104" s="144" t="str">
        <f t="shared" si="6"/>
        <v/>
      </c>
      <c r="S104" t="s">
        <v>591</v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39" t="str">
        <f>IF(historico_VU!A53="","",historico_VU!A53)</f>
        <v/>
      </c>
      <c r="B105" s="140" t="str">
        <f>IF(A105="","",historico_VU!B53)</f>
        <v/>
      </c>
      <c r="C105" s="141" t="str">
        <f>IF(A105="","",historico_VU!C53)</f>
        <v/>
      </c>
      <c r="D105" s="141" t="str">
        <f>IF(A105="","",historico_VU!D53)</f>
        <v/>
      </c>
      <c r="E105" s="141" t="str">
        <f>IF(A105="","",historico_VU!E53)</f>
        <v/>
      </c>
      <c r="F105" s="141" t="str">
        <f>IF(A105="","",historico_VU!F53)</f>
        <v/>
      </c>
      <c r="G105" s="141" t="str">
        <f>IF(A105="","",historico_VU!G53)</f>
        <v/>
      </c>
      <c r="H105" s="142" t="str">
        <f>IF(A105="","",historico_VU!H53)</f>
        <v/>
      </c>
      <c r="I105" s="57"/>
      <c r="J105" s="139" t="str">
        <f>IF(itens_Remanesc!A53="","",itens_Remanesc!A53)</f>
        <v/>
      </c>
      <c r="K105" s="140" t="str">
        <f>IF(J105="","",IF($F$4="C0",itens_Remanesc!B53,IF($F$4="C1",itens_Remanesc!E53,IF($F$4="C2",itens_Remanesc!G53,IF($F$4="C3",itens_Remanesc!I53,itens_Remanesc!K53)))))</f>
        <v/>
      </c>
      <c r="L105" s="140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43" t="str">
        <f>IF(J105="","",itens_Remanesc!C53)</f>
        <v/>
      </c>
      <c r="N105" s="143" t="str">
        <f>IF(J105="","",IF($F$4="C0",historico_VU!C53,IF($F$4="C1",historico_VU!D53,IF($F$4="C2",historico_VU!E53,IF($F$4="C3",historico_VU!F53,historico_VU!G53)))))</f>
        <v/>
      </c>
      <c r="O105" s="143" t="str">
        <f t="shared" si="4"/>
        <v/>
      </c>
      <c r="P105" s="143" t="str">
        <f t="shared" si="5"/>
        <v/>
      </c>
      <c r="Q105" s="144" t="str">
        <f t="shared" si="6"/>
        <v/>
      </c>
      <c r="S105" t="s">
        <v>592</v>
      </c>
      <c r="T105" s="389" t="s">
        <v>593</v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39" t="str">
        <f>IF(historico_VU!A54="","",historico_VU!A54)</f>
        <v/>
      </c>
      <c r="B106" s="140" t="str">
        <f>IF(A106="","",historico_VU!B54)</f>
        <v/>
      </c>
      <c r="C106" s="141" t="str">
        <f>IF(A106="","",historico_VU!C54)</f>
        <v/>
      </c>
      <c r="D106" s="141" t="str">
        <f>IF(A106="","",historico_VU!D54)</f>
        <v/>
      </c>
      <c r="E106" s="141" t="str">
        <f>IF(A106="","",historico_VU!E54)</f>
        <v/>
      </c>
      <c r="F106" s="141" t="str">
        <f>IF(A106="","",historico_VU!F54)</f>
        <v/>
      </c>
      <c r="G106" s="141" t="str">
        <f>IF(A106="","",historico_VU!G54)</f>
        <v/>
      </c>
      <c r="H106" s="142" t="str">
        <f>IF(A106="","",historico_VU!H54)</f>
        <v/>
      </c>
      <c r="I106" s="57"/>
      <c r="J106" s="139" t="str">
        <f>IF(itens_Remanesc!A54="","",itens_Remanesc!A54)</f>
        <v/>
      </c>
      <c r="K106" s="140" t="str">
        <f>IF(J106="","",IF($F$4="C0",itens_Remanesc!B54,IF($F$4="C1",itens_Remanesc!E54,IF($F$4="C2",itens_Remanesc!G54,IF($F$4="C3",itens_Remanesc!I54,itens_Remanesc!K54)))))</f>
        <v/>
      </c>
      <c r="L106" s="140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43" t="str">
        <f>IF(J106="","",itens_Remanesc!C54)</f>
        <v/>
      </c>
      <c r="N106" s="143" t="str">
        <f>IF(J106="","",IF($F$4="C0",historico_VU!C54,IF($F$4="C1",historico_VU!D54,IF($F$4="C2",historico_VU!E54,IF($F$4="C3",historico_VU!F54,historico_VU!G54)))))</f>
        <v/>
      </c>
      <c r="O106" s="143" t="str">
        <f t="shared" si="4"/>
        <v/>
      </c>
      <c r="P106" s="143" t="str">
        <f t="shared" si="5"/>
        <v/>
      </c>
      <c r="Q106" s="144" t="str">
        <f t="shared" si="6"/>
        <v/>
      </c>
      <c r="S106" t="s">
        <v>594</v>
      </c>
      <c r="T106" s="389" t="s">
        <v>595</v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39" t="str">
        <f>IF(historico_VU!A55="","",historico_VU!A55)</f>
        <v/>
      </c>
      <c r="B107" s="140" t="str">
        <f>IF(A107="","",historico_VU!B55)</f>
        <v/>
      </c>
      <c r="C107" s="141" t="str">
        <f>IF(A107="","",historico_VU!C55)</f>
        <v/>
      </c>
      <c r="D107" s="141" t="str">
        <f>IF(A107="","",historico_VU!D55)</f>
        <v/>
      </c>
      <c r="E107" s="141" t="str">
        <f>IF(A107="","",historico_VU!E55)</f>
        <v/>
      </c>
      <c r="F107" s="141" t="str">
        <f>IF(A107="","",historico_VU!F55)</f>
        <v/>
      </c>
      <c r="G107" s="141" t="str">
        <f>IF(A107="","",historico_VU!G55)</f>
        <v/>
      </c>
      <c r="H107" s="142" t="str">
        <f>IF(A107="","",historico_VU!H55)</f>
        <v/>
      </c>
      <c r="I107" s="57"/>
      <c r="J107" s="139" t="str">
        <f>IF(itens_Remanesc!A55="","",itens_Remanesc!A55)</f>
        <v/>
      </c>
      <c r="K107" s="140" t="str">
        <f>IF(J107="","",IF($F$4="C0",itens_Remanesc!B55,IF($F$4="C1",itens_Remanesc!E55,IF($F$4="C2",itens_Remanesc!G55,IF($F$4="C3",itens_Remanesc!I55,itens_Remanesc!K55)))))</f>
        <v/>
      </c>
      <c r="L107" s="140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43" t="str">
        <f>IF(J107="","",itens_Remanesc!C55)</f>
        <v/>
      </c>
      <c r="N107" s="143" t="str">
        <f>IF(J107="","",IF($F$4="C0",historico_VU!C55,IF($F$4="C1",historico_VU!D55,IF($F$4="C2",historico_VU!E55,IF($F$4="C3",historico_VU!F55,historico_VU!G55)))))</f>
        <v/>
      </c>
      <c r="O107" s="143" t="str">
        <f t="shared" si="4"/>
        <v/>
      </c>
      <c r="P107" s="143" t="str">
        <f t="shared" si="5"/>
        <v/>
      </c>
      <c r="Q107" s="144" t="str">
        <f t="shared" si="6"/>
        <v/>
      </c>
      <c r="S107" t="s">
        <v>596</v>
      </c>
      <c r="T107" s="389" t="s">
        <v>597</v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39" t="str">
        <f>IF(historico_VU!A56="","",historico_VU!A56)</f>
        <v/>
      </c>
      <c r="B108" s="140" t="str">
        <f>IF(A108="","",historico_VU!B56)</f>
        <v/>
      </c>
      <c r="C108" s="141" t="str">
        <f>IF(A108="","",historico_VU!C56)</f>
        <v/>
      </c>
      <c r="D108" s="141" t="str">
        <f>IF(A108="","",historico_VU!D56)</f>
        <v/>
      </c>
      <c r="E108" s="141" t="str">
        <f>IF(A108="","",historico_VU!E56)</f>
        <v/>
      </c>
      <c r="F108" s="141" t="str">
        <f>IF(A108="","",historico_VU!F56)</f>
        <v/>
      </c>
      <c r="G108" s="141" t="str">
        <f>IF(A108="","",historico_VU!G56)</f>
        <v/>
      </c>
      <c r="H108" s="142" t="str">
        <f>IF(A108="","",historico_VU!H56)</f>
        <v/>
      </c>
      <c r="I108" s="57"/>
      <c r="J108" s="139" t="str">
        <f>IF(itens_Remanesc!A56="","",itens_Remanesc!A56)</f>
        <v/>
      </c>
      <c r="K108" s="140" t="str">
        <f>IF(J108="","",IF($F$4="C0",itens_Remanesc!B56,IF($F$4="C1",itens_Remanesc!E56,IF($F$4="C2",itens_Remanesc!G56,IF($F$4="C3",itens_Remanesc!I56,itens_Remanesc!K56)))))</f>
        <v/>
      </c>
      <c r="L108" s="140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43" t="str">
        <f>IF(J108="","",itens_Remanesc!C56)</f>
        <v/>
      </c>
      <c r="N108" s="143" t="str">
        <f>IF(J108="","",IF($F$4="C0",historico_VU!C56,IF($F$4="C1",historico_VU!D56,IF($F$4="C2",historico_VU!E56,IF($F$4="C3",historico_VU!F56,historico_VU!G56)))))</f>
        <v/>
      </c>
      <c r="O108" s="143" t="str">
        <f t="shared" si="4"/>
        <v/>
      </c>
      <c r="P108" s="143" t="str">
        <f t="shared" si="5"/>
        <v/>
      </c>
      <c r="Q108" s="144" t="str">
        <f t="shared" si="6"/>
        <v/>
      </c>
      <c r="S108" t="s">
        <v>598</v>
      </c>
      <c r="T108" s="389" t="s">
        <v>577</v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39" t="str">
        <f>IF(historico_VU!A57="","",historico_VU!A57)</f>
        <v/>
      </c>
      <c r="B109" s="140" t="str">
        <f>IF(A109="","",historico_VU!B57)</f>
        <v/>
      </c>
      <c r="C109" s="141" t="str">
        <f>IF(A109="","",historico_VU!C57)</f>
        <v/>
      </c>
      <c r="D109" s="141" t="str">
        <f>IF(A109="","",historico_VU!D57)</f>
        <v/>
      </c>
      <c r="E109" s="141" t="str">
        <f>IF(A109="","",historico_VU!E57)</f>
        <v/>
      </c>
      <c r="F109" s="141" t="str">
        <f>IF(A109="","",historico_VU!F57)</f>
        <v/>
      </c>
      <c r="G109" s="141" t="str">
        <f>IF(A109="","",historico_VU!G57)</f>
        <v/>
      </c>
      <c r="H109" s="142" t="str">
        <f>IF(A109="","",historico_VU!H57)</f>
        <v/>
      </c>
      <c r="I109" s="57"/>
      <c r="J109" s="139" t="str">
        <f>IF(itens_Remanesc!A57="","",itens_Remanesc!A57)</f>
        <v/>
      </c>
      <c r="K109" s="140" t="str">
        <f>IF(J109="","",IF($F$4="C0",itens_Remanesc!B57,IF($F$4="C1",itens_Remanesc!E57,IF($F$4="C2",itens_Remanesc!G57,IF($F$4="C3",itens_Remanesc!I57,itens_Remanesc!K57)))))</f>
        <v/>
      </c>
      <c r="L109" s="140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43" t="str">
        <f>IF(J109="","",itens_Remanesc!C57)</f>
        <v/>
      </c>
      <c r="N109" s="143" t="str">
        <f>IF(J109="","",IF($F$4="C0",historico_VU!C57,IF($F$4="C1",historico_VU!D57,IF($F$4="C2",historico_VU!E57,IF($F$4="C3",historico_VU!F57,historico_VU!G57)))))</f>
        <v/>
      </c>
      <c r="O109" s="143" t="str">
        <f t="shared" si="4"/>
        <v/>
      </c>
      <c r="P109" s="143" t="str">
        <f t="shared" si="5"/>
        <v/>
      </c>
      <c r="Q109" s="144" t="str">
        <f t="shared" si="6"/>
        <v/>
      </c>
      <c r="S109" t="s">
        <v>599</v>
      </c>
      <c r="T109" s="389" t="s">
        <v>600</v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39" t="str">
        <f>IF(historico_VU!A58="","",historico_VU!A58)</f>
        <v/>
      </c>
      <c r="B110" s="140" t="str">
        <f>IF(A110="","",historico_VU!B58)</f>
        <v/>
      </c>
      <c r="C110" s="141" t="str">
        <f>IF(A110="","",historico_VU!C58)</f>
        <v/>
      </c>
      <c r="D110" s="141" t="str">
        <f>IF(A110="","",historico_VU!D58)</f>
        <v/>
      </c>
      <c r="E110" s="141" t="str">
        <f>IF(A110="","",historico_VU!E58)</f>
        <v/>
      </c>
      <c r="F110" s="141" t="str">
        <f>IF(A110="","",historico_VU!F58)</f>
        <v/>
      </c>
      <c r="G110" s="141" t="str">
        <f>IF(A110="","",historico_VU!G58)</f>
        <v/>
      </c>
      <c r="H110" s="142" t="str">
        <f>IF(A110="","",historico_VU!H58)</f>
        <v/>
      </c>
      <c r="I110" s="57"/>
      <c r="J110" s="139" t="str">
        <f>IF(itens_Remanesc!A58="","",itens_Remanesc!A58)</f>
        <v/>
      </c>
      <c r="K110" s="140" t="str">
        <f>IF(J110="","",IF($F$4="C0",itens_Remanesc!B58,IF($F$4="C1",itens_Remanesc!E58,IF($F$4="C2",itens_Remanesc!G58,IF($F$4="C3",itens_Remanesc!I58,itens_Remanesc!K58)))))</f>
        <v/>
      </c>
      <c r="L110" s="140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43" t="str">
        <f>IF(J110="","",itens_Remanesc!C58)</f>
        <v/>
      </c>
      <c r="N110" s="143" t="str">
        <f>IF(J110="","",IF($F$4="C0",historico_VU!C58,IF($F$4="C1",historico_VU!D58,IF($F$4="C2",historico_VU!E58,IF($F$4="C3",historico_VU!F58,historico_VU!G58)))))</f>
        <v/>
      </c>
      <c r="O110" s="143" t="str">
        <f t="shared" si="4"/>
        <v/>
      </c>
      <c r="P110" s="143" t="str">
        <f t="shared" si="5"/>
        <v/>
      </c>
      <c r="Q110" s="144" t="str">
        <f t="shared" si="6"/>
        <v/>
      </c>
      <c r="S110" t="s">
        <v>601</v>
      </c>
      <c r="T110" s="389" t="s">
        <v>602</v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39" t="str">
        <f>IF(historico_VU!A59="","",historico_VU!A59)</f>
        <v/>
      </c>
      <c r="B111" s="140" t="str">
        <f>IF(A111="","",historico_VU!B59)</f>
        <v/>
      </c>
      <c r="C111" s="141" t="str">
        <f>IF(A111="","",historico_VU!C59)</f>
        <v/>
      </c>
      <c r="D111" s="141" t="str">
        <f>IF(A111="","",historico_VU!D59)</f>
        <v/>
      </c>
      <c r="E111" s="141" t="str">
        <f>IF(A111="","",historico_VU!E59)</f>
        <v/>
      </c>
      <c r="F111" s="141" t="str">
        <f>IF(A111="","",historico_VU!F59)</f>
        <v/>
      </c>
      <c r="G111" s="141" t="str">
        <f>IF(A111="","",historico_VU!G59)</f>
        <v/>
      </c>
      <c r="H111" s="142" t="str">
        <f>IF(A111="","",historico_VU!H59)</f>
        <v/>
      </c>
      <c r="I111" s="57"/>
      <c r="J111" s="139" t="str">
        <f>IF(itens_Remanesc!A59="","",itens_Remanesc!A59)</f>
        <v/>
      </c>
      <c r="K111" s="140" t="str">
        <f>IF(J111="","",IF($F$4="C0",itens_Remanesc!B59,IF($F$4="C1",itens_Remanesc!E59,IF($F$4="C2",itens_Remanesc!G59,IF($F$4="C3",itens_Remanesc!I59,itens_Remanesc!K59)))))</f>
        <v/>
      </c>
      <c r="L111" s="140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43" t="str">
        <f>IF(J111="","",itens_Remanesc!C59)</f>
        <v/>
      </c>
      <c r="N111" s="143" t="str">
        <f>IF(J111="","",IF($F$4="C0",historico_VU!C59,IF($F$4="C1",historico_VU!D59,IF($F$4="C2",historico_VU!E59,IF($F$4="C3",historico_VU!F59,historico_VU!G59)))))</f>
        <v/>
      </c>
      <c r="O111" s="143" t="str">
        <f t="shared" si="4"/>
        <v/>
      </c>
      <c r="P111" s="143" t="str">
        <f t="shared" si="5"/>
        <v/>
      </c>
      <c r="Q111" s="144" t="str">
        <f t="shared" si="6"/>
        <v/>
      </c>
      <c r="S111" t="s">
        <v>603</v>
      </c>
      <c r="T111" s="389" t="s">
        <v>604</v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39" t="str">
        <f>IF(historico_VU!A60="","",historico_VU!A60)</f>
        <v/>
      </c>
      <c r="B112" s="140" t="str">
        <f>IF(A112="","",historico_VU!B60)</f>
        <v/>
      </c>
      <c r="C112" s="141" t="str">
        <f>IF(A112="","",historico_VU!C60)</f>
        <v/>
      </c>
      <c r="D112" s="141" t="str">
        <f>IF(A112="","",historico_VU!D60)</f>
        <v/>
      </c>
      <c r="E112" s="141" t="str">
        <f>IF(A112="","",historico_VU!E60)</f>
        <v/>
      </c>
      <c r="F112" s="141" t="str">
        <f>IF(A112="","",historico_VU!F60)</f>
        <v/>
      </c>
      <c r="G112" s="141" t="str">
        <f>IF(A112="","",historico_VU!G60)</f>
        <v/>
      </c>
      <c r="H112" s="142" t="str">
        <f>IF(A112="","",historico_VU!H60)</f>
        <v/>
      </c>
      <c r="I112" s="57"/>
      <c r="J112" s="139" t="str">
        <f>IF(itens_Remanesc!A60="","",itens_Remanesc!A60)</f>
        <v/>
      </c>
      <c r="K112" s="140" t="str">
        <f>IF(J112="","",IF($F$4="C0",itens_Remanesc!B60,IF($F$4="C1",itens_Remanesc!E60,IF($F$4="C2",itens_Remanesc!G60,IF($F$4="C3",itens_Remanesc!I60,itens_Remanesc!K60)))))</f>
        <v/>
      </c>
      <c r="L112" s="140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43" t="str">
        <f>IF(J112="","",itens_Remanesc!C60)</f>
        <v/>
      </c>
      <c r="N112" s="143" t="str">
        <f>IF(J112="","",IF($F$4="C0",historico_VU!C60,IF($F$4="C1",historico_VU!D60,IF($F$4="C2",historico_VU!E60,IF($F$4="C3",historico_VU!F60,historico_VU!G60)))))</f>
        <v/>
      </c>
      <c r="O112" s="143" t="str">
        <f t="shared" si="4"/>
        <v/>
      </c>
      <c r="P112" s="143" t="str">
        <f t="shared" si="5"/>
        <v/>
      </c>
      <c r="Q112" s="144" t="str">
        <f t="shared" si="6"/>
        <v/>
      </c>
      <c r="S112" t="s">
        <v>605</v>
      </c>
      <c r="T112" s="389" t="s">
        <v>606</v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39" t="str">
        <f>IF(historico_VU!A61="","",historico_VU!A61)</f>
        <v/>
      </c>
      <c r="B113" s="140" t="str">
        <f>IF(A113="","",historico_VU!B61)</f>
        <v/>
      </c>
      <c r="C113" s="141" t="str">
        <f>IF(A113="","",historico_VU!C61)</f>
        <v/>
      </c>
      <c r="D113" s="141" t="str">
        <f>IF(A113="","",historico_VU!D61)</f>
        <v/>
      </c>
      <c r="E113" s="141" t="str">
        <f>IF(A113="","",historico_VU!E61)</f>
        <v/>
      </c>
      <c r="F113" s="141" t="str">
        <f>IF(A113="","",historico_VU!F61)</f>
        <v/>
      </c>
      <c r="G113" s="141" t="str">
        <f>IF(A113="","",historico_VU!G61)</f>
        <v/>
      </c>
      <c r="H113" s="142" t="str">
        <f>IF(A113="","",historico_VU!H61)</f>
        <v/>
      </c>
      <c r="I113" s="57"/>
      <c r="J113" s="139" t="str">
        <f>IF(itens_Remanesc!A61="","",itens_Remanesc!A61)</f>
        <v/>
      </c>
      <c r="K113" s="140" t="str">
        <f>IF(J113="","",IF($F$4="C0",itens_Remanesc!B61,IF($F$4="C1",itens_Remanesc!E61,IF($F$4="C2",itens_Remanesc!G61,IF($F$4="C3",itens_Remanesc!I61,itens_Remanesc!K61)))))</f>
        <v/>
      </c>
      <c r="L113" s="140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43" t="str">
        <f>IF(J113="","",itens_Remanesc!C61)</f>
        <v/>
      </c>
      <c r="N113" s="143" t="str">
        <f>IF(J113="","",IF($F$4="C0",historico_VU!C61,IF($F$4="C1",historico_VU!D61,IF($F$4="C2",historico_VU!E61,IF($F$4="C3",historico_VU!F61,historico_VU!G61)))))</f>
        <v/>
      </c>
      <c r="O113" s="143" t="str">
        <f t="shared" si="4"/>
        <v/>
      </c>
      <c r="P113" s="143" t="str">
        <f t="shared" si="5"/>
        <v/>
      </c>
      <c r="Q113" s="144" t="str">
        <f t="shared" si="6"/>
        <v/>
      </c>
      <c r="S113" t="s">
        <v>607</v>
      </c>
      <c r="T113" s="389" t="s">
        <v>608</v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39" t="str">
        <f>IF(historico_VU!A62="","",historico_VU!A62)</f>
        <v/>
      </c>
      <c r="B114" s="140" t="str">
        <f>IF(A114="","",historico_VU!B62)</f>
        <v/>
      </c>
      <c r="C114" s="141" t="str">
        <f>IF(A114="","",historico_VU!C62)</f>
        <v/>
      </c>
      <c r="D114" s="141" t="str">
        <f>IF(A114="","",historico_VU!D62)</f>
        <v/>
      </c>
      <c r="E114" s="141" t="str">
        <f>IF(A114="","",historico_VU!E62)</f>
        <v/>
      </c>
      <c r="F114" s="141" t="str">
        <f>IF(A114="","",historico_VU!F62)</f>
        <v/>
      </c>
      <c r="G114" s="141" t="str">
        <f>IF(A114="","",historico_VU!G62)</f>
        <v/>
      </c>
      <c r="H114" s="142" t="str">
        <f>IF(A114="","",historico_VU!H62)</f>
        <v/>
      </c>
      <c r="I114" s="57"/>
      <c r="J114" s="139" t="str">
        <f>IF(itens_Remanesc!A62="","",itens_Remanesc!A62)</f>
        <v/>
      </c>
      <c r="K114" s="140" t="str">
        <f>IF(J114="","",IF($F$4="C0",itens_Remanesc!B62,IF($F$4="C1",itens_Remanesc!E62,IF($F$4="C2",itens_Remanesc!G62,IF($F$4="C3",itens_Remanesc!I62,itens_Remanesc!K62)))))</f>
        <v/>
      </c>
      <c r="L114" s="140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43" t="str">
        <f>IF(J114="","",itens_Remanesc!C62)</f>
        <v/>
      </c>
      <c r="N114" s="143" t="str">
        <f>IF(J114="","",IF($F$4="C0",historico_VU!C62,IF($F$4="C1",historico_VU!D62,IF($F$4="C2",historico_VU!E62,IF($F$4="C3",historico_VU!F62,historico_VU!G62)))))</f>
        <v/>
      </c>
      <c r="O114" s="143" t="str">
        <f t="shared" si="4"/>
        <v/>
      </c>
      <c r="P114" s="143" t="str">
        <f t="shared" si="5"/>
        <v/>
      </c>
      <c r="Q114" s="144" t="str">
        <f t="shared" si="6"/>
        <v/>
      </c>
      <c r="S114" t="s">
        <v>609</v>
      </c>
      <c r="T114" s="389" t="s">
        <v>610</v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39" t="str">
        <f>IF(historico_VU!A63="","",historico_VU!A63)</f>
        <v/>
      </c>
      <c r="B115" s="140" t="str">
        <f>IF(A115="","",historico_VU!B63)</f>
        <v/>
      </c>
      <c r="C115" s="141" t="str">
        <f>IF(A115="","",historico_VU!C63)</f>
        <v/>
      </c>
      <c r="D115" s="141" t="str">
        <f>IF(A115="","",historico_VU!D63)</f>
        <v/>
      </c>
      <c r="E115" s="141" t="str">
        <f>IF(A115="","",historico_VU!E63)</f>
        <v/>
      </c>
      <c r="F115" s="141" t="str">
        <f>IF(A115="","",historico_VU!F63)</f>
        <v/>
      </c>
      <c r="G115" s="141" t="str">
        <f>IF(A115="","",historico_VU!G63)</f>
        <v/>
      </c>
      <c r="H115" s="142" t="str">
        <f>IF(A115="","",historico_VU!H63)</f>
        <v/>
      </c>
      <c r="I115" s="57"/>
      <c r="J115" s="139" t="str">
        <f>IF(itens_Remanesc!A63="","",itens_Remanesc!A63)</f>
        <v/>
      </c>
      <c r="K115" s="140" t="str">
        <f>IF(J115="","",IF($F$4="C0",itens_Remanesc!B63,IF($F$4="C1",itens_Remanesc!E63,IF($F$4="C2",itens_Remanesc!G63,IF($F$4="C3",itens_Remanesc!I63,itens_Remanesc!K63)))))</f>
        <v/>
      </c>
      <c r="L115" s="140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43" t="str">
        <f>IF(J115="","",itens_Remanesc!C63)</f>
        <v/>
      </c>
      <c r="N115" s="143" t="str">
        <f>IF(J115="","",IF($F$4="C0",historico_VU!C63,IF($F$4="C1",historico_VU!D63,IF($F$4="C2",historico_VU!E63,IF($F$4="C3",historico_VU!F63,historico_VU!G63)))))</f>
        <v/>
      </c>
      <c r="O115" s="143" t="str">
        <f t="shared" si="4"/>
        <v/>
      </c>
      <c r="P115" s="143" t="str">
        <f t="shared" si="5"/>
        <v/>
      </c>
      <c r="Q115" s="144" t="str">
        <f t="shared" si="6"/>
        <v/>
      </c>
      <c r="S115" t="s">
        <v>611</v>
      </c>
      <c r="T115" s="389" t="s">
        <v>612</v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39" t="str">
        <f>IF(historico_VU!A64="","",historico_VU!A64)</f>
        <v/>
      </c>
      <c r="B116" s="140" t="str">
        <f>IF(A116="","",historico_VU!B64)</f>
        <v/>
      </c>
      <c r="C116" s="141" t="str">
        <f>IF(A116="","",historico_VU!C64)</f>
        <v/>
      </c>
      <c r="D116" s="141" t="str">
        <f>IF(A116="","",historico_VU!D64)</f>
        <v/>
      </c>
      <c r="E116" s="141" t="str">
        <f>IF(A116="","",historico_VU!E64)</f>
        <v/>
      </c>
      <c r="F116" s="141" t="str">
        <f>IF(A116="","",historico_VU!F64)</f>
        <v/>
      </c>
      <c r="G116" s="141" t="str">
        <f>IF(A116="","",historico_VU!G64)</f>
        <v/>
      </c>
      <c r="H116" s="142" t="str">
        <f>IF(A116="","",historico_VU!H64)</f>
        <v/>
      </c>
      <c r="I116" s="57"/>
      <c r="J116" s="139" t="str">
        <f>IF(itens_Remanesc!A64="","",itens_Remanesc!A64)</f>
        <v/>
      </c>
      <c r="K116" s="140" t="str">
        <f>IF(J116="","",IF($F$4="C0",itens_Remanesc!B64,IF($F$4="C1",itens_Remanesc!E64,IF($F$4="C2",itens_Remanesc!G64,IF($F$4="C3",itens_Remanesc!I64,itens_Remanesc!K64)))))</f>
        <v/>
      </c>
      <c r="L116" s="140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43" t="str">
        <f>IF(J116="","",itens_Remanesc!C64)</f>
        <v/>
      </c>
      <c r="N116" s="143" t="str">
        <f>IF(J116="","",IF($F$4="C0",historico_VU!C64,IF($F$4="C1",historico_VU!D64,IF($F$4="C2",historico_VU!E64,IF($F$4="C3",historico_VU!F64,historico_VU!G64)))))</f>
        <v/>
      </c>
      <c r="O116" s="143" t="str">
        <f t="shared" si="4"/>
        <v/>
      </c>
      <c r="P116" s="143" t="str">
        <f t="shared" si="5"/>
        <v/>
      </c>
      <c r="Q116" s="144" t="str">
        <f t="shared" si="6"/>
        <v/>
      </c>
      <c r="S116" t="s">
        <v>613</v>
      </c>
      <c r="T116" s="389" t="s">
        <v>614</v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39" t="str">
        <f>IF(historico_VU!A65="","",historico_VU!A65)</f>
        <v/>
      </c>
      <c r="B117" s="140" t="str">
        <f>IF(A117="","",historico_VU!B65)</f>
        <v/>
      </c>
      <c r="C117" s="141" t="str">
        <f>IF(A117="","",historico_VU!C65)</f>
        <v/>
      </c>
      <c r="D117" s="141" t="str">
        <f>IF(A117="","",historico_VU!D65)</f>
        <v/>
      </c>
      <c r="E117" s="141" t="str">
        <f>IF(A117="","",historico_VU!E65)</f>
        <v/>
      </c>
      <c r="F117" s="141" t="str">
        <f>IF(A117="","",historico_VU!F65)</f>
        <v/>
      </c>
      <c r="G117" s="141" t="str">
        <f>IF(A117="","",historico_VU!G65)</f>
        <v/>
      </c>
      <c r="H117" s="142" t="str">
        <f>IF(A117="","",historico_VU!H65)</f>
        <v/>
      </c>
      <c r="I117" s="57"/>
      <c r="J117" s="139" t="str">
        <f>IF(itens_Remanesc!A65="","",itens_Remanesc!A65)</f>
        <v/>
      </c>
      <c r="K117" s="140" t="str">
        <f>IF(J117="","",IF($F$4="C0",itens_Remanesc!B65,IF($F$4="C1",itens_Remanesc!E65,IF($F$4="C2",itens_Remanesc!G65,IF($F$4="C3",itens_Remanesc!I65,itens_Remanesc!K65)))))</f>
        <v/>
      </c>
      <c r="L117" s="140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43" t="str">
        <f>IF(J117="","",itens_Remanesc!C65)</f>
        <v/>
      </c>
      <c r="N117" s="143" t="str">
        <f>IF(J117="","",IF($F$4="C0",historico_VU!C65,IF($F$4="C1",historico_VU!D65,IF($F$4="C2",historico_VU!E65,IF($F$4="C3",historico_VU!F65,historico_VU!G65)))))</f>
        <v/>
      </c>
      <c r="O117" s="143" t="str">
        <f t="shared" si="4"/>
        <v/>
      </c>
      <c r="P117" s="143" t="str">
        <f t="shared" si="5"/>
        <v/>
      </c>
      <c r="Q117" s="144" t="str">
        <f t="shared" si="6"/>
        <v/>
      </c>
      <c r="S117" t="s">
        <v>615</v>
      </c>
      <c r="T117" s="389" t="s">
        <v>616</v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39" t="str">
        <f>IF(historico_VU!A66="","",historico_VU!A66)</f>
        <v/>
      </c>
      <c r="B118" s="140" t="str">
        <f>IF(A118="","",historico_VU!B66)</f>
        <v/>
      </c>
      <c r="C118" s="141" t="str">
        <f>IF(A118="","",historico_VU!C66)</f>
        <v/>
      </c>
      <c r="D118" s="141" t="str">
        <f>IF(A118="","",historico_VU!D66)</f>
        <v/>
      </c>
      <c r="E118" s="141" t="str">
        <f>IF(A118="","",historico_VU!E66)</f>
        <v/>
      </c>
      <c r="F118" s="141" t="str">
        <f>IF(A118="","",historico_VU!F66)</f>
        <v/>
      </c>
      <c r="G118" s="141" t="str">
        <f>IF(A118="","",historico_VU!G66)</f>
        <v/>
      </c>
      <c r="H118" s="142" t="str">
        <f>IF(A118="","",historico_VU!H66)</f>
        <v/>
      </c>
      <c r="I118" s="57"/>
      <c r="J118" s="139" t="str">
        <f>IF(itens_Remanesc!A66="","",itens_Remanesc!A66)</f>
        <v/>
      </c>
      <c r="K118" s="140" t="str">
        <f>IF(J118="","",IF($F$4="C0",itens_Remanesc!B66,IF($F$4="C1",itens_Remanesc!E66,IF($F$4="C2",itens_Remanesc!G66,IF($F$4="C3",itens_Remanesc!I66,itens_Remanesc!K66)))))</f>
        <v/>
      </c>
      <c r="L118" s="140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43" t="str">
        <f>IF(J118="","",itens_Remanesc!C66)</f>
        <v/>
      </c>
      <c r="N118" s="143" t="str">
        <f>IF(J118="","",IF($F$4="C0",historico_VU!C66,IF($F$4="C1",historico_VU!D66,IF($F$4="C2",historico_VU!E66,IF($F$4="C3",historico_VU!F66,historico_VU!G66)))))</f>
        <v/>
      </c>
      <c r="O118" s="143" t="str">
        <f t="shared" ref="O118:O149" si="7">IF(J118="","",IF(OR($B$4="Financeiro",$B$4="PCs"),IF(OR(K118="",M118=""),"",ROUND(K118*M118,2)),IF($B$4="Itens",IF(OR(L118="",M118=""),"",ROUND(L118*M118,2)),"")))</f>
        <v/>
      </c>
      <c r="P118" s="143" t="str">
        <f t="shared" ref="P118:P149" si="8">IF(J118="","",IF(OR($B$4="Financeiro",$B$4="PCs"),IF(OR(K118="",N118=""),"",ROUND(K118*N118,2)),IF($B$4="Itens",IF(OR(L118="",N118=""),"",ROUND(L118*N118,2)),"")))</f>
        <v/>
      </c>
      <c r="Q118" s="144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S118" t="s">
        <v>617</v>
      </c>
      <c r="T118" s="389" t="s">
        <v>618</v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39" t="str">
        <f>IF(historico_VU!A67="","",historico_VU!A67)</f>
        <v/>
      </c>
      <c r="B119" s="140" t="str">
        <f>IF(A119="","",historico_VU!B67)</f>
        <v/>
      </c>
      <c r="C119" s="141" t="str">
        <f>IF(A119="","",historico_VU!C67)</f>
        <v/>
      </c>
      <c r="D119" s="141" t="str">
        <f>IF(A119="","",historico_VU!D67)</f>
        <v/>
      </c>
      <c r="E119" s="141" t="str">
        <f>IF(A119="","",historico_VU!E67)</f>
        <v/>
      </c>
      <c r="F119" s="141" t="str">
        <f>IF(A119="","",historico_VU!F67)</f>
        <v/>
      </c>
      <c r="G119" s="141" t="str">
        <f>IF(A119="","",historico_VU!G67)</f>
        <v/>
      </c>
      <c r="H119" s="142" t="str">
        <f>IF(A119="","",historico_VU!H67)</f>
        <v/>
      </c>
      <c r="I119" s="57"/>
      <c r="J119" s="139" t="str">
        <f>IF(itens_Remanesc!A67="","",itens_Remanesc!A67)</f>
        <v/>
      </c>
      <c r="K119" s="140" t="str">
        <f>IF(J119="","",IF($F$4="C0",itens_Remanesc!B67,IF($F$4="C1",itens_Remanesc!E67,IF($F$4="C2",itens_Remanesc!G67,IF($F$4="C3",itens_Remanesc!I67,itens_Remanesc!K67)))))</f>
        <v/>
      </c>
      <c r="L119" s="140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43" t="str">
        <f>IF(J119="","",itens_Remanesc!C67)</f>
        <v/>
      </c>
      <c r="N119" s="143" t="str">
        <f>IF(J119="","",IF($F$4="C0",historico_VU!C67,IF($F$4="C1",historico_VU!D67,IF($F$4="C2",historico_VU!E67,IF($F$4="C3",historico_VU!F67,historico_VU!G67)))))</f>
        <v/>
      </c>
      <c r="O119" s="143" t="str">
        <f t="shared" si="7"/>
        <v/>
      </c>
      <c r="P119" s="143" t="str">
        <f t="shared" si="8"/>
        <v/>
      </c>
      <c r="Q119" s="144" t="str">
        <f t="shared" si="9"/>
        <v/>
      </c>
      <c r="S119" t="s">
        <v>619</v>
      </c>
      <c r="T119" s="389" t="s">
        <v>620</v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39" t="str">
        <f>IF(historico_VU!A68="","",historico_VU!A68)</f>
        <v/>
      </c>
      <c r="B120" s="140" t="str">
        <f>IF(A120="","",historico_VU!B68)</f>
        <v/>
      </c>
      <c r="C120" s="141" t="str">
        <f>IF(A120="","",historico_VU!C68)</f>
        <v/>
      </c>
      <c r="D120" s="141" t="str">
        <f>IF(A120="","",historico_VU!D68)</f>
        <v/>
      </c>
      <c r="E120" s="141" t="str">
        <f>IF(A120="","",historico_VU!E68)</f>
        <v/>
      </c>
      <c r="F120" s="141" t="str">
        <f>IF(A120="","",historico_VU!F68)</f>
        <v/>
      </c>
      <c r="G120" s="141" t="str">
        <f>IF(A120="","",historico_VU!G68)</f>
        <v/>
      </c>
      <c r="H120" s="142" t="str">
        <f>IF(A120="","",historico_VU!H68)</f>
        <v/>
      </c>
      <c r="I120" s="57"/>
      <c r="J120" s="139" t="str">
        <f>IF(itens_Remanesc!A68="","",itens_Remanesc!A68)</f>
        <v/>
      </c>
      <c r="K120" s="140" t="str">
        <f>IF(J120="","",IF($F$4="C0",itens_Remanesc!B68,IF($F$4="C1",itens_Remanesc!E68,IF($F$4="C2",itens_Remanesc!G68,IF($F$4="C3",itens_Remanesc!I68,itens_Remanesc!K68)))))</f>
        <v/>
      </c>
      <c r="L120" s="140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43" t="str">
        <f>IF(J120="","",itens_Remanesc!C68)</f>
        <v/>
      </c>
      <c r="N120" s="143" t="str">
        <f>IF(J120="","",IF($F$4="C0",historico_VU!C68,IF($F$4="C1",historico_VU!D68,IF($F$4="C2",historico_VU!E68,IF($F$4="C3",historico_VU!F68,historico_VU!G68)))))</f>
        <v/>
      </c>
      <c r="O120" s="143" t="str">
        <f t="shared" si="7"/>
        <v/>
      </c>
      <c r="P120" s="143" t="str">
        <f t="shared" si="8"/>
        <v/>
      </c>
      <c r="Q120" s="144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39" t="str">
        <f>IF(historico_VU!A69="","",historico_VU!A69)</f>
        <v/>
      </c>
      <c r="B121" s="140" t="str">
        <f>IF(A121="","",historico_VU!B69)</f>
        <v/>
      </c>
      <c r="C121" s="141" t="str">
        <f>IF(A121="","",historico_VU!C69)</f>
        <v/>
      </c>
      <c r="D121" s="141" t="str">
        <f>IF(A121="","",historico_VU!D69)</f>
        <v/>
      </c>
      <c r="E121" s="141" t="str">
        <f>IF(A121="","",historico_VU!E69)</f>
        <v/>
      </c>
      <c r="F121" s="141" t="str">
        <f>IF(A121="","",historico_VU!F69)</f>
        <v/>
      </c>
      <c r="G121" s="141" t="str">
        <f>IF(A121="","",historico_VU!G69)</f>
        <v/>
      </c>
      <c r="H121" s="142" t="str">
        <f>IF(A121="","",historico_VU!H69)</f>
        <v/>
      </c>
      <c r="I121" s="57"/>
      <c r="J121" s="139" t="str">
        <f>IF(itens_Remanesc!A69="","",itens_Remanesc!A69)</f>
        <v/>
      </c>
      <c r="K121" s="140" t="str">
        <f>IF(J121="","",IF($F$4="C0",itens_Remanesc!B69,IF($F$4="C1",itens_Remanesc!E69,IF($F$4="C2",itens_Remanesc!G69,IF($F$4="C3",itens_Remanesc!I69,itens_Remanesc!K69)))))</f>
        <v/>
      </c>
      <c r="L121" s="140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43" t="str">
        <f>IF(J121="","",itens_Remanesc!C69)</f>
        <v/>
      </c>
      <c r="N121" s="143" t="str">
        <f>IF(J121="","",IF($F$4="C0",historico_VU!C69,IF($F$4="C1",historico_VU!D69,IF($F$4="C2",historico_VU!E69,IF($F$4="C3",historico_VU!F69,historico_VU!G69)))))</f>
        <v/>
      </c>
      <c r="O121" s="143" t="str">
        <f t="shared" si="7"/>
        <v/>
      </c>
      <c r="P121" s="143" t="str">
        <f t="shared" si="8"/>
        <v/>
      </c>
      <c r="Q121" s="144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39" t="str">
        <f>IF(historico_VU!A70="","",historico_VU!A70)</f>
        <v/>
      </c>
      <c r="B122" s="140" t="str">
        <f>IF(A122="","",historico_VU!B70)</f>
        <v/>
      </c>
      <c r="C122" s="141" t="str">
        <f>IF(A122="","",historico_VU!C70)</f>
        <v/>
      </c>
      <c r="D122" s="141" t="str">
        <f>IF(A122="","",historico_VU!D70)</f>
        <v/>
      </c>
      <c r="E122" s="141" t="str">
        <f>IF(A122="","",historico_VU!E70)</f>
        <v/>
      </c>
      <c r="F122" s="141" t="str">
        <f>IF(A122="","",historico_VU!F70)</f>
        <v/>
      </c>
      <c r="G122" s="141" t="str">
        <f>IF(A122="","",historico_VU!G70)</f>
        <v/>
      </c>
      <c r="H122" s="142" t="str">
        <f>IF(A122="","",historico_VU!H70)</f>
        <v/>
      </c>
      <c r="I122" s="57"/>
      <c r="J122" s="139" t="str">
        <f>IF(itens_Remanesc!A70="","",itens_Remanesc!A70)</f>
        <v/>
      </c>
      <c r="K122" s="140" t="str">
        <f>IF(J122="","",IF($F$4="C0",itens_Remanesc!B70,IF($F$4="C1",itens_Remanesc!E70,IF($F$4="C2",itens_Remanesc!G70,IF($F$4="C3",itens_Remanesc!I70,itens_Remanesc!K70)))))</f>
        <v/>
      </c>
      <c r="L122" s="140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43" t="str">
        <f>IF(J122="","",itens_Remanesc!C70)</f>
        <v/>
      </c>
      <c r="N122" s="143" t="str">
        <f>IF(J122="","",IF($F$4="C0",historico_VU!C70,IF($F$4="C1",historico_VU!D70,IF($F$4="C2",historico_VU!E70,IF($F$4="C3",historico_VU!F70,historico_VU!G70)))))</f>
        <v/>
      </c>
      <c r="O122" s="143" t="str">
        <f t="shared" si="7"/>
        <v/>
      </c>
      <c r="P122" s="143" t="str">
        <f t="shared" si="8"/>
        <v/>
      </c>
      <c r="Q122" s="144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39" t="str">
        <f>IF(historico_VU!A71="","",historico_VU!A71)</f>
        <v/>
      </c>
      <c r="B123" s="140" t="str">
        <f>IF(A123="","",historico_VU!B71)</f>
        <v/>
      </c>
      <c r="C123" s="141" t="str">
        <f>IF(A123="","",historico_VU!C71)</f>
        <v/>
      </c>
      <c r="D123" s="141" t="str">
        <f>IF(A123="","",historico_VU!D71)</f>
        <v/>
      </c>
      <c r="E123" s="141" t="str">
        <f>IF(A123="","",historico_VU!E71)</f>
        <v/>
      </c>
      <c r="F123" s="141" t="str">
        <f>IF(A123="","",historico_VU!F71)</f>
        <v/>
      </c>
      <c r="G123" s="141" t="str">
        <f>IF(A123="","",historico_VU!G71)</f>
        <v/>
      </c>
      <c r="H123" s="142" t="str">
        <f>IF(A123="","",historico_VU!H71)</f>
        <v/>
      </c>
      <c r="I123" s="57"/>
      <c r="J123" s="139" t="str">
        <f>IF(itens_Remanesc!A71="","",itens_Remanesc!A71)</f>
        <v/>
      </c>
      <c r="K123" s="140" t="str">
        <f>IF(J123="","",IF($F$4="C0",itens_Remanesc!B71,IF($F$4="C1",itens_Remanesc!E71,IF($F$4="C2",itens_Remanesc!G71,IF($F$4="C3",itens_Remanesc!I71,itens_Remanesc!K71)))))</f>
        <v/>
      </c>
      <c r="L123" s="140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43" t="str">
        <f>IF(J123="","",itens_Remanesc!C71)</f>
        <v/>
      </c>
      <c r="N123" s="143" t="str">
        <f>IF(J123="","",IF($F$4="C0",historico_VU!C71,IF($F$4="C1",historico_VU!D71,IF($F$4="C2",historico_VU!E71,IF($F$4="C3",historico_VU!F71,historico_VU!G71)))))</f>
        <v/>
      </c>
      <c r="O123" s="143" t="str">
        <f t="shared" si="7"/>
        <v/>
      </c>
      <c r="P123" s="143" t="str">
        <f t="shared" si="8"/>
        <v/>
      </c>
      <c r="Q123" s="144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39" t="str">
        <f>IF(historico_VU!A72="","",historico_VU!A72)</f>
        <v/>
      </c>
      <c r="B124" s="140" t="str">
        <f>IF(A124="","",historico_VU!B72)</f>
        <v/>
      </c>
      <c r="C124" s="141" t="str">
        <f>IF(A124="","",historico_VU!C72)</f>
        <v/>
      </c>
      <c r="D124" s="141" t="str">
        <f>IF(A124="","",historico_VU!D72)</f>
        <v/>
      </c>
      <c r="E124" s="141" t="str">
        <f>IF(A124="","",historico_VU!E72)</f>
        <v/>
      </c>
      <c r="F124" s="141" t="str">
        <f>IF(A124="","",historico_VU!F72)</f>
        <v/>
      </c>
      <c r="G124" s="141" t="str">
        <f>IF(A124="","",historico_VU!G72)</f>
        <v/>
      </c>
      <c r="H124" s="142" t="str">
        <f>IF(A124="","",historico_VU!H72)</f>
        <v/>
      </c>
      <c r="I124" s="57"/>
      <c r="J124" s="139" t="str">
        <f>IF(itens_Remanesc!A72="","",itens_Remanesc!A72)</f>
        <v/>
      </c>
      <c r="K124" s="140" t="str">
        <f>IF(J124="","",IF($F$4="C0",itens_Remanesc!B72,IF($F$4="C1",itens_Remanesc!E72,IF($F$4="C2",itens_Remanesc!G72,IF($F$4="C3",itens_Remanesc!I72,itens_Remanesc!K72)))))</f>
        <v/>
      </c>
      <c r="L124" s="140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43" t="str">
        <f>IF(J124="","",itens_Remanesc!C72)</f>
        <v/>
      </c>
      <c r="N124" s="143" t="str">
        <f>IF(J124="","",IF($F$4="C0",historico_VU!C72,IF($F$4="C1",historico_VU!D72,IF($F$4="C2",historico_VU!E72,IF($F$4="C3",historico_VU!F72,historico_VU!G72)))))</f>
        <v/>
      </c>
      <c r="O124" s="143" t="str">
        <f t="shared" si="7"/>
        <v/>
      </c>
      <c r="P124" s="143" t="str">
        <f t="shared" si="8"/>
        <v/>
      </c>
      <c r="Q124" s="144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39" t="str">
        <f>IF(historico_VU!A73="","",historico_VU!A73)</f>
        <v/>
      </c>
      <c r="B125" s="140" t="str">
        <f>IF(A125="","",historico_VU!B73)</f>
        <v/>
      </c>
      <c r="C125" s="141" t="str">
        <f>IF(A125="","",historico_VU!C73)</f>
        <v/>
      </c>
      <c r="D125" s="141" t="str">
        <f>IF(A125="","",historico_VU!D73)</f>
        <v/>
      </c>
      <c r="E125" s="141" t="str">
        <f>IF(A125="","",historico_VU!E73)</f>
        <v/>
      </c>
      <c r="F125" s="141" t="str">
        <f>IF(A125="","",historico_VU!F73)</f>
        <v/>
      </c>
      <c r="G125" s="141" t="str">
        <f>IF(A125="","",historico_VU!G73)</f>
        <v/>
      </c>
      <c r="H125" s="142" t="str">
        <f>IF(A125="","",historico_VU!H73)</f>
        <v/>
      </c>
      <c r="I125" s="57"/>
      <c r="J125" s="139" t="str">
        <f>IF(itens_Remanesc!A73="","",itens_Remanesc!A73)</f>
        <v/>
      </c>
      <c r="K125" s="140" t="str">
        <f>IF(J125="","",IF($F$4="C0",itens_Remanesc!B73,IF($F$4="C1",itens_Remanesc!E73,IF($F$4="C2",itens_Remanesc!G73,IF($F$4="C3",itens_Remanesc!I73,itens_Remanesc!K73)))))</f>
        <v/>
      </c>
      <c r="L125" s="140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43" t="str">
        <f>IF(J125="","",itens_Remanesc!C73)</f>
        <v/>
      </c>
      <c r="N125" s="143" t="str">
        <f>IF(J125="","",IF($F$4="C0",historico_VU!C73,IF($F$4="C1",historico_VU!D73,IF($F$4="C2",historico_VU!E73,IF($F$4="C3",historico_VU!F73,historico_VU!G73)))))</f>
        <v/>
      </c>
      <c r="O125" s="143" t="str">
        <f t="shared" si="7"/>
        <v/>
      </c>
      <c r="P125" s="143" t="str">
        <f t="shared" si="8"/>
        <v/>
      </c>
      <c r="Q125" s="144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39" t="str">
        <f>IF(historico_VU!A74="","",historico_VU!A74)</f>
        <v/>
      </c>
      <c r="B126" s="140" t="str">
        <f>IF(A126="","",historico_VU!B74)</f>
        <v/>
      </c>
      <c r="C126" s="141" t="str">
        <f>IF(A126="","",historico_VU!C74)</f>
        <v/>
      </c>
      <c r="D126" s="141" t="str">
        <f>IF(A126="","",historico_VU!D74)</f>
        <v/>
      </c>
      <c r="E126" s="141" t="str">
        <f>IF(A126="","",historico_VU!E74)</f>
        <v/>
      </c>
      <c r="F126" s="141" t="str">
        <f>IF(A126="","",historico_VU!F74)</f>
        <v/>
      </c>
      <c r="G126" s="141" t="str">
        <f>IF(A126="","",historico_VU!G74)</f>
        <v/>
      </c>
      <c r="H126" s="142" t="str">
        <f>IF(A126="","",historico_VU!H74)</f>
        <v/>
      </c>
      <c r="I126" s="57"/>
      <c r="J126" s="139" t="str">
        <f>IF(itens_Remanesc!A74="","",itens_Remanesc!A74)</f>
        <v/>
      </c>
      <c r="K126" s="140" t="str">
        <f>IF(J126="","",IF($F$4="C0",itens_Remanesc!B74,IF($F$4="C1",itens_Remanesc!E74,IF($F$4="C2",itens_Remanesc!G74,IF($F$4="C3",itens_Remanesc!I74,itens_Remanesc!K74)))))</f>
        <v/>
      </c>
      <c r="L126" s="140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43" t="str">
        <f>IF(J126="","",itens_Remanesc!C74)</f>
        <v/>
      </c>
      <c r="N126" s="143" t="str">
        <f>IF(J126="","",IF($F$4="C0",historico_VU!C74,IF($F$4="C1",historico_VU!D74,IF($F$4="C2",historico_VU!E74,IF($F$4="C3",historico_VU!F74,historico_VU!G74)))))</f>
        <v/>
      </c>
      <c r="O126" s="143" t="str">
        <f t="shared" si="7"/>
        <v/>
      </c>
      <c r="P126" s="143" t="str">
        <f t="shared" si="8"/>
        <v/>
      </c>
      <c r="Q126" s="144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39" t="str">
        <f>IF(historico_VU!A75="","",historico_VU!A75)</f>
        <v/>
      </c>
      <c r="B127" s="140" t="str">
        <f>IF(A127="","",historico_VU!B75)</f>
        <v/>
      </c>
      <c r="C127" s="141" t="str">
        <f>IF(A127="","",historico_VU!C75)</f>
        <v/>
      </c>
      <c r="D127" s="141" t="str">
        <f>IF(A127="","",historico_VU!D75)</f>
        <v/>
      </c>
      <c r="E127" s="141" t="str">
        <f>IF(A127="","",historico_VU!E75)</f>
        <v/>
      </c>
      <c r="F127" s="141" t="str">
        <f>IF(A127="","",historico_VU!F75)</f>
        <v/>
      </c>
      <c r="G127" s="141" t="str">
        <f>IF(A127="","",historico_VU!G75)</f>
        <v/>
      </c>
      <c r="H127" s="142" t="str">
        <f>IF(A127="","",historico_VU!H75)</f>
        <v/>
      </c>
      <c r="I127" s="57"/>
      <c r="J127" s="139" t="str">
        <f>IF(itens_Remanesc!A75="","",itens_Remanesc!A75)</f>
        <v/>
      </c>
      <c r="K127" s="140" t="str">
        <f>IF(J127="","",IF($F$4="C0",itens_Remanesc!B75,IF($F$4="C1",itens_Remanesc!E75,IF($F$4="C2",itens_Remanesc!G75,IF($F$4="C3",itens_Remanesc!I75,itens_Remanesc!K75)))))</f>
        <v/>
      </c>
      <c r="L127" s="140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43" t="str">
        <f>IF(J127="","",itens_Remanesc!C75)</f>
        <v/>
      </c>
      <c r="N127" s="143" t="str">
        <f>IF(J127="","",IF($F$4="C0",historico_VU!C75,IF($F$4="C1",historico_VU!D75,IF($F$4="C2",historico_VU!E75,IF($F$4="C3",historico_VU!F75,historico_VU!G75)))))</f>
        <v/>
      </c>
      <c r="O127" s="143" t="str">
        <f t="shared" si="7"/>
        <v/>
      </c>
      <c r="P127" s="143" t="str">
        <f t="shared" si="8"/>
        <v/>
      </c>
      <c r="Q127" s="144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39" t="str">
        <f>IF(historico_VU!A76="","",historico_VU!A76)</f>
        <v/>
      </c>
      <c r="B128" s="140" t="str">
        <f>IF(A128="","",historico_VU!B76)</f>
        <v/>
      </c>
      <c r="C128" s="141" t="str">
        <f>IF(A128="","",historico_VU!C76)</f>
        <v/>
      </c>
      <c r="D128" s="141" t="str">
        <f>IF(A128="","",historico_VU!D76)</f>
        <v/>
      </c>
      <c r="E128" s="141" t="str">
        <f>IF(A128="","",historico_VU!E76)</f>
        <v/>
      </c>
      <c r="F128" s="141" t="str">
        <f>IF(A128="","",historico_VU!F76)</f>
        <v/>
      </c>
      <c r="G128" s="141" t="str">
        <f>IF(A128="","",historico_VU!G76)</f>
        <v/>
      </c>
      <c r="H128" s="142" t="str">
        <f>IF(A128="","",historico_VU!H76)</f>
        <v/>
      </c>
      <c r="I128" s="57"/>
      <c r="J128" s="139" t="str">
        <f>IF(itens_Remanesc!A76="","",itens_Remanesc!A76)</f>
        <v/>
      </c>
      <c r="K128" s="140" t="str">
        <f>IF(J128="","",IF($F$4="C0",itens_Remanesc!B76,IF($F$4="C1",itens_Remanesc!E76,IF($F$4="C2",itens_Remanesc!G76,IF($F$4="C3",itens_Remanesc!I76,itens_Remanesc!K76)))))</f>
        <v/>
      </c>
      <c r="L128" s="140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43" t="str">
        <f>IF(J128="","",itens_Remanesc!C76)</f>
        <v/>
      </c>
      <c r="N128" s="143" t="str">
        <f>IF(J128="","",IF($F$4="C0",historico_VU!C76,IF($F$4="C1",historico_VU!D76,IF($F$4="C2",historico_VU!E76,IF($F$4="C3",historico_VU!F76,historico_VU!G76)))))</f>
        <v/>
      </c>
      <c r="O128" s="143" t="str">
        <f t="shared" si="7"/>
        <v/>
      </c>
      <c r="P128" s="143" t="str">
        <f t="shared" si="8"/>
        <v/>
      </c>
      <c r="Q128" s="144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39" t="str">
        <f>IF(historico_VU!A77="","",historico_VU!A77)</f>
        <v/>
      </c>
      <c r="B129" s="140" t="str">
        <f>IF(A129="","",historico_VU!B77)</f>
        <v/>
      </c>
      <c r="C129" s="141" t="str">
        <f>IF(A129="","",historico_VU!C77)</f>
        <v/>
      </c>
      <c r="D129" s="141" t="str">
        <f>IF(A129="","",historico_VU!D77)</f>
        <v/>
      </c>
      <c r="E129" s="141" t="str">
        <f>IF(A129="","",historico_VU!E77)</f>
        <v/>
      </c>
      <c r="F129" s="141" t="str">
        <f>IF(A129="","",historico_VU!F77)</f>
        <v/>
      </c>
      <c r="G129" s="141" t="str">
        <f>IF(A129="","",historico_VU!G77)</f>
        <v/>
      </c>
      <c r="H129" s="142" t="str">
        <f>IF(A129="","",historico_VU!H77)</f>
        <v/>
      </c>
      <c r="I129" s="57"/>
      <c r="J129" s="139" t="str">
        <f>IF(itens_Remanesc!A77="","",itens_Remanesc!A77)</f>
        <v/>
      </c>
      <c r="K129" s="140" t="str">
        <f>IF(J129="","",IF($F$4="C0",itens_Remanesc!B77,IF($F$4="C1",itens_Remanesc!E77,IF($F$4="C2",itens_Remanesc!G77,IF($F$4="C3",itens_Remanesc!I77,itens_Remanesc!K77)))))</f>
        <v/>
      </c>
      <c r="L129" s="140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43" t="str">
        <f>IF(J129="","",itens_Remanesc!C77)</f>
        <v/>
      </c>
      <c r="N129" s="143" t="str">
        <f>IF(J129="","",IF($F$4="C0",historico_VU!C77,IF($F$4="C1",historico_VU!D77,IF($F$4="C2",historico_VU!E77,IF($F$4="C3",historico_VU!F77,historico_VU!G77)))))</f>
        <v/>
      </c>
      <c r="O129" s="143" t="str">
        <f t="shared" si="7"/>
        <v/>
      </c>
      <c r="P129" s="143" t="str">
        <f t="shared" si="8"/>
        <v/>
      </c>
      <c r="Q129" s="144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39" t="str">
        <f>IF(historico_VU!A78="","",historico_VU!A78)</f>
        <v/>
      </c>
      <c r="B130" s="140" t="str">
        <f>IF(A130="","",historico_VU!B78)</f>
        <v/>
      </c>
      <c r="C130" s="141" t="str">
        <f>IF(A130="","",historico_VU!C78)</f>
        <v/>
      </c>
      <c r="D130" s="141" t="str">
        <f>IF(A130="","",historico_VU!D78)</f>
        <v/>
      </c>
      <c r="E130" s="141" t="str">
        <f>IF(A130="","",historico_VU!E78)</f>
        <v/>
      </c>
      <c r="F130" s="141" t="str">
        <f>IF(A130="","",historico_VU!F78)</f>
        <v/>
      </c>
      <c r="G130" s="141" t="str">
        <f>IF(A130="","",historico_VU!G78)</f>
        <v/>
      </c>
      <c r="H130" s="142" t="str">
        <f>IF(A130="","",historico_VU!H78)</f>
        <v/>
      </c>
      <c r="I130" s="57"/>
      <c r="J130" s="139" t="str">
        <f>IF(itens_Remanesc!A78="","",itens_Remanesc!A78)</f>
        <v/>
      </c>
      <c r="K130" s="140" t="str">
        <f>IF(J130="","",IF($F$4="C0",itens_Remanesc!B78,IF($F$4="C1",itens_Remanesc!E78,IF($F$4="C2",itens_Remanesc!G78,IF($F$4="C3",itens_Remanesc!I78,itens_Remanesc!K78)))))</f>
        <v/>
      </c>
      <c r="L130" s="140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43" t="str">
        <f>IF(J130="","",itens_Remanesc!C78)</f>
        <v/>
      </c>
      <c r="N130" s="143" t="str">
        <f>IF(J130="","",IF($F$4="C0",historico_VU!C78,IF($F$4="C1",historico_VU!D78,IF($F$4="C2",historico_VU!E78,IF($F$4="C3",historico_VU!F78,historico_VU!G78)))))</f>
        <v/>
      </c>
      <c r="O130" s="143" t="str">
        <f t="shared" si="7"/>
        <v/>
      </c>
      <c r="P130" s="143" t="str">
        <f t="shared" si="8"/>
        <v/>
      </c>
      <c r="Q130" s="144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39" t="str">
        <f>IF(historico_VU!A79="","",historico_VU!A79)</f>
        <v/>
      </c>
      <c r="B131" s="140" t="str">
        <f>IF(A131="","",historico_VU!B79)</f>
        <v/>
      </c>
      <c r="C131" s="141" t="str">
        <f>IF(A131="","",historico_VU!C79)</f>
        <v/>
      </c>
      <c r="D131" s="141" t="str">
        <f>IF(A131="","",historico_VU!D79)</f>
        <v/>
      </c>
      <c r="E131" s="141" t="str">
        <f>IF(A131="","",historico_VU!E79)</f>
        <v/>
      </c>
      <c r="F131" s="141" t="str">
        <f>IF(A131="","",historico_VU!F79)</f>
        <v/>
      </c>
      <c r="G131" s="141" t="str">
        <f>IF(A131="","",historico_VU!G79)</f>
        <v/>
      </c>
      <c r="H131" s="142" t="str">
        <f>IF(A131="","",historico_VU!H79)</f>
        <v/>
      </c>
      <c r="I131" s="57"/>
      <c r="J131" s="139" t="str">
        <f>IF(itens_Remanesc!A79="","",itens_Remanesc!A79)</f>
        <v/>
      </c>
      <c r="K131" s="140" t="str">
        <f>IF(J131="","",IF($F$4="C0",itens_Remanesc!B79,IF($F$4="C1",itens_Remanesc!E79,IF($F$4="C2",itens_Remanesc!G79,IF($F$4="C3",itens_Remanesc!I79,itens_Remanesc!K79)))))</f>
        <v/>
      </c>
      <c r="L131" s="140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43" t="str">
        <f>IF(J131="","",itens_Remanesc!C79)</f>
        <v/>
      </c>
      <c r="N131" s="143" t="str">
        <f>IF(J131="","",IF($F$4="C0",historico_VU!C79,IF($F$4="C1",historico_VU!D79,IF($F$4="C2",historico_VU!E79,IF($F$4="C3",historico_VU!F79,historico_VU!G79)))))</f>
        <v/>
      </c>
      <c r="O131" s="143" t="str">
        <f t="shared" si="7"/>
        <v/>
      </c>
      <c r="P131" s="143" t="str">
        <f t="shared" si="8"/>
        <v/>
      </c>
      <c r="Q131" s="144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39" t="str">
        <f>IF(historico_VU!A80="","",historico_VU!A80)</f>
        <v/>
      </c>
      <c r="B132" s="140" t="str">
        <f>IF(A132="","",historico_VU!B80)</f>
        <v/>
      </c>
      <c r="C132" s="141" t="str">
        <f>IF(A132="","",historico_VU!C80)</f>
        <v/>
      </c>
      <c r="D132" s="141" t="str">
        <f>IF(A132="","",historico_VU!D80)</f>
        <v/>
      </c>
      <c r="E132" s="141" t="str">
        <f>IF(A132="","",historico_VU!E80)</f>
        <v/>
      </c>
      <c r="F132" s="141" t="str">
        <f>IF(A132="","",historico_VU!F80)</f>
        <v/>
      </c>
      <c r="G132" s="141" t="str">
        <f>IF(A132="","",historico_VU!G80)</f>
        <v/>
      </c>
      <c r="H132" s="142" t="str">
        <f>IF(A132="","",historico_VU!H80)</f>
        <v/>
      </c>
      <c r="I132" s="57"/>
      <c r="J132" s="139" t="str">
        <f>IF(itens_Remanesc!A80="","",itens_Remanesc!A80)</f>
        <v/>
      </c>
      <c r="K132" s="140" t="str">
        <f>IF(J132="","",IF($F$4="C0",itens_Remanesc!B80,IF($F$4="C1",itens_Remanesc!E80,IF($F$4="C2",itens_Remanesc!G80,IF($F$4="C3",itens_Remanesc!I80,itens_Remanesc!K80)))))</f>
        <v/>
      </c>
      <c r="L132" s="140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43" t="str">
        <f>IF(J132="","",itens_Remanesc!C80)</f>
        <v/>
      </c>
      <c r="N132" s="143" t="str">
        <f>IF(J132="","",IF($F$4="C0",historico_VU!C80,IF($F$4="C1",historico_VU!D80,IF($F$4="C2",historico_VU!E80,IF($F$4="C3",historico_VU!F80,historico_VU!G80)))))</f>
        <v/>
      </c>
      <c r="O132" s="143" t="str">
        <f t="shared" si="7"/>
        <v/>
      </c>
      <c r="P132" s="143" t="str">
        <f t="shared" si="8"/>
        <v/>
      </c>
      <c r="Q132" s="144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39" t="str">
        <f>IF(historico_VU!A81="","",historico_VU!A81)</f>
        <v/>
      </c>
      <c r="B133" s="140" t="str">
        <f>IF(A133="","",historico_VU!B81)</f>
        <v/>
      </c>
      <c r="C133" s="141" t="str">
        <f>IF(A133="","",historico_VU!C81)</f>
        <v/>
      </c>
      <c r="D133" s="141" t="str">
        <f>IF(A133="","",historico_VU!D81)</f>
        <v/>
      </c>
      <c r="E133" s="141" t="str">
        <f>IF(A133="","",historico_VU!E81)</f>
        <v/>
      </c>
      <c r="F133" s="141" t="str">
        <f>IF(A133="","",historico_VU!F81)</f>
        <v/>
      </c>
      <c r="G133" s="141" t="str">
        <f>IF(A133="","",historico_VU!G81)</f>
        <v/>
      </c>
      <c r="H133" s="142" t="str">
        <f>IF(A133="","",historico_VU!H81)</f>
        <v/>
      </c>
      <c r="I133" s="57"/>
      <c r="J133" s="139" t="str">
        <f>IF(itens_Remanesc!A81="","",itens_Remanesc!A81)</f>
        <v/>
      </c>
      <c r="K133" s="140" t="str">
        <f>IF(J133="","",IF($F$4="C0",itens_Remanesc!B81,IF($F$4="C1",itens_Remanesc!E81,IF($F$4="C2",itens_Remanesc!G81,IF($F$4="C3",itens_Remanesc!I81,itens_Remanesc!K81)))))</f>
        <v/>
      </c>
      <c r="L133" s="140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43" t="str">
        <f>IF(J133="","",itens_Remanesc!C81)</f>
        <v/>
      </c>
      <c r="N133" s="143" t="str">
        <f>IF(J133="","",IF($F$4="C0",historico_VU!C81,IF($F$4="C1",historico_VU!D81,IF($F$4="C2",historico_VU!E81,IF($F$4="C3",historico_VU!F81,historico_VU!G81)))))</f>
        <v/>
      </c>
      <c r="O133" s="143" t="str">
        <f t="shared" si="7"/>
        <v/>
      </c>
      <c r="P133" s="143" t="str">
        <f t="shared" si="8"/>
        <v/>
      </c>
      <c r="Q133" s="144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39" t="str">
        <f>IF(historico_VU!A82="","",historico_VU!A82)</f>
        <v/>
      </c>
      <c r="B134" s="140" t="str">
        <f>IF(A134="","",historico_VU!B82)</f>
        <v/>
      </c>
      <c r="C134" s="141" t="str">
        <f>IF(A134="","",historico_VU!C82)</f>
        <v/>
      </c>
      <c r="D134" s="141" t="str">
        <f>IF(A134="","",historico_VU!D82)</f>
        <v/>
      </c>
      <c r="E134" s="141" t="str">
        <f>IF(A134="","",historico_VU!E82)</f>
        <v/>
      </c>
      <c r="F134" s="141" t="str">
        <f>IF(A134="","",historico_VU!F82)</f>
        <v/>
      </c>
      <c r="G134" s="141" t="str">
        <f>IF(A134="","",historico_VU!G82)</f>
        <v/>
      </c>
      <c r="H134" s="142" t="str">
        <f>IF(A134="","",historico_VU!H82)</f>
        <v/>
      </c>
      <c r="I134" s="57"/>
      <c r="J134" s="139" t="str">
        <f>IF(itens_Remanesc!A82="","",itens_Remanesc!A82)</f>
        <v/>
      </c>
      <c r="K134" s="140" t="str">
        <f>IF(J134="","",IF($F$4="C0",itens_Remanesc!B82,IF($F$4="C1",itens_Remanesc!E82,IF($F$4="C2",itens_Remanesc!G82,IF($F$4="C3",itens_Remanesc!I82,itens_Remanesc!K82)))))</f>
        <v/>
      </c>
      <c r="L134" s="140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43" t="str">
        <f>IF(J134="","",itens_Remanesc!C82)</f>
        <v/>
      </c>
      <c r="N134" s="143" t="str">
        <f>IF(J134="","",IF($F$4="C0",historico_VU!C82,IF($F$4="C1",historico_VU!D82,IF($F$4="C2",historico_VU!E82,IF($F$4="C3",historico_VU!F82,historico_VU!G82)))))</f>
        <v/>
      </c>
      <c r="O134" s="143" t="str">
        <f t="shared" si="7"/>
        <v/>
      </c>
      <c r="P134" s="143" t="str">
        <f t="shared" si="8"/>
        <v/>
      </c>
      <c r="Q134" s="144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39" t="str">
        <f>IF(historico_VU!A83="","",historico_VU!A83)</f>
        <v/>
      </c>
      <c r="B135" s="140" t="str">
        <f>IF(A135="","",historico_VU!B83)</f>
        <v/>
      </c>
      <c r="C135" s="141" t="str">
        <f>IF(A135="","",historico_VU!C83)</f>
        <v/>
      </c>
      <c r="D135" s="141" t="str">
        <f>IF(A135="","",historico_VU!D83)</f>
        <v/>
      </c>
      <c r="E135" s="141" t="str">
        <f>IF(A135="","",historico_VU!E83)</f>
        <v/>
      </c>
      <c r="F135" s="141" t="str">
        <f>IF(A135="","",historico_VU!F83)</f>
        <v/>
      </c>
      <c r="G135" s="141" t="str">
        <f>IF(A135="","",historico_VU!G83)</f>
        <v/>
      </c>
      <c r="H135" s="142" t="str">
        <f>IF(A135="","",historico_VU!H83)</f>
        <v/>
      </c>
      <c r="I135" s="57"/>
      <c r="J135" s="139" t="str">
        <f>IF(itens_Remanesc!A83="","",itens_Remanesc!A83)</f>
        <v/>
      </c>
      <c r="K135" s="140" t="str">
        <f>IF(J135="","",IF($F$4="C0",itens_Remanesc!B83,IF($F$4="C1",itens_Remanesc!E83,IF($F$4="C2",itens_Remanesc!G83,IF($F$4="C3",itens_Remanesc!I83,itens_Remanesc!K83)))))</f>
        <v/>
      </c>
      <c r="L135" s="140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43" t="str">
        <f>IF(J135="","",itens_Remanesc!C83)</f>
        <v/>
      </c>
      <c r="N135" s="143" t="str">
        <f>IF(J135="","",IF($F$4="C0",historico_VU!C83,IF($F$4="C1",historico_VU!D83,IF($F$4="C2",historico_VU!E83,IF($F$4="C3",historico_VU!F83,historico_VU!G83)))))</f>
        <v/>
      </c>
      <c r="O135" s="143" t="str">
        <f t="shared" si="7"/>
        <v/>
      </c>
      <c r="P135" s="143" t="str">
        <f t="shared" si="8"/>
        <v/>
      </c>
      <c r="Q135" s="144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39" t="str">
        <f>IF(historico_VU!A84="","",historico_VU!A84)</f>
        <v/>
      </c>
      <c r="B136" s="140" t="str">
        <f>IF(A136="","",historico_VU!B84)</f>
        <v/>
      </c>
      <c r="C136" s="141" t="str">
        <f>IF(A136="","",historico_VU!C84)</f>
        <v/>
      </c>
      <c r="D136" s="141" t="str">
        <f>IF(A136="","",historico_VU!D84)</f>
        <v/>
      </c>
      <c r="E136" s="141" t="str">
        <f>IF(A136="","",historico_VU!E84)</f>
        <v/>
      </c>
      <c r="F136" s="141" t="str">
        <f>IF(A136="","",historico_VU!F84)</f>
        <v/>
      </c>
      <c r="G136" s="141" t="str">
        <f>IF(A136="","",historico_VU!G84)</f>
        <v/>
      </c>
      <c r="H136" s="142" t="str">
        <f>IF(A136="","",historico_VU!H84)</f>
        <v/>
      </c>
      <c r="I136" s="57"/>
      <c r="J136" s="139" t="str">
        <f>IF(itens_Remanesc!A84="","",itens_Remanesc!A84)</f>
        <v/>
      </c>
      <c r="K136" s="140" t="str">
        <f>IF(J136="","",IF($F$4="C0",itens_Remanesc!B84,IF($F$4="C1",itens_Remanesc!E84,IF($F$4="C2",itens_Remanesc!G84,IF($F$4="C3",itens_Remanesc!I84,itens_Remanesc!K84)))))</f>
        <v/>
      </c>
      <c r="L136" s="140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43" t="str">
        <f>IF(J136="","",itens_Remanesc!C84)</f>
        <v/>
      </c>
      <c r="N136" s="143" t="str">
        <f>IF(J136="","",IF($F$4="C0",historico_VU!C84,IF($F$4="C1",historico_VU!D84,IF($F$4="C2",historico_VU!E84,IF($F$4="C3",historico_VU!F84,historico_VU!G84)))))</f>
        <v/>
      </c>
      <c r="O136" s="143" t="str">
        <f t="shared" si="7"/>
        <v/>
      </c>
      <c r="P136" s="143" t="str">
        <f t="shared" si="8"/>
        <v/>
      </c>
      <c r="Q136" s="144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39" t="str">
        <f>IF(historico_VU!A85="","",historico_VU!A85)</f>
        <v/>
      </c>
      <c r="B137" s="140" t="str">
        <f>IF(A137="","",historico_VU!B85)</f>
        <v/>
      </c>
      <c r="C137" s="141" t="str">
        <f>IF(A137="","",historico_VU!C85)</f>
        <v/>
      </c>
      <c r="D137" s="141" t="str">
        <f>IF(A137="","",historico_VU!D85)</f>
        <v/>
      </c>
      <c r="E137" s="141" t="str">
        <f>IF(A137="","",historico_VU!E85)</f>
        <v/>
      </c>
      <c r="F137" s="141" t="str">
        <f>IF(A137="","",historico_VU!F85)</f>
        <v/>
      </c>
      <c r="G137" s="141" t="str">
        <f>IF(A137="","",historico_VU!G85)</f>
        <v/>
      </c>
      <c r="H137" s="142" t="str">
        <f>IF(A137="","",historico_VU!H85)</f>
        <v/>
      </c>
      <c r="I137" s="57"/>
      <c r="J137" s="139" t="str">
        <f>IF(itens_Remanesc!A85="","",itens_Remanesc!A85)</f>
        <v/>
      </c>
      <c r="K137" s="140" t="str">
        <f>IF(J137="","",IF($F$4="C0",itens_Remanesc!B85,IF($F$4="C1",itens_Remanesc!E85,IF($F$4="C2",itens_Remanesc!G85,IF($F$4="C3",itens_Remanesc!I85,itens_Remanesc!K85)))))</f>
        <v/>
      </c>
      <c r="L137" s="140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43" t="str">
        <f>IF(J137="","",itens_Remanesc!C85)</f>
        <v/>
      </c>
      <c r="N137" s="143" t="str">
        <f>IF(J137="","",IF($F$4="C0",historico_VU!C85,IF($F$4="C1",historico_VU!D85,IF($F$4="C2",historico_VU!E85,IF($F$4="C3",historico_VU!F85,historico_VU!G85)))))</f>
        <v/>
      </c>
      <c r="O137" s="143" t="str">
        <f t="shared" si="7"/>
        <v/>
      </c>
      <c r="P137" s="143" t="str">
        <f t="shared" si="8"/>
        <v/>
      </c>
      <c r="Q137" s="144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39" t="str">
        <f>IF(historico_VU!A86="","",historico_VU!A86)</f>
        <v/>
      </c>
      <c r="B138" s="140" t="str">
        <f>IF(A138="","",historico_VU!B86)</f>
        <v/>
      </c>
      <c r="C138" s="141" t="str">
        <f>IF(A138="","",historico_VU!C86)</f>
        <v/>
      </c>
      <c r="D138" s="141" t="str">
        <f>IF(A138="","",historico_VU!D86)</f>
        <v/>
      </c>
      <c r="E138" s="141" t="str">
        <f>IF(A138="","",historico_VU!E86)</f>
        <v/>
      </c>
      <c r="F138" s="141" t="str">
        <f>IF(A138="","",historico_VU!F86)</f>
        <v/>
      </c>
      <c r="G138" s="141" t="str">
        <f>IF(A138="","",historico_VU!G86)</f>
        <v/>
      </c>
      <c r="H138" s="142" t="str">
        <f>IF(A138="","",historico_VU!H86)</f>
        <v/>
      </c>
      <c r="I138" s="57"/>
      <c r="J138" s="139" t="str">
        <f>IF(itens_Remanesc!A86="","",itens_Remanesc!A86)</f>
        <v/>
      </c>
      <c r="K138" s="140" t="str">
        <f>IF(J138="","",IF($F$4="C0",itens_Remanesc!B86,IF($F$4="C1",itens_Remanesc!E86,IF($F$4="C2",itens_Remanesc!G86,IF($F$4="C3",itens_Remanesc!I86,itens_Remanesc!K86)))))</f>
        <v/>
      </c>
      <c r="L138" s="140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43" t="str">
        <f>IF(J138="","",itens_Remanesc!C86)</f>
        <v/>
      </c>
      <c r="N138" s="143" t="str">
        <f>IF(J138="","",IF($F$4="C0",historico_VU!C86,IF($F$4="C1",historico_VU!D86,IF($F$4="C2",historico_VU!E86,IF($F$4="C3",historico_VU!F86,historico_VU!G86)))))</f>
        <v/>
      </c>
      <c r="O138" s="143" t="str">
        <f t="shared" si="7"/>
        <v/>
      </c>
      <c r="P138" s="143" t="str">
        <f t="shared" si="8"/>
        <v/>
      </c>
      <c r="Q138" s="144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39" t="str">
        <f>IF(historico_VU!A87="","",historico_VU!A87)</f>
        <v/>
      </c>
      <c r="B139" s="140" t="str">
        <f>IF(A139="","",historico_VU!B87)</f>
        <v/>
      </c>
      <c r="C139" s="141" t="str">
        <f>IF(A139="","",historico_VU!C87)</f>
        <v/>
      </c>
      <c r="D139" s="141" t="str">
        <f>IF(A139="","",historico_VU!D87)</f>
        <v/>
      </c>
      <c r="E139" s="141" t="str">
        <f>IF(A139="","",historico_VU!E87)</f>
        <v/>
      </c>
      <c r="F139" s="141" t="str">
        <f>IF(A139="","",historico_VU!F87)</f>
        <v/>
      </c>
      <c r="G139" s="141" t="str">
        <f>IF(A139="","",historico_VU!G87)</f>
        <v/>
      </c>
      <c r="H139" s="142" t="str">
        <f>IF(A139="","",historico_VU!H87)</f>
        <v/>
      </c>
      <c r="I139" s="57"/>
      <c r="J139" s="139" t="str">
        <f>IF(itens_Remanesc!A87="","",itens_Remanesc!A87)</f>
        <v/>
      </c>
      <c r="K139" s="140" t="str">
        <f>IF(J139="","",IF($F$4="C0",itens_Remanesc!B87,IF($F$4="C1",itens_Remanesc!E87,IF($F$4="C2",itens_Remanesc!G87,IF($F$4="C3",itens_Remanesc!I87,itens_Remanesc!K87)))))</f>
        <v/>
      </c>
      <c r="L139" s="140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43" t="str">
        <f>IF(J139="","",itens_Remanesc!C87)</f>
        <v/>
      </c>
      <c r="N139" s="143" t="str">
        <f>IF(J139="","",IF($F$4="C0",historico_VU!C87,IF($F$4="C1",historico_VU!D87,IF($F$4="C2",historico_VU!E87,IF($F$4="C3",historico_VU!F87,historico_VU!G87)))))</f>
        <v/>
      </c>
      <c r="O139" s="143" t="str">
        <f t="shared" si="7"/>
        <v/>
      </c>
      <c r="P139" s="143" t="str">
        <f t="shared" si="8"/>
        <v/>
      </c>
      <c r="Q139" s="144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39" t="str">
        <f>IF(historico_VU!A88="","",historico_VU!A88)</f>
        <v/>
      </c>
      <c r="B140" s="140" t="str">
        <f>IF(A140="","",historico_VU!B88)</f>
        <v/>
      </c>
      <c r="C140" s="141" t="str">
        <f>IF(A140="","",historico_VU!C88)</f>
        <v/>
      </c>
      <c r="D140" s="141" t="str">
        <f>IF(A140="","",historico_VU!D88)</f>
        <v/>
      </c>
      <c r="E140" s="141" t="str">
        <f>IF(A140="","",historico_VU!E88)</f>
        <v/>
      </c>
      <c r="F140" s="141" t="str">
        <f>IF(A140="","",historico_VU!F88)</f>
        <v/>
      </c>
      <c r="G140" s="141" t="str">
        <f>IF(A140="","",historico_VU!G88)</f>
        <v/>
      </c>
      <c r="H140" s="142" t="str">
        <f>IF(A140="","",historico_VU!H88)</f>
        <v/>
      </c>
      <c r="I140" s="57"/>
      <c r="J140" s="139" t="str">
        <f>IF(itens_Remanesc!A88="","",itens_Remanesc!A88)</f>
        <v/>
      </c>
      <c r="K140" s="140" t="str">
        <f>IF(J140="","",IF($F$4="C0",itens_Remanesc!B88,IF($F$4="C1",itens_Remanesc!E88,IF($F$4="C2",itens_Remanesc!G88,IF($F$4="C3",itens_Remanesc!I88,itens_Remanesc!K88)))))</f>
        <v/>
      </c>
      <c r="L140" s="140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43" t="str">
        <f>IF(J140="","",itens_Remanesc!C88)</f>
        <v/>
      </c>
      <c r="N140" s="143" t="str">
        <f>IF(J140="","",IF($F$4="C0",historico_VU!C88,IF($F$4="C1",historico_VU!D88,IF($F$4="C2",historico_VU!E88,IF($F$4="C3",historico_VU!F88,historico_VU!G88)))))</f>
        <v/>
      </c>
      <c r="O140" s="143" t="str">
        <f t="shared" si="7"/>
        <v/>
      </c>
      <c r="P140" s="143" t="str">
        <f t="shared" si="8"/>
        <v/>
      </c>
      <c r="Q140" s="144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39" t="str">
        <f>IF(historico_VU!A89="","",historico_VU!A89)</f>
        <v/>
      </c>
      <c r="B141" s="140" t="str">
        <f>IF(A141="","",historico_VU!B89)</f>
        <v/>
      </c>
      <c r="C141" s="141" t="str">
        <f>IF(A141="","",historico_VU!C89)</f>
        <v/>
      </c>
      <c r="D141" s="141" t="str">
        <f>IF(A141="","",historico_VU!D89)</f>
        <v/>
      </c>
      <c r="E141" s="141" t="str">
        <f>IF(A141="","",historico_VU!E89)</f>
        <v/>
      </c>
      <c r="F141" s="141" t="str">
        <f>IF(A141="","",historico_VU!F89)</f>
        <v/>
      </c>
      <c r="G141" s="141" t="str">
        <f>IF(A141="","",historico_VU!G89)</f>
        <v/>
      </c>
      <c r="H141" s="142" t="str">
        <f>IF(A141="","",historico_VU!H89)</f>
        <v/>
      </c>
      <c r="I141" s="57"/>
      <c r="J141" s="139" t="str">
        <f>IF(itens_Remanesc!A89="","",itens_Remanesc!A89)</f>
        <v/>
      </c>
      <c r="K141" s="140" t="str">
        <f>IF(J141="","",IF($F$4="C0",itens_Remanesc!B89,IF($F$4="C1",itens_Remanesc!E89,IF($F$4="C2",itens_Remanesc!G89,IF($F$4="C3",itens_Remanesc!I89,itens_Remanesc!K89)))))</f>
        <v/>
      </c>
      <c r="L141" s="140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43" t="str">
        <f>IF(J141="","",itens_Remanesc!C89)</f>
        <v/>
      </c>
      <c r="N141" s="143" t="str">
        <f>IF(J141="","",IF($F$4="C0",historico_VU!C89,IF($F$4="C1",historico_VU!D89,IF($F$4="C2",historico_VU!E89,IF($F$4="C3",historico_VU!F89,historico_VU!G89)))))</f>
        <v/>
      </c>
      <c r="O141" s="143" t="str">
        <f t="shared" si="7"/>
        <v/>
      </c>
      <c r="P141" s="143" t="str">
        <f t="shared" si="8"/>
        <v/>
      </c>
      <c r="Q141" s="144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39" t="str">
        <f>IF(historico_VU!A90="","",historico_VU!A90)</f>
        <v/>
      </c>
      <c r="B142" s="140" t="str">
        <f>IF(A142="","",historico_VU!B90)</f>
        <v/>
      </c>
      <c r="C142" s="141" t="str">
        <f>IF(A142="","",historico_VU!C90)</f>
        <v/>
      </c>
      <c r="D142" s="141" t="str">
        <f>IF(A142="","",historico_VU!D90)</f>
        <v/>
      </c>
      <c r="E142" s="141" t="str">
        <f>IF(A142="","",historico_VU!E90)</f>
        <v/>
      </c>
      <c r="F142" s="141" t="str">
        <f>IF(A142="","",historico_VU!F90)</f>
        <v/>
      </c>
      <c r="G142" s="141" t="str">
        <f>IF(A142="","",historico_VU!G90)</f>
        <v/>
      </c>
      <c r="H142" s="142" t="str">
        <f>IF(A142="","",historico_VU!H90)</f>
        <v/>
      </c>
      <c r="I142" s="57"/>
      <c r="J142" s="139" t="str">
        <f>IF(itens_Remanesc!A90="","",itens_Remanesc!A90)</f>
        <v/>
      </c>
      <c r="K142" s="140" t="str">
        <f>IF(J142="","",IF($F$4="C0",itens_Remanesc!B90,IF($F$4="C1",itens_Remanesc!E90,IF($F$4="C2",itens_Remanesc!G90,IF($F$4="C3",itens_Remanesc!I90,itens_Remanesc!K90)))))</f>
        <v/>
      </c>
      <c r="L142" s="140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43" t="str">
        <f>IF(J142="","",itens_Remanesc!C90)</f>
        <v/>
      </c>
      <c r="N142" s="143" t="str">
        <f>IF(J142="","",IF($F$4="C0",historico_VU!C90,IF($F$4="C1",historico_VU!D90,IF($F$4="C2",historico_VU!E90,IF($F$4="C3",historico_VU!F90,historico_VU!G90)))))</f>
        <v/>
      </c>
      <c r="O142" s="143" t="str">
        <f t="shared" si="7"/>
        <v/>
      </c>
      <c r="P142" s="143" t="str">
        <f t="shared" si="8"/>
        <v/>
      </c>
      <c r="Q142" s="144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39" t="str">
        <f>IF(historico_VU!A91="","",historico_VU!A91)</f>
        <v/>
      </c>
      <c r="B143" s="140" t="str">
        <f>IF(A143="","",historico_VU!B91)</f>
        <v/>
      </c>
      <c r="C143" s="141" t="str">
        <f>IF(A143="","",historico_VU!C91)</f>
        <v/>
      </c>
      <c r="D143" s="141" t="str">
        <f>IF(A143="","",historico_VU!D91)</f>
        <v/>
      </c>
      <c r="E143" s="141" t="str">
        <f>IF(A143="","",historico_VU!E91)</f>
        <v/>
      </c>
      <c r="F143" s="141" t="str">
        <f>IF(A143="","",historico_VU!F91)</f>
        <v/>
      </c>
      <c r="G143" s="141" t="str">
        <f>IF(A143="","",historico_VU!G91)</f>
        <v/>
      </c>
      <c r="H143" s="142" t="str">
        <f>IF(A143="","",historico_VU!H91)</f>
        <v/>
      </c>
      <c r="I143" s="57"/>
      <c r="J143" s="139" t="str">
        <f>IF(itens_Remanesc!A91="","",itens_Remanesc!A91)</f>
        <v/>
      </c>
      <c r="K143" s="140" t="str">
        <f>IF(J143="","",IF($F$4="C0",itens_Remanesc!B91,IF($F$4="C1",itens_Remanesc!E91,IF($F$4="C2",itens_Remanesc!G91,IF($F$4="C3",itens_Remanesc!I91,itens_Remanesc!K91)))))</f>
        <v/>
      </c>
      <c r="L143" s="140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43" t="str">
        <f>IF(J143="","",itens_Remanesc!C91)</f>
        <v/>
      </c>
      <c r="N143" s="143" t="str">
        <f>IF(J143="","",IF($F$4="C0",historico_VU!C91,IF($F$4="C1",historico_VU!D91,IF($F$4="C2",historico_VU!E91,IF($F$4="C3",historico_VU!F91,historico_VU!G91)))))</f>
        <v/>
      </c>
      <c r="O143" s="143" t="str">
        <f t="shared" si="7"/>
        <v/>
      </c>
      <c r="P143" s="143" t="str">
        <f t="shared" si="8"/>
        <v/>
      </c>
      <c r="Q143" s="144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39" t="str">
        <f>IF(historico_VU!A92="","",historico_VU!A92)</f>
        <v/>
      </c>
      <c r="B144" s="140" t="str">
        <f>IF(A144="","",historico_VU!B92)</f>
        <v/>
      </c>
      <c r="C144" s="141" t="str">
        <f>IF(A144="","",historico_VU!C92)</f>
        <v/>
      </c>
      <c r="D144" s="141" t="str">
        <f>IF(A144="","",historico_VU!D92)</f>
        <v/>
      </c>
      <c r="E144" s="141" t="str">
        <f>IF(A144="","",historico_VU!E92)</f>
        <v/>
      </c>
      <c r="F144" s="141" t="str">
        <f>IF(A144="","",historico_VU!F92)</f>
        <v/>
      </c>
      <c r="G144" s="141" t="str">
        <f>IF(A144="","",historico_VU!G92)</f>
        <v/>
      </c>
      <c r="H144" s="142" t="str">
        <f>IF(A144="","",historico_VU!H92)</f>
        <v/>
      </c>
      <c r="I144" s="57"/>
      <c r="J144" s="139" t="str">
        <f>IF(itens_Remanesc!A92="","",itens_Remanesc!A92)</f>
        <v/>
      </c>
      <c r="K144" s="140" t="str">
        <f>IF(J144="","",IF($F$4="C0",itens_Remanesc!B92,IF($F$4="C1",itens_Remanesc!E92,IF($F$4="C2",itens_Remanesc!G92,IF($F$4="C3",itens_Remanesc!I92,itens_Remanesc!K92)))))</f>
        <v/>
      </c>
      <c r="L144" s="140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43" t="str">
        <f>IF(J144="","",itens_Remanesc!C92)</f>
        <v/>
      </c>
      <c r="N144" s="143" t="str">
        <f>IF(J144="","",IF($F$4="C0",historico_VU!C92,IF($F$4="C1",historico_VU!D92,IF($F$4="C2",historico_VU!E92,IF($F$4="C3",historico_VU!F92,historico_VU!G92)))))</f>
        <v/>
      </c>
      <c r="O144" s="143" t="str">
        <f t="shared" si="7"/>
        <v/>
      </c>
      <c r="P144" s="143" t="str">
        <f t="shared" si="8"/>
        <v/>
      </c>
      <c r="Q144" s="144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39" t="str">
        <f>IF(historico_VU!A93="","",historico_VU!A93)</f>
        <v/>
      </c>
      <c r="B145" s="140" t="str">
        <f>IF(A145="","",historico_VU!B93)</f>
        <v/>
      </c>
      <c r="C145" s="141" t="str">
        <f>IF(A145="","",historico_VU!C93)</f>
        <v/>
      </c>
      <c r="D145" s="141" t="str">
        <f>IF(A145="","",historico_VU!D93)</f>
        <v/>
      </c>
      <c r="E145" s="141" t="str">
        <f>IF(A145="","",historico_VU!E93)</f>
        <v/>
      </c>
      <c r="F145" s="141" t="str">
        <f>IF(A145="","",historico_VU!F93)</f>
        <v/>
      </c>
      <c r="G145" s="141" t="str">
        <f>IF(A145="","",historico_VU!G93)</f>
        <v/>
      </c>
      <c r="H145" s="142" t="str">
        <f>IF(A145="","",historico_VU!H93)</f>
        <v/>
      </c>
      <c r="I145" s="57"/>
      <c r="J145" s="139" t="str">
        <f>IF(itens_Remanesc!A93="","",itens_Remanesc!A93)</f>
        <v/>
      </c>
      <c r="K145" s="140" t="str">
        <f>IF(J145="","",IF($F$4="C0",itens_Remanesc!B93,IF($F$4="C1",itens_Remanesc!E93,IF($F$4="C2",itens_Remanesc!G93,IF($F$4="C3",itens_Remanesc!I93,itens_Remanesc!K93)))))</f>
        <v/>
      </c>
      <c r="L145" s="140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43" t="str">
        <f>IF(J145="","",itens_Remanesc!C93)</f>
        <v/>
      </c>
      <c r="N145" s="143" t="str">
        <f>IF(J145="","",IF($F$4="C0",historico_VU!C93,IF($F$4="C1",historico_VU!D93,IF($F$4="C2",historico_VU!E93,IF($F$4="C3",historico_VU!F93,historico_VU!G93)))))</f>
        <v/>
      </c>
      <c r="O145" s="143" t="str">
        <f t="shared" si="7"/>
        <v/>
      </c>
      <c r="P145" s="143" t="str">
        <f t="shared" si="8"/>
        <v/>
      </c>
      <c r="Q145" s="144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39" t="str">
        <f>IF(historico_VU!A94="","",historico_VU!A94)</f>
        <v/>
      </c>
      <c r="B146" s="140" t="str">
        <f>IF(A146="","",historico_VU!B94)</f>
        <v/>
      </c>
      <c r="C146" s="141" t="str">
        <f>IF(A146="","",historico_VU!C94)</f>
        <v/>
      </c>
      <c r="D146" s="141" t="str">
        <f>IF(A146="","",historico_VU!D94)</f>
        <v/>
      </c>
      <c r="E146" s="141" t="str">
        <f>IF(A146="","",historico_VU!E94)</f>
        <v/>
      </c>
      <c r="F146" s="141" t="str">
        <f>IF(A146="","",historico_VU!F94)</f>
        <v/>
      </c>
      <c r="G146" s="141" t="str">
        <f>IF(A146="","",historico_VU!G94)</f>
        <v/>
      </c>
      <c r="H146" s="142" t="str">
        <f>IF(A146="","",historico_VU!H94)</f>
        <v/>
      </c>
      <c r="I146" s="57"/>
      <c r="J146" s="139" t="str">
        <f>IF(itens_Remanesc!A94="","",itens_Remanesc!A94)</f>
        <v/>
      </c>
      <c r="K146" s="140" t="str">
        <f>IF(J146="","",IF($F$4="C0",itens_Remanesc!B94,IF($F$4="C1",itens_Remanesc!E94,IF($F$4="C2",itens_Remanesc!G94,IF($F$4="C3",itens_Remanesc!I94,itens_Remanesc!K94)))))</f>
        <v/>
      </c>
      <c r="L146" s="140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43" t="str">
        <f>IF(J146="","",itens_Remanesc!C94)</f>
        <v/>
      </c>
      <c r="N146" s="143" t="str">
        <f>IF(J146="","",IF($F$4="C0",historico_VU!C94,IF($F$4="C1",historico_VU!D94,IF($F$4="C2",historico_VU!E94,IF($F$4="C3",historico_VU!F94,historico_VU!G94)))))</f>
        <v/>
      </c>
      <c r="O146" s="143" t="str">
        <f t="shared" si="7"/>
        <v/>
      </c>
      <c r="P146" s="143" t="str">
        <f t="shared" si="8"/>
        <v/>
      </c>
      <c r="Q146" s="144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39" t="str">
        <f>IF(historico_VU!A95="","",historico_VU!A95)</f>
        <v/>
      </c>
      <c r="B147" s="140" t="str">
        <f>IF(A147="","",historico_VU!B95)</f>
        <v/>
      </c>
      <c r="C147" s="141" t="str">
        <f>IF(A147="","",historico_VU!C95)</f>
        <v/>
      </c>
      <c r="D147" s="141" t="str">
        <f>IF(A147="","",historico_VU!D95)</f>
        <v/>
      </c>
      <c r="E147" s="141" t="str">
        <f>IF(A147="","",historico_VU!E95)</f>
        <v/>
      </c>
      <c r="F147" s="141" t="str">
        <f>IF(A147="","",historico_VU!F95)</f>
        <v/>
      </c>
      <c r="G147" s="141" t="str">
        <f>IF(A147="","",historico_VU!G95)</f>
        <v/>
      </c>
      <c r="H147" s="142" t="str">
        <f>IF(A147="","",historico_VU!H95)</f>
        <v/>
      </c>
      <c r="I147" s="57"/>
      <c r="J147" s="139" t="str">
        <f>IF(itens_Remanesc!A95="","",itens_Remanesc!A95)</f>
        <v/>
      </c>
      <c r="K147" s="140" t="str">
        <f>IF(J147="","",IF($F$4="C0",itens_Remanesc!B95,IF($F$4="C1",itens_Remanesc!E95,IF($F$4="C2",itens_Remanesc!G95,IF($F$4="C3",itens_Remanesc!I95,itens_Remanesc!K95)))))</f>
        <v/>
      </c>
      <c r="L147" s="140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43" t="str">
        <f>IF(J147="","",itens_Remanesc!C95)</f>
        <v/>
      </c>
      <c r="N147" s="143" t="str">
        <f>IF(J147="","",IF($F$4="C0",historico_VU!C95,IF($F$4="C1",historico_VU!D95,IF($F$4="C2",historico_VU!E95,IF($F$4="C3",historico_VU!F95,historico_VU!G95)))))</f>
        <v/>
      </c>
      <c r="O147" s="143" t="str">
        <f t="shared" si="7"/>
        <v/>
      </c>
      <c r="P147" s="143" t="str">
        <f t="shared" si="8"/>
        <v/>
      </c>
      <c r="Q147" s="144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39" t="str">
        <f>IF(historico_VU!A96="","",historico_VU!A96)</f>
        <v/>
      </c>
      <c r="B148" s="140" t="str">
        <f>IF(A148="","",historico_VU!B96)</f>
        <v/>
      </c>
      <c r="C148" s="141" t="str">
        <f>IF(A148="","",historico_VU!C96)</f>
        <v/>
      </c>
      <c r="D148" s="141" t="str">
        <f>IF(A148="","",historico_VU!D96)</f>
        <v/>
      </c>
      <c r="E148" s="141" t="str">
        <f>IF(A148="","",historico_VU!E96)</f>
        <v/>
      </c>
      <c r="F148" s="141" t="str">
        <f>IF(A148="","",historico_VU!F96)</f>
        <v/>
      </c>
      <c r="G148" s="141" t="str">
        <f>IF(A148="","",historico_VU!G96)</f>
        <v/>
      </c>
      <c r="H148" s="142" t="str">
        <f>IF(A148="","",historico_VU!H96)</f>
        <v/>
      </c>
      <c r="I148" s="57"/>
      <c r="J148" s="139" t="str">
        <f>IF(itens_Remanesc!A96="","",itens_Remanesc!A96)</f>
        <v/>
      </c>
      <c r="K148" s="140" t="str">
        <f>IF(J148="","",IF($F$4="C0",itens_Remanesc!B96,IF($F$4="C1",itens_Remanesc!E96,IF($F$4="C2",itens_Remanesc!G96,IF($F$4="C3",itens_Remanesc!I96,itens_Remanesc!K96)))))</f>
        <v/>
      </c>
      <c r="L148" s="140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43" t="str">
        <f>IF(J148="","",itens_Remanesc!C96)</f>
        <v/>
      </c>
      <c r="N148" s="143" t="str">
        <f>IF(J148="","",IF($F$4="C0",historico_VU!C96,IF($F$4="C1",historico_VU!D96,IF($F$4="C2",historico_VU!E96,IF($F$4="C3",historico_VU!F96,historico_VU!G96)))))</f>
        <v/>
      </c>
      <c r="O148" s="143" t="str">
        <f t="shared" si="7"/>
        <v/>
      </c>
      <c r="P148" s="143" t="str">
        <f t="shared" si="8"/>
        <v/>
      </c>
      <c r="Q148" s="144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39" t="str">
        <f>IF(historico_VU!A97="","",historico_VU!A97)</f>
        <v/>
      </c>
      <c r="B149" s="140" t="str">
        <f>IF(A149="","",historico_VU!B97)</f>
        <v/>
      </c>
      <c r="C149" s="141" t="str">
        <f>IF(A149="","",historico_VU!C97)</f>
        <v/>
      </c>
      <c r="D149" s="141" t="str">
        <f>IF(A149="","",historico_VU!D97)</f>
        <v/>
      </c>
      <c r="E149" s="141" t="str">
        <f>IF(A149="","",historico_VU!E97)</f>
        <v/>
      </c>
      <c r="F149" s="141" t="str">
        <f>IF(A149="","",historico_VU!F97)</f>
        <v/>
      </c>
      <c r="G149" s="141" t="str">
        <f>IF(A149="","",historico_VU!G97)</f>
        <v/>
      </c>
      <c r="H149" s="142" t="str">
        <f>IF(A149="","",historico_VU!H97)</f>
        <v/>
      </c>
      <c r="I149" s="57"/>
      <c r="J149" s="139" t="str">
        <f>IF(itens_Remanesc!A97="","",itens_Remanesc!A97)</f>
        <v/>
      </c>
      <c r="K149" s="140" t="str">
        <f>IF(J149="","",IF($F$4="C0",itens_Remanesc!B97,IF($F$4="C1",itens_Remanesc!E97,IF($F$4="C2",itens_Remanesc!G97,IF($F$4="C3",itens_Remanesc!I97,itens_Remanesc!K97)))))</f>
        <v/>
      </c>
      <c r="L149" s="140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43" t="str">
        <f>IF(J149="","",itens_Remanesc!C97)</f>
        <v/>
      </c>
      <c r="N149" s="143" t="str">
        <f>IF(J149="","",IF($F$4="C0",historico_VU!C97,IF($F$4="C1",historico_VU!D97,IF($F$4="C2",historico_VU!E97,IF($F$4="C3",historico_VU!F97,historico_VU!G97)))))</f>
        <v/>
      </c>
      <c r="O149" s="143" t="str">
        <f t="shared" si="7"/>
        <v/>
      </c>
      <c r="P149" s="143" t="str">
        <f t="shared" si="8"/>
        <v/>
      </c>
      <c r="Q149" s="144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39" t="str">
        <f>IF(historico_VU!A98="","",historico_VU!A98)</f>
        <v/>
      </c>
      <c r="B150" s="140" t="str">
        <f>IF(A150="","",historico_VU!B98)</f>
        <v/>
      </c>
      <c r="C150" s="141" t="str">
        <f>IF(A150="","",historico_VU!C98)</f>
        <v/>
      </c>
      <c r="D150" s="141" t="str">
        <f>IF(A150="","",historico_VU!D98)</f>
        <v/>
      </c>
      <c r="E150" s="141" t="str">
        <f>IF(A150="","",historico_VU!E98)</f>
        <v/>
      </c>
      <c r="F150" s="141" t="str">
        <f>IF(A150="","",historico_VU!F98)</f>
        <v/>
      </c>
      <c r="G150" s="141" t="str">
        <f>IF(A150="","",historico_VU!G98)</f>
        <v/>
      </c>
      <c r="H150" s="142" t="str">
        <f>IF(A150="","",historico_VU!H98)</f>
        <v/>
      </c>
      <c r="I150" s="57"/>
      <c r="J150" s="139" t="str">
        <f>IF(itens_Remanesc!A98="","",itens_Remanesc!A98)</f>
        <v/>
      </c>
      <c r="K150" s="140" t="str">
        <f>IF(J150="","",IF($F$4="C0",itens_Remanesc!B98,IF($F$4="C1",itens_Remanesc!E98,IF($F$4="C2",itens_Remanesc!G98,IF($F$4="C3",itens_Remanesc!I98,itens_Remanesc!K98)))))</f>
        <v/>
      </c>
      <c r="L150" s="140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43" t="str">
        <f>IF(J150="","",itens_Remanesc!C98)</f>
        <v/>
      </c>
      <c r="N150" s="143" t="str">
        <f>IF(J150="","",IF($F$4="C0",historico_VU!C98,IF($F$4="C1",historico_VU!D98,IF($F$4="C2",historico_VU!E98,IF($F$4="C3",historico_VU!F98,historico_VU!G98)))))</f>
        <v/>
      </c>
      <c r="O150" s="143" t="str">
        <f t="shared" ref="O150:O181" si="10">IF(J150="","",IF(OR($B$4="Financeiro",$B$4="PCs"),IF(OR(K150="",M150=""),"",ROUND(K150*M150,2)),IF($B$4="Itens",IF(OR(L150="",M150=""),"",ROUND(L150*M150,2)),"")))</f>
        <v/>
      </c>
      <c r="P150" s="143" t="str">
        <f t="shared" ref="P150:P181" si="11">IF(J150="","",IF(OR($B$4="Financeiro",$B$4="PCs"),IF(OR(K150="",N150=""),"",ROUND(K150*N150,2)),IF($B$4="Itens",IF(OR(L150="",N150=""),"",ROUND(L150*N150,2)),"")))</f>
        <v/>
      </c>
      <c r="Q150" s="144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39" t="str">
        <f>IF(historico_VU!A99="","",historico_VU!A99)</f>
        <v/>
      </c>
      <c r="B151" s="140" t="str">
        <f>IF(A151="","",historico_VU!B99)</f>
        <v/>
      </c>
      <c r="C151" s="141" t="str">
        <f>IF(A151="","",historico_VU!C99)</f>
        <v/>
      </c>
      <c r="D151" s="141" t="str">
        <f>IF(A151="","",historico_VU!D99)</f>
        <v/>
      </c>
      <c r="E151" s="141" t="str">
        <f>IF(A151="","",historico_VU!E99)</f>
        <v/>
      </c>
      <c r="F151" s="141" t="str">
        <f>IF(A151="","",historico_VU!F99)</f>
        <v/>
      </c>
      <c r="G151" s="141" t="str">
        <f>IF(A151="","",historico_VU!G99)</f>
        <v/>
      </c>
      <c r="H151" s="142" t="str">
        <f>IF(A151="","",historico_VU!H99)</f>
        <v/>
      </c>
      <c r="I151" s="57"/>
      <c r="J151" s="139" t="str">
        <f>IF(itens_Remanesc!A99="","",itens_Remanesc!A99)</f>
        <v/>
      </c>
      <c r="K151" s="140" t="str">
        <f>IF(J151="","",IF($F$4="C0",itens_Remanesc!B99,IF($F$4="C1",itens_Remanesc!E99,IF($F$4="C2",itens_Remanesc!G99,IF($F$4="C3",itens_Remanesc!I99,itens_Remanesc!K99)))))</f>
        <v/>
      </c>
      <c r="L151" s="140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43" t="str">
        <f>IF(J151="","",itens_Remanesc!C99)</f>
        <v/>
      </c>
      <c r="N151" s="143" t="str">
        <f>IF(J151="","",IF($F$4="C0",historico_VU!C99,IF($F$4="C1",historico_VU!D99,IF($F$4="C2",historico_VU!E99,IF($F$4="C3",historico_VU!F99,historico_VU!G99)))))</f>
        <v/>
      </c>
      <c r="O151" s="143" t="str">
        <f t="shared" si="10"/>
        <v/>
      </c>
      <c r="P151" s="143" t="str">
        <f t="shared" si="11"/>
        <v/>
      </c>
      <c r="Q151" s="144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39" t="str">
        <f>IF(historico_VU!A100="","",historico_VU!A100)</f>
        <v/>
      </c>
      <c r="B152" s="140" t="str">
        <f>IF(A152="","",historico_VU!B100)</f>
        <v/>
      </c>
      <c r="C152" s="141" t="str">
        <f>IF(A152="","",historico_VU!C100)</f>
        <v/>
      </c>
      <c r="D152" s="141" t="str">
        <f>IF(A152="","",historico_VU!D100)</f>
        <v/>
      </c>
      <c r="E152" s="141" t="str">
        <f>IF(A152="","",historico_VU!E100)</f>
        <v/>
      </c>
      <c r="F152" s="141" t="str">
        <f>IF(A152="","",historico_VU!F100)</f>
        <v/>
      </c>
      <c r="G152" s="141" t="str">
        <f>IF(A152="","",historico_VU!G100)</f>
        <v/>
      </c>
      <c r="H152" s="142" t="str">
        <f>IF(A152="","",historico_VU!H100)</f>
        <v/>
      </c>
      <c r="I152" s="57"/>
      <c r="J152" s="139" t="str">
        <f>IF(itens_Remanesc!A100="","",itens_Remanesc!A100)</f>
        <v/>
      </c>
      <c r="K152" s="140" t="str">
        <f>IF(J152="","",IF($F$4="C0",itens_Remanesc!B100,IF($F$4="C1",itens_Remanesc!E100,IF($F$4="C2",itens_Remanesc!G100,IF($F$4="C3",itens_Remanesc!I100,itens_Remanesc!K100)))))</f>
        <v/>
      </c>
      <c r="L152" s="140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43" t="str">
        <f>IF(J152="","",itens_Remanesc!C100)</f>
        <v/>
      </c>
      <c r="N152" s="143" t="str">
        <f>IF(J152="","",IF($F$4="C0",historico_VU!C100,IF($F$4="C1",historico_VU!D100,IF($F$4="C2",historico_VU!E100,IF($F$4="C3",historico_VU!F100,historico_VU!G100)))))</f>
        <v/>
      </c>
      <c r="O152" s="143" t="str">
        <f t="shared" si="10"/>
        <v/>
      </c>
      <c r="P152" s="143" t="str">
        <f t="shared" si="11"/>
        <v/>
      </c>
      <c r="Q152" s="144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39" t="str">
        <f>IF(historico_VU!A101="","",historico_VU!A101)</f>
        <v/>
      </c>
      <c r="B153" s="140" t="str">
        <f>IF(A153="","",historico_VU!B101)</f>
        <v/>
      </c>
      <c r="C153" s="141" t="str">
        <f>IF(A153="","",historico_VU!C101)</f>
        <v/>
      </c>
      <c r="D153" s="141" t="str">
        <f>IF(A153="","",historico_VU!D101)</f>
        <v/>
      </c>
      <c r="E153" s="141" t="str">
        <f>IF(A153="","",historico_VU!E101)</f>
        <v/>
      </c>
      <c r="F153" s="141" t="str">
        <f>IF(A153="","",historico_VU!F101)</f>
        <v/>
      </c>
      <c r="G153" s="141" t="str">
        <f>IF(A153="","",historico_VU!G101)</f>
        <v/>
      </c>
      <c r="H153" s="142" t="str">
        <f>IF(A153="","",historico_VU!H101)</f>
        <v/>
      </c>
      <c r="I153" s="57"/>
      <c r="J153" s="139" t="str">
        <f>IF(itens_Remanesc!A101="","",itens_Remanesc!A101)</f>
        <v/>
      </c>
      <c r="K153" s="140" t="str">
        <f>IF(J153="","",IF($F$4="C0",itens_Remanesc!B101,IF($F$4="C1",itens_Remanesc!E101,IF($F$4="C2",itens_Remanesc!G101,IF($F$4="C3",itens_Remanesc!I101,itens_Remanesc!K101)))))</f>
        <v/>
      </c>
      <c r="L153" s="140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43" t="str">
        <f>IF(J153="","",itens_Remanesc!C101)</f>
        <v/>
      </c>
      <c r="N153" s="143" t="str">
        <f>IF(J153="","",IF($F$4="C0",historico_VU!C101,IF($F$4="C1",historico_VU!D101,IF($F$4="C2",historico_VU!E101,IF($F$4="C3",historico_VU!F101,historico_VU!G101)))))</f>
        <v/>
      </c>
      <c r="O153" s="143" t="str">
        <f t="shared" si="10"/>
        <v/>
      </c>
      <c r="P153" s="143" t="str">
        <f t="shared" si="11"/>
        <v/>
      </c>
      <c r="Q153" s="144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39" t="str">
        <f>IF(historico_VU!A102="","",historico_VU!A102)</f>
        <v/>
      </c>
      <c r="B154" s="140" t="str">
        <f>IF(A154="","",historico_VU!B102)</f>
        <v/>
      </c>
      <c r="C154" s="141" t="str">
        <f>IF(A154="","",historico_VU!C102)</f>
        <v/>
      </c>
      <c r="D154" s="141" t="str">
        <f>IF(A154="","",historico_VU!D102)</f>
        <v/>
      </c>
      <c r="E154" s="141" t="str">
        <f>IF(A154="","",historico_VU!E102)</f>
        <v/>
      </c>
      <c r="F154" s="141" t="str">
        <f>IF(A154="","",historico_VU!F102)</f>
        <v/>
      </c>
      <c r="G154" s="141" t="str">
        <f>IF(A154="","",historico_VU!G102)</f>
        <v/>
      </c>
      <c r="H154" s="142" t="str">
        <f>IF(A154="","",historico_VU!H102)</f>
        <v/>
      </c>
      <c r="I154" s="57"/>
      <c r="J154" s="139" t="str">
        <f>IF(itens_Remanesc!A102="","",itens_Remanesc!A102)</f>
        <v/>
      </c>
      <c r="K154" s="140" t="str">
        <f>IF(J154="","",IF($F$4="C0",itens_Remanesc!B102,IF($F$4="C1",itens_Remanesc!E102,IF($F$4="C2",itens_Remanesc!G102,IF($F$4="C3",itens_Remanesc!I102,itens_Remanesc!K102)))))</f>
        <v/>
      </c>
      <c r="L154" s="140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43" t="str">
        <f>IF(J154="","",itens_Remanesc!C102)</f>
        <v/>
      </c>
      <c r="N154" s="143" t="str">
        <f>IF(J154="","",IF($F$4="C0",historico_VU!C102,IF($F$4="C1",historico_VU!D102,IF($F$4="C2",historico_VU!E102,IF($F$4="C3",historico_VU!F102,historico_VU!G102)))))</f>
        <v/>
      </c>
      <c r="O154" s="143" t="str">
        <f t="shared" si="10"/>
        <v/>
      </c>
      <c r="P154" s="143" t="str">
        <f t="shared" si="11"/>
        <v/>
      </c>
      <c r="Q154" s="144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39" t="str">
        <f>IF(historico_VU!A103="","",historico_VU!A103)</f>
        <v/>
      </c>
      <c r="B155" s="140" t="str">
        <f>IF(A155="","",historico_VU!B103)</f>
        <v/>
      </c>
      <c r="C155" s="141" t="str">
        <f>IF(A155="","",historico_VU!C103)</f>
        <v/>
      </c>
      <c r="D155" s="141" t="str">
        <f>IF(A155="","",historico_VU!D103)</f>
        <v/>
      </c>
      <c r="E155" s="141" t="str">
        <f>IF(A155="","",historico_VU!E103)</f>
        <v/>
      </c>
      <c r="F155" s="141" t="str">
        <f>IF(A155="","",historico_VU!F103)</f>
        <v/>
      </c>
      <c r="G155" s="141" t="str">
        <f>IF(A155="","",historico_VU!G103)</f>
        <v/>
      </c>
      <c r="H155" s="142" t="str">
        <f>IF(A155="","",historico_VU!H103)</f>
        <v/>
      </c>
      <c r="I155" s="57"/>
      <c r="J155" s="139" t="str">
        <f>IF(itens_Remanesc!A103="","",itens_Remanesc!A103)</f>
        <v/>
      </c>
      <c r="K155" s="140" t="str">
        <f>IF(J155="","",IF($F$4="C0",itens_Remanesc!B103,IF($F$4="C1",itens_Remanesc!E103,IF($F$4="C2",itens_Remanesc!G103,IF($F$4="C3",itens_Remanesc!I103,itens_Remanesc!K103)))))</f>
        <v/>
      </c>
      <c r="L155" s="140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43" t="str">
        <f>IF(J155="","",itens_Remanesc!C103)</f>
        <v/>
      </c>
      <c r="N155" s="143" t="str">
        <f>IF(J155="","",IF($F$4="C0",historico_VU!C103,IF($F$4="C1",historico_VU!D103,IF($F$4="C2",historico_VU!E103,IF($F$4="C3",historico_VU!F103,historico_VU!G103)))))</f>
        <v/>
      </c>
      <c r="O155" s="143" t="str">
        <f t="shared" si="10"/>
        <v/>
      </c>
      <c r="P155" s="143" t="str">
        <f t="shared" si="11"/>
        <v/>
      </c>
      <c r="Q155" s="144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39" t="str">
        <f>IF(historico_VU!A104="","",historico_VU!A104)</f>
        <v/>
      </c>
      <c r="B156" s="140" t="str">
        <f>IF(A156="","",historico_VU!B104)</f>
        <v/>
      </c>
      <c r="C156" s="141" t="str">
        <f>IF(A156="","",historico_VU!C104)</f>
        <v/>
      </c>
      <c r="D156" s="141" t="str">
        <f>IF(A156="","",historico_VU!D104)</f>
        <v/>
      </c>
      <c r="E156" s="141" t="str">
        <f>IF(A156="","",historico_VU!E104)</f>
        <v/>
      </c>
      <c r="F156" s="141" t="str">
        <f>IF(A156="","",historico_VU!F104)</f>
        <v/>
      </c>
      <c r="G156" s="141" t="str">
        <f>IF(A156="","",historico_VU!G104)</f>
        <v/>
      </c>
      <c r="H156" s="142" t="str">
        <f>IF(A156="","",historico_VU!H104)</f>
        <v/>
      </c>
      <c r="I156" s="57"/>
      <c r="J156" s="139" t="str">
        <f>IF(itens_Remanesc!A104="","",itens_Remanesc!A104)</f>
        <v/>
      </c>
      <c r="K156" s="140" t="str">
        <f>IF(J156="","",IF($F$4="C0",itens_Remanesc!B104,IF($F$4="C1",itens_Remanesc!E104,IF($F$4="C2",itens_Remanesc!G104,IF($F$4="C3",itens_Remanesc!I104,itens_Remanesc!K104)))))</f>
        <v/>
      </c>
      <c r="L156" s="140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43" t="str">
        <f>IF(J156="","",itens_Remanesc!C104)</f>
        <v/>
      </c>
      <c r="N156" s="143" t="str">
        <f>IF(J156="","",IF($F$4="C0",historico_VU!C104,IF($F$4="C1",historico_VU!D104,IF($F$4="C2",historico_VU!E104,IF($F$4="C3",historico_VU!F104,historico_VU!G104)))))</f>
        <v/>
      </c>
      <c r="O156" s="143" t="str">
        <f t="shared" si="10"/>
        <v/>
      </c>
      <c r="P156" s="143" t="str">
        <f t="shared" si="11"/>
        <v/>
      </c>
      <c r="Q156" s="144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39" t="str">
        <f>IF(historico_VU!A105="","",historico_VU!A105)</f>
        <v/>
      </c>
      <c r="B157" s="140" t="str">
        <f>IF(A157="","",historico_VU!B105)</f>
        <v/>
      </c>
      <c r="C157" s="141" t="str">
        <f>IF(A157="","",historico_VU!C105)</f>
        <v/>
      </c>
      <c r="D157" s="141" t="str">
        <f>IF(A157="","",historico_VU!D105)</f>
        <v/>
      </c>
      <c r="E157" s="141" t="str">
        <f>IF(A157="","",historico_VU!E105)</f>
        <v/>
      </c>
      <c r="F157" s="141" t="str">
        <f>IF(A157="","",historico_VU!F105)</f>
        <v/>
      </c>
      <c r="G157" s="141" t="str">
        <f>IF(A157="","",historico_VU!G105)</f>
        <v/>
      </c>
      <c r="H157" s="142" t="str">
        <f>IF(A157="","",historico_VU!H105)</f>
        <v/>
      </c>
      <c r="I157" s="57"/>
      <c r="J157" s="139" t="str">
        <f>IF(itens_Remanesc!A105="","",itens_Remanesc!A105)</f>
        <v/>
      </c>
      <c r="K157" s="140" t="str">
        <f>IF(J157="","",IF($F$4="C0",itens_Remanesc!B105,IF($F$4="C1",itens_Remanesc!E105,IF($F$4="C2",itens_Remanesc!G105,IF($F$4="C3",itens_Remanesc!I105,itens_Remanesc!K105)))))</f>
        <v/>
      </c>
      <c r="L157" s="140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43" t="str">
        <f>IF(J157="","",itens_Remanesc!C105)</f>
        <v/>
      </c>
      <c r="N157" s="143" t="str">
        <f>IF(J157="","",IF($F$4="C0",historico_VU!C105,IF($F$4="C1",historico_VU!D105,IF($F$4="C2",historico_VU!E105,IF($F$4="C3",historico_VU!F105,historico_VU!G105)))))</f>
        <v/>
      </c>
      <c r="O157" s="143" t="str">
        <f t="shared" si="10"/>
        <v/>
      </c>
      <c r="P157" s="143" t="str">
        <f t="shared" si="11"/>
        <v/>
      </c>
      <c r="Q157" s="144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39" t="str">
        <f>IF(historico_VU!A106="","",historico_VU!A106)</f>
        <v/>
      </c>
      <c r="B158" s="140" t="str">
        <f>IF(A158="","",historico_VU!B106)</f>
        <v/>
      </c>
      <c r="C158" s="141" t="str">
        <f>IF(A158="","",historico_VU!C106)</f>
        <v/>
      </c>
      <c r="D158" s="141" t="str">
        <f>IF(A158="","",historico_VU!D106)</f>
        <v/>
      </c>
      <c r="E158" s="141" t="str">
        <f>IF(A158="","",historico_VU!E106)</f>
        <v/>
      </c>
      <c r="F158" s="141" t="str">
        <f>IF(A158="","",historico_VU!F106)</f>
        <v/>
      </c>
      <c r="G158" s="141" t="str">
        <f>IF(A158="","",historico_VU!G106)</f>
        <v/>
      </c>
      <c r="H158" s="142" t="str">
        <f>IF(A158="","",historico_VU!H106)</f>
        <v/>
      </c>
      <c r="I158" s="57"/>
      <c r="J158" s="139" t="str">
        <f>IF(itens_Remanesc!A106="","",itens_Remanesc!A106)</f>
        <v/>
      </c>
      <c r="K158" s="140" t="str">
        <f>IF(J158="","",IF($F$4="C0",itens_Remanesc!B106,IF($F$4="C1",itens_Remanesc!E106,IF($F$4="C2",itens_Remanesc!G106,IF($F$4="C3",itens_Remanesc!I106,itens_Remanesc!K106)))))</f>
        <v/>
      </c>
      <c r="L158" s="140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43" t="str">
        <f>IF(J158="","",itens_Remanesc!C106)</f>
        <v/>
      </c>
      <c r="N158" s="143" t="str">
        <f>IF(J158="","",IF($F$4="C0",historico_VU!C106,IF($F$4="C1",historico_VU!D106,IF($F$4="C2",historico_VU!E106,IF($F$4="C3",historico_VU!F106,historico_VU!G106)))))</f>
        <v/>
      </c>
      <c r="O158" s="143" t="str">
        <f t="shared" si="10"/>
        <v/>
      </c>
      <c r="P158" s="143" t="str">
        <f t="shared" si="11"/>
        <v/>
      </c>
      <c r="Q158" s="144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39" t="str">
        <f>IF(historico_VU!A107="","",historico_VU!A107)</f>
        <v/>
      </c>
      <c r="B159" s="140" t="str">
        <f>IF(A159="","",historico_VU!B107)</f>
        <v/>
      </c>
      <c r="C159" s="141" t="str">
        <f>IF(A159="","",historico_VU!C107)</f>
        <v/>
      </c>
      <c r="D159" s="141" t="str">
        <f>IF(A159="","",historico_VU!D107)</f>
        <v/>
      </c>
      <c r="E159" s="141" t="str">
        <f>IF(A159="","",historico_VU!E107)</f>
        <v/>
      </c>
      <c r="F159" s="141" t="str">
        <f>IF(A159="","",historico_VU!F107)</f>
        <v/>
      </c>
      <c r="G159" s="141" t="str">
        <f>IF(A159="","",historico_VU!G107)</f>
        <v/>
      </c>
      <c r="H159" s="142" t="str">
        <f>IF(A159="","",historico_VU!H107)</f>
        <v/>
      </c>
      <c r="I159" s="57"/>
      <c r="J159" s="139" t="str">
        <f>IF(itens_Remanesc!A107="","",itens_Remanesc!A107)</f>
        <v/>
      </c>
      <c r="K159" s="140" t="str">
        <f>IF(J159="","",IF($F$4="C0",itens_Remanesc!B107,IF($F$4="C1",itens_Remanesc!E107,IF($F$4="C2",itens_Remanesc!G107,IF($F$4="C3",itens_Remanesc!I107,itens_Remanesc!K107)))))</f>
        <v/>
      </c>
      <c r="L159" s="140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43" t="str">
        <f>IF(J159="","",itens_Remanesc!C107)</f>
        <v/>
      </c>
      <c r="N159" s="143" t="str">
        <f>IF(J159="","",IF($F$4="C0",historico_VU!C107,IF($F$4="C1",historico_VU!D107,IF($F$4="C2",historico_VU!E107,IF($F$4="C3",historico_VU!F107,historico_VU!G107)))))</f>
        <v/>
      </c>
      <c r="O159" s="143" t="str">
        <f t="shared" si="10"/>
        <v/>
      </c>
      <c r="P159" s="143" t="str">
        <f t="shared" si="11"/>
        <v/>
      </c>
      <c r="Q159" s="144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39" t="str">
        <f>IF(historico_VU!A108="","",historico_VU!A108)</f>
        <v/>
      </c>
      <c r="B160" s="140" t="str">
        <f>IF(A160="","",historico_VU!B108)</f>
        <v/>
      </c>
      <c r="C160" s="141" t="str">
        <f>IF(A160="","",historico_VU!C108)</f>
        <v/>
      </c>
      <c r="D160" s="141" t="str">
        <f>IF(A160="","",historico_VU!D108)</f>
        <v/>
      </c>
      <c r="E160" s="141" t="str">
        <f>IF(A160="","",historico_VU!E108)</f>
        <v/>
      </c>
      <c r="F160" s="141" t="str">
        <f>IF(A160="","",historico_VU!F108)</f>
        <v/>
      </c>
      <c r="G160" s="141" t="str">
        <f>IF(A160="","",historico_VU!G108)</f>
        <v/>
      </c>
      <c r="H160" s="142" t="str">
        <f>IF(A160="","",historico_VU!H108)</f>
        <v/>
      </c>
      <c r="I160" s="57"/>
      <c r="J160" s="139" t="str">
        <f>IF(itens_Remanesc!A108="","",itens_Remanesc!A108)</f>
        <v/>
      </c>
      <c r="K160" s="140" t="str">
        <f>IF(J160="","",IF($F$4="C0",itens_Remanesc!B108,IF($F$4="C1",itens_Remanesc!E108,IF($F$4="C2",itens_Remanesc!G108,IF($F$4="C3",itens_Remanesc!I108,itens_Remanesc!K108)))))</f>
        <v/>
      </c>
      <c r="L160" s="140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43" t="str">
        <f>IF(J160="","",itens_Remanesc!C108)</f>
        <v/>
      </c>
      <c r="N160" s="143" t="str">
        <f>IF(J160="","",IF($F$4="C0",historico_VU!C108,IF($F$4="C1",historico_VU!D108,IF($F$4="C2",historico_VU!E108,IF($F$4="C3",historico_VU!F108,historico_VU!G108)))))</f>
        <v/>
      </c>
      <c r="O160" s="143" t="str">
        <f t="shared" si="10"/>
        <v/>
      </c>
      <c r="P160" s="143" t="str">
        <f t="shared" si="11"/>
        <v/>
      </c>
      <c r="Q160" s="144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39" t="str">
        <f>IF(historico_VU!A109="","",historico_VU!A109)</f>
        <v/>
      </c>
      <c r="B161" s="140" t="str">
        <f>IF(A161="","",historico_VU!B109)</f>
        <v/>
      </c>
      <c r="C161" s="141" t="str">
        <f>IF(A161="","",historico_VU!C109)</f>
        <v/>
      </c>
      <c r="D161" s="141" t="str">
        <f>IF(A161="","",historico_VU!D109)</f>
        <v/>
      </c>
      <c r="E161" s="141" t="str">
        <f>IF(A161="","",historico_VU!E109)</f>
        <v/>
      </c>
      <c r="F161" s="141" t="str">
        <f>IF(A161="","",historico_VU!F109)</f>
        <v/>
      </c>
      <c r="G161" s="141" t="str">
        <f>IF(A161="","",historico_VU!G109)</f>
        <v/>
      </c>
      <c r="H161" s="142" t="str">
        <f>IF(A161="","",historico_VU!H109)</f>
        <v/>
      </c>
      <c r="I161" s="57"/>
      <c r="J161" s="139" t="str">
        <f>IF(itens_Remanesc!A109="","",itens_Remanesc!A109)</f>
        <v/>
      </c>
      <c r="K161" s="140" t="str">
        <f>IF(J161="","",IF($F$4="C0",itens_Remanesc!B109,IF($F$4="C1",itens_Remanesc!E109,IF($F$4="C2",itens_Remanesc!G109,IF($F$4="C3",itens_Remanesc!I109,itens_Remanesc!K109)))))</f>
        <v/>
      </c>
      <c r="L161" s="140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43" t="str">
        <f>IF(J161="","",itens_Remanesc!C109)</f>
        <v/>
      </c>
      <c r="N161" s="143" t="str">
        <f>IF(J161="","",IF($F$4="C0",historico_VU!C109,IF($F$4="C1",historico_VU!D109,IF($F$4="C2",historico_VU!E109,IF($F$4="C3",historico_VU!F109,historico_VU!G109)))))</f>
        <v/>
      </c>
      <c r="O161" s="143" t="str">
        <f t="shared" si="10"/>
        <v/>
      </c>
      <c r="P161" s="143" t="str">
        <f t="shared" si="11"/>
        <v/>
      </c>
      <c r="Q161" s="144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39" t="str">
        <f>IF(historico_VU!A110="","",historico_VU!A110)</f>
        <v/>
      </c>
      <c r="B162" s="140" t="str">
        <f>IF(A162="","",historico_VU!B110)</f>
        <v/>
      </c>
      <c r="C162" s="141" t="str">
        <f>IF(A162="","",historico_VU!C110)</f>
        <v/>
      </c>
      <c r="D162" s="141" t="str">
        <f>IF(A162="","",historico_VU!D110)</f>
        <v/>
      </c>
      <c r="E162" s="141" t="str">
        <f>IF(A162="","",historico_VU!E110)</f>
        <v/>
      </c>
      <c r="F162" s="141" t="str">
        <f>IF(A162="","",historico_VU!F110)</f>
        <v/>
      </c>
      <c r="G162" s="141" t="str">
        <f>IF(A162="","",historico_VU!G110)</f>
        <v/>
      </c>
      <c r="H162" s="142" t="str">
        <f>IF(A162="","",historico_VU!H110)</f>
        <v/>
      </c>
      <c r="I162" s="57"/>
      <c r="J162" s="139" t="str">
        <f>IF(itens_Remanesc!A110="","",itens_Remanesc!A110)</f>
        <v/>
      </c>
      <c r="K162" s="140" t="str">
        <f>IF(J162="","",IF($F$4="C0",itens_Remanesc!B110,IF($F$4="C1",itens_Remanesc!E110,IF($F$4="C2",itens_Remanesc!G110,IF($F$4="C3",itens_Remanesc!I110,itens_Remanesc!K110)))))</f>
        <v/>
      </c>
      <c r="L162" s="140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43" t="str">
        <f>IF(J162="","",itens_Remanesc!C110)</f>
        <v/>
      </c>
      <c r="N162" s="143" t="str">
        <f>IF(J162="","",IF($F$4="C0",historico_VU!C110,IF($F$4="C1",historico_VU!D110,IF($F$4="C2",historico_VU!E110,IF($F$4="C3",historico_VU!F110,historico_VU!G110)))))</f>
        <v/>
      </c>
      <c r="O162" s="143" t="str">
        <f t="shared" si="10"/>
        <v/>
      </c>
      <c r="P162" s="143" t="str">
        <f t="shared" si="11"/>
        <v/>
      </c>
      <c r="Q162" s="144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39" t="str">
        <f>IF(historico_VU!A111="","",historico_VU!A111)</f>
        <v/>
      </c>
      <c r="B163" s="140" t="str">
        <f>IF(A163="","",historico_VU!B111)</f>
        <v/>
      </c>
      <c r="C163" s="141" t="str">
        <f>IF(A163="","",historico_VU!C111)</f>
        <v/>
      </c>
      <c r="D163" s="141" t="str">
        <f>IF(A163="","",historico_VU!D111)</f>
        <v/>
      </c>
      <c r="E163" s="141" t="str">
        <f>IF(A163="","",historico_VU!E111)</f>
        <v/>
      </c>
      <c r="F163" s="141" t="str">
        <f>IF(A163="","",historico_VU!F111)</f>
        <v/>
      </c>
      <c r="G163" s="141" t="str">
        <f>IF(A163="","",historico_VU!G111)</f>
        <v/>
      </c>
      <c r="H163" s="142" t="str">
        <f>IF(A163="","",historico_VU!H111)</f>
        <v/>
      </c>
      <c r="I163" s="57"/>
      <c r="J163" s="139" t="str">
        <f>IF(itens_Remanesc!A111="","",itens_Remanesc!A111)</f>
        <v/>
      </c>
      <c r="K163" s="140" t="str">
        <f>IF(J163="","",IF($F$4="C0",itens_Remanesc!B111,IF($F$4="C1",itens_Remanesc!E111,IF($F$4="C2",itens_Remanesc!G111,IF($F$4="C3",itens_Remanesc!I111,itens_Remanesc!K111)))))</f>
        <v/>
      </c>
      <c r="L163" s="140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43" t="str">
        <f>IF(J163="","",itens_Remanesc!C111)</f>
        <v/>
      </c>
      <c r="N163" s="143" t="str">
        <f>IF(J163="","",IF($F$4="C0",historico_VU!C111,IF($F$4="C1",historico_VU!D111,IF($F$4="C2",historico_VU!E111,IF($F$4="C3",historico_VU!F111,historico_VU!G111)))))</f>
        <v/>
      </c>
      <c r="O163" s="143" t="str">
        <f t="shared" si="10"/>
        <v/>
      </c>
      <c r="P163" s="143" t="str">
        <f t="shared" si="11"/>
        <v/>
      </c>
      <c r="Q163" s="144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39" t="str">
        <f>IF(historico_VU!A112="","",historico_VU!A112)</f>
        <v/>
      </c>
      <c r="B164" s="140" t="str">
        <f>IF(A164="","",historico_VU!B112)</f>
        <v/>
      </c>
      <c r="C164" s="141" t="str">
        <f>IF(A164="","",historico_VU!C112)</f>
        <v/>
      </c>
      <c r="D164" s="141" t="str">
        <f>IF(A164="","",historico_VU!D112)</f>
        <v/>
      </c>
      <c r="E164" s="141" t="str">
        <f>IF(A164="","",historico_VU!E112)</f>
        <v/>
      </c>
      <c r="F164" s="141" t="str">
        <f>IF(A164="","",historico_VU!F112)</f>
        <v/>
      </c>
      <c r="G164" s="141" t="str">
        <f>IF(A164="","",historico_VU!G112)</f>
        <v/>
      </c>
      <c r="H164" s="142" t="str">
        <f>IF(A164="","",historico_VU!H112)</f>
        <v/>
      </c>
      <c r="I164" s="57"/>
      <c r="J164" s="139" t="str">
        <f>IF(itens_Remanesc!A112="","",itens_Remanesc!A112)</f>
        <v/>
      </c>
      <c r="K164" s="140" t="str">
        <f>IF(J164="","",IF($F$4="C0",itens_Remanesc!B112,IF($F$4="C1",itens_Remanesc!E112,IF($F$4="C2",itens_Remanesc!G112,IF($F$4="C3",itens_Remanesc!I112,itens_Remanesc!K112)))))</f>
        <v/>
      </c>
      <c r="L164" s="140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43" t="str">
        <f>IF(J164="","",itens_Remanesc!C112)</f>
        <v/>
      </c>
      <c r="N164" s="143" t="str">
        <f>IF(J164="","",IF($F$4="C0",historico_VU!C112,IF($F$4="C1",historico_VU!D112,IF($F$4="C2",historico_VU!E112,IF($F$4="C3",historico_VU!F112,historico_VU!G112)))))</f>
        <v/>
      </c>
      <c r="O164" s="143" t="str">
        <f t="shared" si="10"/>
        <v/>
      </c>
      <c r="P164" s="143" t="str">
        <f t="shared" si="11"/>
        <v/>
      </c>
      <c r="Q164" s="144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39" t="str">
        <f>IF(historico_VU!A113="","",historico_VU!A113)</f>
        <v/>
      </c>
      <c r="B165" s="140" t="str">
        <f>IF(A165="","",historico_VU!B113)</f>
        <v/>
      </c>
      <c r="C165" s="141" t="str">
        <f>IF(A165="","",historico_VU!C113)</f>
        <v/>
      </c>
      <c r="D165" s="141" t="str">
        <f>IF(A165="","",historico_VU!D113)</f>
        <v/>
      </c>
      <c r="E165" s="141" t="str">
        <f>IF(A165="","",historico_VU!E113)</f>
        <v/>
      </c>
      <c r="F165" s="141" t="str">
        <f>IF(A165="","",historico_VU!F113)</f>
        <v/>
      </c>
      <c r="G165" s="141" t="str">
        <f>IF(A165="","",historico_VU!G113)</f>
        <v/>
      </c>
      <c r="H165" s="142" t="str">
        <f>IF(A165="","",historico_VU!H113)</f>
        <v/>
      </c>
      <c r="I165" s="57"/>
      <c r="J165" s="139" t="str">
        <f>IF(itens_Remanesc!A113="","",itens_Remanesc!A113)</f>
        <v/>
      </c>
      <c r="K165" s="140" t="str">
        <f>IF(J165="","",IF($F$4="C0",itens_Remanesc!B113,IF($F$4="C1",itens_Remanesc!E113,IF($F$4="C2",itens_Remanesc!G113,IF($F$4="C3",itens_Remanesc!I113,itens_Remanesc!K113)))))</f>
        <v/>
      </c>
      <c r="L165" s="140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43" t="str">
        <f>IF(J165="","",itens_Remanesc!C113)</f>
        <v/>
      </c>
      <c r="N165" s="143" t="str">
        <f>IF(J165="","",IF($F$4="C0",historico_VU!C113,IF($F$4="C1",historico_VU!D113,IF($F$4="C2",historico_VU!E113,IF($F$4="C3",historico_VU!F113,historico_VU!G113)))))</f>
        <v/>
      </c>
      <c r="O165" s="143" t="str">
        <f t="shared" si="10"/>
        <v/>
      </c>
      <c r="P165" s="143" t="str">
        <f t="shared" si="11"/>
        <v/>
      </c>
      <c r="Q165" s="144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39" t="str">
        <f>IF(historico_VU!A114="","",historico_VU!A114)</f>
        <v/>
      </c>
      <c r="B166" s="140" t="str">
        <f>IF(A166="","",historico_VU!B114)</f>
        <v/>
      </c>
      <c r="C166" s="141" t="str">
        <f>IF(A166="","",historico_VU!C114)</f>
        <v/>
      </c>
      <c r="D166" s="141" t="str">
        <f>IF(A166="","",historico_VU!D114)</f>
        <v/>
      </c>
      <c r="E166" s="141" t="str">
        <f>IF(A166="","",historico_VU!E114)</f>
        <v/>
      </c>
      <c r="F166" s="141" t="str">
        <f>IF(A166="","",historico_VU!F114)</f>
        <v/>
      </c>
      <c r="G166" s="141" t="str">
        <f>IF(A166="","",historico_VU!G114)</f>
        <v/>
      </c>
      <c r="H166" s="142" t="str">
        <f>IF(A166="","",historico_VU!H114)</f>
        <v/>
      </c>
      <c r="I166" s="57"/>
      <c r="J166" s="139" t="str">
        <f>IF(itens_Remanesc!A114="","",itens_Remanesc!A114)</f>
        <v/>
      </c>
      <c r="K166" s="140" t="str">
        <f>IF(J166="","",IF($F$4="C0",itens_Remanesc!B114,IF($F$4="C1",itens_Remanesc!E114,IF($F$4="C2",itens_Remanesc!G114,IF($F$4="C3",itens_Remanesc!I114,itens_Remanesc!K114)))))</f>
        <v/>
      </c>
      <c r="L166" s="140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43" t="str">
        <f>IF(J166="","",itens_Remanesc!C114)</f>
        <v/>
      </c>
      <c r="N166" s="143" t="str">
        <f>IF(J166="","",IF($F$4="C0",historico_VU!C114,IF($F$4="C1",historico_VU!D114,IF($F$4="C2",historico_VU!E114,IF($F$4="C3",historico_VU!F114,historico_VU!G114)))))</f>
        <v/>
      </c>
      <c r="O166" s="143" t="str">
        <f t="shared" si="10"/>
        <v/>
      </c>
      <c r="P166" s="143" t="str">
        <f t="shared" si="11"/>
        <v/>
      </c>
      <c r="Q166" s="144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39" t="str">
        <f>IF(historico_VU!A115="","",historico_VU!A115)</f>
        <v/>
      </c>
      <c r="B167" s="140" t="str">
        <f>IF(A167="","",historico_VU!B115)</f>
        <v/>
      </c>
      <c r="C167" s="141" t="str">
        <f>IF(A167="","",historico_VU!C115)</f>
        <v/>
      </c>
      <c r="D167" s="141" t="str">
        <f>IF(A167="","",historico_VU!D115)</f>
        <v/>
      </c>
      <c r="E167" s="141" t="str">
        <f>IF(A167="","",historico_VU!E115)</f>
        <v/>
      </c>
      <c r="F167" s="141" t="str">
        <f>IF(A167="","",historico_VU!F115)</f>
        <v/>
      </c>
      <c r="G167" s="141" t="str">
        <f>IF(A167="","",historico_VU!G115)</f>
        <v/>
      </c>
      <c r="H167" s="142" t="str">
        <f>IF(A167="","",historico_VU!H115)</f>
        <v/>
      </c>
      <c r="I167" s="57"/>
      <c r="J167" s="139" t="str">
        <f>IF(itens_Remanesc!A115="","",itens_Remanesc!A115)</f>
        <v/>
      </c>
      <c r="K167" s="140" t="str">
        <f>IF(J167="","",IF($F$4="C0",itens_Remanesc!B115,IF($F$4="C1",itens_Remanesc!E115,IF($F$4="C2",itens_Remanesc!G115,IF($F$4="C3",itens_Remanesc!I115,itens_Remanesc!K115)))))</f>
        <v/>
      </c>
      <c r="L167" s="140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43" t="str">
        <f>IF(J167="","",itens_Remanesc!C115)</f>
        <v/>
      </c>
      <c r="N167" s="143" t="str">
        <f>IF(J167="","",IF($F$4="C0",historico_VU!C115,IF($F$4="C1",historico_VU!D115,IF($F$4="C2",historico_VU!E115,IF($F$4="C3",historico_VU!F115,historico_VU!G115)))))</f>
        <v/>
      </c>
      <c r="O167" s="143" t="str">
        <f t="shared" si="10"/>
        <v/>
      </c>
      <c r="P167" s="143" t="str">
        <f t="shared" si="11"/>
        <v/>
      </c>
      <c r="Q167" s="144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39" t="str">
        <f>IF(historico_VU!A116="","",historico_VU!A116)</f>
        <v/>
      </c>
      <c r="B168" s="140" t="str">
        <f>IF(A168="","",historico_VU!B116)</f>
        <v/>
      </c>
      <c r="C168" s="141" t="str">
        <f>IF(A168="","",historico_VU!C116)</f>
        <v/>
      </c>
      <c r="D168" s="141" t="str">
        <f>IF(A168="","",historico_VU!D116)</f>
        <v/>
      </c>
      <c r="E168" s="141" t="str">
        <f>IF(A168="","",historico_VU!E116)</f>
        <v/>
      </c>
      <c r="F168" s="141" t="str">
        <f>IF(A168="","",historico_VU!F116)</f>
        <v/>
      </c>
      <c r="G168" s="141" t="str">
        <f>IF(A168="","",historico_VU!G116)</f>
        <v/>
      </c>
      <c r="H168" s="142" t="str">
        <f>IF(A168="","",historico_VU!H116)</f>
        <v/>
      </c>
      <c r="I168" s="57"/>
      <c r="J168" s="139" t="str">
        <f>IF(itens_Remanesc!A116="","",itens_Remanesc!A116)</f>
        <v/>
      </c>
      <c r="K168" s="140" t="str">
        <f>IF(J168="","",IF($F$4="C0",itens_Remanesc!B116,IF($F$4="C1",itens_Remanesc!E116,IF($F$4="C2",itens_Remanesc!G116,IF($F$4="C3",itens_Remanesc!I116,itens_Remanesc!K116)))))</f>
        <v/>
      </c>
      <c r="L168" s="140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43" t="str">
        <f>IF(J168="","",itens_Remanesc!C116)</f>
        <v/>
      </c>
      <c r="N168" s="143" t="str">
        <f>IF(J168="","",IF($F$4="C0",historico_VU!C116,IF($F$4="C1",historico_VU!D116,IF($F$4="C2",historico_VU!E116,IF($F$4="C3",historico_VU!F116,historico_VU!G116)))))</f>
        <v/>
      </c>
      <c r="O168" s="143" t="str">
        <f t="shared" si="10"/>
        <v/>
      </c>
      <c r="P168" s="143" t="str">
        <f t="shared" si="11"/>
        <v/>
      </c>
      <c r="Q168" s="144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39" t="str">
        <f>IF(historico_VU!A117="","",historico_VU!A117)</f>
        <v/>
      </c>
      <c r="B169" s="140" t="str">
        <f>IF(A169="","",historico_VU!B117)</f>
        <v/>
      </c>
      <c r="C169" s="141" t="str">
        <f>IF(A169="","",historico_VU!C117)</f>
        <v/>
      </c>
      <c r="D169" s="141" t="str">
        <f>IF(A169="","",historico_VU!D117)</f>
        <v/>
      </c>
      <c r="E169" s="141" t="str">
        <f>IF(A169="","",historico_VU!E117)</f>
        <v/>
      </c>
      <c r="F169" s="141" t="str">
        <f>IF(A169="","",historico_VU!F117)</f>
        <v/>
      </c>
      <c r="G169" s="141" t="str">
        <f>IF(A169="","",historico_VU!G117)</f>
        <v/>
      </c>
      <c r="H169" s="142" t="str">
        <f>IF(A169="","",historico_VU!H117)</f>
        <v/>
      </c>
      <c r="I169" s="57"/>
      <c r="J169" s="139" t="str">
        <f>IF(itens_Remanesc!A117="","",itens_Remanesc!A117)</f>
        <v/>
      </c>
      <c r="K169" s="140" t="str">
        <f>IF(J169="","",IF($F$4="C0",itens_Remanesc!B117,IF($F$4="C1",itens_Remanesc!E117,IF($F$4="C2",itens_Remanesc!G117,IF($F$4="C3",itens_Remanesc!I117,itens_Remanesc!K117)))))</f>
        <v/>
      </c>
      <c r="L169" s="140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43" t="str">
        <f>IF(J169="","",itens_Remanesc!C117)</f>
        <v/>
      </c>
      <c r="N169" s="143" t="str">
        <f>IF(J169="","",IF($F$4="C0",historico_VU!C117,IF($F$4="C1",historico_VU!D117,IF($F$4="C2",historico_VU!E117,IF($F$4="C3",historico_VU!F117,historico_VU!G117)))))</f>
        <v/>
      </c>
      <c r="O169" s="143" t="str">
        <f t="shared" si="10"/>
        <v/>
      </c>
      <c r="P169" s="143" t="str">
        <f t="shared" si="11"/>
        <v/>
      </c>
      <c r="Q169" s="144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39" t="str">
        <f>IF(historico_VU!A118="","",historico_VU!A118)</f>
        <v/>
      </c>
      <c r="B170" s="140" t="str">
        <f>IF(A170="","",historico_VU!B118)</f>
        <v/>
      </c>
      <c r="C170" s="141" t="str">
        <f>IF(A170="","",historico_VU!C118)</f>
        <v/>
      </c>
      <c r="D170" s="141" t="str">
        <f>IF(A170="","",historico_VU!D118)</f>
        <v/>
      </c>
      <c r="E170" s="141" t="str">
        <f>IF(A170="","",historico_VU!E118)</f>
        <v/>
      </c>
      <c r="F170" s="141" t="str">
        <f>IF(A170="","",historico_VU!F118)</f>
        <v/>
      </c>
      <c r="G170" s="141" t="str">
        <f>IF(A170="","",historico_VU!G118)</f>
        <v/>
      </c>
      <c r="H170" s="142" t="str">
        <f>IF(A170="","",historico_VU!H118)</f>
        <v/>
      </c>
      <c r="I170" s="57"/>
      <c r="J170" s="139" t="str">
        <f>IF(itens_Remanesc!A118="","",itens_Remanesc!A118)</f>
        <v/>
      </c>
      <c r="K170" s="140" t="str">
        <f>IF(J170="","",IF($F$4="C0",itens_Remanesc!B118,IF($F$4="C1",itens_Remanesc!E118,IF($F$4="C2",itens_Remanesc!G118,IF($F$4="C3",itens_Remanesc!I118,itens_Remanesc!K118)))))</f>
        <v/>
      </c>
      <c r="L170" s="140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43" t="str">
        <f>IF(J170="","",itens_Remanesc!C118)</f>
        <v/>
      </c>
      <c r="N170" s="143" t="str">
        <f>IF(J170="","",IF($F$4="C0",historico_VU!C118,IF($F$4="C1",historico_VU!D118,IF($F$4="C2",historico_VU!E118,IF($F$4="C3",historico_VU!F118,historico_VU!G118)))))</f>
        <v/>
      </c>
      <c r="O170" s="143" t="str">
        <f t="shared" si="10"/>
        <v/>
      </c>
      <c r="P170" s="143" t="str">
        <f t="shared" si="11"/>
        <v/>
      </c>
      <c r="Q170" s="144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39" t="str">
        <f>IF(historico_VU!A119="","",historico_VU!A119)</f>
        <v/>
      </c>
      <c r="B171" s="140" t="str">
        <f>IF(A171="","",historico_VU!B119)</f>
        <v/>
      </c>
      <c r="C171" s="141" t="str">
        <f>IF(A171="","",historico_VU!C119)</f>
        <v/>
      </c>
      <c r="D171" s="141" t="str">
        <f>IF(A171="","",historico_VU!D119)</f>
        <v/>
      </c>
      <c r="E171" s="141" t="str">
        <f>IF(A171="","",historico_VU!E119)</f>
        <v/>
      </c>
      <c r="F171" s="141" t="str">
        <f>IF(A171="","",historico_VU!F119)</f>
        <v/>
      </c>
      <c r="G171" s="141" t="str">
        <f>IF(A171="","",historico_VU!G119)</f>
        <v/>
      </c>
      <c r="H171" s="142" t="str">
        <f>IF(A171="","",historico_VU!H119)</f>
        <v/>
      </c>
      <c r="I171" s="57"/>
      <c r="J171" s="139" t="str">
        <f>IF(itens_Remanesc!A119="","",itens_Remanesc!A119)</f>
        <v/>
      </c>
      <c r="K171" s="140" t="str">
        <f>IF(J171="","",IF($F$4="C0",itens_Remanesc!B119,IF($F$4="C1",itens_Remanesc!E119,IF($F$4="C2",itens_Remanesc!G119,IF($F$4="C3",itens_Remanesc!I119,itens_Remanesc!K119)))))</f>
        <v/>
      </c>
      <c r="L171" s="140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43" t="str">
        <f>IF(J171="","",itens_Remanesc!C119)</f>
        <v/>
      </c>
      <c r="N171" s="143" t="str">
        <f>IF(J171="","",IF($F$4="C0",historico_VU!C119,IF($F$4="C1",historico_VU!D119,IF($F$4="C2",historico_VU!E119,IF($F$4="C3",historico_VU!F119,historico_VU!G119)))))</f>
        <v/>
      </c>
      <c r="O171" s="143" t="str">
        <f t="shared" si="10"/>
        <v/>
      </c>
      <c r="P171" s="143" t="str">
        <f t="shared" si="11"/>
        <v/>
      </c>
      <c r="Q171" s="144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39" t="str">
        <f>IF(historico_VU!A120="","",historico_VU!A120)</f>
        <v/>
      </c>
      <c r="B172" s="140" t="str">
        <f>IF(A172="","",historico_VU!B120)</f>
        <v/>
      </c>
      <c r="C172" s="141" t="str">
        <f>IF(A172="","",historico_VU!C120)</f>
        <v/>
      </c>
      <c r="D172" s="141" t="str">
        <f>IF(A172="","",historico_VU!D120)</f>
        <v/>
      </c>
      <c r="E172" s="141" t="str">
        <f>IF(A172="","",historico_VU!E120)</f>
        <v/>
      </c>
      <c r="F172" s="141" t="str">
        <f>IF(A172="","",historico_VU!F120)</f>
        <v/>
      </c>
      <c r="G172" s="141" t="str">
        <f>IF(A172="","",historico_VU!G120)</f>
        <v/>
      </c>
      <c r="H172" s="142" t="str">
        <f>IF(A172="","",historico_VU!H120)</f>
        <v/>
      </c>
      <c r="I172" s="57"/>
      <c r="J172" s="139" t="str">
        <f>IF(itens_Remanesc!A120="","",itens_Remanesc!A120)</f>
        <v/>
      </c>
      <c r="K172" s="140" t="str">
        <f>IF(J172="","",IF($F$4="C0",itens_Remanesc!B120,IF($F$4="C1",itens_Remanesc!E120,IF($F$4="C2",itens_Remanesc!G120,IF($F$4="C3",itens_Remanesc!I120,itens_Remanesc!K120)))))</f>
        <v/>
      </c>
      <c r="L172" s="140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43" t="str">
        <f>IF(J172="","",itens_Remanesc!C120)</f>
        <v/>
      </c>
      <c r="N172" s="143" t="str">
        <f>IF(J172="","",IF($F$4="C0",historico_VU!C120,IF($F$4="C1",historico_VU!D120,IF($F$4="C2",historico_VU!E120,IF($F$4="C3",historico_VU!F120,historico_VU!G120)))))</f>
        <v/>
      </c>
      <c r="O172" s="143" t="str">
        <f t="shared" si="10"/>
        <v/>
      </c>
      <c r="P172" s="143" t="str">
        <f t="shared" si="11"/>
        <v/>
      </c>
      <c r="Q172" s="144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39" t="str">
        <f>IF(historico_VU!A121="","",historico_VU!A121)</f>
        <v/>
      </c>
      <c r="B173" s="140" t="str">
        <f>IF(A173="","",historico_VU!B121)</f>
        <v/>
      </c>
      <c r="C173" s="141" t="str">
        <f>IF(A173="","",historico_VU!C121)</f>
        <v/>
      </c>
      <c r="D173" s="141" t="str">
        <f>IF(A173="","",historico_VU!D121)</f>
        <v/>
      </c>
      <c r="E173" s="141" t="str">
        <f>IF(A173="","",historico_VU!E121)</f>
        <v/>
      </c>
      <c r="F173" s="141" t="str">
        <f>IF(A173="","",historico_VU!F121)</f>
        <v/>
      </c>
      <c r="G173" s="141" t="str">
        <f>IF(A173="","",historico_VU!G121)</f>
        <v/>
      </c>
      <c r="H173" s="142" t="str">
        <f>IF(A173="","",historico_VU!H121)</f>
        <v/>
      </c>
      <c r="I173" s="57"/>
      <c r="J173" s="139" t="str">
        <f>IF(itens_Remanesc!A121="","",itens_Remanesc!A121)</f>
        <v/>
      </c>
      <c r="K173" s="140" t="str">
        <f>IF(J173="","",IF($F$4="C0",itens_Remanesc!B121,IF($F$4="C1",itens_Remanesc!E121,IF($F$4="C2",itens_Remanesc!G121,IF($F$4="C3",itens_Remanesc!I121,itens_Remanesc!K121)))))</f>
        <v/>
      </c>
      <c r="L173" s="140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43" t="str">
        <f>IF(J173="","",itens_Remanesc!C121)</f>
        <v/>
      </c>
      <c r="N173" s="143" t="str">
        <f>IF(J173="","",IF($F$4="C0",historico_VU!C121,IF($F$4="C1",historico_VU!D121,IF($F$4="C2",historico_VU!E121,IF($F$4="C3",historico_VU!F121,historico_VU!G121)))))</f>
        <v/>
      </c>
      <c r="O173" s="143" t="str">
        <f t="shared" si="10"/>
        <v/>
      </c>
      <c r="P173" s="143" t="str">
        <f t="shared" si="11"/>
        <v/>
      </c>
      <c r="Q173" s="144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39" t="str">
        <f>IF(historico_VU!A122="","",historico_VU!A122)</f>
        <v/>
      </c>
      <c r="B174" s="140" t="str">
        <f>IF(A174="","",historico_VU!B122)</f>
        <v/>
      </c>
      <c r="C174" s="141" t="str">
        <f>IF(A174="","",historico_VU!C122)</f>
        <v/>
      </c>
      <c r="D174" s="141" t="str">
        <f>IF(A174="","",historico_VU!D122)</f>
        <v/>
      </c>
      <c r="E174" s="141" t="str">
        <f>IF(A174="","",historico_VU!E122)</f>
        <v/>
      </c>
      <c r="F174" s="141" t="str">
        <f>IF(A174="","",historico_VU!F122)</f>
        <v/>
      </c>
      <c r="G174" s="141" t="str">
        <f>IF(A174="","",historico_VU!G122)</f>
        <v/>
      </c>
      <c r="H174" s="142" t="str">
        <f>IF(A174="","",historico_VU!H122)</f>
        <v/>
      </c>
      <c r="I174" s="57"/>
      <c r="J174" s="139" t="str">
        <f>IF(itens_Remanesc!A122="","",itens_Remanesc!A122)</f>
        <v/>
      </c>
      <c r="K174" s="140" t="str">
        <f>IF(J174="","",IF($F$4="C0",itens_Remanesc!B122,IF($F$4="C1",itens_Remanesc!E122,IF($F$4="C2",itens_Remanesc!G122,IF($F$4="C3",itens_Remanesc!I122,itens_Remanesc!K122)))))</f>
        <v/>
      </c>
      <c r="L174" s="140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43" t="str">
        <f>IF(J174="","",itens_Remanesc!C122)</f>
        <v/>
      </c>
      <c r="N174" s="143" t="str">
        <f>IF(J174="","",IF($F$4="C0",historico_VU!C122,IF($F$4="C1",historico_VU!D122,IF($F$4="C2",historico_VU!E122,IF($F$4="C3",historico_VU!F122,historico_VU!G122)))))</f>
        <v/>
      </c>
      <c r="O174" s="143" t="str">
        <f t="shared" si="10"/>
        <v/>
      </c>
      <c r="P174" s="143" t="str">
        <f t="shared" si="11"/>
        <v/>
      </c>
      <c r="Q174" s="144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39" t="str">
        <f>IF(historico_VU!A123="","",historico_VU!A123)</f>
        <v/>
      </c>
      <c r="B175" s="140" t="str">
        <f>IF(A175="","",historico_VU!B123)</f>
        <v/>
      </c>
      <c r="C175" s="141" t="str">
        <f>IF(A175="","",historico_VU!C123)</f>
        <v/>
      </c>
      <c r="D175" s="141" t="str">
        <f>IF(A175="","",historico_VU!D123)</f>
        <v/>
      </c>
      <c r="E175" s="141" t="str">
        <f>IF(A175="","",historico_VU!E123)</f>
        <v/>
      </c>
      <c r="F175" s="141" t="str">
        <f>IF(A175="","",historico_VU!F123)</f>
        <v/>
      </c>
      <c r="G175" s="141" t="str">
        <f>IF(A175="","",historico_VU!G123)</f>
        <v/>
      </c>
      <c r="H175" s="142" t="str">
        <f>IF(A175="","",historico_VU!H123)</f>
        <v/>
      </c>
      <c r="I175" s="57"/>
      <c r="J175" s="139" t="str">
        <f>IF(itens_Remanesc!A123="","",itens_Remanesc!A123)</f>
        <v/>
      </c>
      <c r="K175" s="140" t="str">
        <f>IF(J175="","",IF($F$4="C0",itens_Remanesc!B123,IF($F$4="C1",itens_Remanesc!E123,IF($F$4="C2",itens_Remanesc!G123,IF($F$4="C3",itens_Remanesc!I123,itens_Remanesc!K123)))))</f>
        <v/>
      </c>
      <c r="L175" s="140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43" t="str">
        <f>IF(J175="","",itens_Remanesc!C123)</f>
        <v/>
      </c>
      <c r="N175" s="143" t="str">
        <f>IF(J175="","",IF($F$4="C0",historico_VU!C123,IF($F$4="C1",historico_VU!D123,IF($F$4="C2",historico_VU!E123,IF($F$4="C3",historico_VU!F123,historico_VU!G123)))))</f>
        <v/>
      </c>
      <c r="O175" s="143" t="str">
        <f t="shared" si="10"/>
        <v/>
      </c>
      <c r="P175" s="143" t="str">
        <f t="shared" si="11"/>
        <v/>
      </c>
      <c r="Q175" s="144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39" t="str">
        <f>IF(historico_VU!A124="","",historico_VU!A124)</f>
        <v/>
      </c>
      <c r="B176" s="140" t="str">
        <f>IF(A176="","",historico_VU!B124)</f>
        <v/>
      </c>
      <c r="C176" s="141" t="str">
        <f>IF(A176="","",historico_VU!C124)</f>
        <v/>
      </c>
      <c r="D176" s="141" t="str">
        <f>IF(A176="","",historico_VU!D124)</f>
        <v/>
      </c>
      <c r="E176" s="141" t="str">
        <f>IF(A176="","",historico_VU!E124)</f>
        <v/>
      </c>
      <c r="F176" s="141" t="str">
        <f>IF(A176="","",historico_VU!F124)</f>
        <v/>
      </c>
      <c r="G176" s="141" t="str">
        <f>IF(A176="","",historico_VU!G124)</f>
        <v/>
      </c>
      <c r="H176" s="142" t="str">
        <f>IF(A176="","",historico_VU!H124)</f>
        <v/>
      </c>
      <c r="I176" s="57"/>
      <c r="J176" s="139" t="str">
        <f>IF(itens_Remanesc!A124="","",itens_Remanesc!A124)</f>
        <v/>
      </c>
      <c r="K176" s="140" t="str">
        <f>IF(J176="","",IF($F$4="C0",itens_Remanesc!B124,IF($F$4="C1",itens_Remanesc!E124,IF($F$4="C2",itens_Remanesc!G124,IF($F$4="C3",itens_Remanesc!I124,itens_Remanesc!K124)))))</f>
        <v/>
      </c>
      <c r="L176" s="140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43" t="str">
        <f>IF(J176="","",itens_Remanesc!C124)</f>
        <v/>
      </c>
      <c r="N176" s="143" t="str">
        <f>IF(J176="","",IF($F$4="C0",historico_VU!C124,IF($F$4="C1",historico_VU!D124,IF($F$4="C2",historico_VU!E124,IF($F$4="C3",historico_VU!F124,historico_VU!G124)))))</f>
        <v/>
      </c>
      <c r="O176" s="143" t="str">
        <f t="shared" si="10"/>
        <v/>
      </c>
      <c r="P176" s="143" t="str">
        <f t="shared" si="11"/>
        <v/>
      </c>
      <c r="Q176" s="144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39" t="str">
        <f>IF(historico_VU!A125="","",historico_VU!A125)</f>
        <v/>
      </c>
      <c r="B177" s="140" t="str">
        <f>IF(A177="","",historico_VU!B125)</f>
        <v/>
      </c>
      <c r="C177" s="141" t="str">
        <f>IF(A177="","",historico_VU!C125)</f>
        <v/>
      </c>
      <c r="D177" s="141" t="str">
        <f>IF(A177="","",historico_VU!D125)</f>
        <v/>
      </c>
      <c r="E177" s="141" t="str">
        <f>IF(A177="","",historico_VU!E125)</f>
        <v/>
      </c>
      <c r="F177" s="141" t="str">
        <f>IF(A177="","",historico_VU!F125)</f>
        <v/>
      </c>
      <c r="G177" s="141" t="str">
        <f>IF(A177="","",historico_VU!G125)</f>
        <v/>
      </c>
      <c r="H177" s="142" t="str">
        <f>IF(A177="","",historico_VU!H125)</f>
        <v/>
      </c>
      <c r="I177" s="57"/>
      <c r="J177" s="139" t="str">
        <f>IF(itens_Remanesc!A125="","",itens_Remanesc!A125)</f>
        <v/>
      </c>
      <c r="K177" s="140" t="str">
        <f>IF(J177="","",IF($F$4="C0",itens_Remanesc!B125,IF($F$4="C1",itens_Remanesc!E125,IF($F$4="C2",itens_Remanesc!G125,IF($F$4="C3",itens_Remanesc!I125,itens_Remanesc!K125)))))</f>
        <v/>
      </c>
      <c r="L177" s="140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43" t="str">
        <f>IF(J177="","",itens_Remanesc!C125)</f>
        <v/>
      </c>
      <c r="N177" s="143" t="str">
        <f>IF(J177="","",IF($F$4="C0",historico_VU!C125,IF($F$4="C1",historico_VU!D125,IF($F$4="C2",historico_VU!E125,IF($F$4="C3",historico_VU!F125,historico_VU!G125)))))</f>
        <v/>
      </c>
      <c r="O177" s="143" t="str">
        <f t="shared" si="10"/>
        <v/>
      </c>
      <c r="P177" s="143" t="str">
        <f t="shared" si="11"/>
        <v/>
      </c>
      <c r="Q177" s="144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39" t="str">
        <f>IF(historico_VU!A126="","",historico_VU!A126)</f>
        <v/>
      </c>
      <c r="B178" s="140" t="str">
        <f>IF(A178="","",historico_VU!B126)</f>
        <v/>
      </c>
      <c r="C178" s="141" t="str">
        <f>IF(A178="","",historico_VU!C126)</f>
        <v/>
      </c>
      <c r="D178" s="141" t="str">
        <f>IF(A178="","",historico_VU!D126)</f>
        <v/>
      </c>
      <c r="E178" s="141" t="str">
        <f>IF(A178="","",historico_VU!E126)</f>
        <v/>
      </c>
      <c r="F178" s="141" t="str">
        <f>IF(A178="","",historico_VU!F126)</f>
        <v/>
      </c>
      <c r="G178" s="141" t="str">
        <f>IF(A178="","",historico_VU!G126)</f>
        <v/>
      </c>
      <c r="H178" s="142" t="str">
        <f>IF(A178="","",historico_VU!H126)</f>
        <v/>
      </c>
      <c r="I178" s="57"/>
      <c r="J178" s="139" t="str">
        <f>IF(itens_Remanesc!A126="","",itens_Remanesc!A126)</f>
        <v/>
      </c>
      <c r="K178" s="140" t="str">
        <f>IF(J178="","",IF($F$4="C0",itens_Remanesc!B126,IF($F$4="C1",itens_Remanesc!E126,IF($F$4="C2",itens_Remanesc!G126,IF($F$4="C3",itens_Remanesc!I126,itens_Remanesc!K126)))))</f>
        <v/>
      </c>
      <c r="L178" s="140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43" t="str">
        <f>IF(J178="","",itens_Remanesc!C126)</f>
        <v/>
      </c>
      <c r="N178" s="143" t="str">
        <f>IF(J178="","",IF($F$4="C0",historico_VU!C126,IF($F$4="C1",historico_VU!D126,IF($F$4="C2",historico_VU!E126,IF($F$4="C3",historico_VU!F126,historico_VU!G126)))))</f>
        <v/>
      </c>
      <c r="O178" s="143" t="str">
        <f t="shared" si="10"/>
        <v/>
      </c>
      <c r="P178" s="143" t="str">
        <f t="shared" si="11"/>
        <v/>
      </c>
      <c r="Q178" s="144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39" t="str">
        <f>IF(historico_VU!A127="","",historico_VU!A127)</f>
        <v/>
      </c>
      <c r="B179" s="140" t="str">
        <f>IF(A179="","",historico_VU!B127)</f>
        <v/>
      </c>
      <c r="C179" s="141" t="str">
        <f>IF(A179="","",historico_VU!C127)</f>
        <v/>
      </c>
      <c r="D179" s="141" t="str">
        <f>IF(A179="","",historico_VU!D127)</f>
        <v/>
      </c>
      <c r="E179" s="141" t="str">
        <f>IF(A179="","",historico_VU!E127)</f>
        <v/>
      </c>
      <c r="F179" s="141" t="str">
        <f>IF(A179="","",historico_VU!F127)</f>
        <v/>
      </c>
      <c r="G179" s="141" t="str">
        <f>IF(A179="","",historico_VU!G127)</f>
        <v/>
      </c>
      <c r="H179" s="142" t="str">
        <f>IF(A179="","",historico_VU!H127)</f>
        <v/>
      </c>
      <c r="I179" s="57"/>
      <c r="J179" s="139" t="str">
        <f>IF(itens_Remanesc!A127="","",itens_Remanesc!A127)</f>
        <v/>
      </c>
      <c r="K179" s="140" t="str">
        <f>IF(J179="","",IF($F$4="C0",itens_Remanesc!B127,IF($F$4="C1",itens_Remanesc!E127,IF($F$4="C2",itens_Remanesc!G127,IF($F$4="C3",itens_Remanesc!I127,itens_Remanesc!K127)))))</f>
        <v/>
      </c>
      <c r="L179" s="140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43" t="str">
        <f>IF(J179="","",itens_Remanesc!C127)</f>
        <v/>
      </c>
      <c r="N179" s="143" t="str">
        <f>IF(J179="","",IF($F$4="C0",historico_VU!C127,IF($F$4="C1",historico_VU!D127,IF($F$4="C2",historico_VU!E127,IF($F$4="C3",historico_VU!F127,historico_VU!G127)))))</f>
        <v/>
      </c>
      <c r="O179" s="143" t="str">
        <f t="shared" si="10"/>
        <v/>
      </c>
      <c r="P179" s="143" t="str">
        <f t="shared" si="11"/>
        <v/>
      </c>
      <c r="Q179" s="144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39" t="str">
        <f>IF(historico_VU!A128="","",historico_VU!A128)</f>
        <v/>
      </c>
      <c r="B180" s="140" t="str">
        <f>IF(A180="","",historico_VU!B128)</f>
        <v/>
      </c>
      <c r="C180" s="141" t="str">
        <f>IF(A180="","",historico_VU!C128)</f>
        <v/>
      </c>
      <c r="D180" s="141" t="str">
        <f>IF(A180="","",historico_VU!D128)</f>
        <v/>
      </c>
      <c r="E180" s="141" t="str">
        <f>IF(A180="","",historico_VU!E128)</f>
        <v/>
      </c>
      <c r="F180" s="141" t="str">
        <f>IF(A180="","",historico_VU!F128)</f>
        <v/>
      </c>
      <c r="G180" s="141" t="str">
        <f>IF(A180="","",historico_VU!G128)</f>
        <v/>
      </c>
      <c r="H180" s="142" t="str">
        <f>IF(A180="","",historico_VU!H128)</f>
        <v/>
      </c>
      <c r="I180" s="57"/>
      <c r="J180" s="139" t="str">
        <f>IF(itens_Remanesc!A128="","",itens_Remanesc!A128)</f>
        <v/>
      </c>
      <c r="K180" s="140" t="str">
        <f>IF(J180="","",IF($F$4="C0",itens_Remanesc!B128,IF($F$4="C1",itens_Remanesc!E128,IF($F$4="C2",itens_Remanesc!G128,IF($F$4="C3",itens_Remanesc!I128,itens_Remanesc!K128)))))</f>
        <v/>
      </c>
      <c r="L180" s="140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43" t="str">
        <f>IF(J180="","",itens_Remanesc!C128)</f>
        <v/>
      </c>
      <c r="N180" s="143" t="str">
        <f>IF(J180="","",IF($F$4="C0",historico_VU!C128,IF($F$4="C1",historico_VU!D128,IF($F$4="C2",historico_VU!E128,IF($F$4="C3",historico_VU!F128,historico_VU!G128)))))</f>
        <v/>
      </c>
      <c r="O180" s="143" t="str">
        <f t="shared" si="10"/>
        <v/>
      </c>
      <c r="P180" s="143" t="str">
        <f t="shared" si="11"/>
        <v/>
      </c>
      <c r="Q180" s="144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39" t="str">
        <f>IF(historico_VU!A129="","",historico_VU!A129)</f>
        <v/>
      </c>
      <c r="B181" s="140" t="str">
        <f>IF(A181="","",historico_VU!B129)</f>
        <v/>
      </c>
      <c r="C181" s="141" t="str">
        <f>IF(A181="","",historico_VU!C129)</f>
        <v/>
      </c>
      <c r="D181" s="141" t="str">
        <f>IF(A181="","",historico_VU!D129)</f>
        <v/>
      </c>
      <c r="E181" s="141" t="str">
        <f>IF(A181="","",historico_VU!E129)</f>
        <v/>
      </c>
      <c r="F181" s="141" t="str">
        <f>IF(A181="","",historico_VU!F129)</f>
        <v/>
      </c>
      <c r="G181" s="141" t="str">
        <f>IF(A181="","",historico_VU!G129)</f>
        <v/>
      </c>
      <c r="H181" s="142" t="str">
        <f>IF(A181="","",historico_VU!H129)</f>
        <v/>
      </c>
      <c r="I181" s="57"/>
      <c r="J181" s="139" t="str">
        <f>IF(itens_Remanesc!A129="","",itens_Remanesc!A129)</f>
        <v/>
      </c>
      <c r="K181" s="140" t="str">
        <f>IF(J181="","",IF($F$4="C0",itens_Remanesc!B129,IF($F$4="C1",itens_Remanesc!E129,IF($F$4="C2",itens_Remanesc!G129,IF($F$4="C3",itens_Remanesc!I129,itens_Remanesc!K129)))))</f>
        <v/>
      </c>
      <c r="L181" s="140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43" t="str">
        <f>IF(J181="","",itens_Remanesc!C129)</f>
        <v/>
      </c>
      <c r="N181" s="143" t="str">
        <f>IF(J181="","",IF($F$4="C0",historico_VU!C129,IF($F$4="C1",historico_VU!D129,IF($F$4="C2",historico_VU!E129,IF($F$4="C3",historico_VU!F129,historico_VU!G129)))))</f>
        <v/>
      </c>
      <c r="O181" s="143" t="str">
        <f t="shared" si="10"/>
        <v/>
      </c>
      <c r="P181" s="143" t="str">
        <f t="shared" si="11"/>
        <v/>
      </c>
      <c r="Q181" s="144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39" t="str">
        <f>IF(historico_VU!A130="","",historico_VU!A130)</f>
        <v/>
      </c>
      <c r="B182" s="140" t="str">
        <f>IF(A182="","",historico_VU!B130)</f>
        <v/>
      </c>
      <c r="C182" s="141" t="str">
        <f>IF(A182="","",historico_VU!C130)</f>
        <v/>
      </c>
      <c r="D182" s="141" t="str">
        <f>IF(A182="","",historico_VU!D130)</f>
        <v/>
      </c>
      <c r="E182" s="141" t="str">
        <f>IF(A182="","",historico_VU!E130)</f>
        <v/>
      </c>
      <c r="F182" s="141" t="str">
        <f>IF(A182="","",historico_VU!F130)</f>
        <v/>
      </c>
      <c r="G182" s="141" t="str">
        <f>IF(A182="","",historico_VU!G130)</f>
        <v/>
      </c>
      <c r="H182" s="142" t="str">
        <f>IF(A182="","",historico_VU!H130)</f>
        <v/>
      </c>
      <c r="I182" s="57"/>
      <c r="J182" s="139" t="str">
        <f>IF(itens_Remanesc!A130="","",itens_Remanesc!A130)</f>
        <v/>
      </c>
      <c r="K182" s="140" t="str">
        <f>IF(J182="","",IF($F$4="C0",itens_Remanesc!B130,IF($F$4="C1",itens_Remanesc!E130,IF($F$4="C2",itens_Remanesc!G130,IF($F$4="C3",itens_Remanesc!I130,itens_Remanesc!K130)))))</f>
        <v/>
      </c>
      <c r="L182" s="140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43" t="str">
        <f>IF(J182="","",itens_Remanesc!C130)</f>
        <v/>
      </c>
      <c r="N182" s="143" t="str">
        <f>IF(J182="","",IF($F$4="C0",historico_VU!C130,IF($F$4="C1",historico_VU!D130,IF($F$4="C2",historico_VU!E130,IF($F$4="C3",historico_VU!F130,historico_VU!G130)))))</f>
        <v/>
      </c>
      <c r="O182" s="143" t="str">
        <f t="shared" ref="O182:O213" si="13">IF(J182="","",IF(OR($B$4="Financeiro",$B$4="PCs"),IF(OR(K182="",M182=""),"",ROUND(K182*M182,2)),IF($B$4="Itens",IF(OR(L182="",M182=""),"",ROUND(L182*M182,2)),"")))</f>
        <v/>
      </c>
      <c r="P182" s="143" t="str">
        <f t="shared" ref="P182:P213" si="14">IF(J182="","",IF(OR($B$4="Financeiro",$B$4="PCs"),IF(OR(K182="",N182=""),"",ROUND(K182*N182,2)),IF($B$4="Itens",IF(OR(L182="",N182=""),"",ROUND(L182*N182,2)),"")))</f>
        <v/>
      </c>
      <c r="Q182" s="144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39" t="str">
        <f>IF(historico_VU!A131="","",historico_VU!A131)</f>
        <v/>
      </c>
      <c r="B183" s="140" t="str">
        <f>IF(A183="","",historico_VU!B131)</f>
        <v/>
      </c>
      <c r="C183" s="141" t="str">
        <f>IF(A183="","",historico_VU!C131)</f>
        <v/>
      </c>
      <c r="D183" s="141" t="str">
        <f>IF(A183="","",historico_VU!D131)</f>
        <v/>
      </c>
      <c r="E183" s="141" t="str">
        <f>IF(A183="","",historico_VU!E131)</f>
        <v/>
      </c>
      <c r="F183" s="141" t="str">
        <f>IF(A183="","",historico_VU!F131)</f>
        <v/>
      </c>
      <c r="G183" s="141" t="str">
        <f>IF(A183="","",historico_VU!G131)</f>
        <v/>
      </c>
      <c r="H183" s="142" t="str">
        <f>IF(A183="","",historico_VU!H131)</f>
        <v/>
      </c>
      <c r="I183" s="57"/>
      <c r="J183" s="139" t="str">
        <f>IF(itens_Remanesc!A131="","",itens_Remanesc!A131)</f>
        <v/>
      </c>
      <c r="K183" s="140" t="str">
        <f>IF(J183="","",IF($F$4="C0",itens_Remanesc!B131,IF($F$4="C1",itens_Remanesc!E131,IF($F$4="C2",itens_Remanesc!G131,IF($F$4="C3",itens_Remanesc!I131,itens_Remanesc!K131)))))</f>
        <v/>
      </c>
      <c r="L183" s="140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43" t="str">
        <f>IF(J183="","",itens_Remanesc!C131)</f>
        <v/>
      </c>
      <c r="N183" s="143" t="str">
        <f>IF(J183="","",IF($F$4="C0",historico_VU!C131,IF($F$4="C1",historico_VU!D131,IF($F$4="C2",historico_VU!E131,IF($F$4="C3",historico_VU!F131,historico_VU!G131)))))</f>
        <v/>
      </c>
      <c r="O183" s="143" t="str">
        <f t="shared" si="13"/>
        <v/>
      </c>
      <c r="P183" s="143" t="str">
        <f t="shared" si="14"/>
        <v/>
      </c>
      <c r="Q183" s="144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39" t="str">
        <f>IF(historico_VU!A132="","",historico_VU!A132)</f>
        <v/>
      </c>
      <c r="B184" s="140" t="str">
        <f>IF(A184="","",historico_VU!B132)</f>
        <v/>
      </c>
      <c r="C184" s="141" t="str">
        <f>IF(A184="","",historico_VU!C132)</f>
        <v/>
      </c>
      <c r="D184" s="141" t="str">
        <f>IF(A184="","",historico_VU!D132)</f>
        <v/>
      </c>
      <c r="E184" s="141" t="str">
        <f>IF(A184="","",historico_VU!E132)</f>
        <v/>
      </c>
      <c r="F184" s="141" t="str">
        <f>IF(A184="","",historico_VU!F132)</f>
        <v/>
      </c>
      <c r="G184" s="141" t="str">
        <f>IF(A184="","",historico_VU!G132)</f>
        <v/>
      </c>
      <c r="H184" s="142" t="str">
        <f>IF(A184="","",historico_VU!H132)</f>
        <v/>
      </c>
      <c r="I184" s="57"/>
      <c r="J184" s="139" t="str">
        <f>IF(itens_Remanesc!A132="","",itens_Remanesc!A132)</f>
        <v/>
      </c>
      <c r="K184" s="140" t="str">
        <f>IF(J184="","",IF($F$4="C0",itens_Remanesc!B132,IF($F$4="C1",itens_Remanesc!E132,IF($F$4="C2",itens_Remanesc!G132,IF($F$4="C3",itens_Remanesc!I132,itens_Remanesc!K132)))))</f>
        <v/>
      </c>
      <c r="L184" s="140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43" t="str">
        <f>IF(J184="","",itens_Remanesc!C132)</f>
        <v/>
      </c>
      <c r="N184" s="143" t="str">
        <f>IF(J184="","",IF($F$4="C0",historico_VU!C132,IF($F$4="C1",historico_VU!D132,IF($F$4="C2",historico_VU!E132,IF($F$4="C3",historico_VU!F132,historico_VU!G132)))))</f>
        <v/>
      </c>
      <c r="O184" s="143" t="str">
        <f t="shared" si="13"/>
        <v/>
      </c>
      <c r="P184" s="143" t="str">
        <f t="shared" si="14"/>
        <v/>
      </c>
      <c r="Q184" s="144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39" t="str">
        <f>IF(historico_VU!A133="","",historico_VU!A133)</f>
        <v/>
      </c>
      <c r="B185" s="140" t="str">
        <f>IF(A185="","",historico_VU!B133)</f>
        <v/>
      </c>
      <c r="C185" s="141" t="str">
        <f>IF(A185="","",historico_VU!C133)</f>
        <v/>
      </c>
      <c r="D185" s="141" t="str">
        <f>IF(A185="","",historico_VU!D133)</f>
        <v/>
      </c>
      <c r="E185" s="141" t="str">
        <f>IF(A185="","",historico_VU!E133)</f>
        <v/>
      </c>
      <c r="F185" s="141" t="str">
        <f>IF(A185="","",historico_VU!F133)</f>
        <v/>
      </c>
      <c r="G185" s="141" t="str">
        <f>IF(A185="","",historico_VU!G133)</f>
        <v/>
      </c>
      <c r="H185" s="142" t="str">
        <f>IF(A185="","",historico_VU!H133)</f>
        <v/>
      </c>
      <c r="I185" s="57"/>
      <c r="J185" s="139" t="str">
        <f>IF(itens_Remanesc!A133="","",itens_Remanesc!A133)</f>
        <v/>
      </c>
      <c r="K185" s="140" t="str">
        <f>IF(J185="","",IF($F$4="C0",itens_Remanesc!B133,IF($F$4="C1",itens_Remanesc!E133,IF($F$4="C2",itens_Remanesc!G133,IF($F$4="C3",itens_Remanesc!I133,itens_Remanesc!K133)))))</f>
        <v/>
      </c>
      <c r="L185" s="140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43" t="str">
        <f>IF(J185="","",itens_Remanesc!C133)</f>
        <v/>
      </c>
      <c r="N185" s="143" t="str">
        <f>IF(J185="","",IF($F$4="C0",historico_VU!C133,IF($F$4="C1",historico_VU!D133,IF($F$4="C2",historico_VU!E133,IF($F$4="C3",historico_VU!F133,historico_VU!G133)))))</f>
        <v/>
      </c>
      <c r="O185" s="143" t="str">
        <f t="shared" si="13"/>
        <v/>
      </c>
      <c r="P185" s="143" t="str">
        <f t="shared" si="14"/>
        <v/>
      </c>
      <c r="Q185" s="144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39" t="str">
        <f>IF(historico_VU!A134="","",historico_VU!A134)</f>
        <v/>
      </c>
      <c r="B186" s="140" t="str">
        <f>IF(A186="","",historico_VU!B134)</f>
        <v/>
      </c>
      <c r="C186" s="141" t="str">
        <f>IF(A186="","",historico_VU!C134)</f>
        <v/>
      </c>
      <c r="D186" s="141" t="str">
        <f>IF(A186="","",historico_VU!D134)</f>
        <v/>
      </c>
      <c r="E186" s="141" t="str">
        <f>IF(A186="","",historico_VU!E134)</f>
        <v/>
      </c>
      <c r="F186" s="141" t="str">
        <f>IF(A186="","",historico_VU!F134)</f>
        <v/>
      </c>
      <c r="G186" s="141" t="str">
        <f>IF(A186="","",historico_VU!G134)</f>
        <v/>
      </c>
      <c r="H186" s="142" t="str">
        <f>IF(A186="","",historico_VU!H134)</f>
        <v/>
      </c>
      <c r="I186" s="57"/>
      <c r="J186" s="139" t="str">
        <f>IF(itens_Remanesc!A134="","",itens_Remanesc!A134)</f>
        <v/>
      </c>
      <c r="K186" s="140" t="str">
        <f>IF(J186="","",IF($F$4="C0",itens_Remanesc!B134,IF($F$4="C1",itens_Remanesc!E134,IF($F$4="C2",itens_Remanesc!G134,IF($F$4="C3",itens_Remanesc!I134,itens_Remanesc!K134)))))</f>
        <v/>
      </c>
      <c r="L186" s="140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43" t="str">
        <f>IF(J186="","",itens_Remanesc!C134)</f>
        <v/>
      </c>
      <c r="N186" s="143" t="str">
        <f>IF(J186="","",IF($F$4="C0",historico_VU!C134,IF($F$4="C1",historico_VU!D134,IF($F$4="C2",historico_VU!E134,IF($F$4="C3",historico_VU!F134,historico_VU!G134)))))</f>
        <v/>
      </c>
      <c r="O186" s="143" t="str">
        <f t="shared" si="13"/>
        <v/>
      </c>
      <c r="P186" s="143" t="str">
        <f t="shared" si="14"/>
        <v/>
      </c>
      <c r="Q186" s="144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39" t="str">
        <f>IF(historico_VU!A135="","",historico_VU!A135)</f>
        <v/>
      </c>
      <c r="B187" s="140" t="str">
        <f>IF(A187="","",historico_VU!B135)</f>
        <v/>
      </c>
      <c r="C187" s="141" t="str">
        <f>IF(A187="","",historico_VU!C135)</f>
        <v/>
      </c>
      <c r="D187" s="141" t="str">
        <f>IF(A187="","",historico_VU!D135)</f>
        <v/>
      </c>
      <c r="E187" s="141" t="str">
        <f>IF(A187="","",historico_VU!E135)</f>
        <v/>
      </c>
      <c r="F187" s="141" t="str">
        <f>IF(A187="","",historico_VU!F135)</f>
        <v/>
      </c>
      <c r="G187" s="141" t="str">
        <f>IF(A187="","",historico_VU!G135)</f>
        <v/>
      </c>
      <c r="H187" s="142" t="str">
        <f>IF(A187="","",historico_VU!H135)</f>
        <v/>
      </c>
      <c r="I187" s="57"/>
      <c r="J187" s="139" t="str">
        <f>IF(itens_Remanesc!A135="","",itens_Remanesc!A135)</f>
        <v/>
      </c>
      <c r="K187" s="140" t="str">
        <f>IF(J187="","",IF($F$4="C0",itens_Remanesc!B135,IF($F$4="C1",itens_Remanesc!E135,IF($F$4="C2",itens_Remanesc!G135,IF($F$4="C3",itens_Remanesc!I135,itens_Remanesc!K135)))))</f>
        <v/>
      </c>
      <c r="L187" s="140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43" t="str">
        <f>IF(J187="","",itens_Remanesc!C135)</f>
        <v/>
      </c>
      <c r="N187" s="143" t="str">
        <f>IF(J187="","",IF($F$4="C0",historico_VU!C135,IF($F$4="C1",historico_VU!D135,IF($F$4="C2",historico_VU!E135,IF($F$4="C3",historico_VU!F135,historico_VU!G135)))))</f>
        <v/>
      </c>
      <c r="O187" s="143" t="str">
        <f t="shared" si="13"/>
        <v/>
      </c>
      <c r="P187" s="143" t="str">
        <f t="shared" si="14"/>
        <v/>
      </c>
      <c r="Q187" s="144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39" t="str">
        <f>IF(historico_VU!A136="","",historico_VU!A136)</f>
        <v/>
      </c>
      <c r="B188" s="140" t="str">
        <f>IF(A188="","",historico_VU!B136)</f>
        <v/>
      </c>
      <c r="C188" s="141" t="str">
        <f>IF(A188="","",historico_VU!C136)</f>
        <v/>
      </c>
      <c r="D188" s="141" t="str">
        <f>IF(A188="","",historico_VU!D136)</f>
        <v/>
      </c>
      <c r="E188" s="141" t="str">
        <f>IF(A188="","",historico_VU!E136)</f>
        <v/>
      </c>
      <c r="F188" s="141" t="str">
        <f>IF(A188="","",historico_VU!F136)</f>
        <v/>
      </c>
      <c r="G188" s="141" t="str">
        <f>IF(A188="","",historico_VU!G136)</f>
        <v/>
      </c>
      <c r="H188" s="142" t="str">
        <f>IF(A188="","",historico_VU!H136)</f>
        <v/>
      </c>
      <c r="I188" s="57"/>
      <c r="J188" s="139" t="str">
        <f>IF(itens_Remanesc!A136="","",itens_Remanesc!A136)</f>
        <v/>
      </c>
      <c r="K188" s="140" t="str">
        <f>IF(J188="","",IF($F$4="C0",itens_Remanesc!B136,IF($F$4="C1",itens_Remanesc!E136,IF($F$4="C2",itens_Remanesc!G136,IF($F$4="C3",itens_Remanesc!I136,itens_Remanesc!K136)))))</f>
        <v/>
      </c>
      <c r="L188" s="140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43" t="str">
        <f>IF(J188="","",itens_Remanesc!C136)</f>
        <v/>
      </c>
      <c r="N188" s="143" t="str">
        <f>IF(J188="","",IF($F$4="C0",historico_VU!C136,IF($F$4="C1",historico_VU!D136,IF($F$4="C2",historico_VU!E136,IF($F$4="C3",historico_VU!F136,historico_VU!G136)))))</f>
        <v/>
      </c>
      <c r="O188" s="143" t="str">
        <f t="shared" si="13"/>
        <v/>
      </c>
      <c r="P188" s="143" t="str">
        <f t="shared" si="14"/>
        <v/>
      </c>
      <c r="Q188" s="144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39" t="str">
        <f>IF(historico_VU!A137="","",historico_VU!A137)</f>
        <v/>
      </c>
      <c r="B189" s="140" t="str">
        <f>IF(A189="","",historico_VU!B137)</f>
        <v/>
      </c>
      <c r="C189" s="141" t="str">
        <f>IF(A189="","",historico_VU!C137)</f>
        <v/>
      </c>
      <c r="D189" s="141" t="str">
        <f>IF(A189="","",historico_VU!D137)</f>
        <v/>
      </c>
      <c r="E189" s="141" t="str">
        <f>IF(A189="","",historico_VU!E137)</f>
        <v/>
      </c>
      <c r="F189" s="141" t="str">
        <f>IF(A189="","",historico_VU!F137)</f>
        <v/>
      </c>
      <c r="G189" s="141" t="str">
        <f>IF(A189="","",historico_VU!G137)</f>
        <v/>
      </c>
      <c r="H189" s="142" t="str">
        <f>IF(A189="","",historico_VU!H137)</f>
        <v/>
      </c>
      <c r="I189" s="57"/>
      <c r="J189" s="139" t="str">
        <f>IF(itens_Remanesc!A137="","",itens_Remanesc!A137)</f>
        <v/>
      </c>
      <c r="K189" s="140" t="str">
        <f>IF(J189="","",IF($F$4="C0",itens_Remanesc!B137,IF($F$4="C1",itens_Remanesc!E137,IF($F$4="C2",itens_Remanesc!G137,IF($F$4="C3",itens_Remanesc!I137,itens_Remanesc!K137)))))</f>
        <v/>
      </c>
      <c r="L189" s="140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43" t="str">
        <f>IF(J189="","",itens_Remanesc!C137)</f>
        <v/>
      </c>
      <c r="N189" s="143" t="str">
        <f>IF(J189="","",IF($F$4="C0",historico_VU!C137,IF($F$4="C1",historico_VU!D137,IF($F$4="C2",historico_VU!E137,IF($F$4="C3",historico_VU!F137,historico_VU!G137)))))</f>
        <v/>
      </c>
      <c r="O189" s="143" t="str">
        <f t="shared" si="13"/>
        <v/>
      </c>
      <c r="P189" s="143" t="str">
        <f t="shared" si="14"/>
        <v/>
      </c>
      <c r="Q189" s="144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39" t="str">
        <f>IF(historico_VU!A138="","",historico_VU!A138)</f>
        <v/>
      </c>
      <c r="B190" s="140" t="str">
        <f>IF(A190="","",historico_VU!B138)</f>
        <v/>
      </c>
      <c r="C190" s="141" t="str">
        <f>IF(A190="","",historico_VU!C138)</f>
        <v/>
      </c>
      <c r="D190" s="141" t="str">
        <f>IF(A190="","",historico_VU!D138)</f>
        <v/>
      </c>
      <c r="E190" s="141" t="str">
        <f>IF(A190="","",historico_VU!E138)</f>
        <v/>
      </c>
      <c r="F190" s="141" t="str">
        <f>IF(A190="","",historico_VU!F138)</f>
        <v/>
      </c>
      <c r="G190" s="141" t="str">
        <f>IF(A190="","",historico_VU!G138)</f>
        <v/>
      </c>
      <c r="H190" s="142" t="str">
        <f>IF(A190="","",historico_VU!H138)</f>
        <v/>
      </c>
      <c r="I190" s="57"/>
      <c r="J190" s="139" t="str">
        <f>IF(itens_Remanesc!A138="","",itens_Remanesc!A138)</f>
        <v/>
      </c>
      <c r="K190" s="140" t="str">
        <f>IF(J190="","",IF($F$4="C0",itens_Remanesc!B138,IF($F$4="C1",itens_Remanesc!E138,IF($F$4="C2",itens_Remanesc!G138,IF($F$4="C3",itens_Remanesc!I138,itens_Remanesc!K138)))))</f>
        <v/>
      </c>
      <c r="L190" s="140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43" t="str">
        <f>IF(J190="","",itens_Remanesc!C138)</f>
        <v/>
      </c>
      <c r="N190" s="143" t="str">
        <f>IF(J190="","",IF($F$4="C0",historico_VU!C138,IF($F$4="C1",historico_VU!D138,IF($F$4="C2",historico_VU!E138,IF($F$4="C3",historico_VU!F138,historico_VU!G138)))))</f>
        <v/>
      </c>
      <c r="O190" s="143" t="str">
        <f t="shared" si="13"/>
        <v/>
      </c>
      <c r="P190" s="143" t="str">
        <f t="shared" si="14"/>
        <v/>
      </c>
      <c r="Q190" s="144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39" t="str">
        <f>IF(historico_VU!A139="","",historico_VU!A139)</f>
        <v/>
      </c>
      <c r="B191" s="140" t="str">
        <f>IF(A191="","",historico_VU!B139)</f>
        <v/>
      </c>
      <c r="C191" s="141" t="str">
        <f>IF(A191="","",historico_VU!C139)</f>
        <v/>
      </c>
      <c r="D191" s="141" t="str">
        <f>IF(A191="","",historico_VU!D139)</f>
        <v/>
      </c>
      <c r="E191" s="141" t="str">
        <f>IF(A191="","",historico_VU!E139)</f>
        <v/>
      </c>
      <c r="F191" s="141" t="str">
        <f>IF(A191="","",historico_VU!F139)</f>
        <v/>
      </c>
      <c r="G191" s="141" t="str">
        <f>IF(A191="","",historico_VU!G139)</f>
        <v/>
      </c>
      <c r="H191" s="142" t="str">
        <f>IF(A191="","",historico_VU!H139)</f>
        <v/>
      </c>
      <c r="I191" s="57"/>
      <c r="J191" s="139" t="str">
        <f>IF(itens_Remanesc!A139="","",itens_Remanesc!A139)</f>
        <v/>
      </c>
      <c r="K191" s="140" t="str">
        <f>IF(J191="","",IF($F$4="C0",itens_Remanesc!B139,IF($F$4="C1",itens_Remanesc!E139,IF($F$4="C2",itens_Remanesc!G139,IF($F$4="C3",itens_Remanesc!I139,itens_Remanesc!K139)))))</f>
        <v/>
      </c>
      <c r="L191" s="140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43" t="str">
        <f>IF(J191="","",itens_Remanesc!C139)</f>
        <v/>
      </c>
      <c r="N191" s="143" t="str">
        <f>IF(J191="","",IF($F$4="C0",historico_VU!C139,IF($F$4="C1",historico_VU!D139,IF($F$4="C2",historico_VU!E139,IF($F$4="C3",historico_VU!F139,historico_VU!G139)))))</f>
        <v/>
      </c>
      <c r="O191" s="143" t="str">
        <f t="shared" si="13"/>
        <v/>
      </c>
      <c r="P191" s="143" t="str">
        <f t="shared" si="14"/>
        <v/>
      </c>
      <c r="Q191" s="144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39" t="str">
        <f>IF(historico_VU!A140="","",historico_VU!A140)</f>
        <v/>
      </c>
      <c r="B192" s="140" t="str">
        <f>IF(A192="","",historico_VU!B140)</f>
        <v/>
      </c>
      <c r="C192" s="141" t="str">
        <f>IF(A192="","",historico_VU!C140)</f>
        <v/>
      </c>
      <c r="D192" s="141" t="str">
        <f>IF(A192="","",historico_VU!D140)</f>
        <v/>
      </c>
      <c r="E192" s="141" t="str">
        <f>IF(A192="","",historico_VU!E140)</f>
        <v/>
      </c>
      <c r="F192" s="141" t="str">
        <f>IF(A192="","",historico_VU!F140)</f>
        <v/>
      </c>
      <c r="G192" s="141" t="str">
        <f>IF(A192="","",historico_VU!G140)</f>
        <v/>
      </c>
      <c r="H192" s="142" t="str">
        <f>IF(A192="","",historico_VU!H140)</f>
        <v/>
      </c>
      <c r="I192" s="57"/>
      <c r="J192" s="139" t="str">
        <f>IF(itens_Remanesc!A140="","",itens_Remanesc!A140)</f>
        <v/>
      </c>
      <c r="K192" s="140" t="str">
        <f>IF(J192="","",IF($F$4="C0",itens_Remanesc!B140,IF($F$4="C1",itens_Remanesc!E140,IF($F$4="C2",itens_Remanesc!G140,IF($F$4="C3",itens_Remanesc!I140,itens_Remanesc!K140)))))</f>
        <v/>
      </c>
      <c r="L192" s="140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43" t="str">
        <f>IF(J192="","",itens_Remanesc!C140)</f>
        <v/>
      </c>
      <c r="N192" s="143" t="str">
        <f>IF(J192="","",IF($F$4="C0",historico_VU!C140,IF($F$4="C1",historico_VU!D140,IF($F$4="C2",historico_VU!E140,IF($F$4="C3",historico_VU!F140,historico_VU!G140)))))</f>
        <v/>
      </c>
      <c r="O192" s="143" t="str">
        <f t="shared" si="13"/>
        <v/>
      </c>
      <c r="P192" s="143" t="str">
        <f t="shared" si="14"/>
        <v/>
      </c>
      <c r="Q192" s="144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39" t="str">
        <f>IF(historico_VU!A141="","",historico_VU!A141)</f>
        <v/>
      </c>
      <c r="B193" s="140" t="str">
        <f>IF(A193="","",historico_VU!B141)</f>
        <v/>
      </c>
      <c r="C193" s="141" t="str">
        <f>IF(A193="","",historico_VU!C141)</f>
        <v/>
      </c>
      <c r="D193" s="141" t="str">
        <f>IF(A193="","",historico_VU!D141)</f>
        <v/>
      </c>
      <c r="E193" s="141" t="str">
        <f>IF(A193="","",historico_VU!E141)</f>
        <v/>
      </c>
      <c r="F193" s="141" t="str">
        <f>IF(A193="","",historico_VU!F141)</f>
        <v/>
      </c>
      <c r="G193" s="141" t="str">
        <f>IF(A193="","",historico_VU!G141)</f>
        <v/>
      </c>
      <c r="H193" s="142" t="str">
        <f>IF(A193="","",historico_VU!H141)</f>
        <v/>
      </c>
      <c r="I193" s="57"/>
      <c r="J193" s="139" t="str">
        <f>IF(itens_Remanesc!A141="","",itens_Remanesc!A141)</f>
        <v/>
      </c>
      <c r="K193" s="140" t="str">
        <f>IF(J193="","",IF($F$4="C0",itens_Remanesc!B141,IF($F$4="C1",itens_Remanesc!E141,IF($F$4="C2",itens_Remanesc!G141,IF($F$4="C3",itens_Remanesc!I141,itens_Remanesc!K141)))))</f>
        <v/>
      </c>
      <c r="L193" s="140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43" t="str">
        <f>IF(J193="","",itens_Remanesc!C141)</f>
        <v/>
      </c>
      <c r="N193" s="143" t="str">
        <f>IF(J193="","",IF($F$4="C0",historico_VU!C141,IF($F$4="C1",historico_VU!D141,IF($F$4="C2",historico_VU!E141,IF($F$4="C3",historico_VU!F141,historico_VU!G141)))))</f>
        <v/>
      </c>
      <c r="O193" s="143" t="str">
        <f t="shared" si="13"/>
        <v/>
      </c>
      <c r="P193" s="143" t="str">
        <f t="shared" si="14"/>
        <v/>
      </c>
      <c r="Q193" s="144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39" t="str">
        <f>IF(historico_VU!A142="","",historico_VU!A142)</f>
        <v/>
      </c>
      <c r="B194" s="140" t="str">
        <f>IF(A194="","",historico_VU!B142)</f>
        <v/>
      </c>
      <c r="C194" s="141" t="str">
        <f>IF(A194="","",historico_VU!C142)</f>
        <v/>
      </c>
      <c r="D194" s="141" t="str">
        <f>IF(A194="","",historico_VU!D142)</f>
        <v/>
      </c>
      <c r="E194" s="141" t="str">
        <f>IF(A194="","",historico_VU!E142)</f>
        <v/>
      </c>
      <c r="F194" s="141" t="str">
        <f>IF(A194="","",historico_VU!F142)</f>
        <v/>
      </c>
      <c r="G194" s="141" t="str">
        <f>IF(A194="","",historico_VU!G142)</f>
        <v/>
      </c>
      <c r="H194" s="142" t="str">
        <f>IF(A194="","",historico_VU!H142)</f>
        <v/>
      </c>
      <c r="I194" s="57"/>
      <c r="J194" s="139" t="str">
        <f>IF(itens_Remanesc!A142="","",itens_Remanesc!A142)</f>
        <v/>
      </c>
      <c r="K194" s="140" t="str">
        <f>IF(J194="","",IF($F$4="C0",itens_Remanesc!B142,IF($F$4="C1",itens_Remanesc!E142,IF($F$4="C2",itens_Remanesc!G142,IF($F$4="C3",itens_Remanesc!I142,itens_Remanesc!K142)))))</f>
        <v/>
      </c>
      <c r="L194" s="140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43" t="str">
        <f>IF(J194="","",itens_Remanesc!C142)</f>
        <v/>
      </c>
      <c r="N194" s="143" t="str">
        <f>IF(J194="","",IF($F$4="C0",historico_VU!C142,IF($F$4="C1",historico_VU!D142,IF($F$4="C2",historico_VU!E142,IF($F$4="C3",historico_VU!F142,historico_VU!G142)))))</f>
        <v/>
      </c>
      <c r="O194" s="143" t="str">
        <f t="shared" si="13"/>
        <v/>
      </c>
      <c r="P194" s="143" t="str">
        <f t="shared" si="14"/>
        <v/>
      </c>
      <c r="Q194" s="144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39" t="str">
        <f>IF(historico_VU!A143="","",historico_VU!A143)</f>
        <v/>
      </c>
      <c r="B195" s="140" t="str">
        <f>IF(A195="","",historico_VU!B143)</f>
        <v/>
      </c>
      <c r="C195" s="141" t="str">
        <f>IF(A195="","",historico_VU!C143)</f>
        <v/>
      </c>
      <c r="D195" s="141" t="str">
        <f>IF(A195="","",historico_VU!D143)</f>
        <v/>
      </c>
      <c r="E195" s="141" t="str">
        <f>IF(A195="","",historico_VU!E143)</f>
        <v/>
      </c>
      <c r="F195" s="141" t="str">
        <f>IF(A195="","",historico_VU!F143)</f>
        <v/>
      </c>
      <c r="G195" s="141" t="str">
        <f>IF(A195="","",historico_VU!G143)</f>
        <v/>
      </c>
      <c r="H195" s="142" t="str">
        <f>IF(A195="","",historico_VU!H143)</f>
        <v/>
      </c>
      <c r="I195" s="57"/>
      <c r="J195" s="139" t="str">
        <f>IF(itens_Remanesc!A143="","",itens_Remanesc!A143)</f>
        <v/>
      </c>
      <c r="K195" s="140" t="str">
        <f>IF(J195="","",IF($F$4="C0",itens_Remanesc!B143,IF($F$4="C1",itens_Remanesc!E143,IF($F$4="C2",itens_Remanesc!G143,IF($F$4="C3",itens_Remanesc!I143,itens_Remanesc!K143)))))</f>
        <v/>
      </c>
      <c r="L195" s="140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43" t="str">
        <f>IF(J195="","",itens_Remanesc!C143)</f>
        <v/>
      </c>
      <c r="N195" s="143" t="str">
        <f>IF(J195="","",IF($F$4="C0",historico_VU!C143,IF($F$4="C1",historico_VU!D143,IF($F$4="C2",historico_VU!E143,IF($F$4="C3",historico_VU!F143,historico_VU!G143)))))</f>
        <v/>
      </c>
      <c r="O195" s="143" t="str">
        <f t="shared" si="13"/>
        <v/>
      </c>
      <c r="P195" s="143" t="str">
        <f t="shared" si="14"/>
        <v/>
      </c>
      <c r="Q195" s="144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39" t="str">
        <f>IF(historico_VU!A144="","",historico_VU!A144)</f>
        <v/>
      </c>
      <c r="B196" s="140" t="str">
        <f>IF(A196="","",historico_VU!B144)</f>
        <v/>
      </c>
      <c r="C196" s="141" t="str">
        <f>IF(A196="","",historico_VU!C144)</f>
        <v/>
      </c>
      <c r="D196" s="141" t="str">
        <f>IF(A196="","",historico_VU!D144)</f>
        <v/>
      </c>
      <c r="E196" s="141" t="str">
        <f>IF(A196="","",historico_VU!E144)</f>
        <v/>
      </c>
      <c r="F196" s="141" t="str">
        <f>IF(A196="","",historico_VU!F144)</f>
        <v/>
      </c>
      <c r="G196" s="141" t="str">
        <f>IF(A196="","",historico_VU!G144)</f>
        <v/>
      </c>
      <c r="H196" s="142" t="str">
        <f>IF(A196="","",historico_VU!H144)</f>
        <v/>
      </c>
      <c r="I196" s="57"/>
      <c r="J196" s="139" t="str">
        <f>IF(itens_Remanesc!A144="","",itens_Remanesc!A144)</f>
        <v/>
      </c>
      <c r="K196" s="140" t="str">
        <f>IF(J196="","",IF($F$4="C0",itens_Remanesc!B144,IF($F$4="C1",itens_Remanesc!E144,IF($F$4="C2",itens_Remanesc!G144,IF($F$4="C3",itens_Remanesc!I144,itens_Remanesc!K144)))))</f>
        <v/>
      </c>
      <c r="L196" s="140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43" t="str">
        <f>IF(J196="","",itens_Remanesc!C144)</f>
        <v/>
      </c>
      <c r="N196" s="143" t="str">
        <f>IF(J196="","",IF($F$4="C0",historico_VU!C144,IF($F$4="C1",historico_VU!D144,IF($F$4="C2",historico_VU!E144,IF($F$4="C3",historico_VU!F144,historico_VU!G144)))))</f>
        <v/>
      </c>
      <c r="O196" s="143" t="str">
        <f t="shared" si="13"/>
        <v/>
      </c>
      <c r="P196" s="143" t="str">
        <f t="shared" si="14"/>
        <v/>
      </c>
      <c r="Q196" s="144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39" t="str">
        <f>IF(historico_VU!A145="","",historico_VU!A145)</f>
        <v/>
      </c>
      <c r="B197" s="140" t="str">
        <f>IF(A197="","",historico_VU!B145)</f>
        <v/>
      </c>
      <c r="C197" s="141" t="str">
        <f>IF(A197="","",historico_VU!C145)</f>
        <v/>
      </c>
      <c r="D197" s="141" t="str">
        <f>IF(A197="","",historico_VU!D145)</f>
        <v/>
      </c>
      <c r="E197" s="141" t="str">
        <f>IF(A197="","",historico_VU!E145)</f>
        <v/>
      </c>
      <c r="F197" s="141" t="str">
        <f>IF(A197="","",historico_VU!F145)</f>
        <v/>
      </c>
      <c r="G197" s="141" t="str">
        <f>IF(A197="","",historico_VU!G145)</f>
        <v/>
      </c>
      <c r="H197" s="142" t="str">
        <f>IF(A197="","",historico_VU!H145)</f>
        <v/>
      </c>
      <c r="I197" s="57"/>
      <c r="J197" s="139" t="str">
        <f>IF(itens_Remanesc!A145="","",itens_Remanesc!A145)</f>
        <v/>
      </c>
      <c r="K197" s="140" t="str">
        <f>IF(J197="","",IF($F$4="C0",itens_Remanesc!B145,IF($F$4="C1",itens_Remanesc!E145,IF($F$4="C2",itens_Remanesc!G145,IF($F$4="C3",itens_Remanesc!I145,itens_Remanesc!K145)))))</f>
        <v/>
      </c>
      <c r="L197" s="140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43" t="str">
        <f>IF(J197="","",itens_Remanesc!C145)</f>
        <v/>
      </c>
      <c r="N197" s="143" t="str">
        <f>IF(J197="","",IF($F$4="C0",historico_VU!C145,IF($F$4="C1",historico_VU!D145,IF($F$4="C2",historico_VU!E145,IF($F$4="C3",historico_VU!F145,historico_VU!G145)))))</f>
        <v/>
      </c>
      <c r="O197" s="143" t="str">
        <f t="shared" si="13"/>
        <v/>
      </c>
      <c r="P197" s="143" t="str">
        <f t="shared" si="14"/>
        <v/>
      </c>
      <c r="Q197" s="144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39" t="str">
        <f>IF(historico_VU!A146="","",historico_VU!A146)</f>
        <v/>
      </c>
      <c r="B198" s="140" t="str">
        <f>IF(A198="","",historico_VU!B146)</f>
        <v/>
      </c>
      <c r="C198" s="141" t="str">
        <f>IF(A198="","",historico_VU!C146)</f>
        <v/>
      </c>
      <c r="D198" s="141" t="str">
        <f>IF(A198="","",historico_VU!D146)</f>
        <v/>
      </c>
      <c r="E198" s="141" t="str">
        <f>IF(A198="","",historico_VU!E146)</f>
        <v/>
      </c>
      <c r="F198" s="141" t="str">
        <f>IF(A198="","",historico_VU!F146)</f>
        <v/>
      </c>
      <c r="G198" s="141" t="str">
        <f>IF(A198="","",historico_VU!G146)</f>
        <v/>
      </c>
      <c r="H198" s="142" t="str">
        <f>IF(A198="","",historico_VU!H146)</f>
        <v/>
      </c>
      <c r="I198" s="57"/>
      <c r="J198" s="139" t="str">
        <f>IF(itens_Remanesc!A146="","",itens_Remanesc!A146)</f>
        <v/>
      </c>
      <c r="K198" s="140" t="str">
        <f>IF(J198="","",IF($F$4="C0",itens_Remanesc!B146,IF($F$4="C1",itens_Remanesc!E146,IF($F$4="C2",itens_Remanesc!G146,IF($F$4="C3",itens_Remanesc!I146,itens_Remanesc!K146)))))</f>
        <v/>
      </c>
      <c r="L198" s="140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43" t="str">
        <f>IF(J198="","",itens_Remanesc!C146)</f>
        <v/>
      </c>
      <c r="N198" s="143" t="str">
        <f>IF(J198="","",IF($F$4="C0",historico_VU!C146,IF($F$4="C1",historico_VU!D146,IF($F$4="C2",historico_VU!E146,IF($F$4="C3",historico_VU!F146,historico_VU!G146)))))</f>
        <v/>
      </c>
      <c r="O198" s="143" t="str">
        <f t="shared" si="13"/>
        <v/>
      </c>
      <c r="P198" s="143" t="str">
        <f t="shared" si="14"/>
        <v/>
      </c>
      <c r="Q198" s="144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39" t="str">
        <f>IF(historico_VU!A147="","",historico_VU!A147)</f>
        <v/>
      </c>
      <c r="B199" s="140" t="str">
        <f>IF(A199="","",historico_VU!B147)</f>
        <v/>
      </c>
      <c r="C199" s="141" t="str">
        <f>IF(A199="","",historico_VU!C147)</f>
        <v/>
      </c>
      <c r="D199" s="141" t="str">
        <f>IF(A199="","",historico_VU!D147)</f>
        <v/>
      </c>
      <c r="E199" s="141" t="str">
        <f>IF(A199="","",historico_VU!E147)</f>
        <v/>
      </c>
      <c r="F199" s="141" t="str">
        <f>IF(A199="","",historico_VU!F147)</f>
        <v/>
      </c>
      <c r="G199" s="141" t="str">
        <f>IF(A199="","",historico_VU!G147)</f>
        <v/>
      </c>
      <c r="H199" s="142" t="str">
        <f>IF(A199="","",historico_VU!H147)</f>
        <v/>
      </c>
      <c r="I199" s="57"/>
      <c r="J199" s="139" t="str">
        <f>IF(itens_Remanesc!A147="","",itens_Remanesc!A147)</f>
        <v/>
      </c>
      <c r="K199" s="140" t="str">
        <f>IF(J199="","",IF($F$4="C0",itens_Remanesc!B147,IF($F$4="C1",itens_Remanesc!E147,IF($F$4="C2",itens_Remanesc!G147,IF($F$4="C3",itens_Remanesc!I147,itens_Remanesc!K147)))))</f>
        <v/>
      </c>
      <c r="L199" s="140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43" t="str">
        <f>IF(J199="","",itens_Remanesc!C147)</f>
        <v/>
      </c>
      <c r="N199" s="143" t="str">
        <f>IF(J199="","",IF($F$4="C0",historico_VU!C147,IF($F$4="C1",historico_VU!D147,IF($F$4="C2",historico_VU!E147,IF($F$4="C3",historico_VU!F147,historico_VU!G147)))))</f>
        <v/>
      </c>
      <c r="O199" s="143" t="str">
        <f t="shared" si="13"/>
        <v/>
      </c>
      <c r="P199" s="143" t="str">
        <f t="shared" si="14"/>
        <v/>
      </c>
      <c r="Q199" s="144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39" t="str">
        <f>IF(historico_VU!A148="","",historico_VU!A148)</f>
        <v/>
      </c>
      <c r="B200" s="140" t="str">
        <f>IF(A200="","",historico_VU!B148)</f>
        <v/>
      </c>
      <c r="C200" s="141" t="str">
        <f>IF(A200="","",historico_VU!C148)</f>
        <v/>
      </c>
      <c r="D200" s="141" t="str">
        <f>IF(A200="","",historico_VU!D148)</f>
        <v/>
      </c>
      <c r="E200" s="141" t="str">
        <f>IF(A200="","",historico_VU!E148)</f>
        <v/>
      </c>
      <c r="F200" s="141" t="str">
        <f>IF(A200="","",historico_VU!F148)</f>
        <v/>
      </c>
      <c r="G200" s="141" t="str">
        <f>IF(A200="","",historico_VU!G148)</f>
        <v/>
      </c>
      <c r="H200" s="142" t="str">
        <f>IF(A200="","",historico_VU!H148)</f>
        <v/>
      </c>
      <c r="I200" s="57"/>
      <c r="J200" s="139" t="str">
        <f>IF(itens_Remanesc!A148="","",itens_Remanesc!A148)</f>
        <v/>
      </c>
      <c r="K200" s="140" t="str">
        <f>IF(J200="","",IF($F$4="C0",itens_Remanesc!B148,IF($F$4="C1",itens_Remanesc!E148,IF($F$4="C2",itens_Remanesc!G148,IF($F$4="C3",itens_Remanesc!I148,itens_Remanesc!K148)))))</f>
        <v/>
      </c>
      <c r="L200" s="140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43" t="str">
        <f>IF(J200="","",itens_Remanesc!C148)</f>
        <v/>
      </c>
      <c r="N200" s="143" t="str">
        <f>IF(J200="","",IF($F$4="C0",historico_VU!C148,IF($F$4="C1",historico_VU!D148,IF($F$4="C2",historico_VU!E148,IF($F$4="C3",historico_VU!F148,historico_VU!G148)))))</f>
        <v/>
      </c>
      <c r="O200" s="143" t="str">
        <f t="shared" si="13"/>
        <v/>
      </c>
      <c r="P200" s="143" t="str">
        <f t="shared" si="14"/>
        <v/>
      </c>
      <c r="Q200" s="144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39" t="str">
        <f>IF(historico_VU!A149="","",historico_VU!A149)</f>
        <v/>
      </c>
      <c r="B201" s="140" t="str">
        <f>IF(A201="","",historico_VU!B149)</f>
        <v/>
      </c>
      <c r="C201" s="141" t="str">
        <f>IF(A201="","",historico_VU!C149)</f>
        <v/>
      </c>
      <c r="D201" s="141" t="str">
        <f>IF(A201="","",historico_VU!D149)</f>
        <v/>
      </c>
      <c r="E201" s="141" t="str">
        <f>IF(A201="","",historico_VU!E149)</f>
        <v/>
      </c>
      <c r="F201" s="141" t="str">
        <f>IF(A201="","",historico_VU!F149)</f>
        <v/>
      </c>
      <c r="G201" s="141" t="str">
        <f>IF(A201="","",historico_VU!G149)</f>
        <v/>
      </c>
      <c r="H201" s="142" t="str">
        <f>IF(A201="","",historico_VU!H149)</f>
        <v/>
      </c>
      <c r="I201" s="57"/>
      <c r="J201" s="139" t="str">
        <f>IF(itens_Remanesc!A149="","",itens_Remanesc!A149)</f>
        <v/>
      </c>
      <c r="K201" s="140" t="str">
        <f>IF(J201="","",IF($F$4="C0",itens_Remanesc!B149,IF($F$4="C1",itens_Remanesc!E149,IF($F$4="C2",itens_Remanesc!G149,IF($F$4="C3",itens_Remanesc!I149,itens_Remanesc!K149)))))</f>
        <v/>
      </c>
      <c r="L201" s="140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43" t="str">
        <f>IF(J201="","",itens_Remanesc!C149)</f>
        <v/>
      </c>
      <c r="N201" s="143" t="str">
        <f>IF(J201="","",IF($F$4="C0",historico_VU!C149,IF($F$4="C1",historico_VU!D149,IF($F$4="C2",historico_VU!E149,IF($F$4="C3",historico_VU!F149,historico_VU!G149)))))</f>
        <v/>
      </c>
      <c r="O201" s="143" t="str">
        <f t="shared" si="13"/>
        <v/>
      </c>
      <c r="P201" s="143" t="str">
        <f t="shared" si="14"/>
        <v/>
      </c>
      <c r="Q201" s="144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39" t="str">
        <f>IF(historico_VU!A150="","",historico_VU!A150)</f>
        <v/>
      </c>
      <c r="B202" s="140" t="str">
        <f>IF(A202="","",historico_VU!B150)</f>
        <v/>
      </c>
      <c r="C202" s="141" t="str">
        <f>IF(A202="","",historico_VU!C150)</f>
        <v/>
      </c>
      <c r="D202" s="141" t="str">
        <f>IF(A202="","",historico_VU!D150)</f>
        <v/>
      </c>
      <c r="E202" s="141" t="str">
        <f>IF(A202="","",historico_VU!E150)</f>
        <v/>
      </c>
      <c r="F202" s="141" t="str">
        <f>IF(A202="","",historico_VU!F150)</f>
        <v/>
      </c>
      <c r="G202" s="141" t="str">
        <f>IF(A202="","",historico_VU!G150)</f>
        <v/>
      </c>
      <c r="H202" s="142" t="str">
        <f>IF(A202="","",historico_VU!H150)</f>
        <v/>
      </c>
      <c r="I202" s="57"/>
      <c r="J202" s="139" t="str">
        <f>IF(itens_Remanesc!A150="","",itens_Remanesc!A150)</f>
        <v/>
      </c>
      <c r="K202" s="140" t="str">
        <f>IF(J202="","",IF($F$4="C0",itens_Remanesc!B150,IF($F$4="C1",itens_Remanesc!E150,IF($F$4="C2",itens_Remanesc!G150,IF($F$4="C3",itens_Remanesc!I150,itens_Remanesc!K150)))))</f>
        <v/>
      </c>
      <c r="L202" s="140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43" t="str">
        <f>IF(J202="","",itens_Remanesc!C150)</f>
        <v/>
      </c>
      <c r="N202" s="143" t="str">
        <f>IF(J202="","",IF($F$4="C0",historico_VU!C150,IF($F$4="C1",historico_VU!D150,IF($F$4="C2",historico_VU!E150,IF($F$4="C3",historico_VU!F150,historico_VU!G150)))))</f>
        <v/>
      </c>
      <c r="O202" s="143" t="str">
        <f t="shared" si="13"/>
        <v/>
      </c>
      <c r="P202" s="143" t="str">
        <f t="shared" si="14"/>
        <v/>
      </c>
      <c r="Q202" s="144" t="str">
        <f t="shared" si="15"/>
        <v/>
      </c>
    </row>
    <row r="203" spans="1:30" hidden="1" outlineLevel="1" x14ac:dyDescent="0.35">
      <c r="A203" s="139" t="str">
        <f>IF(historico_VU!A151="","",historico_VU!A151)</f>
        <v/>
      </c>
      <c r="B203" s="140" t="str">
        <f>IF(A203="","",historico_VU!B151)</f>
        <v/>
      </c>
      <c r="C203" s="141" t="str">
        <f>IF(A203="","",historico_VU!C151)</f>
        <v/>
      </c>
      <c r="D203" s="141" t="str">
        <f>IF(A203="","",historico_VU!D151)</f>
        <v/>
      </c>
      <c r="E203" s="141" t="str">
        <f>IF(A203="","",historico_VU!E151)</f>
        <v/>
      </c>
      <c r="F203" s="141" t="str">
        <f>IF(A203="","",historico_VU!F151)</f>
        <v/>
      </c>
      <c r="G203" s="141" t="str">
        <f>IF(A203="","",historico_VU!G151)</f>
        <v/>
      </c>
      <c r="H203" s="142" t="str">
        <f>IF(A203="","",historico_VU!H151)</f>
        <v/>
      </c>
      <c r="I203" s="57"/>
      <c r="J203" s="139" t="str">
        <f>IF(itens_Remanesc!A151="","",itens_Remanesc!A151)</f>
        <v/>
      </c>
      <c r="K203" s="140" t="str">
        <f>IF(J203="","",IF($F$4="C0",itens_Remanesc!B151,IF($F$4="C1",itens_Remanesc!E151,IF($F$4="C2",itens_Remanesc!G151,IF($F$4="C3",itens_Remanesc!I151,itens_Remanesc!K151)))))</f>
        <v/>
      </c>
      <c r="L203" s="140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43" t="str">
        <f>IF(J203="","",itens_Remanesc!C151)</f>
        <v/>
      </c>
      <c r="N203" s="143" t="str">
        <f>IF(J203="","",IF($F$4="C0",historico_VU!C151,IF($F$4="C1",historico_VU!D151,IF($F$4="C2",historico_VU!E151,IF($F$4="C3",historico_VU!F151,historico_VU!G151)))))</f>
        <v/>
      </c>
      <c r="O203" s="143" t="str">
        <f t="shared" si="13"/>
        <v/>
      </c>
      <c r="P203" s="143" t="str">
        <f t="shared" si="14"/>
        <v/>
      </c>
      <c r="Q203" s="144" t="str">
        <f t="shared" si="15"/>
        <v/>
      </c>
    </row>
    <row r="204" spans="1:30" hidden="1" outlineLevel="1" x14ac:dyDescent="0.35">
      <c r="A204" s="139" t="str">
        <f>IF(historico_VU!A152="","",historico_VU!A152)</f>
        <v/>
      </c>
      <c r="B204" s="140" t="str">
        <f>IF(A204="","",historico_VU!B152)</f>
        <v/>
      </c>
      <c r="C204" s="141" t="str">
        <f>IF(A204="","",historico_VU!C152)</f>
        <v/>
      </c>
      <c r="D204" s="141" t="str">
        <f>IF(A204="","",historico_VU!D152)</f>
        <v/>
      </c>
      <c r="E204" s="141" t="str">
        <f>IF(A204="","",historico_VU!E152)</f>
        <v/>
      </c>
      <c r="F204" s="141" t="str">
        <f>IF(A204="","",historico_VU!F152)</f>
        <v/>
      </c>
      <c r="G204" s="141" t="str">
        <f>IF(A204="","",historico_VU!G152)</f>
        <v/>
      </c>
      <c r="H204" s="142" t="str">
        <f>IF(A204="","",historico_VU!H152)</f>
        <v/>
      </c>
      <c r="I204" s="57"/>
      <c r="J204" s="139" t="str">
        <f>IF(itens_Remanesc!A152="","",itens_Remanesc!A152)</f>
        <v/>
      </c>
      <c r="K204" s="140" t="str">
        <f>IF(J204="","",IF($F$4="C0",itens_Remanesc!B152,IF($F$4="C1",itens_Remanesc!E152,IF($F$4="C2",itens_Remanesc!G152,IF($F$4="C3",itens_Remanesc!I152,itens_Remanesc!K152)))))</f>
        <v/>
      </c>
      <c r="L204" s="140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43" t="str">
        <f>IF(J204="","",itens_Remanesc!C152)</f>
        <v/>
      </c>
      <c r="N204" s="143" t="str">
        <f>IF(J204="","",IF($F$4="C0",historico_VU!C152,IF($F$4="C1",historico_VU!D152,IF($F$4="C2",historico_VU!E152,IF($F$4="C3",historico_VU!F152,historico_VU!G152)))))</f>
        <v/>
      </c>
      <c r="O204" s="143" t="str">
        <f t="shared" si="13"/>
        <v/>
      </c>
      <c r="P204" s="143" t="str">
        <f t="shared" si="14"/>
        <v/>
      </c>
      <c r="Q204" s="144" t="str">
        <f t="shared" si="15"/>
        <v/>
      </c>
    </row>
    <row r="205" spans="1:30" hidden="1" outlineLevel="1" x14ac:dyDescent="0.35">
      <c r="A205" s="139" t="str">
        <f>IF(historico_VU!A153="","",historico_VU!A153)</f>
        <v/>
      </c>
      <c r="B205" s="140" t="str">
        <f>IF(A205="","",historico_VU!B153)</f>
        <v/>
      </c>
      <c r="C205" s="141" t="str">
        <f>IF(A205="","",historico_VU!C153)</f>
        <v/>
      </c>
      <c r="D205" s="141" t="str">
        <f>IF(A205="","",historico_VU!D153)</f>
        <v/>
      </c>
      <c r="E205" s="141" t="str">
        <f>IF(A205="","",historico_VU!E153)</f>
        <v/>
      </c>
      <c r="F205" s="141" t="str">
        <f>IF(A205="","",historico_VU!F153)</f>
        <v/>
      </c>
      <c r="G205" s="141" t="str">
        <f>IF(A205="","",historico_VU!G153)</f>
        <v/>
      </c>
      <c r="H205" s="142" t="str">
        <f>IF(A205="","",historico_VU!H153)</f>
        <v/>
      </c>
      <c r="I205" s="57"/>
      <c r="J205" s="139" t="str">
        <f>IF(itens_Remanesc!A153="","",itens_Remanesc!A153)</f>
        <v/>
      </c>
      <c r="K205" s="140" t="str">
        <f>IF(J205="","",IF($F$4="C0",itens_Remanesc!B153,IF($F$4="C1",itens_Remanesc!E153,IF($F$4="C2",itens_Remanesc!G153,IF($F$4="C3",itens_Remanesc!I153,itens_Remanesc!K153)))))</f>
        <v/>
      </c>
      <c r="L205" s="140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43" t="str">
        <f>IF(J205="","",itens_Remanesc!C153)</f>
        <v/>
      </c>
      <c r="N205" s="143" t="str">
        <f>IF(J205="","",IF($F$4="C0",historico_VU!C153,IF($F$4="C1",historico_VU!D153,IF($F$4="C2",historico_VU!E153,IF($F$4="C3",historico_VU!F153,historico_VU!G153)))))</f>
        <v/>
      </c>
      <c r="O205" s="143" t="str">
        <f t="shared" si="13"/>
        <v/>
      </c>
      <c r="P205" s="143" t="str">
        <f t="shared" si="14"/>
        <v/>
      </c>
      <c r="Q205" s="144" t="str">
        <f t="shared" si="15"/>
        <v/>
      </c>
    </row>
    <row r="206" spans="1:30" hidden="1" outlineLevel="1" x14ac:dyDescent="0.35">
      <c r="A206" s="139" t="str">
        <f>IF(historico_VU!A154="","",historico_VU!A154)</f>
        <v/>
      </c>
      <c r="B206" s="140" t="str">
        <f>IF(A206="","",historico_VU!B154)</f>
        <v/>
      </c>
      <c r="C206" s="141" t="str">
        <f>IF(A206="","",historico_VU!C154)</f>
        <v/>
      </c>
      <c r="D206" s="141" t="str">
        <f>IF(A206="","",historico_VU!D154)</f>
        <v/>
      </c>
      <c r="E206" s="141" t="str">
        <f>IF(A206="","",historico_VU!E154)</f>
        <v/>
      </c>
      <c r="F206" s="141" t="str">
        <f>IF(A206="","",historico_VU!F154)</f>
        <v/>
      </c>
      <c r="G206" s="141" t="str">
        <f>IF(A206="","",historico_VU!G154)</f>
        <v/>
      </c>
      <c r="H206" s="142" t="str">
        <f>IF(A206="","",historico_VU!H154)</f>
        <v/>
      </c>
      <c r="I206" s="57"/>
      <c r="J206" s="139" t="str">
        <f>IF(itens_Remanesc!A154="","",itens_Remanesc!A154)</f>
        <v/>
      </c>
      <c r="K206" s="140" t="str">
        <f>IF(J206="","",IF($F$4="C0",itens_Remanesc!B154,IF($F$4="C1",itens_Remanesc!E154,IF($F$4="C2",itens_Remanesc!G154,IF($F$4="C3",itens_Remanesc!I154,itens_Remanesc!K154)))))</f>
        <v/>
      </c>
      <c r="L206" s="140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43" t="str">
        <f>IF(J206="","",itens_Remanesc!C154)</f>
        <v/>
      </c>
      <c r="N206" s="143" t="str">
        <f>IF(J206="","",IF($F$4="C0",historico_VU!C154,IF($F$4="C1",historico_VU!D154,IF($F$4="C2",historico_VU!E154,IF($F$4="C3",historico_VU!F154,historico_VU!G154)))))</f>
        <v/>
      </c>
      <c r="O206" s="143" t="str">
        <f t="shared" si="13"/>
        <v/>
      </c>
      <c r="P206" s="143" t="str">
        <f t="shared" si="14"/>
        <v/>
      </c>
      <c r="Q206" s="144" t="str">
        <f t="shared" si="15"/>
        <v/>
      </c>
    </row>
    <row r="207" spans="1:30" hidden="1" outlineLevel="1" x14ac:dyDescent="0.35">
      <c r="A207" s="139" t="str">
        <f>IF(historico_VU!A155="","",historico_VU!A155)</f>
        <v/>
      </c>
      <c r="B207" s="140" t="str">
        <f>IF(A207="","",historico_VU!B155)</f>
        <v/>
      </c>
      <c r="C207" s="141" t="str">
        <f>IF(A207="","",historico_VU!C155)</f>
        <v/>
      </c>
      <c r="D207" s="141" t="str">
        <f>IF(A207="","",historico_VU!D155)</f>
        <v/>
      </c>
      <c r="E207" s="141" t="str">
        <f>IF(A207="","",historico_VU!E155)</f>
        <v/>
      </c>
      <c r="F207" s="141" t="str">
        <f>IF(A207="","",historico_VU!F155)</f>
        <v/>
      </c>
      <c r="G207" s="141" t="str">
        <f>IF(A207="","",historico_VU!G155)</f>
        <v/>
      </c>
      <c r="H207" s="142" t="str">
        <f>IF(A207="","",historico_VU!H155)</f>
        <v/>
      </c>
      <c r="I207" s="57"/>
      <c r="J207" s="139" t="str">
        <f>IF(itens_Remanesc!A155="","",itens_Remanesc!A155)</f>
        <v/>
      </c>
      <c r="K207" s="140" t="str">
        <f>IF(J207="","",IF($F$4="C0",itens_Remanesc!B155,IF($F$4="C1",itens_Remanesc!E155,IF($F$4="C2",itens_Remanesc!G155,IF($F$4="C3",itens_Remanesc!I155,itens_Remanesc!K155)))))</f>
        <v/>
      </c>
      <c r="L207" s="140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43" t="str">
        <f>IF(J207="","",itens_Remanesc!C155)</f>
        <v/>
      </c>
      <c r="N207" s="143" t="str">
        <f>IF(J207="","",IF($F$4="C0",historico_VU!C155,IF($F$4="C1",historico_VU!D155,IF($F$4="C2",historico_VU!E155,IF($F$4="C3",historico_VU!F155,historico_VU!G155)))))</f>
        <v/>
      </c>
      <c r="O207" s="143" t="str">
        <f t="shared" si="13"/>
        <v/>
      </c>
      <c r="P207" s="143" t="str">
        <f t="shared" si="14"/>
        <v/>
      </c>
      <c r="Q207" s="144" t="str">
        <f t="shared" si="15"/>
        <v/>
      </c>
    </row>
    <row r="208" spans="1:30" hidden="1" outlineLevel="1" x14ac:dyDescent="0.35">
      <c r="A208" s="139" t="str">
        <f>IF(historico_VU!A156="","",historico_VU!A156)</f>
        <v/>
      </c>
      <c r="B208" s="140" t="str">
        <f>IF(A208="","",historico_VU!B156)</f>
        <v/>
      </c>
      <c r="C208" s="141" t="str">
        <f>IF(A208="","",historico_VU!C156)</f>
        <v/>
      </c>
      <c r="D208" s="141" t="str">
        <f>IF(A208="","",historico_VU!D156)</f>
        <v/>
      </c>
      <c r="E208" s="141" t="str">
        <f>IF(A208="","",historico_VU!E156)</f>
        <v/>
      </c>
      <c r="F208" s="141" t="str">
        <f>IF(A208="","",historico_VU!F156)</f>
        <v/>
      </c>
      <c r="G208" s="141" t="str">
        <f>IF(A208="","",historico_VU!G156)</f>
        <v/>
      </c>
      <c r="H208" s="142" t="str">
        <f>IF(A208="","",historico_VU!H156)</f>
        <v/>
      </c>
      <c r="I208" s="57"/>
      <c r="J208" s="139" t="str">
        <f>IF(itens_Remanesc!A156="","",itens_Remanesc!A156)</f>
        <v/>
      </c>
      <c r="K208" s="140" t="str">
        <f>IF(J208="","",IF($F$4="C0",itens_Remanesc!B156,IF($F$4="C1",itens_Remanesc!E156,IF($F$4="C2",itens_Remanesc!G156,IF($F$4="C3",itens_Remanesc!I156,itens_Remanesc!K156)))))</f>
        <v/>
      </c>
      <c r="L208" s="140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43" t="str">
        <f>IF(J208="","",itens_Remanesc!C156)</f>
        <v/>
      </c>
      <c r="N208" s="143" t="str">
        <f>IF(J208="","",IF($F$4="C0",historico_VU!C156,IF($F$4="C1",historico_VU!D156,IF($F$4="C2",historico_VU!E156,IF($F$4="C3",historico_VU!F156,historico_VU!G156)))))</f>
        <v/>
      </c>
      <c r="O208" s="143" t="str">
        <f t="shared" si="13"/>
        <v/>
      </c>
      <c r="P208" s="143" t="str">
        <f t="shared" si="14"/>
        <v/>
      </c>
      <c r="Q208" s="144" t="str">
        <f t="shared" si="15"/>
        <v/>
      </c>
    </row>
    <row r="209" spans="1:17" hidden="1" outlineLevel="1" x14ac:dyDescent="0.35">
      <c r="A209" s="139" t="str">
        <f>IF(historico_VU!A157="","",historico_VU!A157)</f>
        <v/>
      </c>
      <c r="B209" s="140" t="str">
        <f>IF(A209="","",historico_VU!B157)</f>
        <v/>
      </c>
      <c r="C209" s="141" t="str">
        <f>IF(A209="","",historico_VU!C157)</f>
        <v/>
      </c>
      <c r="D209" s="141" t="str">
        <f>IF(A209="","",historico_VU!D157)</f>
        <v/>
      </c>
      <c r="E209" s="141" t="str">
        <f>IF(A209="","",historico_VU!E157)</f>
        <v/>
      </c>
      <c r="F209" s="141" t="str">
        <f>IF(A209="","",historico_VU!F157)</f>
        <v/>
      </c>
      <c r="G209" s="141" t="str">
        <f>IF(A209="","",historico_VU!G157)</f>
        <v/>
      </c>
      <c r="H209" s="142" t="str">
        <f>IF(A209="","",historico_VU!H157)</f>
        <v/>
      </c>
      <c r="I209" s="57"/>
      <c r="J209" s="139" t="str">
        <f>IF(itens_Remanesc!A157="","",itens_Remanesc!A157)</f>
        <v/>
      </c>
      <c r="K209" s="140" t="str">
        <f>IF(J209="","",IF($F$4="C0",itens_Remanesc!B157,IF($F$4="C1",itens_Remanesc!E157,IF($F$4="C2",itens_Remanesc!G157,IF($F$4="C3",itens_Remanesc!I157,itens_Remanesc!K157)))))</f>
        <v/>
      </c>
      <c r="L209" s="140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43" t="str">
        <f>IF(J209="","",itens_Remanesc!C157)</f>
        <v/>
      </c>
      <c r="N209" s="143" t="str">
        <f>IF(J209="","",IF($F$4="C0",historico_VU!C157,IF($F$4="C1",historico_VU!D157,IF($F$4="C2",historico_VU!E157,IF($F$4="C3",historico_VU!F157,historico_VU!G157)))))</f>
        <v/>
      </c>
      <c r="O209" s="143" t="str">
        <f t="shared" si="13"/>
        <v/>
      </c>
      <c r="P209" s="143" t="str">
        <f t="shared" si="14"/>
        <v/>
      </c>
      <c r="Q209" s="144" t="str">
        <f t="shared" si="15"/>
        <v/>
      </c>
    </row>
    <row r="210" spans="1:17" hidden="1" outlineLevel="1" x14ac:dyDescent="0.35">
      <c r="A210" s="139" t="str">
        <f>IF(historico_VU!A158="","",historico_VU!A158)</f>
        <v/>
      </c>
      <c r="B210" s="140" t="str">
        <f>IF(A210="","",historico_VU!B158)</f>
        <v/>
      </c>
      <c r="C210" s="141" t="str">
        <f>IF(A210="","",historico_VU!C158)</f>
        <v/>
      </c>
      <c r="D210" s="141" t="str">
        <f>IF(A210="","",historico_VU!D158)</f>
        <v/>
      </c>
      <c r="E210" s="141" t="str">
        <f>IF(A210="","",historico_VU!E158)</f>
        <v/>
      </c>
      <c r="F210" s="141" t="str">
        <f>IF(A210="","",historico_VU!F158)</f>
        <v/>
      </c>
      <c r="G210" s="141" t="str">
        <f>IF(A210="","",historico_VU!G158)</f>
        <v/>
      </c>
      <c r="H210" s="142" t="str">
        <f>IF(A210="","",historico_VU!H158)</f>
        <v/>
      </c>
      <c r="I210" s="57"/>
      <c r="J210" s="139" t="str">
        <f>IF(itens_Remanesc!A158="","",itens_Remanesc!A158)</f>
        <v/>
      </c>
      <c r="K210" s="140" t="str">
        <f>IF(J210="","",IF($F$4="C0",itens_Remanesc!B158,IF($F$4="C1",itens_Remanesc!E158,IF($F$4="C2",itens_Remanesc!G158,IF($F$4="C3",itens_Remanesc!I158,itens_Remanesc!K158)))))</f>
        <v/>
      </c>
      <c r="L210" s="140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43" t="str">
        <f>IF(J210="","",itens_Remanesc!C158)</f>
        <v/>
      </c>
      <c r="N210" s="143" t="str">
        <f>IF(J210="","",IF($F$4="C0",historico_VU!C158,IF($F$4="C1",historico_VU!D158,IF($F$4="C2",historico_VU!E158,IF($F$4="C3",historico_VU!F158,historico_VU!G158)))))</f>
        <v/>
      </c>
      <c r="O210" s="143" t="str">
        <f t="shared" si="13"/>
        <v/>
      </c>
      <c r="P210" s="143" t="str">
        <f t="shared" si="14"/>
        <v/>
      </c>
      <c r="Q210" s="144" t="str">
        <f t="shared" si="15"/>
        <v/>
      </c>
    </row>
    <row r="211" spans="1:17" hidden="1" outlineLevel="1" x14ac:dyDescent="0.35">
      <c r="A211" s="139" t="str">
        <f>IF(historico_VU!A159="","",historico_VU!A159)</f>
        <v/>
      </c>
      <c r="B211" s="140" t="str">
        <f>IF(A211="","",historico_VU!B159)</f>
        <v/>
      </c>
      <c r="C211" s="141" t="str">
        <f>IF(A211="","",historico_VU!C159)</f>
        <v/>
      </c>
      <c r="D211" s="141" t="str">
        <f>IF(A211="","",historico_VU!D159)</f>
        <v/>
      </c>
      <c r="E211" s="141" t="str">
        <f>IF(A211="","",historico_VU!E159)</f>
        <v/>
      </c>
      <c r="F211" s="141" t="str">
        <f>IF(A211="","",historico_VU!F159)</f>
        <v/>
      </c>
      <c r="G211" s="141" t="str">
        <f>IF(A211="","",historico_VU!G159)</f>
        <v/>
      </c>
      <c r="H211" s="142" t="str">
        <f>IF(A211="","",historico_VU!H159)</f>
        <v/>
      </c>
      <c r="I211" s="57"/>
      <c r="J211" s="139" t="str">
        <f>IF(itens_Remanesc!A159="","",itens_Remanesc!A159)</f>
        <v/>
      </c>
      <c r="K211" s="140" t="str">
        <f>IF(J211="","",IF($F$4="C0",itens_Remanesc!B159,IF($F$4="C1",itens_Remanesc!E159,IF($F$4="C2",itens_Remanesc!G159,IF($F$4="C3",itens_Remanesc!I159,itens_Remanesc!K159)))))</f>
        <v/>
      </c>
      <c r="L211" s="140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43" t="str">
        <f>IF(J211="","",itens_Remanesc!C159)</f>
        <v/>
      </c>
      <c r="N211" s="143" t="str">
        <f>IF(J211="","",IF($F$4="C0",historico_VU!C159,IF($F$4="C1",historico_VU!D159,IF($F$4="C2",historico_VU!E159,IF($F$4="C3",historico_VU!F159,historico_VU!G159)))))</f>
        <v/>
      </c>
      <c r="O211" s="143" t="str">
        <f t="shared" si="13"/>
        <v/>
      </c>
      <c r="P211" s="143" t="str">
        <f t="shared" si="14"/>
        <v/>
      </c>
      <c r="Q211" s="144" t="str">
        <f t="shared" si="15"/>
        <v/>
      </c>
    </row>
    <row r="212" spans="1:17" hidden="1" outlineLevel="1" x14ac:dyDescent="0.35">
      <c r="A212" s="139" t="str">
        <f>IF(historico_VU!A160="","",historico_VU!A160)</f>
        <v/>
      </c>
      <c r="B212" s="140" t="str">
        <f>IF(A212="","",historico_VU!B160)</f>
        <v/>
      </c>
      <c r="C212" s="141" t="str">
        <f>IF(A212="","",historico_VU!C160)</f>
        <v/>
      </c>
      <c r="D212" s="141" t="str">
        <f>IF(A212="","",historico_VU!D160)</f>
        <v/>
      </c>
      <c r="E212" s="141" t="str">
        <f>IF(A212="","",historico_VU!E160)</f>
        <v/>
      </c>
      <c r="F212" s="141" t="str">
        <f>IF(A212="","",historico_VU!F160)</f>
        <v/>
      </c>
      <c r="G212" s="141" t="str">
        <f>IF(A212="","",historico_VU!G160)</f>
        <v/>
      </c>
      <c r="H212" s="142" t="str">
        <f>IF(A212="","",historico_VU!H160)</f>
        <v/>
      </c>
      <c r="I212" s="57"/>
      <c r="J212" s="139" t="str">
        <f>IF(itens_Remanesc!A160="","",itens_Remanesc!A160)</f>
        <v/>
      </c>
      <c r="K212" s="140" t="str">
        <f>IF(J212="","",IF($F$4="C0",itens_Remanesc!B160,IF($F$4="C1",itens_Remanesc!E160,IF($F$4="C2",itens_Remanesc!G160,IF($F$4="C3",itens_Remanesc!I160,itens_Remanesc!K160)))))</f>
        <v/>
      </c>
      <c r="L212" s="140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43" t="str">
        <f>IF(J212="","",itens_Remanesc!C160)</f>
        <v/>
      </c>
      <c r="N212" s="143" t="str">
        <f>IF(J212="","",IF($F$4="C0",historico_VU!C160,IF($F$4="C1",historico_VU!D160,IF($F$4="C2",historico_VU!E160,IF($F$4="C3",historico_VU!F160,historico_VU!G160)))))</f>
        <v/>
      </c>
      <c r="O212" s="143" t="str">
        <f t="shared" si="13"/>
        <v/>
      </c>
      <c r="P212" s="143" t="str">
        <f t="shared" si="14"/>
        <v/>
      </c>
      <c r="Q212" s="144" t="str">
        <f t="shared" si="15"/>
        <v/>
      </c>
    </row>
    <row r="213" spans="1:17" hidden="1" outlineLevel="1" x14ac:dyDescent="0.35">
      <c r="A213" s="139" t="str">
        <f>IF(historico_VU!A161="","",historico_VU!A161)</f>
        <v/>
      </c>
      <c r="B213" s="140" t="str">
        <f>IF(A213="","",historico_VU!B161)</f>
        <v/>
      </c>
      <c r="C213" s="141" t="str">
        <f>IF(A213="","",historico_VU!C161)</f>
        <v/>
      </c>
      <c r="D213" s="141" t="str">
        <f>IF(A213="","",historico_VU!D161)</f>
        <v/>
      </c>
      <c r="E213" s="141" t="str">
        <f>IF(A213="","",historico_VU!E161)</f>
        <v/>
      </c>
      <c r="F213" s="141" t="str">
        <f>IF(A213="","",historico_VU!F161)</f>
        <v/>
      </c>
      <c r="G213" s="141" t="str">
        <f>IF(A213="","",historico_VU!G161)</f>
        <v/>
      </c>
      <c r="H213" s="142" t="str">
        <f>IF(A213="","",historico_VU!H161)</f>
        <v/>
      </c>
      <c r="I213" s="57"/>
      <c r="J213" s="139" t="str">
        <f>IF(itens_Remanesc!A161="","",itens_Remanesc!A161)</f>
        <v/>
      </c>
      <c r="K213" s="140" t="str">
        <f>IF(J213="","",IF($F$4="C0",itens_Remanesc!B161,IF($F$4="C1",itens_Remanesc!E161,IF($F$4="C2",itens_Remanesc!G161,IF($F$4="C3",itens_Remanesc!I161,itens_Remanesc!K161)))))</f>
        <v/>
      </c>
      <c r="L213" s="140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43" t="str">
        <f>IF(J213="","",itens_Remanesc!C161)</f>
        <v/>
      </c>
      <c r="N213" s="143" t="str">
        <f>IF(J213="","",IF($F$4="C0",historico_VU!C161,IF($F$4="C1",historico_VU!D161,IF($F$4="C2",historico_VU!E161,IF($F$4="C3",historico_VU!F161,historico_VU!G161)))))</f>
        <v/>
      </c>
      <c r="O213" s="143" t="str">
        <f t="shared" si="13"/>
        <v/>
      </c>
      <c r="P213" s="143" t="str">
        <f t="shared" si="14"/>
        <v/>
      </c>
      <c r="Q213" s="144" t="str">
        <f t="shared" si="15"/>
        <v/>
      </c>
    </row>
    <row r="214" spans="1:17" hidden="1" outlineLevel="1" x14ac:dyDescent="0.35">
      <c r="A214" s="139" t="str">
        <f>IF(historico_VU!A162="","",historico_VU!A162)</f>
        <v/>
      </c>
      <c r="B214" s="140" t="str">
        <f>IF(A214="","",historico_VU!B162)</f>
        <v/>
      </c>
      <c r="C214" s="141" t="str">
        <f>IF(A214="","",historico_VU!C162)</f>
        <v/>
      </c>
      <c r="D214" s="141" t="str">
        <f>IF(A214="","",historico_VU!D162)</f>
        <v/>
      </c>
      <c r="E214" s="141" t="str">
        <f>IF(A214="","",historico_VU!E162)</f>
        <v/>
      </c>
      <c r="F214" s="141" t="str">
        <f>IF(A214="","",historico_VU!F162)</f>
        <v/>
      </c>
      <c r="G214" s="141" t="str">
        <f>IF(A214="","",historico_VU!G162)</f>
        <v/>
      </c>
      <c r="H214" s="142" t="str">
        <f>IF(A214="","",historico_VU!H162)</f>
        <v/>
      </c>
      <c r="I214" s="57"/>
      <c r="J214" s="139" t="str">
        <f>IF(itens_Remanesc!A162="","",itens_Remanesc!A162)</f>
        <v/>
      </c>
      <c r="K214" s="140" t="str">
        <f>IF(J214="","",IF($F$4="C0",itens_Remanesc!B162,IF($F$4="C1",itens_Remanesc!E162,IF($F$4="C2",itens_Remanesc!G162,IF($F$4="C3",itens_Remanesc!I162,itens_Remanesc!K162)))))</f>
        <v/>
      </c>
      <c r="L214" s="140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43" t="str">
        <f>IF(J214="","",itens_Remanesc!C162)</f>
        <v/>
      </c>
      <c r="N214" s="143" t="str">
        <f>IF(J214="","",IF($F$4="C0",historico_VU!C162,IF($F$4="C1",historico_VU!D162,IF($F$4="C2",historico_VU!E162,IF($F$4="C3",historico_VU!F162,historico_VU!G162)))))</f>
        <v/>
      </c>
      <c r="O214" s="143" t="str">
        <f t="shared" ref="O214:O245" si="16">IF(J214="","",IF(OR($B$4="Financeiro",$B$4="PCs"),IF(OR(K214="",M214=""),"",ROUND(K214*M214,2)),IF($B$4="Itens",IF(OR(L214="",M214=""),"",ROUND(L214*M214,2)),"")))</f>
        <v/>
      </c>
      <c r="P214" s="143" t="str">
        <f t="shared" ref="P214:P245" si="17">IF(J214="","",IF(OR($B$4="Financeiro",$B$4="PCs"),IF(OR(K214="",N214=""),"",ROUND(K214*N214,2)),IF($B$4="Itens",IF(OR(L214="",N214=""),"",ROUND(L214*N214,2)),"")))</f>
        <v/>
      </c>
      <c r="Q214" s="144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39" t="str">
        <f>IF(historico_VU!A163="","",historico_VU!A163)</f>
        <v/>
      </c>
      <c r="B215" s="140" t="str">
        <f>IF(A215="","",historico_VU!B163)</f>
        <v/>
      </c>
      <c r="C215" s="141" t="str">
        <f>IF(A215="","",historico_VU!C163)</f>
        <v/>
      </c>
      <c r="D215" s="141" t="str">
        <f>IF(A215="","",historico_VU!D163)</f>
        <v/>
      </c>
      <c r="E215" s="141" t="str">
        <f>IF(A215="","",historico_VU!E163)</f>
        <v/>
      </c>
      <c r="F215" s="141" t="str">
        <f>IF(A215="","",historico_VU!F163)</f>
        <v/>
      </c>
      <c r="G215" s="141" t="str">
        <f>IF(A215="","",historico_VU!G163)</f>
        <v/>
      </c>
      <c r="H215" s="142" t="str">
        <f>IF(A215="","",historico_VU!H163)</f>
        <v/>
      </c>
      <c r="I215" s="57"/>
      <c r="J215" s="139" t="str">
        <f>IF(itens_Remanesc!A163="","",itens_Remanesc!A163)</f>
        <v/>
      </c>
      <c r="K215" s="140" t="str">
        <f>IF(J215="","",IF($F$4="C0",itens_Remanesc!B163,IF($F$4="C1",itens_Remanesc!E163,IF($F$4="C2",itens_Remanesc!G163,IF($F$4="C3",itens_Remanesc!I163,itens_Remanesc!K163)))))</f>
        <v/>
      </c>
      <c r="L215" s="140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43" t="str">
        <f>IF(J215="","",itens_Remanesc!C163)</f>
        <v/>
      </c>
      <c r="N215" s="143" t="str">
        <f>IF(J215="","",IF($F$4="C0",historico_VU!C163,IF($F$4="C1",historico_VU!D163,IF($F$4="C2",historico_VU!E163,IF($F$4="C3",historico_VU!F163,historico_VU!G163)))))</f>
        <v/>
      </c>
      <c r="O215" s="143" t="str">
        <f t="shared" si="16"/>
        <v/>
      </c>
      <c r="P215" s="143" t="str">
        <f t="shared" si="17"/>
        <v/>
      </c>
      <c r="Q215" s="144" t="str">
        <f t="shared" si="18"/>
        <v/>
      </c>
    </row>
    <row r="216" spans="1:17" hidden="1" outlineLevel="1" x14ac:dyDescent="0.35">
      <c r="A216" s="139" t="str">
        <f>IF(historico_VU!A164="","",historico_VU!A164)</f>
        <v/>
      </c>
      <c r="B216" s="140" t="str">
        <f>IF(A216="","",historico_VU!B164)</f>
        <v/>
      </c>
      <c r="C216" s="141" t="str">
        <f>IF(A216="","",historico_VU!C164)</f>
        <v/>
      </c>
      <c r="D216" s="141" t="str">
        <f>IF(A216="","",historico_VU!D164)</f>
        <v/>
      </c>
      <c r="E216" s="141" t="str">
        <f>IF(A216="","",historico_VU!E164)</f>
        <v/>
      </c>
      <c r="F216" s="141" t="str">
        <f>IF(A216="","",historico_VU!F164)</f>
        <v/>
      </c>
      <c r="G216" s="141" t="str">
        <f>IF(A216="","",historico_VU!G164)</f>
        <v/>
      </c>
      <c r="H216" s="142" t="str">
        <f>IF(A216="","",historico_VU!H164)</f>
        <v/>
      </c>
      <c r="I216" s="57"/>
      <c r="J216" s="139" t="str">
        <f>IF(itens_Remanesc!A164="","",itens_Remanesc!A164)</f>
        <v/>
      </c>
      <c r="K216" s="140" t="str">
        <f>IF(J216="","",IF($F$4="C0",itens_Remanesc!B164,IF($F$4="C1",itens_Remanesc!E164,IF($F$4="C2",itens_Remanesc!G164,IF($F$4="C3",itens_Remanesc!I164,itens_Remanesc!K164)))))</f>
        <v/>
      </c>
      <c r="L216" s="140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43" t="str">
        <f>IF(J216="","",itens_Remanesc!C164)</f>
        <v/>
      </c>
      <c r="N216" s="143" t="str">
        <f>IF(J216="","",IF($F$4="C0",historico_VU!C164,IF($F$4="C1",historico_VU!D164,IF($F$4="C2",historico_VU!E164,IF($F$4="C3",historico_VU!F164,historico_VU!G164)))))</f>
        <v/>
      </c>
      <c r="O216" s="143" t="str">
        <f t="shared" si="16"/>
        <v/>
      </c>
      <c r="P216" s="143" t="str">
        <f t="shared" si="17"/>
        <v/>
      </c>
      <c r="Q216" s="144" t="str">
        <f t="shared" si="18"/>
        <v/>
      </c>
    </row>
    <row r="217" spans="1:17" hidden="1" outlineLevel="1" x14ac:dyDescent="0.35">
      <c r="A217" s="139" t="str">
        <f>IF(historico_VU!A165="","",historico_VU!A165)</f>
        <v/>
      </c>
      <c r="B217" s="140" t="str">
        <f>IF(A217="","",historico_VU!B165)</f>
        <v/>
      </c>
      <c r="C217" s="141" t="str">
        <f>IF(A217="","",historico_VU!C165)</f>
        <v/>
      </c>
      <c r="D217" s="141" t="str">
        <f>IF(A217="","",historico_VU!D165)</f>
        <v/>
      </c>
      <c r="E217" s="141" t="str">
        <f>IF(A217="","",historico_VU!E165)</f>
        <v/>
      </c>
      <c r="F217" s="141" t="str">
        <f>IF(A217="","",historico_VU!F165)</f>
        <v/>
      </c>
      <c r="G217" s="141" t="str">
        <f>IF(A217="","",historico_VU!G165)</f>
        <v/>
      </c>
      <c r="H217" s="142" t="str">
        <f>IF(A217="","",historico_VU!H165)</f>
        <v/>
      </c>
      <c r="I217" s="57"/>
      <c r="J217" s="139" t="str">
        <f>IF(itens_Remanesc!A165="","",itens_Remanesc!A165)</f>
        <v/>
      </c>
      <c r="K217" s="140" t="str">
        <f>IF(J217="","",IF($F$4="C0",itens_Remanesc!B165,IF($F$4="C1",itens_Remanesc!E165,IF($F$4="C2",itens_Remanesc!G165,IF($F$4="C3",itens_Remanesc!I165,itens_Remanesc!K165)))))</f>
        <v/>
      </c>
      <c r="L217" s="140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43" t="str">
        <f>IF(J217="","",itens_Remanesc!C165)</f>
        <v/>
      </c>
      <c r="N217" s="143" t="str">
        <f>IF(J217="","",IF($F$4="C0",historico_VU!C165,IF($F$4="C1",historico_VU!D165,IF($F$4="C2",historico_VU!E165,IF($F$4="C3",historico_VU!F165,historico_VU!G165)))))</f>
        <v/>
      </c>
      <c r="O217" s="143" t="str">
        <f t="shared" si="16"/>
        <v/>
      </c>
      <c r="P217" s="143" t="str">
        <f t="shared" si="17"/>
        <v/>
      </c>
      <c r="Q217" s="144" t="str">
        <f t="shared" si="18"/>
        <v/>
      </c>
    </row>
    <row r="218" spans="1:17" hidden="1" outlineLevel="1" x14ac:dyDescent="0.35">
      <c r="A218" s="139" t="str">
        <f>IF(historico_VU!A166="","",historico_VU!A166)</f>
        <v/>
      </c>
      <c r="B218" s="140" t="str">
        <f>IF(A218="","",historico_VU!B166)</f>
        <v/>
      </c>
      <c r="C218" s="141" t="str">
        <f>IF(A218="","",historico_VU!C166)</f>
        <v/>
      </c>
      <c r="D218" s="141" t="str">
        <f>IF(A218="","",historico_VU!D166)</f>
        <v/>
      </c>
      <c r="E218" s="141" t="str">
        <f>IF(A218="","",historico_VU!E166)</f>
        <v/>
      </c>
      <c r="F218" s="141" t="str">
        <f>IF(A218="","",historico_VU!F166)</f>
        <v/>
      </c>
      <c r="G218" s="141" t="str">
        <f>IF(A218="","",historico_VU!G166)</f>
        <v/>
      </c>
      <c r="H218" s="142" t="str">
        <f>IF(A218="","",historico_VU!H166)</f>
        <v/>
      </c>
      <c r="I218" s="57"/>
      <c r="J218" s="139" t="str">
        <f>IF(itens_Remanesc!A166="","",itens_Remanesc!A166)</f>
        <v/>
      </c>
      <c r="K218" s="140" t="str">
        <f>IF(J218="","",IF($F$4="C0",itens_Remanesc!B166,IF($F$4="C1",itens_Remanesc!E166,IF($F$4="C2",itens_Remanesc!G166,IF($F$4="C3",itens_Remanesc!I166,itens_Remanesc!K166)))))</f>
        <v/>
      </c>
      <c r="L218" s="140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43" t="str">
        <f>IF(J218="","",itens_Remanesc!C166)</f>
        <v/>
      </c>
      <c r="N218" s="143" t="str">
        <f>IF(J218="","",IF($F$4="C0",historico_VU!C166,IF($F$4="C1",historico_VU!D166,IF($F$4="C2",historico_VU!E166,IF($F$4="C3",historico_VU!F166,historico_VU!G166)))))</f>
        <v/>
      </c>
      <c r="O218" s="143" t="str">
        <f t="shared" si="16"/>
        <v/>
      </c>
      <c r="P218" s="143" t="str">
        <f t="shared" si="17"/>
        <v/>
      </c>
      <c r="Q218" s="144" t="str">
        <f t="shared" si="18"/>
        <v/>
      </c>
    </row>
    <row r="219" spans="1:17" hidden="1" outlineLevel="1" x14ac:dyDescent="0.35">
      <c r="A219" s="139" t="str">
        <f>IF(historico_VU!A167="","",historico_VU!A167)</f>
        <v/>
      </c>
      <c r="B219" s="140" t="str">
        <f>IF(A219="","",historico_VU!B167)</f>
        <v/>
      </c>
      <c r="C219" s="141" t="str">
        <f>IF(A219="","",historico_VU!C167)</f>
        <v/>
      </c>
      <c r="D219" s="141" t="str">
        <f>IF(A219="","",historico_VU!D167)</f>
        <v/>
      </c>
      <c r="E219" s="141" t="str">
        <f>IF(A219="","",historico_VU!E167)</f>
        <v/>
      </c>
      <c r="F219" s="141" t="str">
        <f>IF(A219="","",historico_VU!F167)</f>
        <v/>
      </c>
      <c r="G219" s="141" t="str">
        <f>IF(A219="","",historico_VU!G167)</f>
        <v/>
      </c>
      <c r="H219" s="142" t="str">
        <f>IF(A219="","",historico_VU!H167)</f>
        <v/>
      </c>
      <c r="I219" s="57"/>
      <c r="J219" s="139" t="str">
        <f>IF(itens_Remanesc!A167="","",itens_Remanesc!A167)</f>
        <v/>
      </c>
      <c r="K219" s="140" t="str">
        <f>IF(J219="","",IF($F$4="C0",itens_Remanesc!B167,IF($F$4="C1",itens_Remanesc!E167,IF($F$4="C2",itens_Remanesc!G167,IF($F$4="C3",itens_Remanesc!I167,itens_Remanesc!K167)))))</f>
        <v/>
      </c>
      <c r="L219" s="140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43" t="str">
        <f>IF(J219="","",itens_Remanesc!C167)</f>
        <v/>
      </c>
      <c r="N219" s="143" t="str">
        <f>IF(J219="","",IF($F$4="C0",historico_VU!C167,IF($F$4="C1",historico_VU!D167,IF($F$4="C2",historico_VU!E167,IF($F$4="C3",historico_VU!F167,historico_VU!G167)))))</f>
        <v/>
      </c>
      <c r="O219" s="143" t="str">
        <f t="shared" si="16"/>
        <v/>
      </c>
      <c r="P219" s="143" t="str">
        <f t="shared" si="17"/>
        <v/>
      </c>
      <c r="Q219" s="144" t="str">
        <f t="shared" si="18"/>
        <v/>
      </c>
    </row>
    <row r="220" spans="1:17" hidden="1" outlineLevel="1" x14ac:dyDescent="0.35">
      <c r="A220" s="139" t="str">
        <f>IF(historico_VU!A168="","",historico_VU!A168)</f>
        <v/>
      </c>
      <c r="B220" s="140" t="str">
        <f>IF(A220="","",historico_VU!B168)</f>
        <v/>
      </c>
      <c r="C220" s="141" t="str">
        <f>IF(A220="","",historico_VU!C168)</f>
        <v/>
      </c>
      <c r="D220" s="141" t="str">
        <f>IF(A220="","",historico_VU!D168)</f>
        <v/>
      </c>
      <c r="E220" s="141" t="str">
        <f>IF(A220="","",historico_VU!E168)</f>
        <v/>
      </c>
      <c r="F220" s="141" t="str">
        <f>IF(A220="","",historico_VU!F168)</f>
        <v/>
      </c>
      <c r="G220" s="141" t="str">
        <f>IF(A220="","",historico_VU!G168)</f>
        <v/>
      </c>
      <c r="H220" s="142" t="str">
        <f>IF(A220="","",historico_VU!H168)</f>
        <v/>
      </c>
      <c r="I220" s="57"/>
      <c r="J220" s="139" t="str">
        <f>IF(itens_Remanesc!A168="","",itens_Remanesc!A168)</f>
        <v/>
      </c>
      <c r="K220" s="140" t="str">
        <f>IF(J220="","",IF($F$4="C0",itens_Remanesc!B168,IF($F$4="C1",itens_Remanesc!E168,IF($F$4="C2",itens_Remanesc!G168,IF($F$4="C3",itens_Remanesc!I168,itens_Remanesc!K168)))))</f>
        <v/>
      </c>
      <c r="L220" s="140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43" t="str">
        <f>IF(J220="","",itens_Remanesc!C168)</f>
        <v/>
      </c>
      <c r="N220" s="143" t="str">
        <f>IF(J220="","",IF($F$4="C0",historico_VU!C168,IF($F$4="C1",historico_VU!D168,IF($F$4="C2",historico_VU!E168,IF($F$4="C3",historico_VU!F168,historico_VU!G168)))))</f>
        <v/>
      </c>
      <c r="O220" s="143" t="str">
        <f t="shared" si="16"/>
        <v/>
      </c>
      <c r="P220" s="143" t="str">
        <f t="shared" si="17"/>
        <v/>
      </c>
      <c r="Q220" s="144" t="str">
        <f t="shared" si="18"/>
        <v/>
      </c>
    </row>
    <row r="221" spans="1:17" hidden="1" outlineLevel="1" x14ac:dyDescent="0.35">
      <c r="A221" s="139" t="str">
        <f>IF(historico_VU!A169="","",historico_VU!A169)</f>
        <v/>
      </c>
      <c r="B221" s="140" t="str">
        <f>IF(A221="","",historico_VU!B169)</f>
        <v/>
      </c>
      <c r="C221" s="141" t="str">
        <f>IF(A221="","",historico_VU!C169)</f>
        <v/>
      </c>
      <c r="D221" s="141" t="str">
        <f>IF(A221="","",historico_VU!D169)</f>
        <v/>
      </c>
      <c r="E221" s="141" t="str">
        <f>IF(A221="","",historico_VU!E169)</f>
        <v/>
      </c>
      <c r="F221" s="141" t="str">
        <f>IF(A221="","",historico_VU!F169)</f>
        <v/>
      </c>
      <c r="G221" s="141" t="str">
        <f>IF(A221="","",historico_VU!G169)</f>
        <v/>
      </c>
      <c r="H221" s="142" t="str">
        <f>IF(A221="","",historico_VU!H169)</f>
        <v/>
      </c>
      <c r="I221" s="57"/>
      <c r="J221" s="139" t="str">
        <f>IF(itens_Remanesc!A169="","",itens_Remanesc!A169)</f>
        <v/>
      </c>
      <c r="K221" s="140" t="str">
        <f>IF(J221="","",IF($F$4="C0",itens_Remanesc!B169,IF($F$4="C1",itens_Remanesc!E169,IF($F$4="C2",itens_Remanesc!G169,IF($F$4="C3",itens_Remanesc!I169,itens_Remanesc!K169)))))</f>
        <v/>
      </c>
      <c r="L221" s="140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43" t="str">
        <f>IF(J221="","",itens_Remanesc!C169)</f>
        <v/>
      </c>
      <c r="N221" s="143" t="str">
        <f>IF(J221="","",IF($F$4="C0",historico_VU!C169,IF($F$4="C1",historico_VU!D169,IF($F$4="C2",historico_VU!E169,IF($F$4="C3",historico_VU!F169,historico_VU!G169)))))</f>
        <v/>
      </c>
      <c r="O221" s="143" t="str">
        <f t="shared" si="16"/>
        <v/>
      </c>
      <c r="P221" s="143" t="str">
        <f t="shared" si="17"/>
        <v/>
      </c>
      <c r="Q221" s="144" t="str">
        <f t="shared" si="18"/>
        <v/>
      </c>
    </row>
    <row r="222" spans="1:17" hidden="1" outlineLevel="1" x14ac:dyDescent="0.35">
      <c r="A222" s="139" t="str">
        <f>IF(historico_VU!A170="","",historico_VU!A170)</f>
        <v/>
      </c>
      <c r="B222" s="140" t="str">
        <f>IF(A222="","",historico_VU!B170)</f>
        <v/>
      </c>
      <c r="C222" s="141" t="str">
        <f>IF(A222="","",historico_VU!C170)</f>
        <v/>
      </c>
      <c r="D222" s="141" t="str">
        <f>IF(A222="","",historico_VU!D170)</f>
        <v/>
      </c>
      <c r="E222" s="141" t="str">
        <f>IF(A222="","",historico_VU!E170)</f>
        <v/>
      </c>
      <c r="F222" s="141" t="str">
        <f>IF(A222="","",historico_VU!F170)</f>
        <v/>
      </c>
      <c r="G222" s="141" t="str">
        <f>IF(A222="","",historico_VU!G170)</f>
        <v/>
      </c>
      <c r="H222" s="142" t="str">
        <f>IF(A222="","",historico_VU!H170)</f>
        <v/>
      </c>
      <c r="I222" s="57"/>
      <c r="J222" s="139" t="str">
        <f>IF(itens_Remanesc!A170="","",itens_Remanesc!A170)</f>
        <v/>
      </c>
      <c r="K222" s="140" t="str">
        <f>IF(J222="","",IF($F$4="C0",itens_Remanesc!B170,IF($F$4="C1",itens_Remanesc!E170,IF($F$4="C2",itens_Remanesc!G170,IF($F$4="C3",itens_Remanesc!I170,itens_Remanesc!K170)))))</f>
        <v/>
      </c>
      <c r="L222" s="140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43" t="str">
        <f>IF(J222="","",itens_Remanesc!C170)</f>
        <v/>
      </c>
      <c r="N222" s="143" t="str">
        <f>IF(J222="","",IF($F$4="C0",historico_VU!C170,IF($F$4="C1",historico_VU!D170,IF($F$4="C2",historico_VU!E170,IF($F$4="C3",historico_VU!F170,historico_VU!G170)))))</f>
        <v/>
      </c>
      <c r="O222" s="143" t="str">
        <f t="shared" si="16"/>
        <v/>
      </c>
      <c r="P222" s="143" t="str">
        <f t="shared" si="17"/>
        <v/>
      </c>
      <c r="Q222" s="144" t="str">
        <f t="shared" si="18"/>
        <v/>
      </c>
    </row>
    <row r="223" spans="1:17" hidden="1" outlineLevel="1" x14ac:dyDescent="0.35">
      <c r="A223" s="139" t="str">
        <f>IF(historico_VU!A171="","",historico_VU!A171)</f>
        <v/>
      </c>
      <c r="B223" s="140" t="str">
        <f>IF(A223="","",historico_VU!B171)</f>
        <v/>
      </c>
      <c r="C223" s="141" t="str">
        <f>IF(A223="","",historico_VU!C171)</f>
        <v/>
      </c>
      <c r="D223" s="141" t="str">
        <f>IF(A223="","",historico_VU!D171)</f>
        <v/>
      </c>
      <c r="E223" s="141" t="str">
        <f>IF(A223="","",historico_VU!E171)</f>
        <v/>
      </c>
      <c r="F223" s="141" t="str">
        <f>IF(A223="","",historico_VU!F171)</f>
        <v/>
      </c>
      <c r="G223" s="141" t="str">
        <f>IF(A223="","",historico_VU!G171)</f>
        <v/>
      </c>
      <c r="H223" s="142" t="str">
        <f>IF(A223="","",historico_VU!H171)</f>
        <v/>
      </c>
      <c r="I223" s="57"/>
      <c r="J223" s="139" t="str">
        <f>IF(itens_Remanesc!A171="","",itens_Remanesc!A171)</f>
        <v/>
      </c>
      <c r="K223" s="140" t="str">
        <f>IF(J223="","",IF($F$4="C0",itens_Remanesc!B171,IF($F$4="C1",itens_Remanesc!E171,IF($F$4="C2",itens_Remanesc!G171,IF($F$4="C3",itens_Remanesc!I171,itens_Remanesc!K171)))))</f>
        <v/>
      </c>
      <c r="L223" s="140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43" t="str">
        <f>IF(J223="","",itens_Remanesc!C171)</f>
        <v/>
      </c>
      <c r="N223" s="143" t="str">
        <f>IF(J223="","",IF($F$4="C0",historico_VU!C171,IF($F$4="C1",historico_VU!D171,IF($F$4="C2",historico_VU!E171,IF($F$4="C3",historico_VU!F171,historico_VU!G171)))))</f>
        <v/>
      </c>
      <c r="O223" s="143" t="str">
        <f t="shared" si="16"/>
        <v/>
      </c>
      <c r="P223" s="143" t="str">
        <f t="shared" si="17"/>
        <v/>
      </c>
      <c r="Q223" s="144" t="str">
        <f t="shared" si="18"/>
        <v/>
      </c>
    </row>
    <row r="224" spans="1:17" hidden="1" outlineLevel="1" x14ac:dyDescent="0.35">
      <c r="A224" s="139" t="str">
        <f>IF(historico_VU!A172="","",historico_VU!A172)</f>
        <v/>
      </c>
      <c r="B224" s="140" t="str">
        <f>IF(A224="","",historico_VU!B172)</f>
        <v/>
      </c>
      <c r="C224" s="141" t="str">
        <f>IF(A224="","",historico_VU!C172)</f>
        <v/>
      </c>
      <c r="D224" s="141" t="str">
        <f>IF(A224="","",historico_VU!D172)</f>
        <v/>
      </c>
      <c r="E224" s="141" t="str">
        <f>IF(A224="","",historico_VU!E172)</f>
        <v/>
      </c>
      <c r="F224" s="141" t="str">
        <f>IF(A224="","",historico_VU!F172)</f>
        <v/>
      </c>
      <c r="G224" s="141" t="str">
        <f>IF(A224="","",historico_VU!G172)</f>
        <v/>
      </c>
      <c r="H224" s="142" t="str">
        <f>IF(A224="","",historico_VU!H172)</f>
        <v/>
      </c>
      <c r="I224" s="57"/>
      <c r="J224" s="139" t="str">
        <f>IF(itens_Remanesc!A172="","",itens_Remanesc!A172)</f>
        <v/>
      </c>
      <c r="K224" s="140" t="str">
        <f>IF(J224="","",IF($F$4="C0",itens_Remanesc!B172,IF($F$4="C1",itens_Remanesc!E172,IF($F$4="C2",itens_Remanesc!G172,IF($F$4="C3",itens_Remanesc!I172,itens_Remanesc!K172)))))</f>
        <v/>
      </c>
      <c r="L224" s="140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43" t="str">
        <f>IF(J224="","",itens_Remanesc!C172)</f>
        <v/>
      </c>
      <c r="N224" s="143" t="str">
        <f>IF(J224="","",IF($F$4="C0",historico_VU!C172,IF($F$4="C1",historico_VU!D172,IF($F$4="C2",historico_VU!E172,IF($F$4="C3",historico_VU!F172,historico_VU!G172)))))</f>
        <v/>
      </c>
      <c r="O224" s="143" t="str">
        <f t="shared" si="16"/>
        <v/>
      </c>
      <c r="P224" s="143" t="str">
        <f t="shared" si="17"/>
        <v/>
      </c>
      <c r="Q224" s="144" t="str">
        <f t="shared" si="18"/>
        <v/>
      </c>
    </row>
    <row r="225" spans="1:17" hidden="1" outlineLevel="1" x14ac:dyDescent="0.35">
      <c r="A225" s="139" t="str">
        <f>IF(historico_VU!A173="","",historico_VU!A173)</f>
        <v/>
      </c>
      <c r="B225" s="140" t="str">
        <f>IF(A225="","",historico_VU!B173)</f>
        <v/>
      </c>
      <c r="C225" s="141" t="str">
        <f>IF(A225="","",historico_VU!C173)</f>
        <v/>
      </c>
      <c r="D225" s="141" t="str">
        <f>IF(A225="","",historico_VU!D173)</f>
        <v/>
      </c>
      <c r="E225" s="141" t="str">
        <f>IF(A225="","",historico_VU!E173)</f>
        <v/>
      </c>
      <c r="F225" s="141" t="str">
        <f>IF(A225="","",historico_VU!F173)</f>
        <v/>
      </c>
      <c r="G225" s="141" t="str">
        <f>IF(A225="","",historico_VU!G173)</f>
        <v/>
      </c>
      <c r="H225" s="142" t="str">
        <f>IF(A225="","",historico_VU!H173)</f>
        <v/>
      </c>
      <c r="I225" s="57"/>
      <c r="J225" s="139" t="str">
        <f>IF(itens_Remanesc!A173="","",itens_Remanesc!A173)</f>
        <v/>
      </c>
      <c r="K225" s="140" t="str">
        <f>IF(J225="","",IF($F$4="C0",itens_Remanesc!B173,IF($F$4="C1",itens_Remanesc!E173,IF($F$4="C2",itens_Remanesc!G173,IF($F$4="C3",itens_Remanesc!I173,itens_Remanesc!K173)))))</f>
        <v/>
      </c>
      <c r="L225" s="140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43" t="str">
        <f>IF(J225="","",itens_Remanesc!C173)</f>
        <v/>
      </c>
      <c r="N225" s="143" t="str">
        <f>IF(J225="","",IF($F$4="C0",historico_VU!C173,IF($F$4="C1",historico_VU!D173,IF($F$4="C2",historico_VU!E173,IF($F$4="C3",historico_VU!F173,historico_VU!G173)))))</f>
        <v/>
      </c>
      <c r="O225" s="143" t="str">
        <f t="shared" si="16"/>
        <v/>
      </c>
      <c r="P225" s="143" t="str">
        <f t="shared" si="17"/>
        <v/>
      </c>
      <c r="Q225" s="144" t="str">
        <f t="shared" si="18"/>
        <v/>
      </c>
    </row>
    <row r="226" spans="1:17" hidden="1" outlineLevel="1" x14ac:dyDescent="0.35">
      <c r="A226" s="139" t="str">
        <f>IF(historico_VU!A174="","",historico_VU!A174)</f>
        <v/>
      </c>
      <c r="B226" s="140" t="str">
        <f>IF(A226="","",historico_VU!B174)</f>
        <v/>
      </c>
      <c r="C226" s="141" t="str">
        <f>IF(A226="","",historico_VU!C174)</f>
        <v/>
      </c>
      <c r="D226" s="141" t="str">
        <f>IF(A226="","",historico_VU!D174)</f>
        <v/>
      </c>
      <c r="E226" s="141" t="str">
        <f>IF(A226="","",historico_VU!E174)</f>
        <v/>
      </c>
      <c r="F226" s="141" t="str">
        <f>IF(A226="","",historico_VU!F174)</f>
        <v/>
      </c>
      <c r="G226" s="141" t="str">
        <f>IF(A226="","",historico_VU!G174)</f>
        <v/>
      </c>
      <c r="H226" s="142" t="str">
        <f>IF(A226="","",historico_VU!H174)</f>
        <v/>
      </c>
      <c r="I226" s="57"/>
      <c r="J226" s="139" t="str">
        <f>IF(itens_Remanesc!A174="","",itens_Remanesc!A174)</f>
        <v/>
      </c>
      <c r="K226" s="140" t="str">
        <f>IF(J226="","",IF($F$4="C0",itens_Remanesc!B174,IF($F$4="C1",itens_Remanesc!E174,IF($F$4="C2",itens_Remanesc!G174,IF($F$4="C3",itens_Remanesc!I174,itens_Remanesc!K174)))))</f>
        <v/>
      </c>
      <c r="L226" s="140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43" t="str">
        <f>IF(J226="","",itens_Remanesc!C174)</f>
        <v/>
      </c>
      <c r="N226" s="143" t="str">
        <f>IF(J226="","",IF($F$4="C0",historico_VU!C174,IF($F$4="C1",historico_VU!D174,IF($F$4="C2",historico_VU!E174,IF($F$4="C3",historico_VU!F174,historico_VU!G174)))))</f>
        <v/>
      </c>
      <c r="O226" s="143" t="str">
        <f t="shared" si="16"/>
        <v/>
      </c>
      <c r="P226" s="143" t="str">
        <f t="shared" si="17"/>
        <v/>
      </c>
      <c r="Q226" s="144" t="str">
        <f t="shared" si="18"/>
        <v/>
      </c>
    </row>
    <row r="227" spans="1:17" hidden="1" outlineLevel="1" x14ac:dyDescent="0.35">
      <c r="A227" s="139" t="str">
        <f>IF(historico_VU!A175="","",historico_VU!A175)</f>
        <v/>
      </c>
      <c r="B227" s="140" t="str">
        <f>IF(A227="","",historico_VU!B175)</f>
        <v/>
      </c>
      <c r="C227" s="141" t="str">
        <f>IF(A227="","",historico_VU!C175)</f>
        <v/>
      </c>
      <c r="D227" s="141" t="str">
        <f>IF(A227="","",historico_VU!D175)</f>
        <v/>
      </c>
      <c r="E227" s="141" t="str">
        <f>IF(A227="","",historico_VU!E175)</f>
        <v/>
      </c>
      <c r="F227" s="141" t="str">
        <f>IF(A227="","",historico_VU!F175)</f>
        <v/>
      </c>
      <c r="G227" s="141" t="str">
        <f>IF(A227="","",historico_VU!G175)</f>
        <v/>
      </c>
      <c r="H227" s="142" t="str">
        <f>IF(A227="","",historico_VU!H175)</f>
        <v/>
      </c>
      <c r="I227" s="57"/>
      <c r="J227" s="139" t="str">
        <f>IF(itens_Remanesc!A175="","",itens_Remanesc!A175)</f>
        <v/>
      </c>
      <c r="K227" s="140" t="str">
        <f>IF(J227="","",IF($F$4="C0",itens_Remanesc!B175,IF($F$4="C1",itens_Remanesc!E175,IF($F$4="C2",itens_Remanesc!G175,IF($F$4="C3",itens_Remanesc!I175,itens_Remanesc!K175)))))</f>
        <v/>
      </c>
      <c r="L227" s="140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43" t="str">
        <f>IF(J227="","",itens_Remanesc!C175)</f>
        <v/>
      </c>
      <c r="N227" s="143" t="str">
        <f>IF(J227="","",IF($F$4="C0",historico_VU!C175,IF($F$4="C1",historico_VU!D175,IF($F$4="C2",historico_VU!E175,IF($F$4="C3",historico_VU!F175,historico_VU!G175)))))</f>
        <v/>
      </c>
      <c r="O227" s="143" t="str">
        <f t="shared" si="16"/>
        <v/>
      </c>
      <c r="P227" s="143" t="str">
        <f t="shared" si="17"/>
        <v/>
      </c>
      <c r="Q227" s="144" t="str">
        <f t="shared" si="18"/>
        <v/>
      </c>
    </row>
    <row r="228" spans="1:17" hidden="1" outlineLevel="1" x14ac:dyDescent="0.35">
      <c r="A228" s="139" t="str">
        <f>IF(historico_VU!A176="","",historico_VU!A176)</f>
        <v/>
      </c>
      <c r="B228" s="140" t="str">
        <f>IF(A228="","",historico_VU!B176)</f>
        <v/>
      </c>
      <c r="C228" s="141" t="str">
        <f>IF(A228="","",historico_VU!C176)</f>
        <v/>
      </c>
      <c r="D228" s="141" t="str">
        <f>IF(A228="","",historico_VU!D176)</f>
        <v/>
      </c>
      <c r="E228" s="141" t="str">
        <f>IF(A228="","",historico_VU!E176)</f>
        <v/>
      </c>
      <c r="F228" s="141" t="str">
        <f>IF(A228="","",historico_VU!F176)</f>
        <v/>
      </c>
      <c r="G228" s="141" t="str">
        <f>IF(A228="","",historico_VU!G176)</f>
        <v/>
      </c>
      <c r="H228" s="142" t="str">
        <f>IF(A228="","",historico_VU!H176)</f>
        <v/>
      </c>
      <c r="I228" s="57"/>
      <c r="J228" s="139" t="str">
        <f>IF(itens_Remanesc!A176="","",itens_Remanesc!A176)</f>
        <v/>
      </c>
      <c r="K228" s="140" t="str">
        <f>IF(J228="","",IF($F$4="C0",itens_Remanesc!B176,IF($F$4="C1",itens_Remanesc!E176,IF($F$4="C2",itens_Remanesc!G176,IF($F$4="C3",itens_Remanesc!I176,itens_Remanesc!K176)))))</f>
        <v/>
      </c>
      <c r="L228" s="140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43" t="str">
        <f>IF(J228="","",itens_Remanesc!C176)</f>
        <v/>
      </c>
      <c r="N228" s="143" t="str">
        <f>IF(J228="","",IF($F$4="C0",historico_VU!C176,IF($F$4="C1",historico_VU!D176,IF($F$4="C2",historico_VU!E176,IF($F$4="C3",historico_VU!F176,historico_VU!G176)))))</f>
        <v/>
      </c>
      <c r="O228" s="143" t="str">
        <f t="shared" si="16"/>
        <v/>
      </c>
      <c r="P228" s="143" t="str">
        <f t="shared" si="17"/>
        <v/>
      </c>
      <c r="Q228" s="144" t="str">
        <f t="shared" si="18"/>
        <v/>
      </c>
    </row>
    <row r="229" spans="1:17" hidden="1" outlineLevel="1" x14ac:dyDescent="0.35">
      <c r="A229" s="139" t="str">
        <f>IF(historico_VU!A177="","",historico_VU!A177)</f>
        <v/>
      </c>
      <c r="B229" s="140" t="str">
        <f>IF(A229="","",historico_VU!B177)</f>
        <v/>
      </c>
      <c r="C229" s="141" t="str">
        <f>IF(A229="","",historico_VU!C177)</f>
        <v/>
      </c>
      <c r="D229" s="141" t="str">
        <f>IF(A229="","",historico_VU!D177)</f>
        <v/>
      </c>
      <c r="E229" s="141" t="str">
        <f>IF(A229="","",historico_VU!E177)</f>
        <v/>
      </c>
      <c r="F229" s="141" t="str">
        <f>IF(A229="","",historico_VU!F177)</f>
        <v/>
      </c>
      <c r="G229" s="141" t="str">
        <f>IF(A229="","",historico_VU!G177)</f>
        <v/>
      </c>
      <c r="H229" s="142" t="str">
        <f>IF(A229="","",historico_VU!H177)</f>
        <v/>
      </c>
      <c r="I229" s="57"/>
      <c r="J229" s="139" t="str">
        <f>IF(itens_Remanesc!A177="","",itens_Remanesc!A177)</f>
        <v/>
      </c>
      <c r="K229" s="140" t="str">
        <f>IF(J229="","",IF($F$4="C0",itens_Remanesc!B177,IF($F$4="C1",itens_Remanesc!E177,IF($F$4="C2",itens_Remanesc!G177,IF($F$4="C3",itens_Remanesc!I177,itens_Remanesc!K177)))))</f>
        <v/>
      </c>
      <c r="L229" s="140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43" t="str">
        <f>IF(J229="","",itens_Remanesc!C177)</f>
        <v/>
      </c>
      <c r="N229" s="143" t="str">
        <f>IF(J229="","",IF($F$4="C0",historico_VU!C177,IF($F$4="C1",historico_VU!D177,IF($F$4="C2",historico_VU!E177,IF($F$4="C3",historico_VU!F177,historico_VU!G177)))))</f>
        <v/>
      </c>
      <c r="O229" s="143" t="str">
        <f t="shared" si="16"/>
        <v/>
      </c>
      <c r="P229" s="143" t="str">
        <f t="shared" si="17"/>
        <v/>
      </c>
      <c r="Q229" s="144" t="str">
        <f t="shared" si="18"/>
        <v/>
      </c>
    </row>
    <row r="230" spans="1:17" hidden="1" outlineLevel="1" x14ac:dyDescent="0.35">
      <c r="A230" s="139" t="str">
        <f>IF(historico_VU!A178="","",historico_VU!A178)</f>
        <v/>
      </c>
      <c r="B230" s="140" t="str">
        <f>IF(A230="","",historico_VU!B178)</f>
        <v/>
      </c>
      <c r="C230" s="141" t="str">
        <f>IF(A230="","",historico_VU!C178)</f>
        <v/>
      </c>
      <c r="D230" s="141" t="str">
        <f>IF(A230="","",historico_VU!D178)</f>
        <v/>
      </c>
      <c r="E230" s="141" t="str">
        <f>IF(A230="","",historico_VU!E178)</f>
        <v/>
      </c>
      <c r="F230" s="141" t="str">
        <f>IF(A230="","",historico_VU!F178)</f>
        <v/>
      </c>
      <c r="G230" s="141" t="str">
        <f>IF(A230="","",historico_VU!G178)</f>
        <v/>
      </c>
      <c r="H230" s="142" t="str">
        <f>IF(A230="","",historico_VU!H178)</f>
        <v/>
      </c>
      <c r="I230" s="57"/>
      <c r="J230" s="139" t="str">
        <f>IF(itens_Remanesc!A178="","",itens_Remanesc!A178)</f>
        <v/>
      </c>
      <c r="K230" s="140" t="str">
        <f>IF(J230="","",IF($F$4="C0",itens_Remanesc!B178,IF($F$4="C1",itens_Remanesc!E178,IF($F$4="C2",itens_Remanesc!G178,IF($F$4="C3",itens_Remanesc!I178,itens_Remanesc!K178)))))</f>
        <v/>
      </c>
      <c r="L230" s="140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43" t="str">
        <f>IF(J230="","",itens_Remanesc!C178)</f>
        <v/>
      </c>
      <c r="N230" s="143" t="str">
        <f>IF(J230="","",IF($F$4="C0",historico_VU!C178,IF($F$4="C1",historico_VU!D178,IF($F$4="C2",historico_VU!E178,IF($F$4="C3",historico_VU!F178,historico_VU!G178)))))</f>
        <v/>
      </c>
      <c r="O230" s="143" t="str">
        <f t="shared" si="16"/>
        <v/>
      </c>
      <c r="P230" s="143" t="str">
        <f t="shared" si="17"/>
        <v/>
      </c>
      <c r="Q230" s="144" t="str">
        <f t="shared" si="18"/>
        <v/>
      </c>
    </row>
    <row r="231" spans="1:17" hidden="1" outlineLevel="1" x14ac:dyDescent="0.35">
      <c r="A231" s="139" t="str">
        <f>IF(historico_VU!A179="","",historico_VU!A179)</f>
        <v/>
      </c>
      <c r="B231" s="140" t="str">
        <f>IF(A231="","",historico_VU!B179)</f>
        <v/>
      </c>
      <c r="C231" s="141" t="str">
        <f>IF(A231="","",historico_VU!C179)</f>
        <v/>
      </c>
      <c r="D231" s="141" t="str">
        <f>IF(A231="","",historico_VU!D179)</f>
        <v/>
      </c>
      <c r="E231" s="141" t="str">
        <f>IF(A231="","",historico_VU!E179)</f>
        <v/>
      </c>
      <c r="F231" s="141" t="str">
        <f>IF(A231="","",historico_VU!F179)</f>
        <v/>
      </c>
      <c r="G231" s="141" t="str">
        <f>IF(A231="","",historico_VU!G179)</f>
        <v/>
      </c>
      <c r="H231" s="142" t="str">
        <f>IF(A231="","",historico_VU!H179)</f>
        <v/>
      </c>
      <c r="I231" s="57"/>
      <c r="J231" s="139" t="str">
        <f>IF(itens_Remanesc!A179="","",itens_Remanesc!A179)</f>
        <v/>
      </c>
      <c r="K231" s="140" t="str">
        <f>IF(J231="","",IF($F$4="C0",itens_Remanesc!B179,IF($F$4="C1",itens_Remanesc!E179,IF($F$4="C2",itens_Remanesc!G179,IF($F$4="C3",itens_Remanesc!I179,itens_Remanesc!K179)))))</f>
        <v/>
      </c>
      <c r="L231" s="140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43" t="str">
        <f>IF(J231="","",itens_Remanesc!C179)</f>
        <v/>
      </c>
      <c r="N231" s="143" t="str">
        <f>IF(J231="","",IF($F$4="C0",historico_VU!C179,IF($F$4="C1",historico_VU!D179,IF($F$4="C2",historico_VU!E179,IF($F$4="C3",historico_VU!F179,historico_VU!G179)))))</f>
        <v/>
      </c>
      <c r="O231" s="143" t="str">
        <f t="shared" si="16"/>
        <v/>
      </c>
      <c r="P231" s="143" t="str">
        <f t="shared" si="17"/>
        <v/>
      </c>
      <c r="Q231" s="144" t="str">
        <f t="shared" si="18"/>
        <v/>
      </c>
    </row>
    <row r="232" spans="1:17" hidden="1" outlineLevel="1" x14ac:dyDescent="0.35">
      <c r="A232" s="139" t="str">
        <f>IF(historico_VU!A180="","",historico_VU!A180)</f>
        <v/>
      </c>
      <c r="B232" s="140" t="str">
        <f>IF(A232="","",historico_VU!B180)</f>
        <v/>
      </c>
      <c r="C232" s="141" t="str">
        <f>IF(A232="","",historico_VU!C180)</f>
        <v/>
      </c>
      <c r="D232" s="141" t="str">
        <f>IF(A232="","",historico_VU!D180)</f>
        <v/>
      </c>
      <c r="E232" s="141" t="str">
        <f>IF(A232="","",historico_VU!E180)</f>
        <v/>
      </c>
      <c r="F232" s="141" t="str">
        <f>IF(A232="","",historico_VU!F180)</f>
        <v/>
      </c>
      <c r="G232" s="141" t="str">
        <f>IF(A232="","",historico_VU!G180)</f>
        <v/>
      </c>
      <c r="H232" s="142" t="str">
        <f>IF(A232="","",historico_VU!H180)</f>
        <v/>
      </c>
      <c r="I232" s="57"/>
      <c r="J232" s="139" t="str">
        <f>IF(itens_Remanesc!A180="","",itens_Remanesc!A180)</f>
        <v/>
      </c>
      <c r="K232" s="140" t="str">
        <f>IF(J232="","",IF($F$4="C0",itens_Remanesc!B180,IF($F$4="C1",itens_Remanesc!E180,IF($F$4="C2",itens_Remanesc!G180,IF($F$4="C3",itens_Remanesc!I180,itens_Remanesc!K180)))))</f>
        <v/>
      </c>
      <c r="L232" s="140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43" t="str">
        <f>IF(J232="","",itens_Remanesc!C180)</f>
        <v/>
      </c>
      <c r="N232" s="143" t="str">
        <f>IF(J232="","",IF($F$4="C0",historico_VU!C180,IF($F$4="C1",historico_VU!D180,IF($F$4="C2",historico_VU!E180,IF($F$4="C3",historico_VU!F180,historico_VU!G180)))))</f>
        <v/>
      </c>
      <c r="O232" s="143" t="str">
        <f t="shared" si="16"/>
        <v/>
      </c>
      <c r="P232" s="143" t="str">
        <f t="shared" si="17"/>
        <v/>
      </c>
      <c r="Q232" s="144" t="str">
        <f t="shared" si="18"/>
        <v/>
      </c>
    </row>
    <row r="233" spans="1:17" hidden="1" outlineLevel="1" x14ac:dyDescent="0.35">
      <c r="A233" s="139" t="str">
        <f>IF(historico_VU!A181="","",historico_VU!A181)</f>
        <v/>
      </c>
      <c r="B233" s="140" t="str">
        <f>IF(A233="","",historico_VU!B181)</f>
        <v/>
      </c>
      <c r="C233" s="141" t="str">
        <f>IF(A233="","",historico_VU!C181)</f>
        <v/>
      </c>
      <c r="D233" s="141" t="str">
        <f>IF(A233="","",historico_VU!D181)</f>
        <v/>
      </c>
      <c r="E233" s="141" t="str">
        <f>IF(A233="","",historico_VU!E181)</f>
        <v/>
      </c>
      <c r="F233" s="141" t="str">
        <f>IF(A233="","",historico_VU!F181)</f>
        <v/>
      </c>
      <c r="G233" s="141" t="str">
        <f>IF(A233="","",historico_VU!G181)</f>
        <v/>
      </c>
      <c r="H233" s="142" t="str">
        <f>IF(A233="","",historico_VU!H181)</f>
        <v/>
      </c>
      <c r="I233" s="57"/>
      <c r="J233" s="139" t="str">
        <f>IF(itens_Remanesc!A181="","",itens_Remanesc!A181)</f>
        <v/>
      </c>
      <c r="K233" s="140" t="str">
        <f>IF(J233="","",IF($F$4="C0",itens_Remanesc!B181,IF($F$4="C1",itens_Remanesc!E181,IF($F$4="C2",itens_Remanesc!G181,IF($F$4="C3",itens_Remanesc!I181,itens_Remanesc!K181)))))</f>
        <v/>
      </c>
      <c r="L233" s="140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43" t="str">
        <f>IF(J233="","",itens_Remanesc!C181)</f>
        <v/>
      </c>
      <c r="N233" s="143" t="str">
        <f>IF(J233="","",IF($F$4="C0",historico_VU!C181,IF($F$4="C1",historico_VU!D181,IF($F$4="C2",historico_VU!E181,IF($F$4="C3",historico_VU!F181,historico_VU!G181)))))</f>
        <v/>
      </c>
      <c r="O233" s="143" t="str">
        <f t="shared" si="16"/>
        <v/>
      </c>
      <c r="P233" s="143" t="str">
        <f t="shared" si="17"/>
        <v/>
      </c>
      <c r="Q233" s="144" t="str">
        <f t="shared" si="18"/>
        <v/>
      </c>
    </row>
    <row r="234" spans="1:17" hidden="1" outlineLevel="1" x14ac:dyDescent="0.35">
      <c r="A234" s="139" t="str">
        <f>IF(historico_VU!A182="","",historico_VU!A182)</f>
        <v/>
      </c>
      <c r="B234" s="140" t="str">
        <f>IF(A234="","",historico_VU!B182)</f>
        <v/>
      </c>
      <c r="C234" s="141" t="str">
        <f>IF(A234="","",historico_VU!C182)</f>
        <v/>
      </c>
      <c r="D234" s="141" t="str">
        <f>IF(A234="","",historico_VU!D182)</f>
        <v/>
      </c>
      <c r="E234" s="141" t="str">
        <f>IF(A234="","",historico_VU!E182)</f>
        <v/>
      </c>
      <c r="F234" s="141" t="str">
        <f>IF(A234="","",historico_VU!F182)</f>
        <v/>
      </c>
      <c r="G234" s="141" t="str">
        <f>IF(A234="","",historico_VU!G182)</f>
        <v/>
      </c>
      <c r="H234" s="142" t="str">
        <f>IF(A234="","",historico_VU!H182)</f>
        <v/>
      </c>
      <c r="I234" s="57"/>
      <c r="J234" s="139" t="str">
        <f>IF(itens_Remanesc!A182="","",itens_Remanesc!A182)</f>
        <v/>
      </c>
      <c r="K234" s="140" t="str">
        <f>IF(J234="","",IF($F$4="C0",itens_Remanesc!B182,IF($F$4="C1",itens_Remanesc!E182,IF($F$4="C2",itens_Remanesc!G182,IF($F$4="C3",itens_Remanesc!I182,itens_Remanesc!K182)))))</f>
        <v/>
      </c>
      <c r="L234" s="140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43" t="str">
        <f>IF(J234="","",itens_Remanesc!C182)</f>
        <v/>
      </c>
      <c r="N234" s="143" t="str">
        <f>IF(J234="","",IF($F$4="C0",historico_VU!C182,IF($F$4="C1",historico_VU!D182,IF($F$4="C2",historico_VU!E182,IF($F$4="C3",historico_VU!F182,historico_VU!G182)))))</f>
        <v/>
      </c>
      <c r="O234" s="143" t="str">
        <f t="shared" si="16"/>
        <v/>
      </c>
      <c r="P234" s="143" t="str">
        <f t="shared" si="17"/>
        <v/>
      </c>
      <c r="Q234" s="144" t="str">
        <f t="shared" si="18"/>
        <v/>
      </c>
    </row>
    <row r="235" spans="1:17" hidden="1" outlineLevel="1" x14ac:dyDescent="0.35">
      <c r="A235" s="139" t="str">
        <f>IF(historico_VU!A183="","",historico_VU!A183)</f>
        <v/>
      </c>
      <c r="B235" s="140" t="str">
        <f>IF(A235="","",historico_VU!B183)</f>
        <v/>
      </c>
      <c r="C235" s="141" t="str">
        <f>IF(A235="","",historico_VU!C183)</f>
        <v/>
      </c>
      <c r="D235" s="141" t="str">
        <f>IF(A235="","",historico_VU!D183)</f>
        <v/>
      </c>
      <c r="E235" s="141" t="str">
        <f>IF(A235="","",historico_VU!E183)</f>
        <v/>
      </c>
      <c r="F235" s="141" t="str">
        <f>IF(A235="","",historico_VU!F183)</f>
        <v/>
      </c>
      <c r="G235" s="141" t="str">
        <f>IF(A235="","",historico_VU!G183)</f>
        <v/>
      </c>
      <c r="H235" s="142" t="str">
        <f>IF(A235="","",historico_VU!H183)</f>
        <v/>
      </c>
      <c r="I235" s="57"/>
      <c r="J235" s="139" t="str">
        <f>IF(itens_Remanesc!A183="","",itens_Remanesc!A183)</f>
        <v/>
      </c>
      <c r="K235" s="140" t="str">
        <f>IF(J235="","",IF($F$4="C0",itens_Remanesc!B183,IF($F$4="C1",itens_Remanesc!E183,IF($F$4="C2",itens_Remanesc!G183,IF($F$4="C3",itens_Remanesc!I183,itens_Remanesc!K183)))))</f>
        <v/>
      </c>
      <c r="L235" s="140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43" t="str">
        <f>IF(J235="","",itens_Remanesc!C183)</f>
        <v/>
      </c>
      <c r="N235" s="143" t="str">
        <f>IF(J235="","",IF($F$4="C0",historico_VU!C183,IF($F$4="C1",historico_VU!D183,IF($F$4="C2",historico_VU!E183,IF($F$4="C3",historico_VU!F183,historico_VU!G183)))))</f>
        <v/>
      </c>
      <c r="O235" s="143" t="str">
        <f t="shared" si="16"/>
        <v/>
      </c>
      <c r="P235" s="143" t="str">
        <f t="shared" si="17"/>
        <v/>
      </c>
      <c r="Q235" s="144" t="str">
        <f t="shared" si="18"/>
        <v/>
      </c>
    </row>
    <row r="236" spans="1:17" hidden="1" outlineLevel="1" x14ac:dyDescent="0.35">
      <c r="A236" s="139" t="str">
        <f>IF(historico_VU!A184="","",historico_VU!A184)</f>
        <v/>
      </c>
      <c r="B236" s="140" t="str">
        <f>IF(A236="","",historico_VU!B184)</f>
        <v/>
      </c>
      <c r="C236" s="141" t="str">
        <f>IF(A236="","",historico_VU!C184)</f>
        <v/>
      </c>
      <c r="D236" s="141" t="str">
        <f>IF(A236="","",historico_VU!D184)</f>
        <v/>
      </c>
      <c r="E236" s="141" t="str">
        <f>IF(A236="","",historico_VU!E184)</f>
        <v/>
      </c>
      <c r="F236" s="141" t="str">
        <f>IF(A236="","",historico_VU!F184)</f>
        <v/>
      </c>
      <c r="G236" s="141" t="str">
        <f>IF(A236="","",historico_VU!G184)</f>
        <v/>
      </c>
      <c r="H236" s="142" t="str">
        <f>IF(A236="","",historico_VU!H184)</f>
        <v/>
      </c>
      <c r="I236" s="57"/>
      <c r="J236" s="139" t="str">
        <f>IF(itens_Remanesc!A184="","",itens_Remanesc!A184)</f>
        <v/>
      </c>
      <c r="K236" s="140" t="str">
        <f>IF(J236="","",IF($F$4="C0",itens_Remanesc!B184,IF($F$4="C1",itens_Remanesc!E184,IF($F$4="C2",itens_Remanesc!G184,IF($F$4="C3",itens_Remanesc!I184,itens_Remanesc!K184)))))</f>
        <v/>
      </c>
      <c r="L236" s="140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43" t="str">
        <f>IF(J236="","",itens_Remanesc!C184)</f>
        <v/>
      </c>
      <c r="N236" s="143" t="str">
        <f>IF(J236="","",IF($F$4="C0",historico_VU!C184,IF($F$4="C1",historico_VU!D184,IF($F$4="C2",historico_VU!E184,IF($F$4="C3",historico_VU!F184,historico_VU!G184)))))</f>
        <v/>
      </c>
      <c r="O236" s="143" t="str">
        <f t="shared" si="16"/>
        <v/>
      </c>
      <c r="P236" s="143" t="str">
        <f t="shared" si="17"/>
        <v/>
      </c>
      <c r="Q236" s="144" t="str">
        <f t="shared" si="18"/>
        <v/>
      </c>
    </row>
    <row r="237" spans="1:17" hidden="1" outlineLevel="1" x14ac:dyDescent="0.35">
      <c r="A237" s="139" t="str">
        <f>IF(historico_VU!A185="","",historico_VU!A185)</f>
        <v/>
      </c>
      <c r="B237" s="140" t="str">
        <f>IF(A237="","",historico_VU!B185)</f>
        <v/>
      </c>
      <c r="C237" s="141" t="str">
        <f>IF(A237="","",historico_VU!C185)</f>
        <v/>
      </c>
      <c r="D237" s="141" t="str">
        <f>IF(A237="","",historico_VU!D185)</f>
        <v/>
      </c>
      <c r="E237" s="141" t="str">
        <f>IF(A237="","",historico_VU!E185)</f>
        <v/>
      </c>
      <c r="F237" s="141" t="str">
        <f>IF(A237="","",historico_VU!F185)</f>
        <v/>
      </c>
      <c r="G237" s="141" t="str">
        <f>IF(A237="","",historico_VU!G185)</f>
        <v/>
      </c>
      <c r="H237" s="142" t="str">
        <f>IF(A237="","",historico_VU!H185)</f>
        <v/>
      </c>
      <c r="I237" s="57"/>
      <c r="J237" s="139" t="str">
        <f>IF(itens_Remanesc!A185="","",itens_Remanesc!A185)</f>
        <v/>
      </c>
      <c r="K237" s="140" t="str">
        <f>IF(J237="","",IF($F$4="C0",itens_Remanesc!B185,IF($F$4="C1",itens_Remanesc!E185,IF($F$4="C2",itens_Remanesc!G185,IF($F$4="C3",itens_Remanesc!I185,itens_Remanesc!K185)))))</f>
        <v/>
      </c>
      <c r="L237" s="140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43" t="str">
        <f>IF(J237="","",itens_Remanesc!C185)</f>
        <v/>
      </c>
      <c r="N237" s="143" t="str">
        <f>IF(J237="","",IF($F$4="C0",historico_VU!C185,IF($F$4="C1",historico_VU!D185,IF($F$4="C2",historico_VU!E185,IF($F$4="C3",historico_VU!F185,historico_VU!G185)))))</f>
        <v/>
      </c>
      <c r="O237" s="143" t="str">
        <f t="shared" si="16"/>
        <v/>
      </c>
      <c r="P237" s="143" t="str">
        <f t="shared" si="17"/>
        <v/>
      </c>
      <c r="Q237" s="144" t="str">
        <f t="shared" si="18"/>
        <v/>
      </c>
    </row>
    <row r="238" spans="1:17" hidden="1" outlineLevel="1" x14ac:dyDescent="0.35">
      <c r="A238" s="139" t="str">
        <f>IF(historico_VU!A186="","",historico_VU!A186)</f>
        <v/>
      </c>
      <c r="B238" s="140" t="str">
        <f>IF(A238="","",historico_VU!B186)</f>
        <v/>
      </c>
      <c r="C238" s="141" t="str">
        <f>IF(A238="","",historico_VU!C186)</f>
        <v/>
      </c>
      <c r="D238" s="141" t="str">
        <f>IF(A238="","",historico_VU!D186)</f>
        <v/>
      </c>
      <c r="E238" s="141" t="str">
        <f>IF(A238="","",historico_VU!E186)</f>
        <v/>
      </c>
      <c r="F238" s="141" t="str">
        <f>IF(A238="","",historico_VU!F186)</f>
        <v/>
      </c>
      <c r="G238" s="141" t="str">
        <f>IF(A238="","",historico_VU!G186)</f>
        <v/>
      </c>
      <c r="H238" s="142" t="str">
        <f>IF(A238="","",historico_VU!H186)</f>
        <v/>
      </c>
      <c r="I238" s="57"/>
      <c r="J238" s="139" t="str">
        <f>IF(itens_Remanesc!A186="","",itens_Remanesc!A186)</f>
        <v/>
      </c>
      <c r="K238" s="140" t="str">
        <f>IF(J238="","",IF($F$4="C0",itens_Remanesc!B186,IF($F$4="C1",itens_Remanesc!E186,IF($F$4="C2",itens_Remanesc!G186,IF($F$4="C3",itens_Remanesc!I186,itens_Remanesc!K186)))))</f>
        <v/>
      </c>
      <c r="L238" s="140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43" t="str">
        <f>IF(J238="","",itens_Remanesc!C186)</f>
        <v/>
      </c>
      <c r="N238" s="143" t="str">
        <f>IF(J238="","",IF($F$4="C0",historico_VU!C186,IF($F$4="C1",historico_VU!D186,IF($F$4="C2",historico_VU!E186,IF($F$4="C3",historico_VU!F186,historico_VU!G186)))))</f>
        <v/>
      </c>
      <c r="O238" s="143" t="str">
        <f t="shared" si="16"/>
        <v/>
      </c>
      <c r="P238" s="143" t="str">
        <f t="shared" si="17"/>
        <v/>
      </c>
      <c r="Q238" s="144" t="str">
        <f t="shared" si="18"/>
        <v/>
      </c>
    </row>
    <row r="239" spans="1:17" hidden="1" outlineLevel="1" x14ac:dyDescent="0.35">
      <c r="A239" s="139" t="str">
        <f>IF(historico_VU!A187="","",historico_VU!A187)</f>
        <v/>
      </c>
      <c r="B239" s="140" t="str">
        <f>IF(A239="","",historico_VU!B187)</f>
        <v/>
      </c>
      <c r="C239" s="141" t="str">
        <f>IF(A239="","",historico_VU!C187)</f>
        <v/>
      </c>
      <c r="D239" s="141" t="str">
        <f>IF(A239="","",historico_VU!D187)</f>
        <v/>
      </c>
      <c r="E239" s="141" t="str">
        <f>IF(A239="","",historico_VU!E187)</f>
        <v/>
      </c>
      <c r="F239" s="141" t="str">
        <f>IF(A239="","",historico_VU!F187)</f>
        <v/>
      </c>
      <c r="G239" s="141" t="str">
        <f>IF(A239="","",historico_VU!G187)</f>
        <v/>
      </c>
      <c r="H239" s="142" t="str">
        <f>IF(A239="","",historico_VU!H187)</f>
        <v/>
      </c>
      <c r="I239" s="57"/>
      <c r="J239" s="139" t="str">
        <f>IF(itens_Remanesc!A187="","",itens_Remanesc!A187)</f>
        <v/>
      </c>
      <c r="K239" s="140" t="str">
        <f>IF(J239="","",IF($F$4="C0",itens_Remanesc!B187,IF($F$4="C1",itens_Remanesc!E187,IF($F$4="C2",itens_Remanesc!G187,IF($F$4="C3",itens_Remanesc!I187,itens_Remanesc!K187)))))</f>
        <v/>
      </c>
      <c r="L239" s="140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43" t="str">
        <f>IF(J239="","",itens_Remanesc!C187)</f>
        <v/>
      </c>
      <c r="N239" s="143" t="str">
        <f>IF(J239="","",IF($F$4="C0",historico_VU!C187,IF($F$4="C1",historico_VU!D187,IF($F$4="C2",historico_VU!E187,IF($F$4="C3",historico_VU!F187,historico_VU!G187)))))</f>
        <v/>
      </c>
      <c r="O239" s="143" t="str">
        <f t="shared" si="16"/>
        <v/>
      </c>
      <c r="P239" s="143" t="str">
        <f t="shared" si="17"/>
        <v/>
      </c>
      <c r="Q239" s="144" t="str">
        <f t="shared" si="18"/>
        <v/>
      </c>
    </row>
    <row r="240" spans="1:17" hidden="1" outlineLevel="1" x14ac:dyDescent="0.35">
      <c r="A240" s="139" t="str">
        <f>IF(historico_VU!A188="","",historico_VU!A188)</f>
        <v/>
      </c>
      <c r="B240" s="140" t="str">
        <f>IF(A240="","",historico_VU!B188)</f>
        <v/>
      </c>
      <c r="C240" s="141" t="str">
        <f>IF(A240="","",historico_VU!C188)</f>
        <v/>
      </c>
      <c r="D240" s="141" t="str">
        <f>IF(A240="","",historico_VU!D188)</f>
        <v/>
      </c>
      <c r="E240" s="141" t="str">
        <f>IF(A240="","",historico_VU!E188)</f>
        <v/>
      </c>
      <c r="F240" s="141" t="str">
        <f>IF(A240="","",historico_VU!F188)</f>
        <v/>
      </c>
      <c r="G240" s="141" t="str">
        <f>IF(A240="","",historico_VU!G188)</f>
        <v/>
      </c>
      <c r="H240" s="142" t="str">
        <f>IF(A240="","",historico_VU!H188)</f>
        <v/>
      </c>
      <c r="I240" s="57"/>
      <c r="J240" s="139" t="str">
        <f>IF(itens_Remanesc!A188="","",itens_Remanesc!A188)</f>
        <v/>
      </c>
      <c r="K240" s="140" t="str">
        <f>IF(J240="","",IF($F$4="C0",itens_Remanesc!B188,IF($F$4="C1",itens_Remanesc!E188,IF($F$4="C2",itens_Remanesc!G188,IF($F$4="C3",itens_Remanesc!I188,itens_Remanesc!K188)))))</f>
        <v/>
      </c>
      <c r="L240" s="140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43" t="str">
        <f>IF(J240="","",itens_Remanesc!C188)</f>
        <v/>
      </c>
      <c r="N240" s="143" t="str">
        <f>IF(J240="","",IF($F$4="C0",historico_VU!C188,IF($F$4="C1",historico_VU!D188,IF($F$4="C2",historico_VU!E188,IF($F$4="C3",historico_VU!F188,historico_VU!G188)))))</f>
        <v/>
      </c>
      <c r="O240" s="143" t="str">
        <f t="shared" si="16"/>
        <v/>
      </c>
      <c r="P240" s="143" t="str">
        <f t="shared" si="17"/>
        <v/>
      </c>
      <c r="Q240" s="144" t="str">
        <f t="shared" si="18"/>
        <v/>
      </c>
    </row>
    <row r="241" spans="1:17" hidden="1" outlineLevel="1" x14ac:dyDescent="0.35">
      <c r="A241" s="139" t="str">
        <f>IF(historico_VU!A189="","",historico_VU!A189)</f>
        <v/>
      </c>
      <c r="B241" s="140" t="str">
        <f>IF(A241="","",historico_VU!B189)</f>
        <v/>
      </c>
      <c r="C241" s="141" t="str">
        <f>IF(A241="","",historico_VU!C189)</f>
        <v/>
      </c>
      <c r="D241" s="141" t="str">
        <f>IF(A241="","",historico_VU!D189)</f>
        <v/>
      </c>
      <c r="E241" s="141" t="str">
        <f>IF(A241="","",historico_VU!E189)</f>
        <v/>
      </c>
      <c r="F241" s="141" t="str">
        <f>IF(A241="","",historico_VU!F189)</f>
        <v/>
      </c>
      <c r="G241" s="141" t="str">
        <f>IF(A241="","",historico_VU!G189)</f>
        <v/>
      </c>
      <c r="H241" s="142" t="str">
        <f>IF(A241="","",historico_VU!H189)</f>
        <v/>
      </c>
      <c r="I241" s="57"/>
      <c r="J241" s="139" t="str">
        <f>IF(itens_Remanesc!A189="","",itens_Remanesc!A189)</f>
        <v/>
      </c>
      <c r="K241" s="140" t="str">
        <f>IF(J241="","",IF($F$4="C0",itens_Remanesc!B189,IF($F$4="C1",itens_Remanesc!E189,IF($F$4="C2",itens_Remanesc!G189,IF($F$4="C3",itens_Remanesc!I189,itens_Remanesc!K189)))))</f>
        <v/>
      </c>
      <c r="L241" s="140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43" t="str">
        <f>IF(J241="","",itens_Remanesc!C189)</f>
        <v/>
      </c>
      <c r="N241" s="143" t="str">
        <f>IF(J241="","",IF($F$4="C0",historico_VU!C189,IF($F$4="C1",historico_VU!D189,IF($F$4="C2",historico_VU!E189,IF($F$4="C3",historico_VU!F189,historico_VU!G189)))))</f>
        <v/>
      </c>
      <c r="O241" s="143" t="str">
        <f t="shared" si="16"/>
        <v/>
      </c>
      <c r="P241" s="143" t="str">
        <f t="shared" si="17"/>
        <v/>
      </c>
      <c r="Q241" s="144" t="str">
        <f t="shared" si="18"/>
        <v/>
      </c>
    </row>
    <row r="242" spans="1:17" hidden="1" outlineLevel="1" x14ac:dyDescent="0.35">
      <c r="A242" s="139" t="str">
        <f>IF(historico_VU!A190="","",historico_VU!A190)</f>
        <v/>
      </c>
      <c r="B242" s="140" t="str">
        <f>IF(A242="","",historico_VU!B190)</f>
        <v/>
      </c>
      <c r="C242" s="141" t="str">
        <f>IF(A242="","",historico_VU!C190)</f>
        <v/>
      </c>
      <c r="D242" s="141" t="str">
        <f>IF(A242="","",historico_VU!D190)</f>
        <v/>
      </c>
      <c r="E242" s="141" t="str">
        <f>IF(A242="","",historico_VU!E190)</f>
        <v/>
      </c>
      <c r="F242" s="141" t="str">
        <f>IF(A242="","",historico_VU!F190)</f>
        <v/>
      </c>
      <c r="G242" s="141" t="str">
        <f>IF(A242="","",historico_VU!G190)</f>
        <v/>
      </c>
      <c r="H242" s="142" t="str">
        <f>IF(A242="","",historico_VU!H190)</f>
        <v/>
      </c>
      <c r="I242" s="57"/>
      <c r="J242" s="139" t="str">
        <f>IF(itens_Remanesc!A190="","",itens_Remanesc!A190)</f>
        <v/>
      </c>
      <c r="K242" s="140" t="str">
        <f>IF(J242="","",IF($F$4="C0",itens_Remanesc!B190,IF($F$4="C1",itens_Remanesc!E190,IF($F$4="C2",itens_Remanesc!G190,IF($F$4="C3",itens_Remanesc!I190,itens_Remanesc!K190)))))</f>
        <v/>
      </c>
      <c r="L242" s="140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43" t="str">
        <f>IF(J242="","",itens_Remanesc!C190)</f>
        <v/>
      </c>
      <c r="N242" s="143" t="str">
        <f>IF(J242="","",IF($F$4="C0",historico_VU!C190,IF($F$4="C1",historico_VU!D190,IF($F$4="C2",historico_VU!E190,IF($F$4="C3",historico_VU!F190,historico_VU!G190)))))</f>
        <v/>
      </c>
      <c r="O242" s="143" t="str">
        <f t="shared" si="16"/>
        <v/>
      </c>
      <c r="P242" s="143" t="str">
        <f t="shared" si="17"/>
        <v/>
      </c>
      <c r="Q242" s="144" t="str">
        <f t="shared" si="18"/>
        <v/>
      </c>
    </row>
    <row r="243" spans="1:17" hidden="1" outlineLevel="1" x14ac:dyDescent="0.35">
      <c r="A243" s="139" t="str">
        <f>IF(historico_VU!A191="","",historico_VU!A191)</f>
        <v/>
      </c>
      <c r="B243" s="140" t="str">
        <f>IF(A243="","",historico_VU!B191)</f>
        <v/>
      </c>
      <c r="C243" s="141" t="str">
        <f>IF(A243="","",historico_VU!C191)</f>
        <v/>
      </c>
      <c r="D243" s="141" t="str">
        <f>IF(A243="","",historico_VU!D191)</f>
        <v/>
      </c>
      <c r="E243" s="141" t="str">
        <f>IF(A243="","",historico_VU!E191)</f>
        <v/>
      </c>
      <c r="F243" s="141" t="str">
        <f>IF(A243="","",historico_VU!F191)</f>
        <v/>
      </c>
      <c r="G243" s="141" t="str">
        <f>IF(A243="","",historico_VU!G191)</f>
        <v/>
      </c>
      <c r="H243" s="142" t="str">
        <f>IF(A243="","",historico_VU!H191)</f>
        <v/>
      </c>
      <c r="I243" s="57"/>
      <c r="J243" s="139" t="str">
        <f>IF(itens_Remanesc!A191="","",itens_Remanesc!A191)</f>
        <v/>
      </c>
      <c r="K243" s="140" t="str">
        <f>IF(J243="","",IF($F$4="C0",itens_Remanesc!B191,IF($F$4="C1",itens_Remanesc!E191,IF($F$4="C2",itens_Remanesc!G191,IF($F$4="C3",itens_Remanesc!I191,itens_Remanesc!K191)))))</f>
        <v/>
      </c>
      <c r="L243" s="140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43" t="str">
        <f>IF(J243="","",itens_Remanesc!C191)</f>
        <v/>
      </c>
      <c r="N243" s="143" t="str">
        <f>IF(J243="","",IF($F$4="C0",historico_VU!C191,IF($F$4="C1",historico_VU!D191,IF($F$4="C2",historico_VU!E191,IF($F$4="C3",historico_VU!F191,historico_VU!G191)))))</f>
        <v/>
      </c>
      <c r="O243" s="143" t="str">
        <f t="shared" si="16"/>
        <v/>
      </c>
      <c r="P243" s="143" t="str">
        <f t="shared" si="17"/>
        <v/>
      </c>
      <c r="Q243" s="144" t="str">
        <f t="shared" si="18"/>
        <v/>
      </c>
    </row>
    <row r="244" spans="1:17" hidden="1" outlineLevel="1" x14ac:dyDescent="0.35">
      <c r="A244" s="139" t="str">
        <f>IF(historico_VU!A192="","",historico_VU!A192)</f>
        <v/>
      </c>
      <c r="B244" s="140" t="str">
        <f>IF(A244="","",historico_VU!B192)</f>
        <v/>
      </c>
      <c r="C244" s="141" t="str">
        <f>IF(A244="","",historico_VU!C192)</f>
        <v/>
      </c>
      <c r="D244" s="141" t="str">
        <f>IF(A244="","",historico_VU!D192)</f>
        <v/>
      </c>
      <c r="E244" s="141" t="str">
        <f>IF(A244="","",historico_VU!E192)</f>
        <v/>
      </c>
      <c r="F244" s="141" t="str">
        <f>IF(A244="","",historico_VU!F192)</f>
        <v/>
      </c>
      <c r="G244" s="141" t="str">
        <f>IF(A244="","",historico_VU!G192)</f>
        <v/>
      </c>
      <c r="H244" s="142" t="str">
        <f>IF(A244="","",historico_VU!H192)</f>
        <v/>
      </c>
      <c r="I244" s="57"/>
      <c r="J244" s="139" t="str">
        <f>IF(itens_Remanesc!A192="","",itens_Remanesc!A192)</f>
        <v/>
      </c>
      <c r="K244" s="140" t="str">
        <f>IF(J244="","",IF($F$4="C0",itens_Remanesc!B192,IF($F$4="C1",itens_Remanesc!E192,IF($F$4="C2",itens_Remanesc!G192,IF($F$4="C3",itens_Remanesc!I192,itens_Remanesc!K192)))))</f>
        <v/>
      </c>
      <c r="L244" s="140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43" t="str">
        <f>IF(J244="","",itens_Remanesc!C192)</f>
        <v/>
      </c>
      <c r="N244" s="143" t="str">
        <f>IF(J244="","",IF($F$4="C0",historico_VU!C192,IF($F$4="C1",historico_VU!D192,IF($F$4="C2",historico_VU!E192,IF($F$4="C3",historico_VU!F192,historico_VU!G192)))))</f>
        <v/>
      </c>
      <c r="O244" s="143" t="str">
        <f t="shared" si="16"/>
        <v/>
      </c>
      <c r="P244" s="143" t="str">
        <f t="shared" si="17"/>
        <v/>
      </c>
      <c r="Q244" s="144" t="str">
        <f t="shared" si="18"/>
        <v/>
      </c>
    </row>
    <row r="245" spans="1:17" hidden="1" outlineLevel="1" x14ac:dyDescent="0.35">
      <c r="A245" s="139" t="str">
        <f>IF(historico_VU!A193="","",historico_VU!A193)</f>
        <v/>
      </c>
      <c r="B245" s="140" t="str">
        <f>IF(A245="","",historico_VU!B193)</f>
        <v/>
      </c>
      <c r="C245" s="141" t="str">
        <f>IF(A245="","",historico_VU!C193)</f>
        <v/>
      </c>
      <c r="D245" s="141" t="str">
        <f>IF(A245="","",historico_VU!D193)</f>
        <v/>
      </c>
      <c r="E245" s="141" t="str">
        <f>IF(A245="","",historico_VU!E193)</f>
        <v/>
      </c>
      <c r="F245" s="141" t="str">
        <f>IF(A245="","",historico_VU!F193)</f>
        <v/>
      </c>
      <c r="G245" s="141" t="str">
        <f>IF(A245="","",historico_VU!G193)</f>
        <v/>
      </c>
      <c r="H245" s="142" t="str">
        <f>IF(A245="","",historico_VU!H193)</f>
        <v/>
      </c>
      <c r="I245" s="57"/>
      <c r="J245" s="139" t="str">
        <f>IF(itens_Remanesc!A193="","",itens_Remanesc!A193)</f>
        <v/>
      </c>
      <c r="K245" s="140" t="str">
        <f>IF(J245="","",IF($F$4="C0",itens_Remanesc!B193,IF($F$4="C1",itens_Remanesc!E193,IF($F$4="C2",itens_Remanesc!G193,IF($F$4="C3",itens_Remanesc!I193,itens_Remanesc!K193)))))</f>
        <v/>
      </c>
      <c r="L245" s="140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43" t="str">
        <f>IF(J245="","",itens_Remanesc!C193)</f>
        <v/>
      </c>
      <c r="N245" s="143" t="str">
        <f>IF(J245="","",IF($F$4="C0",historico_VU!C193,IF($F$4="C1",historico_VU!D193,IF($F$4="C2",historico_VU!E193,IF($F$4="C3",historico_VU!F193,historico_VU!G193)))))</f>
        <v/>
      </c>
      <c r="O245" s="143" t="str">
        <f t="shared" si="16"/>
        <v/>
      </c>
      <c r="P245" s="143" t="str">
        <f t="shared" si="17"/>
        <v/>
      </c>
      <c r="Q245" s="144" t="str">
        <f t="shared" si="18"/>
        <v/>
      </c>
    </row>
    <row r="246" spans="1:17" hidden="1" outlineLevel="1" x14ac:dyDescent="0.35">
      <c r="A246" s="139" t="str">
        <f>IF(historico_VU!A194="","",historico_VU!A194)</f>
        <v/>
      </c>
      <c r="B246" s="140" t="str">
        <f>IF(A246="","",historico_VU!B194)</f>
        <v/>
      </c>
      <c r="C246" s="141" t="str">
        <f>IF(A246="","",historico_VU!C194)</f>
        <v/>
      </c>
      <c r="D246" s="141" t="str">
        <f>IF(A246="","",historico_VU!D194)</f>
        <v/>
      </c>
      <c r="E246" s="141" t="str">
        <f>IF(A246="","",historico_VU!E194)</f>
        <v/>
      </c>
      <c r="F246" s="141" t="str">
        <f>IF(A246="","",historico_VU!F194)</f>
        <v/>
      </c>
      <c r="G246" s="141" t="str">
        <f>IF(A246="","",historico_VU!G194)</f>
        <v/>
      </c>
      <c r="H246" s="142" t="str">
        <f>IF(A246="","",historico_VU!H194)</f>
        <v/>
      </c>
      <c r="I246" s="57"/>
      <c r="J246" s="139" t="str">
        <f>IF(itens_Remanesc!A194="","",itens_Remanesc!A194)</f>
        <v/>
      </c>
      <c r="K246" s="140" t="str">
        <f>IF(J246="","",IF($F$4="C0",itens_Remanesc!B194,IF($F$4="C1",itens_Remanesc!E194,IF($F$4="C2",itens_Remanesc!G194,IF($F$4="C3",itens_Remanesc!I194,itens_Remanesc!K194)))))</f>
        <v/>
      </c>
      <c r="L246" s="140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43" t="str">
        <f>IF(J246="","",itens_Remanesc!C194)</f>
        <v/>
      </c>
      <c r="N246" s="143" t="str">
        <f>IF(J246="","",IF($F$4="C0",historico_VU!C194,IF($F$4="C1",historico_VU!D194,IF($F$4="C2",historico_VU!E194,IF($F$4="C3",historico_VU!F194,historico_VU!G194)))))</f>
        <v/>
      </c>
      <c r="O246" s="143" t="str">
        <f t="shared" ref="O246:O253" si="19">IF(J246="","",IF(OR($B$4="Financeiro",$B$4="PCs"),IF(OR(K246="",M246=""),"",ROUND(K246*M246,2)),IF($B$4="Itens",IF(OR(L246="",M246=""),"",ROUND(L246*M246,2)),"")))</f>
        <v/>
      </c>
      <c r="P246" s="143" t="str">
        <f t="shared" ref="P246:P253" si="20">IF(J246="","",IF(OR($B$4="Financeiro",$B$4="PCs"),IF(OR(K246="",N246=""),"",ROUND(K246*N246,2)),IF($B$4="Itens",IF(OR(L246="",N246=""),"",ROUND(L246*N246,2)),"")))</f>
        <v/>
      </c>
      <c r="Q246" s="144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39" t="str">
        <f>IF(historico_VU!A195="","",historico_VU!A195)</f>
        <v/>
      </c>
      <c r="B247" s="140" t="str">
        <f>IF(A247="","",historico_VU!B195)</f>
        <v/>
      </c>
      <c r="C247" s="141" t="str">
        <f>IF(A247="","",historico_VU!C195)</f>
        <v/>
      </c>
      <c r="D247" s="141" t="str">
        <f>IF(A247="","",historico_VU!D195)</f>
        <v/>
      </c>
      <c r="E247" s="141" t="str">
        <f>IF(A247="","",historico_VU!E195)</f>
        <v/>
      </c>
      <c r="F247" s="141" t="str">
        <f>IF(A247="","",historico_VU!F195)</f>
        <v/>
      </c>
      <c r="G247" s="141" t="str">
        <f>IF(A247="","",historico_VU!G195)</f>
        <v/>
      </c>
      <c r="H247" s="142" t="str">
        <f>IF(A247="","",historico_VU!H195)</f>
        <v/>
      </c>
      <c r="I247" s="57"/>
      <c r="J247" s="139" t="str">
        <f>IF(itens_Remanesc!A195="","",itens_Remanesc!A195)</f>
        <v/>
      </c>
      <c r="K247" s="140" t="str">
        <f>IF(J247="","",IF($F$4="C0",itens_Remanesc!B195,IF($F$4="C1",itens_Remanesc!E195,IF($F$4="C2",itens_Remanesc!G195,IF($F$4="C3",itens_Remanesc!I195,itens_Remanesc!K195)))))</f>
        <v/>
      </c>
      <c r="L247" s="140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43" t="str">
        <f>IF(J247="","",itens_Remanesc!C195)</f>
        <v/>
      </c>
      <c r="N247" s="143" t="str">
        <f>IF(J247="","",IF($F$4="C0",historico_VU!C195,IF($F$4="C1",historico_VU!D195,IF($F$4="C2",historico_VU!E195,IF($F$4="C3",historico_VU!F195,historico_VU!G195)))))</f>
        <v/>
      </c>
      <c r="O247" s="143" t="str">
        <f t="shared" si="19"/>
        <v/>
      </c>
      <c r="P247" s="143" t="str">
        <f t="shared" si="20"/>
        <v/>
      </c>
      <c r="Q247" s="144" t="str">
        <f t="shared" si="21"/>
        <v/>
      </c>
    </row>
    <row r="248" spans="1:17" hidden="1" outlineLevel="1" x14ac:dyDescent="0.35">
      <c r="A248" s="139" t="str">
        <f>IF(historico_VU!A196="","",historico_VU!A196)</f>
        <v/>
      </c>
      <c r="B248" s="140" t="str">
        <f>IF(A248="","",historico_VU!B196)</f>
        <v/>
      </c>
      <c r="C248" s="141" t="str">
        <f>IF(A248="","",historico_VU!C196)</f>
        <v/>
      </c>
      <c r="D248" s="141" t="str">
        <f>IF(A248="","",historico_VU!D196)</f>
        <v/>
      </c>
      <c r="E248" s="141" t="str">
        <f>IF(A248="","",historico_VU!E196)</f>
        <v/>
      </c>
      <c r="F248" s="141" t="str">
        <f>IF(A248="","",historico_VU!F196)</f>
        <v/>
      </c>
      <c r="G248" s="141" t="str">
        <f>IF(A248="","",historico_VU!G196)</f>
        <v/>
      </c>
      <c r="H248" s="142" t="str">
        <f>IF(A248="","",historico_VU!H196)</f>
        <v/>
      </c>
      <c r="I248" s="57"/>
      <c r="J248" s="139" t="str">
        <f>IF(itens_Remanesc!A196="","",itens_Remanesc!A196)</f>
        <v/>
      </c>
      <c r="K248" s="140" t="str">
        <f>IF(J248="","",IF($F$4="C0",itens_Remanesc!B196,IF($F$4="C1",itens_Remanesc!E196,IF($F$4="C2",itens_Remanesc!G196,IF($F$4="C3",itens_Remanesc!I196,itens_Remanesc!K196)))))</f>
        <v/>
      </c>
      <c r="L248" s="140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43" t="str">
        <f>IF(J248="","",itens_Remanesc!C196)</f>
        <v/>
      </c>
      <c r="N248" s="143" t="str">
        <f>IF(J248="","",IF($F$4="C0",historico_VU!C196,IF($F$4="C1",historico_VU!D196,IF($F$4="C2",historico_VU!E196,IF($F$4="C3",historico_VU!F196,historico_VU!G196)))))</f>
        <v/>
      </c>
      <c r="O248" s="143" t="str">
        <f t="shared" si="19"/>
        <v/>
      </c>
      <c r="P248" s="143" t="str">
        <f t="shared" si="20"/>
        <v/>
      </c>
      <c r="Q248" s="144" t="str">
        <f t="shared" si="21"/>
        <v/>
      </c>
    </row>
    <row r="249" spans="1:17" hidden="1" outlineLevel="1" x14ac:dyDescent="0.35">
      <c r="A249" s="139" t="str">
        <f>IF(historico_VU!A197="","",historico_VU!A197)</f>
        <v/>
      </c>
      <c r="B249" s="140" t="str">
        <f>IF(A249="","",historico_VU!B197)</f>
        <v/>
      </c>
      <c r="C249" s="141" t="str">
        <f>IF(A249="","",historico_VU!C197)</f>
        <v/>
      </c>
      <c r="D249" s="141" t="str">
        <f>IF(A249="","",historico_VU!D197)</f>
        <v/>
      </c>
      <c r="E249" s="141" t="str">
        <f>IF(A249="","",historico_VU!E197)</f>
        <v/>
      </c>
      <c r="F249" s="141" t="str">
        <f>IF(A249="","",historico_VU!F197)</f>
        <v/>
      </c>
      <c r="G249" s="141" t="str">
        <f>IF(A249="","",historico_VU!G197)</f>
        <v/>
      </c>
      <c r="H249" s="142" t="str">
        <f>IF(A249="","",historico_VU!H197)</f>
        <v/>
      </c>
      <c r="I249" s="57"/>
      <c r="J249" s="139" t="str">
        <f>IF(itens_Remanesc!A197="","",itens_Remanesc!A197)</f>
        <v/>
      </c>
      <c r="K249" s="140" t="str">
        <f>IF(J249="","",IF($F$4="C0",itens_Remanesc!B197,IF($F$4="C1",itens_Remanesc!E197,IF($F$4="C2",itens_Remanesc!G197,IF($F$4="C3",itens_Remanesc!I197,itens_Remanesc!K197)))))</f>
        <v/>
      </c>
      <c r="L249" s="140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43" t="str">
        <f>IF(J249="","",itens_Remanesc!C197)</f>
        <v/>
      </c>
      <c r="N249" s="143" t="str">
        <f>IF(J249="","",IF($F$4="C0",historico_VU!C197,IF($F$4="C1",historico_VU!D197,IF($F$4="C2",historico_VU!E197,IF($F$4="C3",historico_VU!F197,historico_VU!G197)))))</f>
        <v/>
      </c>
      <c r="O249" s="143" t="str">
        <f t="shared" si="19"/>
        <v/>
      </c>
      <c r="P249" s="143" t="str">
        <f t="shared" si="20"/>
        <v/>
      </c>
      <c r="Q249" s="144" t="str">
        <f t="shared" si="21"/>
        <v/>
      </c>
    </row>
    <row r="250" spans="1:17" hidden="1" outlineLevel="1" x14ac:dyDescent="0.35">
      <c r="A250" s="139" t="str">
        <f>IF(historico_VU!A198="","",historico_VU!A198)</f>
        <v/>
      </c>
      <c r="B250" s="140" t="str">
        <f>IF(A250="","",historico_VU!B198)</f>
        <v/>
      </c>
      <c r="C250" s="141" t="str">
        <f>IF(A250="","",historico_VU!C198)</f>
        <v/>
      </c>
      <c r="D250" s="141" t="str">
        <f>IF(A250="","",historico_VU!D198)</f>
        <v/>
      </c>
      <c r="E250" s="141" t="str">
        <f>IF(A250="","",historico_VU!E198)</f>
        <v/>
      </c>
      <c r="F250" s="141" t="str">
        <f>IF(A250="","",historico_VU!F198)</f>
        <v/>
      </c>
      <c r="G250" s="141" t="str">
        <f>IF(A250="","",historico_VU!G198)</f>
        <v/>
      </c>
      <c r="H250" s="142" t="str">
        <f>IF(A250="","",historico_VU!H198)</f>
        <v/>
      </c>
      <c r="I250" s="57"/>
      <c r="J250" s="139" t="str">
        <f>IF(itens_Remanesc!A198="","",itens_Remanesc!A198)</f>
        <v/>
      </c>
      <c r="K250" s="140" t="str">
        <f>IF(J250="","",IF($F$4="C0",itens_Remanesc!B198,IF($F$4="C1",itens_Remanesc!E198,IF($F$4="C2",itens_Remanesc!G198,IF($F$4="C3",itens_Remanesc!I198,itens_Remanesc!K198)))))</f>
        <v/>
      </c>
      <c r="L250" s="140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43" t="str">
        <f>IF(J250="","",itens_Remanesc!C198)</f>
        <v/>
      </c>
      <c r="N250" s="143" t="str">
        <f>IF(J250="","",IF($F$4="C0",historico_VU!C198,IF($F$4="C1",historico_VU!D198,IF($F$4="C2",historico_VU!E198,IF($F$4="C3",historico_VU!F198,historico_VU!G198)))))</f>
        <v/>
      </c>
      <c r="O250" s="143" t="str">
        <f t="shared" si="19"/>
        <v/>
      </c>
      <c r="P250" s="143" t="str">
        <f t="shared" si="20"/>
        <v/>
      </c>
      <c r="Q250" s="144" t="str">
        <f t="shared" si="21"/>
        <v/>
      </c>
    </row>
    <row r="251" spans="1:17" hidden="1" outlineLevel="1" x14ac:dyDescent="0.35">
      <c r="A251" s="139" t="str">
        <f>IF(historico_VU!A199="","",historico_VU!A199)</f>
        <v/>
      </c>
      <c r="B251" s="140" t="str">
        <f>IF(A251="","",historico_VU!B199)</f>
        <v/>
      </c>
      <c r="C251" s="141" t="str">
        <f>IF(A251="","",historico_VU!C199)</f>
        <v/>
      </c>
      <c r="D251" s="141" t="str">
        <f>IF(A251="","",historico_VU!D199)</f>
        <v/>
      </c>
      <c r="E251" s="141" t="str">
        <f>IF(A251="","",historico_VU!E199)</f>
        <v/>
      </c>
      <c r="F251" s="141" t="str">
        <f>IF(A251="","",historico_VU!F199)</f>
        <v/>
      </c>
      <c r="G251" s="141" t="str">
        <f>IF(A251="","",historico_VU!G199)</f>
        <v/>
      </c>
      <c r="H251" s="142" t="str">
        <f>IF(A251="","",historico_VU!H199)</f>
        <v/>
      </c>
      <c r="I251" s="57"/>
      <c r="J251" s="139" t="str">
        <f>IF(itens_Remanesc!A199="","",itens_Remanesc!A199)</f>
        <v/>
      </c>
      <c r="K251" s="140" t="str">
        <f>IF(J251="","",IF($F$4="C0",itens_Remanesc!B199,IF($F$4="C1",itens_Remanesc!E199,IF($F$4="C2",itens_Remanesc!G199,IF($F$4="C3",itens_Remanesc!I199,itens_Remanesc!K199)))))</f>
        <v/>
      </c>
      <c r="L251" s="140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43" t="str">
        <f>IF(J251="","",itens_Remanesc!C199)</f>
        <v/>
      </c>
      <c r="N251" s="143" t="str">
        <f>IF(J251="","",IF($F$4="C0",historico_VU!C199,IF($F$4="C1",historico_VU!D199,IF($F$4="C2",historico_VU!E199,IF($F$4="C3",historico_VU!F199,historico_VU!G199)))))</f>
        <v/>
      </c>
      <c r="O251" s="143" t="str">
        <f t="shared" si="19"/>
        <v/>
      </c>
      <c r="P251" s="143" t="str">
        <f t="shared" si="20"/>
        <v/>
      </c>
      <c r="Q251" s="144" t="str">
        <f t="shared" si="21"/>
        <v/>
      </c>
    </row>
    <row r="252" spans="1:17" hidden="1" outlineLevel="1" x14ac:dyDescent="0.35">
      <c r="A252" s="139" t="str">
        <f>IF(historico_VU!A200="","",historico_VU!A200)</f>
        <v/>
      </c>
      <c r="B252" s="140" t="str">
        <f>IF(A252="","",historico_VU!B200)</f>
        <v/>
      </c>
      <c r="C252" s="141" t="str">
        <f>IF(A252="","",historico_VU!C200)</f>
        <v/>
      </c>
      <c r="D252" s="141" t="str">
        <f>IF(A252="","",historico_VU!D200)</f>
        <v/>
      </c>
      <c r="E252" s="141" t="str">
        <f>IF(A252="","",historico_VU!E200)</f>
        <v/>
      </c>
      <c r="F252" s="141" t="str">
        <f>IF(A252="","",historico_VU!F200)</f>
        <v/>
      </c>
      <c r="G252" s="141" t="str">
        <f>IF(A252="","",historico_VU!G200)</f>
        <v/>
      </c>
      <c r="H252" s="142" t="str">
        <f>IF(A252="","",historico_VU!H200)</f>
        <v/>
      </c>
      <c r="I252" s="57"/>
      <c r="J252" s="139" t="str">
        <f>IF(itens_Remanesc!A200="","",itens_Remanesc!A200)</f>
        <v/>
      </c>
      <c r="K252" s="140" t="str">
        <f>IF(J252="","",IF($F$4="C0",itens_Remanesc!B200,IF($F$4="C1",itens_Remanesc!E200,IF($F$4="C2",itens_Remanesc!G200,IF($F$4="C3",itens_Remanesc!I200,itens_Remanesc!K200)))))</f>
        <v/>
      </c>
      <c r="L252" s="140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43" t="str">
        <f>IF(J252="","",itens_Remanesc!C200)</f>
        <v/>
      </c>
      <c r="N252" s="143" t="str">
        <f>IF(J252="","",IF($F$4="C0",historico_VU!C200,IF($F$4="C1",historico_VU!D200,IF($F$4="C2",historico_VU!E200,IF($F$4="C3",historico_VU!F200,historico_VU!G200)))))</f>
        <v/>
      </c>
      <c r="O252" s="143" t="str">
        <f t="shared" si="19"/>
        <v/>
      </c>
      <c r="P252" s="143" t="str">
        <f t="shared" si="20"/>
        <v/>
      </c>
      <c r="Q252" s="144" t="str">
        <f t="shared" si="21"/>
        <v/>
      </c>
    </row>
    <row r="253" spans="1:17" hidden="1" outlineLevel="1" x14ac:dyDescent="0.35">
      <c r="A253" s="139" t="str">
        <f>IF(historico_VU!A201="","",historico_VU!A201)</f>
        <v/>
      </c>
      <c r="B253" s="140" t="str">
        <f>IF(A253="","",historico_VU!B201)</f>
        <v/>
      </c>
      <c r="C253" s="141" t="str">
        <f>IF(A253="","",historico_VU!C201)</f>
        <v/>
      </c>
      <c r="D253" s="141" t="str">
        <f>IF(A253="","",historico_VU!D201)</f>
        <v/>
      </c>
      <c r="E253" s="141" t="str">
        <f>IF(A253="","",historico_VU!E201)</f>
        <v/>
      </c>
      <c r="F253" s="141" t="str">
        <f>IF(A253="","",historico_VU!F201)</f>
        <v/>
      </c>
      <c r="G253" s="141" t="str">
        <f>IF(A253="","",historico_VU!G201)</f>
        <v/>
      </c>
      <c r="H253" s="142" t="str">
        <f>IF(A253="","",historico_VU!H201)</f>
        <v/>
      </c>
      <c r="I253" s="57"/>
      <c r="J253" s="139" t="str">
        <f>""</f>
        <v/>
      </c>
      <c r="K253" s="140" t="str">
        <f>""</f>
        <v/>
      </c>
      <c r="L253" s="140" t="str">
        <f>""</f>
        <v/>
      </c>
      <c r="M253" s="143" t="str">
        <f>""</f>
        <v/>
      </c>
      <c r="N253" s="143" t="str">
        <f>""</f>
        <v/>
      </c>
      <c r="O253" s="143" t="str">
        <f t="shared" si="19"/>
        <v/>
      </c>
      <c r="P253" s="143" t="str">
        <f t="shared" si="20"/>
        <v/>
      </c>
      <c r="Q253" s="144" t="str">
        <f t="shared" si="21"/>
        <v/>
      </c>
    </row>
    <row r="255" spans="1:17" collapsed="1" x14ac:dyDescent="0.35"/>
    <row r="256" spans="1:17" hidden="1" outlineLevel="1" x14ac:dyDescent="0.35">
      <c r="A256" s="180" t="s">
        <v>395</v>
      </c>
    </row>
    <row r="257" spans="1:15" ht="26" hidden="1" customHeight="1" outlineLevel="1" x14ac:dyDescent="0.35">
      <c r="A257" s="120" t="s">
        <v>32</v>
      </c>
      <c r="B257" s="120" t="s">
        <v>396</v>
      </c>
      <c r="C257" s="120" t="s">
        <v>397</v>
      </c>
      <c r="D257" s="120" t="s">
        <v>398</v>
      </c>
      <c r="E257" s="120" t="s">
        <v>399</v>
      </c>
      <c r="F257" s="120" t="s">
        <v>400</v>
      </c>
      <c r="G257" s="57" t="s">
        <v>401</v>
      </c>
      <c r="H257" s="57" t="s">
        <v>402</v>
      </c>
      <c r="I257" s="57" t="s">
        <v>403</v>
      </c>
      <c r="J257" s="57" t="s">
        <v>404</v>
      </c>
      <c r="K257" s="57" t="s">
        <v>405</v>
      </c>
      <c r="L257" s="57" t="s">
        <v>406</v>
      </c>
      <c r="M257" s="57" t="s">
        <v>407</v>
      </c>
      <c r="N257" s="57" t="s">
        <v>408</v>
      </c>
      <c r="O257" s="57" t="s">
        <v>409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1" t="str">
        <f>IF(COUNT(itens_Remanesc!AB$2:AB$200)=0,"",ROUND(SUM(itens_Remanesc!AB$2:AB$200),2))</f>
        <v/>
      </c>
      <c r="F258" s="181" t="str">
        <f>IF(OR(E258="",$B$4&lt;&gt;"Itens"),"n/d",ROUND(SUM(itens_Remanesc!AO$2:AO$200),2))</f>
        <v>n/d</v>
      </c>
      <c r="G258" s="181" t="str">
        <f>IF(OR(E258="",$B$4&lt;&gt;"Itens"),"n/d",ROUND(SUM(itens_Remanesc!AP$2:AP$200),2))</f>
        <v>n/d</v>
      </c>
      <c r="H258" s="182">
        <f>IF(ISNUMBER(parametros!$F$2),parametros!$F$2,"")</f>
        <v>1</v>
      </c>
      <c r="I258" s="182">
        <f>IF(ISNUMBER(parametros!$D$11),parametros!$F$2/parametros!$D$11,IF(parametros!$G$11="Sim",parametros!$F$2,""))</f>
        <v>1</v>
      </c>
      <c r="J258" s="182">
        <f>IF(OR(H258="",I258=""),"",ROUND(H258-I258,2))</f>
        <v>0</v>
      </c>
      <c r="K258" s="181">
        <f>IF(I258="","",ROUND(SUM(itens_Remanesc!AQ$2:AQ$200),2))</f>
        <v>0</v>
      </c>
      <c r="L258" s="181" t="str">
        <f>IF(OR(I258="",$B$4&lt;&gt;"Itens"),"",ROUND(SUM(itens_Remanesc!AR$2:AR$200),2))</f>
        <v/>
      </c>
      <c r="M258" s="181">
        <f>IF(AND(K258="",L258=""),"",ROUND(IF(ISNUMBER(K258),K258,0)+IF(ISNUMBER(L258),L258,0),2))</f>
        <v>0</v>
      </c>
      <c r="N258" s="181" t="str">
        <f>IF(AND(RESULTADOS_DETALHE!$G$46="Sim",ISNUMBER(RESULTADOS_DETALHE!$C$46),RESULTADOS_DETALHE!$C$46&gt;=0),RESULTADOS_DETALHE!$C$46,"")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1" t="str">
        <f>IF(COUNT(itens_Remanesc!M$2:M$200)=0,"",ROUND(SUM(itens_Remanesc!M$2:M$200),2))</f>
        <v/>
      </c>
      <c r="F259" s="181" t="str">
        <f>IF(OR(E259="",$B$4&lt;&gt;"Itens"),"n/d",ROUND(SUM(itens_Remanesc!AS$2:AS$200),2))</f>
        <v>n/d</v>
      </c>
      <c r="G259" s="181" t="str">
        <f>IF(OR(E259="",$B$4&lt;&gt;"Itens"),"n/d",ROUND(SUM(itens_Remanesc!AT$2:AT$200),2))</f>
        <v>n/d</v>
      </c>
      <c r="H259" s="182" t="str">
        <f>IF(ISNUMBER(parametros!$F$3),parametros!$F$3,"")</f>
        <v/>
      </c>
      <c r="I259" s="182" t="str">
        <f>IF(ISNUMBER(parametros!$D$12),parametros!$F$3/parametros!$D$12,IF(parametros!$G$12="Sim",parametros!$F$3,""))</f>
        <v/>
      </c>
      <c r="J259" s="182" t="str">
        <f>IF(OR(H259="",I259=""),"",ROUND(H259-I259,2))</f>
        <v/>
      </c>
      <c r="K259" s="181" t="str">
        <f>IF(I259="","",ROUND(SUM(itens_Remanesc!AU$2:AU$200),2))</f>
        <v/>
      </c>
      <c r="L259" s="181" t="str">
        <f>IF(OR(I259="",$B$4&lt;&gt;"Itens"),"",ROUND(SUM(itens_Remanesc!AV$2:AV$200),2))</f>
        <v/>
      </c>
      <c r="M259" s="181" t="str">
        <f>IF(AND(K259="",L259=""),"",ROUND(IF(ISNUMBER(K259),K259,0)+IF(ISNUMBER(L259),L259,0),2))</f>
        <v/>
      </c>
      <c r="N259" s="181" t="str">
        <f>IF(AND(RESULTADOS_DETALHE!$G$47="Sim",ISNUMBER(RESULTADOS_DETALHE!$C$47),RESULTADOS_DETALHE!$C$47&gt;=0),RESULTADOS_DETALHE!$C$47,"")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1" t="str">
        <f>IF(COUNT(itens_Remanesc!O$2:O$200)=0,"",ROUND(SUM(itens_Remanesc!O$2:O$200),2))</f>
        <v/>
      </c>
      <c r="F260" s="181" t="str">
        <f>IF(OR(E260="",$B$4&lt;&gt;"Itens"),"n/d",ROUND(SUM(itens_Remanesc!AW$2:AW$200),2))</f>
        <v>n/d</v>
      </c>
      <c r="G260" s="181" t="str">
        <f>IF(OR(E260="",$B$4&lt;&gt;"Itens"),"n/d",ROUND(SUM(itens_Remanesc!AX$2:AX$200),2))</f>
        <v>n/d</v>
      </c>
      <c r="H260" s="182" t="str">
        <f>IF(ISNUMBER(parametros!$F$4),parametros!$F$4,"")</f>
        <v/>
      </c>
      <c r="I260" s="182" t="str">
        <f>IF(ISNUMBER(parametros!$D$13),parametros!$F$4/parametros!$D$13,IF(parametros!$G$13="Sim",parametros!$F$4,""))</f>
        <v/>
      </c>
      <c r="J260" s="182" t="str">
        <f>IF(OR(H260="",I260=""),"",ROUND(H260-I260,2))</f>
        <v/>
      </c>
      <c r="K260" s="181" t="str">
        <f>IF(I260="","",ROUND(SUM(itens_Remanesc!AY$2:AY$200),2))</f>
        <v/>
      </c>
      <c r="L260" s="181" t="str">
        <f>IF(OR(I260="",$B$4&lt;&gt;"Itens"),"",ROUND(SUM(itens_Remanesc!AZ$2:AZ$200),2))</f>
        <v/>
      </c>
      <c r="M260" s="181" t="str">
        <f>IF(AND(K260="",L260=""),"",ROUND(IF(ISNUMBER(K260),K260,0)+IF(ISNUMBER(L260),L260,0),2))</f>
        <v/>
      </c>
      <c r="N260" s="181" t="str">
        <f>IF(AND(RESULTADOS_DETALHE!$G$48="Sim",ISNUMBER(RESULTADOS_DETALHE!$C$48),RESULTADOS_DETALHE!$C$48&gt;=0),RESULTADOS_DETALHE!$C$48,"")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1" t="str">
        <f>IF(COUNT(itens_Remanesc!Q$2:Q$200)=0,"",ROUND(SUM(itens_Remanesc!Q$2:Q$200),2))</f>
        <v/>
      </c>
      <c r="F261" s="181" t="str">
        <f>IF(OR(E261="",$B$4&lt;&gt;"Itens"),"n/d",ROUND(SUM(itens_Remanesc!BA$2:BA$200),2))</f>
        <v>n/d</v>
      </c>
      <c r="G261" s="181" t="str">
        <f>IF(OR(E261="",$B$4&lt;&gt;"Itens"),"n/d",ROUND(SUM(itens_Remanesc!BB$2:BB$200),2))</f>
        <v>n/d</v>
      </c>
      <c r="H261" s="182" t="str">
        <f>IF(ISNUMBER(parametros!$F$5),parametros!$F$5,"")</f>
        <v/>
      </c>
      <c r="I261" s="182" t="str">
        <f>IF(ISNUMBER(parametros!$D$14),parametros!$F$5/parametros!$D$14,IF(parametros!$G$14="Sim",parametros!$F$5,""))</f>
        <v/>
      </c>
      <c r="J261" s="182" t="str">
        <f>IF(OR(H261="",I261=""),"",ROUND(H261-I261,2))</f>
        <v/>
      </c>
      <c r="K261" s="181" t="str">
        <f>IF(I261="","",ROUND(SUM(itens_Remanesc!BC$2:BC$200),2))</f>
        <v/>
      </c>
      <c r="L261" s="181" t="str">
        <f>IF(OR(I261="",$B$4&lt;&gt;"Itens"),"",ROUND(SUM(itens_Remanesc!BD$2:BD$200),2))</f>
        <v/>
      </c>
      <c r="M261" s="181" t="str">
        <f>IF(AND(K261="",L261=""),"",ROUND(IF(ISNUMBER(K261),K261,0)+IF(ISNUMBER(L261),L261,0),2))</f>
        <v/>
      </c>
      <c r="N261" s="181" t="str">
        <f>IF(AND(RESULTADOS_DETALHE!$G$49="Sim",ISNUMBER(RESULTADOS_DETALHE!$C$49),RESULTADOS_DETALHE!$C$49&gt;=0),RESULTADOS_DETALHE!$C$49,"")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1" t="str">
        <f>IF(COUNT(itens_Remanesc!S$2:S$200)=0,"",ROUND(SUM(itens_Remanesc!S$2:S$200),2))</f>
        <v/>
      </c>
      <c r="F262" s="181" t="str">
        <f>IF(OR(E262="",$B$4&lt;&gt;"Itens"),"n/d",ROUND(SUM(itens_Remanesc!BE$2:BE$200),2))</f>
        <v>n/d</v>
      </c>
      <c r="G262" s="181" t="str">
        <f>IF(OR(E262="",$B$4&lt;&gt;"Itens"),"n/d",ROUND(SUM(itens_Remanesc!BF$2:BF$200),2))</f>
        <v>n/d</v>
      </c>
      <c r="H262" s="182" t="str">
        <f>IF(ISNUMBER(parametros!$F$6),parametros!$F$6,"")</f>
        <v/>
      </c>
      <c r="I262" s="182" t="str">
        <f>IF(ISNUMBER(parametros!$D$15),parametros!$F$6/parametros!$D$15,IF(parametros!$G$15="Sim",parametros!$F$6,""))</f>
        <v/>
      </c>
      <c r="J262" s="182" t="str">
        <f>IF(OR(H262="",I262=""),"",ROUND(H262-I262,2))</f>
        <v/>
      </c>
      <c r="K262" s="181" t="str">
        <f>IF(I262="","",ROUND(SUM(itens_Remanesc!BG$2:BG$200),2))</f>
        <v/>
      </c>
      <c r="L262" s="181" t="str">
        <f>IF(OR(I262="",$B$4&lt;&gt;"Itens"),"",ROUND(SUM(itens_Remanesc!BH$2:BH$200),2))</f>
        <v/>
      </c>
      <c r="M262" s="181" t="str">
        <f>IF(AND(K262="",L262=""),"",ROUND(IF(ISNUMBER(K262),K262,0)+IF(ISNUMBER(L262),L262,0),2))</f>
        <v/>
      </c>
      <c r="N262" s="181" t="str">
        <f>IF(AND(RESULTADOS_DETALHE!$G$50="Sim",ISNUMBER(RESULTADOS_DETALHE!$C$50),RESULTADOS_DETALHE!$C$50&gt;=0),RESULTADOS_DETALHE!$C$50,"")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410</v>
      </c>
      <c r="E263" s="181"/>
      <c r="F263" s="181"/>
      <c r="G263" s="181"/>
      <c r="H263" s="181"/>
      <c r="I263" s="181"/>
      <c r="J263" s="181" t="s">
        <v>411</v>
      </c>
      <c r="K263" s="181">
        <f>IF(COUNT(K258:K262)=0,"",ROUND(SUM(K258:K262),2))</f>
        <v>0</v>
      </c>
      <c r="L263" s="181" t="str">
        <f>IF(COUNT(L258:L262)=0,"",ROUND(SUM(L258:L262),2))</f>
        <v/>
      </c>
      <c r="M263" s="181">
        <f>IF(COUNT(M258:M262)=0,"",ROUND(SUM(M258:M262),2))</f>
        <v>0</v>
      </c>
      <c r="N263" s="181">
        <f>ROUND(SUM(N258:N262),2)</f>
        <v>0</v>
      </c>
    </row>
    <row r="264" spans="1:15" x14ac:dyDescent="0.35">
      <c r="A264" t="s">
        <v>412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0" t="s">
        <v>413</v>
      </c>
    </row>
    <row r="268" spans="1:15" x14ac:dyDescent="0.35">
      <c r="A268" t="s">
        <v>414</v>
      </c>
      <c r="B268" s="183" t="str">
        <f ca="1">IF(posicao_referencia!$I$5="","",posicao_referencia!$I$5)</f>
        <v/>
      </c>
    </row>
    <row r="269" spans="1:15" x14ac:dyDescent="0.35">
      <c r="A269" t="s">
        <v>415</v>
      </c>
      <c r="B269" t="str">
        <f ca="1">posicao_referencia!$I$8</f>
        <v>POSICAO DE REFERENCIA INDISPONIVEL</v>
      </c>
    </row>
    <row r="270" spans="1:15" x14ac:dyDescent="0.35">
      <c r="A270" t="s">
        <v>416</v>
      </c>
      <c r="B270" t="str">
        <f ca="1">IF(posicao_referencia!$I$4="","INDISPONIVEL",posicao_referencia!$I$4)</f>
        <v>INDISPONIVEL</v>
      </c>
    </row>
    <row r="271" spans="1:15" x14ac:dyDescent="0.35">
      <c r="A271" t="s">
        <v>417</v>
      </c>
      <c r="B271" s="181" t="str">
        <f ca="1">IF(COUNT(posicao_referencia!$R$2:$R$200)=0,"",ROUND(SUM(posicao_referencia!$R$2:$R$200),2))</f>
        <v/>
      </c>
    </row>
    <row r="272" spans="1:15" x14ac:dyDescent="0.35">
      <c r="A272" t="s">
        <v>418</v>
      </c>
      <c r="B272" s="181" t="str">
        <f ca="1">IF(COUNT(posicao_referencia!$O$2:$O$200)=0,"",ROUND(SUM(posicao_referencia!$O$2:$O$200),2))</f>
        <v/>
      </c>
    </row>
    <row r="273" spans="1:2" x14ac:dyDescent="0.35">
      <c r="A273" t="s">
        <v>419</v>
      </c>
      <c r="B273" s="181" t="str">
        <f>IF(COUNT(posicao_referencia!$N$2:$N$200)=0,"",ROUND(SUM(posicao_referencia!$N$2:$N$200),2))</f>
        <v/>
      </c>
    </row>
    <row r="274" spans="1:2" x14ac:dyDescent="0.35">
      <c r="A274" t="s">
        <v>420</v>
      </c>
      <c r="B274" s="181" t="str">
        <f ca="1">IF(COUNT(posicao_referencia!$P$2:$P$200)=0,"",ROUND(SUM(posicao_referencia!$P$2:$P$200),2))</f>
        <v/>
      </c>
    </row>
    <row r="275" spans="1:2" x14ac:dyDescent="0.35">
      <c r="A275" t="s">
        <v>421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422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423</v>
      </c>
    </row>
    <row r="280" spans="1:2" x14ac:dyDescent="0.35">
      <c r="A280" s="186" t="s">
        <v>424</v>
      </c>
    </row>
    <row r="281" spans="1:2" x14ac:dyDescent="0.35">
      <c r="A281" t="s">
        <v>425</v>
      </c>
    </row>
    <row r="282" spans="1:2" x14ac:dyDescent="0.35">
      <c r="A282" t="s">
        <v>426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74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73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72" priority="4">
      <formula>OR(ISNUMBER(SEARCH("MANUAL",F36)),ISNUMBER(SEARCH("DIVERGENTE",F36)),ISNUMBER(SEARCH("INCOMPLETO",F36)))</formula>
    </cfRule>
  </conditionalFormatting>
  <conditionalFormatting sqref="J4">
    <cfRule type="expression" dxfId="71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70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87"/>
  <sheetViews>
    <sheetView showGridLines="0" zoomScale="90" zoomScaleNormal="90" workbookViewId="0">
      <selection activeCell="D5" sqref="D5:E5"/>
    </sheetView>
  </sheetViews>
  <sheetFormatPr defaultRowHeight="13" x14ac:dyDescent="0.3"/>
  <cols>
    <col min="1" max="1" width="36.6328125" style="243" customWidth="1"/>
    <col min="2" max="2" width="23.90625" style="243" customWidth="1"/>
    <col min="3" max="3" width="21.453125" style="243" customWidth="1"/>
    <col min="4" max="4" width="35.90625" style="243" customWidth="1"/>
    <col min="5" max="5" width="26.6328125" style="243" customWidth="1"/>
    <col min="6" max="6" width="18.6328125" style="243" customWidth="1"/>
    <col min="7" max="7" width="19.90625" style="243" customWidth="1"/>
    <col min="8" max="8" width="25.90625" style="243" customWidth="1"/>
    <col min="9" max="9" width="8.7265625" style="243" customWidth="1"/>
    <col min="10" max="14" width="13" style="243" hidden="1" customWidth="1"/>
    <col min="15" max="17" width="8.7265625" style="243" customWidth="1"/>
    <col min="18" max="16384" width="8.7265625" style="243"/>
  </cols>
  <sheetData>
    <row r="1" spans="1:10" ht="34" customHeight="1" x14ac:dyDescent="0.3">
      <c r="A1" s="567" t="s">
        <v>621</v>
      </c>
      <c r="B1" s="567"/>
      <c r="C1" s="567"/>
      <c r="D1" s="567"/>
      <c r="E1" s="567"/>
      <c r="F1" s="567"/>
      <c r="G1" s="568" t="str">
        <f ca="1">$B$3</f>
        <v>REVISE</v>
      </c>
      <c r="H1" s="569"/>
    </row>
    <row r="2" spans="1:10" ht="90.5" customHeight="1" x14ac:dyDescent="0.3">
      <c r="A2" s="570" t="s">
        <v>622</v>
      </c>
      <c r="B2" s="570"/>
      <c r="C2" s="570"/>
      <c r="D2" s="570"/>
      <c r="E2" s="570"/>
      <c r="F2" s="570"/>
      <c r="G2" s="571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571"/>
      <c r="J2" s="243" t="s">
        <v>46</v>
      </c>
    </row>
    <row r="3" spans="1:10" ht="20" customHeight="1" x14ac:dyDescent="0.3">
      <c r="A3" s="244" t="str">
        <f>IF($J$6=1,$B$5,"selecionar na aba CONTROLE")</f>
        <v>selecionar na aba CONTROLE</v>
      </c>
      <c r="B3" s="245" t="str">
        <f ca="1">IF(OR($H$8="REVISE",$H$14="REVISE",$H$24="REVISE",$H$33="REVISE",COUNTIF($H$43:$H$50,"REVISE")&gt;0),"REVISE",IF($H$33="ESTIMADO","ESTIMADO","VALIDADO"))</f>
        <v>REVISE</v>
      </c>
      <c r="C3" s="246" t="str">
        <f>IF($J$8="","—",UPPER($J$8))</f>
        <v>—</v>
      </c>
      <c r="D3" s="285"/>
      <c r="E3" s="247" t="str">
        <f>$F$5</f>
        <v/>
      </c>
      <c r="F3" s="285"/>
      <c r="G3" s="574" t="str">
        <f>$D$6</f>
        <v/>
      </c>
      <c r="H3" s="575"/>
      <c r="J3" s="243" t="s">
        <v>47</v>
      </c>
    </row>
    <row r="4" spans="1:10" ht="18" customHeight="1" x14ac:dyDescent="0.3">
      <c r="A4" s="286" t="str">
        <f>IF(MEMORIA_RESULTADOS!$B$4="PCs","VTA OFICIAL — inclui retroativo reconhecido + retroativo potencial","VTA OFICIAL")</f>
        <v>VTA OFICIAL</v>
      </c>
      <c r="B4" s="287"/>
      <c r="C4" s="315" t="str">
        <f>$H$8</f>
        <v>REVISE</v>
      </c>
      <c r="D4" s="316" t="s">
        <v>527</v>
      </c>
      <c r="E4" s="317" t="str">
        <f>$H$14</f>
        <v>REVISE</v>
      </c>
      <c r="F4" s="316" t="s">
        <v>452</v>
      </c>
      <c r="G4" s="288"/>
      <c r="H4" s="318" t="str">
        <f ca="1">$H$33</f>
        <v>REVISE</v>
      </c>
    </row>
    <row r="5" spans="1:10" ht="34" customHeight="1" x14ac:dyDescent="0.3">
      <c r="A5" s="289"/>
      <c r="B5" s="248" t="str">
        <f>MEMORIA_RESULTADOS!$B$4</f>
        <v>SELECIONE O METODO EM CONTROLE!B1</v>
      </c>
      <c r="C5" s="327" t="str">
        <f>IF(VTA_FINAL="","",VTA_FINAL)</f>
        <v/>
      </c>
      <c r="D5" s="576" t="str">
        <f>$D$22</f>
        <v/>
      </c>
      <c r="E5" s="577"/>
      <c r="F5" s="249" t="str">
        <f>IF(CONTROLE!$B$3="","",CONTROLE!$B$3)</f>
        <v/>
      </c>
      <c r="G5" s="294" t="str">
        <f ca="1">$B$38</f>
        <v/>
      </c>
      <c r="H5" s="250" t="str">
        <f>IFERROR(IF(UPPER(CONTROLE!$B$2)="C0",1,IF(UPPER(CONTROLE!$B$2)="C1",IF(COUNT(parametros!$E$3:$E$3)=1,parametros!$F$3,""),IF(UPPER(CONTROLE!$B$2)="C2",IF(COUNT(parametros!$E$3:$E$4)=2,parametros!$F$4,""),IF(UPPER(CONTROLE!$B$2)="C3",IF(COUNT(parametros!$E$3:$E$5)=3,parametros!$F$5,""),IF(UPPER(CONTROLE!$B$2)="C4",IF(COUNT(parametros!$E$3:$E$6)=4,parametros!$F$6,""),""))))),"")</f>
        <v/>
      </c>
      <c r="J5" s="251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290" t="str">
        <f>IF(MEMORIA_RESULTADOS!$B$4&lt;&gt;"PCs","","Inclui R$ "&amp;TEXT(N(RETROATIVO_POTENCIAL_VTA),"#.##0,00")&amp;" de retroativo POTENCIAL (sujeito à confirmação da área gestora)")</f>
        <v/>
      </c>
      <c r="B6" s="248">
        <f>IF(parametros!$E$16="","",parametros!$E$16)</f>
        <v>1</v>
      </c>
      <c r="C6" s="319"/>
      <c r="D6" s="249" t="str">
        <f>IF($H$5="","",$H$5-1)</f>
        <v/>
      </c>
      <c r="E6" s="320" t="str">
        <f>IF($D$22&lt;&gt;"",IF($J$11="","Ciclos apurados","Ciclos apurados — "&amp;$J$11),IF($J$6=0,"SELECIONE O MÉTODO NA ABA CONTROLE","INFORME A BASE DO MÉTODO"))</f>
        <v>SELECIONE O MÉTODO NA ABA CONTROLE</v>
      </c>
      <c r="F6" s="321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291"/>
      <c r="H6" s="292"/>
      <c r="J6" s="251">
        <f>IF(OR($B$5="Financeiro",$B$5="PCs",$B$5="Itens"),1,0)</f>
        <v>0</v>
      </c>
    </row>
    <row r="7" spans="1:10" ht="20" customHeight="1" x14ac:dyDescent="0.3">
      <c r="A7" s="293" t="str">
        <f ca="1">IF($J$5=0,"APURAÇÃO CONCLUÍDA","PENDÊNCIAS PARA CONCLUSÃO:")</f>
        <v>PENDÊNCIAS PARA CONCLUSÃO:</v>
      </c>
      <c r="B7" s="572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573"/>
      <c r="D7" s="573"/>
      <c r="E7" s="573"/>
      <c r="F7" s="573"/>
      <c r="G7" s="573"/>
      <c r="H7" s="573"/>
    </row>
    <row r="8" spans="1:10" ht="15" customHeight="1" x14ac:dyDescent="0.3">
      <c r="A8" s="369" t="str">
        <f>IF(MEMORIA_RESULTADOS!$B$4&lt;&gt;"PCs","","RETROATIVO POTENCIAL — POTENCIAL (incorporado ao VTA)")</f>
        <v/>
      </c>
      <c r="B8" s="369"/>
      <c r="C8" s="370" t="str">
        <f>IF(MEMORIA_RESULTADOS!$B$4&lt;&gt;"PCs","",IFERROR(RETROATIVO_POTENCIAL_VTA,""))</f>
        <v/>
      </c>
      <c r="D8" s="371" t="str">
        <f>IF(MEMORIA_RESULTADOS!$B$4&lt;&gt;"PCs","","RETROATIVO CONSIDERADO NO VTA")</f>
        <v/>
      </c>
      <c r="E8" s="372" t="str">
        <f>IF(OR(MEMORIA_RESULTADOS!$B$4&lt;&gt;"PCs",$D$22=""),"",ROUND(N($D$22)+N(RETROATIVO_POTENCIAL_VTA),2))</f>
        <v/>
      </c>
      <c r="F8" s="253"/>
      <c r="G8" s="253"/>
      <c r="H8" s="254" t="str">
        <f>IF(OR(VTA_FINAL="",NOT(ISNUMBER(VTA_FINAL)),$H$5="",NOT(OR(ISNUMBER(SEARCH("CALCULADO",MEMORIA_RESULTADOS!$E$26)),ISNUMBER(SEARCH("MANUAL VALIDADO",MEMORIA_RESULTADOS!$E$26)),ISNUMBER(SEARCH("COM AJUSTE MANUAL",MEMORIA_RESULTADOS!$E$26))))),"REVISE","VALIDADO")</f>
        <v>REVISE</v>
      </c>
      <c r="J8" s="314" t="str">
        <f>UPPER(CONTROLE!$B$2)</f>
        <v/>
      </c>
    </row>
    <row r="9" spans="1:10" ht="24" customHeight="1" x14ac:dyDescent="0.3">
      <c r="A9" s="548" t="s">
        <v>488</v>
      </c>
      <c r="B9" s="548"/>
      <c r="C9" s="548"/>
      <c r="D9" s="548"/>
      <c r="E9" s="548"/>
      <c r="F9" s="548"/>
      <c r="G9" s="548"/>
      <c r="H9" s="548"/>
      <c r="J9" s="251">
        <f>COUNTIF(parametros!$A$3:$A$6,"Sim")</f>
        <v>0</v>
      </c>
    </row>
    <row r="10" spans="1:10" ht="46" hidden="1" customHeight="1" x14ac:dyDescent="0.3">
      <c r="A10" s="256" t="s">
        <v>508</v>
      </c>
      <c r="B10" s="257" t="str">
        <f ca="1">IF(MEMORIA_RESULTADOS!$W$50="","",MEMORIA_RESULTADOS!$W$50)</f>
        <v/>
      </c>
      <c r="C10" s="549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550"/>
      <c r="E10" s="550"/>
      <c r="F10" s="549" t="s">
        <v>509</v>
      </c>
      <c r="G10" s="550"/>
      <c r="H10" s="299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51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295" t="s">
        <v>510</v>
      </c>
      <c r="B11" s="296" t="str">
        <f>IF(MEMORIA_RESULTADOS!$W$48="","",MEMORIA_RESULTADOS!$W$48)</f>
        <v/>
      </c>
      <c r="C11" s="557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558"/>
      <c r="E11" s="558"/>
      <c r="F11" s="557" t="s">
        <v>511</v>
      </c>
      <c r="G11" s="558"/>
      <c r="H11" s="300" t="str">
        <f>IF(MEMORIA_RESULTADOS!$W$48="","INCOMPLETO","REFERENCIA - ABERTURA DO CICLO C"&amp;MEMORIA_RESULTADOS!$W$46)</f>
        <v>INCOMPLETO</v>
      </c>
      <c r="J11" s="251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295" t="s">
        <v>512</v>
      </c>
      <c r="B12" s="296" t="str">
        <f>IFERROR(comparativo_VTA!$B$208,"")</f>
        <v/>
      </c>
      <c r="C12" s="557" t="s">
        <v>732</v>
      </c>
      <c r="D12" s="558"/>
      <c r="E12" s="558"/>
      <c r="F12" s="557" t="s">
        <v>513</v>
      </c>
      <c r="G12" s="558"/>
      <c r="H12" s="300" t="s">
        <v>428</v>
      </c>
    </row>
    <row r="13" spans="1:10" ht="46" hidden="1" customHeight="1" x14ac:dyDescent="0.3">
      <c r="A13" s="297" t="s">
        <v>514</v>
      </c>
      <c r="B13" s="298" t="str">
        <f ca="1">IF(MEMORIA_RESULTADOS!$W$51="","",MEMORIA_RESULTADOS!$W$51)</f>
        <v/>
      </c>
      <c r="C13" s="555" t="s">
        <v>515</v>
      </c>
      <c r="D13" s="556"/>
      <c r="E13" s="556"/>
      <c r="F13" s="555" t="s">
        <v>516</v>
      </c>
      <c r="G13" s="556"/>
      <c r="H13" s="301" t="str">
        <f ca="1">MEMORIA_RESULTADOS!$W$52</f>
        <v>POSICAO ATUAL NAO INFORMADA</v>
      </c>
    </row>
    <row r="14" spans="1:10" ht="15" customHeight="1" x14ac:dyDescent="0.3">
      <c r="A14" s="252"/>
      <c r="B14" s="253"/>
      <c r="C14" s="253"/>
      <c r="D14" s="253"/>
      <c r="E14" s="253"/>
      <c r="F14" s="253"/>
      <c r="G14" s="253"/>
      <c r="H14" s="254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65" t="str">
        <f>IF($B$5="PCs","2. EXECUÇÃO RECONHECIDA EM PCs POR CICLO","2. EXECUÇÃO E RETROATIVO POR CICLO")</f>
        <v>2. EXECUÇÃO E RETROATIVO POR CICLO</v>
      </c>
      <c r="B15" s="255" t="str">
        <f>IF($B$5="PCs","Valor executado original",IF($B$5="Financeiro","Valor pago",IF($B$5="PCs","Valor original",IF($B$5="Itens","Valor consumido original","Valor de referência"))))</f>
        <v>Valor de referência</v>
      </c>
      <c r="C15" s="255" t="str">
        <f>IF($B$5="PCs","Valor executado atualizado",IF($B$5="Financeiro","Valor devido atualizado",IF($B$5="PCs","Valor atualizado",IF($B$5="Itens","Valor consumido atualizado","Valor atualizado"))))</f>
        <v>Valor atualizado</v>
      </c>
      <c r="D15" s="255" t="str">
        <f>IF($B$5="PCs","Reajuste incorporado","Diferença")</f>
        <v>Diferença</v>
      </c>
      <c r="E15" s="391" t="str">
        <f>IF(MEMORIA_RESULTADOS!$T$99=1,MEMORIA_RESULTADOS!$T$105,"")</f>
        <v/>
      </c>
      <c r="F15" s="255" t="str">
        <f>IF(MEMORIA_RESULTADOS!$T$100=1,IF(MEMORIA_RESULTADOS!$B$4="Financeiro",MEMORIA_RESULTADOS!$T$107,MEMORIA_RESULTADOS!$T$106),"")</f>
        <v/>
      </c>
      <c r="G15" s="255" t="str">
        <f>IF(MEMORIA_RESULTADOS!$T$100=1,MEMORIA_RESULTADOS!$T$108,"")</f>
        <v/>
      </c>
      <c r="H15" s="255" t="str">
        <f>IF(MEMORIA_RESULTADOS!$T$100=1,MEMORIA_RESULTADOS!$T$109,"")</f>
        <v/>
      </c>
    </row>
    <row r="16" spans="1:10" ht="20" customHeight="1" x14ac:dyDescent="0.3">
      <c r="A16" s="258" t="s">
        <v>21</v>
      </c>
      <c r="B16" s="259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59" t="str">
        <f>IF(OR(B16="",D16=""),"",ROUND(B16+D16,2))</f>
        <v/>
      </c>
      <c r="D16" s="259" t="str">
        <f>IF(B16="","",IF(MEMORIA_RESULTADOS!$E$10="",0,MEMORIA_RESULTADOS!$E$10))</f>
        <v/>
      </c>
      <c r="E16" s="592" t="str">
        <f>IF(MEMORIA_RESULTADOS!$T$99=1,MEMORIA_RESULTADOS!$T$110,"")</f>
        <v/>
      </c>
      <c r="F16" s="593"/>
      <c r="G16" s="593"/>
      <c r="H16" s="593"/>
    </row>
    <row r="17" spans="1:8" ht="27" customHeight="1" x14ac:dyDescent="0.3">
      <c r="A17" s="260" t="s">
        <v>22</v>
      </c>
      <c r="B17" s="261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61" t="str">
        <f>IF(OR(B17="",D17=""),"",ROUND(B17+D17,2))</f>
        <v/>
      </c>
      <c r="D17" s="392" t="str">
        <f>IF(B17="","",IF(MEMORIA_RESULTADOS!$E$11="",0,MEMORIA_RESULTADOS!$E$11))</f>
        <v/>
      </c>
      <c r="E17" s="394" t="str">
        <f>IF(MEMORIA_RESULTADOS!T$91="","",MEMORIA_RESULTADOS!T$96&amp;IF(MEMORIA_RESULTADOS!T$97="","",CHAR(10)&amp;MEMORIA_RESULTADOS!T$97))</f>
        <v/>
      </c>
      <c r="F17" s="393" t="str">
        <f>IF(OR(MEMORIA_RESULTADOS!T$91="A",MEMORIA_RESULTADOS!T$91="B"),MEMORIA_RESULTADOS!T$87,"")</f>
        <v/>
      </c>
      <c r="G17" s="390" t="str">
        <f>IF(OR(MEMORIA_RESULTADOS!T$91="A",MEMORIA_RESULTADOS!T$91="B"),MEMORIA_RESULTADOS!T$88,"")</f>
        <v/>
      </c>
      <c r="H17" s="390" t="str">
        <f>IF(OR(MEMORIA_RESULTADOS!T$91="A",MEMORIA_RESULTADOS!T$91="B"),MEMORIA_RESULTADOS!T$89,IF(MEMORIA_RESULTADOS!T$91="C",MEMORIA_RESULTADOS!$T$119,""))</f>
        <v/>
      </c>
    </row>
    <row r="18" spans="1:8" ht="27" customHeight="1" x14ac:dyDescent="0.3">
      <c r="A18" s="260" t="s">
        <v>23</v>
      </c>
      <c r="B18" s="261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61" t="str">
        <f>IF(OR(B18="",D18=""),"",ROUND(B18+D18,2))</f>
        <v/>
      </c>
      <c r="D18" s="392" t="str">
        <f>IF(B18="","",IF(MEMORIA_RESULTADOS!$E$12="",0,MEMORIA_RESULTADOS!$E$12))</f>
        <v/>
      </c>
      <c r="E18" s="394" t="str">
        <f>IF(MEMORIA_RESULTADOS!U$91="","",MEMORIA_RESULTADOS!U$96&amp;IF(MEMORIA_RESULTADOS!U$97="","",CHAR(10)&amp;MEMORIA_RESULTADOS!U$97))</f>
        <v/>
      </c>
      <c r="F18" s="393" t="str">
        <f>IF(OR(MEMORIA_RESULTADOS!U$91="A",MEMORIA_RESULTADOS!U$91="B"),MEMORIA_RESULTADOS!U$87,"")</f>
        <v/>
      </c>
      <c r="G18" s="390" t="str">
        <f>IF(OR(MEMORIA_RESULTADOS!U$91="A",MEMORIA_RESULTADOS!U$91="B"),MEMORIA_RESULTADOS!U$88,"")</f>
        <v/>
      </c>
      <c r="H18" s="390" t="str">
        <f>IF(OR(MEMORIA_RESULTADOS!U$91="A",MEMORIA_RESULTADOS!U$91="B"),MEMORIA_RESULTADOS!U$89,IF(MEMORIA_RESULTADOS!U$91="C",MEMORIA_RESULTADOS!$T$119,""))</f>
        <v/>
      </c>
    </row>
    <row r="19" spans="1:8" ht="27" customHeight="1" x14ac:dyDescent="0.3">
      <c r="A19" s="260" t="s">
        <v>24</v>
      </c>
      <c r="B19" s="261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61" t="str">
        <f>IF(OR(B19="",D19=""),"",ROUND(B19+D19,2))</f>
        <v/>
      </c>
      <c r="D19" s="392" t="str">
        <f>IF(B19="","",IF(MEMORIA_RESULTADOS!$E$13="",0,MEMORIA_RESULTADOS!$E$13))</f>
        <v/>
      </c>
      <c r="E19" s="394" t="str">
        <f>IF(MEMORIA_RESULTADOS!V$91="","",MEMORIA_RESULTADOS!V$96&amp;IF(MEMORIA_RESULTADOS!V$97="","",CHAR(10)&amp;MEMORIA_RESULTADOS!V$97))</f>
        <v/>
      </c>
      <c r="F19" s="393" t="str">
        <f>IF(OR(MEMORIA_RESULTADOS!V$91="A",MEMORIA_RESULTADOS!V$91="B"),MEMORIA_RESULTADOS!V$87,"")</f>
        <v/>
      </c>
      <c r="G19" s="390" t="str">
        <f>IF(OR(MEMORIA_RESULTADOS!V$91="A",MEMORIA_RESULTADOS!V$91="B"),MEMORIA_RESULTADOS!V$88,"")</f>
        <v/>
      </c>
      <c r="H19" s="390" t="str">
        <f>IF(OR(MEMORIA_RESULTADOS!V$91="A",MEMORIA_RESULTADOS!V$91="B"),MEMORIA_RESULTADOS!V$89,IF(MEMORIA_RESULTADOS!V$91="C",MEMORIA_RESULTADOS!$T$119,""))</f>
        <v/>
      </c>
    </row>
    <row r="20" spans="1:8" ht="27" customHeight="1" x14ac:dyDescent="0.3">
      <c r="A20" s="260" t="s">
        <v>25</v>
      </c>
      <c r="B20" s="261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61" t="str">
        <f>IF(OR(B20="",D20=""),"",ROUND(B20+D20,2))</f>
        <v/>
      </c>
      <c r="D20" s="392" t="str">
        <f>IF(B20="","",IF(MEMORIA_RESULTADOS!$E$14="",0,MEMORIA_RESULTADOS!$E$14))</f>
        <v/>
      </c>
      <c r="E20" s="394" t="str">
        <f>IF(MEMORIA_RESULTADOS!W$91="","",MEMORIA_RESULTADOS!W$96&amp;IF(MEMORIA_RESULTADOS!W$97="","",CHAR(10)&amp;MEMORIA_RESULTADOS!W$97))</f>
        <v/>
      </c>
      <c r="F20" s="393" t="str">
        <f>IF(OR(MEMORIA_RESULTADOS!W$91="A",MEMORIA_RESULTADOS!W$91="B"),MEMORIA_RESULTADOS!W$87,"")</f>
        <v/>
      </c>
      <c r="G20" s="390" t="str">
        <f>IF(OR(MEMORIA_RESULTADOS!W$91="A",MEMORIA_RESULTADOS!W$91="B"),MEMORIA_RESULTADOS!W$88,"")</f>
        <v/>
      </c>
      <c r="H20" s="390" t="str">
        <f>IF(OR(MEMORIA_RESULTADOS!W$91="A",MEMORIA_RESULTADOS!W$91="B"),MEMORIA_RESULTADOS!W$89,IF(MEMORIA_RESULTADOS!W$91="C",MEMORIA_RESULTADOS!$T$119,""))</f>
        <v/>
      </c>
    </row>
    <row r="21" spans="1:8" ht="26" customHeight="1" x14ac:dyDescent="0.3">
      <c r="A21" s="322" t="s">
        <v>429</v>
      </c>
      <c r="B21" s="323"/>
      <c r="C21" s="323"/>
      <c r="D21" s="323" t="str">
        <f>IF(ISNUMBER(MEMORIA_RESULTADOS!$B$5),ROUND(RETRO_OFICIAL-SUM($D$16:$D$20),2),"")</f>
        <v/>
      </c>
      <c r="E21" s="594" t="str">
        <f>IF(MEMORIA_RESULTADOS!$T$101=1,MEMORIA_RESULTADOS!$T$111,IF(MEMORIA_RESULTADOS!$T$102=1,MEMORIA_RESULTADOS!$T$112,""))</f>
        <v/>
      </c>
      <c r="F21" s="595"/>
      <c r="G21" s="595"/>
      <c r="H21" s="595"/>
    </row>
    <row r="22" spans="1:8" ht="42" customHeight="1" x14ac:dyDescent="0.3">
      <c r="A22" s="262" t="s">
        <v>26</v>
      </c>
      <c r="B22" s="263" t="str">
        <f>IF(COUNT(B16:B20)=0,"",ROUND(SUM(B16:B20),2))</f>
        <v/>
      </c>
      <c r="C22" s="263" t="str">
        <f>IF(OR(B22="",D22=""),"",ROUND(B22+D22,2))</f>
        <v/>
      </c>
      <c r="D22" s="263" t="str">
        <f>IFERROR(RETRO_OFICIAL,"")</f>
        <v/>
      </c>
      <c r="E22" s="588" t="str">
        <f>IF($G$22="","","Retroativo potencial — em análise"&amp;CHAR(10)&amp;"Valor potencial relacionado a itens ainda em análise. Não integra o retroativo reconhecido enquanto não houver confirmação.")</f>
        <v/>
      </c>
      <c r="F22" s="589"/>
      <c r="G22" s="590" t="str">
        <f>IF($B$5&lt;&gt;"PCs","",IFERROR(RETROATIVO_POTENCIAL_PC,""))</f>
        <v/>
      </c>
      <c r="H22" s="591"/>
    </row>
    <row r="23" spans="1:8" ht="15" customHeight="1" x14ac:dyDescent="0.3">
      <c r="A23" s="324" t="str">
        <f>IF(OR(MEMORIA_RESULTADOS!$B$4&lt;&gt;"PCs",MEMORIA_RESULTADOS!$T$28=0),"","PCs sem efeito financeiro: "&amp;MEMORIA_RESULTADOS!$T$28&amp;" PC(s)")</f>
        <v/>
      </c>
      <c r="B23" s="324" t="str">
        <f>IF(OR(MEMORIA_RESULTADOS!$B$4&lt;&gt;"PCs",MEMORIA_RESULTADOS!$T$28=0),"",MEMORIA_RESULTADOS!$T$29)</f>
        <v/>
      </c>
      <c r="C23" s="324" t="str">
        <f>IF(OR(MEMORIA_RESULTADOS!$B$4&lt;&gt;"PCs",MEMORIA_RESULTADOS!$T$28=0),"",ROUND(MEMORIA_RESULTADOS!$T$29+MEMORIA_RESULTADOS!$T$30,2))</f>
        <v/>
      </c>
      <c r="D23" s="324" t="str">
        <f>IF(OR(MEMORIA_RESULTADOS!$B$4&lt;&gt;"PCs",MEMORIA_RESULTADOS!$T$28=0),"",MEMORIA_RESULTADOS!$T$30)</f>
        <v/>
      </c>
      <c r="E23" s="561" t="str">
        <f>IF(OR(MEMORIA_RESULTADOS!$B$4&lt;&gt;"PCs",MEMORIA_RESULTADOS!$T$28=0),"","A diferença sem efeito financeiro não constitui "&amp;"retroativo. Consulte itens_PC -&gt; EFEITO_FINANCEIRO_PC = Nao.")</f>
        <v/>
      </c>
      <c r="F23" s="562"/>
      <c r="G23" s="562"/>
      <c r="H23" s="562"/>
    </row>
    <row r="24" spans="1:8" ht="22" customHeight="1" x14ac:dyDescent="0.3">
      <c r="A24" s="265" t="str">
        <f>IF($B$5="PCs","3. REMANESCENTE — REFERÊNCIAS POR CICLO","3. REMANESCENTE TOTAL POR CICLO")</f>
        <v>3. REMANESCENTE TOTAL POR CICLO</v>
      </c>
      <c r="B24" s="266"/>
      <c r="C24" s="266"/>
      <c r="D24" s="266"/>
      <c r="E24" s="266"/>
      <c r="F24" s="266"/>
      <c r="G24" s="266"/>
      <c r="H24" s="267" t="str">
        <f>IF(ISNUMBER(SEARCH("CONFERIR",MEMORIA_RESULTADOS!$F$36)),"VALIDADO","REVISE")</f>
        <v>REVISE</v>
      </c>
    </row>
    <row r="25" spans="1:8" ht="48" customHeight="1" x14ac:dyDescent="0.3">
      <c r="A25" s="268" t="s">
        <v>291</v>
      </c>
      <c r="B25" s="269" t="str">
        <f>IF($B$5="PCs","Saldo sem reajuste de referência do ciclo","Saldo sem reajuste")</f>
        <v>Saldo sem reajuste</v>
      </c>
      <c r="C25" s="269" t="str">
        <f>IF($B$5="PCs","Saldo atualizado de referência do ciclo","Saldo atualizado")</f>
        <v>Saldo atualizado</v>
      </c>
      <c r="D25" s="270" t="str">
        <f>IF($B$5="PCs","Diferença de referência do ciclo","Diferença")</f>
        <v>Diferença</v>
      </c>
      <c r="E25" s="563" t="str">
        <f>IF($B$5="PCs","Referências do ciclo; não são necessariamente saldos finais após execução. Os ciclos não se somam.","Cada linha é a fotografia de um ciclo — ciclos não se somam. O ciclo vigente aparece destacado.")</f>
        <v>Cada linha é a fotografia de um ciclo — ciclos não se somam. O ciclo vigente aparece destacado.</v>
      </c>
      <c r="F25" s="564"/>
      <c r="G25" s="564"/>
      <c r="H25" s="564"/>
    </row>
    <row r="26" spans="1:8" ht="19" customHeight="1" x14ac:dyDescent="0.3">
      <c r="A26" s="260" t="s">
        <v>21</v>
      </c>
      <c r="B26" s="261" t="str">
        <f>IF(IFERROR(VALUE(MID(UPPER(CONTROLE!$B$2),2,1)),-1)&lt;0,"",IF(COUNTIF(itens_Remanesc!$A$2:$A$200,"&lt;&gt;")=0,"",IFERROR(comparativo_VTA!$C$204,"")))</f>
        <v/>
      </c>
      <c r="C26" s="261" t="str">
        <f>IF(B26="","",ROUND(SUMPRODUCT(posicao_contratual!$G$2:$G$201,historico_VU!$C$2:$C$201),2))</f>
        <v/>
      </c>
      <c r="D26" s="261" t="str">
        <f>IF(OR(B26="",C26=""),"",ROUND(C26-B26,2))</f>
        <v/>
      </c>
      <c r="E26" s="271"/>
      <c r="F26" s="271"/>
      <c r="G26" s="271"/>
      <c r="H26" s="271"/>
    </row>
    <row r="27" spans="1:8" ht="19" customHeight="1" x14ac:dyDescent="0.3">
      <c r="A27" s="260" t="s">
        <v>22</v>
      </c>
      <c r="B27" s="261" t="str">
        <f>IF(IFERROR(VALUE(MID(UPPER(CONTROLE!$B$2),2,1)),-1)&lt;1,"",IF(COUNTIF(itens_Remanesc!$A$2:$A$200,"&lt;&gt;")=0,"",IFERROR(comparativo_VTA!$D$204,"")))</f>
        <v/>
      </c>
      <c r="C27" s="261" t="str">
        <f>IF(B27="","",ROUND(SUMPRODUCT(posicao_contratual!$K$2:$K$201,historico_VU!$D$2:$D$201),2))</f>
        <v/>
      </c>
      <c r="D27" s="261" t="str">
        <f>IF(OR(B27="",C27=""),"",ROUND(C27-B27,2))</f>
        <v/>
      </c>
      <c r="E27" s="271"/>
      <c r="F27" s="271"/>
      <c r="G27" s="271"/>
      <c r="H27" s="271"/>
    </row>
    <row r="28" spans="1:8" ht="19" customHeight="1" x14ac:dyDescent="0.3">
      <c r="A28" s="260" t="s">
        <v>23</v>
      </c>
      <c r="B28" s="261" t="str">
        <f>IF(IFERROR(VALUE(MID(UPPER(CONTROLE!$B$2),2,1)),-1)&lt;2,"",IF(COUNTIF(itens_Remanesc!$A$2:$A$200,"&lt;&gt;")=0,"",IFERROR(comparativo_VTA!$E$204,"")))</f>
        <v/>
      </c>
      <c r="C28" s="261" t="str">
        <f>IF(B28="","",ROUND(SUMPRODUCT(posicao_contratual!$O$2:$O$201,historico_VU!$E$2:$E$201),2))</f>
        <v/>
      </c>
      <c r="D28" s="261" t="str">
        <f>IF(OR(B28="",C28=""),"",ROUND(C28-B28,2))</f>
        <v/>
      </c>
      <c r="E28" s="271"/>
      <c r="F28" s="271"/>
      <c r="G28" s="271"/>
      <c r="H28" s="271"/>
    </row>
    <row r="29" spans="1:8" ht="19" customHeight="1" x14ac:dyDescent="0.3">
      <c r="A29" s="260" t="s">
        <v>24</v>
      </c>
      <c r="B29" s="261" t="str">
        <f>IF(IFERROR(VALUE(MID(UPPER(CONTROLE!$B$2),2,1)),-1)&lt;3,"",IF(COUNTIF(itens_Remanesc!$A$2:$A$200,"&lt;&gt;")=0,"",IFERROR(comparativo_VTA!$F$204,"")))</f>
        <v/>
      </c>
      <c r="C29" s="261" t="str">
        <f>IF(B29="","",ROUND(SUMPRODUCT(posicao_contratual!$S$2:$S$201,historico_VU!$F$2:$F$201),2))</f>
        <v/>
      </c>
      <c r="D29" s="261" t="str">
        <f>IF(OR(B29="",C29=""),"",ROUND(C29-B29,2))</f>
        <v/>
      </c>
      <c r="E29" s="271"/>
      <c r="F29" s="271"/>
      <c r="G29" s="271"/>
      <c r="H29" s="271"/>
    </row>
    <row r="30" spans="1:8" ht="19" customHeight="1" x14ac:dyDescent="0.3">
      <c r="A30" s="272" t="s">
        <v>25</v>
      </c>
      <c r="B30" s="273" t="str">
        <f>IF(IFERROR(VALUE(MID(UPPER(CONTROLE!$B$2),2,1)),-1)&lt;4,"",IF(COUNTIF(itens_Remanesc!$A$2:$A$200,"&lt;&gt;")=0,"",IFERROR(comparativo_VTA!$G$204,"")))</f>
        <v/>
      </c>
      <c r="C30" s="273" t="str">
        <f>IF(B30="","",ROUND(SUMPRODUCT(posicao_contratual!$W$2:$W$201,historico_VU!$G$2:$G$201),2))</f>
        <v/>
      </c>
      <c r="D30" s="273" t="str">
        <f>IF(OR(B30="",C30=""),"",ROUND(C30-B30,2))</f>
        <v/>
      </c>
      <c r="E30" s="264"/>
      <c r="F30" s="264"/>
      <c r="G30" s="264"/>
      <c r="H30" s="264"/>
    </row>
    <row r="31" spans="1:8" ht="7" hidden="1" customHeight="1" x14ac:dyDescent="0.3">
      <c r="A31" s="264"/>
      <c r="B31" s="264"/>
      <c r="C31" s="264"/>
      <c r="D31" s="264"/>
      <c r="E31" s="264"/>
      <c r="F31" s="264"/>
      <c r="G31" s="264"/>
      <c r="H31" s="264"/>
    </row>
    <row r="32" spans="1:8" ht="15" customHeight="1" x14ac:dyDescent="0.3">
      <c r="A32" s="264"/>
      <c r="B32" s="264"/>
      <c r="C32" s="264"/>
      <c r="D32" s="264"/>
      <c r="E32" s="264"/>
      <c r="F32" s="264"/>
      <c r="G32" s="264"/>
      <c r="H32" s="264"/>
    </row>
    <row r="33" spans="1:8" ht="22" customHeight="1" x14ac:dyDescent="0.3">
      <c r="A33" s="265" t="str">
        <f>IF(UPPER(CONTROLE!$B$2)="","4. CICLO ATUAL EM EXECUÇÃO","4. CICLO ATUAL EM EXECUÇÃO ("&amp;UPPER(CONTROLE!$B$2)&amp;")")</f>
        <v>4. CICLO ATUAL EM EXECUÇÃO</v>
      </c>
      <c r="B33" s="266"/>
      <c r="C33" s="266"/>
      <c r="D33" s="266"/>
      <c r="E33" s="266"/>
      <c r="F33" s="266"/>
      <c r="G33" s="266"/>
      <c r="H33" s="267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60" t="s">
        <v>430</v>
      </c>
      <c r="B34" s="274" t="str">
        <f>UPPER(CONTROLE!$B$2)</f>
        <v/>
      </c>
      <c r="C34" s="580"/>
      <c r="D34" s="581"/>
      <c r="E34" s="582" t="s">
        <v>449</v>
      </c>
      <c r="F34" s="583"/>
      <c r="G34" s="583"/>
      <c r="H34" s="583"/>
    </row>
    <row r="35" spans="1:8" ht="22" customHeight="1" x14ac:dyDescent="0.3">
      <c r="A35" s="260" t="s">
        <v>431</v>
      </c>
      <c r="B35" s="275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565" t="str">
        <f ca="1">IF($B$35="","Aguardando dado","")</f>
        <v>Aguardando dado</v>
      </c>
      <c r="D35" s="566"/>
      <c r="E35" s="584" t="str">
        <f ca="1">IF($A$39="","",$A$39)</f>
        <v/>
      </c>
      <c r="F35" s="585"/>
      <c r="G35" s="585"/>
      <c r="H35" s="586"/>
    </row>
    <row r="36" spans="1:8" ht="22" customHeight="1" x14ac:dyDescent="0.3">
      <c r="A36" s="260" t="s">
        <v>432</v>
      </c>
      <c r="B36" s="261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565" t="str">
        <f ca="1">IF($B$36="","Aguardando dado","")</f>
        <v>Aguardando dado</v>
      </c>
      <c r="D36" s="566"/>
      <c r="E36" s="587"/>
      <c r="F36" s="585"/>
      <c r="G36" s="585"/>
      <c r="H36" s="586"/>
    </row>
    <row r="37" spans="1:8" ht="22" customHeight="1" x14ac:dyDescent="0.3">
      <c r="A37" s="260" t="s">
        <v>433</v>
      </c>
      <c r="B37" s="261" t="str">
        <f>IFERROR(INDEX($C$26:$C$30,MATCH(UPPER(CONTROLE!$B$2),$A$26:$A$30,0)),"")</f>
        <v/>
      </c>
      <c r="C37" s="565" t="str">
        <f>IF($B$37="","Aguardando dado","")</f>
        <v>Aguardando dado</v>
      </c>
      <c r="D37" s="566"/>
      <c r="E37" s="587"/>
      <c r="F37" s="585"/>
      <c r="G37" s="585"/>
      <c r="H37" s="586"/>
    </row>
    <row r="38" spans="1:8" ht="22" customHeight="1" x14ac:dyDescent="0.3">
      <c r="A38" s="262" t="s">
        <v>434</v>
      </c>
      <c r="B38" s="263" t="str">
        <f ca="1">IF(OR(B36="",B37=""),"",ROUND(B37-B36,2))</f>
        <v/>
      </c>
      <c r="C38" s="578" t="str">
        <f ca="1">IF($B$38="","Aguardando dado","")</f>
        <v>Aguardando dado</v>
      </c>
      <c r="D38" s="579"/>
      <c r="E38" s="587"/>
      <c r="F38" s="585"/>
      <c r="G38" s="585"/>
      <c r="H38" s="586"/>
    </row>
    <row r="39" spans="1:8" ht="15" customHeight="1" x14ac:dyDescent="0.3">
      <c r="A39" s="559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560"/>
      <c r="C39" s="560"/>
      <c r="D39" s="560"/>
      <c r="E39" s="560"/>
      <c r="F39" s="560"/>
      <c r="G39" s="560"/>
      <c r="H39" s="560"/>
    </row>
    <row r="40" spans="1:8" ht="14" hidden="1" customHeight="1" x14ac:dyDescent="0.3">
      <c r="A40" s="264"/>
      <c r="B40" s="264"/>
      <c r="C40" s="264"/>
      <c r="D40" s="264"/>
      <c r="E40" s="264"/>
      <c r="F40" s="264"/>
      <c r="G40" s="264"/>
      <c r="H40" s="264"/>
    </row>
    <row r="41" spans="1:8" ht="22" hidden="1" customHeight="1" x14ac:dyDescent="0.3">
      <c r="A41" s="276" t="s">
        <v>450</v>
      </c>
      <c r="B41" s="277"/>
      <c r="C41" s="277"/>
      <c r="D41" s="325" t="s">
        <v>451</v>
      </c>
      <c r="E41" s="277"/>
      <c r="F41" s="277"/>
      <c r="G41" s="277"/>
      <c r="H41" s="277"/>
    </row>
    <row r="42" spans="1:8" ht="24" hidden="1" customHeight="1" x14ac:dyDescent="0.3">
      <c r="A42" s="278" t="s">
        <v>435</v>
      </c>
      <c r="B42" s="278" t="s">
        <v>291</v>
      </c>
      <c r="C42" s="278" t="s">
        <v>436</v>
      </c>
      <c r="D42" s="278" t="s">
        <v>437</v>
      </c>
      <c r="E42" s="278" t="s">
        <v>438</v>
      </c>
      <c r="F42" s="278" t="s">
        <v>439</v>
      </c>
      <c r="G42" s="278" t="s">
        <v>440</v>
      </c>
      <c r="H42" s="278" t="s">
        <v>441</v>
      </c>
    </row>
    <row r="43" spans="1:8" ht="24" hidden="1" customHeight="1" x14ac:dyDescent="0.3">
      <c r="A43" s="279" t="s">
        <v>287</v>
      </c>
      <c r="B43" s="280" t="s">
        <v>26</v>
      </c>
      <c r="C43" s="238"/>
      <c r="D43" s="235"/>
      <c r="E43" s="235"/>
      <c r="F43" s="236"/>
      <c r="G43" s="237"/>
      <c r="H43" s="281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79" t="s">
        <v>442</v>
      </c>
      <c r="B44" s="280" t="s">
        <v>26</v>
      </c>
      <c r="C44" s="238"/>
      <c r="D44" s="235"/>
      <c r="E44" s="235"/>
      <c r="F44" s="236"/>
      <c r="G44" s="237"/>
      <c r="H44" s="281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79" t="s">
        <v>443</v>
      </c>
      <c r="B45" s="280" t="s">
        <v>26</v>
      </c>
      <c r="C45" s="238"/>
      <c r="D45" s="235"/>
      <c r="E45" s="235"/>
      <c r="F45" s="236"/>
      <c r="G45" s="237"/>
      <c r="H45" s="281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79" t="s">
        <v>444</v>
      </c>
      <c r="B46" s="280" t="s">
        <v>21</v>
      </c>
      <c r="C46" s="238"/>
      <c r="D46" s="235"/>
      <c r="E46" s="235"/>
      <c r="F46" s="236"/>
      <c r="G46" s="237"/>
      <c r="H46" s="281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79" t="s">
        <v>444</v>
      </c>
      <c r="B47" s="280" t="s">
        <v>22</v>
      </c>
      <c r="C47" s="238"/>
      <c r="D47" s="235"/>
      <c r="E47" s="235"/>
      <c r="F47" s="236"/>
      <c r="G47" s="237"/>
      <c r="H47" s="281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79" t="s">
        <v>444</v>
      </c>
      <c r="B48" s="280" t="s">
        <v>23</v>
      </c>
      <c r="C48" s="238"/>
      <c r="D48" s="235"/>
      <c r="E48" s="235"/>
      <c r="F48" s="236"/>
      <c r="G48" s="237"/>
      <c r="H48" s="281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79" t="s">
        <v>444</v>
      </c>
      <c r="B49" s="280" t="s">
        <v>24</v>
      </c>
      <c r="C49" s="238"/>
      <c r="D49" s="235"/>
      <c r="E49" s="235"/>
      <c r="F49" s="236"/>
      <c r="G49" s="237"/>
      <c r="H49" s="281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82" t="s">
        <v>444</v>
      </c>
      <c r="B50" s="283" t="s">
        <v>25</v>
      </c>
      <c r="C50" s="239"/>
      <c r="D50" s="240"/>
      <c r="E50" s="240"/>
      <c r="F50" s="241"/>
      <c r="G50" s="242"/>
      <c r="H50" s="284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64"/>
      <c r="B51" s="264"/>
      <c r="C51" s="264"/>
      <c r="D51" s="264"/>
      <c r="E51" s="264"/>
      <c r="F51" s="264"/>
      <c r="G51" s="264"/>
      <c r="H51" s="264"/>
    </row>
    <row r="52" spans="1:8" ht="15" customHeight="1" x14ac:dyDescent="0.3">
      <c r="A52" s="264"/>
      <c r="B52" s="264"/>
      <c r="C52" s="264"/>
      <c r="D52" s="264"/>
      <c r="E52" s="264"/>
      <c r="F52" s="264"/>
      <c r="G52" s="264"/>
      <c r="H52" s="264"/>
    </row>
    <row r="53" spans="1:8" ht="20" customHeight="1" x14ac:dyDescent="0.3">
      <c r="A53" s="551" t="s">
        <v>523</v>
      </c>
      <c r="B53" s="548"/>
      <c r="C53" s="548"/>
      <c r="D53" s="548"/>
      <c r="E53" s="548"/>
      <c r="F53" s="548"/>
      <c r="G53" s="548"/>
      <c r="H53" s="552"/>
    </row>
    <row r="54" spans="1:8" ht="13" customHeight="1" x14ac:dyDescent="0.3">
      <c r="A54" s="357" t="s">
        <v>445</v>
      </c>
      <c r="B54" s="358" t="s">
        <v>427</v>
      </c>
      <c r="C54" s="553" t="s">
        <v>490</v>
      </c>
      <c r="D54" s="554"/>
      <c r="E54" s="553"/>
      <c r="F54" s="553"/>
      <c r="G54" s="553"/>
      <c r="H54" s="553"/>
    </row>
    <row r="55" spans="1:8" ht="30" customHeight="1" x14ac:dyDescent="0.3">
      <c r="A55" s="332" t="s">
        <v>491</v>
      </c>
      <c r="B55" s="344" t="str">
        <f>IF($B$5&lt;&gt;"PCs","",MEMORIA_RESULTADOS!$T$33)</f>
        <v/>
      </c>
      <c r="C55" s="544" t="s">
        <v>492</v>
      </c>
      <c r="D55" s="545"/>
      <c r="E55" s="544"/>
      <c r="F55" s="544"/>
      <c r="G55" s="544"/>
      <c r="H55" s="544"/>
    </row>
    <row r="56" spans="1:8" ht="30" customHeight="1" x14ac:dyDescent="0.3">
      <c r="A56" s="332" t="s">
        <v>493</v>
      </c>
      <c r="B56" s="344" t="str">
        <f>IF($B$5&lt;&gt;"PCs","",MEMORIA_RESULTADOS!$T$34)</f>
        <v/>
      </c>
      <c r="C56" s="544" t="s">
        <v>494</v>
      </c>
      <c r="D56" s="545"/>
      <c r="E56" s="544"/>
      <c r="F56" s="544"/>
      <c r="G56" s="544"/>
      <c r="H56" s="544"/>
    </row>
    <row r="57" spans="1:8" ht="30" customHeight="1" x14ac:dyDescent="0.3">
      <c r="A57" s="332" t="s">
        <v>495</v>
      </c>
      <c r="B57" s="344" t="str">
        <f>IF($B$5&lt;&gt;"PCs","",MEMORIA_RESULTADOS!$T$35)</f>
        <v/>
      </c>
      <c r="C57" s="544" t="s">
        <v>496</v>
      </c>
      <c r="D57" s="545"/>
      <c r="E57" s="544"/>
      <c r="F57" s="544"/>
      <c r="G57" s="544"/>
      <c r="H57" s="544"/>
    </row>
    <row r="58" spans="1:8" ht="30" customHeight="1" x14ac:dyDescent="0.3">
      <c r="A58" s="332" t="s">
        <v>446</v>
      </c>
      <c r="B58" s="344" t="str">
        <f>IF($B$5&lt;&gt;"PCs","",MEMORIA_RESULTADOS!$T$36)</f>
        <v/>
      </c>
      <c r="C58" s="544" t="s">
        <v>497</v>
      </c>
      <c r="D58" s="545"/>
      <c r="E58" s="544"/>
      <c r="F58" s="544"/>
      <c r="G58" s="544"/>
      <c r="H58" s="544"/>
    </row>
    <row r="59" spans="1:8" ht="30" customHeight="1" x14ac:dyDescent="0.3">
      <c r="A59" s="332" t="s">
        <v>447</v>
      </c>
      <c r="B59" s="344" t="str">
        <f>IF($B$5&lt;&gt;"PCs","",MEMORIA_RESULTADOS!$T$37)</f>
        <v/>
      </c>
      <c r="C59" s="544" t="s">
        <v>498</v>
      </c>
      <c r="D59" s="545"/>
      <c r="E59" s="544"/>
      <c r="F59" s="544"/>
      <c r="G59" s="544"/>
      <c r="H59" s="544"/>
    </row>
    <row r="60" spans="1:8" ht="36" customHeight="1" x14ac:dyDescent="0.3">
      <c r="A60" s="332" t="s">
        <v>448</v>
      </c>
      <c r="B60" s="344" t="str">
        <f>$D$22</f>
        <v/>
      </c>
      <c r="C60" s="544" t="s">
        <v>528</v>
      </c>
      <c r="D60" s="545"/>
      <c r="E60" s="544"/>
      <c r="F60" s="544"/>
      <c r="G60" s="544"/>
      <c r="H60" s="544"/>
    </row>
    <row r="61" spans="1:8" ht="30" customHeight="1" x14ac:dyDescent="0.3">
      <c r="A61" s="332" t="s">
        <v>529</v>
      </c>
      <c r="B61" s="344" t="str">
        <f>IF($B$5&lt;&gt;"PCs","",IFERROR(RETROATIVO_POTENCIAL_VTA,""))</f>
        <v/>
      </c>
      <c r="C61" s="544" t="s">
        <v>546</v>
      </c>
      <c r="D61" s="545"/>
      <c r="E61" s="544"/>
      <c r="F61" s="544"/>
      <c r="G61" s="544"/>
      <c r="H61" s="544"/>
    </row>
    <row r="62" spans="1:8" ht="30" customHeight="1" x14ac:dyDescent="0.3">
      <c r="A62" s="332" t="s">
        <v>530</v>
      </c>
      <c r="B62" s="344" t="str">
        <f>IF(OR($B$5&lt;&gt;"PCs",$D$22=""),"",ROUND(N($D$22)+N(RETROATIVO_POTENCIAL_VTA),2))</f>
        <v/>
      </c>
      <c r="C62" s="544" t="s">
        <v>531</v>
      </c>
      <c r="D62" s="545"/>
      <c r="E62" s="544"/>
      <c r="F62" s="544"/>
      <c r="G62" s="544"/>
      <c r="H62" s="544"/>
    </row>
    <row r="63" spans="1:8" ht="30" customHeight="1" x14ac:dyDescent="0.3">
      <c r="A63" s="332" t="s">
        <v>532</v>
      </c>
      <c r="B63" s="344" t="str">
        <f ca="1">$B$36</f>
        <v/>
      </c>
      <c r="C63" s="544" t="s">
        <v>499</v>
      </c>
      <c r="D63" s="545"/>
      <c r="E63" s="544"/>
      <c r="F63" s="544"/>
      <c r="G63" s="544"/>
      <c r="H63" s="544"/>
    </row>
    <row r="64" spans="1:8" ht="30" customHeight="1" x14ac:dyDescent="0.3">
      <c r="A64" s="332" t="s">
        <v>533</v>
      </c>
      <c r="B64" s="344" t="str">
        <f ca="1">$B$38</f>
        <v/>
      </c>
      <c r="C64" s="544" t="s">
        <v>500</v>
      </c>
      <c r="D64" s="545"/>
      <c r="E64" s="544"/>
      <c r="F64" s="544"/>
      <c r="G64" s="544"/>
      <c r="H64" s="544"/>
    </row>
    <row r="65" spans="1:8" ht="30" customHeight="1" x14ac:dyDescent="0.3">
      <c r="A65" s="332" t="s">
        <v>534</v>
      </c>
      <c r="B65" s="345" t="str">
        <f>IF(VTA_FINAL="","",VTA_FINAL)</f>
        <v/>
      </c>
      <c r="C65" s="544" t="s">
        <v>535</v>
      </c>
      <c r="D65" s="545"/>
      <c r="E65" s="544"/>
      <c r="F65" s="544"/>
      <c r="G65" s="544"/>
      <c r="H65" s="544"/>
    </row>
    <row r="66" spans="1:8" ht="30" customHeight="1" x14ac:dyDescent="0.3">
      <c r="A66" s="332" t="s">
        <v>536</v>
      </c>
      <c r="B66" s="344" t="str">
        <f ca="1">$B$13</f>
        <v/>
      </c>
      <c r="C66" s="544" t="s">
        <v>501</v>
      </c>
      <c r="D66" s="545"/>
      <c r="E66" s="544"/>
      <c r="F66" s="544"/>
      <c r="G66" s="544"/>
      <c r="H66" s="544"/>
    </row>
    <row r="67" spans="1:8" ht="30" customHeight="1" x14ac:dyDescent="0.3">
      <c r="A67" s="332" t="s">
        <v>537</v>
      </c>
      <c r="B67" s="373" t="str">
        <f ca="1">$B$3</f>
        <v>REVISE</v>
      </c>
      <c r="C67" s="544" t="s">
        <v>502</v>
      </c>
      <c r="D67" s="545"/>
      <c r="E67" s="544"/>
      <c r="F67" s="544"/>
      <c r="G67" s="544"/>
      <c r="H67" s="544"/>
    </row>
    <row r="68" spans="1:8" ht="14.5" x14ac:dyDescent="0.3">
      <c r="A68" s="546" t="s">
        <v>462</v>
      </c>
      <c r="B68" s="546"/>
      <c r="C68" s="546"/>
      <c r="D68" s="546"/>
      <c r="E68" s="546"/>
      <c r="F68" s="546"/>
      <c r="G68" s="546"/>
      <c r="H68" s="546"/>
    </row>
    <row r="69" spans="1:8" ht="34" customHeight="1" x14ac:dyDescent="0.3">
      <c r="A69" s="547" t="str">
        <f>"COMO O VTA É CALCULADO — execução já realizada + ajustes aplicáveis + "&amp;"saldo remanescente atualizado. MÉTODO: "&amp;IF(MEMORIA_RESULTADOS!$B$4="Financeiro","Financeiro",IF(MEMORIA_RESULTADOS!$B$4="PCs","Pedidos de Compra",IF(MEMORIA_RESULTADOS!$B$4="Itens","Consumido","não selecionado")))</f>
        <v>COMO O VTA É CALCULADO — execução já realizada + ajustes aplicáveis + saldo remanescente atualizado. MÉTODO: não selecionado</v>
      </c>
      <c r="B69" s="547"/>
      <c r="C69" s="547"/>
      <c r="D69" s="547"/>
      <c r="E69" s="547"/>
      <c r="F69" s="547"/>
      <c r="G69" s="547"/>
      <c r="H69" s="547"/>
    </row>
    <row r="70" spans="1:8" x14ac:dyDescent="0.3">
      <c r="A70" s="363" t="str">
        <f>IF(MEMORIA_RESULTADOS!$B$4="Financeiro","Metodo Financeiro: a conferência abaixo compara o informado com a "&amp;"estimativa quantitativa. Esta conferência não altera o VTA Oficial.",IF(MEMORIA_RESULTADOS!$B$4="PCs","Metodo PCs: o bloco 8 não se aplica "&amp;"ao método selecionado. Esta conferência não altera o VTA Oficial.",IF(MEMORIA_RESULTADOS!$B$4="Itens","Metodo Consumido: o bloco 8 não se "&amp;"aplica ao método selecionado. Esta conferência não altera o VTA Oficial.","Selecione o método na aba CONTROLE.")))</f>
        <v>Selecione o método na aba CONTROLE.</v>
      </c>
      <c r="B70" s="363"/>
      <c r="C70" s="363"/>
      <c r="D70" s="363"/>
      <c r="E70" s="363"/>
      <c r="F70" s="363"/>
      <c r="G70" s="363"/>
      <c r="H70" s="363"/>
    </row>
    <row r="71" spans="1:8" ht="14.5" x14ac:dyDescent="0.3">
      <c r="A71" s="500" t="str">
        <f>IF(MEMORIA_RESULTADOS!$B$4="Financeiro","8. CONFERÊNCIA DA EXECUÇÃO (Financeiro) — não altera o VTA Oficial","8. CONFERÊNCIA DA EXECUÇÃO — Nao aplicavel ao metodo selecionado")</f>
        <v>8. CONFERÊNCIA DA EXECUÇÃO — Nao aplicavel ao metodo selecionado</v>
      </c>
      <c r="B71" s="500"/>
      <c r="C71" s="500"/>
      <c r="D71" s="500"/>
      <c r="E71" s="500"/>
      <c r="F71" s="500"/>
      <c r="G71" s="500"/>
      <c r="H71" s="500"/>
    </row>
    <row r="72" spans="1:8" x14ac:dyDescent="0.3">
      <c r="A72" s="333" t="s">
        <v>291</v>
      </c>
      <c r="B72" s="333" t="s">
        <v>503</v>
      </c>
      <c r="C72" s="333" t="s">
        <v>504</v>
      </c>
      <c r="D72" s="333" t="s">
        <v>489</v>
      </c>
      <c r="E72" s="333" t="s">
        <v>505</v>
      </c>
    </row>
    <row r="73" spans="1:8" x14ac:dyDescent="0.3">
      <c r="A73" s="334" t="s">
        <v>21</v>
      </c>
      <c r="B73" s="344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44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44" t="str">
        <f>IF(MEMORIA_RESULTADOS!$B$4&lt;&gt;"Financeiro","Nao aplicavel ao metodo selecionado",IF(OR(B73="",C73="",NOT(ISNUMBER(C73))),"",ROUND(B73-C73,2)))</f>
        <v>Nao aplicavel ao metodo selecionado</v>
      </c>
      <c r="E73" s="335" t="str">
        <f>IF(MEMORIA_RESULTADOS!$B$4&lt;&gt;"Financeiro","NAO APLICAVEL",IF(OR(B73="",C73="",NOT(ISNUMBER(C73))),"Sem dados quantitativos para comparar",IF(ROUND(D73,2)=0,"SEM DIFERENÇA","VERIFICAR DIFERENÇA")))</f>
        <v>NAO APLICAVEL</v>
      </c>
    </row>
    <row r="74" spans="1:8" x14ac:dyDescent="0.3">
      <c r="A74" s="334" t="s">
        <v>22</v>
      </c>
      <c r="B74" s="344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44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44" t="str">
        <f>IF(MEMORIA_RESULTADOS!$B$4&lt;&gt;"Financeiro","Nao aplicavel ao metodo selecionado",IF(OR(B74="",C74="",NOT(ISNUMBER(C74))),"",ROUND(B74-C74,2)))</f>
        <v>Nao aplicavel ao metodo selecionado</v>
      </c>
      <c r="E74" s="335" t="str">
        <f>IF(MEMORIA_RESULTADOS!$B$4&lt;&gt;"Financeiro","NAO APLICAVEL",IF(OR(B74="",C74="",NOT(ISNUMBER(C74))),"Sem dados quantitativos para comparar",IF(ROUND(D74,2)=0,"SEM DIFERENÇA","VERIFICAR DIFERENÇA")))</f>
        <v>NAO APLICAVEL</v>
      </c>
    </row>
    <row r="75" spans="1:8" x14ac:dyDescent="0.3">
      <c r="A75" s="334" t="s">
        <v>23</v>
      </c>
      <c r="B75" s="344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44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44" t="str">
        <f>IF(MEMORIA_RESULTADOS!$B$4&lt;&gt;"Financeiro","Nao aplicavel ao metodo selecionado",IF(OR(B75="",C75="",NOT(ISNUMBER(C75))),"",ROUND(B75-C75,2)))</f>
        <v>Nao aplicavel ao metodo selecionado</v>
      </c>
      <c r="E75" s="335" t="str">
        <f>IF(MEMORIA_RESULTADOS!$B$4&lt;&gt;"Financeiro","NAO APLICAVEL",IF(OR(B75="",C75="",NOT(ISNUMBER(C75))),"Sem dados quantitativos para comparar",IF(ROUND(D75,2)=0,"SEM DIFERENÇA","VERIFICAR DIFERENÇA")))</f>
        <v>NAO APLICAVEL</v>
      </c>
    </row>
    <row r="76" spans="1:8" x14ac:dyDescent="0.3">
      <c r="A76" s="334" t="s">
        <v>24</v>
      </c>
      <c r="B76" s="344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44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44" t="str">
        <f>IF(MEMORIA_RESULTADOS!$B$4&lt;&gt;"Financeiro","Nao aplicavel ao metodo selecionado",IF(OR(B76="",C76="",NOT(ISNUMBER(C76))),"",ROUND(B76-C76,2)))</f>
        <v>Nao aplicavel ao metodo selecionado</v>
      </c>
      <c r="E76" s="335" t="str">
        <f>IF(MEMORIA_RESULTADOS!$B$4&lt;&gt;"Financeiro","NAO APLICAVEL",IF(OR(B76="",C76="",NOT(ISNUMBER(C76))),"Sem dados quantitativos para comparar",IF(ROUND(D76,2)=0,"SEM DIFERENÇA","VERIFICAR DIFERENÇA")))</f>
        <v>NAO APLICAVEL</v>
      </c>
    </row>
    <row r="77" spans="1:8" x14ac:dyDescent="0.3">
      <c r="A77" s="360" t="s">
        <v>25</v>
      </c>
      <c r="B77" s="361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61" t="str">
        <f>IF(MEMORIA_RESULTADOS!$B$4&lt;&gt;"Financeiro","Nao aplicavel ao metodo selecionado","Sem historico quantitativo suficiente")</f>
        <v>Nao aplicavel ao metodo selecionado</v>
      </c>
      <c r="D77" s="361" t="str">
        <f>IF(MEMORIA_RESULTADOS!$B$4&lt;&gt;"Financeiro","Nao aplicavel ao metodo selecionado",IF(OR(B77="",C77="",NOT(ISNUMBER(C77))),"",ROUND(B77-C77,2)))</f>
        <v>Nao aplicavel ao metodo selecionado</v>
      </c>
      <c r="E77" s="362" t="str">
        <f>IF(MEMORIA_RESULTADOS!$B$4&lt;&gt;"Financeiro","NAO APLICAVEL",IF(OR(B77="",C77="",NOT(ISNUMBER(C77))),"Sem dados quantitativos para comparar",IF(ROUND(D77,2)=0,"SEM DIFERENÇA","VERIFICAR DIFERENÇA")))</f>
        <v>NAO APLICAVEL</v>
      </c>
      <c r="F77" s="359"/>
      <c r="G77" s="359"/>
      <c r="H77" s="359"/>
    </row>
    <row r="78" spans="1:8" x14ac:dyDescent="0.3">
      <c r="A78" s="364"/>
      <c r="B78" s="359"/>
      <c r="C78" s="359"/>
      <c r="D78" s="359"/>
      <c r="E78" s="359"/>
      <c r="F78" s="359"/>
      <c r="G78" s="359"/>
      <c r="H78" s="359"/>
    </row>
    <row r="79" spans="1:8" ht="15.5" x14ac:dyDescent="0.3">
      <c r="A79" s="541" t="s">
        <v>506</v>
      </c>
      <c r="B79" s="541"/>
      <c r="C79" s="541"/>
      <c r="D79" s="541"/>
      <c r="E79" s="541"/>
      <c r="F79" s="541"/>
      <c r="G79" s="541"/>
      <c r="H79" s="541"/>
    </row>
    <row r="80" spans="1:8" ht="28" customHeight="1" x14ac:dyDescent="0.3">
      <c r="A80" s="542" t="str">
        <f>IF($B$5="PCs","Execução atualizada consolidada + saldo remanescente final atualizado + retroativo potencial = VTA oficial. O quadro de PCs reconhecidos acima não substitui a execução consolidada, que pode incluir posição física.","O VTA reúne a execução já realizada, os ajustes contratuais aplicáveis e o saldo que ainda falta executar, todos nos valores correspondentes.")</f>
        <v>O VTA reúne a execução já realizada, os ajustes contratuais aplicáveis e o saldo que ainda falta executar, todos nos valores correspondentes.</v>
      </c>
      <c r="B80" s="542"/>
      <c r="C80" s="542"/>
      <c r="D80" s="542"/>
      <c r="E80" s="542"/>
      <c r="F80" s="542"/>
      <c r="G80" s="542"/>
      <c r="H80" s="542"/>
    </row>
    <row r="81" spans="1:8" ht="28" customHeight="1" x14ac:dyDescent="0.3">
      <c r="A81" s="543" t="str">
        <f>IF(MEMORIA_RESULTADOS!$B$4="PCs","Para conferir: VTA oficial = execução apurada (já inclui o retroativo reconhecido) + retroativo POTENCIAL incorporado + saldo remanescente atualizado.","Para conferir: VTA oficial = execução apurada + parcela adicional do método + saldo remanescente atualizado.")</f>
        <v>Para conferir: VTA oficial = execução apurada + parcela adicional do método + saldo remanescente atualizado.</v>
      </c>
      <c r="B81" s="543"/>
      <c r="C81" s="543"/>
      <c r="D81" s="543"/>
      <c r="E81" s="543"/>
      <c r="F81" s="543"/>
      <c r="G81" s="543"/>
      <c r="H81" s="543"/>
    </row>
    <row r="82" spans="1:8" x14ac:dyDescent="0.3">
      <c r="A82" s="336" t="s">
        <v>465</v>
      </c>
      <c r="B82" s="337" t="s">
        <v>427</v>
      </c>
      <c r="C82" s="336" t="s">
        <v>466</v>
      </c>
    </row>
    <row r="83" spans="1:8" ht="24" x14ac:dyDescent="0.3">
      <c r="A83" s="338" t="str">
        <f>IF($B$5="PCs","Execução realizada — valor atualizado","Executado apurado")</f>
        <v>Executado apurado</v>
      </c>
      <c r="B83" s="344" t="str">
        <f>IF($B$5="PCs",IF(MEMORIA_RESULTADOS!$T$25="CALCULO MANUAL REQUERIDO","",ROUND(MEMORIA_RESULTADOS!$T$21+MEMORIA_RESULTADOS!$T$22+IF(MEMORIA_RESULTADOS!$W$49=1,$B$36,0),2)),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REQUERIDO","",ROUND(MEMORIA_RESULTADOS!$T$21+MEMORIA_RESULTADOS!$T$22,2)),""))))</f>
        <v/>
      </c>
      <c r="C83" s="339" t="str">
        <f>IF($B$5="PCs","Já contém o reajuste/retroativo reconhecido incorporado à execução.",IF(MEMORIA_RESULTADOS!$B$4="Financeiro","Valores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vigente, ja com o retroativo reconhecido.","Selecione o metodo em CONTROLE!B1."))))</f>
        <v>Selecione o metodo em CONTROLE!B1.</v>
      </c>
    </row>
    <row r="84" spans="1:8" x14ac:dyDescent="0.3">
      <c r="A84" s="338" t="str">
        <f>IF(MEMORIA_RESULTADOS!$B$4="PCs","(+) Retroativo potencial — POTENCIAL","(+) Ajustes ainda devidos")</f>
        <v>(+) Ajustes ainda devidos</v>
      </c>
      <c r="B84" s="344" t="str">
        <f>IF(MEMORIA_RESULTADOS!$B$4="Financeiro",IF(MEMORIA_RESULTADOS!$B$21="","",MEMORIA_RESULTADOS!$B$21),IF(MEMORIA_RESULTADOS!$B$4="PCs",IF(MEMORIA_RESULTADOS!$T$25="CALCULO MANUAL REQUERIDO","",MEMORIA_RESULTADOS!$T$39),IF(MEMORIA_RESULTADOS!$B$4="Itens",0,"")))</f>
        <v/>
      </c>
      <c r="C84" s="339" t="str">
        <f>IF($B$5="PCs","Parcela prudencial sujeita à confirmação da área gestora. ","")&amp;(IF(MEMORIA_RESULTADOS!$B$4="Financeiro","Reajuste ja reconhecido e ainda nao contido no valor pago.",IF(MEMORIA_RESULTADOS!$B$4="PCs",IF(MEMORIA_RESULTADOS!$T$47&lt;0,"Retroativo POTENCIAL positivo dos PCs em analise, incorporado ao VTA por criterio prudencial. Ha ainda R$ "&amp;TEXT(-MEMORIA_RESULTADOS!$T$47,"#.##0,00")&amp;" de parcela potencial NEGATIVA apurada: ela permanece visivel, nao reduz o VTA e nao compensa a parcela positiva.","Retroativo POTENCIAL dos PCs ainda em analise pela area gestora, incorporado ao VTA por criterio prudencial. Nao e retroativo reconhecido a pagar."),IF(MEMORIA_RESULTADOS!$B$4="Itens","Nao aplicavel: o reajuste ja esta dentro da execucao atualizada.",""))))</f>
        <v/>
      </c>
    </row>
    <row r="85" spans="1:8" ht="24" x14ac:dyDescent="0.3">
      <c r="A85" s="338" t="str">
        <f>IF($B$5="PCs","Saldo remanescente final atualizado","(+) Remanescente atualizado")</f>
        <v>(+) Remanescente atualizado</v>
      </c>
      <c r="B85" s="344" t="str">
        <f ca="1">IF($B$5="PCs",IF(MEMORIA_RESULTADOS!$T$25="CALCULO MANUAL REQUERIDO","",IF(MEMORIA_RESULTADOS!$W$49=1,SUM(INDIRECT("CICLO_EM_EXECUCAO!G13:G211")),MEMORIA_RESULTADOS!$T$23)),IF(MEMORIA_RESULTADOS!$D$35="","",MEMORIA_RESULTADOS!$D$35))</f>
        <v/>
      </c>
      <c r="C85" s="339" t="str">
        <f>IF($B$5="PCs","Parcela final utilizada no VTA; não somar os saldos históricos.","Saldo que ainda falta executar, já atualizado.")</f>
        <v>Saldo que ainda falta executar, já atualizado.</v>
      </c>
    </row>
    <row r="86" spans="1:8" ht="144.5" customHeight="1" x14ac:dyDescent="0.35">
      <c r="A86" s="341" t="str">
        <f>IF($B$5="PCs","VALOR TOTAL ATUALIZADO DO CONTRATO","(=) VTA Oficial")</f>
        <v>(=) VTA Oficial</v>
      </c>
      <c r="B86" s="346" t="str">
        <f>IF(VTA_FINAL="","",VTA_FINAL)</f>
        <v/>
      </c>
      <c r="C86" s="340" t="str">
        <f>IF(AND(MEMORIA_RESULTADOS!$B$4="PCs",ISNUMBER(MEMORIA_RESULTADOS!$T$40),ISNUMBER(MEMORIA_RESULTADOS!$T$39),OR(MEMORIA_RESULTADOS!$T$39&lt;&gt;0,MEMORIA_RESULTADOS!$T$47&lt;&gt;0)),"VTA antes da parcela potencial: R$ "&amp;TEXT(MEMORIA_RESULTADOS!$T$40,"#.##0,00")&amp;"  +  Parcela potencial no VTA: R$ "&amp;TEXT(MEMORIA_RESULTADOS!$T$39,"#.##0,00")&amp;"  =  VALOR TOTAL ATUALIZADO "&amp;"— VTA."&amp;IF(MEMORIA_RESULTADOS!$T$47&lt;0,"  Há ainda R$ "&amp;TEXT(-MEMORIA_RESULTADOS!$T$47,"#.##0,00")&amp;" de parcela potencial negativa apurada: por critério "&amp;"prudencial ela permanece visível, não reduz o VTA e não compensa a "&amp;"parcela positiva.","  O VTA inclui essa parcela por critério prudencial; ela permanece "&amp;"sujeita à confirmação pela área gestora e não representa, nesta data, "&amp;"retroativo reconhecido a pagar."),"Resultado final do método de apuração selecionado.")</f>
        <v>Resultado final do método de apuração selecionado.</v>
      </c>
    </row>
    <row r="87" spans="1:8" ht="24" x14ac:dyDescent="0.3">
      <c r="A87" s="343" t="s">
        <v>507</v>
      </c>
      <c r="B87" s="347" t="str">
        <f ca="1">IF(OR($B$83="",$B$85="",$B$86=""),"",ROUND($B$86-($B$83+N($B$84)+$B$85),2))</f>
        <v/>
      </c>
      <c r="C87" s="342" t="str">
        <f ca="1">IF($B$87="","Aguardando base para conferir.",IF(ABS($B$87)&lt;=MEMORIA_RESULTADOS!$D$4,"SEM DIFERENÇA",IF(OR(ISNUMBER(MEMORIA_RESULTADOS!$B$24),ISNUMBER(MEMORIA_RESULTADOS!$B$25)),"Diferença corresponde ao ajuste manual registrado na seção 5.","VERIFICAR DIFERENÇA")))</f>
        <v>Aguardando base para conferir.</v>
      </c>
    </row>
  </sheetData>
  <mergeCells count="51">
    <mergeCell ref="E22:F22"/>
    <mergeCell ref="G22:H22"/>
    <mergeCell ref="E16:H16"/>
    <mergeCell ref="E21:H21"/>
    <mergeCell ref="C36:D36"/>
    <mergeCell ref="C37:D37"/>
    <mergeCell ref="C38:D38"/>
    <mergeCell ref="C34:D34"/>
    <mergeCell ref="E34:H34"/>
    <mergeCell ref="E35:H38"/>
    <mergeCell ref="A1:F1"/>
    <mergeCell ref="G1:H1"/>
    <mergeCell ref="A2:F2"/>
    <mergeCell ref="G2:H2"/>
    <mergeCell ref="B7:H7"/>
    <mergeCell ref="G3:H3"/>
    <mergeCell ref="D5:E5"/>
    <mergeCell ref="A9:H9"/>
    <mergeCell ref="F10:G10"/>
    <mergeCell ref="A53:H53"/>
    <mergeCell ref="C54:H54"/>
    <mergeCell ref="C55:H55"/>
    <mergeCell ref="F13:G13"/>
    <mergeCell ref="C12:E12"/>
    <mergeCell ref="C10:E10"/>
    <mergeCell ref="F11:G11"/>
    <mergeCell ref="F12:G12"/>
    <mergeCell ref="A39:H39"/>
    <mergeCell ref="C11:E11"/>
    <mergeCell ref="E23:H23"/>
    <mergeCell ref="C13:E13"/>
    <mergeCell ref="E25:H25"/>
    <mergeCell ref="C35:D35"/>
    <mergeCell ref="C56:H56"/>
    <mergeCell ref="C57:H57"/>
    <mergeCell ref="C58:H58"/>
    <mergeCell ref="C59:H59"/>
    <mergeCell ref="C60:H60"/>
    <mergeCell ref="C61:H61"/>
    <mergeCell ref="C62:H62"/>
    <mergeCell ref="C63:H63"/>
    <mergeCell ref="C64:H64"/>
    <mergeCell ref="C65:H65"/>
    <mergeCell ref="A79:H79"/>
    <mergeCell ref="A80:H80"/>
    <mergeCell ref="A81:H81"/>
    <mergeCell ref="C66:H66"/>
    <mergeCell ref="A68:H68"/>
    <mergeCell ref="C67:H67"/>
    <mergeCell ref="A69:H69"/>
    <mergeCell ref="A71:H71"/>
  </mergeCells>
  <conditionalFormatting sqref="A61:B61">
    <cfRule type="expression" dxfId="69" priority="60" stopIfTrue="1">
      <formula>$B$61&lt;&gt;""</formula>
    </cfRule>
  </conditionalFormatting>
  <conditionalFormatting sqref="A8:C8">
    <cfRule type="expression" dxfId="68" priority="58" stopIfTrue="1">
      <formula>$C$8&lt;&gt;""</formula>
    </cfRule>
  </conditionalFormatting>
  <conditionalFormatting sqref="A84:C84">
    <cfRule type="expression" dxfId="67" priority="56" stopIfTrue="1">
      <formula>(METODO_RETROATIVO="PCs")*(N(RETROATIVO_POTENCIAL_APURADO)&lt;&gt;0)</formula>
    </cfRule>
  </conditionalFormatting>
  <conditionalFormatting sqref="A7:H7">
    <cfRule type="expression" dxfId="65" priority="53" stopIfTrue="1">
      <formula>$J$5=0</formula>
    </cfRule>
    <cfRule type="expression" dxfId="64" priority="54" stopIfTrue="1">
      <formula>$J$5&gt;0</formula>
    </cfRule>
  </conditionalFormatting>
  <conditionalFormatting sqref="B38">
    <cfRule type="cellIs" dxfId="63" priority="28" stopIfTrue="1" operator="lessThan">
      <formula>0</formula>
    </cfRule>
  </conditionalFormatting>
  <conditionalFormatting sqref="C4">
    <cfRule type="cellIs" dxfId="62" priority="44" stopIfTrue="1" operator="equal">
      <formula>"REVISE"</formula>
    </cfRule>
    <cfRule type="cellIs" dxfId="61" priority="46" stopIfTrue="1" operator="equal">
      <formula>"VALIDADO"</formula>
    </cfRule>
    <cfRule type="cellIs" dxfId="60" priority="45" stopIfTrue="1" operator="equal">
      <formula>"ESTIMADO"</formula>
    </cfRule>
  </conditionalFormatting>
  <conditionalFormatting sqref="C86">
    <cfRule type="expression" dxfId="59" priority="57" stopIfTrue="1">
      <formula>(METODO_RETROATIVO="PCs")*(N(RETROATIVO_POTENCIAL_APURADO)&lt;&gt;0)</formula>
    </cfRule>
  </conditionalFormatting>
  <conditionalFormatting sqref="D4:D5 D6:E6">
    <cfRule type="expression" dxfId="58" priority="40" stopIfTrue="1">
      <formula>$H$14="VALIDADO"</formula>
    </cfRule>
  </conditionalFormatting>
  <conditionalFormatting sqref="D8:E8">
    <cfRule type="expression" dxfId="57" priority="59" stopIfTrue="1">
      <formula>$E$8&lt;&gt;""</formula>
    </cfRule>
  </conditionalFormatting>
  <conditionalFormatting sqref="E4">
    <cfRule type="cellIs" dxfId="56" priority="49" stopIfTrue="1" operator="equal">
      <formula>"VALIDADO"</formula>
    </cfRule>
    <cfRule type="cellIs" dxfId="55" priority="48" stopIfTrue="1" operator="equal">
      <formula>"ESTIMADO"</formula>
    </cfRule>
    <cfRule type="cellIs" dxfId="54" priority="47" stopIfTrue="1" operator="equal">
      <formula>"REVISE"</formula>
    </cfRule>
  </conditionalFormatting>
  <conditionalFormatting sqref="E22:H22">
    <cfRule type="expression" dxfId="53" priority="55" stopIfTrue="1">
      <formula>$G$22&lt;&gt;""</formula>
    </cfRule>
  </conditionalFormatting>
  <conditionalFormatting sqref="F4:G4 F5:H6">
    <cfRule type="expression" dxfId="52" priority="41" stopIfTrue="1">
      <formula>$H$33="VALIDADO"</formula>
    </cfRule>
    <cfRule type="expression" dxfId="51" priority="42" stopIfTrue="1">
      <formula>$H$33="REVISE"</formula>
    </cfRule>
    <cfRule type="expression" dxfId="50" priority="43" stopIfTrue="1">
      <formula>$H$33="ESTIMADO"</formula>
    </cfRule>
  </conditionalFormatting>
  <conditionalFormatting sqref="G1">
    <cfRule type="cellIs" dxfId="49" priority="31" stopIfTrue="1" operator="equal">
      <formula>"REVISE"</formula>
    </cfRule>
    <cfRule type="cellIs" dxfId="48" priority="32" stopIfTrue="1" operator="equal">
      <formula>"ESTIMADO"</formula>
    </cfRule>
    <cfRule type="cellIs" dxfId="47" priority="33" stopIfTrue="1" operator="equal">
      <formula>"VALIDADO"</formula>
    </cfRule>
  </conditionalFormatting>
  <conditionalFormatting sqref="H4">
    <cfRule type="cellIs" dxfId="46" priority="51" stopIfTrue="1" operator="equal">
      <formula>"ESTIMADO"</formula>
    </cfRule>
    <cfRule type="cellIs" dxfId="45" priority="50" stopIfTrue="1" operator="equal">
      <formula>"REVISE"</formula>
    </cfRule>
    <cfRule type="cellIs" dxfId="44" priority="52" stopIfTrue="1" operator="equal">
      <formula>"VALIDADO"</formula>
    </cfRule>
  </conditionalFormatting>
  <conditionalFormatting sqref="H17:H20">
    <cfRule type="expression" dxfId="43" priority="61" stopIfTrue="1">
      <formula>$H17&lt;&gt;""</formula>
    </cfRule>
  </conditionalFormatting>
  <conditionalFormatting sqref="H24">
    <cfRule type="cellIs" dxfId="42" priority="12" stopIfTrue="1" operator="equal">
      <formula>"VALIDADO"</formula>
    </cfRule>
    <cfRule type="cellIs" dxfId="41" priority="11" stopIfTrue="1" operator="equal">
      <formula>"ESTIMADO"</formula>
    </cfRule>
    <cfRule type="cellIs" dxfId="40" priority="10" stopIfTrue="1" operator="equal">
      <formula>"REVISE"</formula>
    </cfRule>
  </conditionalFormatting>
  <conditionalFormatting sqref="H33">
    <cfRule type="cellIs" dxfId="39" priority="15" stopIfTrue="1" operator="equal">
      <formula>"VALIDADO"</formula>
    </cfRule>
    <cfRule type="cellIs" dxfId="38" priority="14" stopIfTrue="1" operator="equal">
      <formula>"ESTIMADO"</formula>
    </cfRule>
    <cfRule type="cellIs" dxfId="37" priority="13" stopIfTrue="1" operator="equal">
      <formula>"REVISE"</formula>
    </cfRule>
  </conditionalFormatting>
  <conditionalFormatting sqref="H43:H50">
    <cfRule type="cellIs" dxfId="36" priority="30" stopIfTrue="1" operator="equal">
      <formula>"VALIDADO"</formula>
    </cfRule>
    <cfRule type="cellIs" dxfId="35" priority="29" stopIfTrue="1" operator="equal">
      <formula>"REVISE"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5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E939B-AFFC-42AA-89F9-22CBF974AF28}">
  <sheetPr>
    <tabColor rgb="FF8A1538"/>
    <pageSetUpPr fitToPage="1"/>
  </sheetPr>
  <dimension ref="B1:G73"/>
  <sheetViews>
    <sheetView showGridLines="0" zoomScaleNormal="100" workbookViewId="0">
      <selection activeCell="B9" sqref="B9"/>
    </sheetView>
  </sheetViews>
  <sheetFormatPr defaultRowHeight="13" x14ac:dyDescent="0.35"/>
  <cols>
    <col min="1" max="1" width="2.6328125" style="395" customWidth="1"/>
    <col min="2" max="2" width="34.6328125" style="395" customWidth="1"/>
    <col min="3" max="6" width="26.6328125" style="395" customWidth="1"/>
    <col min="7" max="7" width="38.6328125" style="395" customWidth="1"/>
    <col min="8" max="8" width="2.6328125" style="395" customWidth="1"/>
    <col min="9" max="16384" width="8.7265625" style="395"/>
  </cols>
  <sheetData>
    <row r="1" spans="2:7" ht="6" customHeight="1" x14ac:dyDescent="0.35"/>
    <row r="2" spans="2:7" ht="30" customHeight="1" x14ac:dyDescent="0.35">
      <c r="B2" s="397" t="s">
        <v>697</v>
      </c>
      <c r="C2" s="396"/>
      <c r="D2" s="396"/>
      <c r="E2" s="396"/>
      <c r="F2" s="396"/>
      <c r="G2" s="396"/>
    </row>
    <row r="3" spans="2:7" ht="18" customHeight="1" x14ac:dyDescent="0.35">
      <c r="B3" s="398" t="s">
        <v>741</v>
      </c>
      <c r="C3" s="396"/>
      <c r="D3" s="396"/>
      <c r="E3" s="396"/>
      <c r="F3" s="396"/>
      <c r="G3" s="396"/>
    </row>
    <row r="4" spans="2:7" ht="8" customHeight="1" x14ac:dyDescent="0.35"/>
    <row r="5" spans="2:7" ht="16" customHeight="1" x14ac:dyDescent="0.3">
      <c r="B5" s="403" t="s">
        <v>698</v>
      </c>
      <c r="C5" s="399" t="s">
        <v>699</v>
      </c>
      <c r="D5" s="399" t="s">
        <v>700</v>
      </c>
      <c r="E5" s="399" t="s">
        <v>701</v>
      </c>
      <c r="F5" s="399" t="s">
        <v>702</v>
      </c>
      <c r="G5" s="405" t="s">
        <v>703</v>
      </c>
    </row>
    <row r="6" spans="2:7" ht="22" customHeight="1" x14ac:dyDescent="0.35">
      <c r="B6" s="404" t="str">
        <f>IF(METODO_RETROATIVO="Financeiro",MEMORIA_RESULTADOS!$AG$3,IF(METODO_RETROATIVO="PCs",MEMORIA_RESULTADOS!$AG$4,IF(METODO_RETROATIVO="Itens",MEMORIA_RESULTADOS!$AG$5,MEMORIA_RESULTADOS!$AG$6)))</f>
        <v>Método não selecionado</v>
      </c>
      <c r="C6" s="400" t="str">
        <f>IF(CONTROLE!$B$2="",MEMORIA_RESULTADOS!$AG$2,UPPER(CONTROLE!$B$2))</f>
        <v>—</v>
      </c>
      <c r="D6" s="401" t="str">
        <f>IF(ISNUMBER(CONTROLE!$B$3),CONTROLE!$B$3,MEMORIA_RESULTADOS!$AG$2)</f>
        <v>—</v>
      </c>
      <c r="E6" s="400" t="str">
        <f>IF(CONTROLE!$B$7="",MEMORIA_RESULTADOS!$AG$2,CONTROLE!$B$7)</f>
        <v>—</v>
      </c>
      <c r="F6" s="402" t="str">
        <f>IF(ISNUMBER(RESULTADOS_DETALHE!$D$6),RESULTADOS_DETALHE!$D$6,MEMORIA_RESULTADOS!$AG$2)</f>
        <v>—</v>
      </c>
      <c r="G6" s="406" t="str">
        <f ca="1">IF(STATUS_RESULTADOS="",MEMORIA_RESULTADOS!$AG$2,STATUS_RESULTADOS)</f>
        <v>REVISE</v>
      </c>
    </row>
    <row r="7" spans="2:7" ht="10" customHeight="1" thickBot="1" x14ac:dyDescent="0.4"/>
    <row r="8" spans="2:7" ht="18" customHeight="1" thickTop="1" x14ac:dyDescent="0.35">
      <c r="B8" s="407" t="s">
        <v>704</v>
      </c>
      <c r="C8" s="409" t="s">
        <v>473</v>
      </c>
      <c r="D8" s="411" t="s">
        <v>474</v>
      </c>
      <c r="E8" s="413" t="s">
        <v>705</v>
      </c>
      <c r="F8" s="415" t="s">
        <v>702</v>
      </c>
      <c r="G8" s="417" t="s">
        <v>706</v>
      </c>
    </row>
    <row r="9" spans="2:7" ht="32" customHeight="1" x14ac:dyDescent="0.35">
      <c r="B9" s="419" t="str">
        <f>IF(ISNUMBER(VTA_FINAL),VTA_FINAL,MEMORIA_RESULTADOS!$AG$2)</f>
        <v>—</v>
      </c>
      <c r="C9" s="420" t="str">
        <f>IF(ISNUMBER(RESULTADOS_DETALHE!$D$22),RESULTADOS_DETALHE!$D$22,MEMORIA_RESULTADOS!$AG$2)</f>
        <v>—</v>
      </c>
      <c r="D9" s="421" t="str">
        <f>IF(NOT(METODO_RETROATIVO="PCs"),MEMORIA_RESULTADOS!$AG$2,IF(ISNUMBER(RETROATIVO_POTENCIAL_VTA),RETROATIVO_POTENCIAL_VTA,MEMORIA_RESULTADOS!$AG$2))</f>
        <v>—</v>
      </c>
      <c r="E9" s="422" t="str">
        <f ca="1">IF(ISNUMBER(SALDO_REMANESCENTE_ATUAL),SALDO_REMANESCENTE_ATUAL,MEMORIA_RESULTADOS!$AG$2)</f>
        <v>—</v>
      </c>
      <c r="F9" s="423" t="str">
        <f>F6</f>
        <v>—</v>
      </c>
      <c r="G9" s="424" t="str">
        <f ca="1">RESULTADOS_DETALHE!$A$7</f>
        <v>PENDÊNCIAS PARA CONCLUSÃO:</v>
      </c>
    </row>
    <row r="10" spans="2:7" ht="44" customHeight="1" x14ac:dyDescent="0.35">
      <c r="B10" s="408" t="str">
        <f>IF(AND(METODO_RETROATIVO="PCs",N(RETROATIVO_POTENCIAL_VTA)&lt;&gt;0),MEMORIA_RESULTADOS!$AG$8,MEMORIA_RESULTADOS!$AG$7)</f>
        <v>Valor Total Atualizado do contrato pelo método selecionado.</v>
      </c>
      <c r="C10" s="410" t="str">
        <f>MEMORIA_RESULTADOS!$AG$9</f>
        <v>Diferença reconhecida a pagar à contratada.</v>
      </c>
      <c r="D10" s="412" t="str">
        <f>IF(METODO_RETROATIVO="PCs",MEMORIA_RESULTADOS!$AG$10,MEMORIA_RESULTADOS!$AG$11)</f>
        <v>Não se aplica ao método selecionado.</v>
      </c>
      <c r="E10" s="414" t="str">
        <f>MEMORIA_RESULTADOS!$AG$12</f>
        <v>Saldo atualizado que ainda falta executar.</v>
      </c>
      <c r="F10" s="416" t="str">
        <f>IF(ISNUMBER(F9),MEMORIA_RESULTADOS!$AG$13,MEMORIA_RESULTADOS!$AG$14)</f>
        <v>Aguardando percentuais completos dos ciclos.</v>
      </c>
      <c r="G10" s="418" t="str">
        <f ca="1">RESULTADOS_DETALHE!$B$7</f>
        <v xml:space="preserve">Informar / concluir: composição do VTA; retroativo por ciclo; remanescente por ciclo; situação do ciclo atual; </v>
      </c>
    </row>
    <row r="11" spans="2:7" ht="12" customHeight="1" x14ac:dyDescent="0.35"/>
    <row r="12" spans="2:7" ht="24" customHeight="1" x14ac:dyDescent="0.35">
      <c r="B12" s="425" t="s">
        <v>707</v>
      </c>
      <c r="C12" s="426"/>
      <c r="D12" s="426"/>
      <c r="E12" s="426"/>
      <c r="F12" s="426"/>
      <c r="G12" s="426"/>
    </row>
    <row r="13" spans="2:7" ht="22" customHeight="1" x14ac:dyDescent="0.35">
      <c r="B13" s="467" t="s">
        <v>465</v>
      </c>
      <c r="C13" s="468" t="s">
        <v>427</v>
      </c>
      <c r="D13" s="597" t="s">
        <v>298</v>
      </c>
      <c r="E13" s="597"/>
      <c r="F13" s="597"/>
      <c r="G13" s="597"/>
    </row>
    <row r="14" spans="2:7" ht="30" customHeight="1" x14ac:dyDescent="0.35">
      <c r="B14" s="427" t="str">
        <f>RESULTADOS_DETALHE!$A$83</f>
        <v>Executado apurado</v>
      </c>
      <c r="C14" s="431" t="str">
        <f>IF(RESULTADOS_DETALHE!$B$83="",MEMORIA_RESULTADOS!$AG$2,RESULTADOS_DETALHE!$B$83)</f>
        <v>—</v>
      </c>
      <c r="D14" s="598" t="str">
        <f>IF(METODO_RETROATIVO="PCs",MEMORIA_RESULTADOS!$AG$24,IF(METODO_RETROATIVO="Itens",MEMORIA_RESULTADOS!$AG$26,MEMORIA_RESULTADOS!$AG$25))</f>
        <v>Valores efetivamente pagos, conforme a aba financeiro.</v>
      </c>
      <c r="E14" s="598"/>
      <c r="F14" s="598"/>
      <c r="G14" s="598"/>
    </row>
    <row r="15" spans="2:7" ht="30" customHeight="1" x14ac:dyDescent="0.35">
      <c r="B15" s="428" t="str">
        <f>RESULTADOS_DETALHE!$A$84</f>
        <v>(+) Ajustes ainda devidos</v>
      </c>
      <c r="C15" s="432" t="str">
        <f>IF(RESULTADOS_DETALHE!$B$84="",MEMORIA_RESULTADOS!$AG$2,RESULTADOS_DETALHE!$B$84)</f>
        <v>—</v>
      </c>
      <c r="D15" s="599" t="str">
        <f>IF(METODO_RETROATIVO="PCs",MEMORIA_RESULTADOS!$AG$27,IF(METODO_RETROATIVO="Itens",MEMORIA_RESULTADOS!$AG$29,MEMORIA_RESULTADOS!$AG$28))</f>
        <v>Reajuste já reconhecido e ainda não contido no valor pago.</v>
      </c>
      <c r="E15" s="599"/>
      <c r="F15" s="599"/>
      <c r="G15" s="599"/>
    </row>
    <row r="16" spans="2:7" ht="30" customHeight="1" thickBot="1" x14ac:dyDescent="0.4">
      <c r="B16" s="428" t="str">
        <f>RESULTADOS_DETALHE!$A$85</f>
        <v>(+) Remanescente atualizado</v>
      </c>
      <c r="C16" s="432" t="str">
        <f ca="1">IF(RESULTADOS_DETALHE!$B$85="",MEMORIA_RESULTADOS!$AG$2,RESULTADOS_DETALHE!$B$85)</f>
        <v>—</v>
      </c>
      <c r="D16" s="600" t="str">
        <f>IF(METODO_RETROATIVO="PCs",MEMORIA_RESULTADOS!$AG$30,MEMORIA_RESULTADOS!$AG$31)</f>
        <v>Saldo que ainda falta executar, já atualizado.</v>
      </c>
      <c r="E16" s="600"/>
      <c r="F16" s="600"/>
      <c r="G16" s="600"/>
    </row>
    <row r="17" spans="2:7" ht="30" customHeight="1" x14ac:dyDescent="0.35">
      <c r="B17" s="434" t="str">
        <f>RESULTADOS_DETALHE!$A$86</f>
        <v>(=) VTA Oficial</v>
      </c>
      <c r="C17" s="435" t="str">
        <f>IF(RESULTADOS_DETALHE!$B$86="",MEMORIA_RESULTADOS!$AG$2,RESULTADOS_DETALHE!$B$86)</f>
        <v>—</v>
      </c>
      <c r="D17" s="601" t="str">
        <f>MEMORIA_RESULTADOS!$AG$32</f>
        <v>Resultado final do método de apuração selecionado.</v>
      </c>
      <c r="E17" s="601"/>
      <c r="F17" s="601"/>
      <c r="G17" s="601"/>
    </row>
    <row r="18" spans="2:7" ht="30" customHeight="1" x14ac:dyDescent="0.35">
      <c r="B18" s="469" t="str">
        <f>MEMORIA_RESULTADOS!$AG$33</f>
        <v>VTA sem a parcela potencial (referência)</v>
      </c>
      <c r="C18" s="470" t="str">
        <f>IF(NOT(METODO_RETROATIVO="PCs"),MEMORIA_RESULTADOS!$AG$2,IF(ISNUMBER(VTA_SEM_POTENCIAL),VTA_SEM_POTENCIAL,MEMORIA_RESULTADOS!$AG$2))</f>
        <v>—</v>
      </c>
      <c r="D18" s="596" t="str">
        <f>IF(METODO_RETROATIVO="PCs",MEMORIA_RESULTADOS!$AG$34,MEMORIA_RESULTADOS!$AG$40)</f>
        <v>Não se aplica ao método selecionado.</v>
      </c>
      <c r="E18" s="596"/>
      <c r="F18" s="596"/>
      <c r="G18" s="596"/>
    </row>
    <row r="19" spans="2:7" ht="30" customHeight="1" x14ac:dyDescent="0.35">
      <c r="B19" s="429" t="str">
        <f>MEMORIA_RESULTADOS!$AG$35</f>
        <v>Parcela potencial negativa apurada</v>
      </c>
      <c r="C19" s="432" t="str">
        <f>IF(NOT(METODO_RETROATIVO="PCs"),MEMORIA_RESULTADOS!$AG$2,IF(N(RETROATIVO_POTENCIAL_NEGATIVO)&lt;0,RETROATIVO_POTENCIAL_NEGATIVO,0))</f>
        <v>—</v>
      </c>
      <c r="D19" s="599" t="str">
        <f>IF(NOT(METODO_RETROATIVO="PCs"),MEMORIA_RESULTADOS!$AG$40,IF(N(RETROATIVO_POTENCIAL_NEGATIVO)&lt;0,MEMORIA_RESULTADOS!$AG$36,MEMORIA_RESULTADOS!$AG$37))</f>
        <v>Não se aplica ao método selecionado.</v>
      </c>
      <c r="E19" s="599"/>
      <c r="F19" s="599"/>
      <c r="G19" s="599"/>
    </row>
    <row r="20" spans="2:7" ht="30" customHeight="1" x14ac:dyDescent="0.35">
      <c r="B20" s="430" t="str">
        <f>MEMORIA_RESULTADOS!$AG$38</f>
        <v>Conferência da formação (deve ser R$ 0,00)</v>
      </c>
      <c r="C20" s="433" t="str">
        <f ca="1">IF(CONFERENCIA_FORMACAO_VTA="",MEMORIA_RESULTADOS!$AG$2,CONFERENCIA_FORMACAO_VTA)</f>
        <v>—</v>
      </c>
      <c r="D20" s="599" t="str">
        <f ca="1">IF(RESULTADOS_DETALHE!$C$87="",MEMORIA_RESULTADOS!$AG$39,RESULTADOS_DETALHE!$C$87)</f>
        <v>Aguardando base para conferir.</v>
      </c>
      <c r="E20" s="599"/>
      <c r="F20" s="599"/>
      <c r="G20" s="599"/>
    </row>
    <row r="21" spans="2:7" ht="12" customHeight="1" x14ac:dyDescent="0.35"/>
    <row r="22" spans="2:7" ht="24" customHeight="1" x14ac:dyDescent="0.35">
      <c r="B22" s="425" t="s">
        <v>708</v>
      </c>
      <c r="C22" s="426"/>
      <c r="D22" s="426"/>
      <c r="E22" s="426"/>
      <c r="F22" s="426"/>
      <c r="G22" s="426"/>
    </row>
    <row r="23" spans="2:7" ht="22" customHeight="1" x14ac:dyDescent="0.35">
      <c r="B23" s="467" t="s">
        <v>709</v>
      </c>
      <c r="C23" s="471" t="s">
        <v>441</v>
      </c>
      <c r="D23" s="597" t="s">
        <v>710</v>
      </c>
      <c r="E23" s="597"/>
      <c r="F23" s="597"/>
      <c r="G23" s="597"/>
    </row>
    <row r="24" spans="2:7" ht="30" customHeight="1" x14ac:dyDescent="0.35">
      <c r="B24" s="436" t="s">
        <v>711</v>
      </c>
      <c r="C24" s="437" t="str">
        <f>IF(RESULTADOS_DETALHE!$H$8="",MEMORIA_RESULTADOS!$AG$2,RESULTADOS_DETALHE!$H$8)</f>
        <v>REVISE</v>
      </c>
      <c r="D24" s="604" t="s">
        <v>712</v>
      </c>
      <c r="E24" s="604"/>
      <c r="F24" s="604"/>
      <c r="G24" s="604"/>
    </row>
    <row r="25" spans="2:7" ht="30" customHeight="1" x14ac:dyDescent="0.35">
      <c r="B25" s="429" t="s">
        <v>713</v>
      </c>
      <c r="C25" s="438" t="str">
        <f>IF(RESULTADOS_DETALHE!$H$14="",MEMORIA_RESULTADOS!$AG$2,RESULTADOS_DETALHE!$H$14)</f>
        <v>REVISE</v>
      </c>
      <c r="D25" s="605" t="s">
        <v>714</v>
      </c>
      <c r="E25" s="605"/>
      <c r="F25" s="605"/>
      <c r="G25" s="605"/>
    </row>
    <row r="26" spans="2:7" ht="30" customHeight="1" x14ac:dyDescent="0.35">
      <c r="B26" s="429" t="s">
        <v>715</v>
      </c>
      <c r="C26" s="438" t="str">
        <f>IF(RESULTADOS_DETALHE!$H$24="",MEMORIA_RESULTADOS!$AG$2,RESULTADOS_DETALHE!$H$24)</f>
        <v>REVISE</v>
      </c>
      <c r="D26" s="605" t="s">
        <v>716</v>
      </c>
      <c r="E26" s="605"/>
      <c r="F26" s="605"/>
      <c r="G26" s="605"/>
    </row>
    <row r="27" spans="2:7" ht="30" customHeight="1" x14ac:dyDescent="0.35">
      <c r="B27" s="429" t="s">
        <v>430</v>
      </c>
      <c r="C27" s="438" t="str">
        <f ca="1">IF(RESULTADOS_DETALHE!$H$33="",MEMORIA_RESULTADOS!$AG$2,RESULTADOS_DETALHE!$H$33)</f>
        <v>REVISE</v>
      </c>
      <c r="D27" s="605" t="s">
        <v>717</v>
      </c>
      <c r="E27" s="605"/>
      <c r="F27" s="605"/>
      <c r="G27" s="605"/>
    </row>
    <row r="28" spans="2:7" ht="30" customHeight="1" x14ac:dyDescent="0.35">
      <c r="B28" s="429" t="s">
        <v>718</v>
      </c>
      <c r="C28" s="440" t="str">
        <f ca="1">IF(ISNUMBER(RESULTADOS_DETALHE!$B$35),RESULTADOS_DETALHE!$B$35,MEMORIA_RESULTADOS!$AG$2)</f>
        <v>—</v>
      </c>
      <c r="D28" s="605" t="s">
        <v>719</v>
      </c>
      <c r="E28" s="605"/>
      <c r="F28" s="605"/>
      <c r="G28" s="605"/>
    </row>
    <row r="29" spans="2:7" ht="30" customHeight="1" x14ac:dyDescent="0.35">
      <c r="B29" s="429" t="s">
        <v>720</v>
      </c>
      <c r="C29" s="438" t="str">
        <f ca="1">IF(RESULTADOS_DETALHE!$H$13="",MEMORIA_RESULTADOS!$AG$2,RESULTADOS_DETALHE!$H$13)</f>
        <v>POSICAO ATUAL NAO INFORMADA</v>
      </c>
      <c r="D29" s="605" t="s">
        <v>721</v>
      </c>
      <c r="E29" s="605"/>
      <c r="F29" s="605"/>
      <c r="G29" s="605"/>
    </row>
    <row r="30" spans="2:7" ht="30" customHeight="1" x14ac:dyDescent="0.35">
      <c r="B30" s="429" t="s">
        <v>722</v>
      </c>
      <c r="C30" s="441" t="str">
        <f ca="1">IF(RESULTADOS_DETALHE!$B$13="",MEMORIA_RESULTADOS!$AG$2,RESULTADOS_DETALHE!$B$13)</f>
        <v>—</v>
      </c>
      <c r="D30" s="605" t="s">
        <v>723</v>
      </c>
      <c r="E30" s="605"/>
      <c r="F30" s="605"/>
      <c r="G30" s="605"/>
    </row>
    <row r="31" spans="2:7" ht="30" customHeight="1" x14ac:dyDescent="0.35">
      <c r="B31" s="430" t="s">
        <v>724</v>
      </c>
      <c r="C31" s="439" t="str">
        <f>IF(COUNTA(RESULTADOS_DETALHE!$C$43:$G$50)=0,MEMORIA_RESULTADOS!$AG$17,IF(COUNTIF(RESULTADOS_DETALHE!$H$43:$H$50,"REVISE")&gt;0,"REVISE","VALIDADO"))</f>
        <v>SEM AJUSTES</v>
      </c>
      <c r="D31" s="600" t="s">
        <v>740</v>
      </c>
      <c r="E31" s="606"/>
      <c r="F31" s="606"/>
      <c r="G31" s="606"/>
    </row>
    <row r="32" spans="2:7" ht="12" customHeight="1" x14ac:dyDescent="0.35"/>
    <row r="33" spans="2:7" ht="24" customHeight="1" x14ac:dyDescent="0.35">
      <c r="B33" s="425" t="s">
        <v>725</v>
      </c>
      <c r="C33" s="426"/>
      <c r="D33" s="426"/>
      <c r="E33" s="426"/>
      <c r="F33" s="426"/>
      <c r="G33" s="426"/>
    </row>
    <row r="34" spans="2:7" ht="22" customHeight="1" x14ac:dyDescent="0.35">
      <c r="B34" s="467" t="s">
        <v>291</v>
      </c>
      <c r="C34" s="471" t="s">
        <v>726</v>
      </c>
      <c r="D34" s="471" t="s">
        <v>727</v>
      </c>
      <c r="E34" s="471" t="s">
        <v>728</v>
      </c>
      <c r="F34" s="471" t="s">
        <v>729</v>
      </c>
      <c r="G34" s="468" t="s">
        <v>441</v>
      </c>
    </row>
    <row r="35" spans="2:7" ht="30" customHeight="1" x14ac:dyDescent="0.35">
      <c r="B35" s="442" t="str">
        <f>"C0"&amp;IF(UPPER(CONTROLE!$B$2)="C0"," (vigente)","")</f>
        <v>C0</v>
      </c>
      <c r="C35" s="445" t="str">
        <f>IF(ISNUMBER(parametros!$C$2),parametros!$C$2,MEMORIA_RESULTADOS!$AG$2)</f>
        <v>—</v>
      </c>
      <c r="D35" s="445" t="str">
        <f>IF(ISNUMBER(parametros!$D$2),parametros!$D$2,MEMORIA_RESULTADOS!$AG$2)</f>
        <v>—</v>
      </c>
      <c r="E35" s="446" t="str">
        <f>IF(ISNUMBER(parametros!$E$2),parametros!$E$2,MEMORIA_RESULTADOS!$AG$2)</f>
        <v>—</v>
      </c>
      <c r="F35" s="445" t="str">
        <f>IF(ISNUMBER(parametros!$H$2),parametros!$H$2,IF(parametros!$H$2="",MEMORIA_RESULTADOS!$AG$2,parametros!$H$2))</f>
        <v>—</v>
      </c>
      <c r="G35" s="451" t="str">
        <f>IF(parametros!$G$2&lt;&gt;"",parametros!$G$2,IF(parametros!$A$2="Sim",MEMORIA_RESULTADOS!$AG$15,IF(ISNUMBER(parametros!$C$2),MEMORIA_RESULTADOS!$AG$16,MEMORIA_RESULTADOS!$AG$2)))</f>
        <v>—</v>
      </c>
    </row>
    <row r="36" spans="2:7" ht="30" customHeight="1" x14ac:dyDescent="0.35">
      <c r="B36" s="443" t="str">
        <f>"C1"&amp;IF(UPPER(CONTROLE!$B$2)="C1"," (vigente)","")</f>
        <v>C1</v>
      </c>
      <c r="C36" s="447" t="str">
        <f>IF(ISNUMBER(parametros!$C$3),parametros!$C$3,MEMORIA_RESULTADOS!$AG$2)</f>
        <v>—</v>
      </c>
      <c r="D36" s="447" t="str">
        <f>IF(ISNUMBER(parametros!$D$3),parametros!$D$3,MEMORIA_RESULTADOS!$AG$2)</f>
        <v>—</v>
      </c>
      <c r="E36" s="448" t="str">
        <f>IF(ISNUMBER(parametros!$E$3),parametros!$E$3,MEMORIA_RESULTADOS!$AG$2)</f>
        <v>—</v>
      </c>
      <c r="F36" s="447" t="str">
        <f>IF(ISNUMBER(parametros!$H$3),parametros!$H$3,IF(parametros!$H$3="",MEMORIA_RESULTADOS!$AG$2,parametros!$H$3))</f>
        <v>—</v>
      </c>
      <c r="G36" s="452" t="str">
        <f>IF(parametros!$G$3&lt;&gt;"",parametros!$G$3,IF(parametros!$A$3="Sim",MEMORIA_RESULTADOS!$AG$15,IF(ISNUMBER(parametros!$C$3),MEMORIA_RESULTADOS!$AG$16,MEMORIA_RESULTADOS!$AG$2)))</f>
        <v>—</v>
      </c>
    </row>
    <row r="37" spans="2:7" ht="30" customHeight="1" x14ac:dyDescent="0.35">
      <c r="B37" s="443" t="str">
        <f>"C2"&amp;IF(UPPER(CONTROLE!$B$2)="C2"," (vigente)","")</f>
        <v>C2</v>
      </c>
      <c r="C37" s="447" t="str">
        <f>IF(ISNUMBER(parametros!$C$4),parametros!$C$4,MEMORIA_RESULTADOS!$AG$2)</f>
        <v>—</v>
      </c>
      <c r="D37" s="447" t="str">
        <f>IF(ISNUMBER(parametros!$D$4),parametros!$D$4,MEMORIA_RESULTADOS!$AG$2)</f>
        <v>—</v>
      </c>
      <c r="E37" s="448" t="str">
        <f>IF(ISNUMBER(parametros!$E$4),parametros!$E$4,MEMORIA_RESULTADOS!$AG$2)</f>
        <v>—</v>
      </c>
      <c r="F37" s="447" t="str">
        <f>IF(ISNUMBER(parametros!$H$4),parametros!$H$4,IF(parametros!$H$4="",MEMORIA_RESULTADOS!$AG$2,parametros!$H$4))</f>
        <v>—</v>
      </c>
      <c r="G37" s="452" t="str">
        <f>IF(parametros!$G$4&lt;&gt;"",parametros!$G$4,IF(parametros!$A$4="Sim",MEMORIA_RESULTADOS!$AG$15,IF(ISNUMBER(parametros!$C$4),MEMORIA_RESULTADOS!$AG$16,MEMORIA_RESULTADOS!$AG$2)))</f>
        <v>—</v>
      </c>
    </row>
    <row r="38" spans="2:7" ht="30" customHeight="1" x14ac:dyDescent="0.35">
      <c r="B38" s="443" t="str">
        <f>"C3"&amp;IF(UPPER(CONTROLE!$B$2)="C3"," (vigente)","")</f>
        <v>C3</v>
      </c>
      <c r="C38" s="447" t="str">
        <f>IF(ISNUMBER(parametros!$C$5),parametros!$C$5,MEMORIA_RESULTADOS!$AG$2)</f>
        <v>—</v>
      </c>
      <c r="D38" s="447" t="str">
        <f>IF(ISNUMBER(parametros!$D$5),parametros!$D$5,MEMORIA_RESULTADOS!$AG$2)</f>
        <v>—</v>
      </c>
      <c r="E38" s="448" t="str">
        <f>IF(ISNUMBER(parametros!$E$5),parametros!$E$5,MEMORIA_RESULTADOS!$AG$2)</f>
        <v>—</v>
      </c>
      <c r="F38" s="447" t="str">
        <f>IF(ISNUMBER(parametros!$H$5),parametros!$H$5,IF(parametros!$H$5="",MEMORIA_RESULTADOS!$AG$2,parametros!$H$5))</f>
        <v>—</v>
      </c>
      <c r="G38" s="452" t="str">
        <f>IF(parametros!$G$5&lt;&gt;"",parametros!$G$5,IF(parametros!$A$5="Sim",MEMORIA_RESULTADOS!$AG$15,IF(ISNUMBER(parametros!$C$5),MEMORIA_RESULTADOS!$AG$16,MEMORIA_RESULTADOS!$AG$2)))</f>
        <v>—</v>
      </c>
    </row>
    <row r="39" spans="2:7" ht="30" customHeight="1" x14ac:dyDescent="0.35">
      <c r="B39" s="444" t="str">
        <f>"C4"&amp;IF(UPPER(CONTROLE!$B$2)="C4"," (vigente)","")</f>
        <v>C4</v>
      </c>
      <c r="C39" s="449" t="str">
        <f>IF(ISNUMBER(parametros!$C$6),parametros!$C$6,MEMORIA_RESULTADOS!$AG$2)</f>
        <v>—</v>
      </c>
      <c r="D39" s="449" t="str">
        <f>IF(ISNUMBER(parametros!$D$6),parametros!$D$6,MEMORIA_RESULTADOS!$AG$2)</f>
        <v>—</v>
      </c>
      <c r="E39" s="450" t="str">
        <f>IF(ISNUMBER(parametros!$E$6),parametros!$E$6,MEMORIA_RESULTADOS!$AG$2)</f>
        <v>—</v>
      </c>
      <c r="F39" s="449" t="str">
        <f>IF(ISNUMBER(parametros!$H$6),parametros!$H$6,IF(parametros!$H$6="",MEMORIA_RESULTADOS!$AG$2,parametros!$H$6))</f>
        <v>—</v>
      </c>
      <c r="G39" s="453" t="str">
        <f>IF(parametros!$G$6&lt;&gt;"",parametros!$G$6,IF(parametros!$A$6="Sim",MEMORIA_RESULTADOS!$AG$15,IF(ISNUMBER(parametros!$C$6),MEMORIA_RESULTADOS!$AG$16,MEMORIA_RESULTADOS!$AG$2)))</f>
        <v>—</v>
      </c>
    </row>
    <row r="40" spans="2:7" ht="12" customHeight="1" x14ac:dyDescent="0.35"/>
    <row r="41" spans="2:7" ht="24" customHeight="1" x14ac:dyDescent="0.35">
      <c r="B41" s="426" t="str">
        <f>RESULTADOS_DETALHE!$A$15</f>
        <v>2. EXECUÇÃO E RETROATIVO POR CICLO</v>
      </c>
      <c r="C41" s="426"/>
      <c r="D41" s="426"/>
      <c r="E41" s="426"/>
      <c r="F41" s="426"/>
      <c r="G41" s="426"/>
    </row>
    <row r="42" spans="2:7" ht="22" customHeight="1" x14ac:dyDescent="0.35">
      <c r="B42" s="467" t="s">
        <v>291</v>
      </c>
      <c r="C42" s="472" t="str">
        <f>RESULTADOS_DETALHE!$B$15</f>
        <v>Valor de referência</v>
      </c>
      <c r="D42" s="472" t="str">
        <f>RESULTADOS_DETALHE!$C$15</f>
        <v>Valor atualizado</v>
      </c>
      <c r="E42" s="472" t="str">
        <f>RESULTADOS_DETALHE!$D$15</f>
        <v>Diferença</v>
      </c>
    </row>
    <row r="43" spans="2:7" ht="20" customHeight="1" x14ac:dyDescent="0.35">
      <c r="B43" s="454" t="s">
        <v>21</v>
      </c>
      <c r="C43" s="431" t="str">
        <f>IF(RESULTADOS_DETALHE!$B$16="",MEMORIA_RESULTADOS!$AG$2,RESULTADOS_DETALHE!$B$16)</f>
        <v>—</v>
      </c>
      <c r="D43" s="431" t="str">
        <f>IF(RESULTADOS_DETALHE!$C$16="",MEMORIA_RESULTADOS!$AG$2,RESULTADOS_DETALHE!$C$16)</f>
        <v>—</v>
      </c>
      <c r="E43" s="431" t="str">
        <f>IF(RESULTADOS_DETALHE!$D$16="",MEMORIA_RESULTADOS!$AG$2,RESULTADOS_DETALHE!$D$16)</f>
        <v>—</v>
      </c>
    </row>
    <row r="44" spans="2:7" ht="20" customHeight="1" x14ac:dyDescent="0.35">
      <c r="B44" s="455" t="s">
        <v>22</v>
      </c>
      <c r="C44" s="432" t="str">
        <f>IF(RESULTADOS_DETALHE!$B$17="",MEMORIA_RESULTADOS!$AG$2,RESULTADOS_DETALHE!$B$17)</f>
        <v>—</v>
      </c>
      <c r="D44" s="432" t="str">
        <f>IF(RESULTADOS_DETALHE!$C$17="",MEMORIA_RESULTADOS!$AG$2,RESULTADOS_DETALHE!$C$17)</f>
        <v>—</v>
      </c>
      <c r="E44" s="432" t="str">
        <f>IF(RESULTADOS_DETALHE!$D$17="",MEMORIA_RESULTADOS!$AG$2,RESULTADOS_DETALHE!$D$17)</f>
        <v>—</v>
      </c>
    </row>
    <row r="45" spans="2:7" ht="20" customHeight="1" x14ac:dyDescent="0.35">
      <c r="B45" s="455" t="s">
        <v>23</v>
      </c>
      <c r="C45" s="432" t="str">
        <f>IF(RESULTADOS_DETALHE!$B$18="",MEMORIA_RESULTADOS!$AG$2,RESULTADOS_DETALHE!$B$18)</f>
        <v>—</v>
      </c>
      <c r="D45" s="432" t="str">
        <f>IF(RESULTADOS_DETALHE!$C$18="",MEMORIA_RESULTADOS!$AG$2,RESULTADOS_DETALHE!$C$18)</f>
        <v>—</v>
      </c>
      <c r="E45" s="432" t="str">
        <f>IF(RESULTADOS_DETALHE!$D$18="",MEMORIA_RESULTADOS!$AG$2,RESULTADOS_DETALHE!$D$18)</f>
        <v>—</v>
      </c>
    </row>
    <row r="46" spans="2:7" ht="20" customHeight="1" x14ac:dyDescent="0.35">
      <c r="B46" s="455" t="s">
        <v>24</v>
      </c>
      <c r="C46" s="432" t="str">
        <f>IF(RESULTADOS_DETALHE!$B$19="",MEMORIA_RESULTADOS!$AG$2,RESULTADOS_DETALHE!$B$19)</f>
        <v>—</v>
      </c>
      <c r="D46" s="432" t="str">
        <f>IF(RESULTADOS_DETALHE!$C$19="",MEMORIA_RESULTADOS!$AG$2,RESULTADOS_DETALHE!$C$19)</f>
        <v>—</v>
      </c>
      <c r="E46" s="432" t="str">
        <f>IF(RESULTADOS_DETALHE!$D$19="",MEMORIA_RESULTADOS!$AG$2,RESULTADOS_DETALHE!$D$19)</f>
        <v>—</v>
      </c>
    </row>
    <row r="47" spans="2:7" ht="20" customHeight="1" x14ac:dyDescent="0.35">
      <c r="B47" s="455" t="s">
        <v>25</v>
      </c>
      <c r="C47" s="432" t="str">
        <f>IF(RESULTADOS_DETALHE!$B$20="",MEMORIA_RESULTADOS!$AG$2,RESULTADOS_DETALHE!$B$20)</f>
        <v>—</v>
      </c>
      <c r="D47" s="432" t="str">
        <f>IF(RESULTADOS_DETALHE!$C$20="",MEMORIA_RESULTADOS!$AG$2,RESULTADOS_DETALHE!$C$20)</f>
        <v>—</v>
      </c>
      <c r="E47" s="432" t="str">
        <f>IF(RESULTADOS_DETALHE!$D$20="",MEMORIA_RESULTADOS!$AG$2,RESULTADOS_DETALHE!$D$20)</f>
        <v>—</v>
      </c>
    </row>
    <row r="48" spans="2:7" ht="20" customHeight="1" thickBot="1" x14ac:dyDescent="0.4">
      <c r="B48" s="456" t="s">
        <v>429</v>
      </c>
      <c r="C48" s="432"/>
      <c r="D48" s="432"/>
      <c r="E48" s="432" t="str">
        <f>IF(RESULTADOS_DETALHE!$D$21="",MEMORIA_RESULTADOS!$AG$2,RESULTADOS_DETALHE!$D$21)</f>
        <v>—</v>
      </c>
    </row>
    <row r="49" spans="2:7" ht="20" customHeight="1" x14ac:dyDescent="0.35">
      <c r="B49" s="457" t="s">
        <v>26</v>
      </c>
      <c r="C49" s="458" t="str">
        <f>IF(RESULTADOS_DETALHE!$B$22="",MEMORIA_RESULTADOS!$AG$2,RESULTADOS_DETALHE!$B$22)</f>
        <v>—</v>
      </c>
      <c r="D49" s="458" t="str">
        <f>IF(RESULTADOS_DETALHE!$C$22="",MEMORIA_RESULTADOS!$AG$2,RESULTADOS_DETALHE!$C$22)</f>
        <v>—</v>
      </c>
      <c r="E49" s="458" t="str">
        <f>IF(RESULTADOS_DETALHE!$D$22="",MEMORIA_RESULTADOS!$AG$2,RESULTADOS_DETALHE!$D$22)</f>
        <v>—</v>
      </c>
    </row>
    <row r="50" spans="2:7" ht="12" customHeight="1" x14ac:dyDescent="0.35"/>
    <row r="51" spans="2:7" ht="24" customHeight="1" x14ac:dyDescent="0.35">
      <c r="B51" s="425" t="s">
        <v>730</v>
      </c>
      <c r="C51" s="426"/>
      <c r="D51" s="426"/>
      <c r="E51" s="426"/>
      <c r="F51" s="426"/>
      <c r="G51" s="426"/>
    </row>
    <row r="52" spans="2:7" ht="30" customHeight="1" x14ac:dyDescent="0.35">
      <c r="B52" s="602" t="str">
        <f>IF(RESULTADOS_DETALHE!$E$15="",MEMORIA_RESULTADOS!$AG$18,RESULTADOS_DETALHE!$E$16)</f>
        <v>Não há ciclo reajustado computado nesta apuração.</v>
      </c>
      <c r="C52" s="603"/>
      <c r="D52" s="603"/>
      <c r="E52" s="603"/>
      <c r="F52" s="603"/>
      <c r="G52" s="603"/>
    </row>
    <row r="53" spans="2:7" ht="22" customHeight="1" x14ac:dyDescent="0.35">
      <c r="B53" s="461" t="str">
        <f>IF(RESULTADOS_DETALHE!$E$15="","","Ciclo")</f>
        <v/>
      </c>
      <c r="C53" s="463" t="str">
        <f>RESULTADOS_DETALHE!$F$15&amp;""</f>
        <v/>
      </c>
      <c r="D53" s="463" t="str">
        <f>RESULTADOS_DETALHE!$G$15&amp;""</f>
        <v/>
      </c>
      <c r="E53" s="463" t="str">
        <f>IF(RESULTADOS_DETALHE!$H$15&lt;&gt;"",RESULTADOS_DETALHE!$H$15,IF(RESULTADOS_DETALHE!$E$15&lt;&gt;"",MEMORIA_RESULTADOS!$T$109,""))</f>
        <v/>
      </c>
      <c r="F53" s="607" t="str">
        <f>IF(RESULTADOS_DETALHE!$E$15="","",MEMORIA_RESULTADOS!$AG$19)</f>
        <v/>
      </c>
      <c r="G53" s="607"/>
    </row>
    <row r="54" spans="2:7" ht="32" customHeight="1" x14ac:dyDescent="0.35">
      <c r="B54" s="462" t="str">
        <f>IF(RESULTADOS_DETALHE!$E$17="","","C1")</f>
        <v/>
      </c>
      <c r="C54" s="464" t="str">
        <f>IF(RESULTADOS_DETALHE!$F$17="","",RESULTADOS_DETALHE!$F$17)</f>
        <v/>
      </c>
      <c r="D54" s="464" t="str">
        <f>IF(RESULTADOS_DETALHE!$G$17="","",RESULTADOS_DETALHE!$G$17)</f>
        <v/>
      </c>
      <c r="E54" s="464" t="str">
        <f>IF(RESULTADOS_DETALHE!$H$17="","",RESULTADOS_DETALHE!$H$17)</f>
        <v/>
      </c>
      <c r="F54" s="608" t="str">
        <f>RESULTADOS_DETALHE!$E$17&amp;""</f>
        <v/>
      </c>
      <c r="G54" s="608"/>
    </row>
    <row r="55" spans="2:7" ht="32" customHeight="1" x14ac:dyDescent="0.35">
      <c r="B55" s="462" t="str">
        <f>IF(RESULTADOS_DETALHE!$E$18="","","C2")</f>
        <v/>
      </c>
      <c r="C55" s="464" t="str">
        <f>IF(RESULTADOS_DETALHE!$F$18="","",RESULTADOS_DETALHE!$F$18)</f>
        <v/>
      </c>
      <c r="D55" s="464" t="str">
        <f>IF(RESULTADOS_DETALHE!$G$18="","",RESULTADOS_DETALHE!$G$18)</f>
        <v/>
      </c>
      <c r="E55" s="464" t="str">
        <f>IF(RESULTADOS_DETALHE!$H$18="","",RESULTADOS_DETALHE!$H$18)</f>
        <v/>
      </c>
      <c r="F55" s="608" t="str">
        <f>RESULTADOS_DETALHE!$E$18&amp;""</f>
        <v/>
      </c>
      <c r="G55" s="608"/>
    </row>
    <row r="56" spans="2:7" ht="32" customHeight="1" x14ac:dyDescent="0.35">
      <c r="B56" s="462" t="str">
        <f>IF(RESULTADOS_DETALHE!$E$19="","","C3")</f>
        <v/>
      </c>
      <c r="C56" s="464" t="str">
        <f>IF(RESULTADOS_DETALHE!$F$19="","",RESULTADOS_DETALHE!$F$19)</f>
        <v/>
      </c>
      <c r="D56" s="464" t="str">
        <f>IF(RESULTADOS_DETALHE!$G$19="","",RESULTADOS_DETALHE!$G$19)</f>
        <v/>
      </c>
      <c r="E56" s="464" t="str">
        <f>IF(RESULTADOS_DETALHE!$H$19="","",RESULTADOS_DETALHE!$H$19)</f>
        <v/>
      </c>
      <c r="F56" s="608" t="str">
        <f>RESULTADOS_DETALHE!$E$19&amp;""</f>
        <v/>
      </c>
      <c r="G56" s="608"/>
    </row>
    <row r="57" spans="2:7" ht="32" customHeight="1" x14ac:dyDescent="0.35">
      <c r="B57" s="462" t="str">
        <f>IF(RESULTADOS_DETALHE!$E$20="","","C4")</f>
        <v/>
      </c>
      <c r="C57" s="464" t="str">
        <f>IF(RESULTADOS_DETALHE!$F$20="","",RESULTADOS_DETALHE!$F$20)</f>
        <v/>
      </c>
      <c r="D57" s="464" t="str">
        <f>IF(RESULTADOS_DETALHE!$G$20="","",RESULTADOS_DETALHE!$G$20)</f>
        <v/>
      </c>
      <c r="E57" s="464" t="str">
        <f>IF(RESULTADOS_DETALHE!$H$20="","",RESULTADOS_DETALHE!$H$20)</f>
        <v/>
      </c>
      <c r="F57" s="608" t="str">
        <f>RESULTADOS_DETALHE!$E$20&amp;""</f>
        <v/>
      </c>
      <c r="G57" s="608"/>
    </row>
    <row r="58" spans="2:7" ht="30" customHeight="1" x14ac:dyDescent="0.35">
      <c r="B58" s="602" t="str">
        <f>RESULTADOS_DETALHE!$E$21&amp;""</f>
        <v/>
      </c>
      <c r="C58" s="603"/>
      <c r="D58" s="603"/>
      <c r="E58" s="603"/>
      <c r="F58" s="603"/>
      <c r="G58" s="603"/>
    </row>
    <row r="59" spans="2:7" ht="8" customHeight="1" x14ac:dyDescent="0.35"/>
    <row r="60" spans="2:7" ht="30" customHeight="1" x14ac:dyDescent="0.35">
      <c r="B60" s="609" t="s">
        <v>731</v>
      </c>
      <c r="C60" s="610"/>
      <c r="D60" s="610"/>
      <c r="E60" s="610"/>
      <c r="F60" s="610"/>
      <c r="G60" s="610"/>
    </row>
    <row r="61" spans="2:7" ht="12" customHeight="1" x14ac:dyDescent="0.35"/>
    <row r="62" spans="2:7" ht="24" customHeight="1" x14ac:dyDescent="0.35">
      <c r="B62" s="465" t="str">
        <f>IF(METODO_RETROATIVO="PCs",MEMORIA_RESULTADOS!$AG$20,"")</f>
        <v/>
      </c>
    </row>
    <row r="63" spans="2:7" ht="22" customHeight="1" x14ac:dyDescent="0.35">
      <c r="B63" s="461" t="str">
        <f>IF(METODO_RETROATIVO="PCs",MEMORIA_RESULTADOS!$AG$21,"")</f>
        <v/>
      </c>
      <c r="C63" s="460" t="str">
        <f>IF(METODO_RETROATIVO="PCs",MEMORIA_RESULTADOS!$AG$22,"")</f>
        <v/>
      </c>
      <c r="D63" s="607" t="str">
        <f>IF(METODO_RETROATIVO="PCs",MEMORIA_RESULTADOS!$AG$23,"")</f>
        <v/>
      </c>
      <c r="E63" s="607"/>
      <c r="F63" s="607"/>
      <c r="G63" s="607"/>
    </row>
    <row r="64" spans="2:7" ht="30" customHeight="1" x14ac:dyDescent="0.35">
      <c r="B64" s="459" t="str">
        <f>IF(METODO_RETROATIVO="PCs",RESULTADOS_DETALHE!$A$55,"")</f>
        <v/>
      </c>
      <c r="C64" s="466" t="str">
        <f>IF(METODO_RETROATIVO="PCs",IF(RESULTADOS_DETALHE!$B$55="",MEMORIA_RESULTADOS!$AG$2,RESULTADOS_DETALHE!$B$55),"")</f>
        <v/>
      </c>
      <c r="D64" s="608" t="str">
        <f>IF(METODO_RETROATIVO="PCs",RESULTADOS_DETALHE!$C$55,"")</f>
        <v/>
      </c>
      <c r="E64" s="608"/>
      <c r="F64" s="608"/>
      <c r="G64" s="608"/>
    </row>
    <row r="65" spans="2:7" ht="30" customHeight="1" x14ac:dyDescent="0.35">
      <c r="B65" s="459" t="str">
        <f>IF(METODO_RETROATIVO="PCs",RESULTADOS_DETALHE!$A$56,"")</f>
        <v/>
      </c>
      <c r="C65" s="466" t="str">
        <f>IF(METODO_RETROATIVO="PCs",IF(RESULTADOS_DETALHE!$B$56="",MEMORIA_RESULTADOS!$AG$2,RESULTADOS_DETALHE!$B$56),"")</f>
        <v/>
      </c>
      <c r="D65" s="608" t="str">
        <f>IF(METODO_RETROATIVO="PCs",RESULTADOS_DETALHE!$C$56,"")</f>
        <v/>
      </c>
      <c r="E65" s="608"/>
      <c r="F65" s="608"/>
      <c r="G65" s="608"/>
    </row>
    <row r="66" spans="2:7" ht="30" customHeight="1" x14ac:dyDescent="0.35">
      <c r="B66" s="459" t="str">
        <f>IF(METODO_RETROATIVO="PCs",RESULTADOS_DETALHE!$A$57,"")</f>
        <v/>
      </c>
      <c r="C66" s="466" t="str">
        <f>IF(METODO_RETROATIVO="PCs",IF(RESULTADOS_DETALHE!$B$57="",MEMORIA_RESULTADOS!$AG$2,RESULTADOS_DETALHE!$B$57),"")</f>
        <v/>
      </c>
      <c r="D66" s="608" t="str">
        <f>IF(METODO_RETROATIVO="PCs",RESULTADOS_DETALHE!$C$57,"")</f>
        <v/>
      </c>
      <c r="E66" s="608"/>
      <c r="F66" s="608"/>
      <c r="G66" s="608"/>
    </row>
    <row r="67" spans="2:7" ht="30" customHeight="1" x14ac:dyDescent="0.35">
      <c r="B67" s="459" t="str">
        <f>IF(METODO_RETROATIVO="PCs",RESULTADOS_DETALHE!$A$58,"")</f>
        <v/>
      </c>
      <c r="C67" s="466" t="str">
        <f>IF(METODO_RETROATIVO="PCs",IF(RESULTADOS_DETALHE!$B$58="",MEMORIA_RESULTADOS!$AG$2,RESULTADOS_DETALHE!$B$58),"")</f>
        <v/>
      </c>
      <c r="D67" s="608" t="str">
        <f>IF(METODO_RETROATIVO="PCs",RESULTADOS_DETALHE!$C$58,"")</f>
        <v/>
      </c>
      <c r="E67" s="608"/>
      <c r="F67" s="608"/>
      <c r="G67" s="608"/>
    </row>
    <row r="68" spans="2:7" ht="30" customHeight="1" x14ac:dyDescent="0.35">
      <c r="B68" s="459" t="str">
        <f>IF(METODO_RETROATIVO="PCs",RESULTADOS_DETALHE!$A$59,"")</f>
        <v/>
      </c>
      <c r="C68" s="466" t="str">
        <f>IF(METODO_RETROATIVO="PCs",IF(RESULTADOS_DETALHE!$B$59="",MEMORIA_RESULTADOS!$AG$2,RESULTADOS_DETALHE!$B$59),"")</f>
        <v/>
      </c>
      <c r="D68" s="608" t="str">
        <f>IF(METODO_RETROATIVO="PCs",RESULTADOS_DETALHE!$C$59,"")</f>
        <v/>
      </c>
      <c r="E68" s="608"/>
      <c r="F68" s="608"/>
      <c r="G68" s="608"/>
    </row>
    <row r="69" spans="2:7" ht="30" customHeight="1" x14ac:dyDescent="0.35">
      <c r="B69" s="459" t="str">
        <f>IF(METODO_RETROATIVO="PCs",RESULTADOS_DETALHE!$A$60,"")</f>
        <v/>
      </c>
      <c r="C69" s="466" t="str">
        <f>IF(METODO_RETROATIVO="PCs",IF(RESULTADOS_DETALHE!$B$60="",MEMORIA_RESULTADOS!$AG$2,RESULTADOS_DETALHE!$B$60),"")</f>
        <v/>
      </c>
      <c r="D69" s="608" t="str">
        <f>IF(METODO_RETROATIVO="PCs",RESULTADOS_DETALHE!$C$60,"")</f>
        <v/>
      </c>
      <c r="E69" s="608"/>
      <c r="F69" s="608"/>
      <c r="G69" s="608"/>
    </row>
    <row r="70" spans="2:7" ht="30" customHeight="1" x14ac:dyDescent="0.35">
      <c r="B70" s="459" t="str">
        <f>IF(METODO_RETROATIVO="PCs",RESULTADOS_DETALHE!$A$61,"")</f>
        <v/>
      </c>
      <c r="C70" s="466" t="str">
        <f>IF(METODO_RETROATIVO="PCs",IF(RESULTADOS_DETALHE!$B$61="",MEMORIA_RESULTADOS!$AG$2,RESULTADOS_DETALHE!$B$61),"")</f>
        <v/>
      </c>
      <c r="D70" s="608" t="str">
        <f>IF(METODO_RETROATIVO="PCs",RESULTADOS_DETALHE!$C$61,"")</f>
        <v/>
      </c>
      <c r="E70" s="608"/>
      <c r="F70" s="608"/>
      <c r="G70" s="608"/>
    </row>
    <row r="71" spans="2:7" ht="30" customHeight="1" x14ac:dyDescent="0.35">
      <c r="B71" s="459" t="str">
        <f>IF(METODO_RETROATIVO="PCs",RESULTADOS_DETALHE!$A$62,"")</f>
        <v/>
      </c>
      <c r="C71" s="466" t="str">
        <f>IF(METODO_RETROATIVO="PCs",IF(RESULTADOS_DETALHE!$B$62="",MEMORIA_RESULTADOS!$AG$2,RESULTADOS_DETALHE!$B$62),"")</f>
        <v/>
      </c>
      <c r="D71" s="608" t="str">
        <f>IF(METODO_RETROATIVO="PCs",RESULTADOS_DETALHE!$C$62,"")</f>
        <v/>
      </c>
      <c r="E71" s="608"/>
      <c r="F71" s="608"/>
      <c r="G71" s="608"/>
    </row>
    <row r="72" spans="2:7" ht="20" customHeight="1" x14ac:dyDescent="0.35"/>
    <row r="73" spans="2:7" ht="20" customHeight="1" x14ac:dyDescent="0.35"/>
  </sheetData>
  <mergeCells count="34">
    <mergeCell ref="D69:G69"/>
    <mergeCell ref="D70:G70"/>
    <mergeCell ref="D71:G71"/>
    <mergeCell ref="B60:G60"/>
    <mergeCell ref="D63:G63"/>
    <mergeCell ref="D64:G64"/>
    <mergeCell ref="D65:G65"/>
    <mergeCell ref="D66:G66"/>
    <mergeCell ref="D67:G67"/>
    <mergeCell ref="D68:G68"/>
    <mergeCell ref="B58:G58"/>
    <mergeCell ref="F53:G53"/>
    <mergeCell ref="F54:G54"/>
    <mergeCell ref="F55:G55"/>
    <mergeCell ref="F56:G56"/>
    <mergeCell ref="F57:G57"/>
    <mergeCell ref="B52:G52"/>
    <mergeCell ref="D19:G19"/>
    <mergeCell ref="D20:G20"/>
    <mergeCell ref="D23:G23"/>
    <mergeCell ref="D24:G24"/>
    <mergeCell ref="D25:G25"/>
    <mergeCell ref="D26:G26"/>
    <mergeCell ref="D27:G27"/>
    <mergeCell ref="D28:G28"/>
    <mergeCell ref="D29:G29"/>
    <mergeCell ref="D30:G30"/>
    <mergeCell ref="D31:G31"/>
    <mergeCell ref="D18:G18"/>
    <mergeCell ref="D13:G13"/>
    <mergeCell ref="D14:G14"/>
    <mergeCell ref="D15:G15"/>
    <mergeCell ref="D16:G16"/>
    <mergeCell ref="D17:G17"/>
  </mergeCells>
  <conditionalFormatting sqref="B10">
    <cfRule type="expression" dxfId="34" priority="4">
      <formula>AND(METODO_RETROATIVO="PCs",N(RETROATIVO_POTENCIAL_VTA)&lt;&gt;0)</formula>
    </cfRule>
  </conditionalFormatting>
  <conditionalFormatting sqref="B53:F53">
    <cfRule type="expression" dxfId="33" priority="29">
      <formula>$B$53&lt;&gt;""</formula>
    </cfRule>
  </conditionalFormatting>
  <conditionalFormatting sqref="B54:F57">
    <cfRule type="expression" dxfId="32" priority="30">
      <formula>$B$53&lt;&gt;""</formula>
    </cfRule>
  </conditionalFormatting>
  <conditionalFormatting sqref="B15:G15">
    <cfRule type="expression" dxfId="31" priority="7">
      <formula>AND(METODO_RETROATIVO="PCs",N(RETROATIVO_POTENCIAL_APURADO)&lt;&gt;0)</formula>
    </cfRule>
  </conditionalFormatting>
  <conditionalFormatting sqref="B19:G19">
    <cfRule type="expression" dxfId="30" priority="8">
      <formula>AND(METODO_RETROATIVO="PCs",N(RETROATIVO_POTENCIAL_NEGATIVO)&lt;0)</formula>
    </cfRule>
  </conditionalFormatting>
  <conditionalFormatting sqref="B35:G39">
    <cfRule type="expression" dxfId="29" priority="28">
      <formula>ISNUMBER(SEARCH("vigente",$B35))</formula>
    </cfRule>
  </conditionalFormatting>
  <conditionalFormatting sqref="B62:G62">
    <cfRule type="expression" dxfId="28" priority="32">
      <formula>METODO_RETROATIVO="PCs"</formula>
    </cfRule>
  </conditionalFormatting>
  <conditionalFormatting sqref="B63:G63">
    <cfRule type="expression" dxfId="27" priority="33">
      <formula>METODO_RETROATIVO="PCs"</formula>
    </cfRule>
  </conditionalFormatting>
  <conditionalFormatting sqref="B64:G71">
    <cfRule type="expression" dxfId="26" priority="34">
      <formula>METODO_RETROATIVO="PCs"</formula>
    </cfRule>
  </conditionalFormatting>
  <conditionalFormatting sqref="B70:G70">
    <cfRule type="expression" dxfId="25" priority="35">
      <formula>AND(METODO_RETROATIVO="PCs",N(RETROATIVO_POTENCIAL_VTA)&lt;&gt;0)</formula>
    </cfRule>
  </conditionalFormatting>
  <conditionalFormatting sqref="C20">
    <cfRule type="expression" dxfId="24" priority="9">
      <formula>AND(ISNUMBER($C$20),$C$20&lt;&gt;0)</formula>
    </cfRule>
  </conditionalFormatting>
  <conditionalFormatting sqref="C24">
    <cfRule type="expression" dxfId="23" priority="10">
      <formula>OR($C$24="VALIDADO",$C$24="RECONCILIADO")</formula>
    </cfRule>
    <cfRule type="expression" dxfId="22" priority="11">
      <formula>ISNUMBER(SEARCH("ESTIMAD",$C$24))</formula>
    </cfRule>
    <cfRule type="expression" dxfId="21" priority="12">
      <formula>ISNUMBER(SEARCH("REVISE",$C$24))</formula>
    </cfRule>
  </conditionalFormatting>
  <conditionalFormatting sqref="C25">
    <cfRule type="expression" dxfId="20" priority="13">
      <formula>OR($C$25="VALIDADO",$C$25="RECONCILIADO")</formula>
    </cfRule>
    <cfRule type="expression" dxfId="19" priority="14">
      <formula>ISNUMBER(SEARCH("ESTIMAD",$C$25))</formula>
    </cfRule>
    <cfRule type="expression" dxfId="18" priority="15">
      <formula>ISNUMBER(SEARCH("REVISE",$C$25))</formula>
    </cfRule>
  </conditionalFormatting>
  <conditionalFormatting sqref="C26">
    <cfRule type="expression" dxfId="17" priority="18">
      <formula>ISNUMBER(SEARCH("REVISE",$C$26))</formula>
    </cfRule>
    <cfRule type="expression" dxfId="16" priority="16">
      <formula>OR($C$26="VALIDADO",$C$26="RECONCILIADO")</formula>
    </cfRule>
    <cfRule type="expression" dxfId="15" priority="17">
      <formula>ISNUMBER(SEARCH("ESTIMAD",$C$26))</formula>
    </cfRule>
  </conditionalFormatting>
  <conditionalFormatting sqref="C27">
    <cfRule type="expression" dxfId="14" priority="21">
      <formula>ISNUMBER(SEARCH("REVISE",$C$27))</formula>
    </cfRule>
    <cfRule type="expression" dxfId="13" priority="19">
      <formula>OR($C$27="VALIDADO",$C$27="RECONCILIADO")</formula>
    </cfRule>
    <cfRule type="expression" dxfId="12" priority="20">
      <formula>ISNUMBER(SEARCH("ESTIMAD",$C$27))</formula>
    </cfRule>
  </conditionalFormatting>
  <conditionalFormatting sqref="C29">
    <cfRule type="expression" dxfId="11" priority="22">
      <formula>OR($C$29="VALIDADO",$C$29="RECONCILIADO")</formula>
    </cfRule>
    <cfRule type="expression" dxfId="10" priority="23">
      <formula>ISNUMBER(SEARCH("ESTIMAD",$C$29))</formula>
    </cfRule>
    <cfRule type="expression" dxfId="9" priority="24">
      <formula>ISNUMBER(SEARCH("REVISE",$C$29))</formula>
    </cfRule>
  </conditionalFormatting>
  <conditionalFormatting sqref="C31">
    <cfRule type="expression" dxfId="8" priority="25">
      <formula>OR($C$31="VALIDADO",$C$31="RECONCILIADO")</formula>
    </cfRule>
    <cfRule type="expression" dxfId="7" priority="26">
      <formula>ISNUMBER(SEARCH("ESTIMAD",$C$31))</formula>
    </cfRule>
    <cfRule type="expression" dxfId="6" priority="27">
      <formula>ISNUMBER(SEARCH("REVISE",$C$31))</formula>
    </cfRule>
  </conditionalFormatting>
  <conditionalFormatting sqref="E54:E57">
    <cfRule type="expression" dxfId="5" priority="31">
      <formula>$E54&lt;&gt;""</formula>
    </cfRule>
  </conditionalFormatting>
  <conditionalFormatting sqref="G6">
    <cfRule type="expression" dxfId="4" priority="3">
      <formula>ISNUMBER(SEARCH("REVISE",$G$6))</formula>
    </cfRule>
    <cfRule type="expression" dxfId="3" priority="2">
      <formula>ISNUMBER(SEARCH("ESTIMAD",$G$6))</formula>
    </cfRule>
    <cfRule type="expression" dxfId="2" priority="1">
      <formula>OR($G$6="VALIDADO",$G$6="RECONCILIADO")</formula>
    </cfRule>
  </conditionalFormatting>
  <conditionalFormatting sqref="G8:G10">
    <cfRule type="expression" dxfId="1" priority="6">
      <formula>LEFT($G$9,4)="APUR"</formula>
    </cfRule>
    <cfRule type="expression" dxfId="0" priority="5">
      <formula>LEFT($G$9,4)="PEND"</formula>
    </cfRule>
  </conditionalFormatting>
  <printOptions horizontalCentered="1"/>
  <pageMargins left="0.511811024" right="0.511811024" top="0.78740157499999996" bottom="0.78740157499999996" header="0.31496062000000002" footer="0.31496062000000002"/>
  <pageSetup paperSize="9" scale="75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16</vt:i4>
      </vt:variant>
      <vt:variant>
        <vt:lpstr>Intervalos Nomeados</vt:lpstr>
      </vt:variant>
      <vt:variant>
        <vt:i4>43</vt:i4>
      </vt:variant>
    </vt:vector>
  </HeadingPairs>
  <TitlesOfParts>
    <vt:vector size="59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RESULTADOS_DETALHE</vt:lpstr>
      <vt:lpstr>RESULTADOS</vt:lpstr>
      <vt:lpstr>AJUSTE_MANUAL_VTA</vt:lpstr>
      <vt:lpstr>AJUSTES_DEVIDOS</vt:lpstr>
      <vt:lpstr>RESULTADOS!Area_de_impressao</vt:lpstr>
      <vt:lpstr>RESULTADOS_DETALHE!Area_de_impressao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RETROATIVO_POTENCIAL_APURADO</vt:lpstr>
      <vt:lpstr>RETROATIVO_POTENCIAL_NEGATIVO</vt:lpstr>
      <vt:lpstr>RETROATIVO_POTENCIAL_PC</vt:lpstr>
      <vt:lpstr>RETROATIVO_POTENCIAL_VTA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  <vt:lpstr>VTA_SEM_POTENCIAL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2026-10-09T19:30:22Z</dcterms:modified>
</cp:coreProperties>
</file>